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827a0f841fde3ea5/Terra Mortis Shared Space/"/>
    </mc:Choice>
  </mc:AlternateContent>
  <xr:revisionPtr revIDLastSave="465" documentId="13_ncr:1_{DFC5FD23-0C30-424D-824A-B2F3F0B1C1FD}" xr6:coauthVersionLast="47" xr6:coauthVersionMax="47" xr10:uidLastSave="{86613892-B8FF-47E7-8F79-886550B21633}"/>
  <bookViews>
    <workbookView xWindow="-120" yWindow="-120" windowWidth="29040" windowHeight="15720" activeTab="1" xr2:uid="{A2885E16-E1BC-4A4C-B967-9057D14BA435}"/>
  </bookViews>
  <sheets>
    <sheet name="Character Data" sheetId="14" r:id="rId1"/>
    <sheet name="Attendance" sheetId="68" r:id="rId2"/>
    <sheet name="Finances" sheetId="69" r:id="rId3"/>
    <sheet name="Template" sheetId="29" r:id="rId4"/>
    <sheet name="Alice (Katherine H)" sheetId="73" r:id="rId5"/>
    <sheet name="Anichka (Katie)" sheetId="74" r:id="rId6"/>
    <sheet name="Brandy (Ashley)" sheetId="75" r:id="rId7"/>
    <sheet name="Carver (Archer)" sheetId="76" r:id="rId8"/>
    <sheet name="Cazz (Brae)" sheetId="77" r:id="rId9"/>
    <sheet name="Charles (Leo)" sheetId="78" r:id="rId10"/>
    <sheet name="Charlie (Kurtis)" sheetId="34" r:id="rId11"/>
    <sheet name="Conrad (Arnold)" sheetId="79" r:id="rId12"/>
    <sheet name="Cyrus (Bill)" sheetId="80" r:id="rId13"/>
    <sheet name="Doc (Jess)" sheetId="81" r:id="rId14"/>
    <sheet name="Edna (Arlo)" sheetId="82" r:id="rId15"/>
    <sheet name="Einar (Nathan)" sheetId="83" r:id="rId16"/>
    <sheet name="Eve (Jaime)" sheetId="84" r:id="rId17"/>
    <sheet name="Gel (Stefan)" sheetId="102" r:id="rId18"/>
    <sheet name="Hazel (Marni)" sheetId="85" r:id="rId19"/>
    <sheet name="Ivana (Lyn)" sheetId="86" r:id="rId20"/>
    <sheet name="Jack (George)" sheetId="103" r:id="rId21"/>
    <sheet name="Julia (Amelia)" sheetId="104" r:id="rId22"/>
    <sheet name="Keeper (Symon)" sheetId="101" r:id="rId23"/>
    <sheet name="Kirk (Phil)" sheetId="100" r:id="rId24"/>
    <sheet name="Livia (Clair)" sheetId="99" r:id="rId25"/>
    <sheet name="Ludica (Sky)" sheetId="97" r:id="rId26"/>
    <sheet name="Mac (Charlie)" sheetId="96" r:id="rId27"/>
    <sheet name="Mammon (Peter)" sheetId="95" r:id="rId28"/>
    <sheet name="Magda (Tiana)" sheetId="94" r:id="rId29"/>
    <sheet name="Reed (Conan)" sheetId="93" r:id="rId30"/>
    <sheet name="Rene M (Luca)" sheetId="92" r:id="rId31"/>
    <sheet name="Rene St (Bennet)" sheetId="91" r:id="rId32"/>
    <sheet name="Ryan (Patrick)" sheetId="90" r:id="rId33"/>
    <sheet name="Tegan (Alana W)" sheetId="89" r:id="rId34"/>
    <sheet name="Wan (Michael)" sheetId="88" r:id="rId35"/>
    <sheet name="Lists" sheetId="6" r:id="rId36"/>
    <sheet name="Lookup-General" sheetId="11" r:id="rId37"/>
    <sheet name="Lookup-Bloodlines" sheetId="10" r:id="rId38"/>
    <sheet name="Lookup-Disciplines" sheetId="7" r:id="rId39"/>
    <sheet name="Lookup-Merits" sheetId="8" r:id="rId40"/>
    <sheet name="Lookup-Manouvres" sheetId="23" r:id="rId41"/>
    <sheet name="Lookup-Domain" sheetId="30" r:id="rId42"/>
    <sheet name="Lookup-Influence" sheetId="48" r:id="rId43"/>
  </sheets>
  <definedNames>
    <definedName name="_xlnm._FilterDatabase" localSheetId="1" hidden="1">Attendance!$A$13:$M$44</definedName>
    <definedName name="_xlnm._FilterDatabase" localSheetId="2" hidden="1">Finances!$V$10:$W$41</definedName>
    <definedName name="Elements">'Lookup-General'!$AA$1</definedName>
    <definedName name="ExternalData_1" localSheetId="0" hidden="1">'Character Data'!$A$1:$NA$31</definedName>
    <definedName name="lstAoI">'Lookup-Influence'!$A$2:$A$17</definedName>
    <definedName name="lstBanes">Lists!$I$1:$I$20</definedName>
    <definedName name="lstBenefactor">Lists!$O$2:$O$15</definedName>
    <definedName name="lstBloodlines">Lists!$E$1:$E$106</definedName>
    <definedName name="lstCarthianLaw">Lists!$L$1:$L$14</definedName>
    <definedName name="lstClan">Lists!$D$1:$D$6</definedName>
    <definedName name="lstCovenant">Lists!$F$1:$F$6</definedName>
    <definedName name="lstDevotions">Lists!$K$2:$K$58</definedName>
    <definedName name="lstDisciplines">Lists!$G$1:$G$11</definedName>
    <definedName name="lstInvictusOaths">Lists!$M$1:$M$16</definedName>
    <definedName name="lstManoeuvres" localSheetId="4">tblManoeuvre[Manoeuvre]</definedName>
    <definedName name="lstManoeuvres" localSheetId="5">tblManoeuvre[Manoeuvre]</definedName>
    <definedName name="lstManoeuvres" localSheetId="6">tblManoeuvre[Manoeuvre]</definedName>
    <definedName name="lstManoeuvres" localSheetId="7">tblManoeuvre[Manoeuvre]</definedName>
    <definedName name="lstManoeuvres" localSheetId="8">tblManoeuvre[Manoeuvre]</definedName>
    <definedName name="lstManoeuvres" localSheetId="9">tblManoeuvre[Manoeuvre]</definedName>
    <definedName name="lstManoeuvres" localSheetId="10">tblManoeuvre[Manoeuvre]</definedName>
    <definedName name="lstManoeuvres" localSheetId="11">tblManoeuvre[Manoeuvre]</definedName>
    <definedName name="lstManoeuvres" localSheetId="12">tblManoeuvre[Manoeuvre]</definedName>
    <definedName name="lstManoeuvres" localSheetId="13">tblManoeuvre[Manoeuvre]</definedName>
    <definedName name="lstManoeuvres" localSheetId="14">tblManoeuvre[Manoeuvre]</definedName>
    <definedName name="lstManoeuvres" localSheetId="15">tblManoeuvre[Manoeuvre]</definedName>
    <definedName name="lstManoeuvres" localSheetId="16">tblManoeuvre[Manoeuvre]</definedName>
    <definedName name="lstManoeuvres" localSheetId="17">tblManoeuvre[Manoeuvre]</definedName>
    <definedName name="lstManoeuvres" localSheetId="18">tblManoeuvre[Manoeuvre]</definedName>
    <definedName name="lstManoeuvres" localSheetId="19">tblManoeuvre[Manoeuvre]</definedName>
    <definedName name="lstManoeuvres" localSheetId="20">tblManoeuvre[Manoeuvre]</definedName>
    <definedName name="lstManoeuvres" localSheetId="21">tblManoeuvre[Manoeuvre]</definedName>
    <definedName name="lstManoeuvres" localSheetId="22">tblManoeuvre[Manoeuvre]</definedName>
    <definedName name="lstManoeuvres" localSheetId="23">tblManoeuvre[Manoeuvre]</definedName>
    <definedName name="lstManoeuvres" localSheetId="24">tblManoeuvre[Manoeuvre]</definedName>
    <definedName name="lstManoeuvres" localSheetId="25">tblManoeuvre[Manoeuvre]</definedName>
    <definedName name="lstManoeuvres" localSheetId="26">tblManoeuvre[Manoeuvre]</definedName>
    <definedName name="lstManoeuvres" localSheetId="28">tblManoeuvre[Manoeuvre]</definedName>
    <definedName name="lstManoeuvres" localSheetId="27">tblManoeuvre[Manoeuvre]</definedName>
    <definedName name="lstManoeuvres" localSheetId="29">tblManoeuvre[Manoeuvre]</definedName>
    <definedName name="lstManoeuvres" localSheetId="30">tblManoeuvre[Manoeuvre]</definedName>
    <definedName name="lstManoeuvres" localSheetId="31">tblManoeuvre[Manoeuvre]</definedName>
    <definedName name="lstManoeuvres" localSheetId="32">tblManoeuvre[Manoeuvre]</definedName>
    <definedName name="lstManoeuvres" localSheetId="33">tblManoeuvre[Manoeuvre]</definedName>
    <definedName name="lstManoeuvres" localSheetId="34">tblManoeuvre[Manoeuvre]</definedName>
    <definedName name="lstManoeuvres">tblManoeuvre[Manoeuvre]</definedName>
    <definedName name="lstMerits" localSheetId="4">tblMerits[Merit]</definedName>
    <definedName name="lstMerits" localSheetId="5">tblMerits[Merit]</definedName>
    <definedName name="lstMerits" localSheetId="6">tblMerits[Merit]</definedName>
    <definedName name="lstMerits" localSheetId="7">tblMerits[Merit]</definedName>
    <definedName name="lstMerits" localSheetId="8">tblMerits[Merit]</definedName>
    <definedName name="lstMerits" localSheetId="9">tblMerits[Merit]</definedName>
    <definedName name="lstMerits" localSheetId="10">tblMerits[Merit]</definedName>
    <definedName name="lstMerits" localSheetId="11">tblMerits[Merit]</definedName>
    <definedName name="lstMerits" localSheetId="12">tblMerits[Merit]</definedName>
    <definedName name="lstMerits" localSheetId="13">tblMerits[Merit]</definedName>
    <definedName name="lstMerits" localSheetId="14">tblMerits[Merit]</definedName>
    <definedName name="lstMerits" localSheetId="15">tblMerits[Merit]</definedName>
    <definedName name="lstMerits" localSheetId="16">tblMerits[Merit]</definedName>
    <definedName name="lstMerits" localSheetId="17">tblMerits[Merit]</definedName>
    <definedName name="lstMerits" localSheetId="18">tblMerits[Merit]</definedName>
    <definedName name="lstMerits" localSheetId="19">tblMerits[Merit]</definedName>
    <definedName name="lstMerits" localSheetId="20">tblMerits[Merit]</definedName>
    <definedName name="lstMerits" localSheetId="21">tblMerits[Merit]</definedName>
    <definedName name="lstMerits" localSheetId="22">tblMerits[Merit]</definedName>
    <definedName name="lstMerits" localSheetId="23">tblMerits[Merit]</definedName>
    <definedName name="lstMerits" localSheetId="24">tblMerits[Merit]</definedName>
    <definedName name="lstMerits" localSheetId="25">tblMerits[Merit]</definedName>
    <definedName name="lstMerits" localSheetId="26">tblMerits[Merit]</definedName>
    <definedName name="lstMerits" localSheetId="28">tblMerits[Merit]</definedName>
    <definedName name="lstMerits" localSheetId="27">tblMerits[Merit]</definedName>
    <definedName name="lstMerits" localSheetId="29">tblMerits[Merit]</definedName>
    <definedName name="lstMerits" localSheetId="30">tblMerits[Merit]</definedName>
    <definedName name="lstMerits" localSheetId="31">tblMerits[Merit]</definedName>
    <definedName name="lstMerits" localSheetId="32">tblMerits[Merit]</definedName>
    <definedName name="lstMerits" localSheetId="33">tblMerits[Merit]</definedName>
    <definedName name="lstMerits" localSheetId="34">tblMerits[Merit]</definedName>
    <definedName name="lstMerits">tblMerits[Merit]</definedName>
    <definedName name="lstNature">Lists!$A$1:$A$28</definedName>
    <definedName name="lstPacts">Lists!$Q$2:$Q$29</definedName>
    <definedName name="lstPriority">Lists!$H$1:$H$4</definedName>
    <definedName name="lstRites">Lists!$N$1:$N$84</definedName>
    <definedName name="lstSkills">Lists!$J$1:$J$25</definedName>
    <definedName name="lstStatus">Lists!$P$2:$P$6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64" i="104" l="1"/>
  <c r="B363" i="104"/>
  <c r="B362" i="104"/>
  <c r="B361" i="104"/>
  <c r="B360" i="104"/>
  <c r="B359" i="104"/>
  <c r="B358" i="104"/>
  <c r="B357" i="104"/>
  <c r="E281" i="104"/>
  <c r="E282" i="104" s="1"/>
  <c r="E283" i="104" s="1"/>
  <c r="E284" i="104" s="1"/>
  <c r="E285" i="104" s="1"/>
  <c r="E286" i="104" s="1"/>
  <c r="E287" i="104" s="1"/>
  <c r="E288" i="104" s="1"/>
  <c r="E289" i="104" s="1"/>
  <c r="E290" i="104" s="1"/>
  <c r="E291" i="104" s="1"/>
  <c r="E292" i="104" s="1"/>
  <c r="E293" i="104" s="1"/>
  <c r="E294" i="104" s="1"/>
  <c r="E295" i="104" s="1"/>
  <c r="E296" i="104" s="1"/>
  <c r="E297" i="104" s="1"/>
  <c r="E298" i="104" s="1"/>
  <c r="E299" i="104" s="1"/>
  <c r="E300" i="104" s="1"/>
  <c r="E301" i="104" s="1"/>
  <c r="E302" i="104" s="1"/>
  <c r="E303" i="104" s="1"/>
  <c r="E304" i="104" s="1"/>
  <c r="E305" i="104" s="1"/>
  <c r="E306" i="104" s="1"/>
  <c r="E307" i="104" s="1"/>
  <c r="E308" i="104" s="1"/>
  <c r="E309" i="104" s="1"/>
  <c r="E310" i="104" s="1"/>
  <c r="E311" i="104" s="1"/>
  <c r="E312" i="104" s="1"/>
  <c r="E313" i="104" s="1"/>
  <c r="E314" i="104" s="1"/>
  <c r="E315" i="104" s="1"/>
  <c r="E316" i="104" s="1"/>
  <c r="H238" i="104"/>
  <c r="H237" i="104"/>
  <c r="H236" i="104"/>
  <c r="F234" i="104"/>
  <c r="H234" i="104" s="1"/>
  <c r="M218" i="104"/>
  <c r="P218" i="104" s="1"/>
  <c r="B354" i="104" s="1"/>
  <c r="B216" i="104"/>
  <c r="R215" i="104"/>
  <c r="Q215" i="104"/>
  <c r="O215" i="104"/>
  <c r="P215" i="104" s="1"/>
  <c r="H215" i="104"/>
  <c r="G215" i="104"/>
  <c r="B215" i="104"/>
  <c r="R214" i="104"/>
  <c r="Q214" i="104"/>
  <c r="O214" i="104"/>
  <c r="P214" i="104" s="1"/>
  <c r="H214" i="104"/>
  <c r="G214" i="104"/>
  <c r="B214" i="104"/>
  <c r="R213" i="104"/>
  <c r="Q213" i="104"/>
  <c r="O213" i="104"/>
  <c r="P213" i="104" s="1"/>
  <c r="H213" i="104"/>
  <c r="G213" i="104"/>
  <c r="B213" i="104"/>
  <c r="R212" i="104"/>
  <c r="Q212" i="104"/>
  <c r="O212" i="104"/>
  <c r="P212" i="104" s="1"/>
  <c r="H212" i="104"/>
  <c r="G212" i="104"/>
  <c r="B212" i="104"/>
  <c r="R211" i="104"/>
  <c r="Q211" i="104"/>
  <c r="O211" i="104"/>
  <c r="P211" i="104" s="1"/>
  <c r="H211" i="104"/>
  <c r="G211" i="104"/>
  <c r="B211" i="104"/>
  <c r="R210" i="104"/>
  <c r="Q210" i="104"/>
  <c r="O210" i="104"/>
  <c r="P210" i="104" s="1"/>
  <c r="H210" i="104"/>
  <c r="G210" i="104"/>
  <c r="B210" i="104"/>
  <c r="R209" i="104"/>
  <c r="Q209" i="104"/>
  <c r="O209" i="104"/>
  <c r="P209" i="104" s="1"/>
  <c r="H209" i="104"/>
  <c r="G209" i="104"/>
  <c r="B209" i="104"/>
  <c r="R208" i="104"/>
  <c r="Q208" i="104"/>
  <c r="O208" i="104"/>
  <c r="P208" i="104" s="1"/>
  <c r="H208" i="104"/>
  <c r="G208" i="104"/>
  <c r="B208" i="104"/>
  <c r="R207" i="104"/>
  <c r="Q207" i="104"/>
  <c r="O207" i="104"/>
  <c r="P207" i="104" s="1"/>
  <c r="H207" i="104"/>
  <c r="G207" i="104"/>
  <c r="B207" i="104"/>
  <c r="R206" i="104"/>
  <c r="Q206" i="104"/>
  <c r="O206" i="104"/>
  <c r="P206" i="104" s="1"/>
  <c r="H206" i="104"/>
  <c r="G206" i="104"/>
  <c r="B206" i="104"/>
  <c r="B205" i="104"/>
  <c r="B204" i="104"/>
  <c r="R203" i="104"/>
  <c r="O203" i="104"/>
  <c r="P203" i="104" s="1"/>
  <c r="G203" i="104"/>
  <c r="B203" i="104"/>
  <c r="R202" i="104"/>
  <c r="O202" i="104"/>
  <c r="P202" i="104" s="1"/>
  <c r="G202" i="104"/>
  <c r="B202" i="104"/>
  <c r="R201" i="104"/>
  <c r="O201" i="104"/>
  <c r="P201" i="104" s="1"/>
  <c r="G201" i="104"/>
  <c r="B201" i="104"/>
  <c r="R200" i="104"/>
  <c r="O200" i="104"/>
  <c r="P200" i="104" s="1"/>
  <c r="G200" i="104"/>
  <c r="B200" i="104"/>
  <c r="R199" i="104"/>
  <c r="O199" i="104"/>
  <c r="P199" i="104" s="1"/>
  <c r="G199" i="104"/>
  <c r="B199" i="104"/>
  <c r="R198" i="104"/>
  <c r="O198" i="104"/>
  <c r="P198" i="104" s="1"/>
  <c r="G198" i="104"/>
  <c r="B198" i="104"/>
  <c r="R197" i="104"/>
  <c r="O197" i="104"/>
  <c r="P197" i="104" s="1"/>
  <c r="G197" i="104"/>
  <c r="R196" i="104"/>
  <c r="O196" i="104"/>
  <c r="P196" i="104" s="1"/>
  <c r="G196" i="104"/>
  <c r="B196" i="104"/>
  <c r="R195" i="104"/>
  <c r="O195" i="104"/>
  <c r="P195" i="104" s="1"/>
  <c r="G195" i="104"/>
  <c r="B195" i="104"/>
  <c r="R194" i="104"/>
  <c r="O194" i="104"/>
  <c r="P194" i="104" s="1"/>
  <c r="G194" i="104"/>
  <c r="B194" i="104"/>
  <c r="B193" i="104"/>
  <c r="B192" i="104"/>
  <c r="O191" i="104"/>
  <c r="B191" i="104"/>
  <c r="O190" i="104"/>
  <c r="B190" i="104"/>
  <c r="O189" i="104"/>
  <c r="B189" i="104"/>
  <c r="O188" i="104"/>
  <c r="B188" i="104"/>
  <c r="O187" i="104"/>
  <c r="B187" i="104"/>
  <c r="B186" i="104"/>
  <c r="O185" i="104"/>
  <c r="P185" i="104" s="1"/>
  <c r="I185" i="104"/>
  <c r="B185" i="104"/>
  <c r="O184" i="104"/>
  <c r="P184" i="104" s="1"/>
  <c r="I184" i="104"/>
  <c r="B184" i="104"/>
  <c r="B183" i="104"/>
  <c r="B182" i="104"/>
  <c r="R181" i="104"/>
  <c r="O181" i="104"/>
  <c r="P181" i="104" s="1"/>
  <c r="H181" i="104"/>
  <c r="B181" i="104"/>
  <c r="R180" i="104"/>
  <c r="O180" i="104"/>
  <c r="P180" i="104" s="1"/>
  <c r="H180" i="104"/>
  <c r="B180" i="104"/>
  <c r="R179" i="104"/>
  <c r="O179" i="104"/>
  <c r="P179" i="104" s="1"/>
  <c r="H179" i="104"/>
  <c r="B179" i="104"/>
  <c r="R178" i="104"/>
  <c r="O178" i="104"/>
  <c r="P178" i="104" s="1"/>
  <c r="H178" i="104"/>
  <c r="B178" i="104"/>
  <c r="R177" i="104"/>
  <c r="O177" i="104"/>
  <c r="P177" i="104" s="1"/>
  <c r="H177" i="104"/>
  <c r="L164" i="104"/>
  <c r="I164" i="104"/>
  <c r="H164" i="104"/>
  <c r="G164" i="104"/>
  <c r="F164" i="104"/>
  <c r="N163" i="104"/>
  <c r="O161" i="104"/>
  <c r="P161" i="104" s="1"/>
  <c r="O160" i="104"/>
  <c r="P160" i="104" s="1"/>
  <c r="R157" i="104"/>
  <c r="Q157" i="104"/>
  <c r="O157" i="104"/>
  <c r="P157" i="104" s="1"/>
  <c r="H157" i="104"/>
  <c r="G157" i="104"/>
  <c r="R156" i="104"/>
  <c r="Q156" i="104"/>
  <c r="O156" i="104"/>
  <c r="P156" i="104" s="1"/>
  <c r="H156" i="104"/>
  <c r="G156" i="104"/>
  <c r="AE155" i="104"/>
  <c r="R155" i="104"/>
  <c r="Q155" i="104"/>
  <c r="O155" i="104"/>
  <c r="P155" i="104" s="1"/>
  <c r="H155" i="104"/>
  <c r="G155" i="104"/>
  <c r="R154" i="104"/>
  <c r="Q154" i="104"/>
  <c r="O154" i="104"/>
  <c r="P154" i="104" s="1"/>
  <c r="H154" i="104"/>
  <c r="G154" i="104"/>
  <c r="AF153" i="104" a="1"/>
  <c r="AF153" i="104" s="1"/>
  <c r="B236" i="104" s="1"/>
  <c r="AE153" i="104"/>
  <c r="R153" i="104"/>
  <c r="Q153" i="104"/>
  <c r="O153" i="104"/>
  <c r="P153" i="104" s="1"/>
  <c r="H153" i="104"/>
  <c r="G153" i="104"/>
  <c r="AF152" i="104" a="1"/>
  <c r="AF152" i="104" s="1"/>
  <c r="B235" i="104" s="1"/>
  <c r="AE152" i="104"/>
  <c r="R152" i="104"/>
  <c r="Q152" i="104"/>
  <c r="O152" i="104"/>
  <c r="P152" i="104" s="1"/>
  <c r="H152" i="104"/>
  <c r="G152" i="104"/>
  <c r="AF151" i="104" a="1"/>
  <c r="AF151" i="104" s="1"/>
  <c r="B234" i="104" s="1"/>
  <c r="AE151" i="104"/>
  <c r="R151" i="104"/>
  <c r="Q151" i="104"/>
  <c r="O151" i="104"/>
  <c r="P151" i="104" s="1"/>
  <c r="H151" i="104"/>
  <c r="G151" i="104"/>
  <c r="AF150" i="104" a="1"/>
  <c r="AF150" i="104" s="1"/>
  <c r="B233" i="104" s="1"/>
  <c r="AE150" i="104"/>
  <c r="R150" i="104"/>
  <c r="Q150" i="104"/>
  <c r="O150" i="104"/>
  <c r="P150" i="104" s="1"/>
  <c r="H150" i="104"/>
  <c r="G150" i="104"/>
  <c r="AF149" i="104" a="1"/>
  <c r="AF149" i="104" s="1"/>
  <c r="B232" i="104" s="1"/>
  <c r="AE149" i="104"/>
  <c r="R149" i="104"/>
  <c r="Q149" i="104"/>
  <c r="O149" i="104"/>
  <c r="P149" i="104" s="1"/>
  <c r="H149" i="104"/>
  <c r="G149" i="104"/>
  <c r="AF148" i="104" a="1"/>
  <c r="AF148" i="104" s="1"/>
  <c r="B231" i="104" s="1"/>
  <c r="AE148" i="104"/>
  <c r="R148" i="104"/>
  <c r="Q148" i="104"/>
  <c r="O148" i="104"/>
  <c r="P148" i="104" s="1"/>
  <c r="H148" i="104"/>
  <c r="G148" i="104"/>
  <c r="AF147" i="104" a="1"/>
  <c r="AF147" i="104" s="1"/>
  <c r="B230" i="104" s="1"/>
  <c r="AE147" i="104"/>
  <c r="R147" i="104"/>
  <c r="Q147" i="104"/>
  <c r="O147" i="104"/>
  <c r="P147" i="104" s="1"/>
  <c r="H147" i="104"/>
  <c r="G147" i="104"/>
  <c r="AF146" i="104" a="1"/>
  <c r="AF146" i="104" s="1"/>
  <c r="B229" i="104" s="1"/>
  <c r="AE146" i="104"/>
  <c r="R146" i="104"/>
  <c r="Q146" i="104"/>
  <c r="O146" i="104"/>
  <c r="P146" i="104" s="1"/>
  <c r="H146" i="104"/>
  <c r="G146" i="104"/>
  <c r="AF145" i="104" a="1"/>
  <c r="AF145" i="104" s="1"/>
  <c r="B228" i="104" s="1"/>
  <c r="AE145" i="104"/>
  <c r="R145" i="104"/>
  <c r="Q145" i="104"/>
  <c r="O145" i="104"/>
  <c r="P145" i="104" s="1"/>
  <c r="H145" i="104"/>
  <c r="G145" i="104"/>
  <c r="AF144" i="104" a="1"/>
  <c r="AF144" i="104" s="1"/>
  <c r="B227" i="104" s="1"/>
  <c r="AE144" i="104"/>
  <c r="R144" i="104"/>
  <c r="Q144" i="104"/>
  <c r="O144" i="104"/>
  <c r="P144" i="104" s="1"/>
  <c r="H144" i="104"/>
  <c r="AF143" i="104" a="1"/>
  <c r="AF143" i="104" s="1"/>
  <c r="B226" i="104" s="1"/>
  <c r="AE143" i="104"/>
  <c r="R143" i="104"/>
  <c r="Q143" i="104"/>
  <c r="O143" i="104"/>
  <c r="P143" i="104" s="1"/>
  <c r="H143" i="104"/>
  <c r="G143" i="104"/>
  <c r="AF142" i="104" a="1"/>
  <c r="AF142" i="104" s="1"/>
  <c r="B225" i="104" s="1"/>
  <c r="AE142" i="104"/>
  <c r="R142" i="104"/>
  <c r="Q142" i="104"/>
  <c r="O142" i="104"/>
  <c r="P142" i="104" s="1"/>
  <c r="H142" i="104"/>
  <c r="AF141" i="104" a="1"/>
  <c r="AF141" i="104" s="1"/>
  <c r="B224" i="104" s="1"/>
  <c r="AE141" i="104"/>
  <c r="R141" i="104"/>
  <c r="Q141" i="104"/>
  <c r="O141" i="104"/>
  <c r="P141" i="104" s="1"/>
  <c r="H141" i="104"/>
  <c r="AF140" i="104" a="1"/>
  <c r="AF140" i="104" s="1"/>
  <c r="B223" i="104" s="1"/>
  <c r="AE140" i="104"/>
  <c r="R140" i="104"/>
  <c r="Q140" i="104"/>
  <c r="O140" i="104"/>
  <c r="P140" i="104" s="1"/>
  <c r="H140" i="104"/>
  <c r="AF139" i="104" a="1"/>
  <c r="AF139" i="104" s="1"/>
  <c r="B222" i="104" s="1"/>
  <c r="AE139" i="104"/>
  <c r="R139" i="104"/>
  <c r="Q139" i="104"/>
  <c r="O139" i="104"/>
  <c r="P139" i="104" s="1"/>
  <c r="H139" i="104"/>
  <c r="AF138" i="104" a="1"/>
  <c r="AF138" i="104" s="1"/>
  <c r="B221" i="104" s="1"/>
  <c r="AE138" i="104"/>
  <c r="R138" i="104"/>
  <c r="Q138" i="104"/>
  <c r="O138" i="104"/>
  <c r="P138" i="104" s="1"/>
  <c r="H138" i="104"/>
  <c r="AF137" i="104" a="1"/>
  <c r="AF137" i="104" s="1"/>
  <c r="B220" i="104" s="1"/>
  <c r="AE137" i="104"/>
  <c r="H137" i="104"/>
  <c r="AF136" i="104" a="1"/>
  <c r="AF136" i="104" s="1"/>
  <c r="B219" i="104" s="1"/>
  <c r="AE136" i="104"/>
  <c r="AF135" i="104" a="1"/>
  <c r="AF135" i="104" s="1"/>
  <c r="B218" i="104" s="1"/>
  <c r="AE135" i="104"/>
  <c r="R135" i="104"/>
  <c r="Q135" i="104"/>
  <c r="O135" i="104"/>
  <c r="P135" i="104" s="1"/>
  <c r="R134" i="104"/>
  <c r="Q134" i="104"/>
  <c r="O134" i="104"/>
  <c r="P134" i="104" s="1"/>
  <c r="R133" i="104"/>
  <c r="Q133" i="104"/>
  <c r="O133" i="104"/>
  <c r="P133" i="104" s="1"/>
  <c r="R132" i="104"/>
  <c r="Q132" i="104"/>
  <c r="O132" i="104"/>
  <c r="P132" i="104" s="1"/>
  <c r="P129" i="104"/>
  <c r="F129" i="104" a="1"/>
  <c r="F129" i="104" s="1"/>
  <c r="E129" i="104" a="1"/>
  <c r="E129" i="104" s="1"/>
  <c r="P128" i="104"/>
  <c r="F128" i="104" a="1"/>
  <c r="F128" i="104" s="1"/>
  <c r="E128" i="104" a="1"/>
  <c r="E128" i="104" s="1"/>
  <c r="P127" i="104"/>
  <c r="F127" i="104" a="1"/>
  <c r="F127" i="104" s="1"/>
  <c r="E127" i="104" a="1"/>
  <c r="E127" i="104" s="1"/>
  <c r="R126" i="104"/>
  <c r="P126" i="104"/>
  <c r="F126" i="104"/>
  <c r="E126" i="104"/>
  <c r="P125" i="104"/>
  <c r="E125" i="104"/>
  <c r="AA124" i="104"/>
  <c r="M124" i="104"/>
  <c r="P124" i="104" s="1"/>
  <c r="AA123" i="104"/>
  <c r="AA121" i="104"/>
  <c r="Z121" i="104"/>
  <c r="AA120" i="104"/>
  <c r="Z120" i="104"/>
  <c r="O120" i="104"/>
  <c r="P120" i="104" s="1"/>
  <c r="H120" i="104"/>
  <c r="G120" i="104"/>
  <c r="AA119" i="104"/>
  <c r="Z119" i="104"/>
  <c r="O119" i="104"/>
  <c r="P119" i="104" s="1"/>
  <c r="H119" i="104"/>
  <c r="G119" i="104"/>
  <c r="AA118" i="104"/>
  <c r="Z118" i="104"/>
  <c r="O118" i="104"/>
  <c r="P118" i="104" s="1"/>
  <c r="H118" i="104"/>
  <c r="G118" i="104"/>
  <c r="AA117" i="104"/>
  <c r="Z117" i="104"/>
  <c r="O117" i="104"/>
  <c r="P117" i="104" s="1"/>
  <c r="H117" i="104"/>
  <c r="G117" i="104"/>
  <c r="AA116" i="104"/>
  <c r="Z116" i="104"/>
  <c r="O116" i="104"/>
  <c r="P116" i="104" s="1"/>
  <c r="H116" i="104"/>
  <c r="G116" i="104"/>
  <c r="AA115" i="104"/>
  <c r="Z115" i="104"/>
  <c r="O115" i="104"/>
  <c r="P115" i="104" s="1"/>
  <c r="H115" i="104"/>
  <c r="G115" i="104"/>
  <c r="AA114" i="104"/>
  <c r="Z114" i="104"/>
  <c r="O114" i="104"/>
  <c r="P114" i="104" s="1"/>
  <c r="H114" i="104"/>
  <c r="G114" i="104"/>
  <c r="AA113" i="104"/>
  <c r="Z113" i="104"/>
  <c r="O113" i="104"/>
  <c r="P113" i="104" s="1"/>
  <c r="H113" i="104"/>
  <c r="G113" i="104"/>
  <c r="AA112" i="104"/>
  <c r="Z112" i="104"/>
  <c r="O112" i="104"/>
  <c r="P112" i="104" s="1"/>
  <c r="H112" i="104"/>
  <c r="G112" i="104"/>
  <c r="O111" i="104"/>
  <c r="P111" i="104" s="1"/>
  <c r="H111" i="104"/>
  <c r="G111" i="104"/>
  <c r="O110" i="104"/>
  <c r="P110" i="104" s="1"/>
  <c r="H110" i="104"/>
  <c r="G110" i="104"/>
  <c r="O109" i="104"/>
  <c r="P109" i="104" s="1"/>
  <c r="H109" i="104"/>
  <c r="G109" i="104"/>
  <c r="O108" i="104"/>
  <c r="P108" i="104" s="1"/>
  <c r="H108" i="104"/>
  <c r="G108" i="104"/>
  <c r="O107" i="104"/>
  <c r="P107" i="104" s="1"/>
  <c r="H107" i="104"/>
  <c r="G107" i="104"/>
  <c r="O106" i="104"/>
  <c r="P106" i="104" s="1"/>
  <c r="H106" i="104"/>
  <c r="G106" i="104"/>
  <c r="O105" i="104"/>
  <c r="P105" i="104" s="1"/>
  <c r="H105" i="104"/>
  <c r="G105" i="104"/>
  <c r="O104" i="104"/>
  <c r="P104" i="104" s="1"/>
  <c r="H104" i="104"/>
  <c r="G104" i="104"/>
  <c r="O103" i="104"/>
  <c r="P103" i="104" s="1"/>
  <c r="H103" i="104"/>
  <c r="G103" i="104"/>
  <c r="O102" i="104"/>
  <c r="P102" i="104" s="1"/>
  <c r="H102" i="104"/>
  <c r="G102" i="104"/>
  <c r="B102" i="104"/>
  <c r="O101" i="104"/>
  <c r="P101" i="104" s="1"/>
  <c r="H101" i="104"/>
  <c r="G101" i="104"/>
  <c r="B101" i="104"/>
  <c r="B100" i="104"/>
  <c r="B99" i="104"/>
  <c r="R98" i="104"/>
  <c r="Q98" i="104"/>
  <c r="O98" i="104"/>
  <c r="P98" i="104" s="1"/>
  <c r="H98" i="104"/>
  <c r="B98" i="104"/>
  <c r="R97" i="104"/>
  <c r="Q97" i="104"/>
  <c r="O97" i="104"/>
  <c r="P97" i="104" s="1"/>
  <c r="H97" i="104"/>
  <c r="B97" i="104"/>
  <c r="R96" i="104"/>
  <c r="Q96" i="104"/>
  <c r="O96" i="104"/>
  <c r="P96" i="104" s="1"/>
  <c r="H96" i="104"/>
  <c r="B96" i="104"/>
  <c r="R95" i="104"/>
  <c r="Q95" i="104"/>
  <c r="O95" i="104"/>
  <c r="P95" i="104" s="1"/>
  <c r="H95" i="104"/>
  <c r="B95" i="104"/>
  <c r="R94" i="104"/>
  <c r="Q94" i="104"/>
  <c r="O94" i="104"/>
  <c r="P94" i="104" s="1"/>
  <c r="H94" i="104"/>
  <c r="B94" i="104"/>
  <c r="R93" i="104"/>
  <c r="Q93" i="104"/>
  <c r="O93" i="104"/>
  <c r="P93" i="104" s="1"/>
  <c r="H93" i="104"/>
  <c r="B93" i="104"/>
  <c r="R92" i="104"/>
  <c r="Q92" i="104"/>
  <c r="O92" i="104"/>
  <c r="P92" i="104" s="1"/>
  <c r="H92" i="104"/>
  <c r="B92" i="104"/>
  <c r="R91" i="104"/>
  <c r="Q91" i="104"/>
  <c r="O91" i="104"/>
  <c r="P91" i="104" s="1"/>
  <c r="H91" i="104"/>
  <c r="B91" i="104"/>
  <c r="R90" i="104"/>
  <c r="Q90" i="104"/>
  <c r="O90" i="104"/>
  <c r="P90" i="104" s="1"/>
  <c r="H90" i="104"/>
  <c r="B90" i="104"/>
  <c r="R89" i="104"/>
  <c r="Q89" i="104"/>
  <c r="O89" i="104"/>
  <c r="P89" i="104" s="1"/>
  <c r="H89" i="104"/>
  <c r="B89" i="104"/>
  <c r="R88" i="104"/>
  <c r="Q88" i="104"/>
  <c r="O88" i="104"/>
  <c r="P88" i="104" s="1"/>
  <c r="H88" i="104"/>
  <c r="B88" i="104"/>
  <c r="R87" i="104"/>
  <c r="Q87" i="104"/>
  <c r="O87" i="104"/>
  <c r="P87" i="104" s="1"/>
  <c r="H87" i="104"/>
  <c r="B87" i="104"/>
  <c r="AA86" i="104"/>
  <c r="R86" i="104"/>
  <c r="Q86" i="104"/>
  <c r="O86" i="104"/>
  <c r="P86" i="104" s="1"/>
  <c r="H86" i="104"/>
  <c r="B86" i="104"/>
  <c r="AA85" i="104"/>
  <c r="R85" i="104"/>
  <c r="Q85" i="104"/>
  <c r="O85" i="104"/>
  <c r="P85" i="104" s="1"/>
  <c r="H85" i="104"/>
  <c r="B85" i="104"/>
  <c r="AA84" i="104"/>
  <c r="R84" i="104"/>
  <c r="Q84" i="104"/>
  <c r="O84" i="104"/>
  <c r="P84" i="104" s="1"/>
  <c r="H84" i="104"/>
  <c r="B84" i="104"/>
  <c r="AA83" i="104"/>
  <c r="R83" i="104"/>
  <c r="Q83" i="104"/>
  <c r="O83" i="104"/>
  <c r="P83" i="104" s="1"/>
  <c r="H83" i="104"/>
  <c r="B83" i="104"/>
  <c r="AA82" i="104"/>
  <c r="R82" i="104"/>
  <c r="Q82" i="104"/>
  <c r="O82" i="104"/>
  <c r="P82" i="104" s="1"/>
  <c r="H82" i="104"/>
  <c r="B82" i="104"/>
  <c r="R81" i="104"/>
  <c r="Q81" i="104"/>
  <c r="O81" i="104"/>
  <c r="P81" i="104" s="1"/>
  <c r="H81" i="104"/>
  <c r="B81" i="104"/>
  <c r="R80" i="104"/>
  <c r="Q80" i="104"/>
  <c r="O80" i="104"/>
  <c r="P80" i="104" s="1"/>
  <c r="H80" i="104"/>
  <c r="B80" i="104"/>
  <c r="R79" i="104"/>
  <c r="Q79" i="104"/>
  <c r="O79" i="104"/>
  <c r="P79" i="104" s="1"/>
  <c r="H79" i="104"/>
  <c r="B79" i="104"/>
  <c r="L78" i="104"/>
  <c r="B78" i="104"/>
  <c r="N77" i="104"/>
  <c r="B77" i="104"/>
  <c r="B76" i="104"/>
  <c r="B75" i="104"/>
  <c r="O74" i="104"/>
  <c r="B74" i="104"/>
  <c r="AF73" i="104"/>
  <c r="B343" i="104" s="1"/>
  <c r="AE73" i="104" a="1"/>
  <c r="AE73" i="104" s="1"/>
  <c r="B313" i="104" s="1"/>
  <c r="AD73" i="104" a="1"/>
  <c r="AD73" i="104" s="1"/>
  <c r="B283" i="104" s="1"/>
  <c r="O73" i="104"/>
  <c r="P73" i="104" s="1"/>
  <c r="B73" i="104"/>
  <c r="AF72" i="104"/>
  <c r="B342" i="104" s="1"/>
  <c r="AE72" i="104" a="1"/>
  <c r="AE72" i="104" s="1"/>
  <c r="B312" i="104" s="1"/>
  <c r="AD72" i="104" a="1"/>
  <c r="AD72" i="104" s="1"/>
  <c r="B282" i="104" s="1"/>
  <c r="O72" i="104"/>
  <c r="P72" i="104" s="1"/>
  <c r="B72" i="104"/>
  <c r="AF71" i="104"/>
  <c r="B341" i="104" s="1"/>
  <c r="AE71" i="104" a="1"/>
  <c r="AE71" i="104" s="1"/>
  <c r="B311" i="104" s="1"/>
  <c r="AD71" i="104" a="1"/>
  <c r="AD71" i="104" s="1"/>
  <c r="B281" i="104" s="1"/>
  <c r="N71" i="104"/>
  <c r="B71" i="104"/>
  <c r="AF70" i="104"/>
  <c r="B340" i="104" s="1"/>
  <c r="AE70" i="104" a="1"/>
  <c r="AE70" i="104" s="1"/>
  <c r="B310" i="104" s="1"/>
  <c r="AD70" i="104" a="1"/>
  <c r="AD70" i="104" s="1"/>
  <c r="B280" i="104" s="1"/>
  <c r="B70" i="104"/>
  <c r="AF69" i="104"/>
  <c r="B339" i="104" s="1"/>
  <c r="AE69" i="104" a="1"/>
  <c r="AE69" i="104" s="1"/>
  <c r="B309" i="104" s="1"/>
  <c r="AD69" i="104" a="1"/>
  <c r="AD69" i="104" s="1"/>
  <c r="B279" i="104" s="1"/>
  <c r="V69" i="104"/>
  <c r="O69" i="104"/>
  <c r="P69" i="104" s="1"/>
  <c r="B69" i="104"/>
  <c r="AF68" i="104"/>
  <c r="B338" i="104" s="1"/>
  <c r="AE68" i="104" a="1"/>
  <c r="AE68" i="104" s="1"/>
  <c r="B308" i="104" s="1"/>
  <c r="AD68" i="104" a="1"/>
  <c r="AD68" i="104" s="1"/>
  <c r="B278" i="104" s="1"/>
  <c r="V68" i="104"/>
  <c r="O68" i="104"/>
  <c r="P68" i="104" s="1"/>
  <c r="B68" i="104"/>
  <c r="AF67" i="104"/>
  <c r="B337" i="104" s="1"/>
  <c r="AE67" i="104" a="1"/>
  <c r="AE67" i="104" s="1"/>
  <c r="B307" i="104" s="1"/>
  <c r="AD67" i="104" a="1"/>
  <c r="AD67" i="104" s="1"/>
  <c r="B277" i="104" s="1"/>
  <c r="V67" i="104"/>
  <c r="O67" i="104"/>
  <c r="P67" i="104" s="1"/>
  <c r="B67" i="104"/>
  <c r="AF66" i="104"/>
  <c r="B336" i="104" s="1"/>
  <c r="AE66" i="104" a="1"/>
  <c r="AE66" i="104" s="1"/>
  <c r="B306" i="104" s="1"/>
  <c r="AD66" i="104" a="1"/>
  <c r="AD66" i="104" s="1"/>
  <c r="B276" i="104" s="1"/>
  <c r="V66" i="104"/>
  <c r="O66" i="104"/>
  <c r="P66" i="104" s="1"/>
  <c r="B66" i="104"/>
  <c r="AF65" i="104"/>
  <c r="B335" i="104" s="1"/>
  <c r="AE65" i="104" a="1"/>
  <c r="AE65" i="104" s="1"/>
  <c r="B305" i="104" s="1"/>
  <c r="AD65" i="104" a="1"/>
  <c r="AD65" i="104" s="1"/>
  <c r="B275" i="104" s="1"/>
  <c r="V65" i="104"/>
  <c r="O65" i="104"/>
  <c r="P65" i="104" s="1"/>
  <c r="B65" i="104"/>
  <c r="AF64" i="104"/>
  <c r="B334" i="104" s="1"/>
  <c r="AE64" i="104" a="1"/>
  <c r="AE64" i="104" s="1"/>
  <c r="B304" i="104" s="1"/>
  <c r="AD64" i="104" a="1"/>
  <c r="AD64" i="104" s="1"/>
  <c r="B274" i="104" s="1"/>
  <c r="V64" i="104"/>
  <c r="O64" i="104"/>
  <c r="P64" i="104" s="1"/>
  <c r="B64" i="104"/>
  <c r="AF63" i="104"/>
  <c r="B333" i="104" s="1"/>
  <c r="AE63" i="104" a="1"/>
  <c r="AE63" i="104" s="1"/>
  <c r="B303" i="104" s="1"/>
  <c r="AD63" i="104" a="1"/>
  <c r="AD63" i="104" s="1"/>
  <c r="B273" i="104" s="1"/>
  <c r="V63" i="104"/>
  <c r="O63" i="104"/>
  <c r="P63" i="104" s="1"/>
  <c r="B63" i="104"/>
  <c r="AF62" i="104"/>
  <c r="B332" i="104" s="1"/>
  <c r="AE62" i="104" a="1"/>
  <c r="AE62" i="104" s="1"/>
  <c r="B302" i="104" s="1"/>
  <c r="AD62" i="104" a="1"/>
  <c r="AD62" i="104" s="1"/>
  <c r="B272" i="104" s="1"/>
  <c r="V62" i="104"/>
  <c r="O62" i="104"/>
  <c r="P62" i="104" s="1"/>
  <c r="B62" i="104"/>
  <c r="AF61" i="104"/>
  <c r="B331" i="104" s="1"/>
  <c r="AE61" i="104" a="1"/>
  <c r="AE61" i="104" s="1"/>
  <c r="B301" i="104" s="1"/>
  <c r="AD61" i="104" a="1"/>
  <c r="AD61" i="104" s="1"/>
  <c r="B271" i="104" s="1"/>
  <c r="L61" i="104"/>
  <c r="B61" i="104"/>
  <c r="AF60" i="104"/>
  <c r="B330" i="104" s="1"/>
  <c r="AE60" i="104" a="1"/>
  <c r="AE60" i="104" s="1"/>
  <c r="B300" i="104" s="1"/>
  <c r="AD60" i="104" a="1"/>
  <c r="AD60" i="104" s="1"/>
  <c r="B270" i="104" s="1"/>
  <c r="B60" i="104"/>
  <c r="AF59" i="104"/>
  <c r="B329" i="104" s="1"/>
  <c r="AE59" i="104" a="1"/>
  <c r="AE59" i="104" s="1"/>
  <c r="B299" i="104" s="1"/>
  <c r="AD59" i="104" a="1"/>
  <c r="AD59" i="104" s="1"/>
  <c r="B269" i="104" s="1"/>
  <c r="V59" i="104"/>
  <c r="O59" i="104"/>
  <c r="P59" i="104" s="1"/>
  <c r="AF58" i="104"/>
  <c r="B328" i="104" s="1"/>
  <c r="AE58" i="104" a="1"/>
  <c r="AE58" i="104" s="1"/>
  <c r="B298" i="104" s="1"/>
  <c r="AD58" i="104" a="1"/>
  <c r="AD58" i="104" s="1"/>
  <c r="B268" i="104" s="1"/>
  <c r="V58" i="104"/>
  <c r="O58" i="104"/>
  <c r="P58" i="104" s="1"/>
  <c r="AF57" i="104"/>
  <c r="B327" i="104" s="1"/>
  <c r="AE57" i="104" a="1"/>
  <c r="AE57" i="104" s="1"/>
  <c r="B297" i="104" s="1"/>
  <c r="AD57" i="104" a="1"/>
  <c r="AD57" i="104" s="1"/>
  <c r="B267" i="104" s="1"/>
  <c r="V57" i="104"/>
  <c r="O57" i="104"/>
  <c r="P57" i="104" s="1"/>
  <c r="AJ56" i="104"/>
  <c r="AK56" i="104" s="1"/>
  <c r="AF56" i="104"/>
  <c r="B326" i="104" s="1"/>
  <c r="AE56" i="104" a="1"/>
  <c r="AE56" i="104" s="1"/>
  <c r="B296" i="104" s="1"/>
  <c r="AD56" i="104" a="1"/>
  <c r="AD56" i="104" s="1"/>
  <c r="B266" i="104" s="1"/>
  <c r="V56" i="104"/>
  <c r="O56" i="104"/>
  <c r="P56" i="104" s="1"/>
  <c r="AF55" i="104"/>
  <c r="B325" i="104" s="1"/>
  <c r="AE55" i="104" a="1"/>
  <c r="AE55" i="104" s="1"/>
  <c r="B295" i="104" s="1"/>
  <c r="AD55" i="104" a="1"/>
  <c r="AD55" i="104" s="1"/>
  <c r="B265" i="104" s="1"/>
  <c r="V55" i="104"/>
  <c r="O55" i="104"/>
  <c r="P55" i="104" s="1"/>
  <c r="AF54" i="104"/>
  <c r="B324" i="104" s="1"/>
  <c r="AE54" i="104" a="1"/>
  <c r="AE54" i="104" s="1"/>
  <c r="B294" i="104" s="1"/>
  <c r="AD54" i="104" a="1"/>
  <c r="AD54" i="104" s="1"/>
  <c r="B264" i="104" s="1"/>
  <c r="V54" i="104"/>
  <c r="O54" i="104"/>
  <c r="P54" i="104" s="1"/>
  <c r="AJ53" i="104"/>
  <c r="AF53" i="104"/>
  <c r="B323" i="104" s="1"/>
  <c r="AE53" i="104" a="1"/>
  <c r="AE53" i="104" s="1"/>
  <c r="B293" i="104" s="1"/>
  <c r="AD53" i="104" a="1"/>
  <c r="AD53" i="104" s="1"/>
  <c r="B263" i="104" s="1"/>
  <c r="V53" i="104"/>
  <c r="O53" i="104"/>
  <c r="P53" i="104" s="1"/>
  <c r="AJ52" i="104"/>
  <c r="AK52" i="104" s="1"/>
  <c r="AF52" i="104"/>
  <c r="B322" i="104" s="1"/>
  <c r="AE52" i="104" a="1"/>
  <c r="AE52" i="104" s="1"/>
  <c r="B292" i="104" s="1"/>
  <c r="AD52" i="104" a="1"/>
  <c r="AD52" i="104" s="1"/>
  <c r="B262" i="104" s="1"/>
  <c r="V52" i="104"/>
  <c r="O52" i="104"/>
  <c r="P52" i="104" s="1"/>
  <c r="B52" i="104"/>
  <c r="AJ51" i="104"/>
  <c r="AK51" i="104" s="1"/>
  <c r="AF51" i="104"/>
  <c r="B321" i="104" s="1"/>
  <c r="AE51" i="104" a="1"/>
  <c r="AE51" i="104" s="1"/>
  <c r="B291" i="104" s="1"/>
  <c r="AD51" i="104" a="1"/>
  <c r="AD51" i="104" s="1"/>
  <c r="B261" i="104" s="1"/>
  <c r="L51" i="104"/>
  <c r="B51" i="104"/>
  <c r="AJ49" i="104"/>
  <c r="AK49" i="104" s="1"/>
  <c r="V49" i="104"/>
  <c r="O49" i="104"/>
  <c r="P49" i="104" s="1"/>
  <c r="B49" i="104"/>
  <c r="AJ48" i="104"/>
  <c r="AK48" i="104" s="1"/>
  <c r="V48" i="104"/>
  <c r="O48" i="104"/>
  <c r="P48" i="104" s="1"/>
  <c r="B48" i="104"/>
  <c r="V47" i="104"/>
  <c r="O47" i="104"/>
  <c r="P47" i="104" s="1"/>
  <c r="B47" i="104"/>
  <c r="V46" i="104"/>
  <c r="O46" i="104"/>
  <c r="P46" i="104" s="1"/>
  <c r="B46" i="104"/>
  <c r="AJ45" i="104"/>
  <c r="AK45" i="104" s="1"/>
  <c r="V45" i="104"/>
  <c r="O45" i="104"/>
  <c r="P45" i="104" s="1"/>
  <c r="B45" i="104"/>
  <c r="AJ44" i="104"/>
  <c r="V44" i="104"/>
  <c r="O44" i="104"/>
  <c r="P44" i="104" s="1"/>
  <c r="B44" i="104"/>
  <c r="AJ43" i="104"/>
  <c r="AK43" i="104" s="1"/>
  <c r="V43" i="104"/>
  <c r="O43" i="104"/>
  <c r="P43" i="104" s="1"/>
  <c r="B43" i="104"/>
  <c r="V42" i="104"/>
  <c r="O42" i="104"/>
  <c r="P42" i="104" s="1"/>
  <c r="B42" i="104"/>
  <c r="AA41" i="104"/>
  <c r="Z41" i="104"/>
  <c r="T41" i="104"/>
  <c r="L41" i="104"/>
  <c r="B41" i="104"/>
  <c r="AA40" i="104"/>
  <c r="Z40" i="104"/>
  <c r="W40" i="104" a="1"/>
  <c r="W40" i="104" s="1"/>
  <c r="U40" i="104"/>
  <c r="T40" i="104"/>
  <c r="N40" i="104"/>
  <c r="B40" i="104"/>
  <c r="AA39" i="104"/>
  <c r="Z39" i="104"/>
  <c r="B39" i="104"/>
  <c r="AA38" i="104"/>
  <c r="Z38" i="104"/>
  <c r="V38" i="104"/>
  <c r="O38" i="104"/>
  <c r="M38" i="104"/>
  <c r="P38" i="104" s="1"/>
  <c r="B38" i="104"/>
  <c r="AJ37" i="104"/>
  <c r="AK37" i="104" s="1"/>
  <c r="AA37" i="104"/>
  <c r="Z37" i="104"/>
  <c r="V37" i="104"/>
  <c r="O37" i="104"/>
  <c r="M37" i="104"/>
  <c r="P37" i="104" s="1"/>
  <c r="B37" i="104"/>
  <c r="AJ36" i="104"/>
  <c r="AK36" i="104" s="1"/>
  <c r="AA36" i="104"/>
  <c r="Z36" i="104"/>
  <c r="V36" i="104"/>
  <c r="O36" i="104"/>
  <c r="M36" i="104"/>
  <c r="P36" i="104" s="1"/>
  <c r="AJ38" i="104" s="1"/>
  <c r="AK38" i="104" s="1"/>
  <c r="B36" i="104"/>
  <c r="AJ35" i="104"/>
  <c r="AK35" i="104" s="1"/>
  <c r="AA35" i="104"/>
  <c r="Z35" i="104"/>
  <c r="L35" i="104"/>
  <c r="B35" i="104"/>
  <c r="AA34" i="104"/>
  <c r="Z34" i="104"/>
  <c r="B34" i="104"/>
  <c r="AA33" i="104"/>
  <c r="Z33" i="104"/>
  <c r="O33" i="104"/>
  <c r="M33" i="104"/>
  <c r="P33" i="104" s="1"/>
  <c r="AJ47" i="104" s="1"/>
  <c r="B33" i="104"/>
  <c r="AJ32" i="104"/>
  <c r="AK32" i="104" s="1"/>
  <c r="AA32" i="104"/>
  <c r="Z32" i="104"/>
  <c r="V32" i="104"/>
  <c r="O32" i="104"/>
  <c r="M32" i="104"/>
  <c r="P32" i="104" s="1"/>
  <c r="B32" i="104"/>
  <c r="AJ31" i="104"/>
  <c r="AK31" i="104" s="1"/>
  <c r="AF31" i="104"/>
  <c r="B174" i="104" s="1"/>
  <c r="AD31" i="104"/>
  <c r="B144" i="104" s="1"/>
  <c r="AA31" i="104"/>
  <c r="Z31" i="104"/>
  <c r="O31" i="104"/>
  <c r="M31" i="104"/>
  <c r="P31" i="104" s="1"/>
  <c r="AJ50" i="104" s="1"/>
  <c r="B31" i="104"/>
  <c r="AF30" i="104"/>
  <c r="B173" i="104" s="1"/>
  <c r="AD30" i="104"/>
  <c r="B143" i="104" s="1"/>
  <c r="AA30" i="104"/>
  <c r="Z30" i="104"/>
  <c r="L30" i="104"/>
  <c r="B30" i="104"/>
  <c r="AJ29" i="104"/>
  <c r="AK29" i="104" s="1"/>
  <c r="AF29" i="104"/>
  <c r="B172" i="104" s="1"/>
  <c r="AD29" i="104"/>
  <c r="B142" i="104" s="1"/>
  <c r="AA29" i="104"/>
  <c r="Z29" i="104"/>
  <c r="B29" i="104"/>
  <c r="AJ28" i="104"/>
  <c r="AK28" i="104" s="1"/>
  <c r="AF28" i="104"/>
  <c r="B171" i="104" s="1"/>
  <c r="AD28" i="104"/>
  <c r="B141" i="104" s="1"/>
  <c r="AA28" i="104"/>
  <c r="Z28" i="104"/>
  <c r="V28" i="104"/>
  <c r="O28" i="104"/>
  <c r="M28" i="104"/>
  <c r="P28" i="104" s="1"/>
  <c r="B28" i="104"/>
  <c r="AJ27" i="104"/>
  <c r="AK27" i="104" s="1"/>
  <c r="AF27" i="104"/>
  <c r="B170" i="104" s="1"/>
  <c r="AD27" i="104"/>
  <c r="B140" i="104" s="1"/>
  <c r="AA27" i="104"/>
  <c r="Z27" i="104"/>
  <c r="V27" i="104"/>
  <c r="O27" i="104"/>
  <c r="M27" i="104"/>
  <c r="P27" i="104" s="1"/>
  <c r="AJ58" i="104" s="1"/>
  <c r="AK58" i="104" s="1"/>
  <c r="B27" i="104"/>
  <c r="AF26" i="104"/>
  <c r="B169" i="104" s="1"/>
  <c r="AD26" i="104"/>
  <c r="B139" i="104" s="1"/>
  <c r="AA26" i="104"/>
  <c r="Z26" i="104"/>
  <c r="V26" i="104"/>
  <c r="O26" i="104"/>
  <c r="M26" i="104"/>
  <c r="P26" i="104" s="1"/>
  <c r="AJ26" i="104" s="1"/>
  <c r="AK26" i="104" s="1"/>
  <c r="B26" i="104"/>
  <c r="AJ25" i="104"/>
  <c r="AK25" i="104" s="1"/>
  <c r="AF25" i="104"/>
  <c r="B168" i="104" s="1"/>
  <c r="AD25" i="104"/>
  <c r="B138" i="104" s="1"/>
  <c r="AA25" i="104"/>
  <c r="Z25" i="104"/>
  <c r="L25" i="104"/>
  <c r="B25" i="104"/>
  <c r="AF24" i="104"/>
  <c r="B167" i="104" s="1"/>
  <c r="AD24" i="104"/>
  <c r="B137" i="104" s="1"/>
  <c r="AA24" i="104"/>
  <c r="Z24" i="104"/>
  <c r="B24" i="104"/>
  <c r="AJ23" i="104"/>
  <c r="AK23" i="104" s="1"/>
  <c r="AF23" i="104"/>
  <c r="B166" i="104" s="1"/>
  <c r="AD23" i="104"/>
  <c r="B136" i="104" s="1"/>
  <c r="AA23" i="104"/>
  <c r="Z23" i="104"/>
  <c r="N23" i="104"/>
  <c r="B23" i="104"/>
  <c r="AJ22" i="104"/>
  <c r="AK22" i="104" s="1"/>
  <c r="AF22" i="104"/>
  <c r="B165" i="104" s="1"/>
  <c r="AD22" i="104"/>
  <c r="B135" i="104" s="1"/>
  <c r="AA22" i="104"/>
  <c r="Z22" i="104"/>
  <c r="AJ21" i="104"/>
  <c r="AK21" i="104" s="1"/>
  <c r="AF21" i="104"/>
  <c r="B164" i="104" s="1"/>
  <c r="AD21" i="104"/>
  <c r="B134" i="104" s="1"/>
  <c r="AA21" i="104"/>
  <c r="N21" i="104"/>
  <c r="B21" i="104"/>
  <c r="AJ20" i="104"/>
  <c r="AK20" i="104" s="1"/>
  <c r="AF20" i="104"/>
  <c r="B163" i="104" s="1"/>
  <c r="AD20" i="104"/>
  <c r="B133" i="104" s="1"/>
  <c r="AA20" i="104"/>
  <c r="N20" i="104"/>
  <c r="AF19" i="104"/>
  <c r="B162" i="104" s="1"/>
  <c r="AD19" i="104"/>
  <c r="B132" i="104" s="1"/>
  <c r="AA19" i="104"/>
  <c r="N19" i="104"/>
  <c r="B19" i="104"/>
  <c r="AF18" i="104"/>
  <c r="B161" i="104" s="1"/>
  <c r="AD18" i="104"/>
  <c r="B131" i="104" s="1"/>
  <c r="AA18" i="104"/>
  <c r="N18" i="104"/>
  <c r="B18" i="104"/>
  <c r="AJ17" i="104"/>
  <c r="AF17" i="104"/>
  <c r="B160" i="104" s="1"/>
  <c r="AD17" i="104"/>
  <c r="B130" i="104" s="1"/>
  <c r="AA17" i="104"/>
  <c r="N17" i="104"/>
  <c r="B17" i="104"/>
  <c r="AF16" i="104"/>
  <c r="B159" i="104" s="1"/>
  <c r="AD16" i="104"/>
  <c r="B129" i="104" s="1"/>
  <c r="AA16" i="104"/>
  <c r="N16" i="104"/>
  <c r="B16" i="104"/>
  <c r="AF15" i="104"/>
  <c r="B158" i="104" s="1"/>
  <c r="AD15" i="104"/>
  <c r="B128" i="104" s="1"/>
  <c r="AA15" i="104"/>
  <c r="B15" i="104"/>
  <c r="AJ14" i="104"/>
  <c r="AF14" i="104"/>
  <c r="B157" i="104" s="1"/>
  <c r="AD14" i="104"/>
  <c r="B127" i="104" s="1"/>
  <c r="AA14" i="104"/>
  <c r="B14" i="104"/>
  <c r="AF13" i="104"/>
  <c r="B156" i="104" s="1"/>
  <c r="AD13" i="104"/>
  <c r="B126" i="104" s="1"/>
  <c r="AA13" i="104"/>
  <c r="AJ12" i="104"/>
  <c r="AK12" i="104" s="1"/>
  <c r="AF12" i="104"/>
  <c r="B155" i="104" s="1"/>
  <c r="AD12" i="104"/>
  <c r="B125" i="104" s="1"/>
  <c r="AA12" i="104"/>
  <c r="N12" i="104"/>
  <c r="B12" i="104"/>
  <c r="B13" i="104" s="1"/>
  <c r="AJ11" i="104"/>
  <c r="AK11" i="104" s="1"/>
  <c r="AF11" i="104"/>
  <c r="B154" i="104" s="1"/>
  <c r="AD11" i="104"/>
  <c r="B124" i="104" s="1"/>
  <c r="AA11" i="104"/>
  <c r="N11" i="104"/>
  <c r="B11" i="104"/>
  <c r="AJ10" i="104"/>
  <c r="AK10" i="104" s="1"/>
  <c r="AF10" i="104"/>
  <c r="B153" i="104" s="1"/>
  <c r="AD10" i="104"/>
  <c r="B123" i="104" s="1"/>
  <c r="AA10" i="104"/>
  <c r="N10" i="104"/>
  <c r="AF9" i="104"/>
  <c r="B152" i="104" s="1"/>
  <c r="AD9" i="104"/>
  <c r="B122" i="104" s="1"/>
  <c r="AA9" i="104"/>
  <c r="N9" i="104"/>
  <c r="B9" i="104"/>
  <c r="B10" i="104" s="1"/>
  <c r="AJ8" i="104"/>
  <c r="AK8" i="104" s="1"/>
  <c r="AF8" i="104"/>
  <c r="B151" i="104" s="1"/>
  <c r="AD8" i="104"/>
  <c r="B121" i="104" s="1"/>
  <c r="AA8" i="104"/>
  <c r="N8" i="104"/>
  <c r="G8" i="104"/>
  <c r="D8" i="104"/>
  <c r="B8" i="104"/>
  <c r="AJ7" i="104"/>
  <c r="AF7" i="104"/>
  <c r="B150" i="104" s="1"/>
  <c r="AD7" i="104"/>
  <c r="B120" i="104" s="1"/>
  <c r="AA7" i="104"/>
  <c r="N7" i="104"/>
  <c r="D7" i="104"/>
  <c r="B7" i="104"/>
  <c r="AF6" i="104"/>
  <c r="B149" i="104" s="1"/>
  <c r="AD6" i="104"/>
  <c r="B119" i="104" s="1"/>
  <c r="AA6" i="104"/>
  <c r="B6" i="104"/>
  <c r="AJ5" i="104"/>
  <c r="AK5" i="104" s="1"/>
  <c r="AF5" i="104"/>
  <c r="B148" i="104" s="1"/>
  <c r="AD5" i="104"/>
  <c r="B118" i="104" s="1"/>
  <c r="AA5" i="104"/>
  <c r="N5" i="104"/>
  <c r="B5" i="104"/>
  <c r="AF4" i="104"/>
  <c r="B147" i="104" s="1"/>
  <c r="AD4" i="104"/>
  <c r="B117" i="104" s="1"/>
  <c r="AA4" i="104"/>
  <c r="N4" i="104"/>
  <c r="AJ3" i="104"/>
  <c r="AK3" i="104" s="1"/>
  <c r="AF3" i="104"/>
  <c r="B146" i="104" s="1"/>
  <c r="AD3" i="104"/>
  <c r="B116" i="104" s="1"/>
  <c r="AA3" i="104"/>
  <c r="AJ2" i="104"/>
  <c r="AK2" i="104" s="1"/>
  <c r="AA2" i="104"/>
  <c r="B2" i="104"/>
  <c r="M38" i="88"/>
  <c r="M37" i="88"/>
  <c r="M36" i="88"/>
  <c r="M33" i="88"/>
  <c r="M32" i="88"/>
  <c r="M31" i="88"/>
  <c r="M28" i="88"/>
  <c r="M27" i="88"/>
  <c r="M26" i="88"/>
  <c r="M38" i="89"/>
  <c r="M37" i="89"/>
  <c r="M36" i="89"/>
  <c r="M33" i="89"/>
  <c r="M32" i="89"/>
  <c r="M31" i="89"/>
  <c r="M28" i="89"/>
  <c r="M27" i="89"/>
  <c r="M26" i="89"/>
  <c r="M38" i="90"/>
  <c r="M37" i="90"/>
  <c r="M36" i="90"/>
  <c r="M33" i="90"/>
  <c r="M32" i="90"/>
  <c r="M31" i="90"/>
  <c r="M28" i="90"/>
  <c r="M27" i="90"/>
  <c r="M26" i="90"/>
  <c r="M38" i="91"/>
  <c r="M37" i="91"/>
  <c r="M36" i="91"/>
  <c r="M33" i="91"/>
  <c r="M32" i="91"/>
  <c r="M31" i="91"/>
  <c r="M28" i="91"/>
  <c r="M27" i="91"/>
  <c r="M26" i="91"/>
  <c r="M38" i="92"/>
  <c r="M37" i="92"/>
  <c r="M36" i="92"/>
  <c r="M33" i="92"/>
  <c r="M32" i="92"/>
  <c r="M31" i="92"/>
  <c r="M28" i="92"/>
  <c r="M27" i="92"/>
  <c r="M26" i="92"/>
  <c r="M38" i="93"/>
  <c r="M37" i="93"/>
  <c r="M36" i="93"/>
  <c r="M33" i="93"/>
  <c r="M32" i="93"/>
  <c r="M31" i="93"/>
  <c r="M28" i="93"/>
  <c r="M27" i="93"/>
  <c r="M26" i="93"/>
  <c r="M38" i="94"/>
  <c r="M37" i="94"/>
  <c r="M36" i="94"/>
  <c r="M33" i="94"/>
  <c r="M32" i="94"/>
  <c r="M31" i="94"/>
  <c r="M28" i="94"/>
  <c r="M27" i="94"/>
  <c r="M26" i="94"/>
  <c r="M38" i="95"/>
  <c r="M37" i="95"/>
  <c r="M36" i="95"/>
  <c r="M33" i="95"/>
  <c r="M32" i="95"/>
  <c r="M31" i="95"/>
  <c r="M28" i="95"/>
  <c r="M27" i="95"/>
  <c r="M26" i="95"/>
  <c r="M38" i="96"/>
  <c r="M37" i="96"/>
  <c r="M36" i="96"/>
  <c r="M33" i="96"/>
  <c r="M32" i="96"/>
  <c r="M31" i="96"/>
  <c r="M28" i="96"/>
  <c r="M27" i="96"/>
  <c r="M26" i="96"/>
  <c r="M38" i="97"/>
  <c r="M37" i="97"/>
  <c r="M36" i="97"/>
  <c r="M33" i="97"/>
  <c r="M32" i="97"/>
  <c r="M31" i="97"/>
  <c r="M28" i="97"/>
  <c r="M27" i="97"/>
  <c r="M26" i="97"/>
  <c r="M38" i="99"/>
  <c r="M37" i="99"/>
  <c r="M36" i="99"/>
  <c r="M33" i="99"/>
  <c r="M32" i="99"/>
  <c r="M31" i="99"/>
  <c r="M28" i="99"/>
  <c r="M27" i="99"/>
  <c r="M26" i="99"/>
  <c r="M38" i="100"/>
  <c r="M37" i="100"/>
  <c r="M36" i="100"/>
  <c r="M33" i="100"/>
  <c r="M32" i="100"/>
  <c r="M31" i="100"/>
  <c r="M28" i="100"/>
  <c r="M27" i="100"/>
  <c r="M26" i="100"/>
  <c r="M38" i="101"/>
  <c r="M37" i="101"/>
  <c r="M36" i="101"/>
  <c r="M33" i="101"/>
  <c r="M32" i="101"/>
  <c r="M31" i="101"/>
  <c r="M28" i="101"/>
  <c r="M27" i="101"/>
  <c r="M26" i="101"/>
  <c r="M38" i="103"/>
  <c r="M37" i="103"/>
  <c r="M36" i="103"/>
  <c r="M33" i="103"/>
  <c r="M32" i="103"/>
  <c r="M31" i="103"/>
  <c r="M28" i="103"/>
  <c r="M27" i="103"/>
  <c r="M26" i="103"/>
  <c r="M38" i="86"/>
  <c r="M37" i="86"/>
  <c r="M36" i="86"/>
  <c r="M33" i="86"/>
  <c r="M32" i="86"/>
  <c r="M31" i="86"/>
  <c r="M28" i="86"/>
  <c r="M27" i="86"/>
  <c r="M26" i="86"/>
  <c r="M38" i="85"/>
  <c r="M37" i="85"/>
  <c r="M36" i="85"/>
  <c r="M33" i="85"/>
  <c r="M32" i="85"/>
  <c r="M31" i="85"/>
  <c r="M28" i="85"/>
  <c r="M27" i="85"/>
  <c r="M26" i="85"/>
  <c r="M38" i="102"/>
  <c r="M37" i="102"/>
  <c r="M36" i="102"/>
  <c r="M33" i="102"/>
  <c r="M32" i="102"/>
  <c r="M31" i="102"/>
  <c r="M28" i="102"/>
  <c r="M27" i="102"/>
  <c r="M26" i="102"/>
  <c r="M38" i="84"/>
  <c r="M37" i="84"/>
  <c r="M36" i="84"/>
  <c r="M33" i="84"/>
  <c r="M32" i="84"/>
  <c r="M31" i="84"/>
  <c r="M28" i="84"/>
  <c r="M27" i="84"/>
  <c r="M26" i="84"/>
  <c r="M26" i="83"/>
  <c r="M38" i="83"/>
  <c r="M37" i="83"/>
  <c r="M36" i="83"/>
  <c r="M33" i="83"/>
  <c r="M32" i="83"/>
  <c r="M31" i="83"/>
  <c r="M28" i="83"/>
  <c r="M27" i="83"/>
  <c r="M38" i="82"/>
  <c r="M37" i="82"/>
  <c r="M36" i="82"/>
  <c r="M33" i="82"/>
  <c r="M32" i="82"/>
  <c r="M31" i="82"/>
  <c r="M28" i="82"/>
  <c r="M27" i="82"/>
  <c r="M26" i="82"/>
  <c r="M38" i="81"/>
  <c r="M37" i="81"/>
  <c r="M36" i="81"/>
  <c r="M33" i="81"/>
  <c r="M32" i="81"/>
  <c r="M31" i="81"/>
  <c r="M28" i="81"/>
  <c r="M27" i="81"/>
  <c r="M26" i="81"/>
  <c r="M38" i="80"/>
  <c r="M37" i="80"/>
  <c r="M36" i="80"/>
  <c r="M33" i="80"/>
  <c r="M32" i="80"/>
  <c r="M31" i="80"/>
  <c r="M28" i="80"/>
  <c r="M27" i="80"/>
  <c r="M26" i="80"/>
  <c r="M38" i="79"/>
  <c r="M37" i="79"/>
  <c r="M36" i="79"/>
  <c r="M33" i="79"/>
  <c r="M32" i="79"/>
  <c r="M31" i="79"/>
  <c r="M28" i="79"/>
  <c r="M27" i="79"/>
  <c r="M26" i="79"/>
  <c r="M38" i="34"/>
  <c r="M37" i="34"/>
  <c r="M36" i="34"/>
  <c r="M33" i="34"/>
  <c r="M32" i="34"/>
  <c r="M31" i="34"/>
  <c r="M28" i="34"/>
  <c r="M27" i="34"/>
  <c r="M26" i="34"/>
  <c r="M38" i="78"/>
  <c r="M37" i="78"/>
  <c r="M36" i="78"/>
  <c r="M33" i="78"/>
  <c r="M32" i="78"/>
  <c r="M31" i="78"/>
  <c r="M28" i="78"/>
  <c r="M27" i="78"/>
  <c r="M26" i="78"/>
  <c r="M38" i="77"/>
  <c r="M37" i="77"/>
  <c r="M36" i="77"/>
  <c r="M33" i="77"/>
  <c r="M32" i="77"/>
  <c r="M31" i="77"/>
  <c r="M28" i="77"/>
  <c r="M27" i="77"/>
  <c r="M26" i="77"/>
  <c r="M38" i="76"/>
  <c r="M37" i="76"/>
  <c r="M36" i="76"/>
  <c r="M33" i="76"/>
  <c r="M32" i="76"/>
  <c r="M31" i="76"/>
  <c r="M28" i="76"/>
  <c r="M27" i="76"/>
  <c r="M26" i="76"/>
  <c r="M38" i="75"/>
  <c r="M37" i="75"/>
  <c r="M36" i="75"/>
  <c r="M33" i="75"/>
  <c r="M32" i="75"/>
  <c r="M31" i="75"/>
  <c r="M28" i="75"/>
  <c r="M27" i="75"/>
  <c r="M26" i="75"/>
  <c r="M38" i="74"/>
  <c r="M37" i="74"/>
  <c r="M36" i="74"/>
  <c r="M33" i="74"/>
  <c r="M32" i="74"/>
  <c r="M31" i="74"/>
  <c r="M28" i="74"/>
  <c r="M27" i="74"/>
  <c r="M26" i="74"/>
  <c r="M218" i="94"/>
  <c r="M191" i="94"/>
  <c r="M190" i="94"/>
  <c r="M189" i="94"/>
  <c r="M187" i="94"/>
  <c r="L164" i="94"/>
  <c r="N163" i="94"/>
  <c r="L78" i="94"/>
  <c r="N77" i="94"/>
  <c r="N71" i="94"/>
  <c r="N40" i="94"/>
  <c r="AE156" i="104" l="1"/>
  <c r="AC2" i="104" a="1"/>
  <c r="AC2" i="104" s="1"/>
  <c r="AK7" i="104"/>
  <c r="O8" i="104"/>
  <c r="O9" i="104"/>
  <c r="O10" i="104"/>
  <c r="O11" i="104"/>
  <c r="O12" i="104"/>
  <c r="AK14" i="104"/>
  <c r="AK17" i="104"/>
  <c r="M74" i="104"/>
  <c r="P74" i="104" s="1"/>
  <c r="AJ42" i="104"/>
  <c r="AK42" i="104" s="1"/>
  <c r="AK44" i="104"/>
  <c r="AK53" i="104"/>
  <c r="B114" i="104"/>
  <c r="B113" i="104"/>
  <c r="B112" i="104"/>
  <c r="B111" i="104"/>
  <c r="B110" i="104"/>
  <c r="B109" i="104"/>
  <c r="B108" i="104"/>
  <c r="B107" i="104"/>
  <c r="B106" i="104"/>
  <c r="B105" i="104"/>
  <c r="B104" i="104"/>
  <c r="B103" i="104"/>
  <c r="F244" i="104" a="1"/>
  <c r="F244" i="104" s="1"/>
  <c r="B365" i="104" s="1"/>
  <c r="B348" i="104"/>
  <c r="B353" i="104" s="1"/>
  <c r="B347" i="104"/>
  <c r="B352" i="104" s="1"/>
  <c r="B346" i="104"/>
  <c r="B351" i="104" s="1"/>
  <c r="B345" i="104"/>
  <c r="B350" i="104" s="1"/>
  <c r="B344" i="104"/>
  <c r="B349" i="104" s="1"/>
  <c r="AA153" i="104"/>
  <c r="AA152" i="104"/>
  <c r="AA151" i="104"/>
  <c r="AA150" i="104"/>
  <c r="AA149" i="104"/>
  <c r="AA148" i="104"/>
  <c r="AA147" i="104"/>
  <c r="AA146" i="104"/>
  <c r="AA145" i="104"/>
  <c r="AA144" i="104"/>
  <c r="AA143" i="104"/>
  <c r="AA142" i="104"/>
  <c r="AA141" i="104"/>
  <c r="AA140" i="104"/>
  <c r="AA139" i="104"/>
  <c r="AA138" i="104"/>
  <c r="AA137" i="104"/>
  <c r="AA136" i="104"/>
  <c r="AA135" i="104"/>
  <c r="AA134" i="104"/>
  <c r="AA132" i="104"/>
  <c r="AA131" i="104"/>
  <c r="AA130" i="104"/>
  <c r="AA129" i="104"/>
  <c r="AA128" i="104"/>
  <c r="AA127" i="104"/>
  <c r="AA126" i="104"/>
  <c r="AA125" i="104"/>
  <c r="R129" i="104"/>
  <c r="R128" i="104"/>
  <c r="R127" i="104"/>
  <c r="O174" i="104"/>
  <c r="P174" i="104" s="1"/>
  <c r="O173" i="104"/>
  <c r="P173" i="104" s="1"/>
  <c r="O172" i="104"/>
  <c r="P172" i="104" s="1"/>
  <c r="AJ39" i="104" s="1"/>
  <c r="O171" i="104"/>
  <c r="P171" i="104" s="1"/>
  <c r="AJ34" i="104" s="1"/>
  <c r="O170" i="104"/>
  <c r="P170" i="104" s="1"/>
  <c r="AJ33" i="104" s="1"/>
  <c r="O169" i="104"/>
  <c r="P169" i="104" s="1"/>
  <c r="AJ30" i="104" s="1"/>
  <c r="O168" i="104"/>
  <c r="P168" i="104" s="1"/>
  <c r="AJ19" i="104" s="1"/>
  <c r="O167" i="104"/>
  <c r="P167" i="104" s="1"/>
  <c r="O166" i="104"/>
  <c r="P166" i="104" s="1"/>
  <c r="AJ6" i="104" s="1"/>
  <c r="O165" i="104"/>
  <c r="P165" i="104" s="1"/>
  <c r="AJ4" i="104" s="1"/>
  <c r="M190" i="104"/>
  <c r="M187" i="104"/>
  <c r="L193" i="104"/>
  <c r="R191" i="104"/>
  <c r="R190" i="104"/>
  <c r="R189" i="104"/>
  <c r="R188" i="104"/>
  <c r="R187" i="104"/>
  <c r="L186" i="104"/>
  <c r="M191" i="104"/>
  <c r="P191" i="104" s="1"/>
  <c r="AJ54" i="104" s="1"/>
  <c r="M189" i="104"/>
  <c r="P189" i="104" s="1"/>
  <c r="AJ18" i="104" s="1"/>
  <c r="P188" i="104"/>
  <c r="AJ16" i="104" s="1"/>
  <c r="M124" i="99"/>
  <c r="L61" i="99"/>
  <c r="L51" i="99"/>
  <c r="L41" i="99"/>
  <c r="L35" i="99"/>
  <c r="L30" i="99"/>
  <c r="L25" i="99"/>
  <c r="M124" i="100"/>
  <c r="L61" i="100"/>
  <c r="L51" i="100"/>
  <c r="L41" i="100"/>
  <c r="L35" i="100"/>
  <c r="L30" i="100"/>
  <c r="L25" i="100"/>
  <c r="M124" i="101"/>
  <c r="P124" i="101" s="1"/>
  <c r="B84" i="101" s="1"/>
  <c r="L61" i="101"/>
  <c r="L51" i="101"/>
  <c r="L41" i="101"/>
  <c r="L35" i="101"/>
  <c r="L30" i="101"/>
  <c r="L25" i="101"/>
  <c r="M124" i="103"/>
  <c r="L61" i="103"/>
  <c r="L51" i="103"/>
  <c r="L41" i="103"/>
  <c r="L35" i="103"/>
  <c r="L30" i="103"/>
  <c r="L25" i="103"/>
  <c r="M124" i="102"/>
  <c r="L61" i="102"/>
  <c r="L51" i="102"/>
  <c r="L41" i="102"/>
  <c r="L35" i="102"/>
  <c r="L30" i="102"/>
  <c r="L25" i="102"/>
  <c r="M218" i="103"/>
  <c r="L164" i="103"/>
  <c r="N163" i="103"/>
  <c r="L78" i="103"/>
  <c r="N77" i="103"/>
  <c r="N71" i="103"/>
  <c r="N40" i="103"/>
  <c r="P27" i="103"/>
  <c r="P26" i="103"/>
  <c r="AJ26" i="103" s="1"/>
  <c r="B364" i="103"/>
  <c r="B363" i="103"/>
  <c r="B362" i="103"/>
  <c r="B361" i="103"/>
  <c r="B360" i="103"/>
  <c r="B359" i="103"/>
  <c r="B358" i="103"/>
  <c r="B357" i="103"/>
  <c r="B339" i="103"/>
  <c r="B337" i="103"/>
  <c r="B336" i="103"/>
  <c r="B335" i="103"/>
  <c r="E282" i="103"/>
  <c r="E283" i="103" s="1"/>
  <c r="E284" i="103" s="1"/>
  <c r="E285" i="103" s="1"/>
  <c r="E286" i="103" s="1"/>
  <c r="E287" i="103" s="1"/>
  <c r="E288" i="103" s="1"/>
  <c r="E289" i="103" s="1"/>
  <c r="E290" i="103" s="1"/>
  <c r="E291" i="103" s="1"/>
  <c r="E292" i="103" s="1"/>
  <c r="E293" i="103" s="1"/>
  <c r="E294" i="103" s="1"/>
  <c r="E295" i="103" s="1"/>
  <c r="E296" i="103" s="1"/>
  <c r="E297" i="103" s="1"/>
  <c r="E298" i="103" s="1"/>
  <c r="E299" i="103" s="1"/>
  <c r="E300" i="103" s="1"/>
  <c r="E301" i="103" s="1"/>
  <c r="E302" i="103" s="1"/>
  <c r="E303" i="103" s="1"/>
  <c r="E304" i="103" s="1"/>
  <c r="E305" i="103" s="1"/>
  <c r="E306" i="103" s="1"/>
  <c r="E307" i="103" s="1"/>
  <c r="E308" i="103" s="1"/>
  <c r="E309" i="103" s="1"/>
  <c r="E310" i="103" s="1"/>
  <c r="E311" i="103" s="1"/>
  <c r="E312" i="103" s="1"/>
  <c r="E313" i="103" s="1"/>
  <c r="E314" i="103" s="1"/>
  <c r="E315" i="103" s="1"/>
  <c r="E316" i="103" s="1"/>
  <c r="E281" i="103"/>
  <c r="H238" i="103"/>
  <c r="H237" i="103"/>
  <c r="H236" i="103"/>
  <c r="F234" i="103"/>
  <c r="H234" i="103" s="1"/>
  <c r="P218" i="103"/>
  <c r="B354" i="103" s="1"/>
  <c r="B216" i="103"/>
  <c r="R215" i="103"/>
  <c r="Q215" i="103"/>
  <c r="O215" i="103"/>
  <c r="H215" i="103"/>
  <c r="G215" i="103"/>
  <c r="B215" i="103"/>
  <c r="R214" i="103"/>
  <c r="P214" i="103" s="1"/>
  <c r="Q214" i="103"/>
  <c r="O214" i="103"/>
  <c r="H214" i="103"/>
  <c r="G214" i="103"/>
  <c r="B214" i="103"/>
  <c r="R213" i="103"/>
  <c r="Q213" i="103"/>
  <c r="O213" i="103"/>
  <c r="H213" i="103"/>
  <c r="G213" i="103"/>
  <c r="B213" i="103"/>
  <c r="R212" i="103"/>
  <c r="Q212" i="103"/>
  <c r="O212" i="103"/>
  <c r="H212" i="103"/>
  <c r="G212" i="103"/>
  <c r="B212" i="103"/>
  <c r="R211" i="103"/>
  <c r="Q211" i="103"/>
  <c r="P211" i="103"/>
  <c r="O211" i="103"/>
  <c r="H211" i="103"/>
  <c r="G211" i="103"/>
  <c r="B211" i="103"/>
  <c r="R210" i="103"/>
  <c r="Q210" i="103"/>
  <c r="O210" i="103"/>
  <c r="P210" i="103" s="1"/>
  <c r="H210" i="103"/>
  <c r="G210" i="103"/>
  <c r="B210" i="103"/>
  <c r="R209" i="103"/>
  <c r="P209" i="103" s="1"/>
  <c r="Q209" i="103"/>
  <c r="O209" i="103"/>
  <c r="H209" i="103"/>
  <c r="G209" i="103"/>
  <c r="B209" i="103"/>
  <c r="R208" i="103"/>
  <c r="P208" i="103" s="1"/>
  <c r="Q208" i="103"/>
  <c r="O208" i="103"/>
  <c r="H208" i="103"/>
  <c r="G208" i="103"/>
  <c r="B208" i="103"/>
  <c r="R207" i="103"/>
  <c r="P207" i="103" s="1"/>
  <c r="Q207" i="103"/>
  <c r="O207" i="103"/>
  <c r="H207" i="103"/>
  <c r="G207" i="103"/>
  <c r="B207" i="103"/>
  <c r="R206" i="103"/>
  <c r="Q206" i="103"/>
  <c r="O206" i="103"/>
  <c r="P206" i="103" s="1"/>
  <c r="H206" i="103"/>
  <c r="G206" i="103"/>
  <c r="B206" i="103"/>
  <c r="B205" i="103"/>
  <c r="B204" i="103"/>
  <c r="R203" i="103"/>
  <c r="O203" i="103"/>
  <c r="G203" i="103"/>
  <c r="B203" i="103"/>
  <c r="R202" i="103"/>
  <c r="P202" i="103"/>
  <c r="O202" i="103"/>
  <c r="G202" i="103"/>
  <c r="B202" i="103"/>
  <c r="R201" i="103"/>
  <c r="O201" i="103"/>
  <c r="G201" i="103"/>
  <c r="B201" i="103"/>
  <c r="R200" i="103"/>
  <c r="O200" i="103"/>
  <c r="P200" i="103" s="1"/>
  <c r="AA118" i="103" s="1"/>
  <c r="G200" i="103"/>
  <c r="R199" i="103"/>
  <c r="O199" i="103"/>
  <c r="G199" i="103"/>
  <c r="R198" i="103"/>
  <c r="P198" i="103"/>
  <c r="AA116" i="103" s="1"/>
  <c r="O198" i="103"/>
  <c r="G198" i="103"/>
  <c r="R197" i="103"/>
  <c r="O197" i="103"/>
  <c r="P197" i="103" s="1"/>
  <c r="AA115" i="103" s="1"/>
  <c r="G197" i="103"/>
  <c r="R196" i="103"/>
  <c r="O196" i="103"/>
  <c r="G196" i="103"/>
  <c r="Z114" i="103" s="1"/>
  <c r="B196" i="103"/>
  <c r="R195" i="103"/>
  <c r="O195" i="103"/>
  <c r="G195" i="103"/>
  <c r="B195" i="103"/>
  <c r="R194" i="103"/>
  <c r="O194" i="103"/>
  <c r="G194" i="103"/>
  <c r="B194" i="103"/>
  <c r="B193" i="103"/>
  <c r="B192" i="103"/>
  <c r="O191" i="103"/>
  <c r="B191" i="103"/>
  <c r="O190" i="103"/>
  <c r="B190" i="103"/>
  <c r="O189" i="103"/>
  <c r="B189" i="103"/>
  <c r="O188" i="103"/>
  <c r="B188" i="103"/>
  <c r="O187" i="103"/>
  <c r="B187" i="103"/>
  <c r="B186" i="103"/>
  <c r="O185" i="103"/>
  <c r="P185" i="103" s="1"/>
  <c r="I185" i="103"/>
  <c r="M191" i="103" s="1"/>
  <c r="B185" i="103"/>
  <c r="O184" i="103"/>
  <c r="P184" i="103" s="1"/>
  <c r="I184" i="103"/>
  <c r="M190" i="103" s="1"/>
  <c r="B184" i="103"/>
  <c r="B183" i="103"/>
  <c r="B182" i="103"/>
  <c r="R181" i="103"/>
  <c r="O181" i="103"/>
  <c r="H181" i="103"/>
  <c r="B181" i="103"/>
  <c r="R180" i="103"/>
  <c r="O180" i="103"/>
  <c r="P180" i="103" s="1"/>
  <c r="AA85" i="103" s="1"/>
  <c r="H180" i="103"/>
  <c r="R179" i="103"/>
  <c r="O179" i="103"/>
  <c r="P179" i="103" s="1"/>
  <c r="H179" i="103"/>
  <c r="R178" i="103"/>
  <c r="O178" i="103"/>
  <c r="P178" i="103" s="1"/>
  <c r="AA83" i="103" s="1"/>
  <c r="H178" i="103"/>
  <c r="R177" i="103"/>
  <c r="O177" i="103"/>
  <c r="H177" i="103"/>
  <c r="B174" i="103"/>
  <c r="B173" i="103"/>
  <c r="B168" i="103"/>
  <c r="I164" i="103"/>
  <c r="H164" i="103"/>
  <c r="G164" i="103"/>
  <c r="F164" i="103"/>
  <c r="N11" i="103"/>
  <c r="B163" i="103"/>
  <c r="B162" i="103"/>
  <c r="O161" i="103"/>
  <c r="P161" i="103" s="1"/>
  <c r="O160" i="103"/>
  <c r="P160" i="103" s="1"/>
  <c r="R157" i="103"/>
  <c r="Q157" i="103"/>
  <c r="O157" i="103"/>
  <c r="P157" i="103" s="1"/>
  <c r="H157" i="103"/>
  <c r="G157" i="103"/>
  <c r="R156" i="103"/>
  <c r="Q156" i="103"/>
  <c r="P156" i="103"/>
  <c r="O156" i="103"/>
  <c r="H156" i="103"/>
  <c r="G156" i="103"/>
  <c r="R155" i="103"/>
  <c r="Q155" i="103"/>
  <c r="O155" i="103"/>
  <c r="P155" i="103" s="1"/>
  <c r="H155" i="103"/>
  <c r="G155" i="103"/>
  <c r="B155" i="103"/>
  <c r="R154" i="103"/>
  <c r="P154" i="103" s="1"/>
  <c r="Q154" i="103"/>
  <c r="O154" i="103"/>
  <c r="H154" i="103"/>
  <c r="G154" i="103"/>
  <c r="AF153" i="103"/>
  <c r="B236" i="103" s="1"/>
  <c r="AF153" i="103" a="1"/>
  <c r="AE153" i="103"/>
  <c r="R153" i="103"/>
  <c r="Q153" i="103"/>
  <c r="O153" i="103"/>
  <c r="P153" i="103" s="1"/>
  <c r="H153" i="103"/>
  <c r="G153" i="103"/>
  <c r="AF152" i="103" a="1"/>
  <c r="AF152" i="103" s="1"/>
  <c r="B235" i="103" s="1"/>
  <c r="AE152" i="103"/>
  <c r="R152" i="103"/>
  <c r="Q152" i="103"/>
  <c r="O152" i="103"/>
  <c r="P152" i="103" s="1"/>
  <c r="H152" i="103"/>
  <c r="G152" i="103"/>
  <c r="AF151" i="103" a="1"/>
  <c r="AF151" i="103" s="1"/>
  <c r="B234" i="103" s="1"/>
  <c r="AE151" i="103"/>
  <c r="R151" i="103"/>
  <c r="Q151" i="103"/>
  <c r="O151" i="103"/>
  <c r="P151" i="103" s="1"/>
  <c r="H151" i="103"/>
  <c r="G151" i="103"/>
  <c r="AF150" i="103" a="1"/>
  <c r="AF150" i="103" s="1"/>
  <c r="B233" i="103" s="1"/>
  <c r="AE150" i="103"/>
  <c r="R150" i="103"/>
  <c r="Q150" i="103"/>
  <c r="O150" i="103"/>
  <c r="P150" i="103" s="1"/>
  <c r="H150" i="103"/>
  <c r="G150" i="103"/>
  <c r="AF149" i="103" a="1"/>
  <c r="AF149" i="103" s="1"/>
  <c r="B232" i="103" s="1"/>
  <c r="AE149" i="103"/>
  <c r="R149" i="103"/>
  <c r="Q149" i="103"/>
  <c r="O149" i="103"/>
  <c r="P149" i="103" s="1"/>
  <c r="H149" i="103"/>
  <c r="G149" i="103"/>
  <c r="AF148" i="103" a="1"/>
  <c r="AF148" i="103" s="1"/>
  <c r="B231" i="103" s="1"/>
  <c r="AE148" i="103"/>
  <c r="R148" i="103"/>
  <c r="Q148" i="103"/>
  <c r="O148" i="103"/>
  <c r="P148" i="103" s="1"/>
  <c r="H148" i="103"/>
  <c r="G148" i="103"/>
  <c r="AF147" i="103" a="1"/>
  <c r="AF147" i="103" s="1"/>
  <c r="B230" i="103" s="1"/>
  <c r="AE147" i="103"/>
  <c r="R147" i="103"/>
  <c r="Q147" i="103"/>
  <c r="P147" i="103"/>
  <c r="O147" i="103"/>
  <c r="H147" i="103"/>
  <c r="G147" i="103"/>
  <c r="AF146" i="103" a="1"/>
  <c r="AF146" i="103" s="1"/>
  <c r="B229" i="103" s="1"/>
  <c r="AE146" i="103"/>
  <c r="R146" i="103"/>
  <c r="Q146" i="103"/>
  <c r="O146" i="103"/>
  <c r="P146" i="103" s="1"/>
  <c r="H146" i="103"/>
  <c r="G146" i="103"/>
  <c r="AF145" i="103" a="1"/>
  <c r="AF145" i="103" s="1"/>
  <c r="B228" i="103" s="1"/>
  <c r="AE145" i="103"/>
  <c r="R145" i="103"/>
  <c r="Q145" i="103"/>
  <c r="O145" i="103"/>
  <c r="P145" i="103" s="1"/>
  <c r="H145" i="103"/>
  <c r="G145" i="103"/>
  <c r="AF144" i="103" a="1"/>
  <c r="AF144" i="103" s="1"/>
  <c r="B227" i="103" s="1"/>
  <c r="AE144" i="103"/>
  <c r="R144" i="103"/>
  <c r="Q144" i="103"/>
  <c r="O144" i="103"/>
  <c r="P144" i="103" s="1"/>
  <c r="H144" i="103"/>
  <c r="AF143" i="103" a="1"/>
  <c r="AF143" i="103" s="1"/>
  <c r="B226" i="103" s="1"/>
  <c r="AE143" i="103"/>
  <c r="R143" i="103"/>
  <c r="Q143" i="103"/>
  <c r="O143" i="103"/>
  <c r="P143" i="103" s="1"/>
  <c r="H143" i="103"/>
  <c r="G143" i="103"/>
  <c r="AF142" i="103" a="1"/>
  <c r="AF142" i="103" s="1"/>
  <c r="B225" i="103" s="1"/>
  <c r="AE142" i="103"/>
  <c r="R142" i="103"/>
  <c r="Q142" i="103"/>
  <c r="O142" i="103"/>
  <c r="P142" i="103" s="1"/>
  <c r="H142" i="103"/>
  <c r="AF141" i="103" a="1"/>
  <c r="AF141" i="103" s="1"/>
  <c r="B224" i="103" s="1"/>
  <c r="AE141" i="103"/>
  <c r="R141" i="103"/>
  <c r="Q141" i="103"/>
  <c r="O141" i="103"/>
  <c r="H141" i="103"/>
  <c r="AF140" i="103"/>
  <c r="B223" i="103" s="1"/>
  <c r="AF140" i="103" a="1"/>
  <c r="AE140" i="103"/>
  <c r="R140" i="103"/>
  <c r="Q140" i="103"/>
  <c r="O140" i="103"/>
  <c r="P140" i="103" s="1"/>
  <c r="H140" i="103"/>
  <c r="AF139" i="103" a="1"/>
  <c r="AF139" i="103" s="1"/>
  <c r="B222" i="103" s="1"/>
  <c r="AE139" i="103"/>
  <c r="R139" i="103"/>
  <c r="Q139" i="103"/>
  <c r="O139" i="103"/>
  <c r="H139" i="103"/>
  <c r="AF138" i="103" a="1"/>
  <c r="AF138" i="103" s="1"/>
  <c r="B221" i="103" s="1"/>
  <c r="AE138" i="103"/>
  <c r="R138" i="103"/>
  <c r="Q138" i="103"/>
  <c r="O138" i="103"/>
  <c r="H138" i="103"/>
  <c r="H137" i="103"/>
  <c r="R135" i="103"/>
  <c r="Q135" i="103"/>
  <c r="O135" i="103"/>
  <c r="R134" i="103"/>
  <c r="Q134" i="103"/>
  <c r="O134" i="103"/>
  <c r="P134" i="103" s="1"/>
  <c r="B97" i="103" s="1"/>
  <c r="R133" i="103"/>
  <c r="Q133" i="103"/>
  <c r="O133" i="103"/>
  <c r="P133" i="103" s="1"/>
  <c r="B96" i="103" s="1"/>
  <c r="R132" i="103"/>
  <c r="Q132" i="103"/>
  <c r="O132" i="103"/>
  <c r="P132" i="103" s="1"/>
  <c r="B95" i="103" s="1"/>
  <c r="P129" i="103"/>
  <c r="F129" i="103" a="1"/>
  <c r="F129" i="103" s="1"/>
  <c r="E129" i="103" a="1"/>
  <c r="E129" i="103" s="1"/>
  <c r="P128" i="103"/>
  <c r="B92" i="103" s="1"/>
  <c r="F128" i="103" a="1"/>
  <c r="F128" i="103" s="1"/>
  <c r="B91" i="103" s="1"/>
  <c r="E128" i="103" a="1"/>
  <c r="E128" i="103" s="1"/>
  <c r="P127" i="103"/>
  <c r="F127" i="103" a="1"/>
  <c r="F127" i="103" s="1"/>
  <c r="B89" i="103" s="1"/>
  <c r="E127" i="103" a="1"/>
  <c r="E127" i="103" s="1"/>
  <c r="R126" i="103"/>
  <c r="P126" i="103"/>
  <c r="F126" i="103"/>
  <c r="B87" i="103" s="1"/>
  <c r="E126" i="103"/>
  <c r="P125" i="103"/>
  <c r="E125" i="103"/>
  <c r="P124" i="103"/>
  <c r="B84" i="103" s="1"/>
  <c r="Z121" i="103"/>
  <c r="AA120" i="103"/>
  <c r="Z120" i="103"/>
  <c r="P120" i="103"/>
  <c r="O120" i="103"/>
  <c r="H120" i="103"/>
  <c r="G120" i="103"/>
  <c r="Z119" i="103"/>
  <c r="P119" i="103"/>
  <c r="O119" i="103"/>
  <c r="H119" i="103"/>
  <c r="G119" i="103"/>
  <c r="Z118" i="103"/>
  <c r="P118" i="103"/>
  <c r="O118" i="103"/>
  <c r="H118" i="103"/>
  <c r="G118" i="103"/>
  <c r="Z117" i="103"/>
  <c r="O117" i="103"/>
  <c r="P117" i="103" s="1"/>
  <c r="H117" i="103"/>
  <c r="G117" i="103"/>
  <c r="Z116" i="103"/>
  <c r="O116" i="103"/>
  <c r="P116" i="103" s="1"/>
  <c r="H116" i="103"/>
  <c r="G116" i="103"/>
  <c r="Z115" i="103"/>
  <c r="P115" i="103"/>
  <c r="O115" i="103"/>
  <c r="H115" i="103"/>
  <c r="G115" i="103"/>
  <c r="O114" i="103"/>
  <c r="P114" i="103" s="1"/>
  <c r="H114" i="103"/>
  <c r="G114" i="103"/>
  <c r="B114" i="103"/>
  <c r="Z113" i="103"/>
  <c r="O113" i="103"/>
  <c r="P113" i="103" s="1"/>
  <c r="H113" i="103"/>
  <c r="G113" i="103"/>
  <c r="Z112" i="103"/>
  <c r="O112" i="103"/>
  <c r="P112" i="103" s="1"/>
  <c r="H112" i="103"/>
  <c r="G112" i="103"/>
  <c r="O111" i="103"/>
  <c r="P111" i="103" s="1"/>
  <c r="H111" i="103"/>
  <c r="G111" i="103"/>
  <c r="O110" i="103"/>
  <c r="P110" i="103" s="1"/>
  <c r="H110" i="103"/>
  <c r="G110" i="103"/>
  <c r="O109" i="103"/>
  <c r="P109" i="103" s="1"/>
  <c r="H109" i="103"/>
  <c r="G109" i="103"/>
  <c r="O108" i="103"/>
  <c r="P108" i="103" s="1"/>
  <c r="H108" i="103"/>
  <c r="G108" i="103"/>
  <c r="O107" i="103"/>
  <c r="P107" i="103" s="1"/>
  <c r="H107" i="103"/>
  <c r="G107" i="103"/>
  <c r="O106" i="103"/>
  <c r="P106" i="103" s="1"/>
  <c r="H106" i="103"/>
  <c r="G106" i="103"/>
  <c r="O105" i="103"/>
  <c r="P105" i="103" s="1"/>
  <c r="H105" i="103"/>
  <c r="G105" i="103"/>
  <c r="O104" i="103"/>
  <c r="P104" i="103" s="1"/>
  <c r="H104" i="103"/>
  <c r="G104" i="103"/>
  <c r="P103" i="103"/>
  <c r="O103" i="103"/>
  <c r="H103" i="103"/>
  <c r="G103" i="103"/>
  <c r="P102" i="103"/>
  <c r="O102" i="103"/>
  <c r="H102" i="103"/>
  <c r="G102" i="103"/>
  <c r="B102" i="103"/>
  <c r="O101" i="103"/>
  <c r="P101" i="103" s="1"/>
  <c r="H101" i="103"/>
  <c r="G101" i="103"/>
  <c r="B100" i="103"/>
  <c r="R98" i="103"/>
  <c r="Q98" i="103"/>
  <c r="P98" i="103"/>
  <c r="O98" i="103"/>
  <c r="H98" i="103"/>
  <c r="R97" i="103"/>
  <c r="Q97" i="103"/>
  <c r="O97" i="103"/>
  <c r="P97" i="103" s="1"/>
  <c r="H97" i="103"/>
  <c r="R96" i="103"/>
  <c r="Q96" i="103"/>
  <c r="O96" i="103"/>
  <c r="P96" i="103" s="1"/>
  <c r="H96" i="103"/>
  <c r="R95" i="103"/>
  <c r="Q95" i="103"/>
  <c r="O95" i="103"/>
  <c r="P95" i="103" s="1"/>
  <c r="H95" i="103"/>
  <c r="R94" i="103"/>
  <c r="Q94" i="103"/>
  <c r="O94" i="103"/>
  <c r="P94" i="103" s="1"/>
  <c r="H94" i="103"/>
  <c r="B94" i="103"/>
  <c r="R93" i="103"/>
  <c r="Q93" i="103"/>
  <c r="P93" i="103"/>
  <c r="O93" i="103"/>
  <c r="H93" i="103"/>
  <c r="B93" i="103"/>
  <c r="R92" i="103"/>
  <c r="Q92" i="103"/>
  <c r="O92" i="103"/>
  <c r="P92" i="103" s="1"/>
  <c r="H92" i="103"/>
  <c r="R91" i="103"/>
  <c r="Q91" i="103"/>
  <c r="P91" i="103"/>
  <c r="O91" i="103"/>
  <c r="H91" i="103"/>
  <c r="R90" i="103"/>
  <c r="Q90" i="103"/>
  <c r="P90" i="103"/>
  <c r="O90" i="103"/>
  <c r="H90" i="103"/>
  <c r="B90" i="103"/>
  <c r="R89" i="103"/>
  <c r="Q89" i="103"/>
  <c r="O89" i="103"/>
  <c r="P89" i="103" s="1"/>
  <c r="H89" i="103"/>
  <c r="R88" i="103"/>
  <c r="Q88" i="103"/>
  <c r="P88" i="103"/>
  <c r="O88" i="103"/>
  <c r="H88" i="103"/>
  <c r="R87" i="103"/>
  <c r="Q87" i="103"/>
  <c r="P87" i="103"/>
  <c r="O87" i="103"/>
  <c r="H87" i="103"/>
  <c r="R86" i="103"/>
  <c r="Q86" i="103"/>
  <c r="O86" i="103"/>
  <c r="P86" i="103" s="1"/>
  <c r="H86" i="103"/>
  <c r="R85" i="103"/>
  <c r="Q85" i="103"/>
  <c r="O85" i="103"/>
  <c r="P85" i="103" s="1"/>
  <c r="H85" i="103"/>
  <c r="B85" i="103"/>
  <c r="AA84" i="103"/>
  <c r="R84" i="103"/>
  <c r="Q84" i="103"/>
  <c r="O84" i="103"/>
  <c r="H84" i="103"/>
  <c r="R83" i="103"/>
  <c r="P83" i="103" s="1"/>
  <c r="Q83" i="103"/>
  <c r="O83" i="103"/>
  <c r="H83" i="103"/>
  <c r="B83" i="103"/>
  <c r="R82" i="103"/>
  <c r="Q82" i="103"/>
  <c r="O82" i="103"/>
  <c r="H82" i="103"/>
  <c r="B82" i="103"/>
  <c r="R81" i="103"/>
  <c r="Q81" i="103"/>
  <c r="O81" i="103"/>
  <c r="H81" i="103"/>
  <c r="B81" i="103"/>
  <c r="R80" i="103"/>
  <c r="Q80" i="103"/>
  <c r="O80" i="103"/>
  <c r="H80" i="103"/>
  <c r="B80" i="103"/>
  <c r="R79" i="103"/>
  <c r="Q79" i="103"/>
  <c r="O79" i="103"/>
  <c r="H79" i="103"/>
  <c r="B79" i="103"/>
  <c r="B78" i="103"/>
  <c r="B77" i="103"/>
  <c r="B76" i="103"/>
  <c r="B75" i="103"/>
  <c r="O74" i="103"/>
  <c r="B74" i="103"/>
  <c r="AF73" i="103"/>
  <c r="B343" i="103" s="1"/>
  <c r="AE73" i="103" a="1"/>
  <c r="AE73" i="103" s="1"/>
  <c r="B313" i="103" s="1"/>
  <c r="AD73" i="103" a="1"/>
  <c r="AD73" i="103" s="1"/>
  <c r="B283" i="103" s="1"/>
  <c r="O73" i="103"/>
  <c r="P73" i="103" s="1"/>
  <c r="B112" i="103" s="1"/>
  <c r="B73" i="103"/>
  <c r="AF72" i="103"/>
  <c r="B342" i="103" s="1"/>
  <c r="AE72" i="103" a="1"/>
  <c r="AE72" i="103" s="1"/>
  <c r="B312" i="103" s="1"/>
  <c r="AD72" i="103" a="1"/>
  <c r="AD72" i="103" s="1"/>
  <c r="B282" i="103" s="1"/>
  <c r="O72" i="103"/>
  <c r="P72" i="103" s="1"/>
  <c r="B51" i="103" s="1"/>
  <c r="B72" i="103"/>
  <c r="AF71" i="103"/>
  <c r="B341" i="103" s="1"/>
  <c r="AE71" i="103" a="1"/>
  <c r="AE71" i="103" s="1"/>
  <c r="B311" i="103" s="1"/>
  <c r="AD71" i="103" a="1"/>
  <c r="AD71" i="103" s="1"/>
  <c r="B281" i="103" s="1"/>
  <c r="B71" i="103"/>
  <c r="AF70" i="103"/>
  <c r="B340" i="103" s="1"/>
  <c r="AE70" i="103" a="1"/>
  <c r="AE70" i="103" s="1"/>
  <c r="B310" i="103" s="1"/>
  <c r="AD70" i="103" a="1"/>
  <c r="AD70" i="103" s="1"/>
  <c r="B280" i="103" s="1"/>
  <c r="B70" i="103"/>
  <c r="AF69" i="103"/>
  <c r="AE69" i="103" a="1"/>
  <c r="AE69" i="103" s="1"/>
  <c r="B309" i="103" s="1"/>
  <c r="AD69" i="103" a="1"/>
  <c r="AD69" i="103" s="1"/>
  <c r="B279" i="103" s="1"/>
  <c r="V69" i="103"/>
  <c r="O69" i="103"/>
  <c r="P69" i="103" s="1"/>
  <c r="B69" i="103"/>
  <c r="AF68" i="103"/>
  <c r="B338" i="103" s="1"/>
  <c r="AE68" i="103" a="1"/>
  <c r="AE68" i="103" s="1"/>
  <c r="B308" i="103" s="1"/>
  <c r="AD68" i="103" a="1"/>
  <c r="AD68" i="103" s="1"/>
  <c r="B278" i="103" s="1"/>
  <c r="V68" i="103"/>
  <c r="O68" i="103"/>
  <c r="P68" i="103" s="1"/>
  <c r="B68" i="103"/>
  <c r="AF67" i="103"/>
  <c r="AE67" i="103" a="1"/>
  <c r="AE67" i="103" s="1"/>
  <c r="B307" i="103" s="1"/>
  <c r="AD67" i="103" a="1"/>
  <c r="AD67" i="103" s="1"/>
  <c r="B277" i="103" s="1"/>
  <c r="V67" i="103"/>
  <c r="O67" i="103"/>
  <c r="P67" i="103" s="1"/>
  <c r="B67" i="103"/>
  <c r="AF66" i="103"/>
  <c r="AE66" i="103" a="1"/>
  <c r="AE66" i="103" s="1"/>
  <c r="B306" i="103" s="1"/>
  <c r="AD66" i="103" a="1"/>
  <c r="AD66" i="103" s="1"/>
  <c r="B276" i="103" s="1"/>
  <c r="V66" i="103"/>
  <c r="O66" i="103"/>
  <c r="P66" i="103" s="1"/>
  <c r="B66" i="103"/>
  <c r="AF65" i="103"/>
  <c r="AE65" i="103" a="1"/>
  <c r="AE65" i="103" s="1"/>
  <c r="B305" i="103" s="1"/>
  <c r="AD65" i="103" a="1"/>
  <c r="AD65" i="103" s="1"/>
  <c r="B275" i="103" s="1"/>
  <c r="V65" i="103"/>
  <c r="O65" i="103"/>
  <c r="P65" i="103" s="1"/>
  <c r="B65" i="103"/>
  <c r="AF64" i="103"/>
  <c r="B334" i="103" s="1"/>
  <c r="AE64" i="103" a="1"/>
  <c r="AE64" i="103" s="1"/>
  <c r="B304" i="103" s="1"/>
  <c r="AD64" i="103" a="1"/>
  <c r="AD64" i="103" s="1"/>
  <c r="B274" i="103" s="1"/>
  <c r="V64" i="103"/>
  <c r="O64" i="103"/>
  <c r="P64" i="103" s="1"/>
  <c r="B64" i="103"/>
  <c r="AF63" i="103"/>
  <c r="B333" i="103" s="1"/>
  <c r="AE63" i="103" a="1"/>
  <c r="AE63" i="103" s="1"/>
  <c r="B303" i="103" s="1"/>
  <c r="AD63" i="103" a="1"/>
  <c r="AD63" i="103" s="1"/>
  <c r="B273" i="103" s="1"/>
  <c r="V63" i="103"/>
  <c r="O63" i="103"/>
  <c r="P63" i="103" s="1"/>
  <c r="B43" i="103" s="1"/>
  <c r="B63" i="103"/>
  <c r="AF62" i="103"/>
  <c r="B332" i="103" s="1"/>
  <c r="AE62" i="103" a="1"/>
  <c r="AE62" i="103" s="1"/>
  <c r="B302" i="103" s="1"/>
  <c r="AD62" i="103" a="1"/>
  <c r="AD62" i="103" s="1"/>
  <c r="B272" i="103" s="1"/>
  <c r="V62" i="103"/>
  <c r="P62" i="103"/>
  <c r="B42" i="103" s="1"/>
  <c r="O62" i="103"/>
  <c r="B62" i="103"/>
  <c r="AF61" i="103"/>
  <c r="B331" i="103" s="1"/>
  <c r="AE61" i="103" a="1"/>
  <c r="AE61" i="103" s="1"/>
  <c r="B301" i="103" s="1"/>
  <c r="AD61" i="103"/>
  <c r="B271" i="103" s="1"/>
  <c r="AD61" i="103" a="1"/>
  <c r="B61" i="103"/>
  <c r="AF60" i="103"/>
  <c r="B330" i="103" s="1"/>
  <c r="AE60" i="103" a="1"/>
  <c r="AE60" i="103" s="1"/>
  <c r="B300" i="103" s="1"/>
  <c r="AD60" i="103" a="1"/>
  <c r="AD60" i="103" s="1"/>
  <c r="B270" i="103" s="1"/>
  <c r="B60" i="103"/>
  <c r="AF59" i="103"/>
  <c r="B329" i="103" s="1"/>
  <c r="AE59" i="103" a="1"/>
  <c r="AE59" i="103" s="1"/>
  <c r="B299" i="103" s="1"/>
  <c r="AD59" i="103" a="1"/>
  <c r="AD59" i="103" s="1"/>
  <c r="B269" i="103" s="1"/>
  <c r="V59" i="103"/>
  <c r="P59" i="103"/>
  <c r="AJ56" i="103" s="1"/>
  <c r="AK56" i="103" s="1"/>
  <c r="O59" i="103"/>
  <c r="AF58" i="103"/>
  <c r="B328" i="103" s="1"/>
  <c r="AE58" i="103" a="1"/>
  <c r="AE58" i="103" s="1"/>
  <c r="B298" i="103" s="1"/>
  <c r="AD58" i="103" a="1"/>
  <c r="AD58" i="103" s="1"/>
  <c r="B268" i="103" s="1"/>
  <c r="V58" i="103"/>
  <c r="O58" i="103"/>
  <c r="P58" i="103" s="1"/>
  <c r="V57" i="103"/>
  <c r="P57" i="103"/>
  <c r="AJ48" i="103" s="1"/>
  <c r="AK48" i="103" s="1"/>
  <c r="O57" i="103"/>
  <c r="V56" i="103"/>
  <c r="O56" i="103"/>
  <c r="P56" i="103" s="1"/>
  <c r="V55" i="103"/>
  <c r="P55" i="103"/>
  <c r="AJ23" i="103" s="1"/>
  <c r="AK23" i="103" s="1"/>
  <c r="O55" i="103"/>
  <c r="V54" i="103"/>
  <c r="O54" i="103"/>
  <c r="P54" i="103" s="1"/>
  <c r="V53" i="103"/>
  <c r="O53" i="103"/>
  <c r="P53" i="103" s="1"/>
  <c r="V52" i="103"/>
  <c r="P52" i="103"/>
  <c r="B34" i="103" s="1"/>
  <c r="O52" i="103"/>
  <c r="B52" i="103"/>
  <c r="V49" i="103"/>
  <c r="O49" i="103"/>
  <c r="P49" i="103" s="1"/>
  <c r="V48" i="103"/>
  <c r="O48" i="103"/>
  <c r="P48" i="103" s="1"/>
  <c r="V47" i="103"/>
  <c r="P47" i="103"/>
  <c r="AJ35" i="103" s="1"/>
  <c r="AK35" i="103" s="1"/>
  <c r="O47" i="103"/>
  <c r="V46" i="103"/>
  <c r="O46" i="103"/>
  <c r="P46" i="103" s="1"/>
  <c r="B30" i="103" s="1"/>
  <c r="V45" i="103"/>
  <c r="O45" i="103"/>
  <c r="P45" i="103" s="1"/>
  <c r="AJ28" i="103" s="1"/>
  <c r="AK28" i="103" s="1"/>
  <c r="B45" i="103"/>
  <c r="V44" i="103"/>
  <c r="O44" i="103"/>
  <c r="P44" i="103" s="1"/>
  <c r="B28" i="103" s="1"/>
  <c r="V43" i="103"/>
  <c r="O43" i="103"/>
  <c r="P43" i="103" s="1"/>
  <c r="V42" i="103"/>
  <c r="O42" i="103"/>
  <c r="P42" i="103" s="1"/>
  <c r="B26" i="103" s="1"/>
  <c r="AA41" i="103"/>
  <c r="Z41" i="103" s="1"/>
  <c r="T41" i="103"/>
  <c r="B41" i="103"/>
  <c r="AA40" i="103"/>
  <c r="Z40" i="103" s="1"/>
  <c r="T40" i="103"/>
  <c r="N9" i="103" s="1"/>
  <c r="AA39" i="103"/>
  <c r="Z39" i="103" s="1"/>
  <c r="AA38" i="103"/>
  <c r="Z38" i="103" s="1"/>
  <c r="V38" i="103"/>
  <c r="O38" i="103"/>
  <c r="P38" i="103" s="1"/>
  <c r="B25" i="103" s="1"/>
  <c r="AA37" i="103"/>
  <c r="Z37" i="103" s="1"/>
  <c r="V37" i="103"/>
  <c r="O37" i="103"/>
  <c r="P37" i="103" s="1"/>
  <c r="B37" i="103"/>
  <c r="AA36" i="103"/>
  <c r="Z36" i="103" s="1"/>
  <c r="V36" i="103"/>
  <c r="O36" i="103"/>
  <c r="AA35" i="103"/>
  <c r="Z35" i="103" s="1"/>
  <c r="AA34" i="103"/>
  <c r="Z34" i="103" s="1"/>
  <c r="AA33" i="103"/>
  <c r="Z33" i="103" s="1"/>
  <c r="O33" i="103"/>
  <c r="AJ32" i="103"/>
  <c r="AK32" i="103" s="1"/>
  <c r="AA32" i="103"/>
  <c r="Z32" i="103" s="1"/>
  <c r="V32" i="103"/>
  <c r="O32" i="103"/>
  <c r="P32" i="103" s="1"/>
  <c r="AF31" i="103"/>
  <c r="AD31" i="103"/>
  <c r="B144" i="103" s="1"/>
  <c r="AA31" i="103"/>
  <c r="Z31" i="103" s="1"/>
  <c r="O31" i="103"/>
  <c r="AF30" i="103"/>
  <c r="AD30" i="103"/>
  <c r="B143" i="103" s="1"/>
  <c r="AA30" i="103"/>
  <c r="Z30" i="103" s="1"/>
  <c r="AF29" i="103"/>
  <c r="B172" i="103" s="1"/>
  <c r="AD29" i="103"/>
  <c r="B142" i="103" s="1"/>
  <c r="AA29" i="103"/>
  <c r="Z29" i="103" s="1"/>
  <c r="B29" i="103"/>
  <c r="AF28" i="103"/>
  <c r="B171" i="103" s="1"/>
  <c r="AD28" i="103"/>
  <c r="B141" i="103" s="1"/>
  <c r="AA28" i="103"/>
  <c r="Z28" i="103" s="1"/>
  <c r="V28" i="103"/>
  <c r="O28" i="103"/>
  <c r="AJ27" i="103"/>
  <c r="AK27" i="103" s="1"/>
  <c r="AF27" i="103"/>
  <c r="B170" i="103" s="1"/>
  <c r="AD27" i="103"/>
  <c r="B140" i="103" s="1"/>
  <c r="AA27" i="103"/>
  <c r="Z27" i="103" s="1"/>
  <c r="V27" i="103"/>
  <c r="O27" i="103"/>
  <c r="AF26" i="103"/>
  <c r="B169" i="103" s="1"/>
  <c r="AD26" i="103"/>
  <c r="B139" i="103" s="1"/>
  <c r="AA26" i="103"/>
  <c r="Z26" i="103" s="1"/>
  <c r="V26" i="103"/>
  <c r="O26" i="103"/>
  <c r="AJ25" i="103"/>
  <c r="AK25" i="103" s="1"/>
  <c r="AF25" i="103"/>
  <c r="AD25" i="103"/>
  <c r="B138" i="103" s="1"/>
  <c r="AA25" i="103"/>
  <c r="Z25" i="103" s="1"/>
  <c r="AF24" i="103"/>
  <c r="B167" i="103" s="1"/>
  <c r="AD24" i="103"/>
  <c r="B137" i="103" s="1"/>
  <c r="AA24" i="103"/>
  <c r="Z24" i="103" s="1"/>
  <c r="AF23" i="103"/>
  <c r="B166" i="103" s="1"/>
  <c r="AD23" i="103"/>
  <c r="B136" i="103" s="1"/>
  <c r="AA23" i="103"/>
  <c r="Z23" i="103" s="1"/>
  <c r="N23" i="103"/>
  <c r="AF22" i="103"/>
  <c r="B165" i="103" s="1"/>
  <c r="AD22" i="103"/>
  <c r="B135" i="103" s="1"/>
  <c r="AA22" i="103"/>
  <c r="Z22" i="103" s="1"/>
  <c r="AF21" i="103"/>
  <c r="B164" i="103" s="1"/>
  <c r="AD21" i="103"/>
  <c r="B134" i="103" s="1"/>
  <c r="AA21" i="103"/>
  <c r="N21" i="103"/>
  <c r="AF20" i="103"/>
  <c r="AD20" i="103"/>
  <c r="B133" i="103" s="1"/>
  <c r="AA20" i="103"/>
  <c r="N20" i="103"/>
  <c r="AF19" i="103"/>
  <c r="AD19" i="103"/>
  <c r="B132" i="103" s="1"/>
  <c r="AA19" i="103"/>
  <c r="N19" i="103"/>
  <c r="AF18" i="103"/>
  <c r="B161" i="103" s="1"/>
  <c r="AD18" i="103"/>
  <c r="B131" i="103" s="1"/>
  <c r="AA18" i="103"/>
  <c r="N18" i="103"/>
  <c r="AF17" i="103"/>
  <c r="B160" i="103" s="1"/>
  <c r="AD17" i="103"/>
  <c r="B130" i="103" s="1"/>
  <c r="AA17" i="103"/>
  <c r="N17" i="103"/>
  <c r="AF16" i="103"/>
  <c r="B159" i="103" s="1"/>
  <c r="AD16" i="103"/>
  <c r="B129" i="103" s="1"/>
  <c r="AA16" i="103"/>
  <c r="B16" i="103"/>
  <c r="AF15" i="103"/>
  <c r="B158" i="103" s="1"/>
  <c r="AD15" i="103"/>
  <c r="B128" i="103" s="1"/>
  <c r="AA15" i="103"/>
  <c r="B15" i="103"/>
  <c r="AF14" i="103"/>
  <c r="B157" i="103" s="1"/>
  <c r="AD14" i="103"/>
  <c r="B127" i="103" s="1"/>
  <c r="AA14" i="103"/>
  <c r="B14" i="103"/>
  <c r="AF13" i="103"/>
  <c r="B156" i="103" s="1"/>
  <c r="AD13" i="103"/>
  <c r="B126" i="103" s="1"/>
  <c r="AA13" i="103"/>
  <c r="AF12" i="103"/>
  <c r="AD12" i="103"/>
  <c r="B125" i="103" s="1"/>
  <c r="AA12" i="103"/>
  <c r="N12" i="103"/>
  <c r="B12" i="103"/>
  <c r="B13" i="103" s="1"/>
  <c r="AF11" i="103"/>
  <c r="B154" i="103" s="1"/>
  <c r="AD11" i="103"/>
  <c r="B124" i="103" s="1"/>
  <c r="AA11" i="103"/>
  <c r="B11" i="103"/>
  <c r="AA10" i="103"/>
  <c r="N10" i="103"/>
  <c r="AA9" i="103"/>
  <c r="B9" i="103"/>
  <c r="B10" i="103" s="1"/>
  <c r="AA8" i="103"/>
  <c r="N8" i="103"/>
  <c r="G8" i="103"/>
  <c r="D8" i="103"/>
  <c r="B8" i="103"/>
  <c r="AJ7" i="103"/>
  <c r="AK7" i="103" s="1"/>
  <c r="D7" i="103"/>
  <c r="B7" i="103"/>
  <c r="AA6" i="103"/>
  <c r="B6" i="103"/>
  <c r="AJ5" i="103"/>
  <c r="AK5" i="103" s="1"/>
  <c r="B5" i="103"/>
  <c r="N4" i="103"/>
  <c r="AJ3" i="103"/>
  <c r="AK3" i="103" s="1"/>
  <c r="AJ2" i="103"/>
  <c r="AK2" i="103" s="1"/>
  <c r="B2" i="103"/>
  <c r="M218" i="102"/>
  <c r="P218" i="102" s="1"/>
  <c r="B354" i="102" s="1"/>
  <c r="L164" i="102"/>
  <c r="N163" i="102"/>
  <c r="N11" i="102" s="1"/>
  <c r="L78" i="102"/>
  <c r="N77" i="102"/>
  <c r="N10" i="102" s="1"/>
  <c r="N71" i="102"/>
  <c r="N40" i="102"/>
  <c r="B364" i="102"/>
  <c r="B363" i="102"/>
  <c r="B362" i="102"/>
  <c r="B361" i="102"/>
  <c r="B360" i="102"/>
  <c r="B359" i="102"/>
  <c r="B358" i="102"/>
  <c r="B357" i="102"/>
  <c r="B338" i="102"/>
  <c r="B337" i="102"/>
  <c r="B335" i="102"/>
  <c r="B321" i="102"/>
  <c r="E282" i="102"/>
  <c r="E283" i="102" s="1"/>
  <c r="E284" i="102" s="1"/>
  <c r="E285" i="102" s="1"/>
  <c r="E286" i="102" s="1"/>
  <c r="E287" i="102" s="1"/>
  <c r="E288" i="102" s="1"/>
  <c r="E289" i="102" s="1"/>
  <c r="E290" i="102" s="1"/>
  <c r="E291" i="102" s="1"/>
  <c r="E292" i="102" s="1"/>
  <c r="E293" i="102" s="1"/>
  <c r="E294" i="102" s="1"/>
  <c r="E295" i="102" s="1"/>
  <c r="E296" i="102" s="1"/>
  <c r="E297" i="102" s="1"/>
  <c r="E298" i="102" s="1"/>
  <c r="E299" i="102" s="1"/>
  <c r="E300" i="102" s="1"/>
  <c r="E301" i="102" s="1"/>
  <c r="E302" i="102" s="1"/>
  <c r="E303" i="102" s="1"/>
  <c r="E304" i="102" s="1"/>
  <c r="E305" i="102" s="1"/>
  <c r="E306" i="102" s="1"/>
  <c r="E307" i="102" s="1"/>
  <c r="E308" i="102" s="1"/>
  <c r="E309" i="102" s="1"/>
  <c r="E310" i="102" s="1"/>
  <c r="E311" i="102" s="1"/>
  <c r="E312" i="102" s="1"/>
  <c r="E313" i="102" s="1"/>
  <c r="E314" i="102" s="1"/>
  <c r="E315" i="102" s="1"/>
  <c r="E316" i="102" s="1"/>
  <c r="E281" i="102"/>
  <c r="H238" i="102"/>
  <c r="H237" i="102"/>
  <c r="H236" i="102"/>
  <c r="F234" i="102"/>
  <c r="H234" i="102" s="1"/>
  <c r="B216" i="102"/>
  <c r="R215" i="102"/>
  <c r="Q215" i="102"/>
  <c r="P215" i="102"/>
  <c r="O215" i="102"/>
  <c r="H215" i="102"/>
  <c r="G215" i="102"/>
  <c r="B215" i="102"/>
  <c r="R214" i="102"/>
  <c r="Q214" i="102"/>
  <c r="O214" i="102"/>
  <c r="H214" i="102"/>
  <c r="G214" i="102"/>
  <c r="B214" i="102"/>
  <c r="R213" i="102"/>
  <c r="Q213" i="102"/>
  <c r="O213" i="102"/>
  <c r="P213" i="102" s="1"/>
  <c r="H213" i="102"/>
  <c r="G213" i="102"/>
  <c r="B213" i="102"/>
  <c r="R212" i="102"/>
  <c r="Q212" i="102"/>
  <c r="O212" i="102"/>
  <c r="P212" i="102" s="1"/>
  <c r="H212" i="102"/>
  <c r="G212" i="102"/>
  <c r="B212" i="102"/>
  <c r="R211" i="102"/>
  <c r="Q211" i="102"/>
  <c r="O211" i="102"/>
  <c r="P211" i="102" s="1"/>
  <c r="H211" i="102"/>
  <c r="G211" i="102"/>
  <c r="B211" i="102"/>
  <c r="R210" i="102"/>
  <c r="Q210" i="102"/>
  <c r="P210" i="102"/>
  <c r="O210" i="102"/>
  <c r="H210" i="102"/>
  <c r="G210" i="102"/>
  <c r="B210" i="102"/>
  <c r="R209" i="102"/>
  <c r="Q209" i="102"/>
  <c r="P209" i="102"/>
  <c r="O209" i="102"/>
  <c r="H209" i="102"/>
  <c r="G209" i="102"/>
  <c r="B209" i="102"/>
  <c r="R208" i="102"/>
  <c r="Q208" i="102"/>
  <c r="P208" i="102"/>
  <c r="O208" i="102"/>
  <c r="H208" i="102"/>
  <c r="G208" i="102"/>
  <c r="B208" i="102"/>
  <c r="R207" i="102"/>
  <c r="Q207" i="102"/>
  <c r="O207" i="102"/>
  <c r="H207" i="102"/>
  <c r="G207" i="102"/>
  <c r="B207" i="102"/>
  <c r="R206" i="102"/>
  <c r="Q206" i="102"/>
  <c r="O206" i="102"/>
  <c r="P206" i="102" s="1"/>
  <c r="H206" i="102"/>
  <c r="G206" i="102"/>
  <c r="B206" i="102"/>
  <c r="B205" i="102"/>
  <c r="B204" i="102"/>
  <c r="R203" i="102"/>
  <c r="O203" i="102"/>
  <c r="G203" i="102"/>
  <c r="B203" i="102"/>
  <c r="R202" i="102"/>
  <c r="O202" i="102"/>
  <c r="P202" i="102" s="1"/>
  <c r="AA120" i="102" s="1"/>
  <c r="G202" i="102"/>
  <c r="Z120" i="102" s="1"/>
  <c r="B202" i="102"/>
  <c r="R201" i="102"/>
  <c r="P201" i="102" s="1"/>
  <c r="AA119" i="102" s="1"/>
  <c r="O201" i="102"/>
  <c r="G201" i="102"/>
  <c r="B201" i="102"/>
  <c r="R200" i="102"/>
  <c r="P200" i="102"/>
  <c r="O200" i="102"/>
  <c r="G200" i="102"/>
  <c r="B200" i="102"/>
  <c r="R199" i="102"/>
  <c r="O199" i="102"/>
  <c r="P199" i="102" s="1"/>
  <c r="AA117" i="102" s="1"/>
  <c r="G199" i="102"/>
  <c r="Z117" i="102" s="1"/>
  <c r="R198" i="102"/>
  <c r="P198" i="102"/>
  <c r="AA116" i="102" s="1"/>
  <c r="O198" i="102"/>
  <c r="G198" i="102"/>
  <c r="R197" i="102"/>
  <c r="P197" i="102" s="1"/>
  <c r="AA115" i="102" s="1"/>
  <c r="O197" i="102"/>
  <c r="G197" i="102"/>
  <c r="R196" i="102"/>
  <c r="P196" i="102" s="1"/>
  <c r="AA114" i="102" s="1"/>
  <c r="O196" i="102"/>
  <c r="G196" i="102"/>
  <c r="Z114" i="102" s="1"/>
  <c r="B196" i="102"/>
  <c r="R195" i="102"/>
  <c r="P195" i="102" s="1"/>
  <c r="AA113" i="102" s="1"/>
  <c r="O195" i="102"/>
  <c r="G195" i="102"/>
  <c r="B195" i="102"/>
  <c r="R194" i="102"/>
  <c r="O194" i="102"/>
  <c r="G194" i="102"/>
  <c r="B194" i="102"/>
  <c r="B193" i="102"/>
  <c r="B192" i="102"/>
  <c r="O191" i="102"/>
  <c r="B191" i="102"/>
  <c r="O190" i="102"/>
  <c r="B190" i="102"/>
  <c r="O189" i="102"/>
  <c r="B189" i="102"/>
  <c r="O188" i="102"/>
  <c r="B188" i="102"/>
  <c r="O187" i="102"/>
  <c r="B187" i="102"/>
  <c r="B186" i="102"/>
  <c r="O185" i="102"/>
  <c r="P185" i="102" s="1"/>
  <c r="R187" i="102" s="1"/>
  <c r="I185" i="102"/>
  <c r="M191" i="102" s="1"/>
  <c r="B185" i="102"/>
  <c r="P184" i="102"/>
  <c r="L193" i="102" s="1"/>
  <c r="O184" i="102"/>
  <c r="I184" i="102"/>
  <c r="M190" i="102" s="1"/>
  <c r="B184" i="102"/>
  <c r="B183" i="102"/>
  <c r="B182" i="102"/>
  <c r="R181" i="102"/>
  <c r="P181" i="102"/>
  <c r="O181" i="102"/>
  <c r="H181" i="102"/>
  <c r="B181" i="102"/>
  <c r="R180" i="102"/>
  <c r="O180" i="102"/>
  <c r="P180" i="102" s="1"/>
  <c r="AA85" i="102" s="1"/>
  <c r="H180" i="102"/>
  <c r="B180" i="102"/>
  <c r="R179" i="102"/>
  <c r="O179" i="102"/>
  <c r="P179" i="102" s="1"/>
  <c r="H179" i="102"/>
  <c r="R178" i="102"/>
  <c r="O178" i="102"/>
  <c r="P178" i="102" s="1"/>
  <c r="AA83" i="102" s="1"/>
  <c r="H178" i="102"/>
  <c r="R177" i="102"/>
  <c r="P177" i="102" s="1"/>
  <c r="AA82" i="102" s="1"/>
  <c r="O177" i="102"/>
  <c r="H177" i="102"/>
  <c r="B174" i="102"/>
  <c r="B168" i="102"/>
  <c r="I164" i="102"/>
  <c r="H164" i="102"/>
  <c r="G164" i="102"/>
  <c r="F164" i="102"/>
  <c r="B164" i="102"/>
  <c r="B162" i="102"/>
  <c r="O161" i="102"/>
  <c r="P161" i="102" s="1"/>
  <c r="P160" i="102"/>
  <c r="AE155" i="102" s="1"/>
  <c r="O160" i="102"/>
  <c r="R157" i="102"/>
  <c r="Q157" i="102"/>
  <c r="O157" i="102"/>
  <c r="P157" i="102" s="1"/>
  <c r="H157" i="102"/>
  <c r="G157" i="102"/>
  <c r="R156" i="102"/>
  <c r="Q156" i="102"/>
  <c r="P156" i="102"/>
  <c r="O156" i="102"/>
  <c r="H156" i="102"/>
  <c r="G156" i="102"/>
  <c r="R155" i="102"/>
  <c r="Q155" i="102"/>
  <c r="O155" i="102"/>
  <c r="P155" i="102" s="1"/>
  <c r="H155" i="102"/>
  <c r="G155" i="102"/>
  <c r="R154" i="102"/>
  <c r="Q154" i="102"/>
  <c r="O154" i="102"/>
  <c r="H154" i="102"/>
  <c r="G154" i="102"/>
  <c r="AF153" i="102"/>
  <c r="B236" i="102" s="1"/>
  <c r="AF153" i="102" a="1"/>
  <c r="AE153" i="102"/>
  <c r="R153" i="102"/>
  <c r="Q153" i="102"/>
  <c r="O153" i="102"/>
  <c r="P153" i="102" s="1"/>
  <c r="H153" i="102"/>
  <c r="G153" i="102"/>
  <c r="AF152" i="102" a="1"/>
  <c r="AF152" i="102" s="1"/>
  <c r="B235" i="102" s="1"/>
  <c r="AE152" i="102"/>
  <c r="R152" i="102"/>
  <c r="Q152" i="102"/>
  <c r="O152" i="102"/>
  <c r="P152" i="102" s="1"/>
  <c r="H152" i="102"/>
  <c r="G152" i="102"/>
  <c r="B152" i="102"/>
  <c r="AF151" i="102" a="1"/>
  <c r="AF151" i="102" s="1"/>
  <c r="B234" i="102" s="1"/>
  <c r="AE151" i="102"/>
  <c r="R151" i="102"/>
  <c r="Q151" i="102"/>
  <c r="P151" i="102"/>
  <c r="O151" i="102"/>
  <c r="H151" i="102"/>
  <c r="G151" i="102"/>
  <c r="AF150" i="102" a="1"/>
  <c r="AF150" i="102" s="1"/>
  <c r="B233" i="102" s="1"/>
  <c r="AE150" i="102"/>
  <c r="R150" i="102"/>
  <c r="Q150" i="102"/>
  <c r="O150" i="102"/>
  <c r="P150" i="102" s="1"/>
  <c r="H150" i="102"/>
  <c r="G150" i="102"/>
  <c r="AF149" i="102" a="1"/>
  <c r="AF149" i="102" s="1"/>
  <c r="B232" i="102" s="1"/>
  <c r="AE149" i="102"/>
  <c r="R149" i="102"/>
  <c r="Q149" i="102"/>
  <c r="O149" i="102"/>
  <c r="P149" i="102" s="1"/>
  <c r="H149" i="102"/>
  <c r="G149" i="102"/>
  <c r="B149" i="102"/>
  <c r="AF148" i="102" a="1"/>
  <c r="AF148" i="102" s="1"/>
  <c r="B231" i="102" s="1"/>
  <c r="AE148" i="102"/>
  <c r="R148" i="102"/>
  <c r="Q148" i="102"/>
  <c r="O148" i="102"/>
  <c r="P148" i="102" s="1"/>
  <c r="H148" i="102"/>
  <c r="G148" i="102"/>
  <c r="AF147" i="102" a="1"/>
  <c r="AF147" i="102" s="1"/>
  <c r="B230" i="102" s="1"/>
  <c r="AE147" i="102"/>
  <c r="R147" i="102"/>
  <c r="Q147" i="102"/>
  <c r="O147" i="102"/>
  <c r="P147" i="102" s="1"/>
  <c r="H147" i="102"/>
  <c r="G147" i="102"/>
  <c r="AF146" i="102" a="1"/>
  <c r="AF146" i="102" s="1"/>
  <c r="B229" i="102" s="1"/>
  <c r="AE146" i="102"/>
  <c r="R146" i="102"/>
  <c r="Q146" i="102"/>
  <c r="O146" i="102"/>
  <c r="P146" i="102" s="1"/>
  <c r="H146" i="102"/>
  <c r="G146" i="102"/>
  <c r="AF145" i="102" a="1"/>
  <c r="AF145" i="102" s="1"/>
  <c r="B228" i="102" s="1"/>
  <c r="AE145" i="102"/>
  <c r="R145" i="102"/>
  <c r="Q145" i="102"/>
  <c r="O145" i="102"/>
  <c r="P145" i="102" s="1"/>
  <c r="H145" i="102"/>
  <c r="G145" i="102"/>
  <c r="AF144" i="102" a="1"/>
  <c r="AF144" i="102" s="1"/>
  <c r="B227" i="102" s="1"/>
  <c r="AE144" i="102"/>
  <c r="R144" i="102"/>
  <c r="Q144" i="102"/>
  <c r="O144" i="102"/>
  <c r="P144" i="102" s="1"/>
  <c r="H144" i="102"/>
  <c r="AF143" i="102" a="1"/>
  <c r="AF143" i="102" s="1"/>
  <c r="B226" i="102" s="1"/>
  <c r="AE143" i="102"/>
  <c r="R143" i="102"/>
  <c r="Q143" i="102"/>
  <c r="O143" i="102"/>
  <c r="P143" i="102" s="1"/>
  <c r="H143" i="102"/>
  <c r="G143" i="102"/>
  <c r="AF142" i="102" a="1"/>
  <c r="AF142" i="102" s="1"/>
  <c r="B225" i="102" s="1"/>
  <c r="AE142" i="102"/>
  <c r="R142" i="102"/>
  <c r="Q142" i="102"/>
  <c r="O142" i="102"/>
  <c r="P142" i="102" s="1"/>
  <c r="H142" i="102"/>
  <c r="AF141" i="102" a="1"/>
  <c r="AF141" i="102" s="1"/>
  <c r="B224" i="102" s="1"/>
  <c r="AE141" i="102"/>
  <c r="R141" i="102"/>
  <c r="Q141" i="102"/>
  <c r="O141" i="102"/>
  <c r="P141" i="102" s="1"/>
  <c r="H141" i="102"/>
  <c r="AF140" i="102" a="1"/>
  <c r="AF140" i="102" s="1"/>
  <c r="B223" i="102" s="1"/>
  <c r="AE140" i="102"/>
  <c r="R140" i="102"/>
  <c r="Q140" i="102"/>
  <c r="O140" i="102"/>
  <c r="H140" i="102"/>
  <c r="AF139" i="102" a="1"/>
  <c r="AF139" i="102" s="1"/>
  <c r="B222" i="102" s="1"/>
  <c r="AE139" i="102"/>
  <c r="R139" i="102"/>
  <c r="Q139" i="102"/>
  <c r="O139" i="102"/>
  <c r="H139" i="102"/>
  <c r="AF138" i="102" a="1"/>
  <c r="AF138" i="102" s="1"/>
  <c r="B221" i="102" s="1"/>
  <c r="AE138" i="102"/>
  <c r="R138" i="102"/>
  <c r="Q138" i="102"/>
  <c r="O138" i="102"/>
  <c r="H138" i="102"/>
  <c r="AF137" i="102" a="1"/>
  <c r="AF137" i="102" s="1"/>
  <c r="B220" i="102" s="1"/>
  <c r="AE137" i="102"/>
  <c r="H137" i="102"/>
  <c r="R135" i="102"/>
  <c r="Q135" i="102"/>
  <c r="O135" i="102"/>
  <c r="P135" i="102" s="1"/>
  <c r="B98" i="102" s="1"/>
  <c r="R134" i="102"/>
  <c r="P134" i="102" s="1"/>
  <c r="B97" i="102" s="1"/>
  <c r="Q134" i="102"/>
  <c r="O134" i="102"/>
  <c r="R133" i="102"/>
  <c r="Q133" i="102"/>
  <c r="O133" i="102"/>
  <c r="P133" i="102" s="1"/>
  <c r="B96" i="102" s="1"/>
  <c r="R132" i="102"/>
  <c r="Q132" i="102"/>
  <c r="O132" i="102"/>
  <c r="P132" i="102" s="1"/>
  <c r="B95" i="102" s="1"/>
  <c r="P129" i="102"/>
  <c r="F129" i="102" a="1"/>
  <c r="F129" i="102" s="1"/>
  <c r="B93" i="102" s="1"/>
  <c r="E129" i="102" a="1"/>
  <c r="E129" i="102" s="1"/>
  <c r="P128" i="102"/>
  <c r="B92" i="102" s="1"/>
  <c r="F128" i="102" a="1"/>
  <c r="F128" i="102" s="1"/>
  <c r="B91" i="102" s="1"/>
  <c r="E128" i="102" a="1"/>
  <c r="E128" i="102" s="1"/>
  <c r="P127" i="102"/>
  <c r="B90" i="102" s="1"/>
  <c r="F127" i="102" a="1"/>
  <c r="F127" i="102" s="1"/>
  <c r="B89" i="102" s="1"/>
  <c r="E127" i="102" a="1"/>
  <c r="E127" i="102" s="1"/>
  <c r="R126" i="102"/>
  <c r="P126" i="102"/>
  <c r="R129" i="102" s="1"/>
  <c r="F126" i="102"/>
  <c r="B87" i="102" s="1"/>
  <c r="E126" i="102"/>
  <c r="P125" i="102"/>
  <c r="E125" i="102"/>
  <c r="P124" i="102"/>
  <c r="B84" i="102" s="1"/>
  <c r="Z121" i="102"/>
  <c r="P120" i="102"/>
  <c r="O120" i="102"/>
  <c r="H120" i="102"/>
  <c r="G120" i="102"/>
  <c r="Z119" i="102"/>
  <c r="P119" i="102"/>
  <c r="O119" i="102"/>
  <c r="H119" i="102"/>
  <c r="G119" i="102"/>
  <c r="AA118" i="102"/>
  <c r="Z118" i="102"/>
  <c r="O118" i="102"/>
  <c r="P118" i="102" s="1"/>
  <c r="H118" i="102"/>
  <c r="G118" i="102"/>
  <c r="O117" i="102"/>
  <c r="P117" i="102" s="1"/>
  <c r="H117" i="102"/>
  <c r="G117" i="102"/>
  <c r="Z116" i="102"/>
  <c r="P116" i="102"/>
  <c r="O116" i="102"/>
  <c r="H116" i="102"/>
  <c r="G116" i="102"/>
  <c r="Z115" i="102"/>
  <c r="O115" i="102"/>
  <c r="P115" i="102" s="1"/>
  <c r="H115" i="102"/>
  <c r="G115" i="102"/>
  <c r="O114" i="102"/>
  <c r="P114" i="102" s="1"/>
  <c r="H114" i="102"/>
  <c r="G114" i="102"/>
  <c r="Z113" i="102"/>
  <c r="O113" i="102"/>
  <c r="P113" i="102" s="1"/>
  <c r="H113" i="102"/>
  <c r="G113" i="102"/>
  <c r="Z112" i="102"/>
  <c r="P112" i="102"/>
  <c r="O112" i="102"/>
  <c r="H112" i="102"/>
  <c r="G112" i="102"/>
  <c r="O111" i="102"/>
  <c r="P111" i="102" s="1"/>
  <c r="H111" i="102"/>
  <c r="G111" i="102"/>
  <c r="O110" i="102"/>
  <c r="P110" i="102" s="1"/>
  <c r="H110" i="102"/>
  <c r="G110" i="102"/>
  <c r="O109" i="102"/>
  <c r="P109" i="102" s="1"/>
  <c r="H109" i="102"/>
  <c r="G109" i="102"/>
  <c r="O108" i="102"/>
  <c r="P108" i="102" s="1"/>
  <c r="H108" i="102"/>
  <c r="G108" i="102"/>
  <c r="O107" i="102"/>
  <c r="P107" i="102" s="1"/>
  <c r="H107" i="102"/>
  <c r="G107" i="102"/>
  <c r="P106" i="102"/>
  <c r="O106" i="102"/>
  <c r="H106" i="102"/>
  <c r="G106" i="102"/>
  <c r="O105" i="102"/>
  <c r="P105" i="102" s="1"/>
  <c r="H105" i="102"/>
  <c r="G105" i="102"/>
  <c r="O104" i="102"/>
  <c r="P104" i="102" s="1"/>
  <c r="H104" i="102"/>
  <c r="G104" i="102"/>
  <c r="P103" i="102"/>
  <c r="O103" i="102"/>
  <c r="H103" i="102"/>
  <c r="G103" i="102"/>
  <c r="O102" i="102"/>
  <c r="P102" i="102" s="1"/>
  <c r="H102" i="102"/>
  <c r="G102" i="102"/>
  <c r="B102" i="102"/>
  <c r="O101" i="102"/>
  <c r="P101" i="102" s="1"/>
  <c r="H101" i="102"/>
  <c r="G101" i="102"/>
  <c r="B100" i="102"/>
  <c r="B99" i="102"/>
  <c r="R98" i="102"/>
  <c r="Q98" i="102"/>
  <c r="O98" i="102"/>
  <c r="H98" i="102"/>
  <c r="R97" i="102"/>
  <c r="P97" i="102" s="1"/>
  <c r="Q97" i="102"/>
  <c r="O97" i="102"/>
  <c r="H97" i="102"/>
  <c r="R96" i="102"/>
  <c r="Q96" i="102"/>
  <c r="O96" i="102"/>
  <c r="H96" i="102"/>
  <c r="R95" i="102"/>
  <c r="P95" i="102" s="1"/>
  <c r="Q95" i="102"/>
  <c r="O95" i="102"/>
  <c r="H95" i="102"/>
  <c r="R94" i="102"/>
  <c r="Q94" i="102"/>
  <c r="O94" i="102"/>
  <c r="P94" i="102" s="1"/>
  <c r="H94" i="102"/>
  <c r="B94" i="102"/>
  <c r="R93" i="102"/>
  <c r="Q93" i="102"/>
  <c r="O93" i="102"/>
  <c r="P93" i="102" s="1"/>
  <c r="H93" i="102"/>
  <c r="R92" i="102"/>
  <c r="Q92" i="102"/>
  <c r="O92" i="102"/>
  <c r="H92" i="102"/>
  <c r="R91" i="102"/>
  <c r="Q91" i="102"/>
  <c r="P91" i="102"/>
  <c r="O91" i="102"/>
  <c r="H91" i="102"/>
  <c r="R90" i="102"/>
  <c r="Q90" i="102"/>
  <c r="O90" i="102"/>
  <c r="H90" i="102"/>
  <c r="R89" i="102"/>
  <c r="P89" i="102" s="1"/>
  <c r="Q89" i="102"/>
  <c r="O89" i="102"/>
  <c r="H89" i="102"/>
  <c r="R88" i="102"/>
  <c r="Q88" i="102"/>
  <c r="O88" i="102"/>
  <c r="H88" i="102"/>
  <c r="R87" i="102"/>
  <c r="Q87" i="102"/>
  <c r="O87" i="102"/>
  <c r="H87" i="102"/>
  <c r="AA86" i="102"/>
  <c r="R86" i="102"/>
  <c r="Q86" i="102"/>
  <c r="O86" i="102"/>
  <c r="P86" i="102" s="1"/>
  <c r="H86" i="102"/>
  <c r="R85" i="102"/>
  <c r="Q85" i="102"/>
  <c r="P85" i="102"/>
  <c r="O85" i="102"/>
  <c r="H85" i="102"/>
  <c r="B85" i="102"/>
  <c r="AA84" i="102"/>
  <c r="R84" i="102"/>
  <c r="Q84" i="102"/>
  <c r="O84" i="102"/>
  <c r="H84" i="102"/>
  <c r="R83" i="102"/>
  <c r="Q83" i="102"/>
  <c r="O83" i="102"/>
  <c r="H83" i="102"/>
  <c r="B83" i="102"/>
  <c r="R82" i="102"/>
  <c r="Q82" i="102"/>
  <c r="O82" i="102"/>
  <c r="P82" i="102" s="1"/>
  <c r="H82" i="102"/>
  <c r="B82" i="102"/>
  <c r="R81" i="102"/>
  <c r="Q81" i="102"/>
  <c r="O81" i="102"/>
  <c r="H81" i="102"/>
  <c r="B81" i="102"/>
  <c r="R80" i="102"/>
  <c r="Q80" i="102"/>
  <c r="O80" i="102"/>
  <c r="H80" i="102"/>
  <c r="B80" i="102"/>
  <c r="R79" i="102"/>
  <c r="Q79" i="102"/>
  <c r="O79" i="102"/>
  <c r="H79" i="102"/>
  <c r="B79" i="102"/>
  <c r="B78" i="102"/>
  <c r="B77" i="102"/>
  <c r="B76" i="102"/>
  <c r="B75" i="102"/>
  <c r="O74" i="102"/>
  <c r="B74" i="102"/>
  <c r="AF73" i="102"/>
  <c r="B343" i="102" s="1"/>
  <c r="AE73" i="102" a="1"/>
  <c r="AE73" i="102" s="1"/>
  <c r="B313" i="102" s="1"/>
  <c r="AD73" i="102" a="1"/>
  <c r="AD73" i="102" s="1"/>
  <c r="B283" i="102" s="1"/>
  <c r="O73" i="102"/>
  <c r="P73" i="102" s="1"/>
  <c r="B73" i="102"/>
  <c r="AF72" i="102"/>
  <c r="B342" i="102" s="1"/>
  <c r="AE72" i="102" a="1"/>
  <c r="AE72" i="102" s="1"/>
  <c r="B312" i="102" s="1"/>
  <c r="AD72" i="102" a="1"/>
  <c r="AD72" i="102" s="1"/>
  <c r="B282" i="102" s="1"/>
  <c r="P72" i="102"/>
  <c r="B52" i="102" s="1"/>
  <c r="O72" i="102"/>
  <c r="B72" i="102"/>
  <c r="AF71" i="102"/>
  <c r="B341" i="102" s="1"/>
  <c r="AE71" i="102" a="1"/>
  <c r="AE71" i="102" s="1"/>
  <c r="B311" i="102" s="1"/>
  <c r="AD71" i="102" a="1"/>
  <c r="AD71" i="102" s="1"/>
  <c r="B281" i="102" s="1"/>
  <c r="N12" i="102"/>
  <c r="B71" i="102"/>
  <c r="AF70" i="102"/>
  <c r="B340" i="102" s="1"/>
  <c r="AE70" i="102" a="1"/>
  <c r="AE70" i="102" s="1"/>
  <c r="B310" i="102" s="1"/>
  <c r="AD70" i="102"/>
  <c r="B280" i="102" s="1"/>
  <c r="AD70" i="102" a="1"/>
  <c r="B70" i="102"/>
  <c r="AF69" i="102"/>
  <c r="B339" i="102" s="1"/>
  <c r="AE69" i="102" a="1"/>
  <c r="AE69" i="102" s="1"/>
  <c r="B309" i="102" s="1"/>
  <c r="AD69" i="102"/>
  <c r="B279" i="102" s="1"/>
  <c r="AD69" i="102" a="1"/>
  <c r="V69" i="102"/>
  <c r="O69" i="102"/>
  <c r="P69" i="102" s="1"/>
  <c r="B69" i="102"/>
  <c r="AF68" i="102"/>
  <c r="AE68" i="102" a="1"/>
  <c r="AE68" i="102" s="1"/>
  <c r="B308" i="102" s="1"/>
  <c r="AD68" i="102" a="1"/>
  <c r="AD68" i="102" s="1"/>
  <c r="B278" i="102" s="1"/>
  <c r="V68" i="102"/>
  <c r="P68" i="102"/>
  <c r="B48" i="102" s="1"/>
  <c r="O68" i="102"/>
  <c r="B68" i="102"/>
  <c r="AF67" i="102"/>
  <c r="AE67" i="102" a="1"/>
  <c r="AE67" i="102" s="1"/>
  <c r="B307" i="102" s="1"/>
  <c r="AD67" i="102" a="1"/>
  <c r="AD67" i="102" s="1"/>
  <c r="B277" i="102" s="1"/>
  <c r="V67" i="102"/>
  <c r="O67" i="102"/>
  <c r="P67" i="102" s="1"/>
  <c r="B67" i="102"/>
  <c r="AF66" i="102"/>
  <c r="B336" i="102" s="1"/>
  <c r="AE66" i="102" a="1"/>
  <c r="AE66" i="102" s="1"/>
  <c r="B306" i="102" s="1"/>
  <c r="AD66" i="102" a="1"/>
  <c r="AD66" i="102" s="1"/>
  <c r="B276" i="102" s="1"/>
  <c r="V66" i="102"/>
  <c r="P66" i="102"/>
  <c r="O66" i="102"/>
  <c r="B66" i="102"/>
  <c r="AF65" i="102"/>
  <c r="AE65" i="102" a="1"/>
  <c r="AE65" i="102" s="1"/>
  <c r="B305" i="102" s="1"/>
  <c r="AD65" i="102" a="1"/>
  <c r="AD65" i="102" s="1"/>
  <c r="B275" i="102" s="1"/>
  <c r="V65" i="102"/>
  <c r="O65" i="102"/>
  <c r="P65" i="102" s="1"/>
  <c r="B65" i="102"/>
  <c r="AF64" i="102"/>
  <c r="B334" i="102" s="1"/>
  <c r="AE64" i="102" a="1"/>
  <c r="AE64" i="102" s="1"/>
  <c r="B304" i="102" s="1"/>
  <c r="AD64" i="102" a="1"/>
  <c r="AD64" i="102" s="1"/>
  <c r="B274" i="102" s="1"/>
  <c r="V64" i="102"/>
  <c r="P64" i="102"/>
  <c r="AJ22" i="102" s="1"/>
  <c r="AK22" i="102" s="1"/>
  <c r="O64" i="102"/>
  <c r="B64" i="102"/>
  <c r="AF63" i="102"/>
  <c r="B333" i="102" s="1"/>
  <c r="AE63" i="102" a="1"/>
  <c r="AE63" i="102" s="1"/>
  <c r="B303" i="102" s="1"/>
  <c r="AD63" i="102" a="1"/>
  <c r="AD63" i="102" s="1"/>
  <c r="B273" i="102" s="1"/>
  <c r="V63" i="102"/>
  <c r="O63" i="102"/>
  <c r="P63" i="102" s="1"/>
  <c r="B63" i="102"/>
  <c r="AF62" i="102"/>
  <c r="B332" i="102" s="1"/>
  <c r="AE62" i="102" a="1"/>
  <c r="AE62" i="102" s="1"/>
  <c r="B302" i="102" s="1"/>
  <c r="AD62" i="102"/>
  <c r="B272" i="102" s="1"/>
  <c r="AD62" i="102" a="1"/>
  <c r="V62" i="102"/>
  <c r="O62" i="102"/>
  <c r="P62" i="102" s="1"/>
  <c r="AJ3" i="102" s="1"/>
  <c r="AK3" i="102" s="1"/>
  <c r="B62" i="102"/>
  <c r="AF61" i="102"/>
  <c r="B331" i="102" s="1"/>
  <c r="AE61" i="102" a="1"/>
  <c r="AE61" i="102" s="1"/>
  <c r="B301" i="102" s="1"/>
  <c r="AD61" i="102"/>
  <c r="B271" i="102" s="1"/>
  <c r="AD61" i="102" a="1"/>
  <c r="B61" i="102"/>
  <c r="AF60" i="102"/>
  <c r="B330" i="102" s="1"/>
  <c r="AE60" i="102" a="1"/>
  <c r="AE60" i="102" s="1"/>
  <c r="B300" i="102" s="1"/>
  <c r="AD60" i="102" a="1"/>
  <c r="AD60" i="102" s="1"/>
  <c r="B270" i="102" s="1"/>
  <c r="B60" i="102"/>
  <c r="AF59" i="102"/>
  <c r="B329" i="102" s="1"/>
  <c r="AE59" i="102" a="1"/>
  <c r="AE59" i="102" s="1"/>
  <c r="B299" i="102" s="1"/>
  <c r="AD59" i="102"/>
  <c r="B269" i="102" s="1"/>
  <c r="AD59" i="102" a="1"/>
  <c r="V59" i="102"/>
  <c r="P59" i="102"/>
  <c r="B41" i="102" s="1"/>
  <c r="O59" i="102"/>
  <c r="AF58" i="102"/>
  <c r="B328" i="102" s="1"/>
  <c r="AE58" i="102" a="1"/>
  <c r="AE58" i="102" s="1"/>
  <c r="B298" i="102" s="1"/>
  <c r="AD58" i="102"/>
  <c r="B268" i="102" s="1"/>
  <c r="AD58" i="102" a="1"/>
  <c r="V58" i="102"/>
  <c r="O58" i="102"/>
  <c r="P58" i="102" s="1"/>
  <c r="AF57" i="102"/>
  <c r="B327" i="102" s="1"/>
  <c r="AE57" i="102" a="1"/>
  <c r="AE57" i="102" s="1"/>
  <c r="B297" i="102" s="1"/>
  <c r="AD57" i="102" a="1"/>
  <c r="AD57" i="102" s="1"/>
  <c r="B267" i="102" s="1"/>
  <c r="V57" i="102"/>
  <c r="P57" i="102"/>
  <c r="AJ48" i="102" s="1"/>
  <c r="AK48" i="102" s="1"/>
  <c r="O57" i="102"/>
  <c r="AF56" i="102"/>
  <c r="B326" i="102" s="1"/>
  <c r="AE56" i="102" a="1"/>
  <c r="AE56" i="102" s="1"/>
  <c r="B296" i="102" s="1"/>
  <c r="AD56" i="102" a="1"/>
  <c r="AD56" i="102" s="1"/>
  <c r="B266" i="102" s="1"/>
  <c r="V56" i="102"/>
  <c r="O56" i="102"/>
  <c r="P56" i="102" s="1"/>
  <c r="AF55" i="102"/>
  <c r="B325" i="102" s="1"/>
  <c r="AE55" i="102" a="1"/>
  <c r="AE55" i="102" s="1"/>
  <c r="B295" i="102" s="1"/>
  <c r="AD55" i="102" a="1"/>
  <c r="AD55" i="102" s="1"/>
  <c r="B265" i="102" s="1"/>
  <c r="V55" i="102"/>
  <c r="O55" i="102"/>
  <c r="P55" i="102" s="1"/>
  <c r="B37" i="102" s="1"/>
  <c r="AF54" i="102"/>
  <c r="B324" i="102" s="1"/>
  <c r="AE54" i="102" a="1"/>
  <c r="AE54" i="102" s="1"/>
  <c r="B294" i="102" s="1"/>
  <c r="AD54" i="102" a="1"/>
  <c r="AD54" i="102" s="1"/>
  <c r="B264" i="102" s="1"/>
  <c r="V54" i="102"/>
  <c r="P54" i="102"/>
  <c r="B36" i="102" s="1"/>
  <c r="O54" i="102"/>
  <c r="AF53" i="102"/>
  <c r="B323" i="102" s="1"/>
  <c r="AE53" i="102" a="1"/>
  <c r="AE53" i="102" s="1"/>
  <c r="B293" i="102" s="1"/>
  <c r="AD53" i="102"/>
  <c r="B263" i="102" s="1"/>
  <c r="AD53" i="102" a="1"/>
  <c r="V53" i="102"/>
  <c r="O53" i="102"/>
  <c r="P53" i="102" s="1"/>
  <c r="AJ8" i="102" s="1"/>
  <c r="AK8" i="102" s="1"/>
  <c r="AF52" i="102"/>
  <c r="B322" i="102" s="1"/>
  <c r="AE52" i="102" a="1"/>
  <c r="AE52" i="102" s="1"/>
  <c r="B292" i="102" s="1"/>
  <c r="AD52" i="102" a="1"/>
  <c r="AD52" i="102" s="1"/>
  <c r="B262" i="102" s="1"/>
  <c r="V52" i="102"/>
  <c r="O52" i="102"/>
  <c r="P52" i="102" s="1"/>
  <c r="AF51" i="102"/>
  <c r="AE51" i="102" a="1"/>
  <c r="AE51" i="102" s="1"/>
  <c r="B291" i="102" s="1"/>
  <c r="AD51" i="102"/>
  <c r="B261" i="102" s="1"/>
  <c r="AD51" i="102" a="1"/>
  <c r="AF50" i="102"/>
  <c r="B320" i="102" s="1"/>
  <c r="AE50" i="102" a="1"/>
  <c r="AE50" i="102" s="1"/>
  <c r="B290" i="102" s="1"/>
  <c r="AD50" i="102" a="1"/>
  <c r="AD50" i="102" s="1"/>
  <c r="B260" i="102" s="1"/>
  <c r="AJ49" i="102"/>
  <c r="AK49" i="102" s="1"/>
  <c r="AF49" i="102"/>
  <c r="B319" i="102" s="1"/>
  <c r="AE49" i="102" a="1"/>
  <c r="AE49" i="102" s="1"/>
  <c r="B289" i="102" s="1"/>
  <c r="AD49" i="102" a="1"/>
  <c r="AD49" i="102" s="1"/>
  <c r="B259" i="102" s="1"/>
  <c r="V49" i="102"/>
  <c r="P49" i="102"/>
  <c r="B33" i="102" s="1"/>
  <c r="O49" i="102"/>
  <c r="AF48" i="102"/>
  <c r="B318" i="102" s="1"/>
  <c r="AE48" i="102" a="1"/>
  <c r="AE48" i="102" s="1"/>
  <c r="B288" i="102" s="1"/>
  <c r="AD48" i="102"/>
  <c r="B258" i="102" s="1"/>
  <c r="AD48" i="102" a="1"/>
  <c r="V48" i="102"/>
  <c r="O48" i="102"/>
  <c r="P48" i="102" s="1"/>
  <c r="AF47" i="102"/>
  <c r="B317" i="102" s="1"/>
  <c r="AE47" i="102" a="1"/>
  <c r="AE47" i="102" s="1"/>
  <c r="B287" i="102" s="1"/>
  <c r="AD47" i="102" a="1"/>
  <c r="AD47" i="102" s="1"/>
  <c r="B257" i="102" s="1"/>
  <c r="V47" i="102"/>
  <c r="O47" i="102"/>
  <c r="P47" i="102" s="1"/>
  <c r="AJ35" i="102" s="1"/>
  <c r="AK35" i="102" s="1"/>
  <c r="V46" i="102"/>
  <c r="O46" i="102"/>
  <c r="P46" i="102" s="1"/>
  <c r="B30" i="102" s="1"/>
  <c r="V45" i="102"/>
  <c r="P45" i="102"/>
  <c r="B29" i="102" s="1"/>
  <c r="O45" i="102"/>
  <c r="V44" i="102"/>
  <c r="O44" i="102"/>
  <c r="P44" i="102" s="1"/>
  <c r="V43" i="102"/>
  <c r="O43" i="102"/>
  <c r="P43" i="102" s="1"/>
  <c r="V42" i="102"/>
  <c r="O42" i="102"/>
  <c r="P42" i="102" s="1"/>
  <c r="AJ2" i="102" s="1"/>
  <c r="AK2" i="102" s="1"/>
  <c r="AA41" i="102"/>
  <c r="Z41" i="102" s="1"/>
  <c r="AA40" i="102"/>
  <c r="Z40" i="102" s="1"/>
  <c r="AA39" i="102"/>
  <c r="Z39" i="102" s="1"/>
  <c r="B39" i="102"/>
  <c r="AA38" i="102"/>
  <c r="Z38" i="102" s="1"/>
  <c r="V38" i="102"/>
  <c r="O38" i="102"/>
  <c r="P38" i="102"/>
  <c r="AJ10" i="102" s="1"/>
  <c r="AK10" i="102" s="1"/>
  <c r="AA37" i="102"/>
  <c r="Z37" i="102" s="1"/>
  <c r="V37" i="102"/>
  <c r="O37" i="102"/>
  <c r="P37" i="102" s="1"/>
  <c r="AA36" i="102"/>
  <c r="Z36" i="102" s="1"/>
  <c r="V36" i="102"/>
  <c r="O36" i="102"/>
  <c r="AA35" i="102"/>
  <c r="Z35" i="102" s="1"/>
  <c r="AA34" i="102"/>
  <c r="Z34" i="102" s="1"/>
  <c r="AA33" i="102"/>
  <c r="Z33" i="102" s="1"/>
  <c r="O33" i="102"/>
  <c r="P33" i="102" s="1"/>
  <c r="AJ47" i="102" s="1"/>
  <c r="AA32" i="102"/>
  <c r="Z32" i="102" s="1"/>
  <c r="V32" i="102"/>
  <c r="O32" i="102"/>
  <c r="P32" i="102" s="1"/>
  <c r="AF31" i="102"/>
  <c r="AD31" i="102"/>
  <c r="B144" i="102" s="1"/>
  <c r="AA31" i="102"/>
  <c r="Z31" i="102" s="1"/>
  <c r="O31" i="102"/>
  <c r="P31" i="102" s="1"/>
  <c r="AF30" i="102"/>
  <c r="B173" i="102" s="1"/>
  <c r="AD30" i="102"/>
  <c r="B143" i="102" s="1"/>
  <c r="AA30" i="102"/>
  <c r="Z30" i="102" s="1"/>
  <c r="AF29" i="102"/>
  <c r="B172" i="102" s="1"/>
  <c r="AD29" i="102"/>
  <c r="B142" i="102" s="1"/>
  <c r="AA29" i="102"/>
  <c r="Z29" i="102" s="1"/>
  <c r="AF28" i="102"/>
  <c r="B171" i="102" s="1"/>
  <c r="AD28" i="102"/>
  <c r="B141" i="102" s="1"/>
  <c r="AA28" i="102"/>
  <c r="Z28" i="102" s="1"/>
  <c r="V28" i="102"/>
  <c r="O28" i="102"/>
  <c r="P28" i="102"/>
  <c r="M74" i="102" s="1"/>
  <c r="AF27" i="102"/>
  <c r="B170" i="102" s="1"/>
  <c r="AD27" i="102"/>
  <c r="B140" i="102" s="1"/>
  <c r="AA27" i="102"/>
  <c r="Z27" i="102" s="1"/>
  <c r="V27" i="102"/>
  <c r="P27" i="102"/>
  <c r="AJ58" i="102" s="1"/>
  <c r="AK58" i="102" s="1"/>
  <c r="O27" i="102"/>
  <c r="AF26" i="102"/>
  <c r="B169" i="102" s="1"/>
  <c r="AD26" i="102"/>
  <c r="B139" i="102" s="1"/>
  <c r="AA26" i="102"/>
  <c r="Z26" i="102" s="1"/>
  <c r="V26" i="102"/>
  <c r="O26" i="102"/>
  <c r="P26" i="102" s="1"/>
  <c r="B26" i="102"/>
  <c r="AF25" i="102"/>
  <c r="AD25" i="102"/>
  <c r="B138" i="102" s="1"/>
  <c r="AA25" i="102"/>
  <c r="Z25" i="102" s="1"/>
  <c r="AF24" i="102"/>
  <c r="B167" i="102" s="1"/>
  <c r="AD24" i="102"/>
  <c r="B137" i="102" s="1"/>
  <c r="AA24" i="102"/>
  <c r="Z24" i="102" s="1"/>
  <c r="AF23" i="102"/>
  <c r="B166" i="102" s="1"/>
  <c r="AD23" i="102"/>
  <c r="B136" i="102" s="1"/>
  <c r="AA23" i="102"/>
  <c r="Z23" i="102" s="1"/>
  <c r="N23" i="102"/>
  <c r="N8" i="102" s="1"/>
  <c r="AF22" i="102"/>
  <c r="B165" i="102" s="1"/>
  <c r="AD22" i="102"/>
  <c r="B135" i="102" s="1"/>
  <c r="AA22" i="102"/>
  <c r="Z22" i="102" s="1"/>
  <c r="AJ21" i="102"/>
  <c r="AK21" i="102" s="1"/>
  <c r="AF21" i="102"/>
  <c r="AD21" i="102"/>
  <c r="B134" i="102" s="1"/>
  <c r="AA21" i="102"/>
  <c r="N21" i="102"/>
  <c r="AJ20" i="102"/>
  <c r="AK20" i="102" s="1"/>
  <c r="AF20" i="102"/>
  <c r="B163" i="102" s="1"/>
  <c r="AD20" i="102"/>
  <c r="B133" i="102" s="1"/>
  <c r="AA20" i="102"/>
  <c r="N20" i="102"/>
  <c r="AF19" i="102"/>
  <c r="AD19" i="102"/>
  <c r="B132" i="102" s="1"/>
  <c r="AA19" i="102"/>
  <c r="N19" i="102"/>
  <c r="AF18" i="102"/>
  <c r="B161" i="102" s="1"/>
  <c r="AD18" i="102"/>
  <c r="B131" i="102" s="1"/>
  <c r="AA18" i="102"/>
  <c r="N18" i="102"/>
  <c r="AF17" i="102"/>
  <c r="B160" i="102" s="1"/>
  <c r="AD17" i="102"/>
  <c r="B130" i="102" s="1"/>
  <c r="AA17" i="102"/>
  <c r="N17" i="102"/>
  <c r="N16" i="102" s="1"/>
  <c r="N5" i="102" s="1"/>
  <c r="AF16" i="102"/>
  <c r="B159" i="102" s="1"/>
  <c r="AD16" i="102"/>
  <c r="B129" i="102" s="1"/>
  <c r="AA16" i="102"/>
  <c r="B16" i="102"/>
  <c r="AF15" i="102"/>
  <c r="B158" i="102" s="1"/>
  <c r="AD15" i="102"/>
  <c r="B128" i="102" s="1"/>
  <c r="AA15" i="102"/>
  <c r="B15" i="102"/>
  <c r="AF14" i="102"/>
  <c r="B157" i="102" s="1"/>
  <c r="AD14" i="102"/>
  <c r="B127" i="102" s="1"/>
  <c r="AA14" i="102"/>
  <c r="B14" i="102"/>
  <c r="AF13" i="102"/>
  <c r="B156" i="102" s="1"/>
  <c r="AD13" i="102"/>
  <c r="B126" i="102" s="1"/>
  <c r="AA13" i="102"/>
  <c r="AF12" i="102"/>
  <c r="B155" i="102" s="1"/>
  <c r="AD12" i="102"/>
  <c r="B125" i="102" s="1"/>
  <c r="AA12" i="102"/>
  <c r="B12" i="102"/>
  <c r="B13" i="102" s="1"/>
  <c r="AF11" i="102"/>
  <c r="B154" i="102" s="1"/>
  <c r="AD11" i="102"/>
  <c r="B124" i="102" s="1"/>
  <c r="AA11" i="102"/>
  <c r="B11" i="102"/>
  <c r="AF10" i="102"/>
  <c r="B153" i="102" s="1"/>
  <c r="AD10" i="102"/>
  <c r="B123" i="102" s="1"/>
  <c r="AA10" i="102"/>
  <c r="AF9" i="102"/>
  <c r="AD9" i="102"/>
  <c r="B122" i="102" s="1"/>
  <c r="AA9" i="102"/>
  <c r="B9" i="102"/>
  <c r="B10" i="102" s="1"/>
  <c r="AF8" i="102"/>
  <c r="B151" i="102" s="1"/>
  <c r="AD8" i="102"/>
  <c r="B121" i="102" s="1"/>
  <c r="AA8" i="102"/>
  <c r="G8" i="102"/>
  <c r="D8" i="102"/>
  <c r="B8" i="102"/>
  <c r="AJ7" i="102"/>
  <c r="AK7" i="102" s="1"/>
  <c r="AF7" i="102"/>
  <c r="B150" i="102" s="1"/>
  <c r="AD7" i="102"/>
  <c r="B120" i="102" s="1"/>
  <c r="AA7" i="102"/>
  <c r="D7" i="102"/>
  <c r="B7" i="102"/>
  <c r="AF6" i="102"/>
  <c r="AD6" i="102"/>
  <c r="B119" i="102" s="1"/>
  <c r="AA6" i="102"/>
  <c r="B6" i="102"/>
  <c r="AF5" i="102"/>
  <c r="B148" i="102" s="1"/>
  <c r="AD5" i="102"/>
  <c r="B118" i="102" s="1"/>
  <c r="AA5" i="102"/>
  <c r="B5" i="102"/>
  <c r="AF4" i="102"/>
  <c r="B147" i="102" s="1"/>
  <c r="AD4" i="102"/>
  <c r="B117" i="102" s="1"/>
  <c r="AA4" i="102"/>
  <c r="N4" i="102"/>
  <c r="AA3" i="102"/>
  <c r="B2" i="102"/>
  <c r="M218" i="101"/>
  <c r="P218" i="101" s="1"/>
  <c r="B354" i="101" s="1"/>
  <c r="L164" i="101"/>
  <c r="N163" i="101"/>
  <c r="L78" i="101"/>
  <c r="N77" i="101"/>
  <c r="N71" i="101"/>
  <c r="N40" i="101"/>
  <c r="B364" i="101"/>
  <c r="B363" i="101"/>
  <c r="B362" i="101"/>
  <c r="B361" i="101"/>
  <c r="B360" i="101"/>
  <c r="B359" i="101"/>
  <c r="B358" i="101"/>
  <c r="B357" i="101"/>
  <c r="B336" i="101"/>
  <c r="B335" i="101"/>
  <c r="E285" i="101"/>
  <c r="E286" i="101" s="1"/>
  <c r="E287" i="101" s="1"/>
  <c r="E288" i="101" s="1"/>
  <c r="E289" i="101" s="1"/>
  <c r="E290" i="101" s="1"/>
  <c r="E291" i="101" s="1"/>
  <c r="E292" i="101" s="1"/>
  <c r="E293" i="101" s="1"/>
  <c r="E294" i="101" s="1"/>
  <c r="E295" i="101" s="1"/>
  <c r="E296" i="101" s="1"/>
  <c r="E297" i="101" s="1"/>
  <c r="E298" i="101" s="1"/>
  <c r="E299" i="101" s="1"/>
  <c r="E300" i="101" s="1"/>
  <c r="E301" i="101" s="1"/>
  <c r="E302" i="101" s="1"/>
  <c r="E303" i="101" s="1"/>
  <c r="E304" i="101" s="1"/>
  <c r="E305" i="101" s="1"/>
  <c r="E306" i="101" s="1"/>
  <c r="E307" i="101" s="1"/>
  <c r="E308" i="101" s="1"/>
  <c r="E309" i="101" s="1"/>
  <c r="E310" i="101" s="1"/>
  <c r="E311" i="101" s="1"/>
  <c r="E312" i="101" s="1"/>
  <c r="E313" i="101" s="1"/>
  <c r="E314" i="101" s="1"/>
  <c r="E315" i="101" s="1"/>
  <c r="E316" i="101" s="1"/>
  <c r="E281" i="101"/>
  <c r="E282" i="101" s="1"/>
  <c r="E283" i="101" s="1"/>
  <c r="E284" i="101" s="1"/>
  <c r="H238" i="101"/>
  <c r="H237" i="101"/>
  <c r="H236" i="101"/>
  <c r="F234" i="101"/>
  <c r="H234" i="101" s="1"/>
  <c r="B216" i="101"/>
  <c r="R215" i="101"/>
  <c r="Q215" i="101"/>
  <c r="O215" i="101"/>
  <c r="P215" i="101" s="1"/>
  <c r="H215" i="101"/>
  <c r="G215" i="101"/>
  <c r="B215" i="101"/>
  <c r="R214" i="101"/>
  <c r="Q214" i="101"/>
  <c r="O214" i="101"/>
  <c r="H214" i="101"/>
  <c r="G214" i="101"/>
  <c r="B214" i="101"/>
  <c r="R213" i="101"/>
  <c r="Q213" i="101"/>
  <c r="O213" i="101"/>
  <c r="P213" i="101" s="1"/>
  <c r="H213" i="101"/>
  <c r="G213" i="101"/>
  <c r="B213" i="101"/>
  <c r="R212" i="101"/>
  <c r="Q212" i="101"/>
  <c r="O212" i="101"/>
  <c r="P212" i="101" s="1"/>
  <c r="H212" i="101"/>
  <c r="G212" i="101"/>
  <c r="B212" i="101"/>
  <c r="R211" i="101"/>
  <c r="Q211" i="101"/>
  <c r="O211" i="101"/>
  <c r="P211" i="101" s="1"/>
  <c r="H211" i="101"/>
  <c r="G211" i="101"/>
  <c r="B211" i="101"/>
  <c r="R210" i="101"/>
  <c r="P210" i="101" s="1"/>
  <c r="Q210" i="101"/>
  <c r="O210" i="101"/>
  <c r="H210" i="101"/>
  <c r="G210" i="101"/>
  <c r="B210" i="101"/>
  <c r="R209" i="101"/>
  <c r="Q209" i="101"/>
  <c r="P209" i="101"/>
  <c r="O209" i="101"/>
  <c r="H209" i="101"/>
  <c r="G209" i="101"/>
  <c r="B209" i="101"/>
  <c r="R208" i="101"/>
  <c r="Q208" i="101"/>
  <c r="O208" i="101"/>
  <c r="H208" i="101"/>
  <c r="G208" i="101"/>
  <c r="B208" i="101"/>
  <c r="R207" i="101"/>
  <c r="Q207" i="101"/>
  <c r="O207" i="101"/>
  <c r="H207" i="101"/>
  <c r="G207" i="101"/>
  <c r="B207" i="101"/>
  <c r="R206" i="101"/>
  <c r="Q206" i="101"/>
  <c r="O206" i="101"/>
  <c r="H206" i="101"/>
  <c r="G206" i="101"/>
  <c r="B206" i="101"/>
  <c r="B205" i="101"/>
  <c r="B204" i="101"/>
  <c r="R203" i="101"/>
  <c r="O203" i="101"/>
  <c r="G203" i="101"/>
  <c r="B203" i="101"/>
  <c r="R202" i="101"/>
  <c r="P202" i="101" s="1"/>
  <c r="AA120" i="101" s="1"/>
  <c r="O202" i="101"/>
  <c r="G202" i="101"/>
  <c r="B202" i="101"/>
  <c r="R201" i="101"/>
  <c r="O201" i="101"/>
  <c r="G201" i="101"/>
  <c r="B201" i="101"/>
  <c r="R200" i="101"/>
  <c r="O200" i="101"/>
  <c r="P200" i="101" s="1"/>
  <c r="AA118" i="101" s="1"/>
  <c r="G200" i="101"/>
  <c r="B200" i="101"/>
  <c r="R199" i="101"/>
  <c r="P199" i="101" s="1"/>
  <c r="AA117" i="101" s="1"/>
  <c r="O199" i="101"/>
  <c r="G199" i="101"/>
  <c r="B199" i="101"/>
  <c r="R198" i="101"/>
  <c r="O198" i="101"/>
  <c r="G198" i="101"/>
  <c r="B198" i="101"/>
  <c r="R197" i="101"/>
  <c r="O197" i="101"/>
  <c r="G197" i="101"/>
  <c r="R196" i="101"/>
  <c r="O196" i="101"/>
  <c r="P196" i="101" s="1"/>
  <c r="AA114" i="101" s="1"/>
  <c r="G196" i="101"/>
  <c r="B196" i="101"/>
  <c r="R195" i="101"/>
  <c r="O195" i="101"/>
  <c r="G195" i="101"/>
  <c r="Z113" i="101" s="1"/>
  <c r="B195" i="101"/>
  <c r="R194" i="101"/>
  <c r="O194" i="101"/>
  <c r="G194" i="101"/>
  <c r="Z112" i="101" s="1"/>
  <c r="B194" i="101"/>
  <c r="B193" i="101"/>
  <c r="B192" i="101"/>
  <c r="O191" i="101"/>
  <c r="B191" i="101"/>
  <c r="O190" i="101"/>
  <c r="B190" i="101"/>
  <c r="O189" i="101"/>
  <c r="B189" i="101"/>
  <c r="O188" i="101"/>
  <c r="B188" i="101"/>
  <c r="O187" i="101"/>
  <c r="B187" i="101"/>
  <c r="B186" i="101"/>
  <c r="O185" i="101"/>
  <c r="P185" i="101" s="1"/>
  <c r="I185" i="101"/>
  <c r="M191" i="101" s="1"/>
  <c r="B185" i="101"/>
  <c r="O184" i="101"/>
  <c r="P184" i="101" s="1"/>
  <c r="L193" i="101" s="1"/>
  <c r="I184" i="101"/>
  <c r="M190" i="101" s="1"/>
  <c r="B184" i="101"/>
  <c r="B183" i="101"/>
  <c r="B182" i="101"/>
  <c r="R181" i="101"/>
  <c r="P181" i="101" s="1"/>
  <c r="AA86" i="101" s="1"/>
  <c r="O181" i="101"/>
  <c r="H181" i="101"/>
  <c r="B181" i="101"/>
  <c r="R180" i="101"/>
  <c r="O180" i="101"/>
  <c r="P180" i="101" s="1"/>
  <c r="AA85" i="101" s="1"/>
  <c r="H180" i="101"/>
  <c r="B180" i="101"/>
  <c r="R179" i="101"/>
  <c r="O179" i="101"/>
  <c r="P179" i="101" s="1"/>
  <c r="AA84" i="101" s="1"/>
  <c r="H179" i="101"/>
  <c r="B179" i="101"/>
  <c r="R178" i="101"/>
  <c r="O178" i="101"/>
  <c r="H178" i="101"/>
  <c r="B178" i="101"/>
  <c r="R177" i="101"/>
  <c r="O177" i="101"/>
  <c r="H177" i="101"/>
  <c r="B173" i="101"/>
  <c r="I164" i="101"/>
  <c r="H164" i="101"/>
  <c r="G164" i="101"/>
  <c r="F164" i="101"/>
  <c r="B163" i="101"/>
  <c r="P161" i="101"/>
  <c r="T41" i="101" s="1"/>
  <c r="O161" i="101"/>
  <c r="P160" i="101"/>
  <c r="AE155" i="101" s="1"/>
  <c r="O160" i="101"/>
  <c r="R157" i="101"/>
  <c r="Q157" i="101"/>
  <c r="P157" i="101"/>
  <c r="O157" i="101"/>
  <c r="H157" i="101"/>
  <c r="G157" i="101"/>
  <c r="B157" i="101"/>
  <c r="R156" i="101"/>
  <c r="Q156" i="101"/>
  <c r="O156" i="101"/>
  <c r="P156" i="101" s="1"/>
  <c r="H156" i="101"/>
  <c r="G156" i="101"/>
  <c r="R155" i="101"/>
  <c r="P155" i="101" s="1"/>
  <c r="Q155" i="101"/>
  <c r="O155" i="101"/>
  <c r="H155" i="101"/>
  <c r="G155" i="101"/>
  <c r="B155" i="101"/>
  <c r="R154" i="101"/>
  <c r="Q154" i="101"/>
  <c r="O154" i="101"/>
  <c r="P154" i="101" s="1"/>
  <c r="H154" i="101"/>
  <c r="G154" i="101"/>
  <c r="AF153" i="101" a="1"/>
  <c r="AF153" i="101" s="1"/>
  <c r="B236" i="101" s="1"/>
  <c r="AE153" i="101"/>
  <c r="R153" i="101"/>
  <c r="Q153" i="101"/>
  <c r="O153" i="101"/>
  <c r="P153" i="101" s="1"/>
  <c r="H153" i="101"/>
  <c r="G153" i="101"/>
  <c r="AF152" i="101" a="1"/>
  <c r="AF152" i="101" s="1"/>
  <c r="B235" i="101" s="1"/>
  <c r="AE152" i="101"/>
  <c r="R152" i="101"/>
  <c r="Q152" i="101"/>
  <c r="O152" i="101"/>
  <c r="P152" i="101" s="1"/>
  <c r="H152" i="101"/>
  <c r="G152" i="101"/>
  <c r="AF151" i="101" a="1"/>
  <c r="AF151" i="101" s="1"/>
  <c r="B234" i="101" s="1"/>
  <c r="AE151" i="101"/>
  <c r="R151" i="101"/>
  <c r="Q151" i="101"/>
  <c r="O151" i="101"/>
  <c r="P151" i="101" s="1"/>
  <c r="H151" i="101"/>
  <c r="G151" i="101"/>
  <c r="AF150" i="101" a="1"/>
  <c r="AF150" i="101" s="1"/>
  <c r="B233" i="101" s="1"/>
  <c r="AE150" i="101"/>
  <c r="R150" i="101"/>
  <c r="Q150" i="101"/>
  <c r="O150" i="101"/>
  <c r="P150" i="101" s="1"/>
  <c r="H150" i="101"/>
  <c r="G150" i="101"/>
  <c r="AF149" i="101" a="1"/>
  <c r="AF149" i="101" s="1"/>
  <c r="B232" i="101" s="1"/>
  <c r="AE149" i="101"/>
  <c r="R149" i="101"/>
  <c r="Q149" i="101"/>
  <c r="O149" i="101"/>
  <c r="P149" i="101" s="1"/>
  <c r="H149" i="101"/>
  <c r="G149" i="101"/>
  <c r="AF148" i="101" a="1"/>
  <c r="AF148" i="101" s="1"/>
  <c r="B231" i="101" s="1"/>
  <c r="AE148" i="101"/>
  <c r="R148" i="101"/>
  <c r="Q148" i="101"/>
  <c r="O148" i="101"/>
  <c r="P148" i="101" s="1"/>
  <c r="H148" i="101"/>
  <c r="G148" i="101"/>
  <c r="AF147" i="101" a="1"/>
  <c r="AF147" i="101" s="1"/>
  <c r="B230" i="101" s="1"/>
  <c r="AE147" i="101"/>
  <c r="R147" i="101"/>
  <c r="Q147" i="101"/>
  <c r="O147" i="101"/>
  <c r="P147" i="101" s="1"/>
  <c r="H147" i="101"/>
  <c r="G147" i="101"/>
  <c r="AF146" i="101" a="1"/>
  <c r="AF146" i="101" s="1"/>
  <c r="B229" i="101" s="1"/>
  <c r="AE146" i="101"/>
  <c r="R146" i="101"/>
  <c r="Q146" i="101"/>
  <c r="P146" i="101"/>
  <c r="O146" i="101"/>
  <c r="H146" i="101"/>
  <c r="G146" i="101"/>
  <c r="AF145" i="101" a="1"/>
  <c r="AF145" i="101" s="1"/>
  <c r="B228" i="101" s="1"/>
  <c r="AE145" i="101"/>
  <c r="R145" i="101"/>
  <c r="Q145" i="101"/>
  <c r="O145" i="101"/>
  <c r="P145" i="101" s="1"/>
  <c r="H145" i="101"/>
  <c r="G145" i="101"/>
  <c r="AF144" i="101" a="1"/>
  <c r="AF144" i="101" s="1"/>
  <c r="B227" i="101" s="1"/>
  <c r="AE144" i="101"/>
  <c r="R144" i="101"/>
  <c r="Q144" i="101"/>
  <c r="O144" i="101"/>
  <c r="P144" i="101" s="1"/>
  <c r="H144" i="101"/>
  <c r="AF143" i="101" a="1"/>
  <c r="AF143" i="101" s="1"/>
  <c r="B226" i="101" s="1"/>
  <c r="AE143" i="101"/>
  <c r="R143" i="101"/>
  <c r="Q143" i="101"/>
  <c r="O143" i="101"/>
  <c r="P143" i="101" s="1"/>
  <c r="H143" i="101"/>
  <c r="G143" i="101"/>
  <c r="AF142" i="101" a="1"/>
  <c r="AF142" i="101" s="1"/>
  <c r="B225" i="101" s="1"/>
  <c r="AE142" i="101"/>
  <c r="R142" i="101"/>
  <c r="Q142" i="101"/>
  <c r="O142" i="101"/>
  <c r="P142" i="101" s="1"/>
  <c r="H142" i="101"/>
  <c r="AF141" i="101" a="1"/>
  <c r="AF141" i="101" s="1"/>
  <c r="B224" i="101" s="1"/>
  <c r="AE141" i="101"/>
  <c r="R141" i="101"/>
  <c r="Q141" i="101"/>
  <c r="O141" i="101"/>
  <c r="P141" i="101" s="1"/>
  <c r="H141" i="101"/>
  <c r="AF140" i="101" a="1"/>
  <c r="AF140" i="101" s="1"/>
  <c r="B223" i="101" s="1"/>
  <c r="AE140" i="101"/>
  <c r="R140" i="101"/>
  <c r="Q140" i="101"/>
  <c r="O140" i="101"/>
  <c r="P140" i="101" s="1"/>
  <c r="H140" i="101"/>
  <c r="AF139" i="101" a="1"/>
  <c r="AF139" i="101" s="1"/>
  <c r="B222" i="101" s="1"/>
  <c r="AE139" i="101"/>
  <c r="R139" i="101"/>
  <c r="Q139" i="101"/>
  <c r="O139" i="101"/>
  <c r="H139" i="101"/>
  <c r="AF138" i="101" a="1"/>
  <c r="AF138" i="101" s="1"/>
  <c r="B221" i="101" s="1"/>
  <c r="AE138" i="101"/>
  <c r="R138" i="101"/>
  <c r="P138" i="101" s="1"/>
  <c r="Q138" i="101"/>
  <c r="O138" i="101"/>
  <c r="H138" i="101"/>
  <c r="AF137" i="101"/>
  <c r="B220" i="101" s="1"/>
  <c r="AF137" i="101" a="1"/>
  <c r="AE137" i="101"/>
  <c r="H137" i="101"/>
  <c r="AF136" i="101" a="1"/>
  <c r="AF136" i="101" s="1"/>
  <c r="B219" i="101" s="1"/>
  <c r="AE136" i="101"/>
  <c r="AF135" i="101"/>
  <c r="B218" i="101" s="1"/>
  <c r="AF135" i="101" a="1"/>
  <c r="AE135" i="101"/>
  <c r="R135" i="101"/>
  <c r="Q135" i="101"/>
  <c r="O135" i="101"/>
  <c r="P135" i="101" s="1"/>
  <c r="B98" i="101" s="1"/>
  <c r="R134" i="101"/>
  <c r="P134" i="101" s="1"/>
  <c r="B97" i="101" s="1"/>
  <c r="Q134" i="101"/>
  <c r="O134" i="101"/>
  <c r="R133" i="101"/>
  <c r="Q133" i="101"/>
  <c r="O133" i="101"/>
  <c r="R132" i="101"/>
  <c r="Q132" i="101"/>
  <c r="O132" i="101"/>
  <c r="P132" i="101" s="1"/>
  <c r="B95" i="101" s="1"/>
  <c r="P129" i="101"/>
  <c r="F129" i="101" a="1"/>
  <c r="F129" i="101" s="1"/>
  <c r="B93" i="101" s="1"/>
  <c r="E129" i="101" a="1"/>
  <c r="E129" i="101" s="1"/>
  <c r="P128" i="101"/>
  <c r="F128" i="101" a="1"/>
  <c r="F128" i="101" s="1"/>
  <c r="B91" i="101" s="1"/>
  <c r="E128" i="101" a="1"/>
  <c r="E128" i="101" s="1"/>
  <c r="P127" i="101"/>
  <c r="B90" i="101" s="1"/>
  <c r="F127" i="101" a="1"/>
  <c r="F127" i="101" s="1"/>
  <c r="B89" i="101" s="1"/>
  <c r="E127" i="101" a="1"/>
  <c r="E127" i="101" s="1"/>
  <c r="R126" i="101"/>
  <c r="P126" i="101"/>
  <c r="R129" i="101" s="1"/>
  <c r="F126" i="101"/>
  <c r="B87" i="101" s="1"/>
  <c r="E126" i="101"/>
  <c r="P125" i="101"/>
  <c r="E125" i="101"/>
  <c r="Z121" i="101"/>
  <c r="Z120" i="101"/>
  <c r="O120" i="101"/>
  <c r="P120" i="101" s="1"/>
  <c r="H120" i="101"/>
  <c r="G120" i="101"/>
  <c r="Z119" i="101"/>
  <c r="P119" i="101"/>
  <c r="O119" i="101"/>
  <c r="H119" i="101"/>
  <c r="G119" i="101"/>
  <c r="Z118" i="101"/>
  <c r="O118" i="101"/>
  <c r="P118" i="101" s="1"/>
  <c r="H118" i="101"/>
  <c r="G118" i="101"/>
  <c r="Z117" i="101"/>
  <c r="O117" i="101"/>
  <c r="P117" i="101" s="1"/>
  <c r="H117" i="101"/>
  <c r="G117" i="101"/>
  <c r="Z116" i="101"/>
  <c r="O116" i="101"/>
  <c r="P116" i="101" s="1"/>
  <c r="H116" i="101"/>
  <c r="G116" i="101"/>
  <c r="Z115" i="101"/>
  <c r="O115" i="101"/>
  <c r="P115" i="101" s="1"/>
  <c r="H115" i="101"/>
  <c r="G115" i="101"/>
  <c r="Z114" i="101"/>
  <c r="O114" i="101"/>
  <c r="P114" i="101" s="1"/>
  <c r="H114" i="101"/>
  <c r="G114" i="101"/>
  <c r="O113" i="101"/>
  <c r="P113" i="101" s="1"/>
  <c r="H113" i="101"/>
  <c r="G113" i="101"/>
  <c r="P112" i="101"/>
  <c r="O112" i="101"/>
  <c r="H112" i="101"/>
  <c r="G112" i="101"/>
  <c r="O111" i="101"/>
  <c r="P111" i="101" s="1"/>
  <c r="H111" i="101"/>
  <c r="G111" i="101"/>
  <c r="O110" i="101"/>
  <c r="P110" i="101" s="1"/>
  <c r="H110" i="101"/>
  <c r="G110" i="101"/>
  <c r="O109" i="101"/>
  <c r="P109" i="101" s="1"/>
  <c r="H109" i="101"/>
  <c r="G109" i="101"/>
  <c r="O108" i="101"/>
  <c r="P108" i="101" s="1"/>
  <c r="H108" i="101"/>
  <c r="G108" i="101"/>
  <c r="O107" i="101"/>
  <c r="P107" i="101" s="1"/>
  <c r="H107" i="101"/>
  <c r="G107" i="101"/>
  <c r="O106" i="101"/>
  <c r="P106" i="101" s="1"/>
  <c r="H106" i="101"/>
  <c r="G106" i="101"/>
  <c r="O105" i="101"/>
  <c r="P105" i="101" s="1"/>
  <c r="H105" i="101"/>
  <c r="G105" i="101"/>
  <c r="P104" i="101"/>
  <c r="O104" i="101"/>
  <c r="H104" i="101"/>
  <c r="G104" i="101"/>
  <c r="O103" i="101"/>
  <c r="P103" i="101" s="1"/>
  <c r="H103" i="101"/>
  <c r="G103" i="101"/>
  <c r="O102" i="101"/>
  <c r="P102" i="101" s="1"/>
  <c r="H102" i="101"/>
  <c r="G102" i="101"/>
  <c r="B102" i="101"/>
  <c r="O101" i="101"/>
  <c r="P101" i="101" s="1"/>
  <c r="H101" i="101"/>
  <c r="G101" i="101"/>
  <c r="B100" i="101"/>
  <c r="B99" i="101"/>
  <c r="R98" i="101"/>
  <c r="Q98" i="101"/>
  <c r="O98" i="101"/>
  <c r="P98" i="101" s="1"/>
  <c r="H98" i="101"/>
  <c r="R97" i="101"/>
  <c r="Q97" i="101"/>
  <c r="O97" i="101"/>
  <c r="H97" i="101"/>
  <c r="R96" i="101"/>
  <c r="Q96" i="101"/>
  <c r="O96" i="101"/>
  <c r="P96" i="101" s="1"/>
  <c r="H96" i="101"/>
  <c r="R95" i="101"/>
  <c r="Q95" i="101"/>
  <c r="O95" i="101"/>
  <c r="H95" i="101"/>
  <c r="R94" i="101"/>
  <c r="Q94" i="101"/>
  <c r="O94" i="101"/>
  <c r="H94" i="101"/>
  <c r="B94" i="101"/>
  <c r="R93" i="101"/>
  <c r="Q93" i="101"/>
  <c r="O93" i="101"/>
  <c r="H93" i="101"/>
  <c r="R92" i="101"/>
  <c r="P92" i="101" s="1"/>
  <c r="Q92" i="101"/>
  <c r="O92" i="101"/>
  <c r="H92" i="101"/>
  <c r="B92" i="101"/>
  <c r="R91" i="101"/>
  <c r="P91" i="101" s="1"/>
  <c r="Q91" i="101"/>
  <c r="O91" i="101"/>
  <c r="H91" i="101"/>
  <c r="R90" i="101"/>
  <c r="P90" i="101" s="1"/>
  <c r="Q90" i="101"/>
  <c r="O90" i="101"/>
  <c r="H90" i="101"/>
  <c r="R89" i="101"/>
  <c r="Q89" i="101"/>
  <c r="O89" i="101"/>
  <c r="H89" i="101"/>
  <c r="R88" i="101"/>
  <c r="Q88" i="101"/>
  <c r="O88" i="101"/>
  <c r="H88" i="101"/>
  <c r="B88" i="101"/>
  <c r="R87" i="101"/>
  <c r="Q87" i="101"/>
  <c r="O87" i="101"/>
  <c r="H87" i="101"/>
  <c r="R86" i="101"/>
  <c r="P86" i="101" s="1"/>
  <c r="Q86" i="101"/>
  <c r="O86" i="101"/>
  <c r="H86" i="101"/>
  <c r="B86" i="101"/>
  <c r="R85" i="101"/>
  <c r="Q85" i="101"/>
  <c r="O85" i="101"/>
  <c r="H85" i="101"/>
  <c r="B85" i="101"/>
  <c r="R84" i="101"/>
  <c r="Q84" i="101"/>
  <c r="O84" i="101"/>
  <c r="P84" i="101" s="1"/>
  <c r="AA7" i="101" s="1"/>
  <c r="H84" i="101"/>
  <c r="R83" i="101"/>
  <c r="P83" i="101" s="1"/>
  <c r="Q83" i="101"/>
  <c r="O83" i="101"/>
  <c r="H83" i="101"/>
  <c r="B83" i="101"/>
  <c r="R82" i="101"/>
  <c r="Q82" i="101"/>
  <c r="O82" i="101"/>
  <c r="H82" i="101"/>
  <c r="B82" i="101"/>
  <c r="R81" i="101"/>
  <c r="P81" i="101" s="1"/>
  <c r="Q81" i="101"/>
  <c r="O81" i="101"/>
  <c r="H81" i="101"/>
  <c r="B81" i="101"/>
  <c r="R80" i="101"/>
  <c r="Q80" i="101"/>
  <c r="O80" i="101"/>
  <c r="H80" i="101"/>
  <c r="B80" i="101"/>
  <c r="R79" i="101"/>
  <c r="Q79" i="101"/>
  <c r="O79" i="101"/>
  <c r="P79" i="101" s="1"/>
  <c r="H79" i="101"/>
  <c r="B79" i="101"/>
  <c r="B78" i="101"/>
  <c r="B77" i="101"/>
  <c r="B76" i="101"/>
  <c r="B75" i="101"/>
  <c r="O74" i="101"/>
  <c r="B74" i="101"/>
  <c r="AF73" i="101"/>
  <c r="B343" i="101" s="1"/>
  <c r="AE73" i="101" a="1"/>
  <c r="AE73" i="101" s="1"/>
  <c r="B313" i="101" s="1"/>
  <c r="AD73" i="101" a="1"/>
  <c r="AD73" i="101" s="1"/>
  <c r="B283" i="101" s="1"/>
  <c r="O73" i="101"/>
  <c r="P73" i="101" s="1"/>
  <c r="B73" i="101"/>
  <c r="AF72" i="101"/>
  <c r="B342" i="101" s="1"/>
  <c r="AE72" i="101" a="1"/>
  <c r="AE72" i="101" s="1"/>
  <c r="B312" i="101" s="1"/>
  <c r="AD72" i="101" a="1"/>
  <c r="AD72" i="101" s="1"/>
  <c r="B282" i="101" s="1"/>
  <c r="P72" i="101"/>
  <c r="B52" i="101" s="1"/>
  <c r="O72" i="101"/>
  <c r="B72" i="101"/>
  <c r="AF71" i="101"/>
  <c r="B341" i="101" s="1"/>
  <c r="AE71" i="101" a="1"/>
  <c r="AE71" i="101" s="1"/>
  <c r="B311" i="101" s="1"/>
  <c r="AD71" i="101" a="1"/>
  <c r="AD71" i="101" s="1"/>
  <c r="B281" i="101" s="1"/>
  <c r="B71" i="101"/>
  <c r="AF70" i="101"/>
  <c r="B340" i="101" s="1"/>
  <c r="AE70" i="101" a="1"/>
  <c r="AE70" i="101" s="1"/>
  <c r="B310" i="101" s="1"/>
  <c r="AD70" i="101" a="1"/>
  <c r="AD70" i="101" s="1"/>
  <c r="B280" i="101" s="1"/>
  <c r="B70" i="101"/>
  <c r="AF69" i="101"/>
  <c r="B339" i="101" s="1"/>
  <c r="AE69" i="101" a="1"/>
  <c r="AE69" i="101" s="1"/>
  <c r="B309" i="101" s="1"/>
  <c r="AD69" i="101" a="1"/>
  <c r="AD69" i="101" s="1"/>
  <c r="B279" i="101" s="1"/>
  <c r="V69" i="101"/>
  <c r="P69" i="101"/>
  <c r="O69" i="101"/>
  <c r="B69" i="101"/>
  <c r="AF68" i="101"/>
  <c r="B338" i="101" s="1"/>
  <c r="AE68" i="101" a="1"/>
  <c r="AE68" i="101" s="1"/>
  <c r="B308" i="101" s="1"/>
  <c r="AD68" i="101" a="1"/>
  <c r="AD68" i="101" s="1"/>
  <c r="B278" i="101" s="1"/>
  <c r="V68" i="101"/>
  <c r="O68" i="101"/>
  <c r="P68" i="101" s="1"/>
  <c r="B48" i="101" s="1"/>
  <c r="B68" i="101"/>
  <c r="AF67" i="101"/>
  <c r="B337" i="101" s="1"/>
  <c r="AE67" i="101" a="1"/>
  <c r="AE67" i="101" s="1"/>
  <c r="B307" i="101" s="1"/>
  <c r="AD67" i="101"/>
  <c r="B277" i="101" s="1"/>
  <c r="AD67" i="101" a="1"/>
  <c r="V67" i="101"/>
  <c r="O67" i="101"/>
  <c r="P67" i="101" s="1"/>
  <c r="B67" i="101"/>
  <c r="AF66" i="101"/>
  <c r="AE66" i="101" a="1"/>
  <c r="AE66" i="101" s="1"/>
  <c r="B306" i="101" s="1"/>
  <c r="AD66" i="101" a="1"/>
  <c r="AD66" i="101" s="1"/>
  <c r="B276" i="101" s="1"/>
  <c r="V66" i="101"/>
  <c r="P66" i="101"/>
  <c r="AJ36" i="101" s="1"/>
  <c r="AK36" i="101" s="1"/>
  <c r="O66" i="101"/>
  <c r="B66" i="101"/>
  <c r="AF65" i="101"/>
  <c r="AE65" i="101" a="1"/>
  <c r="AE65" i="101" s="1"/>
  <c r="B305" i="101" s="1"/>
  <c r="AD65" i="101"/>
  <c r="B275" i="101" s="1"/>
  <c r="AD65" i="101" a="1"/>
  <c r="V65" i="101"/>
  <c r="P65" i="101"/>
  <c r="AJ27" i="101" s="1"/>
  <c r="AK27" i="101" s="1"/>
  <c r="O65" i="101"/>
  <c r="B65" i="101"/>
  <c r="AF64" i="101"/>
  <c r="B334" i="101" s="1"/>
  <c r="AE64" i="101" a="1"/>
  <c r="AE64" i="101" s="1"/>
  <c r="B304" i="101" s="1"/>
  <c r="AD64" i="101" a="1"/>
  <c r="AD64" i="101" s="1"/>
  <c r="B274" i="101" s="1"/>
  <c r="V64" i="101"/>
  <c r="O64" i="101"/>
  <c r="P64" i="101" s="1"/>
  <c r="AJ22" i="101" s="1"/>
  <c r="AK22" i="101" s="1"/>
  <c r="B64" i="101"/>
  <c r="V63" i="101"/>
  <c r="O63" i="101"/>
  <c r="P63" i="101" s="1"/>
  <c r="B63" i="101"/>
  <c r="V62" i="101"/>
  <c r="P62" i="101"/>
  <c r="O62" i="101"/>
  <c r="B62" i="101"/>
  <c r="B61" i="101"/>
  <c r="B60" i="101"/>
  <c r="V59" i="101"/>
  <c r="P59" i="101"/>
  <c r="AJ56" i="101" s="1"/>
  <c r="AK56" i="101" s="1"/>
  <c r="O59" i="101"/>
  <c r="V58" i="101"/>
  <c r="O58" i="101"/>
  <c r="P58" i="101" s="1"/>
  <c r="V57" i="101"/>
  <c r="P57" i="101"/>
  <c r="B39" i="101" s="1"/>
  <c r="O57" i="101"/>
  <c r="V56" i="101"/>
  <c r="O56" i="101"/>
  <c r="P56" i="101" s="1"/>
  <c r="V55" i="101"/>
  <c r="P55" i="101"/>
  <c r="O55" i="101"/>
  <c r="V54" i="101"/>
  <c r="O54" i="101"/>
  <c r="P54" i="101" s="1"/>
  <c r="AJ20" i="101" s="1"/>
  <c r="AK20" i="101" s="1"/>
  <c r="V53" i="101"/>
  <c r="O53" i="101"/>
  <c r="P53" i="101" s="1"/>
  <c r="AJ8" i="101" s="1"/>
  <c r="AK8" i="101" s="1"/>
  <c r="V52" i="101"/>
  <c r="O52" i="101"/>
  <c r="P52" i="101" s="1"/>
  <c r="B51" i="101"/>
  <c r="V49" i="101"/>
  <c r="P49" i="101"/>
  <c r="B33" i="101" s="1"/>
  <c r="O49" i="101"/>
  <c r="AJ48" i="101"/>
  <c r="AK48" i="101" s="1"/>
  <c r="V48" i="101"/>
  <c r="O48" i="101"/>
  <c r="P48" i="101" s="1"/>
  <c r="B32" i="101" s="1"/>
  <c r="V47" i="101"/>
  <c r="P47" i="101"/>
  <c r="AJ35" i="101" s="1"/>
  <c r="AK35" i="101" s="1"/>
  <c r="O47" i="101"/>
  <c r="V46" i="101"/>
  <c r="O46" i="101"/>
  <c r="P46" i="101" s="1"/>
  <c r="B46" i="101"/>
  <c r="V45" i="101"/>
  <c r="O45" i="101"/>
  <c r="P45" i="101" s="1"/>
  <c r="V44" i="101"/>
  <c r="O44" i="101"/>
  <c r="P44" i="101" s="1"/>
  <c r="V43" i="101"/>
  <c r="P43" i="101"/>
  <c r="O43" i="101"/>
  <c r="V42" i="101"/>
  <c r="O42" i="101"/>
  <c r="P42" i="101" s="1"/>
  <c r="AJ2" i="101" s="1"/>
  <c r="AK2" i="101" s="1"/>
  <c r="B42" i="101"/>
  <c r="AA41" i="101"/>
  <c r="Z41" i="101" s="1"/>
  <c r="B41" i="101"/>
  <c r="AA40" i="101"/>
  <c r="Z40" i="101" s="1"/>
  <c r="AA39" i="101"/>
  <c r="Z39" i="101" s="1"/>
  <c r="AA38" i="101"/>
  <c r="Z38" i="101" s="1"/>
  <c r="V38" i="101"/>
  <c r="O38" i="101"/>
  <c r="P38" i="101"/>
  <c r="AA37" i="101"/>
  <c r="Z37" i="101" s="1"/>
  <c r="V37" i="101"/>
  <c r="O37" i="101"/>
  <c r="P37" i="101"/>
  <c r="AJ31" i="101" s="1"/>
  <c r="AK31" i="101" s="1"/>
  <c r="B37" i="101"/>
  <c r="AA36" i="101"/>
  <c r="Z36" i="101" s="1"/>
  <c r="V36" i="101"/>
  <c r="O36" i="101"/>
  <c r="P36" i="101"/>
  <c r="B23" i="101" s="1"/>
  <c r="AA35" i="101"/>
  <c r="Z35" i="101" s="1"/>
  <c r="AA34" i="101"/>
  <c r="Z34" i="101" s="1"/>
  <c r="AA33" i="101"/>
  <c r="Z33" i="101" s="1"/>
  <c r="O33" i="101"/>
  <c r="P33" i="101" s="1"/>
  <c r="AA32" i="101"/>
  <c r="Z32" i="101" s="1"/>
  <c r="V32" i="101"/>
  <c r="P32" i="101"/>
  <c r="AJ17" i="101" s="1"/>
  <c r="AK17" i="101" s="1"/>
  <c r="O32" i="101"/>
  <c r="AF31" i="101"/>
  <c r="B174" i="101" s="1"/>
  <c r="AD31" i="101"/>
  <c r="B144" i="101" s="1"/>
  <c r="AA31" i="101"/>
  <c r="Z31" i="101" s="1"/>
  <c r="O31" i="101"/>
  <c r="P31" i="101" s="1"/>
  <c r="B31" i="101"/>
  <c r="AF30" i="101"/>
  <c r="AD30" i="101"/>
  <c r="B143" i="101" s="1"/>
  <c r="AA30" i="101"/>
  <c r="Z30" i="101" s="1"/>
  <c r="AF29" i="101"/>
  <c r="B172" i="101" s="1"/>
  <c r="AD29" i="101"/>
  <c r="B142" i="101" s="1"/>
  <c r="AA29" i="101"/>
  <c r="Z29" i="101" s="1"/>
  <c r="AF28" i="101"/>
  <c r="B171" i="101" s="1"/>
  <c r="AD28" i="101"/>
  <c r="B141" i="101" s="1"/>
  <c r="AA28" i="101"/>
  <c r="Z28" i="101" s="1"/>
  <c r="V28" i="101"/>
  <c r="O28" i="101"/>
  <c r="P28" i="101" s="1"/>
  <c r="AF27" i="101"/>
  <c r="B170" i="101" s="1"/>
  <c r="AD27" i="101"/>
  <c r="B140" i="101" s="1"/>
  <c r="AA27" i="101"/>
  <c r="Z27" i="101" s="1"/>
  <c r="V27" i="101"/>
  <c r="O27" i="101"/>
  <c r="P27" i="101"/>
  <c r="AF26" i="101"/>
  <c r="B169" i="101" s="1"/>
  <c r="AD26" i="101"/>
  <c r="B139" i="101" s="1"/>
  <c r="AA26" i="101"/>
  <c r="Z26" i="101" s="1"/>
  <c r="V26" i="101"/>
  <c r="O26" i="101"/>
  <c r="P26" i="101" s="1"/>
  <c r="AF25" i="101"/>
  <c r="B168" i="101" s="1"/>
  <c r="AD25" i="101"/>
  <c r="B138" i="101" s="1"/>
  <c r="AA25" i="101"/>
  <c r="Z25" i="101" s="1"/>
  <c r="AF24" i="101"/>
  <c r="B167" i="101" s="1"/>
  <c r="AD24" i="101"/>
  <c r="B137" i="101" s="1"/>
  <c r="AA24" i="101"/>
  <c r="Z24" i="101" s="1"/>
  <c r="B24" i="101"/>
  <c r="AJ23" i="101"/>
  <c r="AK23" i="101" s="1"/>
  <c r="AF23" i="101"/>
  <c r="B166" i="101" s="1"/>
  <c r="AD23" i="101"/>
  <c r="B136" i="101" s="1"/>
  <c r="AA23" i="101"/>
  <c r="Z23" i="101" s="1"/>
  <c r="N23" i="101"/>
  <c r="N8" i="101" s="1"/>
  <c r="AF22" i="101"/>
  <c r="B165" i="101" s="1"/>
  <c r="AD22" i="101"/>
  <c r="B135" i="101" s="1"/>
  <c r="AA22" i="101"/>
  <c r="Z22" i="101" s="1"/>
  <c r="AJ21" i="101"/>
  <c r="AK21" i="101" s="1"/>
  <c r="AF21" i="101"/>
  <c r="B164" i="101" s="1"/>
  <c r="AD21" i="101"/>
  <c r="B134" i="101" s="1"/>
  <c r="AA21" i="101"/>
  <c r="N21" i="101"/>
  <c r="AF20" i="101"/>
  <c r="AD20" i="101"/>
  <c r="B133" i="101" s="1"/>
  <c r="AA20" i="101"/>
  <c r="N20" i="101"/>
  <c r="AF19" i="101"/>
  <c r="B162" i="101" s="1"/>
  <c r="AD19" i="101"/>
  <c r="B132" i="101" s="1"/>
  <c r="AA19" i="101"/>
  <c r="N19" i="101"/>
  <c r="AF18" i="101"/>
  <c r="B161" i="101" s="1"/>
  <c r="AD18" i="101"/>
  <c r="B131" i="101" s="1"/>
  <c r="AA18" i="101"/>
  <c r="N18" i="101"/>
  <c r="AF17" i="101"/>
  <c r="B160" i="101" s="1"/>
  <c r="AD17" i="101"/>
  <c r="B130" i="101" s="1"/>
  <c r="AA17" i="101"/>
  <c r="N17" i="101"/>
  <c r="AF16" i="101"/>
  <c r="B159" i="101" s="1"/>
  <c r="AD16" i="101"/>
  <c r="B129" i="101" s="1"/>
  <c r="AA16" i="101"/>
  <c r="B16" i="101"/>
  <c r="AF15" i="101"/>
  <c r="B158" i="101" s="1"/>
  <c r="AD15" i="101"/>
  <c r="B128" i="101" s="1"/>
  <c r="AA15" i="101"/>
  <c r="B15" i="101"/>
  <c r="AF14" i="101"/>
  <c r="AD14" i="101"/>
  <c r="B127" i="101" s="1"/>
  <c r="AA14" i="101"/>
  <c r="B14" i="101"/>
  <c r="AF13" i="101"/>
  <c r="B156" i="101" s="1"/>
  <c r="AD13" i="101"/>
  <c r="B126" i="101" s="1"/>
  <c r="AA13" i="101"/>
  <c r="AF12" i="101"/>
  <c r="AD12" i="101"/>
  <c r="B125" i="101" s="1"/>
  <c r="AA12" i="101"/>
  <c r="N12" i="101"/>
  <c r="B12" i="101"/>
  <c r="B13" i="101" s="1"/>
  <c r="AF11" i="101"/>
  <c r="B154" i="101" s="1"/>
  <c r="AD11" i="101"/>
  <c r="B124" i="101" s="1"/>
  <c r="AA11" i="101"/>
  <c r="N11" i="101"/>
  <c r="B11" i="101"/>
  <c r="AF10" i="101"/>
  <c r="B153" i="101" s="1"/>
  <c r="AD10" i="101"/>
  <c r="B123" i="101" s="1"/>
  <c r="AA10" i="101"/>
  <c r="N10" i="101"/>
  <c r="AA9" i="101"/>
  <c r="B9" i="101"/>
  <c r="B10" i="101" s="1"/>
  <c r="G8" i="101"/>
  <c r="D8" i="101"/>
  <c r="B8" i="101"/>
  <c r="AJ7" i="101"/>
  <c r="AK7" i="101" s="1"/>
  <c r="D7" i="101"/>
  <c r="B7" i="101"/>
  <c r="AA6" i="101"/>
  <c r="B6" i="101"/>
  <c r="B5" i="101"/>
  <c r="AA4" i="101"/>
  <c r="N4" i="101"/>
  <c r="AJ3" i="101"/>
  <c r="AK3" i="101" s="1"/>
  <c r="AA2" i="101"/>
  <c r="B2" i="101"/>
  <c r="M218" i="100"/>
  <c r="P218" i="100" s="1"/>
  <c r="B354" i="100" s="1"/>
  <c r="L164" i="100"/>
  <c r="N163" i="100"/>
  <c r="N11" i="100" s="1"/>
  <c r="P124" i="100"/>
  <c r="B84" i="100" s="1"/>
  <c r="L78" i="100"/>
  <c r="N77" i="100"/>
  <c r="N71" i="100"/>
  <c r="N12" i="100" s="1"/>
  <c r="N40" i="100"/>
  <c r="B364" i="100"/>
  <c r="B363" i="100"/>
  <c r="B362" i="100"/>
  <c r="B361" i="100"/>
  <c r="B360" i="100"/>
  <c r="B359" i="100"/>
  <c r="B358" i="100"/>
  <c r="B357" i="100"/>
  <c r="B337" i="100"/>
  <c r="B335" i="100"/>
  <c r="B321" i="100"/>
  <c r="B318" i="100"/>
  <c r="E281" i="100"/>
  <c r="E282" i="100" s="1"/>
  <c r="E283" i="100" s="1"/>
  <c r="E284" i="100" s="1"/>
  <c r="E285" i="100" s="1"/>
  <c r="E286" i="100" s="1"/>
  <c r="E287" i="100" s="1"/>
  <c r="E288" i="100" s="1"/>
  <c r="E289" i="100" s="1"/>
  <c r="E290" i="100" s="1"/>
  <c r="E291" i="100" s="1"/>
  <c r="E292" i="100" s="1"/>
  <c r="E293" i="100" s="1"/>
  <c r="E294" i="100" s="1"/>
  <c r="E295" i="100" s="1"/>
  <c r="E296" i="100" s="1"/>
  <c r="E297" i="100" s="1"/>
  <c r="E298" i="100" s="1"/>
  <c r="E299" i="100" s="1"/>
  <c r="E300" i="100" s="1"/>
  <c r="E301" i="100" s="1"/>
  <c r="E302" i="100" s="1"/>
  <c r="E303" i="100" s="1"/>
  <c r="E304" i="100" s="1"/>
  <c r="E305" i="100" s="1"/>
  <c r="E306" i="100" s="1"/>
  <c r="E307" i="100" s="1"/>
  <c r="E308" i="100" s="1"/>
  <c r="E309" i="100" s="1"/>
  <c r="E310" i="100" s="1"/>
  <c r="E311" i="100" s="1"/>
  <c r="E312" i="100" s="1"/>
  <c r="E313" i="100" s="1"/>
  <c r="E314" i="100" s="1"/>
  <c r="E315" i="100" s="1"/>
  <c r="E316" i="100" s="1"/>
  <c r="B265" i="100"/>
  <c r="B264" i="100"/>
  <c r="H238" i="100"/>
  <c r="H237" i="100"/>
  <c r="H236" i="100"/>
  <c r="F234" i="100"/>
  <c r="H234" i="100" s="1"/>
  <c r="B216" i="100"/>
  <c r="R215" i="100"/>
  <c r="Q215" i="100"/>
  <c r="O215" i="100"/>
  <c r="P215" i="100" s="1"/>
  <c r="H215" i="100"/>
  <c r="G215" i="100"/>
  <c r="B215" i="100"/>
  <c r="R214" i="100"/>
  <c r="Q214" i="100"/>
  <c r="P214" i="100"/>
  <c r="O214" i="100"/>
  <c r="H214" i="100"/>
  <c r="G214" i="100"/>
  <c r="B214" i="100"/>
  <c r="R213" i="100"/>
  <c r="Q213" i="100"/>
  <c r="O213" i="100"/>
  <c r="P213" i="100" s="1"/>
  <c r="H213" i="100"/>
  <c r="G213" i="100"/>
  <c r="B213" i="100"/>
  <c r="R212" i="100"/>
  <c r="Q212" i="100"/>
  <c r="O212" i="100"/>
  <c r="P212" i="100" s="1"/>
  <c r="H212" i="100"/>
  <c r="G212" i="100"/>
  <c r="B212" i="100"/>
  <c r="R211" i="100"/>
  <c r="Q211" i="100"/>
  <c r="O211" i="100"/>
  <c r="P211" i="100" s="1"/>
  <c r="H211" i="100"/>
  <c r="G211" i="100"/>
  <c r="B211" i="100"/>
  <c r="R210" i="100"/>
  <c r="Q210" i="100"/>
  <c r="O210" i="100"/>
  <c r="H210" i="100"/>
  <c r="G210" i="100"/>
  <c r="B210" i="100"/>
  <c r="R209" i="100"/>
  <c r="Q209" i="100"/>
  <c r="P209" i="100"/>
  <c r="O209" i="100"/>
  <c r="H209" i="100"/>
  <c r="G209" i="100"/>
  <c r="B209" i="100"/>
  <c r="R208" i="100"/>
  <c r="Q208" i="100"/>
  <c r="O208" i="100"/>
  <c r="P208" i="100" s="1"/>
  <c r="H208" i="100"/>
  <c r="G208" i="100"/>
  <c r="B208" i="100"/>
  <c r="R207" i="100"/>
  <c r="Q207" i="100"/>
  <c r="O207" i="100"/>
  <c r="H207" i="100"/>
  <c r="G207" i="100"/>
  <c r="B207" i="100"/>
  <c r="R206" i="100"/>
  <c r="Q206" i="100"/>
  <c r="O206" i="100"/>
  <c r="P206" i="100" s="1"/>
  <c r="H206" i="100"/>
  <c r="G206" i="100"/>
  <c r="B206" i="100"/>
  <c r="B205" i="100"/>
  <c r="B204" i="100"/>
  <c r="R203" i="100"/>
  <c r="P203" i="100" s="1"/>
  <c r="AA121" i="100" s="1"/>
  <c r="O203" i="100"/>
  <c r="G203" i="100"/>
  <c r="B203" i="100"/>
  <c r="R202" i="100"/>
  <c r="O202" i="100"/>
  <c r="G202" i="100"/>
  <c r="Z120" i="100" s="1"/>
  <c r="B202" i="100"/>
  <c r="R201" i="100"/>
  <c r="O201" i="100"/>
  <c r="P201" i="100" s="1"/>
  <c r="AA119" i="100" s="1"/>
  <c r="G201" i="100"/>
  <c r="B201" i="100"/>
  <c r="R200" i="100"/>
  <c r="O200" i="100"/>
  <c r="G200" i="100"/>
  <c r="B200" i="100"/>
  <c r="R199" i="100"/>
  <c r="O199" i="100"/>
  <c r="G199" i="100"/>
  <c r="B199" i="100"/>
  <c r="R198" i="100"/>
  <c r="O198" i="100"/>
  <c r="P198" i="100" s="1"/>
  <c r="AA116" i="100" s="1"/>
  <c r="G198" i="100"/>
  <c r="B198" i="100"/>
  <c r="R197" i="100"/>
  <c r="P197" i="100"/>
  <c r="O197" i="100"/>
  <c r="G197" i="100"/>
  <c r="R196" i="100"/>
  <c r="O196" i="100"/>
  <c r="P196" i="100" s="1"/>
  <c r="AA114" i="100" s="1"/>
  <c r="G196" i="100"/>
  <c r="B196" i="100"/>
  <c r="R195" i="100"/>
  <c r="O195" i="100"/>
  <c r="G195" i="100"/>
  <c r="Z113" i="100" s="1"/>
  <c r="B195" i="100"/>
  <c r="R194" i="100"/>
  <c r="P194" i="100" s="1"/>
  <c r="AA112" i="100" s="1"/>
  <c r="O194" i="100"/>
  <c r="G194" i="100"/>
  <c r="B194" i="100"/>
  <c r="B193" i="100"/>
  <c r="B192" i="100"/>
  <c r="O191" i="100"/>
  <c r="B191" i="100"/>
  <c r="O190" i="100"/>
  <c r="B190" i="100"/>
  <c r="O189" i="100"/>
  <c r="B189" i="100"/>
  <c r="O188" i="100"/>
  <c r="B188" i="100"/>
  <c r="O187" i="100"/>
  <c r="B187" i="100"/>
  <c r="B186" i="100"/>
  <c r="O185" i="100"/>
  <c r="P185" i="100" s="1"/>
  <c r="I185" i="100"/>
  <c r="M191" i="100" s="1"/>
  <c r="B185" i="100"/>
  <c r="O184" i="100"/>
  <c r="P184" i="100" s="1"/>
  <c r="L186" i="100" s="1"/>
  <c r="I184" i="100"/>
  <c r="M190" i="100" s="1"/>
  <c r="B184" i="100"/>
  <c r="B183" i="100"/>
  <c r="B182" i="100"/>
  <c r="R181" i="100"/>
  <c r="O181" i="100"/>
  <c r="P181" i="100" s="1"/>
  <c r="AA86" i="100" s="1"/>
  <c r="H181" i="100"/>
  <c r="B181" i="100"/>
  <c r="R180" i="100"/>
  <c r="O180" i="100"/>
  <c r="P180" i="100" s="1"/>
  <c r="AA85" i="100" s="1"/>
  <c r="H180" i="100"/>
  <c r="B180" i="100"/>
  <c r="R179" i="100"/>
  <c r="O179" i="100"/>
  <c r="P179" i="100" s="1"/>
  <c r="AA84" i="100" s="1"/>
  <c r="H179" i="100"/>
  <c r="B179" i="100"/>
  <c r="R178" i="100"/>
  <c r="O178" i="100"/>
  <c r="H178" i="100"/>
  <c r="B178" i="100"/>
  <c r="R177" i="100"/>
  <c r="P177" i="100" s="1"/>
  <c r="AA82" i="100" s="1"/>
  <c r="O177" i="100"/>
  <c r="H177" i="100"/>
  <c r="B168" i="100"/>
  <c r="B167" i="100"/>
  <c r="I164" i="100"/>
  <c r="H164" i="100"/>
  <c r="G164" i="100"/>
  <c r="F164" i="100"/>
  <c r="B162" i="100"/>
  <c r="O161" i="100"/>
  <c r="P161" i="100" s="1"/>
  <c r="O160" i="100"/>
  <c r="P160" i="100" s="1"/>
  <c r="R157" i="100"/>
  <c r="Q157" i="100"/>
  <c r="O157" i="100"/>
  <c r="P157" i="100" s="1"/>
  <c r="H157" i="100"/>
  <c r="G157" i="100"/>
  <c r="R156" i="100"/>
  <c r="P156" i="100" s="1"/>
  <c r="Q156" i="100"/>
  <c r="O156" i="100"/>
  <c r="H156" i="100"/>
  <c r="G156" i="100"/>
  <c r="R155" i="100"/>
  <c r="P155" i="100" s="1"/>
  <c r="Q155" i="100"/>
  <c r="O155" i="100"/>
  <c r="H155" i="100"/>
  <c r="G155" i="100"/>
  <c r="R154" i="100"/>
  <c r="Q154" i="100"/>
  <c r="O154" i="100"/>
  <c r="P154" i="100" s="1"/>
  <c r="H154" i="100"/>
  <c r="G154" i="100"/>
  <c r="AF153" i="100" a="1"/>
  <c r="AF153" i="100" s="1"/>
  <c r="B236" i="100" s="1"/>
  <c r="AE153" i="100"/>
  <c r="R153" i="100"/>
  <c r="Q153" i="100"/>
  <c r="O153" i="100"/>
  <c r="P153" i="100" s="1"/>
  <c r="H153" i="100"/>
  <c r="G153" i="100"/>
  <c r="B153" i="100"/>
  <c r="AF152" i="100" a="1"/>
  <c r="AF152" i="100" s="1"/>
  <c r="B235" i="100" s="1"/>
  <c r="AE152" i="100"/>
  <c r="R152" i="100"/>
  <c r="Q152" i="100"/>
  <c r="O152" i="100"/>
  <c r="P152" i="100" s="1"/>
  <c r="H152" i="100"/>
  <c r="G152" i="100"/>
  <c r="AF151" i="100" a="1"/>
  <c r="AF151" i="100" s="1"/>
  <c r="B234" i="100" s="1"/>
  <c r="AE151" i="100"/>
  <c r="R151" i="100"/>
  <c r="P151" i="100" s="1"/>
  <c r="Q151" i="100"/>
  <c r="O151" i="100"/>
  <c r="H151" i="100"/>
  <c r="G151" i="100"/>
  <c r="AF150" i="100" a="1"/>
  <c r="AF150" i="100" s="1"/>
  <c r="B233" i="100" s="1"/>
  <c r="AE150" i="100"/>
  <c r="R150" i="100"/>
  <c r="Q150" i="100"/>
  <c r="O150" i="100"/>
  <c r="P150" i="100" s="1"/>
  <c r="H150" i="100"/>
  <c r="G150" i="100"/>
  <c r="AF149" i="100" a="1"/>
  <c r="AF149" i="100" s="1"/>
  <c r="B232" i="100" s="1"/>
  <c r="AE149" i="100"/>
  <c r="R149" i="100"/>
  <c r="Q149" i="100"/>
  <c r="O149" i="100"/>
  <c r="P149" i="100" s="1"/>
  <c r="H149" i="100"/>
  <c r="G149" i="100"/>
  <c r="AF148" i="100" a="1"/>
  <c r="AF148" i="100" s="1"/>
  <c r="B231" i="100" s="1"/>
  <c r="AE148" i="100"/>
  <c r="R148" i="100"/>
  <c r="Q148" i="100"/>
  <c r="O148" i="100"/>
  <c r="P148" i="100" s="1"/>
  <c r="H148" i="100"/>
  <c r="G148" i="100"/>
  <c r="AF147" i="100" a="1"/>
  <c r="AF147" i="100" s="1"/>
  <c r="B230" i="100" s="1"/>
  <c r="AE147" i="100"/>
  <c r="R147" i="100"/>
  <c r="Q147" i="100"/>
  <c r="O147" i="100"/>
  <c r="P147" i="100" s="1"/>
  <c r="H147" i="100"/>
  <c r="G147" i="100"/>
  <c r="AF146" i="100" a="1"/>
  <c r="AF146" i="100" s="1"/>
  <c r="B229" i="100" s="1"/>
  <c r="AE146" i="100"/>
  <c r="R146" i="100"/>
  <c r="Q146" i="100"/>
  <c r="P146" i="100"/>
  <c r="O146" i="100"/>
  <c r="H146" i="100"/>
  <c r="G146" i="100"/>
  <c r="AF145" i="100" a="1"/>
  <c r="AF145" i="100" s="1"/>
  <c r="B228" i="100" s="1"/>
  <c r="AE145" i="100"/>
  <c r="R145" i="100"/>
  <c r="Q145" i="100"/>
  <c r="O145" i="100"/>
  <c r="P145" i="100" s="1"/>
  <c r="H145" i="100"/>
  <c r="G145" i="100"/>
  <c r="AF144" i="100" a="1"/>
  <c r="AF144" i="100" s="1"/>
  <c r="B227" i="100" s="1"/>
  <c r="AE144" i="100"/>
  <c r="R144" i="100"/>
  <c r="Q144" i="100"/>
  <c r="O144" i="100"/>
  <c r="H144" i="100"/>
  <c r="AF143" i="100" a="1"/>
  <c r="AF143" i="100" s="1"/>
  <c r="B226" i="100" s="1"/>
  <c r="AE143" i="100"/>
  <c r="R143" i="100"/>
  <c r="Q143" i="100"/>
  <c r="O143" i="100"/>
  <c r="P143" i="100" s="1"/>
  <c r="H143" i="100"/>
  <c r="G143" i="100"/>
  <c r="AF142" i="100" a="1"/>
  <c r="AF142" i="100" s="1"/>
  <c r="B225" i="100" s="1"/>
  <c r="AE142" i="100"/>
  <c r="R142" i="100"/>
  <c r="Q142" i="100"/>
  <c r="O142" i="100"/>
  <c r="P142" i="100" s="1"/>
  <c r="H142" i="100"/>
  <c r="AF141" i="100" a="1"/>
  <c r="AF141" i="100" s="1"/>
  <c r="B224" i="100" s="1"/>
  <c r="AE141" i="100"/>
  <c r="R141" i="100"/>
  <c r="Q141" i="100"/>
  <c r="O141" i="100"/>
  <c r="P141" i="100" s="1"/>
  <c r="H141" i="100"/>
  <c r="AF140" i="100" a="1"/>
  <c r="AF140" i="100" s="1"/>
  <c r="B223" i="100" s="1"/>
  <c r="AE140" i="100"/>
  <c r="R140" i="100"/>
  <c r="Q140" i="100"/>
  <c r="O140" i="100"/>
  <c r="P140" i="100" s="1"/>
  <c r="H140" i="100"/>
  <c r="AF139" i="100" a="1"/>
  <c r="AF139" i="100" s="1"/>
  <c r="B222" i="100" s="1"/>
  <c r="AE139" i="100"/>
  <c r="R139" i="100"/>
  <c r="Q139" i="100"/>
  <c r="O139" i="100"/>
  <c r="H139" i="100"/>
  <c r="AF138" i="100" a="1"/>
  <c r="AF138" i="100" s="1"/>
  <c r="B221" i="100" s="1"/>
  <c r="AE138" i="100"/>
  <c r="R138" i="100"/>
  <c r="Q138" i="100"/>
  <c r="O138" i="100"/>
  <c r="P138" i="100" s="1"/>
  <c r="H138" i="100"/>
  <c r="AF137" i="100" a="1"/>
  <c r="AF137" i="100" s="1"/>
  <c r="B220" i="100" s="1"/>
  <c r="AE137" i="100"/>
  <c r="H137" i="100"/>
  <c r="AF136" i="100" a="1"/>
  <c r="AF136" i="100" s="1"/>
  <c r="B219" i="100" s="1"/>
  <c r="AE136" i="100"/>
  <c r="AF135" i="100" a="1"/>
  <c r="AF135" i="100" s="1"/>
  <c r="B218" i="100" s="1"/>
  <c r="AE135" i="100"/>
  <c r="R135" i="100"/>
  <c r="Q135" i="100"/>
  <c r="O135" i="100"/>
  <c r="R134" i="100"/>
  <c r="Q134" i="100"/>
  <c r="O134" i="100"/>
  <c r="P134" i="100" s="1"/>
  <c r="B97" i="100" s="1"/>
  <c r="R133" i="100"/>
  <c r="Q133" i="100"/>
  <c r="O133" i="100"/>
  <c r="P133" i="100" s="1"/>
  <c r="B96" i="100" s="1"/>
  <c r="R132" i="100"/>
  <c r="Q132" i="100"/>
  <c r="O132" i="100"/>
  <c r="P132" i="100" s="1"/>
  <c r="B95" i="100" s="1"/>
  <c r="P129" i="100"/>
  <c r="B94" i="100" s="1"/>
  <c r="F129" i="100" a="1"/>
  <c r="F129" i="100" s="1"/>
  <c r="B93" i="100" s="1"/>
  <c r="E129" i="100" a="1"/>
  <c r="E129" i="100" s="1"/>
  <c r="P128" i="100"/>
  <c r="F128" i="100" a="1"/>
  <c r="F128" i="100" s="1"/>
  <c r="B91" i="100" s="1"/>
  <c r="E128" i="100" a="1"/>
  <c r="E128" i="100" s="1"/>
  <c r="P127" i="100"/>
  <c r="B90" i="100" s="1"/>
  <c r="F127" i="100" a="1"/>
  <c r="F127" i="100" s="1"/>
  <c r="B89" i="100" s="1"/>
  <c r="E127" i="100"/>
  <c r="E127" i="100" a="1"/>
  <c r="R126" i="100"/>
  <c r="P126" i="100"/>
  <c r="R129" i="100" s="1"/>
  <c r="F126" i="100"/>
  <c r="B87" i="100" s="1"/>
  <c r="E126" i="100"/>
  <c r="P125" i="100"/>
  <c r="B85" i="100" s="1"/>
  <c r="E125" i="100"/>
  <c r="Z121" i="100"/>
  <c r="O120" i="100"/>
  <c r="P120" i="100" s="1"/>
  <c r="H120" i="100"/>
  <c r="G120" i="100"/>
  <c r="Z119" i="100"/>
  <c r="O119" i="100"/>
  <c r="P119" i="100" s="1"/>
  <c r="H119" i="100"/>
  <c r="G119" i="100"/>
  <c r="Z118" i="100"/>
  <c r="P118" i="100"/>
  <c r="O118" i="100"/>
  <c r="H118" i="100"/>
  <c r="G118" i="100"/>
  <c r="Z117" i="100"/>
  <c r="O117" i="100"/>
  <c r="P117" i="100" s="1"/>
  <c r="H117" i="100"/>
  <c r="G117" i="100"/>
  <c r="Z116" i="100"/>
  <c r="O116" i="100"/>
  <c r="P116" i="100" s="1"/>
  <c r="H116" i="100"/>
  <c r="G116" i="100"/>
  <c r="AA115" i="100"/>
  <c r="Z115" i="100"/>
  <c r="O115" i="100"/>
  <c r="P115" i="100" s="1"/>
  <c r="H115" i="100"/>
  <c r="G115" i="100"/>
  <c r="Z114" i="100"/>
  <c r="P114" i="100"/>
  <c r="O114" i="100"/>
  <c r="H114" i="100"/>
  <c r="G114" i="100"/>
  <c r="O113" i="100"/>
  <c r="P113" i="100" s="1"/>
  <c r="H113" i="100"/>
  <c r="G113" i="100"/>
  <c r="Z112" i="100"/>
  <c r="P112" i="100"/>
  <c r="O112" i="100"/>
  <c r="H112" i="100"/>
  <c r="G112" i="100"/>
  <c r="O111" i="100"/>
  <c r="P111" i="100" s="1"/>
  <c r="H111" i="100"/>
  <c r="G111" i="100"/>
  <c r="P110" i="100"/>
  <c r="O110" i="100"/>
  <c r="H110" i="100"/>
  <c r="G110" i="100"/>
  <c r="O109" i="100"/>
  <c r="P109" i="100" s="1"/>
  <c r="H109" i="100"/>
  <c r="G109" i="100"/>
  <c r="O108" i="100"/>
  <c r="P108" i="100" s="1"/>
  <c r="H108" i="100"/>
  <c r="G108" i="100"/>
  <c r="O107" i="100"/>
  <c r="P107" i="100" s="1"/>
  <c r="H107" i="100"/>
  <c r="G107" i="100"/>
  <c r="O106" i="100"/>
  <c r="P106" i="100" s="1"/>
  <c r="H106" i="100"/>
  <c r="G106" i="100"/>
  <c r="O105" i="100"/>
  <c r="P105" i="100" s="1"/>
  <c r="H105" i="100"/>
  <c r="G105" i="100"/>
  <c r="O104" i="100"/>
  <c r="P104" i="100" s="1"/>
  <c r="H104" i="100"/>
  <c r="G104" i="100"/>
  <c r="O103" i="100"/>
  <c r="P103" i="100" s="1"/>
  <c r="H103" i="100"/>
  <c r="G103" i="100"/>
  <c r="P102" i="100"/>
  <c r="O102" i="100"/>
  <c r="H102" i="100"/>
  <c r="G102" i="100"/>
  <c r="B102" i="100"/>
  <c r="O101" i="100"/>
  <c r="P101" i="100" s="1"/>
  <c r="H101" i="100"/>
  <c r="G101" i="100"/>
  <c r="B100" i="100"/>
  <c r="R98" i="100"/>
  <c r="Q98" i="100"/>
  <c r="O98" i="100"/>
  <c r="H98" i="100"/>
  <c r="R97" i="100"/>
  <c r="Q97" i="100"/>
  <c r="O97" i="100"/>
  <c r="P97" i="100" s="1"/>
  <c r="H97" i="100"/>
  <c r="R96" i="100"/>
  <c r="P96" i="100" s="1"/>
  <c r="Q96" i="100"/>
  <c r="O96" i="100"/>
  <c r="H96" i="100"/>
  <c r="R95" i="100"/>
  <c r="Q95" i="100"/>
  <c r="O95" i="100"/>
  <c r="P95" i="100" s="1"/>
  <c r="H95" i="100"/>
  <c r="R94" i="100"/>
  <c r="Q94" i="100"/>
  <c r="O94" i="100"/>
  <c r="H94" i="100"/>
  <c r="R93" i="100"/>
  <c r="Q93" i="100"/>
  <c r="O93" i="100"/>
  <c r="P93" i="100" s="1"/>
  <c r="H93" i="100"/>
  <c r="R92" i="100"/>
  <c r="P92" i="100" s="1"/>
  <c r="Q92" i="100"/>
  <c r="O92" i="100"/>
  <c r="H92" i="100"/>
  <c r="B92" i="100"/>
  <c r="R91" i="100"/>
  <c r="Q91" i="100"/>
  <c r="O91" i="100"/>
  <c r="P91" i="100" s="1"/>
  <c r="H91" i="100"/>
  <c r="R90" i="100"/>
  <c r="P90" i="100" s="1"/>
  <c r="Q90" i="100"/>
  <c r="O90" i="100"/>
  <c r="H90" i="100"/>
  <c r="R89" i="100"/>
  <c r="Q89" i="100"/>
  <c r="O89" i="100"/>
  <c r="P89" i="100" s="1"/>
  <c r="H89" i="100"/>
  <c r="R88" i="100"/>
  <c r="Q88" i="100"/>
  <c r="O88" i="100"/>
  <c r="H88" i="100"/>
  <c r="B88" i="100"/>
  <c r="R87" i="100"/>
  <c r="Q87" i="100"/>
  <c r="O87" i="100"/>
  <c r="P87" i="100" s="1"/>
  <c r="H87" i="100"/>
  <c r="R86" i="100"/>
  <c r="Q86" i="100"/>
  <c r="O86" i="100"/>
  <c r="H86" i="100"/>
  <c r="B86" i="100"/>
  <c r="R85" i="100"/>
  <c r="Q85" i="100"/>
  <c r="O85" i="100"/>
  <c r="P85" i="100" s="1"/>
  <c r="H85" i="100"/>
  <c r="R84" i="100"/>
  <c r="Q84" i="100"/>
  <c r="O84" i="100"/>
  <c r="P84" i="100" s="1"/>
  <c r="H84" i="100"/>
  <c r="R83" i="100"/>
  <c r="Q83" i="100"/>
  <c r="O83" i="100"/>
  <c r="H83" i="100"/>
  <c r="B83" i="100"/>
  <c r="R82" i="100"/>
  <c r="Q82" i="100"/>
  <c r="O82" i="100"/>
  <c r="P82" i="100" s="1"/>
  <c r="H82" i="100"/>
  <c r="B82" i="100"/>
  <c r="R81" i="100"/>
  <c r="Q81" i="100"/>
  <c r="O81" i="100"/>
  <c r="H81" i="100"/>
  <c r="B81" i="100"/>
  <c r="R80" i="100"/>
  <c r="Q80" i="100"/>
  <c r="O80" i="100"/>
  <c r="H80" i="100"/>
  <c r="B80" i="100"/>
  <c r="R79" i="100"/>
  <c r="Q79" i="100"/>
  <c r="O79" i="100"/>
  <c r="P79" i="100" s="1"/>
  <c r="H79" i="100"/>
  <c r="B79" i="100"/>
  <c r="B78" i="100"/>
  <c r="B77" i="100"/>
  <c r="B76" i="100"/>
  <c r="B75" i="100"/>
  <c r="O74" i="100"/>
  <c r="B74" i="100"/>
  <c r="AF73" i="100"/>
  <c r="B343" i="100" s="1"/>
  <c r="AE73" i="100" a="1"/>
  <c r="AE73" i="100" s="1"/>
  <c r="B313" i="100" s="1"/>
  <c r="AD73" i="100" a="1"/>
  <c r="AD73" i="100" s="1"/>
  <c r="B283" i="100" s="1"/>
  <c r="O73" i="100"/>
  <c r="P73" i="100" s="1"/>
  <c r="B109" i="100" s="1"/>
  <c r="B73" i="100"/>
  <c r="AF72" i="100"/>
  <c r="B342" i="100" s="1"/>
  <c r="AE72" i="100" a="1"/>
  <c r="AE72" i="100" s="1"/>
  <c r="B312" i="100" s="1"/>
  <c r="AD72" i="100" a="1"/>
  <c r="AD72" i="100" s="1"/>
  <c r="B282" i="100" s="1"/>
  <c r="O72" i="100"/>
  <c r="P72" i="100" s="1"/>
  <c r="B72" i="100"/>
  <c r="AF71" i="100"/>
  <c r="B341" i="100" s="1"/>
  <c r="AE71" i="100" a="1"/>
  <c r="AE71" i="100" s="1"/>
  <c r="B311" i="100" s="1"/>
  <c r="AD71" i="100" a="1"/>
  <c r="AD71" i="100" s="1"/>
  <c r="B281" i="100" s="1"/>
  <c r="B71" i="100"/>
  <c r="AF70" i="100"/>
  <c r="B340" i="100" s="1"/>
  <c r="AE70" i="100" a="1"/>
  <c r="AE70" i="100" s="1"/>
  <c r="B310" i="100" s="1"/>
  <c r="AD70" i="100" a="1"/>
  <c r="AD70" i="100" s="1"/>
  <c r="B280" i="100" s="1"/>
  <c r="B70" i="100"/>
  <c r="AF69" i="100"/>
  <c r="B339" i="100" s="1"/>
  <c r="AE69" i="100" a="1"/>
  <c r="AE69" i="100" s="1"/>
  <c r="B309" i="100" s="1"/>
  <c r="AD69" i="100" a="1"/>
  <c r="AD69" i="100" s="1"/>
  <c r="B279" i="100" s="1"/>
  <c r="V69" i="100"/>
  <c r="O69" i="100"/>
  <c r="P69" i="100" s="1"/>
  <c r="B69" i="100"/>
  <c r="AF68" i="100"/>
  <c r="B338" i="100" s="1"/>
  <c r="AE68" i="100" a="1"/>
  <c r="AE68" i="100" s="1"/>
  <c r="B308" i="100" s="1"/>
  <c r="AD68" i="100" a="1"/>
  <c r="AD68" i="100" s="1"/>
  <c r="B278" i="100" s="1"/>
  <c r="V68" i="100"/>
  <c r="P68" i="100"/>
  <c r="B48" i="100" s="1"/>
  <c r="O68" i="100"/>
  <c r="B68" i="100"/>
  <c r="AF67" i="100"/>
  <c r="AE67" i="100" a="1"/>
  <c r="AE67" i="100" s="1"/>
  <c r="B307" i="100" s="1"/>
  <c r="AD67" i="100" a="1"/>
  <c r="AD67" i="100" s="1"/>
  <c r="B277" i="100" s="1"/>
  <c r="V67" i="100"/>
  <c r="O67" i="100"/>
  <c r="P67" i="100" s="1"/>
  <c r="B47" i="100" s="1"/>
  <c r="B67" i="100"/>
  <c r="AF66" i="100"/>
  <c r="B336" i="100" s="1"/>
  <c r="AE66" i="100" a="1"/>
  <c r="AE66" i="100" s="1"/>
  <c r="B306" i="100" s="1"/>
  <c r="AD66" i="100" a="1"/>
  <c r="AD66" i="100" s="1"/>
  <c r="B276" i="100" s="1"/>
  <c r="V66" i="100"/>
  <c r="O66" i="100"/>
  <c r="P66" i="100" s="1"/>
  <c r="B46" i="100" s="1"/>
  <c r="B66" i="100"/>
  <c r="AF65" i="100"/>
  <c r="AE65" i="100" a="1"/>
  <c r="AE65" i="100" s="1"/>
  <c r="B305" i="100" s="1"/>
  <c r="AD65" i="100" a="1"/>
  <c r="AD65" i="100" s="1"/>
  <c r="B275" i="100" s="1"/>
  <c r="V65" i="100"/>
  <c r="O65" i="100"/>
  <c r="P65" i="100" s="1"/>
  <c r="B65" i="100"/>
  <c r="AF64" i="100"/>
  <c r="B334" i="100" s="1"/>
  <c r="AE64" i="100" a="1"/>
  <c r="AE64" i="100" s="1"/>
  <c r="B304" i="100" s="1"/>
  <c r="AD64" i="100"/>
  <c r="B274" i="100" s="1"/>
  <c r="AD64" i="100" a="1"/>
  <c r="V64" i="100"/>
  <c r="O64" i="100"/>
  <c r="P64" i="100" s="1"/>
  <c r="B64" i="100"/>
  <c r="AF63" i="100"/>
  <c r="B333" i="100" s="1"/>
  <c r="AE63" i="100" a="1"/>
  <c r="AE63" i="100" s="1"/>
  <c r="B303" i="100" s="1"/>
  <c r="AD63" i="100" a="1"/>
  <c r="AD63" i="100" s="1"/>
  <c r="B273" i="100" s="1"/>
  <c r="V63" i="100"/>
  <c r="P63" i="100"/>
  <c r="AJ21" i="100" s="1"/>
  <c r="AK21" i="100" s="1"/>
  <c r="O63" i="100"/>
  <c r="B63" i="100"/>
  <c r="AF62" i="100"/>
  <c r="B332" i="100" s="1"/>
  <c r="AE62" i="100" a="1"/>
  <c r="AE62" i="100" s="1"/>
  <c r="B302" i="100" s="1"/>
  <c r="AD62" i="100" a="1"/>
  <c r="AD62" i="100" s="1"/>
  <c r="B272" i="100" s="1"/>
  <c r="V62" i="100"/>
  <c r="O62" i="100"/>
  <c r="P62" i="100" s="1"/>
  <c r="B62" i="100"/>
  <c r="AF61" i="100"/>
  <c r="B331" i="100" s="1"/>
  <c r="AE61" i="100" a="1"/>
  <c r="AE61" i="100" s="1"/>
  <c r="B301" i="100" s="1"/>
  <c r="AD61" i="100"/>
  <c r="B271" i="100" s="1"/>
  <c r="AD61" i="100" a="1"/>
  <c r="B61" i="100"/>
  <c r="AF60" i="100"/>
  <c r="B330" i="100" s="1"/>
  <c r="AE60" i="100" a="1"/>
  <c r="AE60" i="100" s="1"/>
  <c r="B300" i="100" s="1"/>
  <c r="AD60" i="100" a="1"/>
  <c r="AD60" i="100" s="1"/>
  <c r="B270" i="100" s="1"/>
  <c r="B60" i="100"/>
  <c r="AF59" i="100"/>
  <c r="B329" i="100" s="1"/>
  <c r="AE59" i="100" a="1"/>
  <c r="AE59" i="100" s="1"/>
  <c r="B299" i="100" s="1"/>
  <c r="AD59" i="100"/>
  <c r="B269" i="100" s="1"/>
  <c r="AD59" i="100" a="1"/>
  <c r="V59" i="100"/>
  <c r="O59" i="100"/>
  <c r="P59" i="100" s="1"/>
  <c r="AF58" i="100"/>
  <c r="B328" i="100" s="1"/>
  <c r="AE58" i="100" a="1"/>
  <c r="AE58" i="100" s="1"/>
  <c r="B298" i="100" s="1"/>
  <c r="AD58" i="100" a="1"/>
  <c r="AD58" i="100" s="1"/>
  <c r="B268" i="100" s="1"/>
  <c r="V58" i="100"/>
  <c r="O58" i="100"/>
  <c r="P58" i="100" s="1"/>
  <c r="AF57" i="100"/>
  <c r="B327" i="100" s="1"/>
  <c r="AE57" i="100" a="1"/>
  <c r="AE57" i="100" s="1"/>
  <c r="B297" i="100" s="1"/>
  <c r="AD57" i="100" a="1"/>
  <c r="AD57" i="100" s="1"/>
  <c r="B267" i="100" s="1"/>
  <c r="V57" i="100"/>
  <c r="O57" i="100"/>
  <c r="P57" i="100" s="1"/>
  <c r="AJ48" i="100" s="1"/>
  <c r="AK48" i="100" s="1"/>
  <c r="AF56" i="100"/>
  <c r="B326" i="100" s="1"/>
  <c r="AE56" i="100" a="1"/>
  <c r="AE56" i="100" s="1"/>
  <c r="B296" i="100" s="1"/>
  <c r="AD56" i="100" a="1"/>
  <c r="AD56" i="100" s="1"/>
  <c r="B266" i="100" s="1"/>
  <c r="V56" i="100"/>
  <c r="O56" i="100"/>
  <c r="P56" i="100" s="1"/>
  <c r="AF55" i="100"/>
  <c r="B325" i="100" s="1"/>
  <c r="AE55" i="100" a="1"/>
  <c r="AE55" i="100" s="1"/>
  <c r="B295" i="100" s="1"/>
  <c r="AD55" i="100"/>
  <c r="AD55" i="100" a="1"/>
  <c r="V55" i="100"/>
  <c r="O55" i="100"/>
  <c r="P55" i="100" s="1"/>
  <c r="B37" i="100" s="1"/>
  <c r="AF54" i="100"/>
  <c r="B324" i="100" s="1"/>
  <c r="AE54" i="100" a="1"/>
  <c r="AE54" i="100" s="1"/>
  <c r="B294" i="100" s="1"/>
  <c r="AD54" i="100"/>
  <c r="AD54" i="100" a="1"/>
  <c r="V54" i="100"/>
  <c r="O54" i="100"/>
  <c r="P54" i="100" s="1"/>
  <c r="AJ20" i="100" s="1"/>
  <c r="AK20" i="100" s="1"/>
  <c r="AF53" i="100"/>
  <c r="B323" i="100" s="1"/>
  <c r="AE53" i="100" a="1"/>
  <c r="AE53" i="100" s="1"/>
  <c r="B293" i="100" s="1"/>
  <c r="AD53" i="100"/>
  <c r="B263" i="100" s="1"/>
  <c r="AD53" i="100" a="1"/>
  <c r="V53" i="100"/>
  <c r="P53" i="100"/>
  <c r="O53" i="100"/>
  <c r="AF52" i="100"/>
  <c r="B322" i="100" s="1"/>
  <c r="AE52" i="100" a="1"/>
  <c r="AE52" i="100" s="1"/>
  <c r="B292" i="100" s="1"/>
  <c r="AD52" i="100" a="1"/>
  <c r="AD52" i="100" s="1"/>
  <c r="B262" i="100" s="1"/>
  <c r="V52" i="100"/>
  <c r="P52" i="100"/>
  <c r="O52" i="100"/>
  <c r="AF51" i="100"/>
  <c r="AE51" i="100" a="1"/>
  <c r="AE51" i="100" s="1"/>
  <c r="B291" i="100" s="1"/>
  <c r="AD51" i="100" a="1"/>
  <c r="AD51" i="100" s="1"/>
  <c r="B261" i="100" s="1"/>
  <c r="AF50" i="100"/>
  <c r="B320" i="100" s="1"/>
  <c r="AE50" i="100" a="1"/>
  <c r="AE50" i="100" s="1"/>
  <c r="B290" i="100" s="1"/>
  <c r="AD50" i="100" a="1"/>
  <c r="AD50" i="100" s="1"/>
  <c r="B260" i="100" s="1"/>
  <c r="AF49" i="100"/>
  <c r="B319" i="100" s="1"/>
  <c r="AE49" i="100" a="1"/>
  <c r="AE49" i="100" s="1"/>
  <c r="B289" i="100" s="1"/>
  <c r="AD49" i="100"/>
  <c r="B259" i="100" s="1"/>
  <c r="AD49" i="100" a="1"/>
  <c r="V49" i="100"/>
  <c r="P49" i="100"/>
  <c r="B33" i="100" s="1"/>
  <c r="O49" i="100"/>
  <c r="AF48" i="100"/>
  <c r="AE48" i="100" a="1"/>
  <c r="AE48" i="100" s="1"/>
  <c r="B288" i="100" s="1"/>
  <c r="AD48" i="100" a="1"/>
  <c r="AD48" i="100" s="1"/>
  <c r="B258" i="100" s="1"/>
  <c r="V48" i="100"/>
  <c r="P48" i="100"/>
  <c r="B32" i="100" s="1"/>
  <c r="O48" i="100"/>
  <c r="V47" i="100"/>
  <c r="O47" i="100"/>
  <c r="P47" i="100" s="1"/>
  <c r="V46" i="100"/>
  <c r="O46" i="100"/>
  <c r="P46" i="100" s="1"/>
  <c r="B30" i="100" s="1"/>
  <c r="V45" i="100"/>
  <c r="O45" i="100"/>
  <c r="P45" i="100" s="1"/>
  <c r="V44" i="100"/>
  <c r="O44" i="100"/>
  <c r="P44" i="100" s="1"/>
  <c r="V43" i="100"/>
  <c r="O43" i="100"/>
  <c r="P43" i="100" s="1"/>
  <c r="B43" i="100"/>
  <c r="V42" i="100"/>
  <c r="O42" i="100"/>
  <c r="P42" i="100" s="1"/>
  <c r="AA41" i="100"/>
  <c r="Z41" i="100" s="1"/>
  <c r="AA40" i="100"/>
  <c r="Z40" i="100" s="1"/>
  <c r="AA39" i="100"/>
  <c r="Z39" i="100" s="1"/>
  <c r="AA38" i="100"/>
  <c r="Z38" i="100" s="1"/>
  <c r="V38" i="100"/>
  <c r="O38" i="100"/>
  <c r="P38" i="100" s="1"/>
  <c r="AA37" i="100"/>
  <c r="Z37" i="100" s="1"/>
  <c r="V37" i="100"/>
  <c r="O37" i="100"/>
  <c r="P37" i="100"/>
  <c r="AA36" i="100"/>
  <c r="Z36" i="100" s="1"/>
  <c r="V36" i="100"/>
  <c r="O36" i="100"/>
  <c r="P36" i="100" s="1"/>
  <c r="AA35" i="100"/>
  <c r="Z35" i="100" s="1"/>
  <c r="B35" i="100"/>
  <c r="AA34" i="100"/>
  <c r="Z34" i="100" s="1"/>
  <c r="B34" i="100"/>
  <c r="AA33" i="100"/>
  <c r="Z33" i="100" s="1"/>
  <c r="O33" i="100"/>
  <c r="P33" i="100" s="1"/>
  <c r="AJ47" i="100" s="1"/>
  <c r="AA32" i="100"/>
  <c r="Z32" i="100" s="1"/>
  <c r="V32" i="100"/>
  <c r="P32" i="100"/>
  <c r="AJ17" i="100" s="1"/>
  <c r="AK17" i="100" s="1"/>
  <c r="O32" i="100"/>
  <c r="AF31" i="100"/>
  <c r="B174" i="100" s="1"/>
  <c r="AD31" i="100"/>
  <c r="B144" i="100" s="1"/>
  <c r="AA31" i="100"/>
  <c r="Z31" i="100" s="1"/>
  <c r="O31" i="100"/>
  <c r="AF30" i="100"/>
  <c r="B173" i="100" s="1"/>
  <c r="AD30" i="100"/>
  <c r="B143" i="100" s="1"/>
  <c r="AA30" i="100"/>
  <c r="Z30" i="100" s="1"/>
  <c r="AF29" i="100"/>
  <c r="B172" i="100" s="1"/>
  <c r="AD29" i="100"/>
  <c r="B142" i="100" s="1"/>
  <c r="AA29" i="100"/>
  <c r="Z29" i="100" s="1"/>
  <c r="AF28" i="100"/>
  <c r="B171" i="100" s="1"/>
  <c r="AD28" i="100"/>
  <c r="B141" i="100" s="1"/>
  <c r="AA28" i="100"/>
  <c r="Z28" i="100" s="1"/>
  <c r="V28" i="100"/>
  <c r="O28" i="100"/>
  <c r="P28" i="100" s="1"/>
  <c r="AF27" i="100"/>
  <c r="B170" i="100" s="1"/>
  <c r="AD27" i="100"/>
  <c r="B140" i="100" s="1"/>
  <c r="AA27" i="100"/>
  <c r="Z27" i="100" s="1"/>
  <c r="V27" i="100"/>
  <c r="O27" i="100"/>
  <c r="P27" i="100" s="1"/>
  <c r="AJ58" i="100" s="1"/>
  <c r="AK58" i="100" s="1"/>
  <c r="AF26" i="100"/>
  <c r="B169" i="100" s="1"/>
  <c r="AD26" i="100"/>
  <c r="B139" i="100" s="1"/>
  <c r="AA26" i="100"/>
  <c r="Z26" i="100" s="1"/>
  <c r="V26" i="100"/>
  <c r="O26" i="100"/>
  <c r="AF25" i="100"/>
  <c r="AD25" i="100"/>
  <c r="B138" i="100" s="1"/>
  <c r="AA25" i="100"/>
  <c r="Z25" i="100" s="1"/>
  <c r="AF24" i="100"/>
  <c r="AD24" i="100"/>
  <c r="B137" i="100" s="1"/>
  <c r="AA24" i="100"/>
  <c r="Z24" i="100" s="1"/>
  <c r="AF23" i="100"/>
  <c r="B166" i="100" s="1"/>
  <c r="AD23" i="100"/>
  <c r="B136" i="100" s="1"/>
  <c r="AA23" i="100"/>
  <c r="Z23" i="100" s="1"/>
  <c r="N23" i="100"/>
  <c r="AF22" i="100"/>
  <c r="B165" i="100" s="1"/>
  <c r="AD22" i="100"/>
  <c r="B135" i="100" s="1"/>
  <c r="AA22" i="100"/>
  <c r="Z22" i="100" s="1"/>
  <c r="AF21" i="100"/>
  <c r="B164" i="100" s="1"/>
  <c r="AD21" i="100"/>
  <c r="B134" i="100" s="1"/>
  <c r="AA21" i="100"/>
  <c r="N21" i="100"/>
  <c r="AF20" i="100"/>
  <c r="B163" i="100" s="1"/>
  <c r="AD20" i="100"/>
  <c r="B133" i="100" s="1"/>
  <c r="AA20" i="100"/>
  <c r="N20" i="100"/>
  <c r="AF19" i="100"/>
  <c r="AD19" i="100"/>
  <c r="B132" i="100" s="1"/>
  <c r="AA19" i="100"/>
  <c r="N19" i="100"/>
  <c r="AF18" i="100"/>
  <c r="B161" i="100" s="1"/>
  <c r="AD18" i="100"/>
  <c r="B131" i="100" s="1"/>
  <c r="AA18" i="100"/>
  <c r="N18" i="100"/>
  <c r="AF17" i="100"/>
  <c r="B160" i="100" s="1"/>
  <c r="AD17" i="100"/>
  <c r="B130" i="100" s="1"/>
  <c r="AA17" i="100"/>
  <c r="N17" i="100"/>
  <c r="AF16" i="100"/>
  <c r="B159" i="100" s="1"/>
  <c r="AD16" i="100"/>
  <c r="B129" i="100" s="1"/>
  <c r="AA16" i="100"/>
  <c r="B16" i="100"/>
  <c r="AF15" i="100"/>
  <c r="B158" i="100" s="1"/>
  <c r="AD15" i="100"/>
  <c r="B128" i="100" s="1"/>
  <c r="AA15" i="100"/>
  <c r="B15" i="100"/>
  <c r="AF14" i="100"/>
  <c r="B157" i="100" s="1"/>
  <c r="AD14" i="100"/>
  <c r="B127" i="100" s="1"/>
  <c r="AA14" i="100"/>
  <c r="B14" i="100"/>
  <c r="AF13" i="100"/>
  <c r="B156" i="100" s="1"/>
  <c r="AD13" i="100"/>
  <c r="B126" i="100" s="1"/>
  <c r="AA13" i="100"/>
  <c r="AF12" i="100"/>
  <c r="B155" i="100" s="1"/>
  <c r="AD12" i="100"/>
  <c r="B125" i="100" s="1"/>
  <c r="AA12" i="100"/>
  <c r="B12" i="100"/>
  <c r="B13" i="100" s="1"/>
  <c r="AF11" i="100"/>
  <c r="B154" i="100" s="1"/>
  <c r="AD11" i="100"/>
  <c r="B124" i="100" s="1"/>
  <c r="AA11" i="100"/>
  <c r="B11" i="100"/>
  <c r="AF10" i="100"/>
  <c r="AD10" i="100"/>
  <c r="B123" i="100" s="1"/>
  <c r="AA10" i="100"/>
  <c r="N10" i="100"/>
  <c r="AF9" i="100"/>
  <c r="B152" i="100" s="1"/>
  <c r="AD9" i="100"/>
  <c r="B122" i="100" s="1"/>
  <c r="AA9" i="100"/>
  <c r="B9" i="100"/>
  <c r="B10" i="100" s="1"/>
  <c r="AJ8" i="100"/>
  <c r="AK8" i="100" s="1"/>
  <c r="AF8" i="100"/>
  <c r="B151" i="100" s="1"/>
  <c r="AD8" i="100"/>
  <c r="B121" i="100" s="1"/>
  <c r="AA8" i="100"/>
  <c r="N8" i="100"/>
  <c r="G8" i="100"/>
  <c r="D8" i="100"/>
  <c r="B8" i="100"/>
  <c r="AF7" i="100"/>
  <c r="B150" i="100" s="1"/>
  <c r="AD7" i="100"/>
  <c r="B120" i="100" s="1"/>
  <c r="AA7" i="100"/>
  <c r="D7" i="100"/>
  <c r="B7" i="100"/>
  <c r="AA6" i="100"/>
  <c r="B6" i="100"/>
  <c r="AJ5" i="100"/>
  <c r="AK5" i="100" s="1"/>
  <c r="AA5" i="100"/>
  <c r="B5" i="100"/>
  <c r="AA4" i="100"/>
  <c r="N4" i="100"/>
  <c r="AA3" i="100"/>
  <c r="AA2" i="100"/>
  <c r="B2" i="100"/>
  <c r="M218" i="99"/>
  <c r="P218" i="99" s="1"/>
  <c r="B354" i="99" s="1"/>
  <c r="L164" i="99"/>
  <c r="N163" i="99"/>
  <c r="L78" i="99"/>
  <c r="N77" i="99"/>
  <c r="N71" i="99"/>
  <c r="N40" i="99"/>
  <c r="B364" i="99"/>
  <c r="B363" i="99"/>
  <c r="B362" i="99"/>
  <c r="B361" i="99"/>
  <c r="B360" i="99"/>
  <c r="B359" i="99"/>
  <c r="B358" i="99"/>
  <c r="B357" i="99"/>
  <c r="B336" i="99"/>
  <c r="B335" i="99"/>
  <c r="E285" i="99"/>
  <c r="E286" i="99" s="1"/>
  <c r="E287" i="99" s="1"/>
  <c r="E288" i="99" s="1"/>
  <c r="E289" i="99" s="1"/>
  <c r="E290" i="99" s="1"/>
  <c r="E291" i="99" s="1"/>
  <c r="E292" i="99" s="1"/>
  <c r="E293" i="99" s="1"/>
  <c r="E294" i="99" s="1"/>
  <c r="E295" i="99" s="1"/>
  <c r="E296" i="99" s="1"/>
  <c r="E297" i="99" s="1"/>
  <c r="E298" i="99" s="1"/>
  <c r="E299" i="99" s="1"/>
  <c r="E300" i="99" s="1"/>
  <c r="E301" i="99" s="1"/>
  <c r="E302" i="99" s="1"/>
  <c r="E303" i="99" s="1"/>
  <c r="E304" i="99" s="1"/>
  <c r="E305" i="99" s="1"/>
  <c r="E306" i="99" s="1"/>
  <c r="E307" i="99" s="1"/>
  <c r="E308" i="99" s="1"/>
  <c r="E309" i="99" s="1"/>
  <c r="E310" i="99" s="1"/>
  <c r="E311" i="99" s="1"/>
  <c r="E312" i="99" s="1"/>
  <c r="E313" i="99" s="1"/>
  <c r="E314" i="99" s="1"/>
  <c r="E315" i="99" s="1"/>
  <c r="E316" i="99" s="1"/>
  <c r="E282" i="99"/>
  <c r="E283" i="99" s="1"/>
  <c r="E284" i="99" s="1"/>
  <c r="E281" i="99"/>
  <c r="H238" i="99"/>
  <c r="H237" i="99"/>
  <c r="H236" i="99"/>
  <c r="F234" i="99"/>
  <c r="H234" i="99" s="1"/>
  <c r="B216" i="99"/>
  <c r="R215" i="99"/>
  <c r="Q215" i="99"/>
  <c r="O215" i="99"/>
  <c r="P215" i="99" s="1"/>
  <c r="H215" i="99"/>
  <c r="G215" i="99"/>
  <c r="B215" i="99"/>
  <c r="R214" i="99"/>
  <c r="Q214" i="99"/>
  <c r="O214" i="99"/>
  <c r="H214" i="99"/>
  <c r="G214" i="99"/>
  <c r="B214" i="99"/>
  <c r="R213" i="99"/>
  <c r="Q213" i="99"/>
  <c r="O213" i="99"/>
  <c r="P213" i="99" s="1"/>
  <c r="H213" i="99"/>
  <c r="G213" i="99"/>
  <c r="B213" i="99"/>
  <c r="R212" i="99"/>
  <c r="Q212" i="99"/>
  <c r="O212" i="99"/>
  <c r="P212" i="99" s="1"/>
  <c r="H212" i="99"/>
  <c r="G212" i="99"/>
  <c r="B212" i="99"/>
  <c r="R211" i="99"/>
  <c r="Q211" i="99"/>
  <c r="O211" i="99"/>
  <c r="P211" i="99" s="1"/>
  <c r="H211" i="99"/>
  <c r="G211" i="99"/>
  <c r="B211" i="99"/>
  <c r="R210" i="99"/>
  <c r="Q210" i="99"/>
  <c r="O210" i="99"/>
  <c r="P210" i="99" s="1"/>
  <c r="H210" i="99"/>
  <c r="G210" i="99"/>
  <c r="B210" i="99"/>
  <c r="R209" i="99"/>
  <c r="Q209" i="99"/>
  <c r="O209" i="99"/>
  <c r="P209" i="99" s="1"/>
  <c r="H209" i="99"/>
  <c r="G209" i="99"/>
  <c r="B209" i="99"/>
  <c r="R208" i="99"/>
  <c r="Q208" i="99"/>
  <c r="O208" i="99"/>
  <c r="H208" i="99"/>
  <c r="G208" i="99"/>
  <c r="B208" i="99"/>
  <c r="R207" i="99"/>
  <c r="Q207" i="99"/>
  <c r="O207" i="99"/>
  <c r="H207" i="99"/>
  <c r="G207" i="99"/>
  <c r="B207" i="99"/>
  <c r="R206" i="99"/>
  <c r="Q206" i="99"/>
  <c r="O206" i="99"/>
  <c r="P206" i="99" s="1"/>
  <c r="H206" i="99"/>
  <c r="G206" i="99"/>
  <c r="B206" i="99"/>
  <c r="B205" i="99"/>
  <c r="B204" i="99"/>
  <c r="R203" i="99"/>
  <c r="O203" i="99"/>
  <c r="G203" i="99"/>
  <c r="B203" i="99"/>
  <c r="R202" i="99"/>
  <c r="P202" i="99" s="1"/>
  <c r="AA120" i="99" s="1"/>
  <c r="O202" i="99"/>
  <c r="G202" i="99"/>
  <c r="B202" i="99"/>
  <c r="R201" i="99"/>
  <c r="P201" i="99" s="1"/>
  <c r="AA119" i="99" s="1"/>
  <c r="O201" i="99"/>
  <c r="G201" i="99"/>
  <c r="B201" i="99"/>
  <c r="R200" i="99"/>
  <c r="O200" i="99"/>
  <c r="P200" i="99" s="1"/>
  <c r="AA118" i="99" s="1"/>
  <c r="G200" i="99"/>
  <c r="B200" i="99"/>
  <c r="R199" i="99"/>
  <c r="O199" i="99"/>
  <c r="G199" i="99"/>
  <c r="B199" i="99"/>
  <c r="R198" i="99"/>
  <c r="O198" i="99"/>
  <c r="G198" i="99"/>
  <c r="B198" i="99"/>
  <c r="R197" i="99"/>
  <c r="O197" i="99"/>
  <c r="P197" i="99" s="1"/>
  <c r="AA115" i="99" s="1"/>
  <c r="G197" i="99"/>
  <c r="R196" i="99"/>
  <c r="O196" i="99"/>
  <c r="P196" i="99" s="1"/>
  <c r="AA114" i="99" s="1"/>
  <c r="G196" i="99"/>
  <c r="B196" i="99"/>
  <c r="R195" i="99"/>
  <c r="O195" i="99"/>
  <c r="G195" i="99"/>
  <c r="Z113" i="99" s="1"/>
  <c r="B195" i="99"/>
  <c r="R194" i="99"/>
  <c r="O194" i="99"/>
  <c r="G194" i="99"/>
  <c r="Z112" i="99" s="1"/>
  <c r="B194" i="99"/>
  <c r="B193" i="99"/>
  <c r="B192" i="99"/>
  <c r="O191" i="99"/>
  <c r="B191" i="99"/>
  <c r="O190" i="99"/>
  <c r="B190" i="99"/>
  <c r="O189" i="99"/>
  <c r="B189" i="99"/>
  <c r="O188" i="99"/>
  <c r="B188" i="99"/>
  <c r="O187" i="99"/>
  <c r="B187" i="99"/>
  <c r="B186" i="99"/>
  <c r="O185" i="99"/>
  <c r="P185" i="99" s="1"/>
  <c r="I185" i="99"/>
  <c r="M191" i="99" s="1"/>
  <c r="B185" i="99"/>
  <c r="O184" i="99"/>
  <c r="P184" i="99" s="1"/>
  <c r="L193" i="99" s="1"/>
  <c r="I184" i="99"/>
  <c r="M190" i="99" s="1"/>
  <c r="B184" i="99"/>
  <c r="B183" i="99"/>
  <c r="B182" i="99"/>
  <c r="R181" i="99"/>
  <c r="O181" i="99"/>
  <c r="P181" i="99" s="1"/>
  <c r="AA86" i="99" s="1"/>
  <c r="H181" i="99"/>
  <c r="B181" i="99"/>
  <c r="R180" i="99"/>
  <c r="O180" i="99"/>
  <c r="P180" i="99" s="1"/>
  <c r="AA85" i="99" s="1"/>
  <c r="H180" i="99"/>
  <c r="B180" i="99"/>
  <c r="R179" i="99"/>
  <c r="P179" i="99"/>
  <c r="AA84" i="99" s="1"/>
  <c r="O179" i="99"/>
  <c r="H179" i="99"/>
  <c r="B179" i="99"/>
  <c r="R178" i="99"/>
  <c r="O178" i="99"/>
  <c r="P178" i="99" s="1"/>
  <c r="AA83" i="99" s="1"/>
  <c r="H178" i="99"/>
  <c r="B178" i="99"/>
  <c r="R177" i="99"/>
  <c r="O177" i="99"/>
  <c r="H177" i="99"/>
  <c r="B173" i="99"/>
  <c r="I164" i="99"/>
  <c r="H164" i="99"/>
  <c r="G164" i="99"/>
  <c r="F164" i="99"/>
  <c r="B163" i="99"/>
  <c r="P161" i="99"/>
  <c r="O161" i="99"/>
  <c r="P160" i="99"/>
  <c r="AE155" i="99" s="1"/>
  <c r="O160" i="99"/>
  <c r="R157" i="99"/>
  <c r="Q157" i="99"/>
  <c r="O157" i="99"/>
  <c r="P157" i="99" s="1"/>
  <c r="H157" i="99"/>
  <c r="G157" i="99"/>
  <c r="B157" i="99"/>
  <c r="R156" i="99"/>
  <c r="Q156" i="99"/>
  <c r="O156" i="99"/>
  <c r="P156" i="99" s="1"/>
  <c r="H156" i="99"/>
  <c r="G156" i="99"/>
  <c r="R155" i="99"/>
  <c r="Q155" i="99"/>
  <c r="O155" i="99"/>
  <c r="P155" i="99" s="1"/>
  <c r="H155" i="99"/>
  <c r="G155" i="99"/>
  <c r="B155" i="99"/>
  <c r="R154" i="99"/>
  <c r="Q154" i="99"/>
  <c r="O154" i="99"/>
  <c r="P154" i="99" s="1"/>
  <c r="H154" i="99"/>
  <c r="G154" i="99"/>
  <c r="AF153" i="99" a="1"/>
  <c r="AF153" i="99" s="1"/>
  <c r="B236" i="99" s="1"/>
  <c r="AE153" i="99"/>
  <c r="R153" i="99"/>
  <c r="Q153" i="99"/>
  <c r="O153" i="99"/>
  <c r="P153" i="99" s="1"/>
  <c r="H153" i="99"/>
  <c r="G153" i="99"/>
  <c r="AF152" i="99" a="1"/>
  <c r="AF152" i="99" s="1"/>
  <c r="B235" i="99" s="1"/>
  <c r="AE152" i="99"/>
  <c r="R152" i="99"/>
  <c r="Q152" i="99"/>
  <c r="O152" i="99"/>
  <c r="P152" i="99" s="1"/>
  <c r="H152" i="99"/>
  <c r="G152" i="99"/>
  <c r="AF151" i="99" a="1"/>
  <c r="AF151" i="99" s="1"/>
  <c r="B234" i="99" s="1"/>
  <c r="AE151" i="99"/>
  <c r="R151" i="99"/>
  <c r="Q151" i="99"/>
  <c r="P151" i="99"/>
  <c r="O151" i="99"/>
  <c r="H151" i="99"/>
  <c r="G151" i="99"/>
  <c r="AF150" i="99" a="1"/>
  <c r="AF150" i="99" s="1"/>
  <c r="B233" i="99" s="1"/>
  <c r="AE150" i="99"/>
  <c r="R150" i="99"/>
  <c r="Q150" i="99"/>
  <c r="O150" i="99"/>
  <c r="P150" i="99" s="1"/>
  <c r="H150" i="99"/>
  <c r="G150" i="99"/>
  <c r="AF149" i="99" a="1"/>
  <c r="AF149" i="99" s="1"/>
  <c r="B232" i="99" s="1"/>
  <c r="AE149" i="99"/>
  <c r="R149" i="99"/>
  <c r="Q149" i="99"/>
  <c r="O149" i="99"/>
  <c r="P149" i="99" s="1"/>
  <c r="H149" i="99"/>
  <c r="G149" i="99"/>
  <c r="AF148" i="99" a="1"/>
  <c r="AF148" i="99" s="1"/>
  <c r="B231" i="99" s="1"/>
  <c r="AE148" i="99"/>
  <c r="R148" i="99"/>
  <c r="Q148" i="99"/>
  <c r="O148" i="99"/>
  <c r="P148" i="99" s="1"/>
  <c r="H148" i="99"/>
  <c r="G148" i="99"/>
  <c r="AF147" i="99" a="1"/>
  <c r="AF147" i="99" s="1"/>
  <c r="B230" i="99" s="1"/>
  <c r="AE147" i="99"/>
  <c r="R147" i="99"/>
  <c r="Q147" i="99"/>
  <c r="P147" i="99"/>
  <c r="O147" i="99"/>
  <c r="H147" i="99"/>
  <c r="G147" i="99"/>
  <c r="AF146" i="99" a="1"/>
  <c r="AF146" i="99" s="1"/>
  <c r="B229" i="99" s="1"/>
  <c r="AE146" i="99"/>
  <c r="R146" i="99"/>
  <c r="Q146" i="99"/>
  <c r="P146" i="99"/>
  <c r="O146" i="99"/>
  <c r="H146" i="99"/>
  <c r="G146" i="99"/>
  <c r="AF145" i="99" a="1"/>
  <c r="AF145" i="99" s="1"/>
  <c r="B228" i="99" s="1"/>
  <c r="AE145" i="99"/>
  <c r="R145" i="99"/>
  <c r="Q145" i="99"/>
  <c r="O145" i="99"/>
  <c r="P145" i="99" s="1"/>
  <c r="H145" i="99"/>
  <c r="G145" i="99"/>
  <c r="AF144" i="99" a="1"/>
  <c r="AF144" i="99" s="1"/>
  <c r="B227" i="99" s="1"/>
  <c r="AE144" i="99"/>
  <c r="R144" i="99"/>
  <c r="Q144" i="99"/>
  <c r="P144" i="99"/>
  <c r="O144" i="99"/>
  <c r="H144" i="99"/>
  <c r="AF143" i="99" a="1"/>
  <c r="AF143" i="99" s="1"/>
  <c r="B226" i="99" s="1"/>
  <c r="AE143" i="99"/>
  <c r="R143" i="99"/>
  <c r="Q143" i="99"/>
  <c r="O143" i="99"/>
  <c r="P143" i="99" s="1"/>
  <c r="H143" i="99"/>
  <c r="G143" i="99"/>
  <c r="AF142" i="99" a="1"/>
  <c r="AF142" i="99" s="1"/>
  <c r="B225" i="99" s="1"/>
  <c r="AE142" i="99"/>
  <c r="R142" i="99"/>
  <c r="Q142" i="99"/>
  <c r="O142" i="99"/>
  <c r="P142" i="99" s="1"/>
  <c r="H142" i="99"/>
  <c r="AF141" i="99" a="1"/>
  <c r="AF141" i="99" s="1"/>
  <c r="B224" i="99" s="1"/>
  <c r="AE141" i="99"/>
  <c r="R141" i="99"/>
  <c r="Q141" i="99"/>
  <c r="O141" i="99"/>
  <c r="P141" i="99" s="1"/>
  <c r="H141" i="99"/>
  <c r="AF140" i="99" a="1"/>
  <c r="AF140" i="99" s="1"/>
  <c r="B223" i="99" s="1"/>
  <c r="AE140" i="99"/>
  <c r="R140" i="99"/>
  <c r="Q140" i="99"/>
  <c r="O140" i="99"/>
  <c r="P140" i="99" s="1"/>
  <c r="H140" i="99"/>
  <c r="AF139" i="99" a="1"/>
  <c r="AF139" i="99" s="1"/>
  <c r="B222" i="99" s="1"/>
  <c r="AE139" i="99"/>
  <c r="R139" i="99"/>
  <c r="Q139" i="99"/>
  <c r="O139" i="99"/>
  <c r="H139" i="99"/>
  <c r="AF138" i="99" a="1"/>
  <c r="AF138" i="99" s="1"/>
  <c r="B221" i="99" s="1"/>
  <c r="AE138" i="99"/>
  <c r="R138" i="99"/>
  <c r="Q138" i="99"/>
  <c r="O138" i="99"/>
  <c r="H138" i="99"/>
  <c r="AF137" i="99" a="1"/>
  <c r="AF137" i="99" s="1"/>
  <c r="B220" i="99" s="1"/>
  <c r="AE137" i="99"/>
  <c r="H137" i="99"/>
  <c r="AF136" i="99" a="1"/>
  <c r="AF136" i="99" s="1"/>
  <c r="B219" i="99" s="1"/>
  <c r="AE136" i="99"/>
  <c r="AF135" i="99" a="1"/>
  <c r="AF135" i="99" s="1"/>
  <c r="B218" i="99" s="1"/>
  <c r="AE135" i="99"/>
  <c r="R135" i="99"/>
  <c r="P135" i="99" s="1"/>
  <c r="B98" i="99" s="1"/>
  <c r="Q135" i="99"/>
  <c r="O135" i="99"/>
  <c r="R134" i="99"/>
  <c r="Q134" i="99"/>
  <c r="O134" i="99"/>
  <c r="P134" i="99" s="1"/>
  <c r="B97" i="99" s="1"/>
  <c r="R133" i="99"/>
  <c r="Q133" i="99"/>
  <c r="O133" i="99"/>
  <c r="P133" i="99" s="1"/>
  <c r="B96" i="99" s="1"/>
  <c r="R132" i="99"/>
  <c r="Q132" i="99"/>
  <c r="O132" i="99"/>
  <c r="P132" i="99" s="1"/>
  <c r="B95" i="99" s="1"/>
  <c r="P129" i="99"/>
  <c r="F129" i="99" a="1"/>
  <c r="F129" i="99" s="1"/>
  <c r="B93" i="99" s="1"/>
  <c r="E129" i="99" a="1"/>
  <c r="E129" i="99" s="1"/>
  <c r="P128" i="99"/>
  <c r="B92" i="99" s="1"/>
  <c r="F128" i="99" a="1"/>
  <c r="F128" i="99" s="1"/>
  <c r="E128" i="99" a="1"/>
  <c r="E128" i="99" s="1"/>
  <c r="P127" i="99"/>
  <c r="F127" i="99" a="1"/>
  <c r="F127" i="99" s="1"/>
  <c r="B89" i="99" s="1"/>
  <c r="E127" i="99"/>
  <c r="E127" i="99" a="1"/>
  <c r="R126" i="99"/>
  <c r="P126" i="99"/>
  <c r="R129" i="99" s="1"/>
  <c r="F126" i="99"/>
  <c r="B87" i="99" s="1"/>
  <c r="E126" i="99"/>
  <c r="P125" i="99"/>
  <c r="E125" i="99"/>
  <c r="P124" i="99"/>
  <c r="B84" i="99" s="1"/>
  <c r="Z121" i="99"/>
  <c r="Z120" i="99"/>
  <c r="P120" i="99"/>
  <c r="O120" i="99"/>
  <c r="H120" i="99"/>
  <c r="G120" i="99"/>
  <c r="Z119" i="99"/>
  <c r="P119" i="99"/>
  <c r="O119" i="99"/>
  <c r="H119" i="99"/>
  <c r="G119" i="99"/>
  <c r="Z118" i="99"/>
  <c r="O118" i="99"/>
  <c r="P118" i="99" s="1"/>
  <c r="H118" i="99"/>
  <c r="G118" i="99"/>
  <c r="Z117" i="99"/>
  <c r="O117" i="99"/>
  <c r="P117" i="99" s="1"/>
  <c r="H117" i="99"/>
  <c r="G117" i="99"/>
  <c r="Z116" i="99"/>
  <c r="O116" i="99"/>
  <c r="P116" i="99" s="1"/>
  <c r="H116" i="99"/>
  <c r="G116" i="99"/>
  <c r="Z115" i="99"/>
  <c r="O115" i="99"/>
  <c r="P115" i="99" s="1"/>
  <c r="H115" i="99"/>
  <c r="G115" i="99"/>
  <c r="Z114" i="99"/>
  <c r="P114" i="99"/>
  <c r="O114" i="99"/>
  <c r="H114" i="99"/>
  <c r="G114" i="99"/>
  <c r="O113" i="99"/>
  <c r="P113" i="99" s="1"/>
  <c r="H113" i="99"/>
  <c r="G113" i="99"/>
  <c r="P112" i="99"/>
  <c r="O112" i="99"/>
  <c r="H112" i="99"/>
  <c r="G112" i="99"/>
  <c r="O111" i="99"/>
  <c r="P111" i="99" s="1"/>
  <c r="H111" i="99"/>
  <c r="G111" i="99"/>
  <c r="P110" i="99"/>
  <c r="O110" i="99"/>
  <c r="H110" i="99"/>
  <c r="G110" i="99"/>
  <c r="O109" i="99"/>
  <c r="P109" i="99" s="1"/>
  <c r="H109" i="99"/>
  <c r="G109" i="99"/>
  <c r="O108" i="99"/>
  <c r="P108" i="99" s="1"/>
  <c r="H108" i="99"/>
  <c r="G108" i="99"/>
  <c r="O107" i="99"/>
  <c r="P107" i="99" s="1"/>
  <c r="H107" i="99"/>
  <c r="G107" i="99"/>
  <c r="O106" i="99"/>
  <c r="P106" i="99" s="1"/>
  <c r="H106" i="99"/>
  <c r="G106" i="99"/>
  <c r="O105" i="99"/>
  <c r="P105" i="99" s="1"/>
  <c r="H105" i="99"/>
  <c r="G105" i="99"/>
  <c r="P104" i="99"/>
  <c r="O104" i="99"/>
  <c r="H104" i="99"/>
  <c r="G104" i="99"/>
  <c r="P103" i="99"/>
  <c r="O103" i="99"/>
  <c r="H103" i="99"/>
  <c r="G103" i="99"/>
  <c r="O102" i="99"/>
  <c r="P102" i="99" s="1"/>
  <c r="H102" i="99"/>
  <c r="G102" i="99"/>
  <c r="B102" i="99"/>
  <c r="O101" i="99"/>
  <c r="P101" i="99" s="1"/>
  <c r="H101" i="99"/>
  <c r="G101" i="99"/>
  <c r="B101" i="99"/>
  <c r="B100" i="99"/>
  <c r="B99" i="99"/>
  <c r="R98" i="99"/>
  <c r="Q98" i="99"/>
  <c r="O98" i="99"/>
  <c r="H98" i="99"/>
  <c r="R97" i="99"/>
  <c r="P97" i="99" s="1"/>
  <c r="Q97" i="99"/>
  <c r="O97" i="99"/>
  <c r="H97" i="99"/>
  <c r="R96" i="99"/>
  <c r="P96" i="99" s="1"/>
  <c r="Q96" i="99"/>
  <c r="O96" i="99"/>
  <c r="H96" i="99"/>
  <c r="R95" i="99"/>
  <c r="Q95" i="99"/>
  <c r="O95" i="99"/>
  <c r="H95" i="99"/>
  <c r="R94" i="99"/>
  <c r="Q94" i="99"/>
  <c r="O94" i="99"/>
  <c r="H94" i="99"/>
  <c r="B94" i="99"/>
  <c r="R93" i="99"/>
  <c r="P93" i="99" s="1"/>
  <c r="Q93" i="99"/>
  <c r="O93" i="99"/>
  <c r="H93" i="99"/>
  <c r="R92" i="99"/>
  <c r="Q92" i="99"/>
  <c r="O92" i="99"/>
  <c r="H92" i="99"/>
  <c r="R91" i="99"/>
  <c r="Q91" i="99"/>
  <c r="O91" i="99"/>
  <c r="H91" i="99"/>
  <c r="B91" i="99"/>
  <c r="R90" i="99"/>
  <c r="Q90" i="99"/>
  <c r="O90" i="99"/>
  <c r="H90" i="99"/>
  <c r="B90" i="99"/>
  <c r="R89" i="99"/>
  <c r="P89" i="99" s="1"/>
  <c r="Q89" i="99"/>
  <c r="O89" i="99"/>
  <c r="H89" i="99"/>
  <c r="R88" i="99"/>
  <c r="P88" i="99" s="1"/>
  <c r="Q88" i="99"/>
  <c r="O88" i="99"/>
  <c r="H88" i="99"/>
  <c r="B88" i="99"/>
  <c r="R87" i="99"/>
  <c r="Q87" i="99"/>
  <c r="O87" i="99"/>
  <c r="H87" i="99"/>
  <c r="R86" i="99"/>
  <c r="P86" i="99" s="1"/>
  <c r="Q86" i="99"/>
  <c r="O86" i="99"/>
  <c r="H86" i="99"/>
  <c r="B86" i="99"/>
  <c r="R85" i="99"/>
  <c r="Q85" i="99"/>
  <c r="P85" i="99"/>
  <c r="O85" i="99"/>
  <c r="H85" i="99"/>
  <c r="B85" i="99"/>
  <c r="R84" i="99"/>
  <c r="Q84" i="99"/>
  <c r="O84" i="99"/>
  <c r="H84" i="99"/>
  <c r="R83" i="99"/>
  <c r="P83" i="99" s="1"/>
  <c r="Q83" i="99"/>
  <c r="O83" i="99"/>
  <c r="H83" i="99"/>
  <c r="B83" i="99"/>
  <c r="R82" i="99"/>
  <c r="P82" i="99" s="1"/>
  <c r="AA5" i="99" s="1"/>
  <c r="Q82" i="99"/>
  <c r="O82" i="99"/>
  <c r="H82" i="99"/>
  <c r="B82" i="99"/>
  <c r="R81" i="99"/>
  <c r="Q81" i="99"/>
  <c r="O81" i="99"/>
  <c r="H81" i="99"/>
  <c r="B81" i="99"/>
  <c r="R80" i="99"/>
  <c r="Q80" i="99"/>
  <c r="O80" i="99"/>
  <c r="H80" i="99"/>
  <c r="B80" i="99"/>
  <c r="R79" i="99"/>
  <c r="Q79" i="99"/>
  <c r="O79" i="99"/>
  <c r="H79" i="99"/>
  <c r="B79" i="99"/>
  <c r="B78" i="99"/>
  <c r="B77" i="99"/>
  <c r="B76" i="99"/>
  <c r="B75" i="99"/>
  <c r="O74" i="99"/>
  <c r="B74" i="99"/>
  <c r="AF73" i="99"/>
  <c r="B343" i="99" s="1"/>
  <c r="AE73" i="99" a="1"/>
  <c r="AE73" i="99" s="1"/>
  <c r="B313" i="99" s="1"/>
  <c r="AD73" i="99" a="1"/>
  <c r="AD73" i="99" s="1"/>
  <c r="B283" i="99" s="1"/>
  <c r="O73" i="99"/>
  <c r="P73" i="99" s="1"/>
  <c r="B73" i="99"/>
  <c r="AF72" i="99"/>
  <c r="B342" i="99" s="1"/>
  <c r="AE72" i="99" a="1"/>
  <c r="AE72" i="99" s="1"/>
  <c r="B312" i="99" s="1"/>
  <c r="AD72" i="99"/>
  <c r="B282" i="99" s="1"/>
  <c r="AD72" i="99" a="1"/>
  <c r="O72" i="99"/>
  <c r="P72" i="99" s="1"/>
  <c r="B72" i="99"/>
  <c r="AF71" i="99"/>
  <c r="B341" i="99" s="1"/>
  <c r="AE71" i="99" a="1"/>
  <c r="AE71" i="99" s="1"/>
  <c r="B311" i="99" s="1"/>
  <c r="AD71" i="99" a="1"/>
  <c r="AD71" i="99" s="1"/>
  <c r="B281" i="99" s="1"/>
  <c r="B71" i="99"/>
  <c r="AF70" i="99"/>
  <c r="B340" i="99" s="1"/>
  <c r="AE70" i="99" a="1"/>
  <c r="AE70" i="99" s="1"/>
  <c r="B310" i="99" s="1"/>
  <c r="AD70" i="99"/>
  <c r="B280" i="99" s="1"/>
  <c r="AD70" i="99" a="1"/>
  <c r="B70" i="99"/>
  <c r="AF69" i="99"/>
  <c r="B339" i="99" s="1"/>
  <c r="AE69" i="99" a="1"/>
  <c r="AE69" i="99" s="1"/>
  <c r="B309" i="99" s="1"/>
  <c r="AD69" i="99"/>
  <c r="B279" i="99" s="1"/>
  <c r="AD69" i="99" a="1"/>
  <c r="V69" i="99"/>
  <c r="O69" i="99"/>
  <c r="P69" i="99" s="1"/>
  <c r="B69" i="99"/>
  <c r="AF68" i="99"/>
  <c r="B338" i="99" s="1"/>
  <c r="AE68" i="99" a="1"/>
  <c r="AE68" i="99" s="1"/>
  <c r="B308" i="99" s="1"/>
  <c r="AD68" i="99" a="1"/>
  <c r="AD68" i="99" s="1"/>
  <c r="B278" i="99" s="1"/>
  <c r="V68" i="99"/>
  <c r="P68" i="99"/>
  <c r="B48" i="99" s="1"/>
  <c r="O68" i="99"/>
  <c r="B68" i="99"/>
  <c r="AF67" i="99"/>
  <c r="B337" i="99" s="1"/>
  <c r="AE67" i="99" a="1"/>
  <c r="AE67" i="99" s="1"/>
  <c r="B307" i="99" s="1"/>
  <c r="AD67" i="99" a="1"/>
  <c r="AD67" i="99" s="1"/>
  <c r="B277" i="99" s="1"/>
  <c r="V67" i="99"/>
  <c r="O67" i="99"/>
  <c r="P67" i="99" s="1"/>
  <c r="B67" i="99"/>
  <c r="AF66" i="99"/>
  <c r="AE66" i="99" a="1"/>
  <c r="AE66" i="99" s="1"/>
  <c r="B306" i="99" s="1"/>
  <c r="AD66" i="99"/>
  <c r="B276" i="99" s="1"/>
  <c r="AD66" i="99" a="1"/>
  <c r="V66" i="99"/>
  <c r="O66" i="99"/>
  <c r="P66" i="99" s="1"/>
  <c r="AJ36" i="99" s="1"/>
  <c r="AK36" i="99" s="1"/>
  <c r="B66" i="99"/>
  <c r="AF65" i="99"/>
  <c r="AE65" i="99" a="1"/>
  <c r="AE65" i="99" s="1"/>
  <c r="B305" i="99" s="1"/>
  <c r="AD65" i="99" a="1"/>
  <c r="AD65" i="99" s="1"/>
  <c r="B275" i="99" s="1"/>
  <c r="V65" i="99"/>
  <c r="B45" i="99" s="1"/>
  <c r="P65" i="99"/>
  <c r="O65" i="99"/>
  <c r="B65" i="99"/>
  <c r="AF64" i="99"/>
  <c r="B334" i="99" s="1"/>
  <c r="AE64" i="99" a="1"/>
  <c r="AE64" i="99" s="1"/>
  <c r="B304" i="99" s="1"/>
  <c r="AD64" i="99" a="1"/>
  <c r="AD64" i="99" s="1"/>
  <c r="B274" i="99" s="1"/>
  <c r="V64" i="99"/>
  <c r="O64" i="99"/>
  <c r="P64" i="99" s="1"/>
  <c r="AJ22" i="99" s="1"/>
  <c r="AK22" i="99" s="1"/>
  <c r="B64" i="99"/>
  <c r="AF63" i="99"/>
  <c r="B333" i="99" s="1"/>
  <c r="AE63" i="99" a="1"/>
  <c r="AE63" i="99" s="1"/>
  <c r="B303" i="99" s="1"/>
  <c r="AD63" i="99"/>
  <c r="B273" i="99" s="1"/>
  <c r="AD63" i="99" a="1"/>
  <c r="V63" i="99"/>
  <c r="O63" i="99"/>
  <c r="P63" i="99" s="1"/>
  <c r="B43" i="99" s="1"/>
  <c r="B63" i="99"/>
  <c r="AF62" i="99"/>
  <c r="B332" i="99" s="1"/>
  <c r="AE62" i="99" a="1"/>
  <c r="AE62" i="99" s="1"/>
  <c r="B302" i="99" s="1"/>
  <c r="AD62" i="99"/>
  <c r="B272" i="99" s="1"/>
  <c r="AD62" i="99" a="1"/>
  <c r="V62" i="99"/>
  <c r="O62" i="99"/>
  <c r="P62" i="99" s="1"/>
  <c r="B62" i="99"/>
  <c r="AF61" i="99"/>
  <c r="B331" i="99" s="1"/>
  <c r="AE61" i="99" a="1"/>
  <c r="AE61" i="99" s="1"/>
  <c r="B301" i="99" s="1"/>
  <c r="AD61" i="99" a="1"/>
  <c r="AD61" i="99" s="1"/>
  <c r="B271" i="99" s="1"/>
  <c r="B61" i="99"/>
  <c r="AF60" i="99"/>
  <c r="B330" i="99" s="1"/>
  <c r="AE60" i="99" a="1"/>
  <c r="AE60" i="99" s="1"/>
  <c r="B300" i="99" s="1"/>
  <c r="AD60" i="99"/>
  <c r="B270" i="99" s="1"/>
  <c r="AD60" i="99" a="1"/>
  <c r="B60" i="99"/>
  <c r="AF59" i="99"/>
  <c r="B329" i="99" s="1"/>
  <c r="AE59" i="99" a="1"/>
  <c r="AE59" i="99" s="1"/>
  <c r="B299" i="99" s="1"/>
  <c r="AD59" i="99"/>
  <c r="B269" i="99" s="1"/>
  <c r="AD59" i="99" a="1"/>
  <c r="V59" i="99"/>
  <c r="O59" i="99"/>
  <c r="P59" i="99" s="1"/>
  <c r="AF58" i="99"/>
  <c r="B328" i="99" s="1"/>
  <c r="AE58" i="99" a="1"/>
  <c r="AE58" i="99" s="1"/>
  <c r="B298" i="99" s="1"/>
  <c r="AD58" i="99"/>
  <c r="B268" i="99" s="1"/>
  <c r="AD58" i="99" a="1"/>
  <c r="V58" i="99"/>
  <c r="O58" i="99"/>
  <c r="P58" i="99" s="1"/>
  <c r="AF57" i="99"/>
  <c r="B327" i="99" s="1"/>
  <c r="AE57" i="99" a="1"/>
  <c r="AE57" i="99" s="1"/>
  <c r="B297" i="99" s="1"/>
  <c r="AD57" i="99" a="1"/>
  <c r="AD57" i="99" s="1"/>
  <c r="B267" i="99" s="1"/>
  <c r="V57" i="99"/>
  <c r="O57" i="99"/>
  <c r="P57" i="99" s="1"/>
  <c r="AF56" i="99"/>
  <c r="B326" i="99" s="1"/>
  <c r="AE56" i="99" a="1"/>
  <c r="AE56" i="99" s="1"/>
  <c r="B296" i="99" s="1"/>
  <c r="AD56" i="99"/>
  <c r="B266" i="99" s="1"/>
  <c r="AD56" i="99" a="1"/>
  <c r="V56" i="99"/>
  <c r="P56" i="99"/>
  <c r="O56" i="99"/>
  <c r="AF55" i="99"/>
  <c r="B325" i="99" s="1"/>
  <c r="AE55" i="99" a="1"/>
  <c r="AE55" i="99" s="1"/>
  <c r="B295" i="99" s="1"/>
  <c r="AD55" i="99" a="1"/>
  <c r="AD55" i="99" s="1"/>
  <c r="B265" i="99" s="1"/>
  <c r="V55" i="99"/>
  <c r="P55" i="99"/>
  <c r="O55" i="99"/>
  <c r="AF54" i="99"/>
  <c r="B324" i="99" s="1"/>
  <c r="AE54" i="99" a="1"/>
  <c r="AE54" i="99" s="1"/>
  <c r="B294" i="99" s="1"/>
  <c r="AD54" i="99" a="1"/>
  <c r="AD54" i="99" s="1"/>
  <c r="B264" i="99" s="1"/>
  <c r="V54" i="99"/>
  <c r="P54" i="99"/>
  <c r="AJ20" i="99" s="1"/>
  <c r="AK20" i="99" s="1"/>
  <c r="O54" i="99"/>
  <c r="AF53" i="99"/>
  <c r="B323" i="99" s="1"/>
  <c r="AE53" i="99" a="1"/>
  <c r="AE53" i="99" s="1"/>
  <c r="B293" i="99" s="1"/>
  <c r="AD53" i="99" a="1"/>
  <c r="AD53" i="99" s="1"/>
  <c r="B263" i="99" s="1"/>
  <c r="V53" i="99"/>
  <c r="P53" i="99"/>
  <c r="O53" i="99"/>
  <c r="V52" i="99"/>
  <c r="O52" i="99"/>
  <c r="P52" i="99" s="1"/>
  <c r="V49" i="99"/>
  <c r="O49" i="99"/>
  <c r="P49" i="99" s="1"/>
  <c r="B33" i="99" s="1"/>
  <c r="V48" i="99"/>
  <c r="O48" i="99"/>
  <c r="P48" i="99" s="1"/>
  <c r="B32" i="99" s="1"/>
  <c r="V47" i="99"/>
  <c r="P47" i="99"/>
  <c r="AJ35" i="99" s="1"/>
  <c r="AK35" i="99" s="1"/>
  <c r="O47" i="99"/>
  <c r="V46" i="99"/>
  <c r="O46" i="99"/>
  <c r="P46" i="99" s="1"/>
  <c r="V45" i="99"/>
  <c r="O45" i="99"/>
  <c r="P45" i="99" s="1"/>
  <c r="V44" i="99"/>
  <c r="O44" i="99"/>
  <c r="P44" i="99" s="1"/>
  <c r="V43" i="99"/>
  <c r="O43" i="99"/>
  <c r="P43" i="99" s="1"/>
  <c r="V42" i="99"/>
  <c r="O42" i="99"/>
  <c r="P42" i="99" s="1"/>
  <c r="AJ2" i="99" s="1"/>
  <c r="AK2" i="99" s="1"/>
  <c r="AA41" i="99"/>
  <c r="Z41" i="99" s="1"/>
  <c r="T41" i="99"/>
  <c r="AA40" i="99"/>
  <c r="Z40" i="99" s="1"/>
  <c r="U40" i="99"/>
  <c r="T40" i="99"/>
  <c r="N9" i="99" s="1"/>
  <c r="AA39" i="99"/>
  <c r="Z39" i="99" s="1"/>
  <c r="AA38" i="99"/>
  <c r="Z38" i="99" s="1"/>
  <c r="V38" i="99"/>
  <c r="O38" i="99"/>
  <c r="P38" i="99"/>
  <c r="AA37" i="99"/>
  <c r="Z37" i="99" s="1"/>
  <c r="V37" i="99"/>
  <c r="O37" i="99"/>
  <c r="P37" i="99" s="1"/>
  <c r="AJ31" i="99" s="1"/>
  <c r="AK31" i="99" s="1"/>
  <c r="B37" i="99"/>
  <c r="AA36" i="99"/>
  <c r="Z36" i="99" s="1"/>
  <c r="V36" i="99"/>
  <c r="O36" i="99"/>
  <c r="P36" i="99" s="1"/>
  <c r="B23" i="99" s="1"/>
  <c r="AA35" i="99"/>
  <c r="Z35" i="99" s="1"/>
  <c r="B35" i="99"/>
  <c r="AA34" i="99"/>
  <c r="Z34" i="99" s="1"/>
  <c r="AA33" i="99"/>
  <c r="Z33" i="99" s="1"/>
  <c r="O33" i="99"/>
  <c r="P33" i="99"/>
  <c r="AA32" i="99"/>
  <c r="Z32" i="99" s="1"/>
  <c r="V32" i="99"/>
  <c r="O32" i="99"/>
  <c r="P32" i="99" s="1"/>
  <c r="AF31" i="99"/>
  <c r="B174" i="99" s="1"/>
  <c r="AD31" i="99"/>
  <c r="B144" i="99" s="1"/>
  <c r="AA31" i="99"/>
  <c r="Z31" i="99" s="1"/>
  <c r="O31" i="99"/>
  <c r="P31" i="99" s="1"/>
  <c r="AF30" i="99"/>
  <c r="AD30" i="99"/>
  <c r="B143" i="99" s="1"/>
  <c r="AA30" i="99"/>
  <c r="Z30" i="99" s="1"/>
  <c r="AF29" i="99"/>
  <c r="B172" i="99" s="1"/>
  <c r="AD29" i="99"/>
  <c r="B142" i="99" s="1"/>
  <c r="AA29" i="99"/>
  <c r="Z29" i="99" s="1"/>
  <c r="AF28" i="99"/>
  <c r="B171" i="99" s="1"/>
  <c r="AD28" i="99"/>
  <c r="B141" i="99" s="1"/>
  <c r="AA28" i="99"/>
  <c r="Z28" i="99" s="1"/>
  <c r="V28" i="99"/>
  <c r="O28" i="99"/>
  <c r="P28" i="99" s="1"/>
  <c r="AJ27" i="99"/>
  <c r="AK27" i="99" s="1"/>
  <c r="AF27" i="99"/>
  <c r="B170" i="99" s="1"/>
  <c r="AD27" i="99"/>
  <c r="B140" i="99" s="1"/>
  <c r="AA27" i="99"/>
  <c r="Z27" i="99" s="1"/>
  <c r="V27" i="99"/>
  <c r="P27" i="99"/>
  <c r="AJ58" i="99" s="1"/>
  <c r="AK58" i="99" s="1"/>
  <c r="O27" i="99"/>
  <c r="AF26" i="99"/>
  <c r="B169" i="99" s="1"/>
  <c r="AD26" i="99"/>
  <c r="B139" i="99" s="1"/>
  <c r="AA26" i="99"/>
  <c r="Z26" i="99" s="1"/>
  <c r="V26" i="99"/>
  <c r="O26" i="99"/>
  <c r="P26" i="99"/>
  <c r="AF25" i="99"/>
  <c r="B168" i="99" s="1"/>
  <c r="AD25" i="99"/>
  <c r="B138" i="99" s="1"/>
  <c r="AA25" i="99"/>
  <c r="Z25" i="99" s="1"/>
  <c r="AF24" i="99"/>
  <c r="B167" i="99" s="1"/>
  <c r="AD24" i="99"/>
  <c r="B137" i="99" s="1"/>
  <c r="AA24" i="99"/>
  <c r="Z24" i="99" s="1"/>
  <c r="AJ23" i="99"/>
  <c r="AK23" i="99" s="1"/>
  <c r="AF23" i="99"/>
  <c r="B166" i="99" s="1"/>
  <c r="AD23" i="99"/>
  <c r="B136" i="99" s="1"/>
  <c r="AA23" i="99"/>
  <c r="Z23" i="99" s="1"/>
  <c r="N23" i="99"/>
  <c r="N8" i="99" s="1"/>
  <c r="AF22" i="99"/>
  <c r="B165" i="99" s="1"/>
  <c r="AD22" i="99"/>
  <c r="B135" i="99" s="1"/>
  <c r="AA22" i="99"/>
  <c r="Z22" i="99" s="1"/>
  <c r="AJ21" i="99"/>
  <c r="AK21" i="99" s="1"/>
  <c r="AF21" i="99"/>
  <c r="B164" i="99" s="1"/>
  <c r="AD21" i="99"/>
  <c r="B134" i="99" s="1"/>
  <c r="AA21" i="99"/>
  <c r="N21" i="99"/>
  <c r="AF20" i="99"/>
  <c r="AD20" i="99"/>
  <c r="B133" i="99" s="1"/>
  <c r="AA20" i="99"/>
  <c r="N20" i="99"/>
  <c r="AF19" i="99"/>
  <c r="B162" i="99" s="1"/>
  <c r="AD19" i="99"/>
  <c r="B132" i="99" s="1"/>
  <c r="AA19" i="99"/>
  <c r="N19" i="99"/>
  <c r="AF18" i="99"/>
  <c r="B161" i="99" s="1"/>
  <c r="AD18" i="99"/>
  <c r="B131" i="99" s="1"/>
  <c r="AA18" i="99"/>
  <c r="N18" i="99"/>
  <c r="AF17" i="99"/>
  <c r="B160" i="99" s="1"/>
  <c r="AD17" i="99"/>
  <c r="B130" i="99" s="1"/>
  <c r="AA17" i="99"/>
  <c r="N17" i="99"/>
  <c r="AF16" i="99"/>
  <c r="B159" i="99" s="1"/>
  <c r="AD16" i="99"/>
  <c r="B129" i="99" s="1"/>
  <c r="AA16" i="99"/>
  <c r="B16" i="99"/>
  <c r="AF15" i="99"/>
  <c r="B158" i="99" s="1"/>
  <c r="AD15" i="99"/>
  <c r="B128" i="99" s="1"/>
  <c r="AA15" i="99"/>
  <c r="B15" i="99"/>
  <c r="AF14" i="99"/>
  <c r="AD14" i="99"/>
  <c r="B127" i="99" s="1"/>
  <c r="AA14" i="99"/>
  <c r="B14" i="99"/>
  <c r="AF13" i="99"/>
  <c r="B156" i="99" s="1"/>
  <c r="AD13" i="99"/>
  <c r="B126" i="99" s="1"/>
  <c r="AA13" i="99"/>
  <c r="AF12" i="99"/>
  <c r="AD12" i="99"/>
  <c r="B125" i="99" s="1"/>
  <c r="AA12" i="99"/>
  <c r="N12" i="99"/>
  <c r="B12" i="99"/>
  <c r="B13" i="99" s="1"/>
  <c r="AF11" i="99"/>
  <c r="B154" i="99" s="1"/>
  <c r="AD11" i="99"/>
  <c r="B124" i="99" s="1"/>
  <c r="AA11" i="99"/>
  <c r="N11" i="99"/>
  <c r="B11" i="99"/>
  <c r="AF10" i="99"/>
  <c r="B153" i="99" s="1"/>
  <c r="AD10" i="99"/>
  <c r="B123" i="99" s="1"/>
  <c r="AA10" i="99"/>
  <c r="N10" i="99"/>
  <c r="AF9" i="99"/>
  <c r="B152" i="99" s="1"/>
  <c r="AD9" i="99"/>
  <c r="B122" i="99" s="1"/>
  <c r="AA9" i="99"/>
  <c r="B9" i="99"/>
  <c r="B10" i="99" s="1"/>
  <c r="AJ8" i="99"/>
  <c r="AK8" i="99" s="1"/>
  <c r="AF8" i="99"/>
  <c r="B151" i="99" s="1"/>
  <c r="AD8" i="99"/>
  <c r="B121" i="99" s="1"/>
  <c r="AA8" i="99"/>
  <c r="G8" i="99"/>
  <c r="D8" i="99"/>
  <c r="B8" i="99"/>
  <c r="D7" i="99"/>
  <c r="B7" i="99"/>
  <c r="AA6" i="99"/>
  <c r="B6" i="99"/>
  <c r="B5" i="99"/>
  <c r="N4" i="99"/>
  <c r="B2" i="99"/>
  <c r="F160" i="96"/>
  <c r="G139" i="97"/>
  <c r="M124" i="97"/>
  <c r="P124" i="97" s="1"/>
  <c r="B84" i="97" s="1"/>
  <c r="L61" i="97"/>
  <c r="L51" i="97"/>
  <c r="L41" i="97"/>
  <c r="L35" i="97"/>
  <c r="L30" i="97"/>
  <c r="L25" i="97"/>
  <c r="F129" i="88" a="1"/>
  <c r="F129" i="88" s="1"/>
  <c r="B93" i="88" s="1"/>
  <c r="E129" i="88" a="1"/>
  <c r="E129" i="88" s="1"/>
  <c r="F128" i="88" a="1"/>
  <c r="F128" i="88" s="1"/>
  <c r="B91" i="88" s="1"/>
  <c r="E128" i="88" a="1"/>
  <c r="E128" i="88" s="1"/>
  <c r="F127" i="88" a="1"/>
  <c r="F127" i="88" s="1"/>
  <c r="E127" i="88" a="1"/>
  <c r="E127" i="88" s="1"/>
  <c r="F126" i="88"/>
  <c r="B87" i="88" s="1"/>
  <c r="E126" i="88"/>
  <c r="E125" i="88"/>
  <c r="F129" i="89" a="1"/>
  <c r="F129" i="89" s="1"/>
  <c r="B93" i="89" s="1"/>
  <c r="E129" i="89" a="1"/>
  <c r="E129" i="89" s="1"/>
  <c r="F128" i="89" a="1"/>
  <c r="F128" i="89" s="1"/>
  <c r="B91" i="89" s="1"/>
  <c r="E128" i="89" a="1"/>
  <c r="E128" i="89" s="1"/>
  <c r="F127" i="89" a="1"/>
  <c r="F127" i="89" s="1"/>
  <c r="B89" i="89" s="1"/>
  <c r="E127" i="89" a="1"/>
  <c r="E127" i="89" s="1"/>
  <c r="F126" i="89"/>
  <c r="B87" i="89" s="1"/>
  <c r="E126" i="89"/>
  <c r="E125" i="89"/>
  <c r="F129" i="90" a="1"/>
  <c r="F129" i="90" s="1"/>
  <c r="B93" i="90" s="1"/>
  <c r="E129" i="90" a="1"/>
  <c r="E129" i="90" s="1"/>
  <c r="F128" i="90" a="1"/>
  <c r="F128" i="90" s="1"/>
  <c r="B91" i="90" s="1"/>
  <c r="E128" i="90" a="1"/>
  <c r="E128" i="90" s="1"/>
  <c r="F127" i="90" a="1"/>
  <c r="F127" i="90" s="1"/>
  <c r="B89" i="90" s="1"/>
  <c r="E127" i="90" a="1"/>
  <c r="E127" i="90" s="1"/>
  <c r="F126" i="90"/>
  <c r="E126" i="90"/>
  <c r="E125" i="90"/>
  <c r="F129" i="91" a="1"/>
  <c r="F129" i="91" s="1"/>
  <c r="B93" i="91" s="1"/>
  <c r="E129" i="91" a="1"/>
  <c r="E129" i="91" s="1"/>
  <c r="F128" i="91" a="1"/>
  <c r="F128" i="91" s="1"/>
  <c r="E128" i="91" a="1"/>
  <c r="E128" i="91" s="1"/>
  <c r="F127" i="91" a="1"/>
  <c r="F127" i="91" s="1"/>
  <c r="B89" i="91" s="1"/>
  <c r="E127" i="91" a="1"/>
  <c r="E127" i="91" s="1"/>
  <c r="F126" i="91"/>
  <c r="E126" i="91"/>
  <c r="E125" i="91"/>
  <c r="F129" i="92" a="1"/>
  <c r="F129" i="92" s="1"/>
  <c r="B93" i="92" s="1"/>
  <c r="E129" i="92" a="1"/>
  <c r="E129" i="92" s="1"/>
  <c r="F128" i="92" a="1"/>
  <c r="F128" i="92" s="1"/>
  <c r="B91" i="92" s="1"/>
  <c r="E128" i="92" a="1"/>
  <c r="E128" i="92" s="1"/>
  <c r="F127" i="92" a="1"/>
  <c r="F127" i="92" s="1"/>
  <c r="B89" i="92" s="1"/>
  <c r="E127" i="92" a="1"/>
  <c r="E127" i="92" s="1"/>
  <c r="F126" i="92"/>
  <c r="E126" i="92"/>
  <c r="E125" i="92"/>
  <c r="F129" i="93" a="1"/>
  <c r="F129" i="93" s="1"/>
  <c r="B93" i="93" s="1"/>
  <c r="E129" i="93" a="1"/>
  <c r="E129" i="93" s="1"/>
  <c r="F128" i="93" a="1"/>
  <c r="F128" i="93" s="1"/>
  <c r="B91" i="93" s="1"/>
  <c r="E128" i="93" a="1"/>
  <c r="E128" i="93" s="1"/>
  <c r="F127" i="93" a="1"/>
  <c r="F127" i="93" s="1"/>
  <c r="B89" i="93" s="1"/>
  <c r="E127" i="93" a="1"/>
  <c r="E127" i="93" s="1"/>
  <c r="F126" i="93"/>
  <c r="E126" i="93"/>
  <c r="E125" i="93"/>
  <c r="F129" i="94" a="1"/>
  <c r="F129" i="94" s="1"/>
  <c r="B93" i="94" s="1"/>
  <c r="E129" i="94" a="1"/>
  <c r="E129" i="94" s="1"/>
  <c r="F128" i="94" a="1"/>
  <c r="F128" i="94" s="1"/>
  <c r="B91" i="94" s="1"/>
  <c r="E128" i="94" a="1"/>
  <c r="E128" i="94" s="1"/>
  <c r="F127" i="94" a="1"/>
  <c r="F127" i="94" s="1"/>
  <c r="B89" i="94" s="1"/>
  <c r="E127" i="94" a="1"/>
  <c r="E127" i="94" s="1"/>
  <c r="F126" i="94"/>
  <c r="B87" i="94" s="1"/>
  <c r="E126" i="94"/>
  <c r="E125" i="94"/>
  <c r="F129" i="95" a="1"/>
  <c r="F129" i="95" s="1"/>
  <c r="B93" i="95" s="1"/>
  <c r="E129" i="95" a="1"/>
  <c r="E129" i="95" s="1"/>
  <c r="F128" i="95" a="1"/>
  <c r="F128" i="95" s="1"/>
  <c r="B91" i="95" s="1"/>
  <c r="E128" i="95" a="1"/>
  <c r="E128" i="95" s="1"/>
  <c r="F127" i="95" a="1"/>
  <c r="F127" i="95" s="1"/>
  <c r="B89" i="95" s="1"/>
  <c r="E127" i="95" a="1"/>
  <c r="E127" i="95" s="1"/>
  <c r="F126" i="95"/>
  <c r="E126" i="95"/>
  <c r="E125" i="95"/>
  <c r="F129" i="96" a="1"/>
  <c r="F129" i="96" s="1"/>
  <c r="B93" i="96" s="1"/>
  <c r="E129" i="96" a="1"/>
  <c r="E129" i="96" s="1"/>
  <c r="F128" i="96" a="1"/>
  <c r="F128" i="96" s="1"/>
  <c r="B91" i="96" s="1"/>
  <c r="E128" i="96" a="1"/>
  <c r="E128" i="96" s="1"/>
  <c r="F127" i="96" a="1"/>
  <c r="F127" i="96" s="1"/>
  <c r="B89" i="96" s="1"/>
  <c r="E127" i="96" a="1"/>
  <c r="E127" i="96" s="1"/>
  <c r="F126" i="96"/>
  <c r="E126" i="96"/>
  <c r="E125" i="96"/>
  <c r="F129" i="97" a="1"/>
  <c r="F129" i="97" s="1"/>
  <c r="B93" i="97" s="1"/>
  <c r="E129" i="97" a="1"/>
  <c r="E129" i="97" s="1"/>
  <c r="F128" i="97" a="1"/>
  <c r="F128" i="97" s="1"/>
  <c r="B91" i="97" s="1"/>
  <c r="E128" i="97" a="1"/>
  <c r="E128" i="97" s="1"/>
  <c r="F127" i="97" a="1"/>
  <c r="F127" i="97" s="1"/>
  <c r="B89" i="97" s="1"/>
  <c r="E127" i="97" a="1"/>
  <c r="E127" i="97" s="1"/>
  <c r="F126" i="97"/>
  <c r="B87" i="97" s="1"/>
  <c r="E126" i="97"/>
  <c r="E125" i="97"/>
  <c r="F129" i="86" a="1"/>
  <c r="F129" i="86" s="1"/>
  <c r="B93" i="86" s="1"/>
  <c r="E129" i="86" a="1"/>
  <c r="E129" i="86" s="1"/>
  <c r="F128" i="86" a="1"/>
  <c r="F128" i="86" s="1"/>
  <c r="B91" i="86" s="1"/>
  <c r="E128" i="86" a="1"/>
  <c r="E128" i="86" s="1"/>
  <c r="F127" i="86" a="1"/>
  <c r="F127" i="86" s="1"/>
  <c r="B89" i="86" s="1"/>
  <c r="E127" i="86" a="1"/>
  <c r="E127" i="86" s="1"/>
  <c r="F126" i="86"/>
  <c r="E126" i="86"/>
  <c r="E125" i="86"/>
  <c r="F129" i="85" a="1"/>
  <c r="F129" i="85" s="1"/>
  <c r="B93" i="85" s="1"/>
  <c r="E129" i="85" a="1"/>
  <c r="E129" i="85" s="1"/>
  <c r="F128" i="85"/>
  <c r="F128" i="85" a="1"/>
  <c r="E128" i="85" a="1"/>
  <c r="E128" i="85" s="1"/>
  <c r="F127" i="85" a="1"/>
  <c r="F127" i="85" s="1"/>
  <c r="B89" i="85" s="1"/>
  <c r="E127" i="85"/>
  <c r="E127" i="85" a="1"/>
  <c r="F126" i="85"/>
  <c r="E126" i="85"/>
  <c r="E125" i="85"/>
  <c r="F129" i="84" a="1"/>
  <c r="F129" i="84" s="1"/>
  <c r="B93" i="84" s="1"/>
  <c r="E129" i="84" a="1"/>
  <c r="E129" i="84" s="1"/>
  <c r="F128" i="84" a="1"/>
  <c r="F128" i="84" s="1"/>
  <c r="B91" i="84" s="1"/>
  <c r="E128" i="84" a="1"/>
  <c r="E128" i="84" s="1"/>
  <c r="F127" i="84" a="1"/>
  <c r="F127" i="84" s="1"/>
  <c r="B89" i="84" s="1"/>
  <c r="E127" i="84" a="1"/>
  <c r="E127" i="84" s="1"/>
  <c r="F126" i="84"/>
  <c r="B87" i="84" s="1"/>
  <c r="E126" i="84"/>
  <c r="E125" i="84"/>
  <c r="F129" i="83" a="1"/>
  <c r="F129" i="83" s="1"/>
  <c r="B93" i="83" s="1"/>
  <c r="E129" i="83" a="1"/>
  <c r="E129" i="83" s="1"/>
  <c r="F128" i="83" a="1"/>
  <c r="F128" i="83" s="1"/>
  <c r="E128" i="83" a="1"/>
  <c r="E128" i="83" s="1"/>
  <c r="F127" i="83" a="1"/>
  <c r="F127" i="83" s="1"/>
  <c r="B89" i="83" s="1"/>
  <c r="E127" i="83" a="1"/>
  <c r="E127" i="83" s="1"/>
  <c r="F126" i="83"/>
  <c r="B87" i="83" s="1"/>
  <c r="E126" i="83"/>
  <c r="E125" i="83"/>
  <c r="F129" i="82" a="1"/>
  <c r="F129" i="82" s="1"/>
  <c r="B93" i="82" s="1"/>
  <c r="E129" i="82" a="1"/>
  <c r="E129" i="82" s="1"/>
  <c r="F128" i="82" a="1"/>
  <c r="F128" i="82" s="1"/>
  <c r="B91" i="82" s="1"/>
  <c r="E128" i="82" a="1"/>
  <c r="E128" i="82" s="1"/>
  <c r="F127" i="82" a="1"/>
  <c r="F127" i="82" s="1"/>
  <c r="B89" i="82" s="1"/>
  <c r="E127" i="82"/>
  <c r="E127" i="82" a="1"/>
  <c r="F126" i="82"/>
  <c r="B87" i="82" s="1"/>
  <c r="E126" i="82"/>
  <c r="E125" i="82"/>
  <c r="F129" i="81" a="1"/>
  <c r="F129" i="81" s="1"/>
  <c r="B93" i="81" s="1"/>
  <c r="E129" i="81" a="1"/>
  <c r="E129" i="81" s="1"/>
  <c r="F128" i="81" a="1"/>
  <c r="F128" i="81" s="1"/>
  <c r="B91" i="81" s="1"/>
  <c r="E128" i="81" a="1"/>
  <c r="E128" i="81" s="1"/>
  <c r="F127" i="81" a="1"/>
  <c r="F127" i="81" s="1"/>
  <c r="B89" i="81" s="1"/>
  <c r="E127" i="81" a="1"/>
  <c r="E127" i="81" s="1"/>
  <c r="F126" i="81"/>
  <c r="E126" i="81"/>
  <c r="E125" i="81"/>
  <c r="F129" i="80" a="1"/>
  <c r="F129" i="80" s="1"/>
  <c r="B93" i="80" s="1"/>
  <c r="E129" i="80" a="1"/>
  <c r="E129" i="80" s="1"/>
  <c r="F128" i="80" a="1"/>
  <c r="F128" i="80" s="1"/>
  <c r="B91" i="80" s="1"/>
  <c r="E128" i="80" a="1"/>
  <c r="E128" i="80" s="1"/>
  <c r="F127" i="80" a="1"/>
  <c r="F127" i="80" s="1"/>
  <c r="B89" i="80" s="1"/>
  <c r="E127" i="80" a="1"/>
  <c r="E127" i="80" s="1"/>
  <c r="F126" i="80"/>
  <c r="E126" i="80"/>
  <c r="E125" i="80"/>
  <c r="B348" i="80" s="1"/>
  <c r="B353" i="80" s="1"/>
  <c r="F129" i="79" a="1"/>
  <c r="F129" i="79" s="1"/>
  <c r="B93" i="79" s="1"/>
  <c r="E129" i="79" a="1"/>
  <c r="E129" i="79" s="1"/>
  <c r="F128" i="79" a="1"/>
  <c r="F128" i="79" s="1"/>
  <c r="B91" i="79" s="1"/>
  <c r="E128" i="79" a="1"/>
  <c r="E128" i="79" s="1"/>
  <c r="F127" i="79" a="1"/>
  <c r="F127" i="79" s="1"/>
  <c r="B89" i="79" s="1"/>
  <c r="E127" i="79" a="1"/>
  <c r="E127" i="79" s="1"/>
  <c r="F126" i="79"/>
  <c r="E126" i="79"/>
  <c r="E125" i="79"/>
  <c r="F129" i="34" a="1"/>
  <c r="F129" i="34" s="1"/>
  <c r="B93" i="34" s="1"/>
  <c r="E129" i="34" a="1"/>
  <c r="E129" i="34" s="1"/>
  <c r="F128" i="34" a="1"/>
  <c r="F128" i="34" s="1"/>
  <c r="B91" i="34" s="1"/>
  <c r="E128" i="34" a="1"/>
  <c r="E128" i="34" s="1"/>
  <c r="F127" i="34" a="1"/>
  <c r="F127" i="34" s="1"/>
  <c r="B89" i="34" s="1"/>
  <c r="E127" i="34" a="1"/>
  <c r="E127" i="34" s="1"/>
  <c r="F126" i="34"/>
  <c r="E126" i="34"/>
  <c r="E125" i="34"/>
  <c r="F129" i="78" a="1"/>
  <c r="F129" i="78" s="1"/>
  <c r="B93" i="78" s="1"/>
  <c r="E129" i="78" a="1"/>
  <c r="E129" i="78" s="1"/>
  <c r="F128" i="78" a="1"/>
  <c r="F128" i="78" s="1"/>
  <c r="B91" i="78" s="1"/>
  <c r="E128" i="78"/>
  <c r="E128" i="78" a="1"/>
  <c r="F127" i="78" a="1"/>
  <c r="F127" i="78" s="1"/>
  <c r="B89" i="78" s="1"/>
  <c r="E127" i="78" a="1"/>
  <c r="E127" i="78" s="1"/>
  <c r="F126" i="78"/>
  <c r="B87" i="78" s="1"/>
  <c r="E126" i="78"/>
  <c r="E125" i="78"/>
  <c r="B345" i="78" s="1"/>
  <c r="B350" i="78" s="1"/>
  <c r="F129" i="76" a="1"/>
  <c r="F129" i="76" s="1"/>
  <c r="B93" i="76" s="1"/>
  <c r="E129" i="76" a="1"/>
  <c r="E129" i="76" s="1"/>
  <c r="F128" i="76" a="1"/>
  <c r="F128" i="76" s="1"/>
  <c r="E128" i="76" a="1"/>
  <c r="E128" i="76" s="1"/>
  <c r="F127" i="76" a="1"/>
  <c r="F127" i="76" s="1"/>
  <c r="B89" i="76" s="1"/>
  <c r="E127" i="76" a="1"/>
  <c r="E127" i="76" s="1"/>
  <c r="F126" i="76"/>
  <c r="E126" i="76"/>
  <c r="E125" i="76"/>
  <c r="F129" i="75" a="1"/>
  <c r="F129" i="75" s="1"/>
  <c r="B93" i="75" s="1"/>
  <c r="E129" i="75" a="1"/>
  <c r="E129" i="75" s="1"/>
  <c r="F128" i="75" a="1"/>
  <c r="F128" i="75" s="1"/>
  <c r="B91" i="75" s="1"/>
  <c r="E128" i="75" a="1"/>
  <c r="E128" i="75" s="1"/>
  <c r="F127" i="75" a="1"/>
  <c r="F127" i="75" s="1"/>
  <c r="B89" i="75" s="1"/>
  <c r="E127" i="75" a="1"/>
  <c r="E127" i="75" s="1"/>
  <c r="F126" i="75"/>
  <c r="E126" i="75"/>
  <c r="E125" i="75"/>
  <c r="AA150" i="75" s="1"/>
  <c r="F129" i="74" a="1"/>
  <c r="F129" i="74" s="1"/>
  <c r="B93" i="74" s="1"/>
  <c r="E129" i="74" a="1"/>
  <c r="E129" i="74" s="1"/>
  <c r="F128" i="74" a="1"/>
  <c r="F128" i="74" s="1"/>
  <c r="B91" i="74" s="1"/>
  <c r="E128" i="74" a="1"/>
  <c r="E128" i="74" s="1"/>
  <c r="F127" i="74" a="1"/>
  <c r="F127" i="74" s="1"/>
  <c r="B89" i="74" s="1"/>
  <c r="E127" i="74" a="1"/>
  <c r="E127" i="74" s="1"/>
  <c r="F126" i="74"/>
  <c r="E126" i="74"/>
  <c r="E125" i="74"/>
  <c r="F129" i="73" a="1"/>
  <c r="F129" i="73" s="1"/>
  <c r="B93" i="73" s="1"/>
  <c r="E129" i="73" a="1"/>
  <c r="E129" i="73" s="1"/>
  <c r="F128" i="73" a="1"/>
  <c r="F128" i="73" s="1"/>
  <c r="B91" i="73" s="1"/>
  <c r="E128" i="73" a="1"/>
  <c r="E128" i="73" s="1"/>
  <c r="F127" i="73" a="1"/>
  <c r="F127" i="73" s="1"/>
  <c r="B89" i="73" s="1"/>
  <c r="E127" i="73" a="1"/>
  <c r="E127" i="73" s="1"/>
  <c r="F126" i="73"/>
  <c r="E126" i="73"/>
  <c r="E125" i="73"/>
  <c r="M218" i="97"/>
  <c r="L164" i="97"/>
  <c r="N163" i="97"/>
  <c r="L78" i="97"/>
  <c r="N77" i="97"/>
  <c r="N71" i="97"/>
  <c r="N40" i="97"/>
  <c r="B364" i="97"/>
  <c r="B363" i="97"/>
  <c r="B362" i="97"/>
  <c r="B361" i="97"/>
  <c r="B360" i="97"/>
  <c r="B359" i="97"/>
  <c r="B358" i="97"/>
  <c r="B357" i="97"/>
  <c r="B339" i="97"/>
  <c r="B337" i="97"/>
  <c r="B335" i="97"/>
  <c r="B323" i="97"/>
  <c r="B321" i="97"/>
  <c r="E281" i="97"/>
  <c r="E282" i="97" s="1"/>
  <c r="E283" i="97" s="1"/>
  <c r="E284" i="97" s="1"/>
  <c r="E285" i="97" s="1"/>
  <c r="E286" i="97" s="1"/>
  <c r="E287" i="97" s="1"/>
  <c r="E288" i="97" s="1"/>
  <c r="E289" i="97" s="1"/>
  <c r="E290" i="97" s="1"/>
  <c r="E291" i="97" s="1"/>
  <c r="E292" i="97" s="1"/>
  <c r="E293" i="97" s="1"/>
  <c r="E294" i="97" s="1"/>
  <c r="E295" i="97" s="1"/>
  <c r="E296" i="97" s="1"/>
  <c r="E297" i="97" s="1"/>
  <c r="E298" i="97" s="1"/>
  <c r="E299" i="97" s="1"/>
  <c r="E300" i="97" s="1"/>
  <c r="E301" i="97" s="1"/>
  <c r="E302" i="97" s="1"/>
  <c r="E303" i="97" s="1"/>
  <c r="E304" i="97" s="1"/>
  <c r="E305" i="97" s="1"/>
  <c r="E306" i="97" s="1"/>
  <c r="E307" i="97" s="1"/>
  <c r="E308" i="97" s="1"/>
  <c r="E309" i="97" s="1"/>
  <c r="E310" i="97" s="1"/>
  <c r="E311" i="97" s="1"/>
  <c r="E312" i="97" s="1"/>
  <c r="E313" i="97" s="1"/>
  <c r="E314" i="97" s="1"/>
  <c r="E315" i="97" s="1"/>
  <c r="E316" i="97" s="1"/>
  <c r="H238" i="97"/>
  <c r="H237" i="97"/>
  <c r="H236" i="97"/>
  <c r="F234" i="97"/>
  <c r="H234" i="97" s="1"/>
  <c r="P218" i="97"/>
  <c r="B354" i="97" s="1"/>
  <c r="B216" i="97"/>
  <c r="R215" i="97"/>
  <c r="Q215" i="97"/>
  <c r="O215" i="97"/>
  <c r="H215" i="97"/>
  <c r="G215" i="97"/>
  <c r="B215" i="97"/>
  <c r="R214" i="97"/>
  <c r="P214" i="97" s="1"/>
  <c r="Q214" i="97"/>
  <c r="O214" i="97"/>
  <c r="H214" i="97"/>
  <c r="G214" i="97"/>
  <c r="B214" i="97"/>
  <c r="R213" i="97"/>
  <c r="Q213" i="97"/>
  <c r="P213" i="97"/>
  <c r="O213" i="97"/>
  <c r="H213" i="97"/>
  <c r="G213" i="97"/>
  <c r="B213" i="97"/>
  <c r="R212" i="97"/>
  <c r="Q212" i="97"/>
  <c r="O212" i="97"/>
  <c r="P212" i="97" s="1"/>
  <c r="H212" i="97"/>
  <c r="G212" i="97"/>
  <c r="B212" i="97"/>
  <c r="R211" i="97"/>
  <c r="Q211" i="97"/>
  <c r="P211" i="97"/>
  <c r="O211" i="97"/>
  <c r="H211" i="97"/>
  <c r="G211" i="97"/>
  <c r="B211" i="97"/>
  <c r="R210" i="97"/>
  <c r="Q210" i="97"/>
  <c r="P210" i="97"/>
  <c r="O210" i="97"/>
  <c r="H210" i="97"/>
  <c r="G210" i="97"/>
  <c r="B210" i="97"/>
  <c r="R209" i="97"/>
  <c r="Q209" i="97"/>
  <c r="P209" i="97"/>
  <c r="O209" i="97"/>
  <c r="H209" i="97"/>
  <c r="G209" i="97"/>
  <c r="B209" i="97"/>
  <c r="R208" i="97"/>
  <c r="P208" i="97" s="1"/>
  <c r="Q208" i="97"/>
  <c r="O208" i="97"/>
  <c r="H208" i="97"/>
  <c r="G208" i="97"/>
  <c r="B208" i="97"/>
  <c r="R207" i="97"/>
  <c r="Q207" i="97"/>
  <c r="O207" i="97"/>
  <c r="H207" i="97"/>
  <c r="G207" i="97"/>
  <c r="B207" i="97"/>
  <c r="R206" i="97"/>
  <c r="Q206" i="97"/>
  <c r="O206" i="97"/>
  <c r="P206" i="97" s="1"/>
  <c r="H206" i="97"/>
  <c r="G206" i="97"/>
  <c r="B206" i="97"/>
  <c r="B205" i="97"/>
  <c r="B204" i="97"/>
  <c r="R203" i="97"/>
  <c r="P203" i="97" s="1"/>
  <c r="AA121" i="97" s="1"/>
  <c r="O203" i="97"/>
  <c r="G203" i="97"/>
  <c r="B203" i="97"/>
  <c r="R202" i="97"/>
  <c r="P202" i="97"/>
  <c r="AA120" i="97" s="1"/>
  <c r="O202" i="97"/>
  <c r="G202" i="97"/>
  <c r="Z120" i="97" s="1"/>
  <c r="B202" i="97"/>
  <c r="R201" i="97"/>
  <c r="O201" i="97"/>
  <c r="G201" i="97"/>
  <c r="B201" i="97"/>
  <c r="R200" i="97"/>
  <c r="O200" i="97"/>
  <c r="P200" i="97" s="1"/>
  <c r="AA118" i="97" s="1"/>
  <c r="G200" i="97"/>
  <c r="B200" i="97"/>
  <c r="R199" i="97"/>
  <c r="O199" i="97"/>
  <c r="P199" i="97" s="1"/>
  <c r="AA117" i="97" s="1"/>
  <c r="G199" i="97"/>
  <c r="Z117" i="97" s="1"/>
  <c r="R198" i="97"/>
  <c r="P198" i="97"/>
  <c r="AA116" i="97" s="1"/>
  <c r="O198" i="97"/>
  <c r="G198" i="97"/>
  <c r="R197" i="97"/>
  <c r="O197" i="97"/>
  <c r="G197" i="97"/>
  <c r="R196" i="97"/>
  <c r="O196" i="97"/>
  <c r="G196" i="97"/>
  <c r="Z114" i="97" s="1"/>
  <c r="B196" i="97"/>
  <c r="R195" i="97"/>
  <c r="O195" i="97"/>
  <c r="G195" i="97"/>
  <c r="B195" i="97"/>
  <c r="R194" i="97"/>
  <c r="P194" i="97" s="1"/>
  <c r="AA112" i="97" s="1"/>
  <c r="O194" i="97"/>
  <c r="G194" i="97"/>
  <c r="B194" i="97"/>
  <c r="B193" i="97"/>
  <c r="B192" i="97"/>
  <c r="O191" i="97"/>
  <c r="B191" i="97"/>
  <c r="O190" i="97"/>
  <c r="B190" i="97"/>
  <c r="O189" i="97"/>
  <c r="B189" i="97"/>
  <c r="O188" i="97"/>
  <c r="B188" i="97"/>
  <c r="O187" i="97"/>
  <c r="B187" i="97"/>
  <c r="B186" i="97"/>
  <c r="O185" i="97"/>
  <c r="P185" i="97" s="1"/>
  <c r="I185" i="97"/>
  <c r="M191" i="97" s="1"/>
  <c r="B185" i="97"/>
  <c r="O184" i="97"/>
  <c r="P184" i="97" s="1"/>
  <c r="I184" i="97"/>
  <c r="M190" i="97" s="1"/>
  <c r="B184" i="97"/>
  <c r="B183" i="97"/>
  <c r="B182" i="97"/>
  <c r="R181" i="97"/>
  <c r="O181" i="97"/>
  <c r="P181" i="97" s="1"/>
  <c r="AA86" i="97" s="1"/>
  <c r="H181" i="97"/>
  <c r="B181" i="97"/>
  <c r="R180" i="97"/>
  <c r="O180" i="97"/>
  <c r="P180" i="97" s="1"/>
  <c r="AA85" i="97" s="1"/>
  <c r="H180" i="97"/>
  <c r="B180" i="97"/>
  <c r="R179" i="97"/>
  <c r="O179" i="97"/>
  <c r="P179" i="97" s="1"/>
  <c r="H179" i="97"/>
  <c r="R178" i="97"/>
  <c r="O178" i="97"/>
  <c r="P178" i="97" s="1"/>
  <c r="AA83" i="97" s="1"/>
  <c r="H178" i="97"/>
  <c r="R177" i="97"/>
  <c r="O177" i="97"/>
  <c r="H177" i="97"/>
  <c r="B174" i="97"/>
  <c r="B168" i="97"/>
  <c r="I164" i="97"/>
  <c r="H164" i="97"/>
  <c r="G164" i="97"/>
  <c r="F164" i="97"/>
  <c r="N11" i="97"/>
  <c r="B162" i="97"/>
  <c r="P161" i="97"/>
  <c r="O161" i="97"/>
  <c r="P160" i="97"/>
  <c r="AE155" i="97" s="1"/>
  <c r="O160" i="97"/>
  <c r="R157" i="97"/>
  <c r="Q157" i="97"/>
  <c r="O157" i="97"/>
  <c r="P157" i="97" s="1"/>
  <c r="H157" i="97"/>
  <c r="G157" i="97"/>
  <c r="R156" i="97"/>
  <c r="Q156" i="97"/>
  <c r="P156" i="97"/>
  <c r="O156" i="97"/>
  <c r="H156" i="97"/>
  <c r="G156" i="97"/>
  <c r="R155" i="97"/>
  <c r="Q155" i="97"/>
  <c r="O155" i="97"/>
  <c r="P155" i="97" s="1"/>
  <c r="H155" i="97"/>
  <c r="G155" i="97"/>
  <c r="R154" i="97"/>
  <c r="Q154" i="97"/>
  <c r="O154" i="97"/>
  <c r="H154" i="97"/>
  <c r="G154" i="97"/>
  <c r="AF153" i="97" a="1"/>
  <c r="AF153" i="97" s="1"/>
  <c r="B236" i="97" s="1"/>
  <c r="AE153" i="97"/>
  <c r="R153" i="97"/>
  <c r="Q153" i="97"/>
  <c r="O153" i="97"/>
  <c r="P153" i="97" s="1"/>
  <c r="H153" i="97"/>
  <c r="G153" i="97"/>
  <c r="AF152" i="97" a="1"/>
  <c r="AF152" i="97" s="1"/>
  <c r="B235" i="97" s="1"/>
  <c r="AE152" i="97"/>
  <c r="R152" i="97"/>
  <c r="Q152" i="97"/>
  <c r="O152" i="97"/>
  <c r="P152" i="97" s="1"/>
  <c r="H152" i="97"/>
  <c r="G152" i="97"/>
  <c r="B152" i="97"/>
  <c r="AF151" i="97" a="1"/>
  <c r="AF151" i="97" s="1"/>
  <c r="B234" i="97" s="1"/>
  <c r="AE151" i="97"/>
  <c r="R151" i="97"/>
  <c r="Q151" i="97"/>
  <c r="P151" i="97"/>
  <c r="O151" i="97"/>
  <c r="H151" i="97"/>
  <c r="G151" i="97"/>
  <c r="AF150" i="97" a="1"/>
  <c r="AF150" i="97" s="1"/>
  <c r="B233" i="97" s="1"/>
  <c r="AE150" i="97"/>
  <c r="R150" i="97"/>
  <c r="Q150" i="97"/>
  <c r="O150" i="97"/>
  <c r="H150" i="97"/>
  <c r="G150" i="97"/>
  <c r="AF149" i="97" a="1"/>
  <c r="AF149" i="97" s="1"/>
  <c r="B232" i="97" s="1"/>
  <c r="AE149" i="97"/>
  <c r="R149" i="97"/>
  <c r="Q149" i="97"/>
  <c r="O149" i="97"/>
  <c r="P149" i="97" s="1"/>
  <c r="H149" i="97"/>
  <c r="G149" i="97"/>
  <c r="AF148" i="97" a="1"/>
  <c r="AF148" i="97" s="1"/>
  <c r="B231" i="97" s="1"/>
  <c r="AE148" i="97"/>
  <c r="R148" i="97"/>
  <c r="Q148" i="97"/>
  <c r="O148" i="97"/>
  <c r="P148" i="97" s="1"/>
  <c r="H148" i="97"/>
  <c r="G148" i="97"/>
  <c r="AF147" i="97" a="1"/>
  <c r="AF147" i="97" s="1"/>
  <c r="B230" i="97" s="1"/>
  <c r="AE147" i="97"/>
  <c r="R147" i="97"/>
  <c r="Q147" i="97"/>
  <c r="O147" i="97"/>
  <c r="P147" i="97" s="1"/>
  <c r="H147" i="97"/>
  <c r="G147" i="97"/>
  <c r="AF146" i="97" a="1"/>
  <c r="AF146" i="97" s="1"/>
  <c r="B229" i="97" s="1"/>
  <c r="AE146" i="97"/>
  <c r="R146" i="97"/>
  <c r="Q146" i="97"/>
  <c r="O146" i="97"/>
  <c r="P146" i="97" s="1"/>
  <c r="H146" i="97"/>
  <c r="G146" i="97"/>
  <c r="AF145" i="97" a="1"/>
  <c r="AF145" i="97" s="1"/>
  <c r="B228" i="97" s="1"/>
  <c r="AE145" i="97"/>
  <c r="R145" i="97"/>
  <c r="Q145" i="97"/>
  <c r="O145" i="97"/>
  <c r="P145" i="97" s="1"/>
  <c r="H145" i="97"/>
  <c r="G145" i="97"/>
  <c r="AF144" i="97" a="1"/>
  <c r="AF144" i="97" s="1"/>
  <c r="B227" i="97" s="1"/>
  <c r="AE144" i="97"/>
  <c r="R144" i="97"/>
  <c r="Q144" i="97"/>
  <c r="O144" i="97"/>
  <c r="H144" i="97"/>
  <c r="AF143" i="97" a="1"/>
  <c r="AF143" i="97" s="1"/>
  <c r="B226" i="97" s="1"/>
  <c r="AE143" i="97"/>
  <c r="R143" i="97"/>
  <c r="Q143" i="97"/>
  <c r="O143" i="97"/>
  <c r="P143" i="97" s="1"/>
  <c r="H143" i="97"/>
  <c r="G143" i="97"/>
  <c r="AF142" i="97" a="1"/>
  <c r="AF142" i="97" s="1"/>
  <c r="B225" i="97" s="1"/>
  <c r="AE142" i="97"/>
  <c r="R142" i="97"/>
  <c r="Q142" i="97"/>
  <c r="O142" i="97"/>
  <c r="P142" i="97" s="1"/>
  <c r="H142" i="97"/>
  <c r="AF141" i="97" a="1"/>
  <c r="AF141" i="97" s="1"/>
  <c r="B224" i="97" s="1"/>
  <c r="AE141" i="97"/>
  <c r="R141" i="97"/>
  <c r="Q141" i="97"/>
  <c r="O141" i="97"/>
  <c r="P141" i="97" s="1"/>
  <c r="H141" i="97"/>
  <c r="AF140" i="97" a="1"/>
  <c r="AF140" i="97" s="1"/>
  <c r="B223" i="97" s="1"/>
  <c r="AE140" i="97"/>
  <c r="R140" i="97"/>
  <c r="Q140" i="97"/>
  <c r="O140" i="97"/>
  <c r="H140" i="97"/>
  <c r="AF139" i="97" a="1"/>
  <c r="AF139" i="97" s="1"/>
  <c r="B222" i="97" s="1"/>
  <c r="AE139" i="97"/>
  <c r="R139" i="97"/>
  <c r="Q139" i="97"/>
  <c r="O139" i="97"/>
  <c r="H139" i="97"/>
  <c r="AF138" i="97" a="1"/>
  <c r="AF138" i="97" s="1"/>
  <c r="B221" i="97" s="1"/>
  <c r="AE138" i="97"/>
  <c r="R138" i="97"/>
  <c r="Q138" i="97"/>
  <c r="O138" i="97"/>
  <c r="P138" i="97" s="1"/>
  <c r="H138" i="97"/>
  <c r="AF137" i="97" a="1"/>
  <c r="AF137" i="97" s="1"/>
  <c r="B220" i="97" s="1"/>
  <c r="AE137" i="97"/>
  <c r="H137" i="97"/>
  <c r="R135" i="97"/>
  <c r="Q135" i="97"/>
  <c r="O135" i="97"/>
  <c r="P135" i="97" s="1"/>
  <c r="B98" i="97" s="1"/>
  <c r="R134" i="97"/>
  <c r="Q134" i="97"/>
  <c r="P134" i="97"/>
  <c r="B97" i="97" s="1"/>
  <c r="O134" i="97"/>
  <c r="R133" i="97"/>
  <c r="Q133" i="97"/>
  <c r="O133" i="97"/>
  <c r="P133" i="97" s="1"/>
  <c r="B96" i="97" s="1"/>
  <c r="R132" i="97"/>
  <c r="Q132" i="97"/>
  <c r="O132" i="97"/>
  <c r="P132" i="97" s="1"/>
  <c r="B95" i="97" s="1"/>
  <c r="P129" i="97"/>
  <c r="P128" i="97"/>
  <c r="B92" i="97" s="1"/>
  <c r="P127" i="97"/>
  <c r="B90" i="97" s="1"/>
  <c r="R126" i="97"/>
  <c r="P126" i="97"/>
  <c r="P125" i="97"/>
  <c r="B85" i="97" s="1"/>
  <c r="Z121" i="97"/>
  <c r="O120" i="97"/>
  <c r="P120" i="97" s="1"/>
  <c r="H120" i="97"/>
  <c r="G120" i="97"/>
  <c r="Z119" i="97"/>
  <c r="O119" i="97"/>
  <c r="P119" i="97" s="1"/>
  <c r="H119" i="97"/>
  <c r="G119" i="97"/>
  <c r="Z118" i="97"/>
  <c r="P118" i="97"/>
  <c r="O118" i="97"/>
  <c r="H118" i="97"/>
  <c r="G118" i="97"/>
  <c r="O117" i="97"/>
  <c r="P117" i="97" s="1"/>
  <c r="H117" i="97"/>
  <c r="G117" i="97"/>
  <c r="Z116" i="97"/>
  <c r="O116" i="97"/>
  <c r="P116" i="97" s="1"/>
  <c r="H116" i="97"/>
  <c r="G116" i="97"/>
  <c r="Z115" i="97"/>
  <c r="P115" i="97"/>
  <c r="O115" i="97"/>
  <c r="H115" i="97"/>
  <c r="G115" i="97"/>
  <c r="P114" i="97"/>
  <c r="O114" i="97"/>
  <c r="H114" i="97"/>
  <c r="G114" i="97"/>
  <c r="Z113" i="97"/>
  <c r="O113" i="97"/>
  <c r="P113" i="97" s="1"/>
  <c r="H113" i="97"/>
  <c r="G113" i="97"/>
  <c r="Z112" i="97"/>
  <c r="O112" i="97"/>
  <c r="P112" i="97" s="1"/>
  <c r="H112" i="97"/>
  <c r="G112" i="97"/>
  <c r="O111" i="97"/>
  <c r="P111" i="97" s="1"/>
  <c r="H111" i="97"/>
  <c r="G111" i="97"/>
  <c r="O110" i="97"/>
  <c r="P110" i="97" s="1"/>
  <c r="H110" i="97"/>
  <c r="G110" i="97"/>
  <c r="O109" i="97"/>
  <c r="P109" i="97" s="1"/>
  <c r="H109" i="97"/>
  <c r="G109" i="97"/>
  <c r="O108" i="97"/>
  <c r="P108" i="97" s="1"/>
  <c r="H108" i="97"/>
  <c r="G108" i="97"/>
  <c r="O107" i="97"/>
  <c r="P107" i="97" s="1"/>
  <c r="H107" i="97"/>
  <c r="G107" i="97"/>
  <c r="P106" i="97"/>
  <c r="O106" i="97"/>
  <c r="H106" i="97"/>
  <c r="G106" i="97"/>
  <c r="O105" i="97"/>
  <c r="P105" i="97" s="1"/>
  <c r="H105" i="97"/>
  <c r="G105" i="97"/>
  <c r="P104" i="97"/>
  <c r="O104" i="97"/>
  <c r="H104" i="97"/>
  <c r="G104" i="97"/>
  <c r="P103" i="97"/>
  <c r="O103" i="97"/>
  <c r="H103" i="97"/>
  <c r="G103" i="97"/>
  <c r="O102" i="97"/>
  <c r="P102" i="97" s="1"/>
  <c r="H102" i="97"/>
  <c r="G102" i="97"/>
  <c r="B102" i="97"/>
  <c r="O101" i="97"/>
  <c r="P101" i="97" s="1"/>
  <c r="H101" i="97"/>
  <c r="G101" i="97"/>
  <c r="B101" i="97"/>
  <c r="B100" i="97"/>
  <c r="B99" i="97"/>
  <c r="R98" i="97"/>
  <c r="Q98" i="97"/>
  <c r="O98" i="97"/>
  <c r="H98" i="97"/>
  <c r="R97" i="97"/>
  <c r="P97" i="97" s="1"/>
  <c r="Q97" i="97"/>
  <c r="O97" i="97"/>
  <c r="H97" i="97"/>
  <c r="R96" i="97"/>
  <c r="Q96" i="97"/>
  <c r="O96" i="97"/>
  <c r="H96" i="97"/>
  <c r="R95" i="97"/>
  <c r="P95" i="97" s="1"/>
  <c r="Q95" i="97"/>
  <c r="O95" i="97"/>
  <c r="H95" i="97"/>
  <c r="R94" i="97"/>
  <c r="Q94" i="97"/>
  <c r="O94" i="97"/>
  <c r="P94" i="97" s="1"/>
  <c r="H94" i="97"/>
  <c r="B94" i="97"/>
  <c r="R93" i="97"/>
  <c r="Q93" i="97"/>
  <c r="O93" i="97"/>
  <c r="P93" i="97" s="1"/>
  <c r="H93" i="97"/>
  <c r="R92" i="97"/>
  <c r="Q92" i="97"/>
  <c r="O92" i="97"/>
  <c r="H92" i="97"/>
  <c r="R91" i="97"/>
  <c r="Q91" i="97"/>
  <c r="O91" i="97"/>
  <c r="P91" i="97" s="1"/>
  <c r="H91" i="97"/>
  <c r="R90" i="97"/>
  <c r="Q90" i="97"/>
  <c r="O90" i="97"/>
  <c r="H90" i="97"/>
  <c r="R89" i="97"/>
  <c r="Q89" i="97"/>
  <c r="O89" i="97"/>
  <c r="P89" i="97" s="1"/>
  <c r="H89" i="97"/>
  <c r="R88" i="97"/>
  <c r="Q88" i="97"/>
  <c r="O88" i="97"/>
  <c r="H88" i="97"/>
  <c r="R87" i="97"/>
  <c r="Q87" i="97"/>
  <c r="O87" i="97"/>
  <c r="P87" i="97" s="1"/>
  <c r="H87" i="97"/>
  <c r="R86" i="97"/>
  <c r="P86" i="97" s="1"/>
  <c r="Q86" i="97"/>
  <c r="O86" i="97"/>
  <c r="H86" i="97"/>
  <c r="R85" i="97"/>
  <c r="Q85" i="97"/>
  <c r="O85" i="97"/>
  <c r="P85" i="97" s="1"/>
  <c r="H85" i="97"/>
  <c r="AA84" i="97"/>
  <c r="R84" i="97"/>
  <c r="Q84" i="97"/>
  <c r="O84" i="97"/>
  <c r="H84" i="97"/>
  <c r="R83" i="97"/>
  <c r="Q83" i="97"/>
  <c r="O83" i="97"/>
  <c r="H83" i="97"/>
  <c r="B83" i="97"/>
  <c r="R82" i="97"/>
  <c r="Q82" i="97"/>
  <c r="O82" i="97"/>
  <c r="P82" i="97" s="1"/>
  <c r="AA5" i="97" s="1"/>
  <c r="H82" i="97"/>
  <c r="B82" i="97"/>
  <c r="R81" i="97"/>
  <c r="Q81" i="97"/>
  <c r="O81" i="97"/>
  <c r="H81" i="97"/>
  <c r="B81" i="97"/>
  <c r="R80" i="97"/>
  <c r="Q80" i="97"/>
  <c r="O80" i="97"/>
  <c r="H80" i="97"/>
  <c r="B80" i="97"/>
  <c r="R79" i="97"/>
  <c r="Q79" i="97"/>
  <c r="O79" i="97"/>
  <c r="P79" i="97" s="1"/>
  <c r="H79" i="97"/>
  <c r="B79" i="97"/>
  <c r="B78" i="97"/>
  <c r="B77" i="97"/>
  <c r="B76" i="97"/>
  <c r="B75" i="97"/>
  <c r="O74" i="97"/>
  <c r="B74" i="97"/>
  <c r="AF73" i="97"/>
  <c r="B343" i="97" s="1"/>
  <c r="AE73" i="97" a="1"/>
  <c r="AE73" i="97" s="1"/>
  <c r="B313" i="97" s="1"/>
  <c r="AD73" i="97" a="1"/>
  <c r="AD73" i="97" s="1"/>
  <c r="B283" i="97" s="1"/>
  <c r="O73" i="97"/>
  <c r="P73" i="97" s="1"/>
  <c r="B112" i="97" s="1"/>
  <c r="B73" i="97"/>
  <c r="AF72" i="97"/>
  <c r="B342" i="97" s="1"/>
  <c r="AE72" i="97" a="1"/>
  <c r="AE72" i="97" s="1"/>
  <c r="B312" i="97" s="1"/>
  <c r="AD72" i="97" a="1"/>
  <c r="AD72" i="97" s="1"/>
  <c r="B282" i="97" s="1"/>
  <c r="O72" i="97"/>
  <c r="P72" i="97" s="1"/>
  <c r="B72" i="97"/>
  <c r="AF71" i="97"/>
  <c r="B341" i="97" s="1"/>
  <c r="AE71" i="97" a="1"/>
  <c r="AE71" i="97" s="1"/>
  <c r="B311" i="97" s="1"/>
  <c r="AD71" i="97" a="1"/>
  <c r="AD71" i="97" s="1"/>
  <c r="B281" i="97" s="1"/>
  <c r="N12" i="97"/>
  <c r="B71" i="97"/>
  <c r="AF70" i="97"/>
  <c r="B340" i="97" s="1"/>
  <c r="AE70" i="97" a="1"/>
  <c r="AE70" i="97" s="1"/>
  <c r="B310" i="97" s="1"/>
  <c r="AD70" i="97"/>
  <c r="B280" i="97" s="1"/>
  <c r="AD70" i="97" a="1"/>
  <c r="B70" i="97"/>
  <c r="AF69" i="97"/>
  <c r="AE69" i="97" a="1"/>
  <c r="AE69" i="97" s="1"/>
  <c r="B309" i="97" s="1"/>
  <c r="AD69" i="97" a="1"/>
  <c r="AD69" i="97" s="1"/>
  <c r="B279" i="97" s="1"/>
  <c r="V69" i="97"/>
  <c r="O69" i="97"/>
  <c r="P69" i="97" s="1"/>
  <c r="B69" i="97"/>
  <c r="AF68" i="97"/>
  <c r="B338" i="97" s="1"/>
  <c r="AE68" i="97" a="1"/>
  <c r="AE68" i="97" s="1"/>
  <c r="B308" i="97" s="1"/>
  <c r="AD68" i="97" a="1"/>
  <c r="AD68" i="97" s="1"/>
  <c r="B278" i="97" s="1"/>
  <c r="V68" i="97"/>
  <c r="O68" i="97"/>
  <c r="P68" i="97" s="1"/>
  <c r="B68" i="97"/>
  <c r="AF67" i="97"/>
  <c r="AE67" i="97" a="1"/>
  <c r="AE67" i="97" s="1"/>
  <c r="B307" i="97" s="1"/>
  <c r="AD67" i="97" a="1"/>
  <c r="AD67" i="97" s="1"/>
  <c r="B277" i="97" s="1"/>
  <c r="V67" i="97"/>
  <c r="O67" i="97"/>
  <c r="P67" i="97" s="1"/>
  <c r="B67" i="97"/>
  <c r="AF66" i="97"/>
  <c r="B336" i="97" s="1"/>
  <c r="AE66" i="97" a="1"/>
  <c r="AE66" i="97" s="1"/>
  <c r="B306" i="97" s="1"/>
  <c r="AD66" i="97" a="1"/>
  <c r="AD66" i="97" s="1"/>
  <c r="B276" i="97" s="1"/>
  <c r="V66" i="97"/>
  <c r="O66" i="97"/>
  <c r="P66" i="97" s="1"/>
  <c r="B66" i="97"/>
  <c r="AF65" i="97"/>
  <c r="AE65" i="97" a="1"/>
  <c r="AE65" i="97" s="1"/>
  <c r="B305" i="97" s="1"/>
  <c r="AD65" i="97" a="1"/>
  <c r="AD65" i="97" s="1"/>
  <c r="B275" i="97" s="1"/>
  <c r="V65" i="97"/>
  <c r="O65" i="97"/>
  <c r="P65" i="97" s="1"/>
  <c r="B45" i="97" s="1"/>
  <c r="B65" i="97"/>
  <c r="AF64" i="97"/>
  <c r="B334" i="97" s="1"/>
  <c r="AE64" i="97" a="1"/>
  <c r="AE64" i="97" s="1"/>
  <c r="B304" i="97" s="1"/>
  <c r="AD64" i="97" a="1"/>
  <c r="AD64" i="97" s="1"/>
  <c r="B274" i="97" s="1"/>
  <c r="V64" i="97"/>
  <c r="P64" i="97"/>
  <c r="AJ22" i="97" s="1"/>
  <c r="AK22" i="97" s="1"/>
  <c r="O64" i="97"/>
  <c r="B64" i="97"/>
  <c r="AF63" i="97"/>
  <c r="B333" i="97" s="1"/>
  <c r="AE63" i="97" a="1"/>
  <c r="AE63" i="97" s="1"/>
  <c r="B303" i="97" s="1"/>
  <c r="AD63" i="97" a="1"/>
  <c r="AD63" i="97" s="1"/>
  <c r="B273" i="97" s="1"/>
  <c r="V63" i="97"/>
  <c r="O63" i="97"/>
  <c r="P63" i="97" s="1"/>
  <c r="AJ21" i="97" s="1"/>
  <c r="AK21" i="97" s="1"/>
  <c r="B63" i="97"/>
  <c r="AF62" i="97"/>
  <c r="B332" i="97" s="1"/>
  <c r="AE62" i="97" a="1"/>
  <c r="AE62" i="97" s="1"/>
  <c r="B302" i="97" s="1"/>
  <c r="AD62" i="97"/>
  <c r="B272" i="97" s="1"/>
  <c r="AD62" i="97" a="1"/>
  <c r="V62" i="97"/>
  <c r="P62" i="97"/>
  <c r="O62" i="97"/>
  <c r="B62" i="97"/>
  <c r="AF61" i="97"/>
  <c r="B331" i="97" s="1"/>
  <c r="AE61" i="97" a="1"/>
  <c r="AE61" i="97" s="1"/>
  <c r="B301" i="97" s="1"/>
  <c r="AD61" i="97" a="1"/>
  <c r="AD61" i="97" s="1"/>
  <c r="B271" i="97" s="1"/>
  <c r="B61" i="97"/>
  <c r="AF60" i="97"/>
  <c r="B330" i="97" s="1"/>
  <c r="AE60" i="97" a="1"/>
  <c r="AE60" i="97" s="1"/>
  <c r="B300" i="97" s="1"/>
  <c r="AD60" i="97" a="1"/>
  <c r="AD60" i="97" s="1"/>
  <c r="B270" i="97" s="1"/>
  <c r="B60" i="97"/>
  <c r="AF59" i="97"/>
  <c r="B329" i="97" s="1"/>
  <c r="AE59" i="97" a="1"/>
  <c r="AE59" i="97" s="1"/>
  <c r="B299" i="97" s="1"/>
  <c r="AD59" i="97" a="1"/>
  <c r="AD59" i="97" s="1"/>
  <c r="B269" i="97" s="1"/>
  <c r="V59" i="97"/>
  <c r="P59" i="97"/>
  <c r="AJ56" i="97" s="1"/>
  <c r="AK56" i="97" s="1"/>
  <c r="O59" i="97"/>
  <c r="AF58" i="97"/>
  <c r="B328" i="97" s="1"/>
  <c r="AE58" i="97" a="1"/>
  <c r="AE58" i="97" s="1"/>
  <c r="B298" i="97" s="1"/>
  <c r="AD58" i="97" a="1"/>
  <c r="AD58" i="97" s="1"/>
  <c r="B268" i="97" s="1"/>
  <c r="V58" i="97"/>
  <c r="O58" i="97"/>
  <c r="P58" i="97" s="1"/>
  <c r="AF57" i="97"/>
  <c r="B327" i="97" s="1"/>
  <c r="AE57" i="97" a="1"/>
  <c r="AE57" i="97" s="1"/>
  <c r="B297" i="97" s="1"/>
  <c r="AD57" i="97" a="1"/>
  <c r="AD57" i="97" s="1"/>
  <c r="B267" i="97" s="1"/>
  <c r="V57" i="97"/>
  <c r="P57" i="97"/>
  <c r="O57" i="97"/>
  <c r="AF56" i="97"/>
  <c r="B326" i="97" s="1"/>
  <c r="AE56" i="97" a="1"/>
  <c r="AE56" i="97" s="1"/>
  <c r="B296" i="97" s="1"/>
  <c r="AD56" i="97" a="1"/>
  <c r="AD56" i="97" s="1"/>
  <c r="B266" i="97" s="1"/>
  <c r="V56" i="97"/>
  <c r="O56" i="97"/>
  <c r="P56" i="97" s="1"/>
  <c r="AF55" i="97"/>
  <c r="B325" i="97" s="1"/>
  <c r="AE55" i="97" a="1"/>
  <c r="AE55" i="97" s="1"/>
  <c r="B295" i="97" s="1"/>
  <c r="AD55" i="97" a="1"/>
  <c r="AD55" i="97" s="1"/>
  <c r="B265" i="97" s="1"/>
  <c r="V55" i="97"/>
  <c r="P55" i="97"/>
  <c r="O55" i="97"/>
  <c r="AF54" i="97"/>
  <c r="B324" i="97" s="1"/>
  <c r="AE54" i="97" a="1"/>
  <c r="AE54" i="97" s="1"/>
  <c r="B294" i="97" s="1"/>
  <c r="AD54" i="97" a="1"/>
  <c r="AD54" i="97" s="1"/>
  <c r="B264" i="97" s="1"/>
  <c r="V54" i="97"/>
  <c r="P54" i="97"/>
  <c r="AJ20" i="97" s="1"/>
  <c r="AK20" i="97" s="1"/>
  <c r="O54" i="97"/>
  <c r="AF53" i="97"/>
  <c r="AE53" i="97" a="1"/>
  <c r="AE53" i="97" s="1"/>
  <c r="B293" i="97" s="1"/>
  <c r="AD53" i="97" a="1"/>
  <c r="AD53" i="97" s="1"/>
  <c r="B263" i="97" s="1"/>
  <c r="V53" i="97"/>
  <c r="O53" i="97"/>
  <c r="P53" i="97" s="1"/>
  <c r="AF52" i="97"/>
  <c r="B322" i="97" s="1"/>
  <c r="AE52" i="97" a="1"/>
  <c r="AE52" i="97" s="1"/>
  <c r="B292" i="97" s="1"/>
  <c r="AD52" i="97" a="1"/>
  <c r="AD52" i="97" s="1"/>
  <c r="B262" i="97" s="1"/>
  <c r="V52" i="97"/>
  <c r="O52" i="97"/>
  <c r="P52" i="97" s="1"/>
  <c r="AF51" i="97"/>
  <c r="AE51" i="97" a="1"/>
  <c r="AE51" i="97" s="1"/>
  <c r="B291" i="97" s="1"/>
  <c r="AD51" i="97" a="1"/>
  <c r="AD51" i="97" s="1"/>
  <c r="B261" i="97" s="1"/>
  <c r="AF50" i="97"/>
  <c r="B320" i="97" s="1"/>
  <c r="AE50" i="97" a="1"/>
  <c r="AE50" i="97" s="1"/>
  <c r="B290" i="97" s="1"/>
  <c r="AD50" i="97" a="1"/>
  <c r="AD50" i="97" s="1"/>
  <c r="B260" i="97" s="1"/>
  <c r="V49" i="97"/>
  <c r="P49" i="97"/>
  <c r="O49" i="97"/>
  <c r="AJ48" i="97"/>
  <c r="AK48" i="97" s="1"/>
  <c r="V48" i="97"/>
  <c r="O48" i="97"/>
  <c r="P48" i="97" s="1"/>
  <c r="V47" i="97"/>
  <c r="P47" i="97"/>
  <c r="AJ35" i="97" s="1"/>
  <c r="AK35" i="97" s="1"/>
  <c r="O47" i="97"/>
  <c r="V46" i="97"/>
  <c r="O46" i="97"/>
  <c r="P46" i="97" s="1"/>
  <c r="B30" i="97" s="1"/>
  <c r="V45" i="97"/>
  <c r="P45" i="97"/>
  <c r="O45" i="97"/>
  <c r="V44" i="97"/>
  <c r="O44" i="97"/>
  <c r="P44" i="97" s="1"/>
  <c r="B28" i="97" s="1"/>
  <c r="AJ43" i="97"/>
  <c r="AK43" i="97" s="1"/>
  <c r="V43" i="97"/>
  <c r="O43" i="97"/>
  <c r="P43" i="97" s="1"/>
  <c r="V42" i="97"/>
  <c r="O42" i="97"/>
  <c r="P42" i="97" s="1"/>
  <c r="AJ2" i="97" s="1"/>
  <c r="AK2" i="97" s="1"/>
  <c r="AA41" i="97"/>
  <c r="Z41" i="97" s="1"/>
  <c r="T41" i="97"/>
  <c r="B41" i="97"/>
  <c r="AA40" i="97"/>
  <c r="Z40" i="97" s="1"/>
  <c r="U40" i="97"/>
  <c r="T40" i="97"/>
  <c r="N9" i="97" s="1"/>
  <c r="AA39" i="97"/>
  <c r="Z39" i="97" s="1"/>
  <c r="B39" i="97"/>
  <c r="AA38" i="97"/>
  <c r="Z38" i="97" s="1"/>
  <c r="V38" i="97"/>
  <c r="O38" i="97"/>
  <c r="P38" i="97" s="1"/>
  <c r="AA37" i="97"/>
  <c r="Z37" i="97" s="1"/>
  <c r="V37" i="97"/>
  <c r="O37" i="97"/>
  <c r="P37" i="97"/>
  <c r="AA36" i="97"/>
  <c r="Z36" i="97" s="1"/>
  <c r="V36" i="97"/>
  <c r="O36" i="97"/>
  <c r="AA35" i="97"/>
  <c r="Z35" i="97" s="1"/>
  <c r="AA34" i="97"/>
  <c r="Z34" i="97" s="1"/>
  <c r="AA33" i="97"/>
  <c r="Z33" i="97" s="1"/>
  <c r="O33" i="97"/>
  <c r="P33" i="97"/>
  <c r="AJ47" i="97" s="1"/>
  <c r="B33" i="97"/>
  <c r="AA32" i="97"/>
  <c r="Z32" i="97" s="1"/>
  <c r="V32" i="97"/>
  <c r="O32" i="97"/>
  <c r="P32" i="97" s="1"/>
  <c r="AF31" i="97"/>
  <c r="AD31" i="97"/>
  <c r="B144" i="97" s="1"/>
  <c r="AA31" i="97"/>
  <c r="Z31" i="97" s="1"/>
  <c r="O31" i="97"/>
  <c r="B31" i="97"/>
  <c r="AF30" i="97"/>
  <c r="B173" i="97" s="1"/>
  <c r="AD30" i="97"/>
  <c r="B143" i="97" s="1"/>
  <c r="AA30" i="97"/>
  <c r="Z30" i="97" s="1"/>
  <c r="AF29" i="97"/>
  <c r="B172" i="97" s="1"/>
  <c r="AD29" i="97"/>
  <c r="B142" i="97" s="1"/>
  <c r="AA29" i="97"/>
  <c r="Z29" i="97" s="1"/>
  <c r="B29" i="97"/>
  <c r="AJ28" i="97"/>
  <c r="AK28" i="97" s="1"/>
  <c r="AF28" i="97"/>
  <c r="B171" i="97" s="1"/>
  <c r="AD28" i="97"/>
  <c r="B141" i="97" s="1"/>
  <c r="AA28" i="97"/>
  <c r="Z28" i="97" s="1"/>
  <c r="V28" i="97"/>
  <c r="O28" i="97"/>
  <c r="P28" i="97" s="1"/>
  <c r="M74" i="97" s="1"/>
  <c r="P74" i="97" s="1"/>
  <c r="AJ27" i="97"/>
  <c r="AK27" i="97" s="1"/>
  <c r="AF27" i="97"/>
  <c r="B170" i="97" s="1"/>
  <c r="AD27" i="97"/>
  <c r="B140" i="97" s="1"/>
  <c r="AA27" i="97"/>
  <c r="Z27" i="97" s="1"/>
  <c r="V27" i="97"/>
  <c r="O27" i="97"/>
  <c r="P27" i="97"/>
  <c r="AF26" i="97"/>
  <c r="B169" i="97" s="1"/>
  <c r="AD26" i="97"/>
  <c r="B139" i="97" s="1"/>
  <c r="AA26" i="97"/>
  <c r="Z26" i="97" s="1"/>
  <c r="V26" i="97"/>
  <c r="O26" i="97"/>
  <c r="AF25" i="97"/>
  <c r="AD25" i="97"/>
  <c r="B138" i="97" s="1"/>
  <c r="AA25" i="97"/>
  <c r="Z25" i="97" s="1"/>
  <c r="AF24" i="97"/>
  <c r="B167" i="97" s="1"/>
  <c r="AD24" i="97"/>
  <c r="B137" i="97" s="1"/>
  <c r="AA24" i="97"/>
  <c r="Z24" i="97" s="1"/>
  <c r="AF23" i="97"/>
  <c r="B166" i="97" s="1"/>
  <c r="AD23" i="97"/>
  <c r="B136" i="97" s="1"/>
  <c r="AA23" i="97"/>
  <c r="Z23" i="97" s="1"/>
  <c r="N23" i="97"/>
  <c r="N8" i="97" s="1"/>
  <c r="AF22" i="97"/>
  <c r="B165" i="97" s="1"/>
  <c r="AD22" i="97"/>
  <c r="B135" i="97" s="1"/>
  <c r="AA22" i="97"/>
  <c r="Z22" i="97" s="1"/>
  <c r="AF21" i="97"/>
  <c r="B164" i="97" s="1"/>
  <c r="AD21" i="97"/>
  <c r="B134" i="97" s="1"/>
  <c r="AA21" i="97"/>
  <c r="N21" i="97"/>
  <c r="AF20" i="97"/>
  <c r="B163" i="97" s="1"/>
  <c r="AD20" i="97"/>
  <c r="B133" i="97" s="1"/>
  <c r="AA20" i="97"/>
  <c r="N20" i="97"/>
  <c r="AF19" i="97"/>
  <c r="AD19" i="97"/>
  <c r="B132" i="97" s="1"/>
  <c r="AA19" i="97"/>
  <c r="N19" i="97"/>
  <c r="AF18" i="97"/>
  <c r="B161" i="97" s="1"/>
  <c r="AD18" i="97"/>
  <c r="B131" i="97" s="1"/>
  <c r="AA18" i="97"/>
  <c r="N18" i="97"/>
  <c r="AF17" i="97"/>
  <c r="B160" i="97" s="1"/>
  <c r="AD17" i="97"/>
  <c r="B130" i="97" s="1"/>
  <c r="AA17" i="97"/>
  <c r="N17" i="97"/>
  <c r="AF16" i="97"/>
  <c r="B159" i="97" s="1"/>
  <c r="AD16" i="97"/>
  <c r="B129" i="97" s="1"/>
  <c r="AA16" i="97"/>
  <c r="B16" i="97"/>
  <c r="AF15" i="97"/>
  <c r="B158" i="97" s="1"/>
  <c r="AD15" i="97"/>
  <c r="B128" i="97" s="1"/>
  <c r="AA15" i="97"/>
  <c r="B15" i="97"/>
  <c r="AF14" i="97"/>
  <c r="B157" i="97" s="1"/>
  <c r="AD14" i="97"/>
  <c r="B127" i="97" s="1"/>
  <c r="AA14" i="97"/>
  <c r="B14" i="97"/>
  <c r="AF13" i="97"/>
  <c r="B156" i="97" s="1"/>
  <c r="AD13" i="97"/>
  <c r="B126" i="97" s="1"/>
  <c r="AA13" i="97"/>
  <c r="AJ12" i="97"/>
  <c r="AK12" i="97" s="1"/>
  <c r="AF12" i="97"/>
  <c r="B155" i="97" s="1"/>
  <c r="AD12" i="97"/>
  <c r="B125" i="97" s="1"/>
  <c r="AA12" i="97"/>
  <c r="B12" i="97"/>
  <c r="B13" i="97" s="1"/>
  <c r="AF11" i="97"/>
  <c r="B154" i="97" s="1"/>
  <c r="AD11" i="97"/>
  <c r="B124" i="97" s="1"/>
  <c r="AA11" i="97"/>
  <c r="B11" i="97"/>
  <c r="AF10" i="97"/>
  <c r="B153" i="97" s="1"/>
  <c r="AD10" i="97"/>
  <c r="B123" i="97" s="1"/>
  <c r="AA10" i="97"/>
  <c r="N10" i="97"/>
  <c r="AF9" i="97"/>
  <c r="AD9" i="97"/>
  <c r="B122" i="97" s="1"/>
  <c r="AA9" i="97"/>
  <c r="B9" i="97"/>
  <c r="B10" i="97" s="1"/>
  <c r="AF8" i="97"/>
  <c r="B151" i="97" s="1"/>
  <c r="AD8" i="97"/>
  <c r="B121" i="97" s="1"/>
  <c r="AA8" i="97"/>
  <c r="G8" i="97"/>
  <c r="D8" i="97"/>
  <c r="B8" i="97"/>
  <c r="AA7" i="97"/>
  <c r="D7" i="97"/>
  <c r="B7" i="97"/>
  <c r="B6" i="97"/>
  <c r="B5" i="97"/>
  <c r="N4" i="97"/>
  <c r="AA2" i="97"/>
  <c r="B2" i="97"/>
  <c r="B100" i="96"/>
  <c r="T41" i="73"/>
  <c r="T40" i="73"/>
  <c r="T41" i="74"/>
  <c r="T40" i="74"/>
  <c r="T41" i="75"/>
  <c r="T40" i="75"/>
  <c r="T41" i="76"/>
  <c r="T40" i="76"/>
  <c r="T41" i="77"/>
  <c r="T40" i="77"/>
  <c r="T41" i="78"/>
  <c r="T40" i="78"/>
  <c r="T41" i="34"/>
  <c r="T40" i="34"/>
  <c r="T41" i="79"/>
  <c r="T40" i="79"/>
  <c r="T41" i="80"/>
  <c r="T40" i="80"/>
  <c r="T41" i="81"/>
  <c r="T40" i="81"/>
  <c r="T41" i="82"/>
  <c r="T40" i="82"/>
  <c r="T41" i="83"/>
  <c r="T40" i="83"/>
  <c r="T41" i="84"/>
  <c r="T40" i="84"/>
  <c r="T41" i="85"/>
  <c r="T40" i="85"/>
  <c r="T41" i="86"/>
  <c r="T40" i="86"/>
  <c r="T41" i="96"/>
  <c r="T40" i="96"/>
  <c r="T41" i="95"/>
  <c r="T40" i="95"/>
  <c r="T41" i="93"/>
  <c r="T41" i="92"/>
  <c r="T41" i="90"/>
  <c r="T41" i="89"/>
  <c r="T41" i="88"/>
  <c r="T40" i="88"/>
  <c r="T40" i="89"/>
  <c r="T40" i="90"/>
  <c r="T40" i="92"/>
  <c r="T40" i="93"/>
  <c r="M124" i="96"/>
  <c r="L61" i="96"/>
  <c r="L51" i="96"/>
  <c r="L41" i="96"/>
  <c r="L35" i="96"/>
  <c r="L30" i="96"/>
  <c r="L25" i="96"/>
  <c r="M218" i="96"/>
  <c r="M190" i="96"/>
  <c r="M189" i="96"/>
  <c r="M187" i="96"/>
  <c r="L164" i="96"/>
  <c r="N163" i="96"/>
  <c r="N11" i="96" s="1"/>
  <c r="L78" i="96"/>
  <c r="N77" i="96"/>
  <c r="N71" i="96"/>
  <c r="N12" i="96" s="1"/>
  <c r="N40" i="96"/>
  <c r="B364" i="96"/>
  <c r="B363" i="96"/>
  <c r="B362" i="96"/>
  <c r="B361" i="96"/>
  <c r="B360" i="96"/>
  <c r="B359" i="96"/>
  <c r="B358" i="96"/>
  <c r="B357" i="96"/>
  <c r="B335" i="96"/>
  <c r="E281" i="96"/>
  <c r="E282" i="96" s="1"/>
  <c r="E283" i="96" s="1"/>
  <c r="E284" i="96" s="1"/>
  <c r="E285" i="96" s="1"/>
  <c r="E286" i="96" s="1"/>
  <c r="E287" i="96" s="1"/>
  <c r="E288" i="96" s="1"/>
  <c r="E289" i="96" s="1"/>
  <c r="E290" i="96" s="1"/>
  <c r="E291" i="96" s="1"/>
  <c r="E292" i="96" s="1"/>
  <c r="E293" i="96" s="1"/>
  <c r="E294" i="96" s="1"/>
  <c r="E295" i="96" s="1"/>
  <c r="E296" i="96" s="1"/>
  <c r="E297" i="96" s="1"/>
  <c r="E298" i="96" s="1"/>
  <c r="E299" i="96" s="1"/>
  <c r="E300" i="96" s="1"/>
  <c r="E301" i="96" s="1"/>
  <c r="E302" i="96" s="1"/>
  <c r="E303" i="96" s="1"/>
  <c r="E304" i="96" s="1"/>
  <c r="E305" i="96" s="1"/>
  <c r="E306" i="96" s="1"/>
  <c r="E307" i="96" s="1"/>
  <c r="E308" i="96" s="1"/>
  <c r="E309" i="96" s="1"/>
  <c r="E310" i="96" s="1"/>
  <c r="E311" i="96" s="1"/>
  <c r="E312" i="96" s="1"/>
  <c r="E313" i="96" s="1"/>
  <c r="E314" i="96" s="1"/>
  <c r="E315" i="96" s="1"/>
  <c r="E316" i="96" s="1"/>
  <c r="H238" i="96"/>
  <c r="H237" i="96"/>
  <c r="H236" i="96"/>
  <c r="F234" i="96"/>
  <c r="H234" i="96" s="1"/>
  <c r="P218" i="96"/>
  <c r="B354" i="96" s="1"/>
  <c r="B216" i="96"/>
  <c r="R215" i="96"/>
  <c r="Q215" i="96"/>
  <c r="O215" i="96"/>
  <c r="P215" i="96" s="1"/>
  <c r="H215" i="96"/>
  <c r="G215" i="96"/>
  <c r="B215" i="96"/>
  <c r="R214" i="96"/>
  <c r="Q214" i="96"/>
  <c r="O214" i="96"/>
  <c r="P214" i="96" s="1"/>
  <c r="H214" i="96"/>
  <c r="G214" i="96"/>
  <c r="B214" i="96"/>
  <c r="R213" i="96"/>
  <c r="Q213" i="96"/>
  <c r="O213" i="96"/>
  <c r="P213" i="96" s="1"/>
  <c r="H213" i="96"/>
  <c r="G213" i="96"/>
  <c r="B213" i="96"/>
  <c r="R212" i="96"/>
  <c r="Q212" i="96"/>
  <c r="O212" i="96"/>
  <c r="P212" i="96" s="1"/>
  <c r="H212" i="96"/>
  <c r="G212" i="96"/>
  <c r="B212" i="96"/>
  <c r="R211" i="96"/>
  <c r="Q211" i="96"/>
  <c r="O211" i="96"/>
  <c r="P211" i="96" s="1"/>
  <c r="H211" i="96"/>
  <c r="G211" i="96"/>
  <c r="B211" i="96"/>
  <c r="R210" i="96"/>
  <c r="P210" i="96" s="1"/>
  <c r="Q210" i="96"/>
  <c r="O210" i="96"/>
  <c r="H210" i="96"/>
  <c r="G210" i="96"/>
  <c r="B210" i="96"/>
  <c r="R209" i="96"/>
  <c r="Q209" i="96"/>
  <c r="P209" i="96"/>
  <c r="O209" i="96"/>
  <c r="H209" i="96"/>
  <c r="G209" i="96"/>
  <c r="B209" i="96"/>
  <c r="R208" i="96"/>
  <c r="Q208" i="96"/>
  <c r="O208" i="96"/>
  <c r="P208" i="96" s="1"/>
  <c r="H208" i="96"/>
  <c r="G208" i="96"/>
  <c r="B208" i="96"/>
  <c r="R207" i="96"/>
  <c r="Q207" i="96"/>
  <c r="O207" i="96"/>
  <c r="H207" i="96"/>
  <c r="G207" i="96"/>
  <c r="B207" i="96"/>
  <c r="R206" i="96"/>
  <c r="Q206" i="96"/>
  <c r="O206" i="96"/>
  <c r="H206" i="96"/>
  <c r="G206" i="96"/>
  <c r="B206" i="96"/>
  <c r="B205" i="96"/>
  <c r="B204" i="96"/>
  <c r="R203" i="96"/>
  <c r="O203" i="96"/>
  <c r="G203" i="96"/>
  <c r="B203" i="96"/>
  <c r="R202" i="96"/>
  <c r="O202" i="96"/>
  <c r="G202" i="96"/>
  <c r="B202" i="96"/>
  <c r="R201" i="96"/>
  <c r="O201" i="96"/>
  <c r="G201" i="96"/>
  <c r="B201" i="96"/>
  <c r="R200" i="96"/>
  <c r="O200" i="96"/>
  <c r="P200" i="96" s="1"/>
  <c r="AA118" i="96" s="1"/>
  <c r="G200" i="96"/>
  <c r="B200" i="96"/>
  <c r="R199" i="96"/>
  <c r="O199" i="96"/>
  <c r="G199" i="96"/>
  <c r="B199" i="96"/>
  <c r="R198" i="96"/>
  <c r="P198" i="96"/>
  <c r="AA116" i="96" s="1"/>
  <c r="O198" i="96"/>
  <c r="G198" i="96"/>
  <c r="R197" i="96"/>
  <c r="O197" i="96"/>
  <c r="P197" i="96" s="1"/>
  <c r="AA115" i="96" s="1"/>
  <c r="G197" i="96"/>
  <c r="R196" i="96"/>
  <c r="O196" i="96"/>
  <c r="G196" i="96"/>
  <c r="B196" i="96"/>
  <c r="R195" i="96"/>
  <c r="P195" i="96" s="1"/>
  <c r="AA113" i="96" s="1"/>
  <c r="O195" i="96"/>
  <c r="G195" i="96"/>
  <c r="B195" i="96"/>
  <c r="R194" i="96"/>
  <c r="O194" i="96"/>
  <c r="G194" i="96"/>
  <c r="Z112" i="96" s="1"/>
  <c r="B194" i="96"/>
  <c r="B193" i="96"/>
  <c r="B192" i="96"/>
  <c r="O191" i="96"/>
  <c r="B191" i="96"/>
  <c r="O190" i="96"/>
  <c r="B190" i="96"/>
  <c r="O189" i="96"/>
  <c r="B189" i="96"/>
  <c r="O188" i="96"/>
  <c r="B188" i="96"/>
  <c r="O187" i="96"/>
  <c r="B187" i="96"/>
  <c r="B186" i="96"/>
  <c r="O185" i="96"/>
  <c r="P185" i="96" s="1"/>
  <c r="I185" i="96"/>
  <c r="M191" i="96" s="1"/>
  <c r="B185" i="96"/>
  <c r="O184" i="96"/>
  <c r="P184" i="96" s="1"/>
  <c r="I184" i="96"/>
  <c r="B184" i="96"/>
  <c r="B183" i="96"/>
  <c r="B182" i="96"/>
  <c r="R181" i="96"/>
  <c r="O181" i="96"/>
  <c r="P181" i="96" s="1"/>
  <c r="AA86" i="96" s="1"/>
  <c r="H181" i="96"/>
  <c r="B181" i="96"/>
  <c r="R180" i="96"/>
  <c r="O180" i="96"/>
  <c r="P180" i="96" s="1"/>
  <c r="AA85" i="96" s="1"/>
  <c r="H180" i="96"/>
  <c r="B180" i="96"/>
  <c r="R179" i="96"/>
  <c r="O179" i="96"/>
  <c r="P179" i="96" s="1"/>
  <c r="AA84" i="96" s="1"/>
  <c r="H179" i="96"/>
  <c r="B179" i="96"/>
  <c r="R178" i="96"/>
  <c r="O178" i="96"/>
  <c r="P178" i="96" s="1"/>
  <c r="AA83" i="96" s="1"/>
  <c r="H178" i="96"/>
  <c r="R177" i="96"/>
  <c r="O177" i="96"/>
  <c r="H177" i="96"/>
  <c r="B167" i="96"/>
  <c r="I164" i="96"/>
  <c r="H164" i="96"/>
  <c r="G164" i="96"/>
  <c r="F164" i="96"/>
  <c r="B162" i="96"/>
  <c r="P161" i="96"/>
  <c r="O161" i="96"/>
  <c r="O160" i="96"/>
  <c r="P160" i="96" s="1"/>
  <c r="R157" i="96"/>
  <c r="Q157" i="96"/>
  <c r="O157" i="96"/>
  <c r="H157" i="96"/>
  <c r="G157" i="96"/>
  <c r="R156" i="96"/>
  <c r="Q156" i="96"/>
  <c r="O156" i="96"/>
  <c r="H156" i="96"/>
  <c r="G156" i="96"/>
  <c r="R155" i="96"/>
  <c r="Q155" i="96"/>
  <c r="O155" i="96"/>
  <c r="H155" i="96"/>
  <c r="G155" i="96"/>
  <c r="R154" i="96"/>
  <c r="Q154" i="96"/>
  <c r="O154" i="96"/>
  <c r="H154" i="96"/>
  <c r="G154" i="96"/>
  <c r="AF153" i="96" a="1"/>
  <c r="AF153" i="96" s="1"/>
  <c r="B236" i="96" s="1"/>
  <c r="AE153" i="96"/>
  <c r="R153" i="96"/>
  <c r="Q153" i="96"/>
  <c r="O153" i="96"/>
  <c r="P153" i="96" s="1"/>
  <c r="H153" i="96"/>
  <c r="G153" i="96"/>
  <c r="B153" i="96"/>
  <c r="AF152" i="96" a="1"/>
  <c r="AF152" i="96" s="1"/>
  <c r="B235" i="96" s="1"/>
  <c r="AE152" i="96"/>
  <c r="R152" i="96"/>
  <c r="Q152" i="96"/>
  <c r="O152" i="96"/>
  <c r="P152" i="96" s="1"/>
  <c r="H152" i="96"/>
  <c r="G152" i="96"/>
  <c r="AF151" i="96" a="1"/>
  <c r="AF151" i="96" s="1"/>
  <c r="B234" i="96" s="1"/>
  <c r="AE151" i="96"/>
  <c r="R151" i="96"/>
  <c r="P151" i="96" s="1"/>
  <c r="Q151" i="96"/>
  <c r="O151" i="96"/>
  <c r="H151" i="96"/>
  <c r="G151" i="96"/>
  <c r="AF150" i="96" a="1"/>
  <c r="AF150" i="96" s="1"/>
  <c r="B233" i="96" s="1"/>
  <c r="AE150" i="96"/>
  <c r="R150" i="96"/>
  <c r="Q150" i="96"/>
  <c r="P150" i="96"/>
  <c r="O150" i="96"/>
  <c r="H150" i="96"/>
  <c r="G150" i="96"/>
  <c r="AF149" i="96" a="1"/>
  <c r="AF149" i="96" s="1"/>
  <c r="B232" i="96" s="1"/>
  <c r="AE149" i="96"/>
  <c r="R149" i="96"/>
  <c r="Q149" i="96"/>
  <c r="O149" i="96"/>
  <c r="P149" i="96" s="1"/>
  <c r="H149" i="96"/>
  <c r="G149" i="96"/>
  <c r="AF148" i="96" a="1"/>
  <c r="AF148" i="96" s="1"/>
  <c r="B231" i="96" s="1"/>
  <c r="AE148" i="96"/>
  <c r="R148" i="96"/>
  <c r="Q148" i="96"/>
  <c r="O148" i="96"/>
  <c r="P148" i="96" s="1"/>
  <c r="H148" i="96"/>
  <c r="G148" i="96"/>
  <c r="AF147" i="96" a="1"/>
  <c r="AF147" i="96" s="1"/>
  <c r="B230" i="96" s="1"/>
  <c r="AE147" i="96"/>
  <c r="R147" i="96"/>
  <c r="Q147" i="96"/>
  <c r="O147" i="96"/>
  <c r="P147" i="96" s="1"/>
  <c r="H147" i="96"/>
  <c r="G147" i="96"/>
  <c r="AF146" i="96" a="1"/>
  <c r="AF146" i="96" s="1"/>
  <c r="B229" i="96" s="1"/>
  <c r="AE146" i="96"/>
  <c r="R146" i="96"/>
  <c r="Q146" i="96"/>
  <c r="O146" i="96"/>
  <c r="P146" i="96" s="1"/>
  <c r="H146" i="96"/>
  <c r="G146" i="96"/>
  <c r="AF145" i="96" a="1"/>
  <c r="AF145" i="96" s="1"/>
  <c r="B228" i="96" s="1"/>
  <c r="AE145" i="96"/>
  <c r="R145" i="96"/>
  <c r="Q145" i="96"/>
  <c r="O145" i="96"/>
  <c r="P145" i="96" s="1"/>
  <c r="H145" i="96"/>
  <c r="G145" i="96"/>
  <c r="AF144" i="96" a="1"/>
  <c r="AF144" i="96" s="1"/>
  <c r="B227" i="96" s="1"/>
  <c r="AE144" i="96"/>
  <c r="R144" i="96"/>
  <c r="Q144" i="96"/>
  <c r="O144" i="96"/>
  <c r="P144" i="96" s="1"/>
  <c r="H144" i="96"/>
  <c r="AF143" i="96" a="1"/>
  <c r="AF143" i="96" s="1"/>
  <c r="B226" i="96" s="1"/>
  <c r="AE143" i="96"/>
  <c r="R143" i="96"/>
  <c r="Q143" i="96"/>
  <c r="O143" i="96"/>
  <c r="P143" i="96" s="1"/>
  <c r="H143" i="96"/>
  <c r="G143" i="96"/>
  <c r="AF142" i="96" a="1"/>
  <c r="AF142" i="96" s="1"/>
  <c r="B225" i="96" s="1"/>
  <c r="AE142" i="96"/>
  <c r="R142" i="96"/>
  <c r="Q142" i="96"/>
  <c r="O142" i="96"/>
  <c r="P142" i="96" s="1"/>
  <c r="H142" i="96"/>
  <c r="AF141" i="96" a="1"/>
  <c r="AF141" i="96" s="1"/>
  <c r="B224" i="96" s="1"/>
  <c r="AE141" i="96"/>
  <c r="R141" i="96"/>
  <c r="Q141" i="96"/>
  <c r="O141" i="96"/>
  <c r="P141" i="96" s="1"/>
  <c r="H141" i="96"/>
  <c r="AF140" i="96" a="1"/>
  <c r="AF140" i="96" s="1"/>
  <c r="B223" i="96" s="1"/>
  <c r="AE140" i="96"/>
  <c r="R140" i="96"/>
  <c r="Q140" i="96"/>
  <c r="O140" i="96"/>
  <c r="P140" i="96" s="1"/>
  <c r="H140" i="96"/>
  <c r="AF139" i="96" a="1"/>
  <c r="AF139" i="96" s="1"/>
  <c r="B222" i="96" s="1"/>
  <c r="AE139" i="96"/>
  <c r="R139" i="96"/>
  <c r="Q139" i="96"/>
  <c r="O139" i="96"/>
  <c r="P139" i="96" s="1"/>
  <c r="H139" i="96"/>
  <c r="AF138" i="96"/>
  <c r="B221" i="96" s="1"/>
  <c r="AF138" i="96" a="1"/>
  <c r="AE138" i="96"/>
  <c r="R138" i="96"/>
  <c r="Q138" i="96"/>
  <c r="O138" i="96"/>
  <c r="H138" i="96"/>
  <c r="AF137" i="96" a="1"/>
  <c r="AF137" i="96" s="1"/>
  <c r="B220" i="96" s="1"/>
  <c r="AE137" i="96"/>
  <c r="H137" i="96"/>
  <c r="AF136" i="96" a="1"/>
  <c r="AF136" i="96" s="1"/>
  <c r="B219" i="96" s="1"/>
  <c r="AE136" i="96"/>
  <c r="R135" i="96"/>
  <c r="Q135" i="96"/>
  <c r="O135" i="96"/>
  <c r="P135" i="96" s="1"/>
  <c r="B98" i="96" s="1"/>
  <c r="R134" i="96"/>
  <c r="Q134" i="96"/>
  <c r="O134" i="96"/>
  <c r="P134" i="96" s="1"/>
  <c r="B97" i="96" s="1"/>
  <c r="R133" i="96"/>
  <c r="Q133" i="96"/>
  <c r="O133" i="96"/>
  <c r="P133" i="96" s="1"/>
  <c r="B96" i="96" s="1"/>
  <c r="R132" i="96"/>
  <c r="Q132" i="96"/>
  <c r="O132" i="96"/>
  <c r="P132" i="96" s="1"/>
  <c r="B95" i="96" s="1"/>
  <c r="P129" i="96"/>
  <c r="B94" i="96" s="1"/>
  <c r="R128" i="96"/>
  <c r="P128" i="96"/>
  <c r="P127" i="96"/>
  <c r="R126" i="96"/>
  <c r="P126" i="96"/>
  <c r="R129" i="96" s="1"/>
  <c r="B87" i="96"/>
  <c r="P125" i="96"/>
  <c r="B85" i="96" s="1"/>
  <c r="P124" i="96"/>
  <c r="B84" i="96" s="1"/>
  <c r="Z121" i="96"/>
  <c r="Z120" i="96"/>
  <c r="O120" i="96"/>
  <c r="P120" i="96" s="1"/>
  <c r="H120" i="96"/>
  <c r="G120" i="96"/>
  <c r="Z119" i="96"/>
  <c r="P119" i="96"/>
  <c r="O119" i="96"/>
  <c r="H119" i="96"/>
  <c r="G119" i="96"/>
  <c r="Z118" i="96"/>
  <c r="O118" i="96"/>
  <c r="P118" i="96" s="1"/>
  <c r="H118" i="96"/>
  <c r="G118" i="96"/>
  <c r="Z117" i="96"/>
  <c r="O117" i="96"/>
  <c r="P117" i="96" s="1"/>
  <c r="H117" i="96"/>
  <c r="G117" i="96"/>
  <c r="Z116" i="96"/>
  <c r="O116" i="96"/>
  <c r="P116" i="96" s="1"/>
  <c r="H116" i="96"/>
  <c r="G116" i="96"/>
  <c r="Z115" i="96"/>
  <c r="O115" i="96"/>
  <c r="P115" i="96" s="1"/>
  <c r="H115" i="96"/>
  <c r="G115" i="96"/>
  <c r="Z114" i="96"/>
  <c r="O114" i="96"/>
  <c r="P114" i="96" s="1"/>
  <c r="H114" i="96"/>
  <c r="G114" i="96"/>
  <c r="Z113" i="96"/>
  <c r="P113" i="96"/>
  <c r="O113" i="96"/>
  <c r="H113" i="96"/>
  <c r="G113" i="96"/>
  <c r="O112" i="96"/>
  <c r="P112" i="96" s="1"/>
  <c r="H112" i="96"/>
  <c r="G112" i="96"/>
  <c r="O111" i="96"/>
  <c r="P111" i="96" s="1"/>
  <c r="H111" i="96"/>
  <c r="G111" i="96"/>
  <c r="O110" i="96"/>
  <c r="P110" i="96" s="1"/>
  <c r="H110" i="96"/>
  <c r="G110" i="96"/>
  <c r="O109" i="96"/>
  <c r="P109" i="96" s="1"/>
  <c r="H109" i="96"/>
  <c r="G109" i="96"/>
  <c r="O108" i="96"/>
  <c r="P108" i="96" s="1"/>
  <c r="H108" i="96"/>
  <c r="G108" i="96"/>
  <c r="O107" i="96"/>
  <c r="P107" i="96" s="1"/>
  <c r="H107" i="96"/>
  <c r="G107" i="96"/>
  <c r="O106" i="96"/>
  <c r="P106" i="96" s="1"/>
  <c r="H106" i="96"/>
  <c r="G106" i="96"/>
  <c r="O105" i="96"/>
  <c r="P105" i="96" s="1"/>
  <c r="H105" i="96"/>
  <c r="G105" i="96"/>
  <c r="P104" i="96"/>
  <c r="O104" i="96"/>
  <c r="H104" i="96"/>
  <c r="G104" i="96"/>
  <c r="P103" i="96"/>
  <c r="O103" i="96"/>
  <c r="H103" i="96"/>
  <c r="G103" i="96"/>
  <c r="O102" i="96"/>
  <c r="P102" i="96" s="1"/>
  <c r="AA23" i="96" s="1"/>
  <c r="Z23" i="96" s="1"/>
  <c r="H102" i="96"/>
  <c r="G102" i="96"/>
  <c r="B102" i="96"/>
  <c r="O101" i="96"/>
  <c r="P101" i="96" s="1"/>
  <c r="H101" i="96"/>
  <c r="G101" i="96"/>
  <c r="R98" i="96"/>
  <c r="Q98" i="96"/>
  <c r="O98" i="96"/>
  <c r="P98" i="96" s="1"/>
  <c r="H98" i="96"/>
  <c r="R97" i="96"/>
  <c r="Q97" i="96"/>
  <c r="O97" i="96"/>
  <c r="P97" i="96" s="1"/>
  <c r="H97" i="96"/>
  <c r="R96" i="96"/>
  <c r="Q96" i="96"/>
  <c r="O96" i="96"/>
  <c r="H96" i="96"/>
  <c r="R95" i="96"/>
  <c r="Q95" i="96"/>
  <c r="O95" i="96"/>
  <c r="P95" i="96" s="1"/>
  <c r="H95" i="96"/>
  <c r="R94" i="96"/>
  <c r="Q94" i="96"/>
  <c r="O94" i="96"/>
  <c r="H94" i="96"/>
  <c r="R93" i="96"/>
  <c r="Q93" i="96"/>
  <c r="O93" i="96"/>
  <c r="P93" i="96" s="1"/>
  <c r="H93" i="96"/>
  <c r="R92" i="96"/>
  <c r="P92" i="96" s="1"/>
  <c r="Q92" i="96"/>
  <c r="O92" i="96"/>
  <c r="H92" i="96"/>
  <c r="B92" i="96"/>
  <c r="R91" i="96"/>
  <c r="Q91" i="96"/>
  <c r="O91" i="96"/>
  <c r="P91" i="96" s="1"/>
  <c r="H91" i="96"/>
  <c r="R90" i="96"/>
  <c r="Q90" i="96"/>
  <c r="O90" i="96"/>
  <c r="H90" i="96"/>
  <c r="B90" i="96"/>
  <c r="R89" i="96"/>
  <c r="Q89" i="96"/>
  <c r="O89" i="96"/>
  <c r="P89" i="96" s="1"/>
  <c r="H89" i="96"/>
  <c r="R88" i="96"/>
  <c r="Q88" i="96"/>
  <c r="O88" i="96"/>
  <c r="H88" i="96"/>
  <c r="B88" i="96"/>
  <c r="R87" i="96"/>
  <c r="Q87" i="96"/>
  <c r="O87" i="96"/>
  <c r="H87" i="96"/>
  <c r="R86" i="96"/>
  <c r="Q86" i="96"/>
  <c r="O86" i="96"/>
  <c r="H86" i="96"/>
  <c r="B86" i="96"/>
  <c r="R85" i="96"/>
  <c r="Q85" i="96"/>
  <c r="P85" i="96"/>
  <c r="O85" i="96"/>
  <c r="H85" i="96"/>
  <c r="R84" i="96"/>
  <c r="Q84" i="96"/>
  <c r="P84" i="96"/>
  <c r="O84" i="96"/>
  <c r="H84" i="96"/>
  <c r="R83" i="96"/>
  <c r="P83" i="96" s="1"/>
  <c r="Q83" i="96"/>
  <c r="O83" i="96"/>
  <c r="H83" i="96"/>
  <c r="B83" i="96"/>
  <c r="R82" i="96"/>
  <c r="Q82" i="96"/>
  <c r="O82" i="96"/>
  <c r="P82" i="96" s="1"/>
  <c r="H82" i="96"/>
  <c r="B82" i="96"/>
  <c r="R81" i="96"/>
  <c r="Q81" i="96"/>
  <c r="O81" i="96"/>
  <c r="H81" i="96"/>
  <c r="B81" i="96"/>
  <c r="R80" i="96"/>
  <c r="Q80" i="96"/>
  <c r="P80" i="96"/>
  <c r="O80" i="96"/>
  <c r="H80" i="96"/>
  <c r="B80" i="96"/>
  <c r="R79" i="96"/>
  <c r="Q79" i="96"/>
  <c r="O79" i="96"/>
  <c r="H79" i="96"/>
  <c r="B79" i="96"/>
  <c r="B78" i="96"/>
  <c r="B77" i="96"/>
  <c r="B76" i="96"/>
  <c r="B75" i="96"/>
  <c r="O74" i="96"/>
  <c r="B74" i="96"/>
  <c r="AF73" i="96"/>
  <c r="B343" i="96" s="1"/>
  <c r="AE73" i="96" a="1"/>
  <c r="AE73" i="96" s="1"/>
  <c r="B313" i="96" s="1"/>
  <c r="AD73" i="96" a="1"/>
  <c r="AD73" i="96" s="1"/>
  <c r="B283" i="96" s="1"/>
  <c r="O73" i="96"/>
  <c r="P73" i="96" s="1"/>
  <c r="B73" i="96"/>
  <c r="AF72" i="96"/>
  <c r="B342" i="96" s="1"/>
  <c r="AE72" i="96" a="1"/>
  <c r="AE72" i="96" s="1"/>
  <c r="B312" i="96" s="1"/>
  <c r="AD72" i="96" a="1"/>
  <c r="AD72" i="96" s="1"/>
  <c r="B282" i="96" s="1"/>
  <c r="P72" i="96"/>
  <c r="B52" i="96" s="1"/>
  <c r="O72" i="96"/>
  <c r="B72" i="96"/>
  <c r="AF71" i="96"/>
  <c r="B341" i="96" s="1"/>
  <c r="AE71" i="96" a="1"/>
  <c r="AE71" i="96" s="1"/>
  <c r="B311" i="96" s="1"/>
  <c r="AD71" i="96" a="1"/>
  <c r="AD71" i="96" s="1"/>
  <c r="B281" i="96" s="1"/>
  <c r="B71" i="96"/>
  <c r="AF70" i="96"/>
  <c r="B340" i="96" s="1"/>
  <c r="AE70" i="96" a="1"/>
  <c r="AE70" i="96" s="1"/>
  <c r="B310" i="96" s="1"/>
  <c r="AD70" i="96" a="1"/>
  <c r="AD70" i="96" s="1"/>
  <c r="B280" i="96" s="1"/>
  <c r="B70" i="96"/>
  <c r="AF69" i="96"/>
  <c r="B339" i="96" s="1"/>
  <c r="AE69" i="96" a="1"/>
  <c r="AE69" i="96" s="1"/>
  <c r="B309" i="96" s="1"/>
  <c r="AD69" i="96" a="1"/>
  <c r="AD69" i="96" s="1"/>
  <c r="B279" i="96" s="1"/>
  <c r="V69" i="96"/>
  <c r="O69" i="96"/>
  <c r="P69" i="96" s="1"/>
  <c r="B69" i="96"/>
  <c r="AF68" i="96"/>
  <c r="B338" i="96" s="1"/>
  <c r="AE68" i="96" a="1"/>
  <c r="AE68" i="96" s="1"/>
  <c r="B308" i="96" s="1"/>
  <c r="AD68" i="96" a="1"/>
  <c r="AD68" i="96" s="1"/>
  <c r="B278" i="96" s="1"/>
  <c r="V68" i="96"/>
  <c r="P68" i="96"/>
  <c r="B48" i="96" s="1"/>
  <c r="O68" i="96"/>
  <c r="B68" i="96"/>
  <c r="AF67" i="96"/>
  <c r="B337" i="96" s="1"/>
  <c r="AE67" i="96" a="1"/>
  <c r="AE67" i="96" s="1"/>
  <c r="B307" i="96" s="1"/>
  <c r="AD67" i="96" a="1"/>
  <c r="AD67" i="96" s="1"/>
  <c r="B277" i="96" s="1"/>
  <c r="V67" i="96"/>
  <c r="O67" i="96"/>
  <c r="P67" i="96" s="1"/>
  <c r="B47" i="96" s="1"/>
  <c r="B67" i="96"/>
  <c r="AF66" i="96"/>
  <c r="B336" i="96" s="1"/>
  <c r="AE66" i="96" a="1"/>
  <c r="AE66" i="96" s="1"/>
  <c r="B306" i="96" s="1"/>
  <c r="AD66" i="96" a="1"/>
  <c r="AD66" i="96" s="1"/>
  <c r="B276" i="96" s="1"/>
  <c r="V66" i="96"/>
  <c r="O66" i="96"/>
  <c r="P66" i="96" s="1"/>
  <c r="B66" i="96"/>
  <c r="AF65" i="96"/>
  <c r="AE65" i="96" a="1"/>
  <c r="AE65" i="96" s="1"/>
  <c r="B305" i="96" s="1"/>
  <c r="AD65" i="96" a="1"/>
  <c r="AD65" i="96" s="1"/>
  <c r="B275" i="96" s="1"/>
  <c r="V65" i="96"/>
  <c r="O65" i="96"/>
  <c r="P65" i="96" s="1"/>
  <c r="B65" i="96"/>
  <c r="AF64" i="96"/>
  <c r="B334" i="96" s="1"/>
  <c r="AE64" i="96" a="1"/>
  <c r="AE64" i="96" s="1"/>
  <c r="B304" i="96" s="1"/>
  <c r="AD64" i="96" a="1"/>
  <c r="AD64" i="96" s="1"/>
  <c r="B274" i="96" s="1"/>
  <c r="V64" i="96"/>
  <c r="O64" i="96"/>
  <c r="P64" i="96" s="1"/>
  <c r="B64" i="96"/>
  <c r="AF63" i="96"/>
  <c r="B333" i="96" s="1"/>
  <c r="AE63" i="96" a="1"/>
  <c r="AE63" i="96" s="1"/>
  <c r="B303" i="96" s="1"/>
  <c r="AD63" i="96" a="1"/>
  <c r="AD63" i="96" s="1"/>
  <c r="B273" i="96" s="1"/>
  <c r="V63" i="96"/>
  <c r="O63" i="96"/>
  <c r="P63" i="96" s="1"/>
  <c r="B63" i="96"/>
  <c r="AF62" i="96"/>
  <c r="B332" i="96" s="1"/>
  <c r="AE62" i="96" a="1"/>
  <c r="AE62" i="96" s="1"/>
  <c r="B302" i="96" s="1"/>
  <c r="AD62" i="96" a="1"/>
  <c r="AD62" i="96" s="1"/>
  <c r="B272" i="96" s="1"/>
  <c r="V62" i="96"/>
  <c r="O62" i="96"/>
  <c r="P62" i="96" s="1"/>
  <c r="B62" i="96"/>
  <c r="AF61" i="96"/>
  <c r="B331" i="96" s="1"/>
  <c r="AE61" i="96" a="1"/>
  <c r="AE61" i="96" s="1"/>
  <c r="B301" i="96" s="1"/>
  <c r="AD61" i="96" a="1"/>
  <c r="AD61" i="96" s="1"/>
  <c r="B271" i="96" s="1"/>
  <c r="B61" i="96"/>
  <c r="AF60" i="96"/>
  <c r="B330" i="96" s="1"/>
  <c r="AE60" i="96" a="1"/>
  <c r="AE60" i="96" s="1"/>
  <c r="B300" i="96" s="1"/>
  <c r="AD60" i="96"/>
  <c r="B270" i="96" s="1"/>
  <c r="AD60" i="96" a="1"/>
  <c r="B60" i="96"/>
  <c r="AF59" i="96"/>
  <c r="B329" i="96" s="1"/>
  <c r="AE59" i="96" a="1"/>
  <c r="AE59" i="96" s="1"/>
  <c r="B299" i="96" s="1"/>
  <c r="AD59" i="96" a="1"/>
  <c r="AD59" i="96" s="1"/>
  <c r="B269" i="96" s="1"/>
  <c r="V59" i="96"/>
  <c r="P59" i="96"/>
  <c r="AJ56" i="96" s="1"/>
  <c r="AK56" i="96" s="1"/>
  <c r="O59" i="96"/>
  <c r="AF58" i="96"/>
  <c r="B328" i="96" s="1"/>
  <c r="AE58" i="96" a="1"/>
  <c r="AE58" i="96" s="1"/>
  <c r="B298" i="96" s="1"/>
  <c r="AD58" i="96" a="1"/>
  <c r="AD58" i="96" s="1"/>
  <c r="B268" i="96" s="1"/>
  <c r="V58" i="96"/>
  <c r="O58" i="96"/>
  <c r="P58" i="96" s="1"/>
  <c r="AF57" i="96"/>
  <c r="B327" i="96" s="1"/>
  <c r="AE57" i="96" a="1"/>
  <c r="AE57" i="96" s="1"/>
  <c r="B297" i="96" s="1"/>
  <c r="AD57" i="96" a="1"/>
  <c r="AD57" i="96" s="1"/>
  <c r="B267" i="96" s="1"/>
  <c r="V57" i="96"/>
  <c r="O57" i="96"/>
  <c r="P57" i="96" s="1"/>
  <c r="AF56" i="96"/>
  <c r="B326" i="96" s="1"/>
  <c r="AE56" i="96" a="1"/>
  <c r="AE56" i="96" s="1"/>
  <c r="B296" i="96" s="1"/>
  <c r="AD56" i="96" a="1"/>
  <c r="AD56" i="96" s="1"/>
  <c r="B266" i="96" s="1"/>
  <c r="V56" i="96"/>
  <c r="O56" i="96"/>
  <c r="P56" i="96" s="1"/>
  <c r="AJ29" i="96" s="1"/>
  <c r="AK29" i="96" s="1"/>
  <c r="AF55" i="96"/>
  <c r="B325" i="96" s="1"/>
  <c r="AE55" i="96" a="1"/>
  <c r="AE55" i="96" s="1"/>
  <c r="B295" i="96" s="1"/>
  <c r="AD55" i="96" a="1"/>
  <c r="AD55" i="96" s="1"/>
  <c r="B265" i="96" s="1"/>
  <c r="V55" i="96"/>
  <c r="O55" i="96"/>
  <c r="P55" i="96" s="1"/>
  <c r="AJ23" i="96" s="1"/>
  <c r="AK23" i="96" s="1"/>
  <c r="AF54" i="96"/>
  <c r="B324" i="96" s="1"/>
  <c r="AE54" i="96" a="1"/>
  <c r="AE54" i="96" s="1"/>
  <c r="B294" i="96" s="1"/>
  <c r="AD54" i="96" a="1"/>
  <c r="AD54" i="96" s="1"/>
  <c r="B264" i="96" s="1"/>
  <c r="V54" i="96"/>
  <c r="O54" i="96"/>
  <c r="P54" i="96" s="1"/>
  <c r="AF53" i="96"/>
  <c r="B323" i="96" s="1"/>
  <c r="AE53" i="96" a="1"/>
  <c r="AE53" i="96" s="1"/>
  <c r="B293" i="96" s="1"/>
  <c r="AD53" i="96" a="1"/>
  <c r="AD53" i="96" s="1"/>
  <c r="B263" i="96" s="1"/>
  <c r="V53" i="96"/>
  <c r="P53" i="96"/>
  <c r="O53" i="96"/>
  <c r="V52" i="96"/>
  <c r="O52" i="96"/>
  <c r="P52" i="96" s="1"/>
  <c r="B34" i="96" s="1"/>
  <c r="B51" i="96"/>
  <c r="V49" i="96"/>
  <c r="O49" i="96"/>
  <c r="P49" i="96" s="1"/>
  <c r="V48" i="96"/>
  <c r="P48" i="96"/>
  <c r="B32" i="96" s="1"/>
  <c r="O48" i="96"/>
  <c r="V47" i="96"/>
  <c r="P47" i="96"/>
  <c r="AJ35" i="96" s="1"/>
  <c r="AK35" i="96" s="1"/>
  <c r="O47" i="96"/>
  <c r="V46" i="96"/>
  <c r="O46" i="96"/>
  <c r="P46" i="96" s="1"/>
  <c r="AJ45" i="96"/>
  <c r="AK45" i="96" s="1"/>
  <c r="V45" i="96"/>
  <c r="P45" i="96"/>
  <c r="B29" i="96" s="1"/>
  <c r="O45" i="96"/>
  <c r="V44" i="96"/>
  <c r="O44" i="96"/>
  <c r="P44" i="96" s="1"/>
  <c r="AJ12" i="96" s="1"/>
  <c r="AK12" i="96" s="1"/>
  <c r="V43" i="96"/>
  <c r="O43" i="96"/>
  <c r="P43" i="96" s="1"/>
  <c r="V42" i="96"/>
  <c r="O42" i="96"/>
  <c r="P42" i="96" s="1"/>
  <c r="AA41" i="96"/>
  <c r="Z41" i="96" s="1"/>
  <c r="B41" i="96"/>
  <c r="AA40" i="96"/>
  <c r="Z40" i="96" s="1"/>
  <c r="AA39" i="96"/>
  <c r="Z39" i="96" s="1"/>
  <c r="AA38" i="96"/>
  <c r="Z38" i="96" s="1"/>
  <c r="V38" i="96"/>
  <c r="O38" i="96"/>
  <c r="P38" i="96" s="1"/>
  <c r="AA37" i="96"/>
  <c r="Z37" i="96" s="1"/>
  <c r="V37" i="96"/>
  <c r="O37" i="96"/>
  <c r="P37" i="96"/>
  <c r="AA36" i="96"/>
  <c r="Z36" i="96" s="1"/>
  <c r="V36" i="96"/>
  <c r="O36" i="96"/>
  <c r="AA35" i="96"/>
  <c r="Z35" i="96" s="1"/>
  <c r="AA34" i="96"/>
  <c r="Z34" i="96" s="1"/>
  <c r="AA33" i="96"/>
  <c r="Z33" i="96" s="1"/>
  <c r="O33" i="96"/>
  <c r="P33" i="96"/>
  <c r="AJ47" i="96" s="1"/>
  <c r="AA32" i="96"/>
  <c r="Z32" i="96" s="1"/>
  <c r="V32" i="96"/>
  <c r="O32" i="96"/>
  <c r="P32" i="96"/>
  <c r="AJ17" i="96" s="1"/>
  <c r="AF31" i="96"/>
  <c r="B174" i="96" s="1"/>
  <c r="AD31" i="96"/>
  <c r="B144" i="96" s="1"/>
  <c r="AA31" i="96"/>
  <c r="Z31" i="96" s="1"/>
  <c r="O31" i="96"/>
  <c r="P31" i="96"/>
  <c r="B31" i="96"/>
  <c r="AF30" i="96"/>
  <c r="B173" i="96" s="1"/>
  <c r="AD30" i="96"/>
  <c r="B143" i="96" s="1"/>
  <c r="AA30" i="96"/>
  <c r="Z30" i="96" s="1"/>
  <c r="AF29" i="96"/>
  <c r="B172" i="96" s="1"/>
  <c r="AD29" i="96"/>
  <c r="B142" i="96" s="1"/>
  <c r="AA29" i="96"/>
  <c r="Z29" i="96" s="1"/>
  <c r="AJ28" i="96"/>
  <c r="AK28" i="96" s="1"/>
  <c r="AF28" i="96"/>
  <c r="B171" i="96" s="1"/>
  <c r="AD28" i="96"/>
  <c r="B141" i="96" s="1"/>
  <c r="AA28" i="96"/>
  <c r="Z28" i="96" s="1"/>
  <c r="V28" i="96"/>
  <c r="O28" i="96"/>
  <c r="P28" i="96" s="1"/>
  <c r="B28" i="96"/>
  <c r="AF27" i="96"/>
  <c r="B170" i="96" s="1"/>
  <c r="AD27" i="96"/>
  <c r="B140" i="96" s="1"/>
  <c r="AA27" i="96"/>
  <c r="Z27" i="96" s="1"/>
  <c r="V27" i="96"/>
  <c r="P27" i="96"/>
  <c r="AJ58" i="96" s="1"/>
  <c r="O27" i="96"/>
  <c r="AF26" i="96"/>
  <c r="B169" i="96" s="1"/>
  <c r="AD26" i="96"/>
  <c r="B139" i="96" s="1"/>
  <c r="AA26" i="96"/>
  <c r="Z26" i="96" s="1"/>
  <c r="V26" i="96"/>
  <c r="O26" i="96"/>
  <c r="P26" i="96" s="1"/>
  <c r="AJ26" i="96" s="1"/>
  <c r="AK26" i="96" s="1"/>
  <c r="B26" i="96"/>
  <c r="AF25" i="96"/>
  <c r="B168" i="96" s="1"/>
  <c r="AD25" i="96"/>
  <c r="B138" i="96" s="1"/>
  <c r="AA25" i="96"/>
  <c r="Z25" i="96" s="1"/>
  <c r="AF24" i="96"/>
  <c r="AD24" i="96"/>
  <c r="B137" i="96" s="1"/>
  <c r="AA24" i="96"/>
  <c r="Z24" i="96" s="1"/>
  <c r="AF23" i="96"/>
  <c r="B166" i="96" s="1"/>
  <c r="AD23" i="96"/>
  <c r="B136" i="96" s="1"/>
  <c r="N23" i="96"/>
  <c r="AF22" i="96"/>
  <c r="B165" i="96" s="1"/>
  <c r="AD22" i="96"/>
  <c r="B135" i="96" s="1"/>
  <c r="AA22" i="96"/>
  <c r="Z22" i="96" s="1"/>
  <c r="AF21" i="96"/>
  <c r="B164" i="96" s="1"/>
  <c r="AD21" i="96"/>
  <c r="B134" i="96" s="1"/>
  <c r="AA21" i="96"/>
  <c r="N21" i="96"/>
  <c r="AF20" i="96"/>
  <c r="B163" i="96" s="1"/>
  <c r="AD20" i="96"/>
  <c r="B133" i="96" s="1"/>
  <c r="AA20" i="96"/>
  <c r="N20" i="96"/>
  <c r="AF19" i="96"/>
  <c r="AD19" i="96"/>
  <c r="B132" i="96" s="1"/>
  <c r="AA19" i="96"/>
  <c r="N19" i="96"/>
  <c r="AF18" i="96"/>
  <c r="B161" i="96" s="1"/>
  <c r="AD18" i="96"/>
  <c r="B131" i="96" s="1"/>
  <c r="AA18" i="96"/>
  <c r="N18" i="96"/>
  <c r="AF17" i="96"/>
  <c r="B160" i="96" s="1"/>
  <c r="AD17" i="96"/>
  <c r="B130" i="96" s="1"/>
  <c r="AA17" i="96"/>
  <c r="N17" i="96"/>
  <c r="AF16" i="96"/>
  <c r="B159" i="96" s="1"/>
  <c r="AD16" i="96"/>
  <c r="B129" i="96" s="1"/>
  <c r="AA16" i="96"/>
  <c r="B16" i="96"/>
  <c r="AF15" i="96"/>
  <c r="B158" i="96" s="1"/>
  <c r="AD15" i="96"/>
  <c r="B128" i="96" s="1"/>
  <c r="AA15" i="96"/>
  <c r="B15" i="96"/>
  <c r="AF14" i="96"/>
  <c r="B157" i="96" s="1"/>
  <c r="AD14" i="96"/>
  <c r="B127" i="96" s="1"/>
  <c r="AA14" i="96"/>
  <c r="B14" i="96"/>
  <c r="AF13" i="96"/>
  <c r="B156" i="96" s="1"/>
  <c r="AD13" i="96"/>
  <c r="B126" i="96" s="1"/>
  <c r="AA13" i="96"/>
  <c r="AF12" i="96"/>
  <c r="B155" i="96" s="1"/>
  <c r="AD12" i="96"/>
  <c r="B125" i="96" s="1"/>
  <c r="AA12" i="96"/>
  <c r="B12" i="96"/>
  <c r="B13" i="96" s="1"/>
  <c r="AF11" i="96"/>
  <c r="B154" i="96" s="1"/>
  <c r="AD11" i="96"/>
  <c r="B124" i="96" s="1"/>
  <c r="AA11" i="96"/>
  <c r="B11" i="96"/>
  <c r="AF10" i="96"/>
  <c r="AD10" i="96"/>
  <c r="B123" i="96" s="1"/>
  <c r="AA10" i="96"/>
  <c r="N10" i="96"/>
  <c r="AF9" i="96"/>
  <c r="B152" i="96" s="1"/>
  <c r="AD9" i="96"/>
  <c r="B122" i="96" s="1"/>
  <c r="AA9" i="96"/>
  <c r="B9" i="96"/>
  <c r="B10" i="96" s="1"/>
  <c r="AJ8" i="96"/>
  <c r="AK8" i="96" s="1"/>
  <c r="AF8" i="96"/>
  <c r="B151" i="96" s="1"/>
  <c r="AD8" i="96"/>
  <c r="B121" i="96" s="1"/>
  <c r="AA8" i="96"/>
  <c r="N8" i="96"/>
  <c r="G8" i="96"/>
  <c r="D8" i="96"/>
  <c r="B8" i="96"/>
  <c r="AJ7" i="96"/>
  <c r="AK7" i="96" s="1"/>
  <c r="AF7" i="96"/>
  <c r="B150" i="96" s="1"/>
  <c r="AD7" i="96"/>
  <c r="B120" i="96" s="1"/>
  <c r="AA7" i="96"/>
  <c r="D7" i="96"/>
  <c r="B7" i="96"/>
  <c r="AA6" i="96"/>
  <c r="B6" i="96"/>
  <c r="AJ5" i="96"/>
  <c r="AK5" i="96" s="1"/>
  <c r="AA5" i="96"/>
  <c r="B5" i="96"/>
  <c r="AA4" i="96"/>
  <c r="N4" i="96"/>
  <c r="AA3" i="96"/>
  <c r="AJ2" i="96"/>
  <c r="AK2" i="96" s="1"/>
  <c r="B2" i="96"/>
  <c r="M124" i="95"/>
  <c r="L61" i="95"/>
  <c r="L51" i="95"/>
  <c r="L41" i="95"/>
  <c r="L35" i="95"/>
  <c r="L30" i="95"/>
  <c r="L25" i="95"/>
  <c r="M218" i="95"/>
  <c r="P218" i="95" s="1"/>
  <c r="B354" i="95" s="1"/>
  <c r="M190" i="95"/>
  <c r="M187" i="95"/>
  <c r="L164" i="95"/>
  <c r="N163" i="95"/>
  <c r="L78" i="95"/>
  <c r="N77" i="95"/>
  <c r="N10" i="95" s="1"/>
  <c r="N71" i="95"/>
  <c r="N40" i="95"/>
  <c r="P27" i="95"/>
  <c r="P26" i="95"/>
  <c r="B364" i="95"/>
  <c r="B363" i="95"/>
  <c r="B362" i="95"/>
  <c r="B361" i="95"/>
  <c r="B360" i="95"/>
  <c r="B359" i="95"/>
  <c r="B358" i="95"/>
  <c r="B357" i="95"/>
  <c r="B336" i="95"/>
  <c r="B335" i="95"/>
  <c r="E282" i="95"/>
  <c r="E283" i="95" s="1"/>
  <c r="E284" i="95" s="1"/>
  <c r="E285" i="95" s="1"/>
  <c r="E286" i="95" s="1"/>
  <c r="E287" i="95" s="1"/>
  <c r="E288" i="95" s="1"/>
  <c r="E289" i="95" s="1"/>
  <c r="E290" i="95" s="1"/>
  <c r="E291" i="95" s="1"/>
  <c r="E292" i="95" s="1"/>
  <c r="E293" i="95" s="1"/>
  <c r="E294" i="95" s="1"/>
  <c r="E295" i="95" s="1"/>
  <c r="E296" i="95" s="1"/>
  <c r="E297" i="95" s="1"/>
  <c r="E298" i="95" s="1"/>
  <c r="E299" i="95" s="1"/>
  <c r="E300" i="95" s="1"/>
  <c r="E301" i="95" s="1"/>
  <c r="E302" i="95" s="1"/>
  <c r="E303" i="95" s="1"/>
  <c r="E304" i="95" s="1"/>
  <c r="E305" i="95" s="1"/>
  <c r="E306" i="95" s="1"/>
  <c r="E307" i="95" s="1"/>
  <c r="E308" i="95" s="1"/>
  <c r="E309" i="95" s="1"/>
  <c r="E310" i="95" s="1"/>
  <c r="E311" i="95" s="1"/>
  <c r="E312" i="95" s="1"/>
  <c r="E313" i="95" s="1"/>
  <c r="E314" i="95" s="1"/>
  <c r="E315" i="95" s="1"/>
  <c r="E316" i="95" s="1"/>
  <c r="E281" i="95"/>
  <c r="H238" i="95"/>
  <c r="H237" i="95"/>
  <c r="H236" i="95"/>
  <c r="F234" i="95"/>
  <c r="H234" i="95" s="1"/>
  <c r="B216" i="95"/>
  <c r="R215" i="95"/>
  <c r="Q215" i="95"/>
  <c r="O215" i="95"/>
  <c r="P215" i="95" s="1"/>
  <c r="H215" i="95"/>
  <c r="G215" i="95"/>
  <c r="B215" i="95"/>
  <c r="R214" i="95"/>
  <c r="P214" i="95" s="1"/>
  <c r="Q214" i="95"/>
  <c r="O214" i="95"/>
  <c r="H214" i="95"/>
  <c r="G214" i="95"/>
  <c r="B214" i="95"/>
  <c r="R213" i="95"/>
  <c r="Q213" i="95"/>
  <c r="O213" i="95"/>
  <c r="P213" i="95" s="1"/>
  <c r="H213" i="95"/>
  <c r="G213" i="95"/>
  <c r="B213" i="95"/>
  <c r="R212" i="95"/>
  <c r="Q212" i="95"/>
  <c r="O212" i="95"/>
  <c r="P212" i="95" s="1"/>
  <c r="H212" i="95"/>
  <c r="G212" i="95"/>
  <c r="B212" i="95"/>
  <c r="R211" i="95"/>
  <c r="P211" i="95" s="1"/>
  <c r="Q211" i="95"/>
  <c r="O211" i="95"/>
  <c r="H211" i="95"/>
  <c r="G211" i="95"/>
  <c r="B211" i="95"/>
  <c r="R210" i="95"/>
  <c r="Q210" i="95"/>
  <c r="O210" i="95"/>
  <c r="P210" i="95" s="1"/>
  <c r="H210" i="95"/>
  <c r="G210" i="95"/>
  <c r="B210" i="95"/>
  <c r="R209" i="95"/>
  <c r="Q209" i="95"/>
  <c r="P209" i="95"/>
  <c r="O209" i="95"/>
  <c r="H209" i="95"/>
  <c r="G209" i="95"/>
  <c r="B209" i="95"/>
  <c r="R208" i="95"/>
  <c r="P208" i="95" s="1"/>
  <c r="Q208" i="95"/>
  <c r="O208" i="95"/>
  <c r="H208" i="95"/>
  <c r="G208" i="95"/>
  <c r="B208" i="95"/>
  <c r="R207" i="95"/>
  <c r="Q207" i="95"/>
  <c r="O207" i="95"/>
  <c r="H207" i="95"/>
  <c r="G207" i="95"/>
  <c r="B207" i="95"/>
  <c r="R206" i="95"/>
  <c r="Q206" i="95"/>
  <c r="O206" i="95"/>
  <c r="P206" i="95" s="1"/>
  <c r="H206" i="95"/>
  <c r="G206" i="95"/>
  <c r="B206" i="95"/>
  <c r="B205" i="95"/>
  <c r="B204" i="95"/>
  <c r="R203" i="95"/>
  <c r="O203" i="95"/>
  <c r="G203" i="95"/>
  <c r="B203" i="95"/>
  <c r="R202" i="95"/>
  <c r="O202" i="95"/>
  <c r="G202" i="95"/>
  <c r="B202" i="95"/>
  <c r="R201" i="95"/>
  <c r="P201" i="95" s="1"/>
  <c r="AA119" i="95" s="1"/>
  <c r="O201" i="95"/>
  <c r="G201" i="95"/>
  <c r="R200" i="95"/>
  <c r="P200" i="95"/>
  <c r="O200" i="95"/>
  <c r="G200" i="95"/>
  <c r="R199" i="95"/>
  <c r="O199" i="95"/>
  <c r="P199" i="95" s="1"/>
  <c r="AA117" i="95" s="1"/>
  <c r="G199" i="95"/>
  <c r="R198" i="95"/>
  <c r="P198" i="95" s="1"/>
  <c r="AA116" i="95" s="1"/>
  <c r="O198" i="95"/>
  <c r="G198" i="95"/>
  <c r="R197" i="95"/>
  <c r="P197" i="95" s="1"/>
  <c r="AA115" i="95" s="1"/>
  <c r="O197" i="95"/>
  <c r="G197" i="95"/>
  <c r="R196" i="95"/>
  <c r="P196" i="95" s="1"/>
  <c r="AA114" i="95" s="1"/>
  <c r="O196" i="95"/>
  <c r="G196" i="95"/>
  <c r="B196" i="95"/>
  <c r="R195" i="95"/>
  <c r="O195" i="95"/>
  <c r="P195" i="95" s="1"/>
  <c r="AA113" i="95" s="1"/>
  <c r="G195" i="95"/>
  <c r="B195" i="95"/>
  <c r="R194" i="95"/>
  <c r="P194" i="95"/>
  <c r="AA112" i="95" s="1"/>
  <c r="O194" i="95"/>
  <c r="G194" i="95"/>
  <c r="B194" i="95"/>
  <c r="B193" i="95"/>
  <c r="B192" i="95"/>
  <c r="O191" i="95"/>
  <c r="B191" i="95"/>
  <c r="O190" i="95"/>
  <c r="B190" i="95"/>
  <c r="O189" i="95"/>
  <c r="B189" i="95"/>
  <c r="O188" i="95"/>
  <c r="B188" i="95"/>
  <c r="O187" i="95"/>
  <c r="B187" i="95"/>
  <c r="B186" i="95"/>
  <c r="O185" i="95"/>
  <c r="P185" i="95" s="1"/>
  <c r="I185" i="95"/>
  <c r="M191" i="95" s="1"/>
  <c r="B185" i="95"/>
  <c r="P184" i="95"/>
  <c r="L193" i="95" s="1"/>
  <c r="O184" i="95"/>
  <c r="I184" i="95"/>
  <c r="B184" i="95"/>
  <c r="B183" i="95"/>
  <c r="B182" i="95"/>
  <c r="R181" i="95"/>
  <c r="P181" i="95" s="1"/>
  <c r="AA86" i="95" s="1"/>
  <c r="O181" i="95"/>
  <c r="H181" i="95"/>
  <c r="R180" i="95"/>
  <c r="O180" i="95"/>
  <c r="P180" i="95" s="1"/>
  <c r="AA85" i="95" s="1"/>
  <c r="H180" i="95"/>
  <c r="R179" i="95"/>
  <c r="O179" i="95"/>
  <c r="P179" i="95" s="1"/>
  <c r="AA84" i="95" s="1"/>
  <c r="H179" i="95"/>
  <c r="R178" i="95"/>
  <c r="O178" i="95"/>
  <c r="P178" i="95" s="1"/>
  <c r="AA83" i="95" s="1"/>
  <c r="H178" i="95"/>
  <c r="R177" i="95"/>
  <c r="O177" i="95"/>
  <c r="P177" i="95" s="1"/>
  <c r="AA82" i="95" s="1"/>
  <c r="H177" i="95"/>
  <c r="B173" i="95"/>
  <c r="I164" i="95"/>
  <c r="O167" i="95" s="1"/>
  <c r="P167" i="95" s="1"/>
  <c r="Y54" i="95" s="1"/>
  <c r="AA54" i="95" s="1" a="1"/>
  <c r="AA54" i="95" s="1"/>
  <c r="H164" i="95"/>
  <c r="G164" i="95"/>
  <c r="F164" i="95"/>
  <c r="B163" i="95"/>
  <c r="P161" i="95"/>
  <c r="O161" i="95"/>
  <c r="P160" i="95"/>
  <c r="AE155" i="95" s="1"/>
  <c r="O160" i="95"/>
  <c r="R157" i="95"/>
  <c r="Q157" i="95"/>
  <c r="O157" i="95"/>
  <c r="P157" i="95" s="1"/>
  <c r="H157" i="95"/>
  <c r="G157" i="95"/>
  <c r="B157" i="95"/>
  <c r="R156" i="95"/>
  <c r="Q156" i="95"/>
  <c r="O156" i="95"/>
  <c r="P156" i="95" s="1"/>
  <c r="H156" i="95"/>
  <c r="G156" i="95"/>
  <c r="R155" i="95"/>
  <c r="Q155" i="95"/>
  <c r="P155" i="95"/>
  <c r="O155" i="95"/>
  <c r="H155" i="95"/>
  <c r="G155" i="95"/>
  <c r="B155" i="95"/>
  <c r="R154" i="95"/>
  <c r="Q154" i="95"/>
  <c r="O154" i="95"/>
  <c r="H154" i="95"/>
  <c r="G154" i="95"/>
  <c r="AF153" i="95" a="1"/>
  <c r="AF153" i="95" s="1"/>
  <c r="B236" i="95" s="1"/>
  <c r="AE153" i="95"/>
  <c r="R153" i="95"/>
  <c r="Q153" i="95"/>
  <c r="O153" i="95"/>
  <c r="P153" i="95" s="1"/>
  <c r="H153" i="95"/>
  <c r="G153" i="95"/>
  <c r="AF152" i="95" a="1"/>
  <c r="AF152" i="95" s="1"/>
  <c r="B235" i="95" s="1"/>
  <c r="AE152" i="95"/>
  <c r="R152" i="95"/>
  <c r="Q152" i="95"/>
  <c r="O152" i="95"/>
  <c r="P152" i="95" s="1"/>
  <c r="H152" i="95"/>
  <c r="G152" i="95"/>
  <c r="AF151" i="95" a="1"/>
  <c r="AF151" i="95" s="1"/>
  <c r="B234" i="95" s="1"/>
  <c r="AE151" i="95"/>
  <c r="R151" i="95"/>
  <c r="Q151" i="95"/>
  <c r="O151" i="95"/>
  <c r="P151" i="95" s="1"/>
  <c r="H151" i="95"/>
  <c r="G151" i="95"/>
  <c r="AF150" i="95" a="1"/>
  <c r="AF150" i="95" s="1"/>
  <c r="B233" i="95" s="1"/>
  <c r="AE150" i="95"/>
  <c r="R150" i="95"/>
  <c r="Q150" i="95"/>
  <c r="O150" i="95"/>
  <c r="P150" i="95" s="1"/>
  <c r="H150" i="95"/>
  <c r="G150" i="95"/>
  <c r="AF149" i="95" a="1"/>
  <c r="AF149" i="95" s="1"/>
  <c r="B232" i="95" s="1"/>
  <c r="AE149" i="95"/>
  <c r="R149" i="95"/>
  <c r="Q149" i="95"/>
  <c r="O149" i="95"/>
  <c r="P149" i="95" s="1"/>
  <c r="H149" i="95"/>
  <c r="G149" i="95"/>
  <c r="AF148" i="95" a="1"/>
  <c r="AF148" i="95" s="1"/>
  <c r="B231" i="95" s="1"/>
  <c r="AE148" i="95"/>
  <c r="R148" i="95"/>
  <c r="Q148" i="95"/>
  <c r="P148" i="95"/>
  <c r="O148" i="95"/>
  <c r="H148" i="95"/>
  <c r="G148" i="95"/>
  <c r="AF147" i="95" a="1"/>
  <c r="AF147" i="95" s="1"/>
  <c r="B230" i="95" s="1"/>
  <c r="AE147" i="95"/>
  <c r="R147" i="95"/>
  <c r="Q147" i="95"/>
  <c r="O147" i="95"/>
  <c r="P147" i="95" s="1"/>
  <c r="H147" i="95"/>
  <c r="G147" i="95"/>
  <c r="AF146" i="95" a="1"/>
  <c r="AF146" i="95" s="1"/>
  <c r="B229" i="95" s="1"/>
  <c r="AE146" i="95"/>
  <c r="R146" i="95"/>
  <c r="Q146" i="95"/>
  <c r="O146" i="95"/>
  <c r="P146" i="95" s="1"/>
  <c r="H146" i="95"/>
  <c r="G146" i="95"/>
  <c r="AF145" i="95" a="1"/>
  <c r="AF145" i="95" s="1"/>
  <c r="B228" i="95" s="1"/>
  <c r="AE145" i="95"/>
  <c r="R145" i="95"/>
  <c r="Q145" i="95"/>
  <c r="O145" i="95"/>
  <c r="P145" i="95" s="1"/>
  <c r="H145" i="95"/>
  <c r="G145" i="95"/>
  <c r="AF144" i="95" a="1"/>
  <c r="AF144" i="95" s="1"/>
  <c r="B227" i="95" s="1"/>
  <c r="AE144" i="95"/>
  <c r="R144" i="95"/>
  <c r="Q144" i="95"/>
  <c r="P144" i="95"/>
  <c r="O144" i="95"/>
  <c r="H144" i="95"/>
  <c r="AF143" i="95" a="1"/>
  <c r="AF143" i="95" s="1"/>
  <c r="B226" i="95" s="1"/>
  <c r="AE143" i="95"/>
  <c r="R143" i="95"/>
  <c r="Q143" i="95"/>
  <c r="O143" i="95"/>
  <c r="P143" i="95" s="1"/>
  <c r="H143" i="95"/>
  <c r="G143" i="95"/>
  <c r="AF142" i="95" a="1"/>
  <c r="AF142" i="95" s="1"/>
  <c r="B225" i="95" s="1"/>
  <c r="AE142" i="95"/>
  <c r="R142" i="95"/>
  <c r="Q142" i="95"/>
  <c r="O142" i="95"/>
  <c r="H142" i="95"/>
  <c r="AF141" i="95" a="1"/>
  <c r="AF141" i="95" s="1"/>
  <c r="B224" i="95" s="1"/>
  <c r="AE141" i="95"/>
  <c r="R141" i="95"/>
  <c r="Q141" i="95"/>
  <c r="O141" i="95"/>
  <c r="H141" i="95"/>
  <c r="AF140" i="95" a="1"/>
  <c r="AF140" i="95" s="1"/>
  <c r="B223" i="95" s="1"/>
  <c r="AE140" i="95"/>
  <c r="R140" i="95"/>
  <c r="Q140" i="95"/>
  <c r="O140" i="95"/>
  <c r="P140" i="95" s="1"/>
  <c r="H140" i="95"/>
  <c r="AF139" i="95" a="1"/>
  <c r="AF139" i="95" s="1"/>
  <c r="B222" i="95" s="1"/>
  <c r="AE139" i="95"/>
  <c r="R139" i="95"/>
  <c r="Q139" i="95"/>
  <c r="O139" i="95"/>
  <c r="H139" i="95"/>
  <c r="R138" i="95"/>
  <c r="P138" i="95" s="1"/>
  <c r="Q138" i="95"/>
  <c r="O138" i="95"/>
  <c r="H138" i="95"/>
  <c r="H137" i="95"/>
  <c r="R135" i="95"/>
  <c r="Q135" i="95"/>
  <c r="O135" i="95"/>
  <c r="P135" i="95" s="1"/>
  <c r="B98" i="95" s="1"/>
  <c r="R134" i="95"/>
  <c r="Q134" i="95"/>
  <c r="O134" i="95"/>
  <c r="P134" i="95" s="1"/>
  <c r="B97" i="95" s="1"/>
  <c r="R133" i="95"/>
  <c r="Q133" i="95"/>
  <c r="O133" i="95"/>
  <c r="P133" i="95" s="1"/>
  <c r="B96" i="95" s="1"/>
  <c r="R132" i="95"/>
  <c r="Q132" i="95"/>
  <c r="O132" i="95"/>
  <c r="P132" i="95" s="1"/>
  <c r="B95" i="95" s="1"/>
  <c r="P129" i="95"/>
  <c r="P128" i="95"/>
  <c r="B92" i="95" s="1"/>
  <c r="P127" i="95"/>
  <c r="R126" i="95"/>
  <c r="P126" i="95"/>
  <c r="R129" i="95" s="1"/>
  <c r="P125" i="95"/>
  <c r="B85" i="95" s="1"/>
  <c r="P124" i="95"/>
  <c r="B84" i="95" s="1"/>
  <c r="Z121" i="95"/>
  <c r="Z120" i="95"/>
  <c r="O120" i="95"/>
  <c r="P120" i="95" s="1"/>
  <c r="H120" i="95"/>
  <c r="G120" i="95"/>
  <c r="Z119" i="95"/>
  <c r="P119" i="95"/>
  <c r="O119" i="95"/>
  <c r="H119" i="95"/>
  <c r="G119" i="95"/>
  <c r="AA118" i="95"/>
  <c r="Z118" i="95"/>
  <c r="O118" i="95"/>
  <c r="P118" i="95" s="1"/>
  <c r="H118" i="95"/>
  <c r="G118" i="95"/>
  <c r="Z117" i="95"/>
  <c r="O117" i="95"/>
  <c r="P117" i="95" s="1"/>
  <c r="H117" i="95"/>
  <c r="G117" i="95"/>
  <c r="Z116" i="95"/>
  <c r="O116" i="95"/>
  <c r="P116" i="95" s="1"/>
  <c r="H116" i="95"/>
  <c r="G116" i="95"/>
  <c r="Z115" i="95"/>
  <c r="O115" i="95"/>
  <c r="P115" i="95" s="1"/>
  <c r="H115" i="95"/>
  <c r="G115" i="95"/>
  <c r="Z114" i="95"/>
  <c r="O114" i="95"/>
  <c r="P114" i="95" s="1"/>
  <c r="H114" i="95"/>
  <c r="G114" i="95"/>
  <c r="Z113" i="95"/>
  <c r="O113" i="95"/>
  <c r="P113" i="95" s="1"/>
  <c r="H113" i="95"/>
  <c r="G113" i="95"/>
  <c r="Z112" i="95"/>
  <c r="P112" i="95"/>
  <c r="O112" i="95"/>
  <c r="H112" i="95"/>
  <c r="G112" i="95"/>
  <c r="O111" i="95"/>
  <c r="P111" i="95" s="1"/>
  <c r="H111" i="95"/>
  <c r="G111" i="95"/>
  <c r="O110" i="95"/>
  <c r="P110" i="95" s="1"/>
  <c r="H110" i="95"/>
  <c r="G110" i="95"/>
  <c r="O109" i="95"/>
  <c r="P109" i="95" s="1"/>
  <c r="H109" i="95"/>
  <c r="G109" i="95"/>
  <c r="P108" i="95"/>
  <c r="O108" i="95"/>
  <c r="H108" i="95"/>
  <c r="G108" i="95"/>
  <c r="O107" i="95"/>
  <c r="P107" i="95" s="1"/>
  <c r="H107" i="95"/>
  <c r="G107" i="95"/>
  <c r="O106" i="95"/>
  <c r="P106" i="95" s="1"/>
  <c r="H106" i="95"/>
  <c r="G106" i="95"/>
  <c r="O105" i="95"/>
  <c r="P105" i="95" s="1"/>
  <c r="H105" i="95"/>
  <c r="G105" i="95"/>
  <c r="O104" i="95"/>
  <c r="P104" i="95" s="1"/>
  <c r="H104" i="95"/>
  <c r="G104" i="95"/>
  <c r="P103" i="95"/>
  <c r="O103" i="95"/>
  <c r="H103" i="95"/>
  <c r="G103" i="95"/>
  <c r="O102" i="95"/>
  <c r="P102" i="95" s="1"/>
  <c r="H102" i="95"/>
  <c r="G102" i="95"/>
  <c r="B102" i="95"/>
  <c r="O101" i="95"/>
  <c r="P101" i="95" s="1"/>
  <c r="H101" i="95"/>
  <c r="G101" i="95"/>
  <c r="B101" i="95"/>
  <c r="B100" i="95"/>
  <c r="B99" i="95"/>
  <c r="R98" i="95"/>
  <c r="Q98" i="95"/>
  <c r="O98" i="95"/>
  <c r="H98" i="95"/>
  <c r="R97" i="95"/>
  <c r="Q97" i="95"/>
  <c r="O97" i="95"/>
  <c r="H97" i="95"/>
  <c r="R96" i="95"/>
  <c r="Q96" i="95"/>
  <c r="O96" i="95"/>
  <c r="H96" i="95"/>
  <c r="R95" i="95"/>
  <c r="Q95" i="95"/>
  <c r="O95" i="95"/>
  <c r="H95" i="95"/>
  <c r="R94" i="95"/>
  <c r="P94" i="95" s="1"/>
  <c r="Q94" i="95"/>
  <c r="O94" i="95"/>
  <c r="H94" i="95"/>
  <c r="B94" i="95"/>
  <c r="R93" i="95"/>
  <c r="Q93" i="95"/>
  <c r="O93" i="95"/>
  <c r="H93" i="95"/>
  <c r="R92" i="95"/>
  <c r="Q92" i="95"/>
  <c r="O92" i="95"/>
  <c r="H92" i="95"/>
  <c r="R91" i="95"/>
  <c r="P91" i="95" s="1"/>
  <c r="Q91" i="95"/>
  <c r="O91" i="95"/>
  <c r="H91" i="95"/>
  <c r="R90" i="95"/>
  <c r="Q90" i="95"/>
  <c r="O90" i="95"/>
  <c r="H90" i="95"/>
  <c r="B90" i="95"/>
  <c r="R89" i="95"/>
  <c r="P89" i="95" s="1"/>
  <c r="Q89" i="95"/>
  <c r="O89" i="95"/>
  <c r="H89" i="95"/>
  <c r="R88" i="95"/>
  <c r="P88" i="95" s="1"/>
  <c r="Q88" i="95"/>
  <c r="O88" i="95"/>
  <c r="H88" i="95"/>
  <c r="B88" i="95"/>
  <c r="R87" i="95"/>
  <c r="P87" i="95" s="1"/>
  <c r="Q87" i="95"/>
  <c r="O87" i="95"/>
  <c r="H87" i="95"/>
  <c r="B87" i="95"/>
  <c r="R86" i="95"/>
  <c r="Q86" i="95"/>
  <c r="O86" i="95"/>
  <c r="H86" i="95"/>
  <c r="B86" i="95"/>
  <c r="R85" i="95"/>
  <c r="Q85" i="95"/>
  <c r="P85" i="95"/>
  <c r="O85" i="95"/>
  <c r="H85" i="95"/>
  <c r="R84" i="95"/>
  <c r="Q84" i="95"/>
  <c r="O84" i="95"/>
  <c r="H84" i="95"/>
  <c r="R83" i="95"/>
  <c r="Q83" i="95"/>
  <c r="O83" i="95"/>
  <c r="H83" i="95"/>
  <c r="B83" i="95"/>
  <c r="R82" i="95"/>
  <c r="Q82" i="95"/>
  <c r="O82" i="95"/>
  <c r="H82" i="95"/>
  <c r="B82" i="95"/>
  <c r="R81" i="95"/>
  <c r="Q81" i="95"/>
  <c r="O81" i="95"/>
  <c r="H81" i="95"/>
  <c r="B81" i="95"/>
  <c r="R80" i="95"/>
  <c r="Q80" i="95"/>
  <c r="O80" i="95"/>
  <c r="H80" i="95"/>
  <c r="B80" i="95"/>
  <c r="R79" i="95"/>
  <c r="Q79" i="95"/>
  <c r="O79" i="95"/>
  <c r="P79" i="95" s="1"/>
  <c r="H79" i="95"/>
  <c r="B79" i="95"/>
  <c r="B78" i="95"/>
  <c r="B77" i="95"/>
  <c r="B76" i="95"/>
  <c r="B75" i="95"/>
  <c r="O74" i="95"/>
  <c r="B74" i="95"/>
  <c r="AF73" i="95"/>
  <c r="B343" i="95" s="1"/>
  <c r="AE73" i="95" a="1"/>
  <c r="AE73" i="95" s="1"/>
  <c r="B313" i="95" s="1"/>
  <c r="AD73" i="95" a="1"/>
  <c r="AD73" i="95" s="1"/>
  <c r="B283" i="95" s="1"/>
  <c r="O73" i="95"/>
  <c r="P73" i="95" s="1"/>
  <c r="B107" i="95" s="1"/>
  <c r="B73" i="95"/>
  <c r="AF72" i="95"/>
  <c r="B342" i="95" s="1"/>
  <c r="AE72" i="95" a="1"/>
  <c r="AE72" i="95" s="1"/>
  <c r="B312" i="95" s="1"/>
  <c r="AD72" i="95" a="1"/>
  <c r="AD72" i="95" s="1"/>
  <c r="B282" i="95" s="1"/>
  <c r="P72" i="95"/>
  <c r="B52" i="95" s="1"/>
  <c r="O72" i="95"/>
  <c r="B72" i="95"/>
  <c r="AF71" i="95"/>
  <c r="B341" i="95" s="1"/>
  <c r="AE71" i="95" a="1"/>
  <c r="AE71" i="95" s="1"/>
  <c r="B311" i="95" s="1"/>
  <c r="AD71" i="95" a="1"/>
  <c r="AD71" i="95" s="1"/>
  <c r="B281" i="95" s="1"/>
  <c r="B71" i="95"/>
  <c r="AF70" i="95"/>
  <c r="B340" i="95" s="1"/>
  <c r="AE70" i="95" a="1"/>
  <c r="AE70" i="95" s="1"/>
  <c r="B310" i="95" s="1"/>
  <c r="AD70" i="95" a="1"/>
  <c r="AD70" i="95" s="1"/>
  <c r="B280" i="95" s="1"/>
  <c r="B70" i="95"/>
  <c r="AF69" i="95"/>
  <c r="B339" i="95" s="1"/>
  <c r="AE69" i="95" a="1"/>
  <c r="AE69" i="95" s="1"/>
  <c r="B309" i="95" s="1"/>
  <c r="AD69" i="95" a="1"/>
  <c r="AD69" i="95" s="1"/>
  <c r="B279" i="95" s="1"/>
  <c r="V69" i="95"/>
  <c r="O69" i="95"/>
  <c r="P69" i="95" s="1"/>
  <c r="B69" i="95"/>
  <c r="AF68" i="95"/>
  <c r="B338" i="95" s="1"/>
  <c r="AE68" i="95" a="1"/>
  <c r="AE68" i="95" s="1"/>
  <c r="B308" i="95" s="1"/>
  <c r="AD68" i="95" a="1"/>
  <c r="AD68" i="95" s="1"/>
  <c r="B278" i="95" s="1"/>
  <c r="V68" i="95"/>
  <c r="O68" i="95"/>
  <c r="P68" i="95" s="1"/>
  <c r="B48" i="95" s="1"/>
  <c r="B68" i="95"/>
  <c r="AF67" i="95"/>
  <c r="B337" i="95" s="1"/>
  <c r="AE67" i="95" a="1"/>
  <c r="AE67" i="95" s="1"/>
  <c r="B307" i="95" s="1"/>
  <c r="AD67" i="95" a="1"/>
  <c r="AD67" i="95" s="1"/>
  <c r="B277" i="95" s="1"/>
  <c r="V67" i="95"/>
  <c r="O67" i="95"/>
  <c r="P67" i="95" s="1"/>
  <c r="B67" i="95"/>
  <c r="AF66" i="95"/>
  <c r="AE66" i="95" a="1"/>
  <c r="AE66" i="95" s="1"/>
  <c r="B306" i="95" s="1"/>
  <c r="AD66" i="95" a="1"/>
  <c r="AD66" i="95" s="1"/>
  <c r="B276" i="95" s="1"/>
  <c r="V66" i="95"/>
  <c r="O66" i="95"/>
  <c r="P66" i="95" s="1"/>
  <c r="B66" i="95"/>
  <c r="AF65" i="95"/>
  <c r="AE65" i="95" a="1"/>
  <c r="AE65" i="95" s="1"/>
  <c r="B305" i="95" s="1"/>
  <c r="AD65" i="95"/>
  <c r="B275" i="95" s="1"/>
  <c r="AD65" i="95" a="1"/>
  <c r="V65" i="95"/>
  <c r="O65" i="95"/>
  <c r="P65" i="95" s="1"/>
  <c r="AJ27" i="95" s="1"/>
  <c r="AK27" i="95" s="1"/>
  <c r="B65" i="95"/>
  <c r="AF64" i="95"/>
  <c r="B334" i="95" s="1"/>
  <c r="AE64" i="95" a="1"/>
  <c r="AE64" i="95" s="1"/>
  <c r="B304" i="95" s="1"/>
  <c r="AD64" i="95" a="1"/>
  <c r="AD64" i="95" s="1"/>
  <c r="B274" i="95" s="1"/>
  <c r="V64" i="95"/>
  <c r="P64" i="95"/>
  <c r="AJ22" i="95" s="1"/>
  <c r="AK22" i="95" s="1"/>
  <c r="O64" i="95"/>
  <c r="B64" i="95"/>
  <c r="AF63" i="95"/>
  <c r="B333" i="95" s="1"/>
  <c r="AE63" i="95" a="1"/>
  <c r="AE63" i="95" s="1"/>
  <c r="B303" i="95" s="1"/>
  <c r="AD63" i="95" a="1"/>
  <c r="AD63" i="95" s="1"/>
  <c r="B273" i="95" s="1"/>
  <c r="V63" i="95"/>
  <c r="O63" i="95"/>
  <c r="P63" i="95" s="1"/>
  <c r="B63" i="95"/>
  <c r="AF62" i="95"/>
  <c r="B332" i="95" s="1"/>
  <c r="AE62" i="95" a="1"/>
  <c r="AE62" i="95" s="1"/>
  <c r="B302" i="95" s="1"/>
  <c r="AD62" i="95" a="1"/>
  <c r="AD62" i="95" s="1"/>
  <c r="B272" i="95" s="1"/>
  <c r="V62" i="95"/>
  <c r="O62" i="95"/>
  <c r="P62" i="95" s="1"/>
  <c r="B62" i="95"/>
  <c r="AF61" i="95"/>
  <c r="B331" i="95" s="1"/>
  <c r="AE61" i="95" a="1"/>
  <c r="AE61" i="95" s="1"/>
  <c r="B301" i="95" s="1"/>
  <c r="AD61" i="95" a="1"/>
  <c r="AD61" i="95" s="1"/>
  <c r="B271" i="95" s="1"/>
  <c r="B61" i="95"/>
  <c r="AF60" i="95"/>
  <c r="B330" i="95" s="1"/>
  <c r="AE60" i="95" a="1"/>
  <c r="AE60" i="95" s="1"/>
  <c r="B300" i="95" s="1"/>
  <c r="AD60" i="95" a="1"/>
  <c r="AD60" i="95" s="1"/>
  <c r="B270" i="95" s="1"/>
  <c r="B60" i="95"/>
  <c r="AF59" i="95"/>
  <c r="B329" i="95" s="1"/>
  <c r="AE59" i="95" a="1"/>
  <c r="AE59" i="95" s="1"/>
  <c r="B299" i="95" s="1"/>
  <c r="AD59" i="95" a="1"/>
  <c r="AD59" i="95" s="1"/>
  <c r="B269" i="95" s="1"/>
  <c r="V59" i="95"/>
  <c r="O59" i="95"/>
  <c r="P59" i="95" s="1"/>
  <c r="AF58" i="95"/>
  <c r="B328" i="95" s="1"/>
  <c r="AE58" i="95" a="1"/>
  <c r="AE58" i="95" s="1"/>
  <c r="B298" i="95" s="1"/>
  <c r="AD58" i="95" a="1"/>
  <c r="AD58" i="95" s="1"/>
  <c r="B268" i="95" s="1"/>
  <c r="V58" i="95"/>
  <c r="O58" i="95"/>
  <c r="P58" i="95" s="1"/>
  <c r="AF57" i="95"/>
  <c r="B327" i="95" s="1"/>
  <c r="AE57" i="95" a="1"/>
  <c r="AE57" i="95" s="1"/>
  <c r="B297" i="95" s="1"/>
  <c r="AD57" i="95" a="1"/>
  <c r="AD57" i="95" s="1"/>
  <c r="B267" i="95" s="1"/>
  <c r="V57" i="95"/>
  <c r="P57" i="95"/>
  <c r="B39" i="95" s="1"/>
  <c r="O57" i="95"/>
  <c r="AF56" i="95"/>
  <c r="B326" i="95" s="1"/>
  <c r="AE56" i="95" a="1"/>
  <c r="AE56" i="95" s="1"/>
  <c r="B296" i="95" s="1"/>
  <c r="AD56" i="95" a="1"/>
  <c r="AD56" i="95" s="1"/>
  <c r="B266" i="95" s="1"/>
  <c r="V56" i="95"/>
  <c r="O56" i="95"/>
  <c r="P56" i="95" s="1"/>
  <c r="AF55" i="95"/>
  <c r="B325" i="95" s="1"/>
  <c r="AE55" i="95" a="1"/>
  <c r="AE55" i="95" s="1"/>
  <c r="B295" i="95" s="1"/>
  <c r="AD55" i="95"/>
  <c r="B265" i="95" s="1"/>
  <c r="AD55" i="95" a="1"/>
  <c r="V55" i="95"/>
  <c r="P55" i="95"/>
  <c r="O55" i="95"/>
  <c r="AF54" i="95"/>
  <c r="B324" i="95" s="1"/>
  <c r="AE54" i="95" a="1"/>
  <c r="AE54" i="95" s="1"/>
  <c r="B294" i="95" s="1"/>
  <c r="AD54" i="95" a="1"/>
  <c r="AD54" i="95" s="1"/>
  <c r="B264" i="95" s="1"/>
  <c r="V54" i="95"/>
  <c r="O54" i="95"/>
  <c r="P54" i="95" s="1"/>
  <c r="V53" i="95"/>
  <c r="O53" i="95"/>
  <c r="P53" i="95" s="1"/>
  <c r="V52" i="95"/>
  <c r="O52" i="95"/>
  <c r="P52" i="95" s="1"/>
  <c r="B51" i="95"/>
  <c r="V49" i="95"/>
  <c r="O49" i="95"/>
  <c r="P49" i="95" s="1"/>
  <c r="B33" i="95" s="1"/>
  <c r="AJ48" i="95"/>
  <c r="AK48" i="95" s="1"/>
  <c r="V48" i="95"/>
  <c r="O48" i="95"/>
  <c r="P48" i="95" s="1"/>
  <c r="V47" i="95"/>
  <c r="O47" i="95"/>
  <c r="P47" i="95" s="1"/>
  <c r="AJ35" i="95" s="1"/>
  <c r="AK35" i="95" s="1"/>
  <c r="V46" i="95"/>
  <c r="O46" i="95"/>
  <c r="P46" i="95" s="1"/>
  <c r="V45" i="95"/>
  <c r="P45" i="95"/>
  <c r="B29" i="95" s="1"/>
  <c r="O45" i="95"/>
  <c r="V44" i="95"/>
  <c r="O44" i="95"/>
  <c r="P44" i="95" s="1"/>
  <c r="V43" i="95"/>
  <c r="P43" i="95"/>
  <c r="O43" i="95"/>
  <c r="V42" i="95"/>
  <c r="O42" i="95"/>
  <c r="P42" i="95" s="1"/>
  <c r="AJ2" i="95" s="1"/>
  <c r="AK2" i="95" s="1"/>
  <c r="AA41" i="95"/>
  <c r="Z41" i="95" s="1"/>
  <c r="AA40" i="95"/>
  <c r="Z40" i="95" s="1"/>
  <c r="U40" i="95"/>
  <c r="N9" i="95"/>
  <c r="AA39" i="95"/>
  <c r="Z39" i="95" s="1"/>
  <c r="AA38" i="95"/>
  <c r="Z38" i="95" s="1"/>
  <c r="V38" i="95"/>
  <c r="O38" i="95"/>
  <c r="P38" i="95"/>
  <c r="AA37" i="95"/>
  <c r="Z37" i="95" s="1"/>
  <c r="V37" i="95"/>
  <c r="O37" i="95"/>
  <c r="P37" i="95" s="1"/>
  <c r="AJ31" i="95" s="1"/>
  <c r="AK31" i="95" s="1"/>
  <c r="B37" i="95"/>
  <c r="AA36" i="95"/>
  <c r="Z36" i="95" s="1"/>
  <c r="V36" i="95"/>
  <c r="O36" i="95"/>
  <c r="P36" i="95" s="1"/>
  <c r="B23" i="95" s="1"/>
  <c r="AA35" i="95"/>
  <c r="Z35" i="95" s="1"/>
  <c r="AA34" i="95"/>
  <c r="Z34" i="95" s="1"/>
  <c r="AA33" i="95"/>
  <c r="Z33" i="95" s="1"/>
  <c r="O33" i="95"/>
  <c r="P33" i="95"/>
  <c r="AA32" i="95"/>
  <c r="Z32" i="95" s="1"/>
  <c r="V32" i="95"/>
  <c r="O32" i="95"/>
  <c r="P32" i="95"/>
  <c r="AF31" i="95"/>
  <c r="B174" i="95" s="1"/>
  <c r="AD31" i="95"/>
  <c r="B144" i="95" s="1"/>
  <c r="AA31" i="95"/>
  <c r="Z31" i="95" s="1"/>
  <c r="O31" i="95"/>
  <c r="P31" i="95" s="1"/>
  <c r="AF30" i="95"/>
  <c r="AD30" i="95"/>
  <c r="B143" i="95" s="1"/>
  <c r="AA30" i="95"/>
  <c r="Z30" i="95" s="1"/>
  <c r="AF29" i="95"/>
  <c r="B172" i="95" s="1"/>
  <c r="AD29" i="95"/>
  <c r="B142" i="95" s="1"/>
  <c r="AA29" i="95"/>
  <c r="Z29" i="95" s="1"/>
  <c r="AF28" i="95"/>
  <c r="B171" i="95" s="1"/>
  <c r="AD28" i="95"/>
  <c r="B141" i="95" s="1"/>
  <c r="AA28" i="95"/>
  <c r="Z28" i="95" s="1"/>
  <c r="V28" i="95"/>
  <c r="P28" i="95"/>
  <c r="AJ42" i="95" s="1"/>
  <c r="AK42" i="95" s="1"/>
  <c r="O28" i="95"/>
  <c r="AF27" i="95"/>
  <c r="B170" i="95" s="1"/>
  <c r="AD27" i="95"/>
  <c r="B140" i="95" s="1"/>
  <c r="AA27" i="95"/>
  <c r="Z27" i="95" s="1"/>
  <c r="V27" i="95"/>
  <c r="O27" i="95"/>
  <c r="AF26" i="95"/>
  <c r="B169" i="95" s="1"/>
  <c r="AD26" i="95"/>
  <c r="B139" i="95" s="1"/>
  <c r="AA26" i="95"/>
  <c r="Z26" i="95" s="1"/>
  <c r="V26" i="95"/>
  <c r="O26" i="95"/>
  <c r="B26" i="95"/>
  <c r="AF25" i="95"/>
  <c r="B168" i="95" s="1"/>
  <c r="AD25" i="95"/>
  <c r="B138" i="95" s="1"/>
  <c r="AA25" i="95"/>
  <c r="Z25" i="95" s="1"/>
  <c r="AF24" i="95"/>
  <c r="B167" i="95" s="1"/>
  <c r="AD24" i="95"/>
  <c r="B137" i="95" s="1"/>
  <c r="AA24" i="95"/>
  <c r="Z24" i="95" s="1"/>
  <c r="AJ23" i="95"/>
  <c r="AK23" i="95" s="1"/>
  <c r="AF23" i="95"/>
  <c r="B166" i="95" s="1"/>
  <c r="AD23" i="95"/>
  <c r="B136" i="95" s="1"/>
  <c r="AA23" i="95"/>
  <c r="Z23" i="95" s="1"/>
  <c r="N23" i="95"/>
  <c r="N8" i="95" s="1"/>
  <c r="AF22" i="95"/>
  <c r="B165" i="95" s="1"/>
  <c r="AD22" i="95"/>
  <c r="B135" i="95" s="1"/>
  <c r="AA22" i="95"/>
  <c r="Z22" i="95" s="1"/>
  <c r="AJ21" i="95"/>
  <c r="AK21" i="95" s="1"/>
  <c r="AF21" i="95"/>
  <c r="B164" i="95" s="1"/>
  <c r="AD21" i="95"/>
  <c r="B134" i="95" s="1"/>
  <c r="AA21" i="95"/>
  <c r="N21" i="95"/>
  <c r="AF20" i="95"/>
  <c r="AD20" i="95"/>
  <c r="B133" i="95" s="1"/>
  <c r="AA20" i="95"/>
  <c r="N20" i="95"/>
  <c r="AF19" i="95"/>
  <c r="B162" i="95" s="1"/>
  <c r="AD19" i="95"/>
  <c r="B132" i="95" s="1"/>
  <c r="AA19" i="95"/>
  <c r="N19" i="95"/>
  <c r="AF18" i="95"/>
  <c r="B161" i="95" s="1"/>
  <c r="AD18" i="95"/>
  <c r="B131" i="95" s="1"/>
  <c r="AA18" i="95"/>
  <c r="N18" i="95"/>
  <c r="AF17" i="95"/>
  <c r="B160" i="95" s="1"/>
  <c r="AD17" i="95"/>
  <c r="B130" i="95" s="1"/>
  <c r="AA17" i="95"/>
  <c r="N17" i="95"/>
  <c r="AF16" i="95"/>
  <c r="B159" i="95" s="1"/>
  <c r="AD16" i="95"/>
  <c r="B129" i="95" s="1"/>
  <c r="AA16" i="95"/>
  <c r="B16" i="95"/>
  <c r="AF15" i="95"/>
  <c r="B158" i="95" s="1"/>
  <c r="AD15" i="95"/>
  <c r="B128" i="95" s="1"/>
  <c r="AA15" i="95"/>
  <c r="B15" i="95"/>
  <c r="AF14" i="95"/>
  <c r="AD14" i="95"/>
  <c r="B127" i="95" s="1"/>
  <c r="AA14" i="95"/>
  <c r="B14" i="95"/>
  <c r="AF13" i="95"/>
  <c r="B156" i="95" s="1"/>
  <c r="AD13" i="95"/>
  <c r="B126" i="95" s="1"/>
  <c r="AA13" i="95"/>
  <c r="AF12" i="95"/>
  <c r="AD12" i="95"/>
  <c r="B125" i="95" s="1"/>
  <c r="AA12" i="95"/>
  <c r="N12" i="95"/>
  <c r="B12" i="95"/>
  <c r="B13" i="95" s="1"/>
  <c r="AF11" i="95"/>
  <c r="B154" i="95" s="1"/>
  <c r="AD11" i="95"/>
  <c r="B124" i="95" s="1"/>
  <c r="AA11" i="95"/>
  <c r="N11" i="95"/>
  <c r="B11" i="95"/>
  <c r="AF10" i="95"/>
  <c r="B153" i="95" s="1"/>
  <c r="AD10" i="95"/>
  <c r="B123" i="95" s="1"/>
  <c r="AA10" i="95"/>
  <c r="AF9" i="95"/>
  <c r="B152" i="95" s="1"/>
  <c r="AD9" i="95"/>
  <c r="B122" i="95" s="1"/>
  <c r="AA9" i="95"/>
  <c r="B9" i="95"/>
  <c r="B10" i="95" s="1"/>
  <c r="AF8" i="95"/>
  <c r="B151" i="95" s="1"/>
  <c r="AD8" i="95"/>
  <c r="B121" i="95" s="1"/>
  <c r="AA8" i="95"/>
  <c r="G8" i="95"/>
  <c r="D8" i="95"/>
  <c r="B8" i="95"/>
  <c r="AJ7" i="95"/>
  <c r="AK7" i="95" s="1"/>
  <c r="AF7" i="95"/>
  <c r="B150" i="95" s="1"/>
  <c r="AD7" i="95"/>
  <c r="B120" i="95" s="1"/>
  <c r="D7" i="95"/>
  <c r="B7" i="95"/>
  <c r="B6" i="95"/>
  <c r="B5" i="95"/>
  <c r="AA4" i="95"/>
  <c r="N4" i="95"/>
  <c r="AA2" i="95"/>
  <c r="B2" i="95"/>
  <c r="G101" i="94"/>
  <c r="G102" i="94"/>
  <c r="G103" i="94"/>
  <c r="B364" i="94"/>
  <c r="B363" i="94"/>
  <c r="B362" i="94"/>
  <c r="B361" i="94"/>
  <c r="B360" i="94"/>
  <c r="B359" i="94"/>
  <c r="B358" i="94"/>
  <c r="B357" i="94"/>
  <c r="B336" i="94"/>
  <c r="B335" i="94"/>
  <c r="B320" i="94"/>
  <c r="B319" i="94"/>
  <c r="E285" i="94"/>
  <c r="E286" i="94" s="1"/>
  <c r="E287" i="94" s="1"/>
  <c r="E288" i="94" s="1"/>
  <c r="E289" i="94" s="1"/>
  <c r="E290" i="94" s="1"/>
  <c r="E291" i="94" s="1"/>
  <c r="E292" i="94" s="1"/>
  <c r="E293" i="94" s="1"/>
  <c r="E294" i="94" s="1"/>
  <c r="E295" i="94" s="1"/>
  <c r="E296" i="94" s="1"/>
  <c r="E297" i="94" s="1"/>
  <c r="E298" i="94" s="1"/>
  <c r="E299" i="94" s="1"/>
  <c r="E300" i="94" s="1"/>
  <c r="E301" i="94" s="1"/>
  <c r="E302" i="94" s="1"/>
  <c r="E303" i="94" s="1"/>
  <c r="E304" i="94" s="1"/>
  <c r="E305" i="94" s="1"/>
  <c r="E306" i="94" s="1"/>
  <c r="E307" i="94" s="1"/>
  <c r="E308" i="94" s="1"/>
  <c r="E309" i="94" s="1"/>
  <c r="E310" i="94" s="1"/>
  <c r="E311" i="94" s="1"/>
  <c r="E312" i="94" s="1"/>
  <c r="E313" i="94" s="1"/>
  <c r="E314" i="94" s="1"/>
  <c r="E315" i="94" s="1"/>
  <c r="E316" i="94" s="1"/>
  <c r="E282" i="94"/>
  <c r="E283" i="94" s="1"/>
  <c r="E284" i="94" s="1"/>
  <c r="E281" i="94"/>
  <c r="H238" i="94"/>
  <c r="H237" i="94"/>
  <c r="H236" i="94"/>
  <c r="H234" i="94"/>
  <c r="F234" i="94"/>
  <c r="P218" i="94"/>
  <c r="B354" i="94" s="1"/>
  <c r="B216" i="94"/>
  <c r="R215" i="94"/>
  <c r="Q215" i="94"/>
  <c r="O215" i="94"/>
  <c r="P215" i="94" s="1"/>
  <c r="H215" i="94"/>
  <c r="G215" i="94"/>
  <c r="B215" i="94"/>
  <c r="R214" i="94"/>
  <c r="P214" i="94" s="1"/>
  <c r="Q214" i="94"/>
  <c r="O214" i="94"/>
  <c r="H214" i="94"/>
  <c r="G214" i="94"/>
  <c r="B214" i="94"/>
  <c r="R213" i="94"/>
  <c r="Q213" i="94"/>
  <c r="O213" i="94"/>
  <c r="P213" i="94" s="1"/>
  <c r="H213" i="94"/>
  <c r="G213" i="94"/>
  <c r="B213" i="94"/>
  <c r="R212" i="94"/>
  <c r="Q212" i="94"/>
  <c r="O212" i="94"/>
  <c r="P212" i="94" s="1"/>
  <c r="H212" i="94"/>
  <c r="G212" i="94"/>
  <c r="B212" i="94"/>
  <c r="R211" i="94"/>
  <c r="Q211" i="94"/>
  <c r="O211" i="94"/>
  <c r="P211" i="94" s="1"/>
  <c r="H211" i="94"/>
  <c r="G211" i="94"/>
  <c r="B211" i="94"/>
  <c r="R210" i="94"/>
  <c r="Q210" i="94"/>
  <c r="O210" i="94"/>
  <c r="P210" i="94" s="1"/>
  <c r="H210" i="94"/>
  <c r="G210" i="94"/>
  <c r="B210" i="94"/>
  <c r="R209" i="94"/>
  <c r="P209" i="94" s="1"/>
  <c r="Q209" i="94"/>
  <c r="O209" i="94"/>
  <c r="H209" i="94"/>
  <c r="G209" i="94"/>
  <c r="B209" i="94"/>
  <c r="R208" i="94"/>
  <c r="Q208" i="94"/>
  <c r="O208" i="94"/>
  <c r="H208" i="94"/>
  <c r="G208" i="94"/>
  <c r="B208" i="94"/>
  <c r="R207" i="94"/>
  <c r="Q207" i="94"/>
  <c r="O207" i="94"/>
  <c r="H207" i="94"/>
  <c r="G207" i="94"/>
  <c r="B207" i="94"/>
  <c r="R206" i="94"/>
  <c r="Q206" i="94"/>
  <c r="O206" i="94"/>
  <c r="P206" i="94" s="1"/>
  <c r="H206" i="94"/>
  <c r="G206" i="94"/>
  <c r="B206" i="94"/>
  <c r="B205" i="94"/>
  <c r="B204" i="94"/>
  <c r="R203" i="94"/>
  <c r="P203" i="94" s="1"/>
  <c r="AA121" i="94" s="1"/>
  <c r="O203" i="94"/>
  <c r="G203" i="94"/>
  <c r="B203" i="94"/>
  <c r="R202" i="94"/>
  <c r="O202" i="94"/>
  <c r="G202" i="94"/>
  <c r="B202" i="94"/>
  <c r="R201" i="94"/>
  <c r="O201" i="94"/>
  <c r="G201" i="94"/>
  <c r="B201" i="94"/>
  <c r="R200" i="94"/>
  <c r="O200" i="94"/>
  <c r="G200" i="94"/>
  <c r="B200" i="94"/>
  <c r="R199" i="94"/>
  <c r="P199" i="94" s="1"/>
  <c r="AA117" i="94" s="1"/>
  <c r="O199" i="94"/>
  <c r="G199" i="94"/>
  <c r="B199" i="94"/>
  <c r="R198" i="94"/>
  <c r="O198" i="94"/>
  <c r="P198" i="94" s="1"/>
  <c r="AA116" i="94" s="1"/>
  <c r="G198" i="94"/>
  <c r="B198" i="94"/>
  <c r="R197" i="94"/>
  <c r="P197" i="94"/>
  <c r="O197" i="94"/>
  <c r="G197" i="94"/>
  <c r="R196" i="94"/>
  <c r="P196" i="94" s="1"/>
  <c r="AA114" i="94" s="1"/>
  <c r="O196" i="94"/>
  <c r="G196" i="94"/>
  <c r="B196" i="94"/>
  <c r="R195" i="94"/>
  <c r="O195" i="94"/>
  <c r="P195" i="94" s="1"/>
  <c r="AA113" i="94" s="1"/>
  <c r="G195" i="94"/>
  <c r="B195" i="94"/>
  <c r="R194" i="94"/>
  <c r="O194" i="94"/>
  <c r="G194" i="94"/>
  <c r="B194" i="94"/>
  <c r="B193" i="94"/>
  <c r="B192" i="94"/>
  <c r="O191" i="94"/>
  <c r="B191" i="94"/>
  <c r="O190" i="94"/>
  <c r="B190" i="94"/>
  <c r="O189" i="94"/>
  <c r="B189" i="94"/>
  <c r="O188" i="94"/>
  <c r="B188" i="94"/>
  <c r="O187" i="94"/>
  <c r="B187" i="94"/>
  <c r="B186" i="94"/>
  <c r="O185" i="94"/>
  <c r="P185" i="94" s="1"/>
  <c r="I185" i="94"/>
  <c r="B185" i="94"/>
  <c r="O184" i="94"/>
  <c r="P184" i="94" s="1"/>
  <c r="I184" i="94"/>
  <c r="B184" i="94"/>
  <c r="B183" i="94"/>
  <c r="B182" i="94"/>
  <c r="R181" i="94"/>
  <c r="O181" i="94"/>
  <c r="H181" i="94"/>
  <c r="B181" i="94"/>
  <c r="R180" i="94"/>
  <c r="O180" i="94"/>
  <c r="P180" i="94" s="1"/>
  <c r="AA85" i="94" s="1"/>
  <c r="H180" i="94"/>
  <c r="B180" i="94"/>
  <c r="R179" i="94"/>
  <c r="O179" i="94"/>
  <c r="P179" i="94" s="1"/>
  <c r="AA84" i="94" s="1"/>
  <c r="H179" i="94"/>
  <c r="B179" i="94"/>
  <c r="R178" i="94"/>
  <c r="O178" i="94"/>
  <c r="P178" i="94" s="1"/>
  <c r="AA83" i="94" s="1"/>
  <c r="H178" i="94"/>
  <c r="B178" i="94"/>
  <c r="R177" i="94"/>
  <c r="O177" i="94"/>
  <c r="H177" i="94"/>
  <c r="B173" i="94"/>
  <c r="I164" i="94"/>
  <c r="H164" i="94"/>
  <c r="G164" i="94"/>
  <c r="F164" i="94"/>
  <c r="O167" i="94" s="1"/>
  <c r="P167" i="94" s="1"/>
  <c r="Y54" i="94" s="1"/>
  <c r="AA54" i="94" s="1" a="1"/>
  <c r="AA54" i="94" s="1"/>
  <c r="B163" i="94"/>
  <c r="O161" i="94"/>
  <c r="P161" i="94" s="1"/>
  <c r="O160" i="94"/>
  <c r="P160" i="94" s="1"/>
  <c r="R157" i="94"/>
  <c r="P157" i="94" s="1"/>
  <c r="Q157" i="94"/>
  <c r="O157" i="94"/>
  <c r="H157" i="94"/>
  <c r="G157" i="94"/>
  <c r="B157" i="94"/>
  <c r="R156" i="94"/>
  <c r="Q156" i="94"/>
  <c r="O156" i="94"/>
  <c r="P156" i="94" s="1"/>
  <c r="H156" i="94"/>
  <c r="G156" i="94"/>
  <c r="R155" i="94"/>
  <c r="Q155" i="94"/>
  <c r="O155" i="94"/>
  <c r="H155" i="94"/>
  <c r="G155" i="94"/>
  <c r="B155" i="94"/>
  <c r="R154" i="94"/>
  <c r="Q154" i="94"/>
  <c r="O154" i="94"/>
  <c r="H154" i="94"/>
  <c r="G154" i="94"/>
  <c r="AF153" i="94" a="1"/>
  <c r="AF153" i="94" s="1"/>
  <c r="B236" i="94" s="1"/>
  <c r="AE153" i="94"/>
  <c r="R153" i="94"/>
  <c r="Q153" i="94"/>
  <c r="O153" i="94"/>
  <c r="P153" i="94" s="1"/>
  <c r="H153" i="94"/>
  <c r="G153" i="94"/>
  <c r="AF152" i="94" a="1"/>
  <c r="AF152" i="94" s="1"/>
  <c r="B235" i="94" s="1"/>
  <c r="AE152" i="94"/>
  <c r="R152" i="94"/>
  <c r="Q152" i="94"/>
  <c r="O152" i="94"/>
  <c r="P152" i="94" s="1"/>
  <c r="H152" i="94"/>
  <c r="G152" i="94"/>
  <c r="AF151" i="94" a="1"/>
  <c r="AF151" i="94" s="1"/>
  <c r="B234" i="94" s="1"/>
  <c r="AE151" i="94"/>
  <c r="R151" i="94"/>
  <c r="Q151" i="94"/>
  <c r="O151" i="94"/>
  <c r="P151" i="94" s="1"/>
  <c r="H151" i="94"/>
  <c r="G151" i="94"/>
  <c r="AF150" i="94" a="1"/>
  <c r="AF150" i="94" s="1"/>
  <c r="B233" i="94" s="1"/>
  <c r="AE150" i="94"/>
  <c r="R150" i="94"/>
  <c r="Q150" i="94"/>
  <c r="O150" i="94"/>
  <c r="P150" i="94" s="1"/>
  <c r="H150" i="94"/>
  <c r="G150" i="94"/>
  <c r="AF149" i="94" a="1"/>
  <c r="AF149" i="94" s="1"/>
  <c r="B232" i="94" s="1"/>
  <c r="AE149" i="94"/>
  <c r="R149" i="94"/>
  <c r="Q149" i="94"/>
  <c r="O149" i="94"/>
  <c r="P149" i="94" s="1"/>
  <c r="H149" i="94"/>
  <c r="G149" i="94"/>
  <c r="AF148" i="94" a="1"/>
  <c r="AF148" i="94" s="1"/>
  <c r="B231" i="94" s="1"/>
  <c r="AE148" i="94"/>
  <c r="R148" i="94"/>
  <c r="Q148" i="94"/>
  <c r="O148" i="94"/>
  <c r="P148" i="94" s="1"/>
  <c r="H148" i="94"/>
  <c r="G148" i="94"/>
  <c r="AF147" i="94" a="1"/>
  <c r="AF147" i="94" s="1"/>
  <c r="B230" i="94" s="1"/>
  <c r="AE147" i="94"/>
  <c r="R147" i="94"/>
  <c r="Q147" i="94"/>
  <c r="O147" i="94"/>
  <c r="P147" i="94" s="1"/>
  <c r="H147" i="94"/>
  <c r="G147" i="94"/>
  <c r="AF146" i="94" a="1"/>
  <c r="AF146" i="94" s="1"/>
  <c r="B229" i="94" s="1"/>
  <c r="AE146" i="94"/>
  <c r="R146" i="94"/>
  <c r="Q146" i="94"/>
  <c r="O146" i="94"/>
  <c r="P146" i="94" s="1"/>
  <c r="H146" i="94"/>
  <c r="G146" i="94"/>
  <c r="AF145" i="94" a="1"/>
  <c r="AF145" i="94" s="1"/>
  <c r="B228" i="94" s="1"/>
  <c r="AE145" i="94"/>
  <c r="R145" i="94"/>
  <c r="Q145" i="94"/>
  <c r="O145" i="94"/>
  <c r="P145" i="94" s="1"/>
  <c r="H145" i="94"/>
  <c r="G145" i="94"/>
  <c r="AF144" i="94" a="1"/>
  <c r="AF144" i="94" s="1"/>
  <c r="B227" i="94" s="1"/>
  <c r="AE144" i="94"/>
  <c r="R144" i="94"/>
  <c r="Q144" i="94"/>
  <c r="P144" i="94"/>
  <c r="O144" i="94"/>
  <c r="H144" i="94"/>
  <c r="AF143" i="94" a="1"/>
  <c r="AF143" i="94" s="1"/>
  <c r="B226" i="94" s="1"/>
  <c r="AE143" i="94"/>
  <c r="R143" i="94"/>
  <c r="Q143" i="94"/>
  <c r="O143" i="94"/>
  <c r="P143" i="94" s="1"/>
  <c r="H143" i="94"/>
  <c r="G143" i="94"/>
  <c r="AF142" i="94"/>
  <c r="B225" i="94" s="1"/>
  <c r="AF142" i="94" a="1"/>
  <c r="AE142" i="94"/>
  <c r="R142" i="94"/>
  <c r="Q142" i="94"/>
  <c r="O142" i="94"/>
  <c r="P142" i="94" s="1"/>
  <c r="H142" i="94"/>
  <c r="AF141" i="94" a="1"/>
  <c r="AF141" i="94" s="1"/>
  <c r="B224" i="94" s="1"/>
  <c r="AE141" i="94"/>
  <c r="R141" i="94"/>
  <c r="Q141" i="94"/>
  <c r="O141" i="94"/>
  <c r="P141" i="94" s="1"/>
  <c r="H141" i="94"/>
  <c r="AF140" i="94" a="1"/>
  <c r="AF140" i="94" s="1"/>
  <c r="B223" i="94" s="1"/>
  <c r="AE140" i="94"/>
  <c r="R140" i="94"/>
  <c r="Q140" i="94"/>
  <c r="O140" i="94"/>
  <c r="H140" i="94"/>
  <c r="AF139" i="94" a="1"/>
  <c r="AF139" i="94" s="1"/>
  <c r="B222" i="94" s="1"/>
  <c r="AE139" i="94"/>
  <c r="R139" i="94"/>
  <c r="Q139" i="94"/>
  <c r="O139" i="94"/>
  <c r="H139" i="94"/>
  <c r="AF138" i="94" a="1"/>
  <c r="AF138" i="94" s="1"/>
  <c r="B221" i="94" s="1"/>
  <c r="AE138" i="94"/>
  <c r="R138" i="94"/>
  <c r="Q138" i="94"/>
  <c r="P138" i="94"/>
  <c r="O138" i="94"/>
  <c r="H138" i="94"/>
  <c r="AF137" i="94" a="1"/>
  <c r="AF137" i="94" s="1"/>
  <c r="B220" i="94" s="1"/>
  <c r="AE137" i="94"/>
  <c r="H137" i="94"/>
  <c r="AF136" i="94" a="1"/>
  <c r="AF136" i="94" s="1"/>
  <c r="B219" i="94" s="1"/>
  <c r="AE136" i="94"/>
  <c r="AF135" i="94" a="1"/>
  <c r="AF135" i="94" s="1"/>
  <c r="B218" i="94" s="1"/>
  <c r="AE135" i="94"/>
  <c r="R135" i="94"/>
  <c r="Q135" i="94"/>
  <c r="O135" i="94"/>
  <c r="P135" i="94" s="1"/>
  <c r="B98" i="94" s="1"/>
  <c r="R134" i="94"/>
  <c r="Q134" i="94"/>
  <c r="O134" i="94"/>
  <c r="P134" i="94" s="1"/>
  <c r="B97" i="94" s="1"/>
  <c r="R133" i="94"/>
  <c r="Q133" i="94"/>
  <c r="O133" i="94"/>
  <c r="P133" i="94" s="1"/>
  <c r="B96" i="94" s="1"/>
  <c r="R132" i="94"/>
  <c r="Q132" i="94"/>
  <c r="O132" i="94"/>
  <c r="P132" i="94" s="1"/>
  <c r="B95" i="94" s="1"/>
  <c r="P129" i="94"/>
  <c r="P128" i="94"/>
  <c r="P127" i="94"/>
  <c r="R126" i="94"/>
  <c r="P126" i="94"/>
  <c r="R129" i="94" s="1"/>
  <c r="P125" i="94"/>
  <c r="B85" i="94" s="1"/>
  <c r="P124" i="94"/>
  <c r="B84" i="94" s="1"/>
  <c r="Z121" i="94"/>
  <c r="Z120" i="94"/>
  <c r="P120" i="94"/>
  <c r="O120" i="94"/>
  <c r="H120" i="94"/>
  <c r="G120" i="94"/>
  <c r="Z119" i="94"/>
  <c r="O119" i="94"/>
  <c r="P119" i="94" s="1"/>
  <c r="H119" i="94"/>
  <c r="G119" i="94"/>
  <c r="Z118" i="94"/>
  <c r="O118" i="94"/>
  <c r="P118" i="94" s="1"/>
  <c r="H118" i="94"/>
  <c r="G118" i="94"/>
  <c r="Z117" i="94"/>
  <c r="O117" i="94"/>
  <c r="P117" i="94" s="1"/>
  <c r="H117" i="94"/>
  <c r="G117" i="94"/>
  <c r="Z116" i="94"/>
  <c r="O116" i="94"/>
  <c r="P116" i="94" s="1"/>
  <c r="H116" i="94"/>
  <c r="G116" i="94"/>
  <c r="AA115" i="94"/>
  <c r="Z115" i="94"/>
  <c r="O115" i="94"/>
  <c r="P115" i="94" s="1"/>
  <c r="H115" i="94"/>
  <c r="G115" i="94"/>
  <c r="Z114" i="94"/>
  <c r="O114" i="94"/>
  <c r="P114" i="94" s="1"/>
  <c r="H114" i="94"/>
  <c r="G114" i="94"/>
  <c r="Z113" i="94"/>
  <c r="O113" i="94"/>
  <c r="P113" i="94" s="1"/>
  <c r="H113" i="94"/>
  <c r="G113" i="94"/>
  <c r="Z112" i="94"/>
  <c r="O112" i="94"/>
  <c r="P112" i="94" s="1"/>
  <c r="H112" i="94"/>
  <c r="G112" i="94"/>
  <c r="O111" i="94"/>
  <c r="P111" i="94" s="1"/>
  <c r="H111" i="94"/>
  <c r="G111" i="94"/>
  <c r="O110" i="94"/>
  <c r="P110" i="94" s="1"/>
  <c r="H110" i="94"/>
  <c r="G110" i="94"/>
  <c r="O109" i="94"/>
  <c r="P109" i="94" s="1"/>
  <c r="H109" i="94"/>
  <c r="G109" i="94"/>
  <c r="P108" i="94"/>
  <c r="O108" i="94"/>
  <c r="H108" i="94"/>
  <c r="G108" i="94"/>
  <c r="P107" i="94"/>
  <c r="O107" i="94"/>
  <c r="H107" i="94"/>
  <c r="G107" i="94"/>
  <c r="O106" i="94"/>
  <c r="P106" i="94" s="1"/>
  <c r="H106" i="94"/>
  <c r="G106" i="94"/>
  <c r="O105" i="94"/>
  <c r="P105" i="94" s="1"/>
  <c r="H105" i="94"/>
  <c r="G105" i="94"/>
  <c r="O104" i="94"/>
  <c r="P104" i="94" s="1"/>
  <c r="H104" i="94"/>
  <c r="G104" i="94"/>
  <c r="O103" i="94"/>
  <c r="P103" i="94" s="1"/>
  <c r="H103" i="94"/>
  <c r="O102" i="94"/>
  <c r="P102" i="94" s="1"/>
  <c r="H102" i="94"/>
  <c r="B102" i="94"/>
  <c r="O101" i="94"/>
  <c r="P101" i="94" s="1"/>
  <c r="H101" i="94"/>
  <c r="B100" i="94"/>
  <c r="R98" i="94"/>
  <c r="Q98" i="94"/>
  <c r="O98" i="94"/>
  <c r="P98" i="94" s="1"/>
  <c r="H98" i="94"/>
  <c r="R97" i="94"/>
  <c r="Q97" i="94"/>
  <c r="O97" i="94"/>
  <c r="P97" i="94" s="1"/>
  <c r="H97" i="94"/>
  <c r="R96" i="94"/>
  <c r="Q96" i="94"/>
  <c r="O96" i="94"/>
  <c r="H96" i="94"/>
  <c r="R95" i="94"/>
  <c r="Q95" i="94"/>
  <c r="O95" i="94"/>
  <c r="P95" i="94" s="1"/>
  <c r="H95" i="94"/>
  <c r="R94" i="94"/>
  <c r="P94" i="94" s="1"/>
  <c r="Q94" i="94"/>
  <c r="O94" i="94"/>
  <c r="H94" i="94"/>
  <c r="B94" i="94"/>
  <c r="R93" i="94"/>
  <c r="Q93" i="94"/>
  <c r="O93" i="94"/>
  <c r="P93" i="94" s="1"/>
  <c r="H93" i="94"/>
  <c r="R92" i="94"/>
  <c r="Q92" i="94"/>
  <c r="O92" i="94"/>
  <c r="H92" i="94"/>
  <c r="B92" i="94"/>
  <c r="R91" i="94"/>
  <c r="Q91" i="94"/>
  <c r="O91" i="94"/>
  <c r="P91" i="94" s="1"/>
  <c r="H91" i="94"/>
  <c r="R90" i="94"/>
  <c r="Q90" i="94"/>
  <c r="O90" i="94"/>
  <c r="H90" i="94"/>
  <c r="B90" i="94"/>
  <c r="R89" i="94"/>
  <c r="Q89" i="94"/>
  <c r="O89" i="94"/>
  <c r="P89" i="94" s="1"/>
  <c r="H89" i="94"/>
  <c r="R88" i="94"/>
  <c r="P88" i="94" s="1"/>
  <c r="Q88" i="94"/>
  <c r="O88" i="94"/>
  <c r="H88" i="94"/>
  <c r="R87" i="94"/>
  <c r="Q87" i="94"/>
  <c r="O87" i="94"/>
  <c r="P87" i="94" s="1"/>
  <c r="H87" i="94"/>
  <c r="R86" i="94"/>
  <c r="P86" i="94" s="1"/>
  <c r="Q86" i="94"/>
  <c r="O86" i="94"/>
  <c r="H86" i="94"/>
  <c r="B86" i="94"/>
  <c r="R85" i="94"/>
  <c r="Q85" i="94"/>
  <c r="P85" i="94"/>
  <c r="O85" i="94"/>
  <c r="H85" i="94"/>
  <c r="R84" i="94"/>
  <c r="Q84" i="94"/>
  <c r="O84" i="94"/>
  <c r="H84" i="94"/>
  <c r="R83" i="94"/>
  <c r="Q83" i="94"/>
  <c r="O83" i="94"/>
  <c r="H83" i="94"/>
  <c r="B83" i="94"/>
  <c r="R82" i="94"/>
  <c r="Q82" i="94"/>
  <c r="O82" i="94"/>
  <c r="P82" i="94" s="1"/>
  <c r="H82" i="94"/>
  <c r="B82" i="94"/>
  <c r="R81" i="94"/>
  <c r="P81" i="94" s="1"/>
  <c r="Q81" i="94"/>
  <c r="O81" i="94"/>
  <c r="H81" i="94"/>
  <c r="B81" i="94"/>
  <c r="R80" i="94"/>
  <c r="Q80" i="94"/>
  <c r="O80" i="94"/>
  <c r="H80" i="94"/>
  <c r="B80" i="94"/>
  <c r="R79" i="94"/>
  <c r="Q79" i="94"/>
  <c r="O79" i="94"/>
  <c r="H79" i="94"/>
  <c r="B79" i="94"/>
  <c r="B78" i="94"/>
  <c r="B77" i="94"/>
  <c r="B76" i="94"/>
  <c r="B75" i="94"/>
  <c r="O74" i="94"/>
  <c r="B74" i="94"/>
  <c r="AF73" i="94"/>
  <c r="B343" i="94" s="1"/>
  <c r="AE73" i="94" a="1"/>
  <c r="AE73" i="94" s="1"/>
  <c r="B313" i="94" s="1"/>
  <c r="AD73" i="94" a="1"/>
  <c r="AD73" i="94" s="1"/>
  <c r="B283" i="94" s="1"/>
  <c r="O73" i="94"/>
  <c r="P73" i="94" s="1"/>
  <c r="B107" i="94" s="1"/>
  <c r="B73" i="94"/>
  <c r="AF72" i="94"/>
  <c r="B342" i="94" s="1"/>
  <c r="AE72" i="94" a="1"/>
  <c r="AE72" i="94" s="1"/>
  <c r="B312" i="94" s="1"/>
  <c r="AD72" i="94" a="1"/>
  <c r="AD72" i="94" s="1"/>
  <c r="B282" i="94" s="1"/>
  <c r="P72" i="94"/>
  <c r="O72" i="94"/>
  <c r="B72" i="94"/>
  <c r="AF71" i="94"/>
  <c r="B341" i="94" s="1"/>
  <c r="AE71" i="94" a="1"/>
  <c r="AE71" i="94" s="1"/>
  <c r="B311" i="94" s="1"/>
  <c r="AD71" i="94" a="1"/>
  <c r="AD71" i="94" s="1"/>
  <c r="B281" i="94" s="1"/>
  <c r="B71" i="94"/>
  <c r="AF70" i="94"/>
  <c r="B340" i="94" s="1"/>
  <c r="AE70" i="94" a="1"/>
  <c r="AE70" i="94" s="1"/>
  <c r="B310" i="94" s="1"/>
  <c r="AD70" i="94" a="1"/>
  <c r="AD70" i="94" s="1"/>
  <c r="B280" i="94" s="1"/>
  <c r="B70" i="94"/>
  <c r="AF69" i="94"/>
  <c r="B339" i="94" s="1"/>
  <c r="AE69" i="94" a="1"/>
  <c r="AE69" i="94" s="1"/>
  <c r="B309" i="94" s="1"/>
  <c r="AD69" i="94" a="1"/>
  <c r="AD69" i="94" s="1"/>
  <c r="B279" i="94" s="1"/>
  <c r="V69" i="94"/>
  <c r="O69" i="94"/>
  <c r="P69" i="94" s="1"/>
  <c r="B69" i="94"/>
  <c r="AF68" i="94"/>
  <c r="B338" i="94" s="1"/>
  <c r="AE68" i="94" a="1"/>
  <c r="AE68" i="94" s="1"/>
  <c r="B308" i="94" s="1"/>
  <c r="AD68" i="94" a="1"/>
  <c r="AD68" i="94" s="1"/>
  <c r="B278" i="94" s="1"/>
  <c r="V68" i="94"/>
  <c r="O68" i="94"/>
  <c r="P68" i="94" s="1"/>
  <c r="B68" i="94"/>
  <c r="AF67" i="94"/>
  <c r="B337" i="94" s="1"/>
  <c r="AE67" i="94" a="1"/>
  <c r="AE67" i="94" s="1"/>
  <c r="B307" i="94" s="1"/>
  <c r="AD67" i="94" a="1"/>
  <c r="AD67" i="94" s="1"/>
  <c r="B277" i="94" s="1"/>
  <c r="V67" i="94"/>
  <c r="O67" i="94"/>
  <c r="P67" i="94" s="1"/>
  <c r="B67" i="94"/>
  <c r="AF66" i="94"/>
  <c r="AE66" i="94" a="1"/>
  <c r="AE66" i="94" s="1"/>
  <c r="B306" i="94" s="1"/>
  <c r="AD66" i="94" a="1"/>
  <c r="AD66" i="94" s="1"/>
  <c r="B276" i="94" s="1"/>
  <c r="V66" i="94"/>
  <c r="O66" i="94"/>
  <c r="P66" i="94" s="1"/>
  <c r="B66" i="94"/>
  <c r="AF65" i="94"/>
  <c r="AE65" i="94" a="1"/>
  <c r="AE65" i="94" s="1"/>
  <c r="B305" i="94" s="1"/>
  <c r="AD65" i="94"/>
  <c r="B275" i="94" s="1"/>
  <c r="AD65" i="94" a="1"/>
  <c r="V65" i="94"/>
  <c r="O65" i="94"/>
  <c r="P65" i="94" s="1"/>
  <c r="B65" i="94"/>
  <c r="AF64" i="94"/>
  <c r="B334" i="94" s="1"/>
  <c r="AE64" i="94" a="1"/>
  <c r="AE64" i="94" s="1"/>
  <c r="B304" i="94" s="1"/>
  <c r="AD64" i="94" a="1"/>
  <c r="AD64" i="94" s="1"/>
  <c r="B274" i="94" s="1"/>
  <c r="V64" i="94"/>
  <c r="P64" i="94"/>
  <c r="B44" i="94" s="1"/>
  <c r="O64" i="94"/>
  <c r="B64" i="94"/>
  <c r="AF63" i="94"/>
  <c r="B333" i="94" s="1"/>
  <c r="AE63" i="94" a="1"/>
  <c r="AE63" i="94" s="1"/>
  <c r="B303" i="94" s="1"/>
  <c r="AD63" i="94" a="1"/>
  <c r="AD63" i="94" s="1"/>
  <c r="B273" i="94" s="1"/>
  <c r="V63" i="94"/>
  <c r="O63" i="94"/>
  <c r="P63" i="94" s="1"/>
  <c r="B43" i="94" s="1"/>
  <c r="B63" i="94"/>
  <c r="AF62" i="94"/>
  <c r="B332" i="94" s="1"/>
  <c r="AE62" i="94" a="1"/>
  <c r="AE62" i="94" s="1"/>
  <c r="B302" i="94" s="1"/>
  <c r="AD62" i="94" a="1"/>
  <c r="AD62" i="94" s="1"/>
  <c r="B272" i="94" s="1"/>
  <c r="V62" i="94"/>
  <c r="O62" i="94"/>
  <c r="P62" i="94" s="1"/>
  <c r="B62" i="94"/>
  <c r="AF61" i="94"/>
  <c r="B331" i="94" s="1"/>
  <c r="AE61" i="94" a="1"/>
  <c r="AE61" i="94" s="1"/>
  <c r="B301" i="94" s="1"/>
  <c r="AD61" i="94" a="1"/>
  <c r="AD61" i="94" s="1"/>
  <c r="B271" i="94" s="1"/>
  <c r="B61" i="94"/>
  <c r="AF60" i="94"/>
  <c r="B330" i="94" s="1"/>
  <c r="AE60" i="94" a="1"/>
  <c r="AE60" i="94" s="1"/>
  <c r="B300" i="94" s="1"/>
  <c r="AD60" i="94" a="1"/>
  <c r="AD60" i="94" s="1"/>
  <c r="B270" i="94" s="1"/>
  <c r="B60" i="94"/>
  <c r="AF59" i="94"/>
  <c r="B329" i="94" s="1"/>
  <c r="AE59" i="94" a="1"/>
  <c r="AE59" i="94" s="1"/>
  <c r="B299" i="94" s="1"/>
  <c r="AD59" i="94" a="1"/>
  <c r="AD59" i="94" s="1"/>
  <c r="B269" i="94" s="1"/>
  <c r="V59" i="94"/>
  <c r="O59" i="94"/>
  <c r="P59" i="94" s="1"/>
  <c r="AF58" i="94"/>
  <c r="B328" i="94" s="1"/>
  <c r="AE58" i="94" a="1"/>
  <c r="AE58" i="94" s="1"/>
  <c r="B298" i="94" s="1"/>
  <c r="AD58" i="94" a="1"/>
  <c r="AD58" i="94" s="1"/>
  <c r="B268" i="94" s="1"/>
  <c r="V58" i="94"/>
  <c r="O58" i="94"/>
  <c r="P58" i="94" s="1"/>
  <c r="AF57" i="94"/>
  <c r="B327" i="94" s="1"/>
  <c r="AE57" i="94" a="1"/>
  <c r="AE57" i="94" s="1"/>
  <c r="B297" i="94" s="1"/>
  <c r="AD57" i="94" a="1"/>
  <c r="AD57" i="94" s="1"/>
  <c r="B267" i="94" s="1"/>
  <c r="V57" i="94"/>
  <c r="O57" i="94"/>
  <c r="P57" i="94" s="1"/>
  <c r="AF56" i="94"/>
  <c r="B326" i="94" s="1"/>
  <c r="AE56" i="94" a="1"/>
  <c r="AE56" i="94" s="1"/>
  <c r="B296" i="94" s="1"/>
  <c r="AD56" i="94"/>
  <c r="B266" i="94" s="1"/>
  <c r="AD56" i="94" a="1"/>
  <c r="V56" i="94"/>
  <c r="O56" i="94"/>
  <c r="P56" i="94" s="1"/>
  <c r="AF55" i="94"/>
  <c r="B325" i="94" s="1"/>
  <c r="AE55" i="94" a="1"/>
  <c r="AE55" i="94" s="1"/>
  <c r="B295" i="94" s="1"/>
  <c r="AD55" i="94" a="1"/>
  <c r="AD55" i="94" s="1"/>
  <c r="B265" i="94" s="1"/>
  <c r="V55" i="94"/>
  <c r="O55" i="94"/>
  <c r="P55" i="94" s="1"/>
  <c r="AJ23" i="94" s="1"/>
  <c r="AK23" i="94" s="1"/>
  <c r="AF54" i="94"/>
  <c r="B324" i="94" s="1"/>
  <c r="AE54" i="94" a="1"/>
  <c r="AE54" i="94" s="1"/>
  <c r="B294" i="94" s="1"/>
  <c r="AD54" i="94" a="1"/>
  <c r="AD54" i="94" s="1"/>
  <c r="B264" i="94" s="1"/>
  <c r="V54" i="94"/>
  <c r="O54" i="94"/>
  <c r="P54" i="94" s="1"/>
  <c r="AF53" i="94"/>
  <c r="B323" i="94" s="1"/>
  <c r="AE53" i="94" a="1"/>
  <c r="AE53" i="94" s="1"/>
  <c r="B293" i="94" s="1"/>
  <c r="AD53" i="94" a="1"/>
  <c r="AD53" i="94" s="1"/>
  <c r="B263" i="94" s="1"/>
  <c r="V53" i="94"/>
  <c r="O53" i="94"/>
  <c r="P53" i="94" s="1"/>
  <c r="AF52" i="94"/>
  <c r="B322" i="94" s="1"/>
  <c r="AE52" i="94" a="1"/>
  <c r="AE52" i="94" s="1"/>
  <c r="B292" i="94" s="1"/>
  <c r="AD52" i="94" a="1"/>
  <c r="AD52" i="94" s="1"/>
  <c r="B262" i="94" s="1"/>
  <c r="V52" i="94"/>
  <c r="O52" i="94"/>
  <c r="P52" i="94" s="1"/>
  <c r="B52" i="94"/>
  <c r="AF51" i="94"/>
  <c r="B321" i="94" s="1"/>
  <c r="AE51" i="94" a="1"/>
  <c r="AE51" i="94" s="1"/>
  <c r="B291" i="94" s="1"/>
  <c r="AD51" i="94" a="1"/>
  <c r="AD51" i="94" s="1"/>
  <c r="B261" i="94" s="1"/>
  <c r="B51" i="94"/>
  <c r="AF50" i="94"/>
  <c r="AE50" i="94" a="1"/>
  <c r="AE50" i="94" s="1"/>
  <c r="B290" i="94" s="1"/>
  <c r="AD50" i="94" a="1"/>
  <c r="AD50" i="94" s="1"/>
  <c r="B260" i="94" s="1"/>
  <c r="AF49" i="94"/>
  <c r="AE49" i="94" a="1"/>
  <c r="AE49" i="94" s="1"/>
  <c r="B289" i="94" s="1"/>
  <c r="AD49" i="94" a="1"/>
  <c r="AD49" i="94" s="1"/>
  <c r="B259" i="94" s="1"/>
  <c r="V49" i="94"/>
  <c r="P49" i="94"/>
  <c r="B33" i="94" s="1"/>
  <c r="O49" i="94"/>
  <c r="V48" i="94"/>
  <c r="O48" i="94"/>
  <c r="P48" i="94" s="1"/>
  <c r="V47" i="94"/>
  <c r="P47" i="94"/>
  <c r="AJ35" i="94" s="1"/>
  <c r="AK35" i="94" s="1"/>
  <c r="O47" i="94"/>
  <c r="V46" i="94"/>
  <c r="O46" i="94"/>
  <c r="P46" i="94" s="1"/>
  <c r="V45" i="94"/>
  <c r="P45" i="94"/>
  <c r="O45" i="94"/>
  <c r="V44" i="94"/>
  <c r="O44" i="94"/>
  <c r="P44" i="94" s="1"/>
  <c r="AJ43" i="94"/>
  <c r="AK43" i="94" s="1"/>
  <c r="V43" i="94"/>
  <c r="P43" i="94"/>
  <c r="O43" i="94"/>
  <c r="V42" i="94"/>
  <c r="O42" i="94"/>
  <c r="P42" i="94" s="1"/>
  <c r="AJ2" i="94" s="1"/>
  <c r="AK2" i="94" s="1"/>
  <c r="AA41" i="94"/>
  <c r="Z41" i="94" s="1"/>
  <c r="AA40" i="94"/>
  <c r="Z40" i="94" s="1"/>
  <c r="AA39" i="94"/>
  <c r="Z39" i="94" s="1"/>
  <c r="AA38" i="94"/>
  <c r="Z38" i="94" s="1"/>
  <c r="V38" i="94"/>
  <c r="P38" i="94"/>
  <c r="AJ10" i="94" s="1"/>
  <c r="AK10" i="94" s="1"/>
  <c r="O38" i="94"/>
  <c r="AA37" i="94"/>
  <c r="Z37" i="94" s="1"/>
  <c r="V37" i="94"/>
  <c r="O37" i="94"/>
  <c r="P37" i="94"/>
  <c r="AJ31" i="94" s="1"/>
  <c r="AK31" i="94" s="1"/>
  <c r="AA36" i="94"/>
  <c r="Z36" i="94" s="1"/>
  <c r="V36" i="94"/>
  <c r="O36" i="94"/>
  <c r="P36" i="94"/>
  <c r="B23" i="94" s="1"/>
  <c r="AA35" i="94"/>
  <c r="Z35" i="94" s="1"/>
  <c r="AA34" i="94"/>
  <c r="Z34" i="94" s="1"/>
  <c r="AA33" i="94"/>
  <c r="Z33" i="94" s="1"/>
  <c r="O33" i="94"/>
  <c r="P33" i="94" s="1"/>
  <c r="AA32" i="94"/>
  <c r="Z32" i="94" s="1"/>
  <c r="V32" i="94"/>
  <c r="P32" i="94"/>
  <c r="AJ17" i="94" s="1"/>
  <c r="AK17" i="94" s="1"/>
  <c r="O32" i="94"/>
  <c r="AF31" i="94"/>
  <c r="B174" i="94" s="1"/>
  <c r="AD31" i="94"/>
  <c r="B144" i="94" s="1"/>
  <c r="AA31" i="94"/>
  <c r="Z31" i="94" s="1"/>
  <c r="O31" i="94"/>
  <c r="P31" i="94"/>
  <c r="B31" i="94"/>
  <c r="AF30" i="94"/>
  <c r="AD30" i="94"/>
  <c r="B143" i="94" s="1"/>
  <c r="AA30" i="94"/>
  <c r="Z30" i="94" s="1"/>
  <c r="AF29" i="94"/>
  <c r="B172" i="94" s="1"/>
  <c r="AD29" i="94"/>
  <c r="B142" i="94" s="1"/>
  <c r="AA29" i="94"/>
  <c r="Z29" i="94" s="1"/>
  <c r="B29" i="94"/>
  <c r="AJ28" i="94"/>
  <c r="AK28" i="94" s="1"/>
  <c r="AF28" i="94"/>
  <c r="B171" i="94" s="1"/>
  <c r="AD28" i="94"/>
  <c r="B141" i="94" s="1"/>
  <c r="AA28" i="94"/>
  <c r="Z28" i="94" s="1"/>
  <c r="V28" i="94"/>
  <c r="O28" i="94"/>
  <c r="AF27" i="94"/>
  <c r="B170" i="94" s="1"/>
  <c r="AD27" i="94"/>
  <c r="B140" i="94" s="1"/>
  <c r="AA27" i="94"/>
  <c r="Z27" i="94" s="1"/>
  <c r="V27" i="94"/>
  <c r="P27" i="94"/>
  <c r="AJ58" i="94" s="1"/>
  <c r="AK58" i="94" s="1"/>
  <c r="O27" i="94"/>
  <c r="AF26" i="94"/>
  <c r="B169" i="94" s="1"/>
  <c r="AD26" i="94"/>
  <c r="B139" i="94" s="1"/>
  <c r="AA26" i="94"/>
  <c r="Z26" i="94" s="1"/>
  <c r="V26" i="94"/>
  <c r="O26" i="94"/>
  <c r="P26" i="94" s="1"/>
  <c r="AF25" i="94"/>
  <c r="B168" i="94" s="1"/>
  <c r="AD25" i="94"/>
  <c r="B138" i="94" s="1"/>
  <c r="AA25" i="94"/>
  <c r="Z25" i="94" s="1"/>
  <c r="AF24" i="94"/>
  <c r="B167" i="94" s="1"/>
  <c r="AD24" i="94"/>
  <c r="B137" i="94" s="1"/>
  <c r="AA24" i="94"/>
  <c r="Z24" i="94" s="1"/>
  <c r="AF23" i="94"/>
  <c r="B166" i="94" s="1"/>
  <c r="AD23" i="94"/>
  <c r="B136" i="94" s="1"/>
  <c r="AA23" i="94"/>
  <c r="Z23" i="94" s="1"/>
  <c r="N23" i="94"/>
  <c r="N8" i="94" s="1"/>
  <c r="AJ22" i="94"/>
  <c r="AK22" i="94" s="1"/>
  <c r="AF22" i="94"/>
  <c r="B165" i="94" s="1"/>
  <c r="AD22" i="94"/>
  <c r="B135" i="94" s="1"/>
  <c r="AA22" i="94"/>
  <c r="Z22" i="94" s="1"/>
  <c r="AF21" i="94"/>
  <c r="B164" i="94" s="1"/>
  <c r="AD21" i="94"/>
  <c r="B134" i="94" s="1"/>
  <c r="AA21" i="94"/>
  <c r="N21" i="94"/>
  <c r="AF20" i="94"/>
  <c r="AD20" i="94"/>
  <c r="B133" i="94" s="1"/>
  <c r="AA20" i="94"/>
  <c r="N20" i="94"/>
  <c r="AF19" i="94"/>
  <c r="B162" i="94" s="1"/>
  <c r="AD19" i="94"/>
  <c r="B132" i="94" s="1"/>
  <c r="AA19" i="94"/>
  <c r="N19" i="94"/>
  <c r="AF18" i="94"/>
  <c r="B161" i="94" s="1"/>
  <c r="AD18" i="94"/>
  <c r="B131" i="94" s="1"/>
  <c r="AA18" i="94"/>
  <c r="N18" i="94"/>
  <c r="AF17" i="94"/>
  <c r="B160" i="94" s="1"/>
  <c r="AD17" i="94"/>
  <c r="B130" i="94" s="1"/>
  <c r="AA17" i="94"/>
  <c r="N17" i="94"/>
  <c r="AF16" i="94"/>
  <c r="B159" i="94" s="1"/>
  <c r="AD16" i="94"/>
  <c r="B129" i="94" s="1"/>
  <c r="AA16" i="94"/>
  <c r="B16" i="94"/>
  <c r="AF15" i="94"/>
  <c r="B158" i="94" s="1"/>
  <c r="AD15" i="94"/>
  <c r="B128" i="94" s="1"/>
  <c r="AA15" i="94"/>
  <c r="B15" i="94"/>
  <c r="AF14" i="94"/>
  <c r="AD14" i="94"/>
  <c r="B127" i="94" s="1"/>
  <c r="AA14" i="94"/>
  <c r="B14" i="94"/>
  <c r="AF13" i="94"/>
  <c r="B156" i="94" s="1"/>
  <c r="AD13" i="94"/>
  <c r="B126" i="94" s="1"/>
  <c r="AA13" i="94"/>
  <c r="AF12" i="94"/>
  <c r="AD12" i="94"/>
  <c r="B125" i="94" s="1"/>
  <c r="AA12" i="94"/>
  <c r="N12" i="94"/>
  <c r="B12" i="94"/>
  <c r="B13" i="94" s="1"/>
  <c r="AF11" i="94"/>
  <c r="B154" i="94" s="1"/>
  <c r="AD11" i="94"/>
  <c r="B124" i="94" s="1"/>
  <c r="AA11" i="94"/>
  <c r="N11" i="94"/>
  <c r="B11" i="94"/>
  <c r="AF10" i="94"/>
  <c r="B153" i="94" s="1"/>
  <c r="AD10" i="94"/>
  <c r="B123" i="94" s="1"/>
  <c r="AA10" i="94"/>
  <c r="N10" i="94"/>
  <c r="AF9" i="94"/>
  <c r="B152" i="94" s="1"/>
  <c r="AD9" i="94"/>
  <c r="B122" i="94" s="1"/>
  <c r="AA9" i="94"/>
  <c r="B9" i="94"/>
  <c r="B10" i="94" s="1"/>
  <c r="AF8" i="94"/>
  <c r="B151" i="94" s="1"/>
  <c r="AD8" i="94"/>
  <c r="B121" i="94" s="1"/>
  <c r="AA8" i="94"/>
  <c r="G8" i="94"/>
  <c r="D8" i="94"/>
  <c r="B8" i="94"/>
  <c r="AJ7" i="94"/>
  <c r="AK7" i="94" s="1"/>
  <c r="AF7" i="94"/>
  <c r="B150" i="94" s="1"/>
  <c r="AD7" i="94"/>
  <c r="B120" i="94" s="1"/>
  <c r="AA7" i="94"/>
  <c r="D7" i="94"/>
  <c r="B7" i="94"/>
  <c r="AF6" i="94"/>
  <c r="B149" i="94" s="1"/>
  <c r="AD6" i="94"/>
  <c r="B119" i="94" s="1"/>
  <c r="AA6" i="94"/>
  <c r="B6" i="94"/>
  <c r="AF5" i="94"/>
  <c r="B148" i="94" s="1"/>
  <c r="AD5" i="94"/>
  <c r="B118" i="94" s="1"/>
  <c r="AA5" i="94"/>
  <c r="B5" i="94"/>
  <c r="AA4" i="94"/>
  <c r="N4" i="94"/>
  <c r="B2" i="94"/>
  <c r="M124" i="93"/>
  <c r="P124" i="93" s="1"/>
  <c r="B84" i="93" s="1"/>
  <c r="L61" i="93"/>
  <c r="L51" i="93"/>
  <c r="L41" i="93"/>
  <c r="L35" i="93"/>
  <c r="L30" i="93"/>
  <c r="L25" i="93"/>
  <c r="M218" i="93"/>
  <c r="M191" i="93"/>
  <c r="M190" i="93"/>
  <c r="P190" i="93" s="1"/>
  <c r="M189" i="93"/>
  <c r="M187" i="93"/>
  <c r="L164" i="93"/>
  <c r="N163" i="93"/>
  <c r="N11" i="93" s="1"/>
  <c r="L78" i="93"/>
  <c r="N77" i="93"/>
  <c r="N71" i="93"/>
  <c r="N40" i="93"/>
  <c r="B364" i="93"/>
  <c r="B363" i="93"/>
  <c r="B362" i="93"/>
  <c r="B361" i="93"/>
  <c r="B360" i="93"/>
  <c r="B359" i="93"/>
  <c r="B358" i="93"/>
  <c r="B357" i="93"/>
  <c r="B338" i="93"/>
  <c r="B337" i="93"/>
  <c r="B322" i="93"/>
  <c r="B321" i="93"/>
  <c r="E283" i="93"/>
  <c r="E284" i="93" s="1"/>
  <c r="E285" i="93" s="1"/>
  <c r="E286" i="93" s="1"/>
  <c r="E287" i="93" s="1"/>
  <c r="E288" i="93" s="1"/>
  <c r="E289" i="93" s="1"/>
  <c r="E290" i="93" s="1"/>
  <c r="E291" i="93" s="1"/>
  <c r="E292" i="93" s="1"/>
  <c r="E293" i="93" s="1"/>
  <c r="E294" i="93" s="1"/>
  <c r="E295" i="93" s="1"/>
  <c r="E296" i="93" s="1"/>
  <c r="E297" i="93" s="1"/>
  <c r="E298" i="93" s="1"/>
  <c r="E299" i="93" s="1"/>
  <c r="E300" i="93" s="1"/>
  <c r="E301" i="93" s="1"/>
  <c r="E302" i="93" s="1"/>
  <c r="E303" i="93" s="1"/>
  <c r="E304" i="93" s="1"/>
  <c r="E305" i="93" s="1"/>
  <c r="E306" i="93" s="1"/>
  <c r="E307" i="93" s="1"/>
  <c r="E308" i="93" s="1"/>
  <c r="E309" i="93" s="1"/>
  <c r="E310" i="93" s="1"/>
  <c r="E311" i="93" s="1"/>
  <c r="E312" i="93" s="1"/>
  <c r="E313" i="93" s="1"/>
  <c r="E314" i="93" s="1"/>
  <c r="E315" i="93" s="1"/>
  <c r="E316" i="93" s="1"/>
  <c r="E282" i="93"/>
  <c r="E281" i="93"/>
  <c r="B265" i="93"/>
  <c r="H238" i="93"/>
  <c r="H237" i="93"/>
  <c r="H236" i="93"/>
  <c r="F234" i="93"/>
  <c r="H234" i="93" s="1"/>
  <c r="P218" i="93"/>
  <c r="B354" i="93" s="1"/>
  <c r="B216" i="93"/>
  <c r="R215" i="93"/>
  <c r="Q215" i="93"/>
  <c r="O215" i="93"/>
  <c r="P215" i="93" s="1"/>
  <c r="H215" i="93"/>
  <c r="G215" i="93"/>
  <c r="B215" i="93"/>
  <c r="R214" i="93"/>
  <c r="Q214" i="93"/>
  <c r="P214" i="93"/>
  <c r="O214" i="93"/>
  <c r="H214" i="93"/>
  <c r="G214" i="93"/>
  <c r="B214" i="93"/>
  <c r="R213" i="93"/>
  <c r="Q213" i="93"/>
  <c r="O213" i="93"/>
  <c r="P213" i="93" s="1"/>
  <c r="H213" i="93"/>
  <c r="G213" i="93"/>
  <c r="B213" i="93"/>
  <c r="R212" i="93"/>
  <c r="Q212" i="93"/>
  <c r="O212" i="93"/>
  <c r="P212" i="93" s="1"/>
  <c r="H212" i="93"/>
  <c r="G212" i="93"/>
  <c r="B212" i="93"/>
  <c r="R211" i="93"/>
  <c r="Q211" i="93"/>
  <c r="O211" i="93"/>
  <c r="P211" i="93" s="1"/>
  <c r="H211" i="93"/>
  <c r="G211" i="93"/>
  <c r="B211" i="93"/>
  <c r="R210" i="93"/>
  <c r="Q210" i="93"/>
  <c r="O210" i="93"/>
  <c r="P210" i="93" s="1"/>
  <c r="H210" i="93"/>
  <c r="G210" i="93"/>
  <c r="B210" i="93"/>
  <c r="R209" i="93"/>
  <c r="Q209" i="93"/>
  <c r="P209" i="93"/>
  <c r="O209" i="93"/>
  <c r="H209" i="93"/>
  <c r="G209" i="93"/>
  <c r="B209" i="93"/>
  <c r="R208" i="93"/>
  <c r="Q208" i="93"/>
  <c r="O208" i="93"/>
  <c r="H208" i="93"/>
  <c r="G208" i="93"/>
  <c r="B208" i="93"/>
  <c r="R207" i="93"/>
  <c r="Q207" i="93"/>
  <c r="O207" i="93"/>
  <c r="H207" i="93"/>
  <c r="G207" i="93"/>
  <c r="B207" i="93"/>
  <c r="R206" i="93"/>
  <c r="Q206" i="93"/>
  <c r="O206" i="93"/>
  <c r="P206" i="93" s="1"/>
  <c r="H206" i="93"/>
  <c r="G206" i="93"/>
  <c r="B206" i="93"/>
  <c r="B205" i="93"/>
  <c r="B204" i="93"/>
  <c r="R203" i="93"/>
  <c r="O203" i="93"/>
  <c r="G203" i="93"/>
  <c r="B203" i="93"/>
  <c r="R202" i="93"/>
  <c r="O202" i="93"/>
  <c r="G202" i="93"/>
  <c r="Z120" i="93" s="1"/>
  <c r="B202" i="93"/>
  <c r="R201" i="93"/>
  <c r="O201" i="93"/>
  <c r="G201" i="93"/>
  <c r="B201" i="93"/>
  <c r="R200" i="93"/>
  <c r="O200" i="93"/>
  <c r="P200" i="93" s="1"/>
  <c r="AA118" i="93" s="1"/>
  <c r="G200" i="93"/>
  <c r="R199" i="93"/>
  <c r="P199" i="93" s="1"/>
  <c r="AA117" i="93" s="1"/>
  <c r="O199" i="93"/>
  <c r="G199" i="93"/>
  <c r="Z117" i="93" s="1"/>
  <c r="R198" i="93"/>
  <c r="P198" i="93"/>
  <c r="AA116" i="93" s="1"/>
  <c r="O198" i="93"/>
  <c r="G198" i="93"/>
  <c r="R197" i="93"/>
  <c r="O197" i="93"/>
  <c r="P197" i="93" s="1"/>
  <c r="AA115" i="93" s="1"/>
  <c r="G197" i="93"/>
  <c r="R196" i="93"/>
  <c r="P196" i="93"/>
  <c r="AA114" i="93" s="1"/>
  <c r="O196" i="93"/>
  <c r="G196" i="93"/>
  <c r="B196" i="93"/>
  <c r="R195" i="93"/>
  <c r="O195" i="93"/>
  <c r="G195" i="93"/>
  <c r="B195" i="93"/>
  <c r="R194" i="93"/>
  <c r="P194" i="93" s="1"/>
  <c r="AA112" i="93" s="1"/>
  <c r="O194" i="93"/>
  <c r="G194" i="93"/>
  <c r="B194" i="93"/>
  <c r="B193" i="93"/>
  <c r="B192" i="93"/>
  <c r="O191" i="93"/>
  <c r="B191" i="93"/>
  <c r="R190" i="93"/>
  <c r="O190" i="93"/>
  <c r="B190" i="93"/>
  <c r="O189" i="93"/>
  <c r="B189" i="93"/>
  <c r="O188" i="93"/>
  <c r="B188" i="93"/>
  <c r="O187" i="93"/>
  <c r="B187" i="93"/>
  <c r="B186" i="93"/>
  <c r="O185" i="93"/>
  <c r="P185" i="93" s="1"/>
  <c r="L193" i="93" s="1"/>
  <c r="I185" i="93"/>
  <c r="B185" i="93"/>
  <c r="O184" i="93"/>
  <c r="P184" i="93" s="1"/>
  <c r="I184" i="93"/>
  <c r="B184" i="93"/>
  <c r="B183" i="93"/>
  <c r="B182" i="93"/>
  <c r="R181" i="93"/>
  <c r="O181" i="93"/>
  <c r="P181" i="93" s="1"/>
  <c r="AA86" i="93" s="1"/>
  <c r="H181" i="93"/>
  <c r="B181" i="93"/>
  <c r="R180" i="93"/>
  <c r="O180" i="93"/>
  <c r="P180" i="93" s="1"/>
  <c r="AA85" i="93" s="1"/>
  <c r="H180" i="93"/>
  <c r="R179" i="93"/>
  <c r="O179" i="93"/>
  <c r="H179" i="93"/>
  <c r="R178" i="93"/>
  <c r="O178" i="93"/>
  <c r="P178" i="93" s="1"/>
  <c r="AA83" i="93" s="1"/>
  <c r="H178" i="93"/>
  <c r="R177" i="93"/>
  <c r="O177" i="93"/>
  <c r="H177" i="93"/>
  <c r="I164" i="93"/>
  <c r="H164" i="93"/>
  <c r="G164" i="93"/>
  <c r="F164" i="93"/>
  <c r="B164" i="93"/>
  <c r="B162" i="93"/>
  <c r="O161" i="93"/>
  <c r="P161" i="93" s="1"/>
  <c r="P160" i="93"/>
  <c r="AE155" i="93" s="1"/>
  <c r="O160" i="93"/>
  <c r="R157" i="93"/>
  <c r="Q157" i="93"/>
  <c r="O157" i="93"/>
  <c r="P157" i="93" s="1"/>
  <c r="H157" i="93"/>
  <c r="G157" i="93"/>
  <c r="R156" i="93"/>
  <c r="Q156" i="93"/>
  <c r="O156" i="93"/>
  <c r="P156" i="93" s="1"/>
  <c r="H156" i="93"/>
  <c r="G156" i="93"/>
  <c r="R155" i="93"/>
  <c r="Q155" i="93"/>
  <c r="P155" i="93"/>
  <c r="O155" i="93"/>
  <c r="H155" i="93"/>
  <c r="G155" i="93"/>
  <c r="R154" i="93"/>
  <c r="Q154" i="93"/>
  <c r="O154" i="93"/>
  <c r="H154" i="93"/>
  <c r="G154" i="93"/>
  <c r="AF153" i="93" a="1"/>
  <c r="AF153" i="93" s="1"/>
  <c r="B236" i="93" s="1"/>
  <c r="AE153" i="93"/>
  <c r="R153" i="93"/>
  <c r="Q153" i="93"/>
  <c r="O153" i="93"/>
  <c r="P153" i="93" s="1"/>
  <c r="H153" i="93"/>
  <c r="G153" i="93"/>
  <c r="AF152" i="93" a="1"/>
  <c r="AF152" i="93" s="1"/>
  <c r="B235" i="93" s="1"/>
  <c r="AE152" i="93"/>
  <c r="R152" i="93"/>
  <c r="Q152" i="93"/>
  <c r="O152" i="93"/>
  <c r="P152" i="93" s="1"/>
  <c r="H152" i="93"/>
  <c r="G152" i="93"/>
  <c r="AF151" i="93" a="1"/>
  <c r="AF151" i="93" s="1"/>
  <c r="B234" i="93" s="1"/>
  <c r="AE151" i="93"/>
  <c r="R151" i="93"/>
  <c r="Q151" i="93"/>
  <c r="P151" i="93"/>
  <c r="O151" i="93"/>
  <c r="H151" i="93"/>
  <c r="G151" i="93"/>
  <c r="AF150" i="93" a="1"/>
  <c r="AF150" i="93" s="1"/>
  <c r="B233" i="93" s="1"/>
  <c r="AE150" i="93"/>
  <c r="R150" i="93"/>
  <c r="Q150" i="93"/>
  <c r="O150" i="93"/>
  <c r="P150" i="93" s="1"/>
  <c r="H150" i="93"/>
  <c r="G150" i="93"/>
  <c r="AF149" i="93"/>
  <c r="B232" i="93" s="1"/>
  <c r="AF149" i="93" a="1"/>
  <c r="AE149" i="93"/>
  <c r="R149" i="93"/>
  <c r="Q149" i="93"/>
  <c r="O149" i="93"/>
  <c r="P149" i="93" s="1"/>
  <c r="H149" i="93"/>
  <c r="G149" i="93"/>
  <c r="B149" i="93"/>
  <c r="AF148" i="93" a="1"/>
  <c r="AF148" i="93" s="1"/>
  <c r="B231" i="93" s="1"/>
  <c r="AE148" i="93"/>
  <c r="R148" i="93"/>
  <c r="Q148" i="93"/>
  <c r="O148" i="93"/>
  <c r="P148" i="93" s="1"/>
  <c r="H148" i="93"/>
  <c r="G148" i="93"/>
  <c r="AF147" i="93" a="1"/>
  <c r="AF147" i="93" s="1"/>
  <c r="B230" i="93" s="1"/>
  <c r="AE147" i="93"/>
  <c r="R147" i="93"/>
  <c r="Q147" i="93"/>
  <c r="O147" i="93"/>
  <c r="H147" i="93"/>
  <c r="G147" i="93"/>
  <c r="AF146" i="93" a="1"/>
  <c r="AF146" i="93" s="1"/>
  <c r="B229" i="93" s="1"/>
  <c r="AE146" i="93"/>
  <c r="R146" i="93"/>
  <c r="Q146" i="93"/>
  <c r="O146" i="93"/>
  <c r="P146" i="93" s="1"/>
  <c r="H146" i="93"/>
  <c r="G146" i="93"/>
  <c r="B146" i="93"/>
  <c r="AF145" i="93" a="1"/>
  <c r="AF145" i="93" s="1"/>
  <c r="B228" i="93" s="1"/>
  <c r="AE145" i="93"/>
  <c r="R145" i="93"/>
  <c r="Q145" i="93"/>
  <c r="O145" i="93"/>
  <c r="P145" i="93" s="1"/>
  <c r="H145" i="93"/>
  <c r="G145" i="93"/>
  <c r="AF144" i="93" a="1"/>
  <c r="AF144" i="93" s="1"/>
  <c r="B227" i="93" s="1"/>
  <c r="AE144" i="93"/>
  <c r="R144" i="93"/>
  <c r="P144" i="93" s="1"/>
  <c r="Q144" i="93"/>
  <c r="O144" i="93"/>
  <c r="H144" i="93"/>
  <c r="AF143" i="93" a="1"/>
  <c r="AF143" i="93" s="1"/>
  <c r="B226" i="93" s="1"/>
  <c r="AE143" i="93"/>
  <c r="R143" i="93"/>
  <c r="Q143" i="93"/>
  <c r="O143" i="93"/>
  <c r="P143" i="93" s="1"/>
  <c r="H143" i="93"/>
  <c r="G143" i="93"/>
  <c r="AF142" i="93" a="1"/>
  <c r="AF142" i="93" s="1"/>
  <c r="B225" i="93" s="1"/>
  <c r="AE142" i="93"/>
  <c r="R142" i="93"/>
  <c r="Q142" i="93"/>
  <c r="O142" i="93"/>
  <c r="P142" i="93" s="1"/>
  <c r="H142" i="93"/>
  <c r="AF141" i="93" a="1"/>
  <c r="AF141" i="93" s="1"/>
  <c r="B224" i="93" s="1"/>
  <c r="AE141" i="93"/>
  <c r="R141" i="93"/>
  <c r="Q141" i="93"/>
  <c r="O141" i="93"/>
  <c r="P141" i="93" s="1"/>
  <c r="H141" i="93"/>
  <c r="AF140" i="93"/>
  <c r="B223" i="93" s="1"/>
  <c r="AF140" i="93" a="1"/>
  <c r="AE140" i="93"/>
  <c r="R140" i="93"/>
  <c r="Q140" i="93"/>
  <c r="O140" i="93"/>
  <c r="H140" i="93"/>
  <c r="AF139" i="93" a="1"/>
  <c r="AF139" i="93" s="1"/>
  <c r="B222" i="93" s="1"/>
  <c r="AE139" i="93"/>
  <c r="R139" i="93"/>
  <c r="Q139" i="93"/>
  <c r="P139" i="93"/>
  <c r="O139" i="93"/>
  <c r="H139" i="93"/>
  <c r="AF138" i="93"/>
  <c r="B221" i="93" s="1"/>
  <c r="AF138" i="93" a="1"/>
  <c r="AE138" i="93"/>
  <c r="R138" i="93"/>
  <c r="Q138" i="93"/>
  <c r="O138" i="93"/>
  <c r="H138" i="93"/>
  <c r="H137" i="93"/>
  <c r="R135" i="93"/>
  <c r="Q135" i="93"/>
  <c r="O135" i="93"/>
  <c r="P135" i="93" s="1"/>
  <c r="B98" i="93" s="1"/>
  <c r="R134" i="93"/>
  <c r="Q134" i="93"/>
  <c r="O134" i="93"/>
  <c r="P134" i="93" s="1"/>
  <c r="B97" i="93" s="1"/>
  <c r="R133" i="93"/>
  <c r="Q133" i="93"/>
  <c r="O133" i="93"/>
  <c r="P133" i="93" s="1"/>
  <c r="B96" i="93" s="1"/>
  <c r="R132" i="93"/>
  <c r="Q132" i="93"/>
  <c r="P132" i="93"/>
  <c r="O132" i="93"/>
  <c r="P129" i="93"/>
  <c r="P128" i="93"/>
  <c r="B92" i="93" s="1"/>
  <c r="P127" i="93"/>
  <c r="B90" i="93" s="1"/>
  <c r="R126" i="93"/>
  <c r="P126" i="93"/>
  <c r="R129" i="93" s="1"/>
  <c r="B87" i="93"/>
  <c r="P125" i="93"/>
  <c r="Z121" i="93"/>
  <c r="P120" i="93"/>
  <c r="O120" i="93"/>
  <c r="H120" i="93"/>
  <c r="G120" i="93"/>
  <c r="Z119" i="93"/>
  <c r="O119" i="93"/>
  <c r="P119" i="93" s="1"/>
  <c r="H119" i="93"/>
  <c r="G119" i="93"/>
  <c r="Z118" i="93"/>
  <c r="P118" i="93"/>
  <c r="O118" i="93"/>
  <c r="H118" i="93"/>
  <c r="G118" i="93"/>
  <c r="O117" i="93"/>
  <c r="P117" i="93" s="1"/>
  <c r="H117" i="93"/>
  <c r="G117" i="93"/>
  <c r="Z116" i="93"/>
  <c r="O116" i="93"/>
  <c r="P116" i="93" s="1"/>
  <c r="H116" i="93"/>
  <c r="G116" i="93"/>
  <c r="Z115" i="93"/>
  <c r="P115" i="93"/>
  <c r="O115" i="93"/>
  <c r="H115" i="93"/>
  <c r="G115" i="93"/>
  <c r="Z114" i="93"/>
  <c r="O114" i="93"/>
  <c r="P114" i="93" s="1"/>
  <c r="H114" i="93"/>
  <c r="G114" i="93"/>
  <c r="B114" i="93"/>
  <c r="Z113" i="93"/>
  <c r="O113" i="93"/>
  <c r="P113" i="93" s="1"/>
  <c r="H113" i="93"/>
  <c r="G113" i="93"/>
  <c r="Z112" i="93"/>
  <c r="P112" i="93"/>
  <c r="O112" i="93"/>
  <c r="H112" i="93"/>
  <c r="G112" i="93"/>
  <c r="O111" i="93"/>
  <c r="P111" i="93" s="1"/>
  <c r="H111" i="93"/>
  <c r="G111" i="93"/>
  <c r="O110" i="93"/>
  <c r="P110" i="93" s="1"/>
  <c r="H110" i="93"/>
  <c r="G110" i="93"/>
  <c r="O109" i="93"/>
  <c r="P109" i="93" s="1"/>
  <c r="H109" i="93"/>
  <c r="G109" i="93"/>
  <c r="O108" i="93"/>
  <c r="P108" i="93" s="1"/>
  <c r="H108" i="93"/>
  <c r="G108" i="93"/>
  <c r="P107" i="93"/>
  <c r="O107" i="93"/>
  <c r="H107" i="93"/>
  <c r="G107" i="93"/>
  <c r="O106" i="93"/>
  <c r="P106" i="93" s="1"/>
  <c r="H106" i="93"/>
  <c r="G106" i="93"/>
  <c r="O105" i="93"/>
  <c r="P105" i="93" s="1"/>
  <c r="H105" i="93"/>
  <c r="G105" i="93"/>
  <c r="B105" i="93"/>
  <c r="O104" i="93"/>
  <c r="P104" i="93" s="1"/>
  <c r="H104" i="93"/>
  <c r="G104" i="93"/>
  <c r="P103" i="93"/>
  <c r="O103" i="93"/>
  <c r="H103" i="93"/>
  <c r="G103" i="93"/>
  <c r="O102" i="93"/>
  <c r="P102" i="93" s="1"/>
  <c r="H102" i="93"/>
  <c r="G102" i="93"/>
  <c r="B102" i="93"/>
  <c r="O101" i="93"/>
  <c r="P101" i="93" s="1"/>
  <c r="H101" i="93"/>
  <c r="G101" i="93"/>
  <c r="B100" i="93"/>
  <c r="B99" i="93"/>
  <c r="R98" i="93"/>
  <c r="Q98" i="93"/>
  <c r="O98" i="93"/>
  <c r="P98" i="93" s="1"/>
  <c r="H98" i="93"/>
  <c r="R97" i="93"/>
  <c r="Q97" i="93"/>
  <c r="O97" i="93"/>
  <c r="P97" i="93" s="1"/>
  <c r="H97" i="93"/>
  <c r="R96" i="93"/>
  <c r="Q96" i="93"/>
  <c r="O96" i="93"/>
  <c r="P96" i="93" s="1"/>
  <c r="H96" i="93"/>
  <c r="R95" i="93"/>
  <c r="Q95" i="93"/>
  <c r="O95" i="93"/>
  <c r="P95" i="93" s="1"/>
  <c r="H95" i="93"/>
  <c r="B95" i="93"/>
  <c r="R94" i="93"/>
  <c r="Q94" i="93"/>
  <c r="O94" i="93"/>
  <c r="P94" i="93" s="1"/>
  <c r="H94" i="93"/>
  <c r="B94" i="93"/>
  <c r="R93" i="93"/>
  <c r="Q93" i="93"/>
  <c r="O93" i="93"/>
  <c r="P93" i="93" s="1"/>
  <c r="H93" i="93"/>
  <c r="R92" i="93"/>
  <c r="Q92" i="93"/>
  <c r="O92" i="93"/>
  <c r="P92" i="93" s="1"/>
  <c r="H92" i="93"/>
  <c r="R91" i="93"/>
  <c r="Q91" i="93"/>
  <c r="O91" i="93"/>
  <c r="P91" i="93" s="1"/>
  <c r="H91" i="93"/>
  <c r="R90" i="93"/>
  <c r="Q90" i="93"/>
  <c r="O90" i="93"/>
  <c r="P90" i="93" s="1"/>
  <c r="H90" i="93"/>
  <c r="R89" i="93"/>
  <c r="Q89" i="93"/>
  <c r="O89" i="93"/>
  <c r="P89" i="93" s="1"/>
  <c r="H89" i="93"/>
  <c r="R88" i="93"/>
  <c r="Q88" i="93"/>
  <c r="O88" i="93"/>
  <c r="P88" i="93" s="1"/>
  <c r="H88" i="93"/>
  <c r="R87" i="93"/>
  <c r="Q87" i="93"/>
  <c r="O87" i="93"/>
  <c r="P87" i="93" s="1"/>
  <c r="H87" i="93"/>
  <c r="R86" i="93"/>
  <c r="Q86" i="93"/>
  <c r="O86" i="93"/>
  <c r="P86" i="93" s="1"/>
  <c r="H86" i="93"/>
  <c r="R85" i="93"/>
  <c r="Q85" i="93"/>
  <c r="O85" i="93"/>
  <c r="P85" i="93" s="1"/>
  <c r="H85" i="93"/>
  <c r="B85" i="93"/>
  <c r="R84" i="93"/>
  <c r="Q84" i="93"/>
  <c r="O84" i="93"/>
  <c r="P84" i="93" s="1"/>
  <c r="H84" i="93"/>
  <c r="R83" i="93"/>
  <c r="Q83" i="93"/>
  <c r="O83" i="93"/>
  <c r="H83" i="93"/>
  <c r="B83" i="93"/>
  <c r="R82" i="93"/>
  <c r="Q82" i="93"/>
  <c r="O82" i="93"/>
  <c r="P82" i="93" s="1"/>
  <c r="H82" i="93"/>
  <c r="B82" i="93"/>
  <c r="R81" i="93"/>
  <c r="P81" i="93" s="1"/>
  <c r="Q81" i="93"/>
  <c r="O81" i="93"/>
  <c r="H81" i="93"/>
  <c r="B81" i="93"/>
  <c r="R80" i="93"/>
  <c r="Q80" i="93"/>
  <c r="O80" i="93"/>
  <c r="P80" i="93" s="1"/>
  <c r="H80" i="93"/>
  <c r="B80" i="93"/>
  <c r="R79" i="93"/>
  <c r="Q79" i="93"/>
  <c r="O79" i="93"/>
  <c r="P79" i="93" s="1"/>
  <c r="H79" i="93"/>
  <c r="B79" i="93"/>
  <c r="B78" i="93"/>
  <c r="N10" i="93"/>
  <c r="B77" i="93"/>
  <c r="B76" i="93"/>
  <c r="B75" i="93"/>
  <c r="O74" i="93"/>
  <c r="B74" i="93"/>
  <c r="AF73" i="93"/>
  <c r="B343" i="93" s="1"/>
  <c r="AE73" i="93" a="1"/>
  <c r="AE73" i="93" s="1"/>
  <c r="B313" i="93" s="1"/>
  <c r="AD73" i="93" a="1"/>
  <c r="AD73" i="93" s="1"/>
  <c r="B283" i="93" s="1"/>
  <c r="O73" i="93"/>
  <c r="P73" i="93" s="1"/>
  <c r="B73" i="93"/>
  <c r="AF72" i="93"/>
  <c r="B342" i="93" s="1"/>
  <c r="AE72" i="93" a="1"/>
  <c r="AE72" i="93" s="1"/>
  <c r="B312" i="93" s="1"/>
  <c r="AD72" i="93" a="1"/>
  <c r="AD72" i="93" s="1"/>
  <c r="B282" i="93" s="1"/>
  <c r="P72" i="93"/>
  <c r="O72" i="93"/>
  <c r="B72" i="93"/>
  <c r="AF71" i="93"/>
  <c r="B341" i="93" s="1"/>
  <c r="AE71" i="93" a="1"/>
  <c r="AE71" i="93" s="1"/>
  <c r="B311" i="93" s="1"/>
  <c r="AD71" i="93" a="1"/>
  <c r="AD71" i="93" s="1"/>
  <c r="B281" i="93" s="1"/>
  <c r="N12" i="93"/>
  <c r="B71" i="93"/>
  <c r="AF70" i="93"/>
  <c r="B340" i="93" s="1"/>
  <c r="AE70" i="93" a="1"/>
  <c r="AE70" i="93" s="1"/>
  <c r="B310" i="93" s="1"/>
  <c r="AD70" i="93" a="1"/>
  <c r="AD70" i="93" s="1"/>
  <c r="B280" i="93" s="1"/>
  <c r="B70" i="93"/>
  <c r="AF69" i="93"/>
  <c r="B339" i="93" s="1"/>
  <c r="AE69" i="93" a="1"/>
  <c r="AE69" i="93" s="1"/>
  <c r="B309" i="93" s="1"/>
  <c r="AD69" i="93" a="1"/>
  <c r="AD69" i="93" s="1"/>
  <c r="B279" i="93" s="1"/>
  <c r="V69" i="93"/>
  <c r="O69" i="93"/>
  <c r="P69" i="93" s="1"/>
  <c r="B69" i="93"/>
  <c r="AF68" i="93"/>
  <c r="AE68" i="93" a="1"/>
  <c r="AE68" i="93" s="1"/>
  <c r="B308" i="93" s="1"/>
  <c r="AD68" i="93" a="1"/>
  <c r="AD68" i="93" s="1"/>
  <c r="B278" i="93" s="1"/>
  <c r="V68" i="93"/>
  <c r="P68" i="93"/>
  <c r="B48" i="93" s="1"/>
  <c r="O68" i="93"/>
  <c r="B68" i="93"/>
  <c r="AF67" i="93"/>
  <c r="AE67" i="93" a="1"/>
  <c r="AE67" i="93" s="1"/>
  <c r="B307" i="93" s="1"/>
  <c r="AD67" i="93" a="1"/>
  <c r="AD67" i="93" s="1"/>
  <c r="B277" i="93" s="1"/>
  <c r="V67" i="93"/>
  <c r="O67" i="93"/>
  <c r="P67" i="93" s="1"/>
  <c r="B67" i="93"/>
  <c r="AF66" i="93"/>
  <c r="B336" i="93" s="1"/>
  <c r="AE66" i="93" a="1"/>
  <c r="AE66" i="93" s="1"/>
  <c r="B306" i="93" s="1"/>
  <c r="AD66" i="93" a="1"/>
  <c r="AD66" i="93" s="1"/>
  <c r="B276" i="93" s="1"/>
  <c r="V66" i="93"/>
  <c r="O66" i="93"/>
  <c r="P66" i="93" s="1"/>
  <c r="B66" i="93"/>
  <c r="AF65" i="93"/>
  <c r="B335" i="93" s="1"/>
  <c r="AE65" i="93" a="1"/>
  <c r="AE65" i="93" s="1"/>
  <c r="B305" i="93" s="1"/>
  <c r="AD65" i="93" a="1"/>
  <c r="AD65" i="93" s="1"/>
  <c r="B275" i="93" s="1"/>
  <c r="V65" i="93"/>
  <c r="O65" i="93"/>
  <c r="P65" i="93" s="1"/>
  <c r="B65" i="93"/>
  <c r="AF64" i="93"/>
  <c r="B334" i="93" s="1"/>
  <c r="AE64" i="93" a="1"/>
  <c r="AE64" i="93" s="1"/>
  <c r="B304" i="93" s="1"/>
  <c r="AD64" i="93" a="1"/>
  <c r="AD64" i="93" s="1"/>
  <c r="B274" i="93" s="1"/>
  <c r="V64" i="93"/>
  <c r="P64" i="93"/>
  <c r="AJ22" i="93" s="1"/>
  <c r="AK22" i="93" s="1"/>
  <c r="O64" i="93"/>
  <c r="B64" i="93"/>
  <c r="AF63" i="93"/>
  <c r="B333" i="93" s="1"/>
  <c r="AE63" i="93" a="1"/>
  <c r="AE63" i="93" s="1"/>
  <c r="B303" i="93" s="1"/>
  <c r="AD63" i="93" a="1"/>
  <c r="AD63" i="93" s="1"/>
  <c r="B273" i="93" s="1"/>
  <c r="V63" i="93"/>
  <c r="O63" i="93"/>
  <c r="P63" i="93" s="1"/>
  <c r="B63" i="93"/>
  <c r="AF62" i="93"/>
  <c r="B332" i="93" s="1"/>
  <c r="AE62" i="93" a="1"/>
  <c r="AE62" i="93" s="1"/>
  <c r="B302" i="93" s="1"/>
  <c r="AD62" i="93"/>
  <c r="B272" i="93" s="1"/>
  <c r="AD62" i="93" a="1"/>
  <c r="V62" i="93"/>
  <c r="O62" i="93"/>
  <c r="P62" i="93" s="1"/>
  <c r="B42" i="93" s="1"/>
  <c r="B62" i="93"/>
  <c r="AF61" i="93"/>
  <c r="B331" i="93" s="1"/>
  <c r="AE61" i="93" a="1"/>
  <c r="AE61" i="93" s="1"/>
  <c r="B301" i="93" s="1"/>
  <c r="AD61" i="93" a="1"/>
  <c r="AD61" i="93" s="1"/>
  <c r="B271" i="93" s="1"/>
  <c r="B61" i="93"/>
  <c r="AF60" i="93"/>
  <c r="B330" i="93" s="1"/>
  <c r="AE60" i="93" a="1"/>
  <c r="AE60" i="93" s="1"/>
  <c r="B300" i="93" s="1"/>
  <c r="AD60" i="93" a="1"/>
  <c r="AD60" i="93" s="1"/>
  <c r="B270" i="93" s="1"/>
  <c r="B60" i="93"/>
  <c r="AF59" i="93"/>
  <c r="B329" i="93" s="1"/>
  <c r="AE59" i="93" a="1"/>
  <c r="AE59" i="93" s="1"/>
  <c r="B299" i="93" s="1"/>
  <c r="AD59" i="93"/>
  <c r="B269" i="93" s="1"/>
  <c r="AD59" i="93" a="1"/>
  <c r="V59" i="93"/>
  <c r="P59" i="93"/>
  <c r="B41" i="93" s="1"/>
  <c r="O59" i="93"/>
  <c r="AF58" i="93"/>
  <c r="B328" i="93" s="1"/>
  <c r="AE58" i="93" a="1"/>
  <c r="AE58" i="93" s="1"/>
  <c r="B298" i="93" s="1"/>
  <c r="AD58" i="93"/>
  <c r="B268" i="93" s="1"/>
  <c r="AD58" i="93" a="1"/>
  <c r="V58" i="93"/>
  <c r="O58" i="93"/>
  <c r="P58" i="93" s="1"/>
  <c r="AF57" i="93"/>
  <c r="B327" i="93" s="1"/>
  <c r="AE57" i="93" a="1"/>
  <c r="AE57" i="93" s="1"/>
  <c r="B297" i="93" s="1"/>
  <c r="AD57" i="93"/>
  <c r="B267" i="93" s="1"/>
  <c r="AD57" i="93" a="1"/>
  <c r="V57" i="93"/>
  <c r="O57" i="93"/>
  <c r="P57" i="93" s="1"/>
  <c r="AJ48" i="93" s="1"/>
  <c r="AK48" i="93" s="1"/>
  <c r="AF56" i="93"/>
  <c r="B326" i="93" s="1"/>
  <c r="AE56" i="93" a="1"/>
  <c r="AE56" i="93" s="1"/>
  <c r="B296" i="93" s="1"/>
  <c r="AD56" i="93" a="1"/>
  <c r="AD56" i="93" s="1"/>
  <c r="B266" i="93" s="1"/>
  <c r="V56" i="93"/>
  <c r="O56" i="93"/>
  <c r="P56" i="93" s="1"/>
  <c r="AF55" i="93"/>
  <c r="B325" i="93" s="1"/>
  <c r="AE55" i="93" a="1"/>
  <c r="AE55" i="93" s="1"/>
  <c r="B295" i="93" s="1"/>
  <c r="AD55" i="93"/>
  <c r="AD55" i="93" a="1"/>
  <c r="V55" i="93"/>
  <c r="O55" i="93"/>
  <c r="P55" i="93" s="1"/>
  <c r="AF54" i="93"/>
  <c r="B324" i="93" s="1"/>
  <c r="AE54" i="93" a="1"/>
  <c r="AE54" i="93" s="1"/>
  <c r="B294" i="93" s="1"/>
  <c r="AD54" i="93" a="1"/>
  <c r="AD54" i="93" s="1"/>
  <c r="B264" i="93" s="1"/>
  <c r="V54" i="93"/>
  <c r="P54" i="93"/>
  <c r="AJ20" i="93" s="1"/>
  <c r="AK20" i="93" s="1"/>
  <c r="O54" i="93"/>
  <c r="AF53" i="93"/>
  <c r="B323" i="93" s="1"/>
  <c r="AE53" i="93" a="1"/>
  <c r="AE53" i="93" s="1"/>
  <c r="B293" i="93" s="1"/>
  <c r="AD53" i="93" a="1"/>
  <c r="AD53" i="93" s="1"/>
  <c r="B263" i="93" s="1"/>
  <c r="V53" i="93"/>
  <c r="O53" i="93"/>
  <c r="P53" i="93" s="1"/>
  <c r="AF52" i="93"/>
  <c r="AE52" i="93" a="1"/>
  <c r="AE52" i="93" s="1"/>
  <c r="B292" i="93" s="1"/>
  <c r="AD52" i="93" a="1"/>
  <c r="AD52" i="93" s="1"/>
  <c r="B262" i="93" s="1"/>
  <c r="V52" i="93"/>
  <c r="O52" i="93"/>
  <c r="P52" i="93" s="1"/>
  <c r="AJ5" i="93" s="1"/>
  <c r="AK5" i="93" s="1"/>
  <c r="AF51" i="93"/>
  <c r="AE51" i="93" a="1"/>
  <c r="AE51" i="93" s="1"/>
  <c r="B291" i="93" s="1"/>
  <c r="AD51" i="93" a="1"/>
  <c r="AD51" i="93" s="1"/>
  <c r="B261" i="93" s="1"/>
  <c r="AJ49" i="93"/>
  <c r="AK49" i="93" s="1"/>
  <c r="V49" i="93"/>
  <c r="O49" i="93"/>
  <c r="P49" i="93" s="1"/>
  <c r="V48" i="93"/>
  <c r="P48" i="93"/>
  <c r="O48" i="93"/>
  <c r="V47" i="93"/>
  <c r="O47" i="93"/>
  <c r="P47" i="93" s="1"/>
  <c r="AJ35" i="93" s="1"/>
  <c r="AK35" i="93" s="1"/>
  <c r="V46" i="93"/>
  <c r="P46" i="93"/>
  <c r="B30" i="93" s="1"/>
  <c r="O46" i="93"/>
  <c r="V45" i="93"/>
  <c r="P45" i="93"/>
  <c r="AJ28" i="93" s="1"/>
  <c r="AK28" i="93" s="1"/>
  <c r="O45" i="93"/>
  <c r="V44" i="93"/>
  <c r="O44" i="93"/>
  <c r="P44" i="93" s="1"/>
  <c r="AJ12" i="93" s="1"/>
  <c r="AK12" i="93" s="1"/>
  <c r="V43" i="93"/>
  <c r="O43" i="93"/>
  <c r="P43" i="93" s="1"/>
  <c r="V42" i="93"/>
  <c r="O42" i="93"/>
  <c r="P42" i="93" s="1"/>
  <c r="AA41" i="93"/>
  <c r="Z41" i="93" s="1"/>
  <c r="AA40" i="93"/>
  <c r="Z40" i="93" s="1"/>
  <c r="AA39" i="93"/>
  <c r="Z39" i="93" s="1"/>
  <c r="B39" i="93"/>
  <c r="AA38" i="93"/>
  <c r="Z38" i="93" s="1"/>
  <c r="V38" i="93"/>
  <c r="O38" i="93"/>
  <c r="P38" i="93" s="1"/>
  <c r="AA37" i="93"/>
  <c r="Z37" i="93" s="1"/>
  <c r="V37" i="93"/>
  <c r="O37" i="93"/>
  <c r="AA36" i="93"/>
  <c r="Z36" i="93" s="1"/>
  <c r="V36" i="93"/>
  <c r="O36" i="93"/>
  <c r="P36" i="93"/>
  <c r="AA35" i="93"/>
  <c r="Z35" i="93" s="1"/>
  <c r="AA34" i="93"/>
  <c r="Z34" i="93" s="1"/>
  <c r="B34" i="93"/>
  <c r="AA33" i="93"/>
  <c r="Z33" i="93" s="1"/>
  <c r="O33" i="93"/>
  <c r="P33" i="93"/>
  <c r="AJ47" i="93" s="1"/>
  <c r="AA32" i="93"/>
  <c r="Z32" i="93" s="1"/>
  <c r="V32" i="93"/>
  <c r="O32" i="93"/>
  <c r="AF31" i="93"/>
  <c r="B174" i="93" s="1"/>
  <c r="AD31" i="93"/>
  <c r="B144" i="93" s="1"/>
  <c r="AA31" i="93"/>
  <c r="Z31" i="93" s="1"/>
  <c r="O31" i="93"/>
  <c r="P31" i="93" s="1"/>
  <c r="AJ50" i="93" s="1"/>
  <c r="AF30" i="93"/>
  <c r="B173" i="93" s="1"/>
  <c r="AD30" i="93"/>
  <c r="B143" i="93" s="1"/>
  <c r="AA30" i="93"/>
  <c r="Z30" i="93" s="1"/>
  <c r="AJ29" i="93"/>
  <c r="AK29" i="93" s="1"/>
  <c r="AF29" i="93"/>
  <c r="B172" i="93" s="1"/>
  <c r="AD29" i="93"/>
  <c r="B142" i="93" s="1"/>
  <c r="AA29" i="93"/>
  <c r="Z29" i="93" s="1"/>
  <c r="AF28" i="93"/>
  <c r="B171" i="93" s="1"/>
  <c r="AD28" i="93"/>
  <c r="B141" i="93" s="1"/>
  <c r="AA28" i="93"/>
  <c r="Z28" i="93" s="1"/>
  <c r="V28" i="93"/>
  <c r="O28" i="93"/>
  <c r="P28" i="93" s="1"/>
  <c r="AF27" i="93"/>
  <c r="B170" i="93" s="1"/>
  <c r="AD27" i="93"/>
  <c r="B140" i="93" s="1"/>
  <c r="AA27" i="93"/>
  <c r="Z27" i="93" s="1"/>
  <c r="V27" i="93"/>
  <c r="O27" i="93"/>
  <c r="AF26" i="93"/>
  <c r="B169" i="93" s="1"/>
  <c r="AD26" i="93"/>
  <c r="B139" i="93" s="1"/>
  <c r="AA26" i="93"/>
  <c r="Z26" i="93" s="1"/>
  <c r="V26" i="93"/>
  <c r="O26" i="93"/>
  <c r="B26" i="93"/>
  <c r="AF25" i="93"/>
  <c r="B168" i="93" s="1"/>
  <c r="AD25" i="93"/>
  <c r="B138" i="93" s="1"/>
  <c r="AA25" i="93"/>
  <c r="Z25" i="93" s="1"/>
  <c r="AF24" i="93"/>
  <c r="B167" i="93" s="1"/>
  <c r="AD24" i="93"/>
  <c r="B137" i="93" s="1"/>
  <c r="AA24" i="93"/>
  <c r="Z24" i="93" s="1"/>
  <c r="AF23" i="93"/>
  <c r="B166" i="93" s="1"/>
  <c r="AD23" i="93"/>
  <c r="B136" i="93" s="1"/>
  <c r="AA23" i="93"/>
  <c r="Z23" i="93" s="1"/>
  <c r="N23" i="93"/>
  <c r="N8" i="93" s="1"/>
  <c r="AF22" i="93"/>
  <c r="B165" i="93" s="1"/>
  <c r="AD22" i="93"/>
  <c r="B135" i="93" s="1"/>
  <c r="AA22" i="93"/>
  <c r="Z22" i="93" s="1"/>
  <c r="AJ21" i="93"/>
  <c r="AK21" i="93" s="1"/>
  <c r="AF21" i="93"/>
  <c r="AD21" i="93"/>
  <c r="B134" i="93" s="1"/>
  <c r="AA21" i="93"/>
  <c r="N21" i="93"/>
  <c r="AF20" i="93"/>
  <c r="B163" i="93" s="1"/>
  <c r="AD20" i="93"/>
  <c r="B133" i="93" s="1"/>
  <c r="AA20" i="93"/>
  <c r="N20" i="93"/>
  <c r="AF19" i="93"/>
  <c r="AD19" i="93"/>
  <c r="B132" i="93" s="1"/>
  <c r="AA19" i="93"/>
  <c r="N19" i="93"/>
  <c r="AF18" i="93"/>
  <c r="B161" i="93" s="1"/>
  <c r="AD18" i="93"/>
  <c r="B131" i="93" s="1"/>
  <c r="AA18" i="93"/>
  <c r="N18" i="93"/>
  <c r="AF17" i="93"/>
  <c r="B160" i="93" s="1"/>
  <c r="AD17" i="93"/>
  <c r="B130" i="93" s="1"/>
  <c r="AA17" i="93"/>
  <c r="N17" i="93"/>
  <c r="AF16" i="93"/>
  <c r="B159" i="93" s="1"/>
  <c r="AD16" i="93"/>
  <c r="B129" i="93" s="1"/>
  <c r="AA16" i="93"/>
  <c r="B16" i="93"/>
  <c r="AF15" i="93"/>
  <c r="B158" i="93" s="1"/>
  <c r="AD15" i="93"/>
  <c r="B128" i="93" s="1"/>
  <c r="AA15" i="93"/>
  <c r="B15" i="93"/>
  <c r="AF14" i="93"/>
  <c r="B157" i="93" s="1"/>
  <c r="AD14" i="93"/>
  <c r="B127" i="93" s="1"/>
  <c r="AA14" i="93"/>
  <c r="B14" i="93"/>
  <c r="AF13" i="93"/>
  <c r="B156" i="93" s="1"/>
  <c r="AD13" i="93"/>
  <c r="B126" i="93" s="1"/>
  <c r="AA13" i="93"/>
  <c r="AF12" i="93"/>
  <c r="B155" i="93" s="1"/>
  <c r="AD12" i="93"/>
  <c r="B125" i="93" s="1"/>
  <c r="AA12" i="93"/>
  <c r="B12" i="93"/>
  <c r="B13" i="93" s="1"/>
  <c r="AF11" i="93"/>
  <c r="B154" i="93" s="1"/>
  <c r="AD11" i="93"/>
  <c r="B124" i="93" s="1"/>
  <c r="AA11" i="93"/>
  <c r="B11" i="93"/>
  <c r="AF10" i="93"/>
  <c r="B153" i="93" s="1"/>
  <c r="AD10" i="93"/>
  <c r="B123" i="93" s="1"/>
  <c r="AA10" i="93"/>
  <c r="AF9" i="93"/>
  <c r="B152" i="93" s="1"/>
  <c r="AD9" i="93"/>
  <c r="B122" i="93" s="1"/>
  <c r="AA9" i="93"/>
  <c r="B9" i="93"/>
  <c r="B10" i="93" s="1"/>
  <c r="AF8" i="93"/>
  <c r="B151" i="93" s="1"/>
  <c r="AD8" i="93"/>
  <c r="B121" i="93" s="1"/>
  <c r="AA8" i="93"/>
  <c r="G8" i="93"/>
  <c r="D8" i="93"/>
  <c r="B8" i="93"/>
  <c r="AJ7" i="93"/>
  <c r="AK7" i="93" s="1"/>
  <c r="AF7" i="93"/>
  <c r="B150" i="93" s="1"/>
  <c r="AD7" i="93"/>
  <c r="B120" i="93" s="1"/>
  <c r="AA7" i="93"/>
  <c r="D7" i="93"/>
  <c r="B7" i="93"/>
  <c r="AF6" i="93"/>
  <c r="AD6" i="93"/>
  <c r="B119" i="93" s="1"/>
  <c r="AA6" i="93"/>
  <c r="B6" i="93"/>
  <c r="AF5" i="93"/>
  <c r="B148" i="93" s="1"/>
  <c r="AD5" i="93"/>
  <c r="B118" i="93" s="1"/>
  <c r="AA5" i="93"/>
  <c r="B5" i="93"/>
  <c r="AF4" i="93"/>
  <c r="B147" i="93" s="1"/>
  <c r="AD4" i="93"/>
  <c r="B117" i="93" s="1"/>
  <c r="AA4" i="93"/>
  <c r="N4" i="93"/>
  <c r="AJ3" i="93"/>
  <c r="AK3" i="93" s="1"/>
  <c r="AF3" i="93"/>
  <c r="AD3" i="93"/>
  <c r="B116" i="93" s="1"/>
  <c r="AA3" i="93"/>
  <c r="AJ2" i="93"/>
  <c r="AK2" i="93" s="1"/>
  <c r="AA2" i="93"/>
  <c r="B2" i="93"/>
  <c r="G144" i="90"/>
  <c r="G143" i="90"/>
  <c r="G142" i="90"/>
  <c r="G141" i="90"/>
  <c r="F164" i="91"/>
  <c r="F133" i="91"/>
  <c r="M124" i="91"/>
  <c r="P124" i="91" s="1"/>
  <c r="B84" i="91" s="1"/>
  <c r="L61" i="91"/>
  <c r="L51" i="91"/>
  <c r="L41" i="91"/>
  <c r="L35" i="91"/>
  <c r="L30" i="91"/>
  <c r="L25" i="91"/>
  <c r="M124" i="92"/>
  <c r="P124" i="92" s="1"/>
  <c r="B84" i="92" s="1"/>
  <c r="L61" i="92"/>
  <c r="L51" i="92"/>
  <c r="L41" i="92"/>
  <c r="L35" i="92"/>
  <c r="L30" i="92"/>
  <c r="L25" i="92"/>
  <c r="M218" i="92"/>
  <c r="P218" i="92" s="1"/>
  <c r="B354" i="92" s="1"/>
  <c r="M189" i="92"/>
  <c r="L164" i="92"/>
  <c r="N163" i="92"/>
  <c r="N11" i="92" s="1"/>
  <c r="L78" i="92"/>
  <c r="N77" i="92"/>
  <c r="N10" i="92" s="1"/>
  <c r="N71" i="92"/>
  <c r="N40" i="92"/>
  <c r="P27" i="92"/>
  <c r="P26" i="92"/>
  <c r="B364" i="92"/>
  <c r="B363" i="92"/>
  <c r="B362" i="92"/>
  <c r="B361" i="92"/>
  <c r="B360" i="92"/>
  <c r="B359" i="92"/>
  <c r="B358" i="92"/>
  <c r="B357" i="92"/>
  <c r="B339" i="92"/>
  <c r="B336" i="92"/>
  <c r="B335" i="92"/>
  <c r="E281" i="92"/>
  <c r="E282" i="92" s="1"/>
  <c r="E283" i="92" s="1"/>
  <c r="E284" i="92" s="1"/>
  <c r="E285" i="92" s="1"/>
  <c r="E286" i="92" s="1"/>
  <c r="E287" i="92" s="1"/>
  <c r="E288" i="92" s="1"/>
  <c r="E289" i="92" s="1"/>
  <c r="E290" i="92" s="1"/>
  <c r="E291" i="92" s="1"/>
  <c r="E292" i="92" s="1"/>
  <c r="E293" i="92" s="1"/>
  <c r="E294" i="92" s="1"/>
  <c r="E295" i="92" s="1"/>
  <c r="E296" i="92" s="1"/>
  <c r="E297" i="92" s="1"/>
  <c r="E298" i="92" s="1"/>
  <c r="E299" i="92" s="1"/>
  <c r="E300" i="92" s="1"/>
  <c r="E301" i="92" s="1"/>
  <c r="E302" i="92" s="1"/>
  <c r="E303" i="92" s="1"/>
  <c r="E304" i="92" s="1"/>
  <c r="E305" i="92" s="1"/>
  <c r="E306" i="92" s="1"/>
  <c r="E307" i="92" s="1"/>
  <c r="E308" i="92" s="1"/>
  <c r="E309" i="92" s="1"/>
  <c r="E310" i="92" s="1"/>
  <c r="E311" i="92" s="1"/>
  <c r="E312" i="92" s="1"/>
  <c r="E313" i="92" s="1"/>
  <c r="E314" i="92" s="1"/>
  <c r="E315" i="92" s="1"/>
  <c r="E316" i="92" s="1"/>
  <c r="H238" i="92"/>
  <c r="H237" i="92"/>
  <c r="H236" i="92"/>
  <c r="F234" i="92"/>
  <c r="H234" i="92" s="1"/>
  <c r="B216" i="92"/>
  <c r="R215" i="92"/>
  <c r="Q215" i="92"/>
  <c r="O215" i="92"/>
  <c r="P215" i="92" s="1"/>
  <c r="H215" i="92"/>
  <c r="G215" i="92"/>
  <c r="B215" i="92"/>
  <c r="R214" i="92"/>
  <c r="Q214" i="92"/>
  <c r="P214" i="92"/>
  <c r="O214" i="92"/>
  <c r="H214" i="92"/>
  <c r="G214" i="92"/>
  <c r="B214" i="92"/>
  <c r="R213" i="92"/>
  <c r="Q213" i="92"/>
  <c r="O213" i="92"/>
  <c r="H213" i="92"/>
  <c r="G213" i="92"/>
  <c r="B213" i="92"/>
  <c r="R212" i="92"/>
  <c r="Q212" i="92"/>
  <c r="O212" i="92"/>
  <c r="P212" i="92" s="1"/>
  <c r="H212" i="92"/>
  <c r="G212" i="92"/>
  <c r="B212" i="92"/>
  <c r="R211" i="92"/>
  <c r="Q211" i="92"/>
  <c r="O211" i="92"/>
  <c r="P211" i="92" s="1"/>
  <c r="H211" i="92"/>
  <c r="G211" i="92"/>
  <c r="B211" i="92"/>
  <c r="R210" i="92"/>
  <c r="Q210" i="92"/>
  <c r="O210" i="92"/>
  <c r="H210" i="92"/>
  <c r="G210" i="92"/>
  <c r="B210" i="92"/>
  <c r="R209" i="92"/>
  <c r="Q209" i="92"/>
  <c r="O209" i="92"/>
  <c r="P209" i="92" s="1"/>
  <c r="H209" i="92"/>
  <c r="G209" i="92"/>
  <c r="B209" i="92"/>
  <c r="R208" i="92"/>
  <c r="Q208" i="92"/>
  <c r="O208" i="92"/>
  <c r="H208" i="92"/>
  <c r="G208" i="92"/>
  <c r="B208" i="92"/>
  <c r="R207" i="92"/>
  <c r="Q207" i="92"/>
  <c r="O207" i="92"/>
  <c r="H207" i="92"/>
  <c r="G207" i="92"/>
  <c r="B207" i="92"/>
  <c r="R206" i="92"/>
  <c r="Q206" i="92"/>
  <c r="O206" i="92"/>
  <c r="P206" i="92" s="1"/>
  <c r="H206" i="92"/>
  <c r="G206" i="92"/>
  <c r="B206" i="92"/>
  <c r="B205" i="92"/>
  <c r="B204" i="92"/>
  <c r="R203" i="92"/>
  <c r="O203" i="92"/>
  <c r="G203" i="92"/>
  <c r="B203" i="92"/>
  <c r="R202" i="92"/>
  <c r="O202" i="92"/>
  <c r="G202" i="92"/>
  <c r="B202" i="92"/>
  <c r="R201" i="92"/>
  <c r="P201" i="92"/>
  <c r="AA119" i="92" s="1"/>
  <c r="O201" i="92"/>
  <c r="G201" i="92"/>
  <c r="B201" i="92"/>
  <c r="R200" i="92"/>
  <c r="P200" i="92"/>
  <c r="AA118" i="92" s="1"/>
  <c r="O200" i="92"/>
  <c r="G200" i="92"/>
  <c r="B200" i="92"/>
  <c r="R199" i="92"/>
  <c r="O199" i="92"/>
  <c r="P199" i="92" s="1"/>
  <c r="AA117" i="92" s="1"/>
  <c r="G199" i="92"/>
  <c r="Z117" i="92" s="1"/>
  <c r="B199" i="92"/>
  <c r="R198" i="92"/>
  <c r="O198" i="92"/>
  <c r="G198" i="92"/>
  <c r="R197" i="92"/>
  <c r="O197" i="92"/>
  <c r="G197" i="92"/>
  <c r="R196" i="92"/>
  <c r="O196" i="92"/>
  <c r="P196" i="92" s="1"/>
  <c r="AA114" i="92" s="1"/>
  <c r="G196" i="92"/>
  <c r="Z114" i="92" s="1"/>
  <c r="B196" i="92"/>
  <c r="R195" i="92"/>
  <c r="P195" i="92" s="1"/>
  <c r="AA113" i="92" s="1"/>
  <c r="O195" i="92"/>
  <c r="G195" i="92"/>
  <c r="Z113" i="92" s="1"/>
  <c r="B195" i="92"/>
  <c r="R194" i="92"/>
  <c r="O194" i="92"/>
  <c r="G194" i="92"/>
  <c r="B194" i="92"/>
  <c r="B193" i="92"/>
  <c r="B192" i="92"/>
  <c r="O191" i="92"/>
  <c r="B191" i="92"/>
  <c r="O190" i="92"/>
  <c r="B190" i="92"/>
  <c r="O189" i="92"/>
  <c r="B189" i="92"/>
  <c r="O188" i="92"/>
  <c r="B188" i="92"/>
  <c r="O187" i="92"/>
  <c r="B187" i="92"/>
  <c r="B186" i="92"/>
  <c r="O185" i="92"/>
  <c r="P185" i="92" s="1"/>
  <c r="R190" i="92" s="1"/>
  <c r="I185" i="92"/>
  <c r="M191" i="92" s="1"/>
  <c r="B185" i="92"/>
  <c r="O184" i="92"/>
  <c r="P184" i="92" s="1"/>
  <c r="L193" i="92" s="1"/>
  <c r="I184" i="92"/>
  <c r="M190" i="92" s="1"/>
  <c r="B184" i="92"/>
  <c r="B183" i="92"/>
  <c r="B182" i="92"/>
  <c r="R181" i="92"/>
  <c r="O181" i="92"/>
  <c r="H181" i="92"/>
  <c r="B181" i="92"/>
  <c r="R180" i="92"/>
  <c r="O180" i="92"/>
  <c r="H180" i="92"/>
  <c r="B180" i="92"/>
  <c r="R179" i="92"/>
  <c r="O179" i="92"/>
  <c r="H179" i="92"/>
  <c r="B179" i="92"/>
  <c r="R178" i="92"/>
  <c r="O178" i="92"/>
  <c r="H178" i="92"/>
  <c r="R177" i="92"/>
  <c r="O177" i="92"/>
  <c r="H177" i="92"/>
  <c r="B174" i="92"/>
  <c r="B173" i="92"/>
  <c r="B169" i="92"/>
  <c r="B168" i="92"/>
  <c r="I164" i="92"/>
  <c r="H164" i="92"/>
  <c r="G164" i="92"/>
  <c r="F164" i="92"/>
  <c r="B163" i="92"/>
  <c r="P161" i="92"/>
  <c r="O161" i="92"/>
  <c r="O160" i="92"/>
  <c r="P160" i="92" s="1"/>
  <c r="R157" i="92"/>
  <c r="Q157" i="92"/>
  <c r="O157" i="92"/>
  <c r="P157" i="92" s="1"/>
  <c r="H157" i="92"/>
  <c r="G157" i="92"/>
  <c r="R156" i="92"/>
  <c r="Q156" i="92"/>
  <c r="O156" i="92"/>
  <c r="P156" i="92" s="1"/>
  <c r="H156" i="92"/>
  <c r="G156" i="92"/>
  <c r="R155" i="92"/>
  <c r="Q155" i="92"/>
  <c r="O155" i="92"/>
  <c r="P155" i="92" s="1"/>
  <c r="H155" i="92"/>
  <c r="G155" i="92"/>
  <c r="R154" i="92"/>
  <c r="Q154" i="92"/>
  <c r="O154" i="92"/>
  <c r="P154" i="92" s="1"/>
  <c r="H154" i="92"/>
  <c r="G154" i="92"/>
  <c r="AF153" i="92" a="1"/>
  <c r="AF153" i="92" s="1"/>
  <c r="B236" i="92" s="1"/>
  <c r="AE153" i="92"/>
  <c r="R153" i="92"/>
  <c r="Q153" i="92"/>
  <c r="O153" i="92"/>
  <c r="H153" i="92"/>
  <c r="G153" i="92"/>
  <c r="AF152" i="92" a="1"/>
  <c r="AF152" i="92" s="1"/>
  <c r="B235" i="92" s="1"/>
  <c r="AE152" i="92"/>
  <c r="R152" i="92"/>
  <c r="Q152" i="92"/>
  <c r="O152" i="92"/>
  <c r="P152" i="92" s="1"/>
  <c r="H152" i="92"/>
  <c r="G152" i="92"/>
  <c r="AF151" i="92" a="1"/>
  <c r="AF151" i="92" s="1"/>
  <c r="B234" i="92" s="1"/>
  <c r="AE151" i="92"/>
  <c r="R151" i="92"/>
  <c r="Q151" i="92"/>
  <c r="O151" i="92"/>
  <c r="P151" i="92" s="1"/>
  <c r="H151" i="92"/>
  <c r="G151" i="92"/>
  <c r="AF150" i="92" a="1"/>
  <c r="AF150" i="92" s="1"/>
  <c r="B233" i="92" s="1"/>
  <c r="AE150" i="92"/>
  <c r="R150" i="92"/>
  <c r="Q150" i="92"/>
  <c r="O150" i="92"/>
  <c r="P150" i="92" s="1"/>
  <c r="H150" i="92"/>
  <c r="G150" i="92"/>
  <c r="AF149" i="92" a="1"/>
  <c r="AF149" i="92" s="1"/>
  <c r="B232" i="92" s="1"/>
  <c r="AE149" i="92"/>
  <c r="R149" i="92"/>
  <c r="Q149" i="92"/>
  <c r="O149" i="92"/>
  <c r="P149" i="92" s="1"/>
  <c r="H149" i="92"/>
  <c r="G149" i="92"/>
  <c r="AF148" i="92" a="1"/>
  <c r="AF148" i="92" s="1"/>
  <c r="B231" i="92" s="1"/>
  <c r="AE148" i="92"/>
  <c r="R148" i="92"/>
  <c r="Q148" i="92"/>
  <c r="O148" i="92"/>
  <c r="P148" i="92" s="1"/>
  <c r="H148" i="92"/>
  <c r="G148" i="92"/>
  <c r="AF147" i="92" a="1"/>
  <c r="AF147" i="92" s="1"/>
  <c r="B230" i="92" s="1"/>
  <c r="AE147" i="92"/>
  <c r="R147" i="92"/>
  <c r="Q147" i="92"/>
  <c r="O147" i="92"/>
  <c r="P147" i="92" s="1"/>
  <c r="H147" i="92"/>
  <c r="G147" i="92"/>
  <c r="AF146" i="92" a="1"/>
  <c r="AF146" i="92" s="1"/>
  <c r="B229" i="92" s="1"/>
  <c r="AE146" i="92"/>
  <c r="R146" i="92"/>
  <c r="Q146" i="92"/>
  <c r="O146" i="92"/>
  <c r="P146" i="92" s="1"/>
  <c r="H146" i="92"/>
  <c r="G146" i="92"/>
  <c r="AF145" i="92" a="1"/>
  <c r="AF145" i="92" s="1"/>
  <c r="B228" i="92" s="1"/>
  <c r="AE145" i="92"/>
  <c r="R145" i="92"/>
  <c r="Q145" i="92"/>
  <c r="O145" i="92"/>
  <c r="P145" i="92" s="1"/>
  <c r="H145" i="92"/>
  <c r="G145" i="92"/>
  <c r="AF144" i="92" a="1"/>
  <c r="AF144" i="92" s="1"/>
  <c r="B227" i="92" s="1"/>
  <c r="AE144" i="92"/>
  <c r="R144" i="92"/>
  <c r="Q144" i="92"/>
  <c r="P144" i="92"/>
  <c r="O144" i="92"/>
  <c r="H144" i="92"/>
  <c r="AF143" i="92" a="1"/>
  <c r="AF143" i="92" s="1"/>
  <c r="B226" i="92" s="1"/>
  <c r="AE143" i="92"/>
  <c r="R143" i="92"/>
  <c r="Q143" i="92"/>
  <c r="O143" i="92"/>
  <c r="P143" i="92" s="1"/>
  <c r="H143" i="92"/>
  <c r="G143" i="92"/>
  <c r="AF142" i="92"/>
  <c r="B225" i="92" s="1"/>
  <c r="AF142" i="92" a="1"/>
  <c r="AE142" i="92"/>
  <c r="R142" i="92"/>
  <c r="Q142" i="92"/>
  <c r="O142" i="92"/>
  <c r="P142" i="92" s="1"/>
  <c r="H142" i="92"/>
  <c r="AF141" i="92" a="1"/>
  <c r="AF141" i="92" s="1"/>
  <c r="B224" i="92" s="1"/>
  <c r="AE141" i="92"/>
  <c r="R141" i="92"/>
  <c r="Q141" i="92"/>
  <c r="O141" i="92"/>
  <c r="P141" i="92" s="1"/>
  <c r="H141" i="92"/>
  <c r="AF140" i="92" a="1"/>
  <c r="AF140" i="92" s="1"/>
  <c r="B223" i="92" s="1"/>
  <c r="AE140" i="92"/>
  <c r="R140" i="92"/>
  <c r="Q140" i="92"/>
  <c r="O140" i="92"/>
  <c r="P140" i="92" s="1"/>
  <c r="H140" i="92"/>
  <c r="AF139" i="92" a="1"/>
  <c r="AF139" i="92" s="1"/>
  <c r="B222" i="92" s="1"/>
  <c r="AE139" i="92"/>
  <c r="R139" i="92"/>
  <c r="Q139" i="92"/>
  <c r="O139" i="92"/>
  <c r="H139" i="92"/>
  <c r="AF138" i="92" a="1"/>
  <c r="AF138" i="92" s="1"/>
  <c r="B221" i="92" s="1"/>
  <c r="AE138" i="92"/>
  <c r="R138" i="92"/>
  <c r="Q138" i="92"/>
  <c r="O138" i="92"/>
  <c r="H138" i="92"/>
  <c r="AF137" i="92" a="1"/>
  <c r="AF137" i="92" s="1"/>
  <c r="B220" i="92" s="1"/>
  <c r="AE137" i="92"/>
  <c r="H137" i="92"/>
  <c r="AF136" i="92" a="1"/>
  <c r="AF136" i="92" s="1"/>
  <c r="B219" i="92" s="1"/>
  <c r="AE136" i="92"/>
  <c r="R135" i="92"/>
  <c r="Q135" i="92"/>
  <c r="O135" i="92"/>
  <c r="P135" i="92" s="1"/>
  <c r="B98" i="92" s="1"/>
  <c r="R134" i="92"/>
  <c r="Q134" i="92"/>
  <c r="O134" i="92"/>
  <c r="P134" i="92" s="1"/>
  <c r="B97" i="92" s="1"/>
  <c r="R133" i="92"/>
  <c r="Q133" i="92"/>
  <c r="O133" i="92"/>
  <c r="P133" i="92" s="1"/>
  <c r="B96" i="92" s="1"/>
  <c r="R132" i="92"/>
  <c r="Q132" i="92"/>
  <c r="O132" i="92"/>
  <c r="P132" i="92" s="1"/>
  <c r="B95" i="92" s="1"/>
  <c r="P129" i="92"/>
  <c r="B94" i="92" s="1"/>
  <c r="R128" i="92"/>
  <c r="P128" i="92"/>
  <c r="B92" i="92" s="1"/>
  <c r="P127" i="92"/>
  <c r="B90" i="92" s="1"/>
  <c r="R126" i="92"/>
  <c r="P126" i="92"/>
  <c r="P125" i="92"/>
  <c r="Z121" i="92"/>
  <c r="Z120" i="92"/>
  <c r="O120" i="92"/>
  <c r="P120" i="92" s="1"/>
  <c r="H120" i="92"/>
  <c r="G120" i="92"/>
  <c r="Z119" i="92"/>
  <c r="P119" i="92"/>
  <c r="O119" i="92"/>
  <c r="H119" i="92"/>
  <c r="G119" i="92"/>
  <c r="Z118" i="92"/>
  <c r="O118" i="92"/>
  <c r="P118" i="92" s="1"/>
  <c r="H118" i="92"/>
  <c r="G118" i="92"/>
  <c r="O117" i="92"/>
  <c r="P117" i="92" s="1"/>
  <c r="H117" i="92"/>
  <c r="G117" i="92"/>
  <c r="Z116" i="92"/>
  <c r="P116" i="92"/>
  <c r="O116" i="92"/>
  <c r="H116" i="92"/>
  <c r="G116" i="92"/>
  <c r="Z115" i="92"/>
  <c r="P115" i="92"/>
  <c r="O115" i="92"/>
  <c r="H115" i="92"/>
  <c r="G115" i="92"/>
  <c r="O114" i="92"/>
  <c r="P114" i="92" s="1"/>
  <c r="H114" i="92"/>
  <c r="G114" i="92"/>
  <c r="P113" i="92"/>
  <c r="O113" i="92"/>
  <c r="H113" i="92"/>
  <c r="G113" i="92"/>
  <c r="Z112" i="92"/>
  <c r="O112" i="92"/>
  <c r="P112" i="92" s="1"/>
  <c r="H112" i="92"/>
  <c r="G112" i="92"/>
  <c r="P111" i="92"/>
  <c r="O111" i="92"/>
  <c r="H111" i="92"/>
  <c r="G111" i="92"/>
  <c r="P110" i="92"/>
  <c r="O110" i="92"/>
  <c r="H110" i="92"/>
  <c r="G110" i="92"/>
  <c r="O109" i="92"/>
  <c r="P109" i="92" s="1"/>
  <c r="H109" i="92"/>
  <c r="G109" i="92"/>
  <c r="B109" i="92"/>
  <c r="O108" i="92"/>
  <c r="P108" i="92" s="1"/>
  <c r="H108" i="92"/>
  <c r="G108" i="92"/>
  <c r="O107" i="92"/>
  <c r="P107" i="92" s="1"/>
  <c r="H107" i="92"/>
  <c r="G107" i="92"/>
  <c r="P106" i="92"/>
  <c r="O106" i="92"/>
  <c r="H106" i="92"/>
  <c r="G106" i="92"/>
  <c r="O105" i="92"/>
  <c r="P105" i="92" s="1"/>
  <c r="H105" i="92"/>
  <c r="G105" i="92"/>
  <c r="O104" i="92"/>
  <c r="P104" i="92" s="1"/>
  <c r="H104" i="92"/>
  <c r="G104" i="92"/>
  <c r="P103" i="92"/>
  <c r="O103" i="92"/>
  <c r="H103" i="92"/>
  <c r="G103" i="92"/>
  <c r="O102" i="92"/>
  <c r="P102" i="92" s="1"/>
  <c r="H102" i="92"/>
  <c r="G102" i="92"/>
  <c r="B102" i="92"/>
  <c r="O101" i="92"/>
  <c r="P101" i="92" s="1"/>
  <c r="H101" i="92"/>
  <c r="G101" i="92"/>
  <c r="B100" i="92"/>
  <c r="R98" i="92"/>
  <c r="Q98" i="92"/>
  <c r="O98" i="92"/>
  <c r="P98" i="92" s="1"/>
  <c r="H98" i="92"/>
  <c r="R97" i="92"/>
  <c r="Q97" i="92"/>
  <c r="O97" i="92"/>
  <c r="P97" i="92" s="1"/>
  <c r="H97" i="92"/>
  <c r="R96" i="92"/>
  <c r="Q96" i="92"/>
  <c r="O96" i="92"/>
  <c r="P96" i="92" s="1"/>
  <c r="H96" i="92"/>
  <c r="R95" i="92"/>
  <c r="Q95" i="92"/>
  <c r="P95" i="92"/>
  <c r="O95" i="92"/>
  <c r="H95" i="92"/>
  <c r="R94" i="92"/>
  <c r="Q94" i="92"/>
  <c r="O94" i="92"/>
  <c r="P94" i="92" s="1"/>
  <c r="H94" i="92"/>
  <c r="R93" i="92"/>
  <c r="Q93" i="92"/>
  <c r="P93" i="92"/>
  <c r="O93" i="92"/>
  <c r="H93" i="92"/>
  <c r="R92" i="92"/>
  <c r="Q92" i="92"/>
  <c r="O92" i="92"/>
  <c r="H92" i="92"/>
  <c r="R91" i="92"/>
  <c r="Q91" i="92"/>
  <c r="P91" i="92"/>
  <c r="O91" i="92"/>
  <c r="H91" i="92"/>
  <c r="R90" i="92"/>
  <c r="Q90" i="92"/>
  <c r="O90" i="92"/>
  <c r="H90" i="92"/>
  <c r="R89" i="92"/>
  <c r="Q89" i="92"/>
  <c r="O89" i="92"/>
  <c r="P89" i="92" s="1"/>
  <c r="H89" i="92"/>
  <c r="R88" i="92"/>
  <c r="P88" i="92" s="1"/>
  <c r="Q88" i="92"/>
  <c r="O88" i="92"/>
  <c r="H88" i="92"/>
  <c r="R87" i="92"/>
  <c r="Q87" i="92"/>
  <c r="O87" i="92"/>
  <c r="P87" i="92" s="1"/>
  <c r="H87" i="92"/>
  <c r="B87" i="92"/>
  <c r="R86" i="92"/>
  <c r="P86" i="92" s="1"/>
  <c r="Q86" i="92"/>
  <c r="O86" i="92"/>
  <c r="H86" i="92"/>
  <c r="R85" i="92"/>
  <c r="Q85" i="92"/>
  <c r="O85" i="92"/>
  <c r="P85" i="92" s="1"/>
  <c r="H85" i="92"/>
  <c r="B85" i="92"/>
  <c r="R84" i="92"/>
  <c r="P84" i="92" s="1"/>
  <c r="AA7" i="92" s="1"/>
  <c r="Q84" i="92"/>
  <c r="O84" i="92"/>
  <c r="H84" i="92"/>
  <c r="R83" i="92"/>
  <c r="Q83" i="92"/>
  <c r="O83" i="92"/>
  <c r="H83" i="92"/>
  <c r="B83" i="92"/>
  <c r="R82" i="92"/>
  <c r="Q82" i="92"/>
  <c r="O82" i="92"/>
  <c r="H82" i="92"/>
  <c r="B82" i="92"/>
  <c r="R81" i="92"/>
  <c r="P81" i="92" s="1"/>
  <c r="AA4" i="92" s="1"/>
  <c r="Q81" i="92"/>
  <c r="O81" i="92"/>
  <c r="H81" i="92"/>
  <c r="B81" i="92"/>
  <c r="R80" i="92"/>
  <c r="Q80" i="92"/>
  <c r="O80" i="92"/>
  <c r="H80" i="92"/>
  <c r="B80" i="92"/>
  <c r="R79" i="92"/>
  <c r="Q79" i="92"/>
  <c r="O79" i="92"/>
  <c r="H79" i="92"/>
  <c r="B79" i="92"/>
  <c r="B78" i="92"/>
  <c r="B77" i="92"/>
  <c r="B76" i="92"/>
  <c r="B75" i="92"/>
  <c r="O74" i="92"/>
  <c r="B74" i="92"/>
  <c r="AF73" i="92"/>
  <c r="B343" i="92" s="1"/>
  <c r="AE73" i="92" a="1"/>
  <c r="AE73" i="92" s="1"/>
  <c r="B313" i="92" s="1"/>
  <c r="AD73" i="92" a="1"/>
  <c r="AD73" i="92" s="1"/>
  <c r="B283" i="92" s="1"/>
  <c r="O73" i="92"/>
  <c r="P73" i="92" s="1"/>
  <c r="B112" i="92" s="1"/>
  <c r="B73" i="92"/>
  <c r="AF72" i="92"/>
  <c r="B342" i="92" s="1"/>
  <c r="AE72" i="92" a="1"/>
  <c r="AE72" i="92" s="1"/>
  <c r="B312" i="92" s="1"/>
  <c r="AD72" i="92" a="1"/>
  <c r="AD72" i="92" s="1"/>
  <c r="B282" i="92" s="1"/>
  <c r="O72" i="92"/>
  <c r="P72" i="92" s="1"/>
  <c r="B72" i="92"/>
  <c r="AF71" i="92"/>
  <c r="B341" i="92" s="1"/>
  <c r="AE71" i="92" a="1"/>
  <c r="AE71" i="92" s="1"/>
  <c r="B311" i="92" s="1"/>
  <c r="AD71" i="92" a="1"/>
  <c r="AD71" i="92" s="1"/>
  <c r="B281" i="92" s="1"/>
  <c r="B71" i="92"/>
  <c r="AF70" i="92"/>
  <c r="B340" i="92" s="1"/>
  <c r="AE70" i="92" a="1"/>
  <c r="AE70" i="92" s="1"/>
  <c r="B310" i="92" s="1"/>
  <c r="AD70" i="92" a="1"/>
  <c r="AD70" i="92" s="1"/>
  <c r="B280" i="92" s="1"/>
  <c r="B70" i="92"/>
  <c r="AF69" i="92"/>
  <c r="AE69" i="92" a="1"/>
  <c r="AE69" i="92" s="1"/>
  <c r="B309" i="92" s="1"/>
  <c r="AD69" i="92" a="1"/>
  <c r="AD69" i="92" s="1"/>
  <c r="B279" i="92" s="1"/>
  <c r="V69" i="92"/>
  <c r="O69" i="92"/>
  <c r="P69" i="92" s="1"/>
  <c r="B69" i="92"/>
  <c r="AF68" i="92"/>
  <c r="B338" i="92" s="1"/>
  <c r="AE68" i="92" a="1"/>
  <c r="AE68" i="92" s="1"/>
  <c r="B308" i="92" s="1"/>
  <c r="AD68" i="92" a="1"/>
  <c r="AD68" i="92" s="1"/>
  <c r="B278" i="92" s="1"/>
  <c r="V68" i="92"/>
  <c r="O68" i="92"/>
  <c r="P68" i="92" s="1"/>
  <c r="B68" i="92"/>
  <c r="AF67" i="92"/>
  <c r="B337" i="92" s="1"/>
  <c r="AE67" i="92" a="1"/>
  <c r="AE67" i="92" s="1"/>
  <c r="B307" i="92" s="1"/>
  <c r="AD67" i="92" a="1"/>
  <c r="AD67" i="92" s="1"/>
  <c r="B277" i="92" s="1"/>
  <c r="V67" i="92"/>
  <c r="O67" i="92"/>
  <c r="P67" i="92" s="1"/>
  <c r="B47" i="92" s="1"/>
  <c r="B67" i="92"/>
  <c r="AF66" i="92"/>
  <c r="AE66" i="92" a="1"/>
  <c r="AE66" i="92" s="1"/>
  <c r="B306" i="92" s="1"/>
  <c r="AD66" i="92" a="1"/>
  <c r="AD66" i="92" s="1"/>
  <c r="B276" i="92" s="1"/>
  <c r="V66" i="92"/>
  <c r="O66" i="92"/>
  <c r="P66" i="92" s="1"/>
  <c r="B66" i="92"/>
  <c r="AF65" i="92"/>
  <c r="AE65" i="92" a="1"/>
  <c r="AE65" i="92" s="1"/>
  <c r="B305" i="92" s="1"/>
  <c r="AD65" i="92" a="1"/>
  <c r="AD65" i="92" s="1"/>
  <c r="B275" i="92" s="1"/>
  <c r="V65" i="92"/>
  <c r="O65" i="92"/>
  <c r="P65" i="92" s="1"/>
  <c r="B65" i="92"/>
  <c r="AF64" i="92"/>
  <c r="B334" i="92" s="1"/>
  <c r="AE64" i="92" a="1"/>
  <c r="AE64" i="92" s="1"/>
  <c r="B304" i="92" s="1"/>
  <c r="AD64" i="92" a="1"/>
  <c r="AD64" i="92" s="1"/>
  <c r="B274" i="92" s="1"/>
  <c r="V64" i="92"/>
  <c r="P64" i="92"/>
  <c r="O64" i="92"/>
  <c r="B64" i="92"/>
  <c r="AF63" i="92"/>
  <c r="B333" i="92" s="1"/>
  <c r="AE63" i="92" a="1"/>
  <c r="AE63" i="92" s="1"/>
  <c r="B303" i="92" s="1"/>
  <c r="AD63" i="92" a="1"/>
  <c r="AD63" i="92" s="1"/>
  <c r="B273" i="92" s="1"/>
  <c r="V63" i="92"/>
  <c r="P63" i="92"/>
  <c r="B43" i="92" s="1"/>
  <c r="O63" i="92"/>
  <c r="B63" i="92"/>
  <c r="AF62" i="92"/>
  <c r="B332" i="92" s="1"/>
  <c r="AE62" i="92" a="1"/>
  <c r="AE62" i="92" s="1"/>
  <c r="B302" i="92" s="1"/>
  <c r="AD62" i="92" a="1"/>
  <c r="AD62" i="92" s="1"/>
  <c r="B272" i="92" s="1"/>
  <c r="V62" i="92"/>
  <c r="P62" i="92"/>
  <c r="O62" i="92"/>
  <c r="B62" i="92"/>
  <c r="AF61" i="92"/>
  <c r="B331" i="92" s="1"/>
  <c r="AE61" i="92" a="1"/>
  <c r="AE61" i="92" s="1"/>
  <c r="B301" i="92" s="1"/>
  <c r="AD61" i="92" a="1"/>
  <c r="AD61" i="92" s="1"/>
  <c r="B271" i="92" s="1"/>
  <c r="B61" i="92"/>
  <c r="AF60" i="92"/>
  <c r="B330" i="92" s="1"/>
  <c r="AE60" i="92" a="1"/>
  <c r="AE60" i="92" s="1"/>
  <c r="B300" i="92" s="1"/>
  <c r="AD60" i="92" a="1"/>
  <c r="AD60" i="92" s="1"/>
  <c r="B270" i="92" s="1"/>
  <c r="B60" i="92"/>
  <c r="AF59" i="92"/>
  <c r="B329" i="92" s="1"/>
  <c r="AE59" i="92" a="1"/>
  <c r="AE59" i="92" s="1"/>
  <c r="B299" i="92" s="1"/>
  <c r="AD59" i="92" a="1"/>
  <c r="AD59" i="92" s="1"/>
  <c r="B269" i="92" s="1"/>
  <c r="V59" i="92"/>
  <c r="O59" i="92"/>
  <c r="P59" i="92" s="1"/>
  <c r="AJ56" i="92" s="1"/>
  <c r="AK56" i="92" s="1"/>
  <c r="AF58" i="92"/>
  <c r="B328" i="92" s="1"/>
  <c r="AE58" i="92" a="1"/>
  <c r="AE58" i="92" s="1"/>
  <c r="B298" i="92" s="1"/>
  <c r="AD58" i="92" a="1"/>
  <c r="AD58" i="92" s="1"/>
  <c r="B268" i="92" s="1"/>
  <c r="V58" i="92"/>
  <c r="O58" i="92"/>
  <c r="P58" i="92" s="1"/>
  <c r="B40" i="92" s="1"/>
  <c r="AF57" i="92"/>
  <c r="B327" i="92" s="1"/>
  <c r="AE57" i="92" a="1"/>
  <c r="AE57" i="92" s="1"/>
  <c r="B297" i="92" s="1"/>
  <c r="AD57" i="92" a="1"/>
  <c r="AD57" i="92" s="1"/>
  <c r="B267" i="92" s="1"/>
  <c r="V57" i="92"/>
  <c r="P57" i="92"/>
  <c r="AJ48" i="92" s="1"/>
  <c r="AK48" i="92" s="1"/>
  <c r="O57" i="92"/>
  <c r="AF56" i="92"/>
  <c r="B326" i="92" s="1"/>
  <c r="AE56" i="92" a="1"/>
  <c r="AE56" i="92" s="1"/>
  <c r="B296" i="92" s="1"/>
  <c r="AD56" i="92" a="1"/>
  <c r="AD56" i="92" s="1"/>
  <c r="B266" i="92" s="1"/>
  <c r="V56" i="92"/>
  <c r="O56" i="92"/>
  <c r="P56" i="92" s="1"/>
  <c r="AF55" i="92"/>
  <c r="B325" i="92" s="1"/>
  <c r="AE55" i="92" a="1"/>
  <c r="AE55" i="92" s="1"/>
  <c r="B295" i="92" s="1"/>
  <c r="AD55" i="92" a="1"/>
  <c r="AD55" i="92" s="1"/>
  <c r="B265" i="92" s="1"/>
  <c r="V55" i="92"/>
  <c r="O55" i="92"/>
  <c r="P55" i="92" s="1"/>
  <c r="V54" i="92"/>
  <c r="P54" i="92"/>
  <c r="O54" i="92"/>
  <c r="V53" i="92"/>
  <c r="O53" i="92"/>
  <c r="P53" i="92" s="1"/>
  <c r="V52" i="92"/>
  <c r="O52" i="92"/>
  <c r="P52" i="92" s="1"/>
  <c r="B34" i="92" s="1"/>
  <c r="V49" i="92"/>
  <c r="O49" i="92"/>
  <c r="P49" i="92" s="1"/>
  <c r="V48" i="92"/>
  <c r="P48" i="92"/>
  <c r="AJ37" i="92" s="1"/>
  <c r="AK37" i="92" s="1"/>
  <c r="O48" i="92"/>
  <c r="V47" i="92"/>
  <c r="O47" i="92"/>
  <c r="P47" i="92" s="1"/>
  <c r="V46" i="92"/>
  <c r="O46" i="92"/>
  <c r="P46" i="92" s="1"/>
  <c r="V45" i="92"/>
  <c r="O45" i="92"/>
  <c r="P45" i="92" s="1"/>
  <c r="V44" i="92"/>
  <c r="O44" i="92"/>
  <c r="P44" i="92" s="1"/>
  <c r="B44" i="92"/>
  <c r="V43" i="92"/>
  <c r="O43" i="92"/>
  <c r="P43" i="92" s="1"/>
  <c r="V42" i="92"/>
  <c r="O42" i="92"/>
  <c r="P42" i="92" s="1"/>
  <c r="AJ2" i="92" s="1"/>
  <c r="AK2" i="92" s="1"/>
  <c r="AA41" i="92"/>
  <c r="Z41" i="92" s="1"/>
  <c r="AA40" i="92"/>
  <c r="Z40" i="92" s="1"/>
  <c r="AA39" i="92"/>
  <c r="Z39" i="92" s="1"/>
  <c r="AA38" i="92"/>
  <c r="Z38" i="92" s="1"/>
  <c r="V38" i="92"/>
  <c r="O38" i="92"/>
  <c r="P38" i="92"/>
  <c r="B25" i="92" s="1"/>
  <c r="AA37" i="92"/>
  <c r="Z37" i="92" s="1"/>
  <c r="V37" i="92"/>
  <c r="O37" i="92"/>
  <c r="P37" i="92"/>
  <c r="AA36" i="92"/>
  <c r="Z36" i="92" s="1"/>
  <c r="V36" i="92"/>
  <c r="O36" i="92"/>
  <c r="AA35" i="92"/>
  <c r="Z35" i="92" s="1"/>
  <c r="AA34" i="92"/>
  <c r="Z34" i="92" s="1"/>
  <c r="AA33" i="92"/>
  <c r="Z33" i="92" s="1"/>
  <c r="O33" i="92"/>
  <c r="P33" i="92" s="1"/>
  <c r="AJ47" i="92" s="1"/>
  <c r="AA32" i="92"/>
  <c r="Z32" i="92" s="1"/>
  <c r="V32" i="92"/>
  <c r="O32" i="92"/>
  <c r="P32" i="92" s="1"/>
  <c r="AJ17" i="92" s="1"/>
  <c r="AK17" i="92" s="1"/>
  <c r="B32" i="92"/>
  <c r="AF31" i="92"/>
  <c r="AD31" i="92"/>
  <c r="B144" i="92" s="1"/>
  <c r="AA31" i="92"/>
  <c r="Z31" i="92" s="1"/>
  <c r="O31" i="92"/>
  <c r="P31" i="92" s="1"/>
  <c r="AJ50" i="92" s="1"/>
  <c r="AF30" i="92"/>
  <c r="AD30" i="92"/>
  <c r="B143" i="92" s="1"/>
  <c r="AA30" i="92"/>
  <c r="Z30" i="92" s="1"/>
  <c r="AF29" i="92"/>
  <c r="B172" i="92" s="1"/>
  <c r="AD29" i="92"/>
  <c r="B142" i="92" s="1"/>
  <c r="AA29" i="92"/>
  <c r="Z29" i="92" s="1"/>
  <c r="AF28" i="92"/>
  <c r="B171" i="92" s="1"/>
  <c r="AD28" i="92"/>
  <c r="B141" i="92" s="1"/>
  <c r="AA28" i="92"/>
  <c r="Z28" i="92" s="1"/>
  <c r="V28" i="92"/>
  <c r="O28" i="92"/>
  <c r="P28" i="92"/>
  <c r="M74" i="92" s="1"/>
  <c r="B28" i="92"/>
  <c r="AF27" i="92"/>
  <c r="B170" i="92" s="1"/>
  <c r="AD27" i="92"/>
  <c r="B140" i="92" s="1"/>
  <c r="AA27" i="92"/>
  <c r="Z27" i="92" s="1"/>
  <c r="V27" i="92"/>
  <c r="O27" i="92"/>
  <c r="AF26" i="92"/>
  <c r="AD26" i="92"/>
  <c r="B139" i="92" s="1"/>
  <c r="AA26" i="92"/>
  <c r="Z26" i="92" s="1"/>
  <c r="V26" i="92"/>
  <c r="O26" i="92"/>
  <c r="B26" i="92"/>
  <c r="AF25" i="92"/>
  <c r="AD25" i="92"/>
  <c r="B138" i="92" s="1"/>
  <c r="AA25" i="92"/>
  <c r="Z25" i="92" s="1"/>
  <c r="AF24" i="92"/>
  <c r="B167" i="92" s="1"/>
  <c r="AD24" i="92"/>
  <c r="B137" i="92" s="1"/>
  <c r="AA24" i="92"/>
  <c r="Z24" i="92" s="1"/>
  <c r="AF23" i="92"/>
  <c r="B166" i="92" s="1"/>
  <c r="AD23" i="92"/>
  <c r="B136" i="92" s="1"/>
  <c r="AA23" i="92"/>
  <c r="Z23" i="92" s="1"/>
  <c r="N23" i="92"/>
  <c r="N8" i="92" s="1"/>
  <c r="AJ22" i="92"/>
  <c r="AK22" i="92" s="1"/>
  <c r="AF22" i="92"/>
  <c r="B165" i="92" s="1"/>
  <c r="AD22" i="92"/>
  <c r="B135" i="92" s="1"/>
  <c r="AA22" i="92"/>
  <c r="Z22" i="92" s="1"/>
  <c r="AF21" i="92"/>
  <c r="B164" i="92" s="1"/>
  <c r="AD21" i="92"/>
  <c r="B134" i="92" s="1"/>
  <c r="AA21" i="92"/>
  <c r="N21" i="92"/>
  <c r="AF20" i="92"/>
  <c r="AD20" i="92"/>
  <c r="B133" i="92" s="1"/>
  <c r="AA20" i="92"/>
  <c r="N20" i="92"/>
  <c r="AF19" i="92"/>
  <c r="B162" i="92" s="1"/>
  <c r="AD19" i="92"/>
  <c r="B132" i="92" s="1"/>
  <c r="AA19" i="92"/>
  <c r="N19" i="92"/>
  <c r="AF18" i="92"/>
  <c r="B161" i="92" s="1"/>
  <c r="AD18" i="92"/>
  <c r="B131" i="92" s="1"/>
  <c r="AA18" i="92"/>
  <c r="N18" i="92"/>
  <c r="AF17" i="92"/>
  <c r="B160" i="92" s="1"/>
  <c r="AD17" i="92"/>
  <c r="B130" i="92" s="1"/>
  <c r="AA17" i="92"/>
  <c r="N17" i="92"/>
  <c r="AF16" i="92"/>
  <c r="B159" i="92" s="1"/>
  <c r="AD16" i="92"/>
  <c r="B129" i="92" s="1"/>
  <c r="AA16" i="92"/>
  <c r="B16" i="92"/>
  <c r="AF15" i="92"/>
  <c r="B158" i="92" s="1"/>
  <c r="AD15" i="92"/>
  <c r="B128" i="92" s="1"/>
  <c r="AA15" i="92"/>
  <c r="B15" i="92"/>
  <c r="AF14" i="92"/>
  <c r="B157" i="92" s="1"/>
  <c r="AD14" i="92"/>
  <c r="B127" i="92" s="1"/>
  <c r="AA14" i="92"/>
  <c r="B14" i="92"/>
  <c r="AF13" i="92"/>
  <c r="B156" i="92" s="1"/>
  <c r="AD13" i="92"/>
  <c r="B126" i="92" s="1"/>
  <c r="AA13" i="92"/>
  <c r="AJ12" i="92"/>
  <c r="AK12" i="92" s="1"/>
  <c r="AF12" i="92"/>
  <c r="B155" i="92" s="1"/>
  <c r="AD12" i="92"/>
  <c r="B125" i="92" s="1"/>
  <c r="AA12" i="92"/>
  <c r="N12" i="92"/>
  <c r="B12" i="92"/>
  <c r="B13" i="92" s="1"/>
  <c r="AA11" i="92"/>
  <c r="B11" i="92"/>
  <c r="AA10" i="92"/>
  <c r="AA9" i="92"/>
  <c r="B9" i="92"/>
  <c r="B10" i="92" s="1"/>
  <c r="AA8" i="92"/>
  <c r="G8" i="92"/>
  <c r="D8" i="92"/>
  <c r="B8" i="92"/>
  <c r="D7" i="92"/>
  <c r="B7" i="92"/>
  <c r="B6" i="92"/>
  <c r="B5" i="92"/>
  <c r="N4" i="92"/>
  <c r="B2" i="92"/>
  <c r="M218" i="91"/>
  <c r="P218" i="91" s="1"/>
  <c r="B354" i="91" s="1"/>
  <c r="L164" i="91"/>
  <c r="N163" i="91"/>
  <c r="L78" i="91"/>
  <c r="N77" i="91"/>
  <c r="N10" i="91" s="1"/>
  <c r="N71" i="91"/>
  <c r="N40" i="91"/>
  <c r="B364" i="91"/>
  <c r="B363" i="91"/>
  <c r="B362" i="91"/>
  <c r="B361" i="91"/>
  <c r="B360" i="91"/>
  <c r="B359" i="91"/>
  <c r="B358" i="91"/>
  <c r="B357" i="91"/>
  <c r="E281" i="91"/>
  <c r="E282" i="91" s="1"/>
  <c r="E283" i="91" s="1"/>
  <c r="E284" i="91" s="1"/>
  <c r="E285" i="91" s="1"/>
  <c r="E286" i="91" s="1"/>
  <c r="E287" i="91" s="1"/>
  <c r="E288" i="91" s="1"/>
  <c r="E289" i="91" s="1"/>
  <c r="E290" i="91" s="1"/>
  <c r="E291" i="91" s="1"/>
  <c r="E292" i="91" s="1"/>
  <c r="E293" i="91" s="1"/>
  <c r="E294" i="91" s="1"/>
  <c r="E295" i="91" s="1"/>
  <c r="E296" i="91" s="1"/>
  <c r="E297" i="91" s="1"/>
  <c r="E298" i="91" s="1"/>
  <c r="E299" i="91" s="1"/>
  <c r="E300" i="91" s="1"/>
  <c r="E301" i="91" s="1"/>
  <c r="E302" i="91" s="1"/>
  <c r="E303" i="91" s="1"/>
  <c r="E304" i="91" s="1"/>
  <c r="E305" i="91" s="1"/>
  <c r="E306" i="91" s="1"/>
  <c r="E307" i="91" s="1"/>
  <c r="E308" i="91" s="1"/>
  <c r="E309" i="91" s="1"/>
  <c r="E310" i="91" s="1"/>
  <c r="E311" i="91" s="1"/>
  <c r="E312" i="91" s="1"/>
  <c r="E313" i="91" s="1"/>
  <c r="E314" i="91" s="1"/>
  <c r="E315" i="91" s="1"/>
  <c r="E316" i="91" s="1"/>
  <c r="H238" i="91"/>
  <c r="H237" i="91"/>
  <c r="H236" i="91"/>
  <c r="F234" i="91"/>
  <c r="H234" i="91" s="1"/>
  <c r="B216" i="91"/>
  <c r="R215" i="91"/>
  <c r="Q215" i="91"/>
  <c r="O215" i="91"/>
  <c r="P215" i="91" s="1"/>
  <c r="H215" i="91"/>
  <c r="G215" i="91"/>
  <c r="B215" i="91"/>
  <c r="R214" i="91"/>
  <c r="Q214" i="91"/>
  <c r="O214" i="91"/>
  <c r="H214" i="91"/>
  <c r="G214" i="91"/>
  <c r="B214" i="91"/>
  <c r="R213" i="91"/>
  <c r="Q213" i="91"/>
  <c r="O213" i="91"/>
  <c r="P213" i="91" s="1"/>
  <c r="H213" i="91"/>
  <c r="G213" i="91"/>
  <c r="B213" i="91"/>
  <c r="R212" i="91"/>
  <c r="Q212" i="91"/>
  <c r="O212" i="91"/>
  <c r="P212" i="91" s="1"/>
  <c r="H212" i="91"/>
  <c r="G212" i="91"/>
  <c r="B212" i="91"/>
  <c r="R211" i="91"/>
  <c r="Q211" i="91"/>
  <c r="O211" i="91"/>
  <c r="P211" i="91" s="1"/>
  <c r="H211" i="91"/>
  <c r="G211" i="91"/>
  <c r="B211" i="91"/>
  <c r="R210" i="91"/>
  <c r="Q210" i="91"/>
  <c r="O210" i="91"/>
  <c r="H210" i="91"/>
  <c r="G210" i="91"/>
  <c r="B210" i="91"/>
  <c r="R209" i="91"/>
  <c r="Q209" i="91"/>
  <c r="O209" i="91"/>
  <c r="P209" i="91" s="1"/>
  <c r="H209" i="91"/>
  <c r="G209" i="91"/>
  <c r="B209" i="91"/>
  <c r="R208" i="91"/>
  <c r="Q208" i="91"/>
  <c r="O208" i="91"/>
  <c r="P208" i="91" s="1"/>
  <c r="H208" i="91"/>
  <c r="G208" i="91"/>
  <c r="B208" i="91"/>
  <c r="R207" i="91"/>
  <c r="Q207" i="91"/>
  <c r="O207" i="91"/>
  <c r="P207" i="91" s="1"/>
  <c r="H207" i="91"/>
  <c r="G207" i="91"/>
  <c r="B207" i="91"/>
  <c r="R206" i="91"/>
  <c r="Q206" i="91"/>
  <c r="O206" i="91"/>
  <c r="P206" i="91" s="1"/>
  <c r="H206" i="91"/>
  <c r="G206" i="91"/>
  <c r="B206" i="91"/>
  <c r="B205" i="91"/>
  <c r="B204" i="91"/>
  <c r="R203" i="91"/>
  <c r="O203" i="91"/>
  <c r="G203" i="91"/>
  <c r="B203" i="91"/>
  <c r="R202" i="91"/>
  <c r="O202" i="91"/>
  <c r="P202" i="91" s="1"/>
  <c r="AA120" i="91" s="1"/>
  <c r="G202" i="91"/>
  <c r="B202" i="91"/>
  <c r="R201" i="91"/>
  <c r="O201" i="91"/>
  <c r="G201" i="91"/>
  <c r="B201" i="91"/>
  <c r="R200" i="91"/>
  <c r="O200" i="91"/>
  <c r="P200" i="91" s="1"/>
  <c r="AA118" i="91" s="1"/>
  <c r="G200" i="91"/>
  <c r="R199" i="91"/>
  <c r="O199" i="91"/>
  <c r="P199" i="91" s="1"/>
  <c r="AA117" i="91" s="1"/>
  <c r="G199" i="91"/>
  <c r="Z117" i="91" s="1"/>
  <c r="R198" i="91"/>
  <c r="O198" i="91"/>
  <c r="P198" i="91" s="1"/>
  <c r="AA116" i="91" s="1"/>
  <c r="G198" i="91"/>
  <c r="R197" i="91"/>
  <c r="O197" i="91"/>
  <c r="P197" i="91" s="1"/>
  <c r="AA115" i="91" s="1"/>
  <c r="G197" i="91"/>
  <c r="R196" i="91"/>
  <c r="O196" i="91"/>
  <c r="P196" i="91" s="1"/>
  <c r="AA114" i="91" s="1"/>
  <c r="G196" i="91"/>
  <c r="B196" i="91"/>
  <c r="R195" i="91"/>
  <c r="O195" i="91"/>
  <c r="G195" i="91"/>
  <c r="B195" i="91"/>
  <c r="R194" i="91"/>
  <c r="O194" i="91"/>
  <c r="G194" i="91"/>
  <c r="B194" i="91"/>
  <c r="B193" i="91"/>
  <c r="B192" i="91"/>
  <c r="O191" i="91"/>
  <c r="B191" i="91"/>
  <c r="O190" i="91"/>
  <c r="B190" i="91"/>
  <c r="O189" i="91"/>
  <c r="B189" i="91"/>
  <c r="O188" i="91"/>
  <c r="B188" i="91"/>
  <c r="O187" i="91"/>
  <c r="B187" i="91"/>
  <c r="B186" i="91"/>
  <c r="O185" i="91"/>
  <c r="P185" i="91" s="1"/>
  <c r="I185" i="91"/>
  <c r="M191" i="91" s="1"/>
  <c r="B185" i="91"/>
  <c r="O184" i="91"/>
  <c r="P184" i="91" s="1"/>
  <c r="L186" i="91" s="1"/>
  <c r="I184" i="91"/>
  <c r="M190" i="91" s="1"/>
  <c r="B184" i="91"/>
  <c r="B183" i="91"/>
  <c r="B182" i="91"/>
  <c r="R181" i="91"/>
  <c r="O181" i="91"/>
  <c r="H181" i="91"/>
  <c r="B181" i="91"/>
  <c r="R180" i="91"/>
  <c r="O180" i="91"/>
  <c r="P180" i="91" s="1"/>
  <c r="AA85" i="91" s="1"/>
  <c r="H180" i="91"/>
  <c r="R179" i="91"/>
  <c r="O179" i="91"/>
  <c r="H179" i="91"/>
  <c r="R178" i="91"/>
  <c r="O178" i="91"/>
  <c r="H178" i="91"/>
  <c r="R177" i="91"/>
  <c r="O177" i="91"/>
  <c r="H177" i="91"/>
  <c r="I164" i="91"/>
  <c r="H164" i="91"/>
  <c r="G164" i="91"/>
  <c r="O161" i="91"/>
  <c r="P161" i="91" s="1"/>
  <c r="O160" i="91"/>
  <c r="P160" i="91" s="1"/>
  <c r="R157" i="91"/>
  <c r="Q157" i="91"/>
  <c r="O157" i="91"/>
  <c r="P157" i="91" s="1"/>
  <c r="H157" i="91"/>
  <c r="G157" i="91"/>
  <c r="R156" i="91"/>
  <c r="Q156" i="91"/>
  <c r="O156" i="91"/>
  <c r="H156" i="91"/>
  <c r="G156" i="91"/>
  <c r="R155" i="91"/>
  <c r="Q155" i="91"/>
  <c r="O155" i="91"/>
  <c r="H155" i="91"/>
  <c r="G155" i="91"/>
  <c r="R154" i="91"/>
  <c r="Q154" i="91"/>
  <c r="O154" i="91"/>
  <c r="P154" i="91" s="1"/>
  <c r="H154" i="91"/>
  <c r="G154" i="91"/>
  <c r="AF153" i="91" a="1"/>
  <c r="AF153" i="91" s="1"/>
  <c r="B236" i="91" s="1"/>
  <c r="AE153" i="91"/>
  <c r="R153" i="91"/>
  <c r="Q153" i="91"/>
  <c r="O153" i="91"/>
  <c r="P153" i="91" s="1"/>
  <c r="H153" i="91"/>
  <c r="G153" i="91"/>
  <c r="AF152" i="91" a="1"/>
  <c r="AF152" i="91" s="1"/>
  <c r="B235" i="91" s="1"/>
  <c r="AE152" i="91"/>
  <c r="R152" i="91"/>
  <c r="Q152" i="91"/>
  <c r="O152" i="91"/>
  <c r="P152" i="91" s="1"/>
  <c r="H152" i="91"/>
  <c r="G152" i="91"/>
  <c r="AF151" i="91" a="1"/>
  <c r="AF151" i="91" s="1"/>
  <c r="B234" i="91" s="1"/>
  <c r="AE151" i="91"/>
  <c r="R151" i="91"/>
  <c r="Q151" i="91"/>
  <c r="O151" i="91"/>
  <c r="P151" i="91" s="1"/>
  <c r="H151" i="91"/>
  <c r="G151" i="91"/>
  <c r="AF150" i="91" a="1"/>
  <c r="AF150" i="91" s="1"/>
  <c r="B233" i="91" s="1"/>
  <c r="AE150" i="91"/>
  <c r="R150" i="91"/>
  <c r="Q150" i="91"/>
  <c r="O150" i="91"/>
  <c r="H150" i="91"/>
  <c r="G150" i="91"/>
  <c r="AF149" i="91" a="1"/>
  <c r="AF149" i="91" s="1"/>
  <c r="B232" i="91" s="1"/>
  <c r="AE149" i="91"/>
  <c r="R149" i="91"/>
  <c r="Q149" i="91"/>
  <c r="O149" i="91"/>
  <c r="H149" i="91"/>
  <c r="G149" i="91"/>
  <c r="AF148" i="91" a="1"/>
  <c r="AF148" i="91" s="1"/>
  <c r="B231" i="91" s="1"/>
  <c r="AE148" i="91"/>
  <c r="R148" i="91"/>
  <c r="Q148" i="91"/>
  <c r="O148" i="91"/>
  <c r="H148" i="91"/>
  <c r="G148" i="91"/>
  <c r="AF147" i="91" a="1"/>
  <c r="AF147" i="91" s="1"/>
  <c r="B230" i="91" s="1"/>
  <c r="AE147" i="91"/>
  <c r="R147" i="91"/>
  <c r="Q147" i="91"/>
  <c r="O147" i="91"/>
  <c r="P147" i="91" s="1"/>
  <c r="H147" i="91"/>
  <c r="G147" i="91"/>
  <c r="AF146" i="91" a="1"/>
  <c r="AF146" i="91" s="1"/>
  <c r="B229" i="91" s="1"/>
  <c r="AE146" i="91"/>
  <c r="R146" i="91"/>
  <c r="Q146" i="91"/>
  <c r="O146" i="91"/>
  <c r="H146" i="91"/>
  <c r="G146" i="91"/>
  <c r="AF145" i="91" a="1"/>
  <c r="AF145" i="91" s="1"/>
  <c r="B228" i="91" s="1"/>
  <c r="AE145" i="91"/>
  <c r="R145" i="91"/>
  <c r="Q145" i="91"/>
  <c r="O145" i="91"/>
  <c r="P145" i="91" s="1"/>
  <c r="H145" i="91"/>
  <c r="G145" i="91"/>
  <c r="AF144" i="91" a="1"/>
  <c r="AF144" i="91" s="1"/>
  <c r="B227" i="91" s="1"/>
  <c r="AE144" i="91"/>
  <c r="R144" i="91"/>
  <c r="Q144" i="91"/>
  <c r="O144" i="91"/>
  <c r="H144" i="91"/>
  <c r="AF143" i="91" a="1"/>
  <c r="AF143" i="91" s="1"/>
  <c r="B226" i="91" s="1"/>
  <c r="AE143" i="91"/>
  <c r="R143" i="91"/>
  <c r="Q143" i="91"/>
  <c r="O143" i="91"/>
  <c r="P143" i="91" s="1"/>
  <c r="H143" i="91"/>
  <c r="G143" i="91"/>
  <c r="AF142" i="91" a="1"/>
  <c r="AF142" i="91" s="1"/>
  <c r="B225" i="91" s="1"/>
  <c r="AE142" i="91"/>
  <c r="R142" i="91"/>
  <c r="Q142" i="91"/>
  <c r="O142" i="91"/>
  <c r="H142" i="91"/>
  <c r="AF141" i="91" a="1"/>
  <c r="AF141" i="91" s="1"/>
  <c r="B224" i="91" s="1"/>
  <c r="AE141" i="91"/>
  <c r="R141" i="91"/>
  <c r="Q141" i="91"/>
  <c r="O141" i="91"/>
  <c r="H141" i="91"/>
  <c r="AF140" i="91" a="1"/>
  <c r="AF140" i="91" s="1"/>
  <c r="B223" i="91" s="1"/>
  <c r="AE140" i="91"/>
  <c r="R140" i="91"/>
  <c r="Q140" i="91"/>
  <c r="O140" i="91"/>
  <c r="P140" i="91" s="1"/>
  <c r="H140" i="91"/>
  <c r="AF139" i="91" a="1"/>
  <c r="AF139" i="91" s="1"/>
  <c r="B222" i="91" s="1"/>
  <c r="AE139" i="91"/>
  <c r="R139" i="91"/>
  <c r="Q139" i="91"/>
  <c r="O139" i="91"/>
  <c r="H139" i="91"/>
  <c r="AF138" i="91" a="1"/>
  <c r="AF138" i="91" s="1"/>
  <c r="B221" i="91" s="1"/>
  <c r="AE138" i="91"/>
  <c r="R138" i="91"/>
  <c r="Q138" i="91"/>
  <c r="O138" i="91"/>
  <c r="H138" i="91"/>
  <c r="H137" i="91"/>
  <c r="R135" i="91"/>
  <c r="Q135" i="91"/>
  <c r="O135" i="91"/>
  <c r="P135" i="91" s="1"/>
  <c r="B98" i="91" s="1"/>
  <c r="R134" i="91"/>
  <c r="Q134" i="91"/>
  <c r="O134" i="91"/>
  <c r="P134" i="91" s="1"/>
  <c r="B97" i="91" s="1"/>
  <c r="R133" i="91"/>
  <c r="Q133" i="91"/>
  <c r="O133" i="91"/>
  <c r="P133" i="91" s="1"/>
  <c r="B96" i="91" s="1"/>
  <c r="R132" i="91"/>
  <c r="Q132" i="91"/>
  <c r="O132" i="91"/>
  <c r="P132" i="91" s="1"/>
  <c r="B95" i="91" s="1"/>
  <c r="P129" i="91"/>
  <c r="B94" i="91" s="1"/>
  <c r="P128" i="91"/>
  <c r="B92" i="91" s="1"/>
  <c r="B91" i="91"/>
  <c r="P127" i="91"/>
  <c r="B90" i="91" s="1"/>
  <c r="R126" i="91"/>
  <c r="P126" i="91"/>
  <c r="R128" i="91" s="1"/>
  <c r="P125" i="91"/>
  <c r="Z121" i="91"/>
  <c r="Z120" i="91"/>
  <c r="O120" i="91"/>
  <c r="P120" i="91" s="1"/>
  <c r="H120" i="91"/>
  <c r="G120" i="91"/>
  <c r="Z119" i="91"/>
  <c r="O119" i="91"/>
  <c r="P119" i="91" s="1"/>
  <c r="H119" i="91"/>
  <c r="G119" i="91"/>
  <c r="Z118" i="91"/>
  <c r="O118" i="91"/>
  <c r="P118" i="91" s="1"/>
  <c r="H118" i="91"/>
  <c r="G118" i="91"/>
  <c r="O117" i="91"/>
  <c r="P117" i="91" s="1"/>
  <c r="H117" i="91"/>
  <c r="G117" i="91"/>
  <c r="Z116" i="91"/>
  <c r="O116" i="91"/>
  <c r="P116" i="91" s="1"/>
  <c r="H116" i="91"/>
  <c r="G116" i="91"/>
  <c r="Z115" i="91"/>
  <c r="O115" i="91"/>
  <c r="P115" i="91" s="1"/>
  <c r="H115" i="91"/>
  <c r="G115" i="91"/>
  <c r="Z114" i="91"/>
  <c r="O114" i="91"/>
  <c r="P114" i="91" s="1"/>
  <c r="H114" i="91"/>
  <c r="G114" i="91"/>
  <c r="Z113" i="91"/>
  <c r="O113" i="91"/>
  <c r="P113" i="91" s="1"/>
  <c r="H113" i="91"/>
  <c r="G113" i="91"/>
  <c r="Z112" i="91"/>
  <c r="O112" i="91"/>
  <c r="P112" i="91" s="1"/>
  <c r="H112" i="91"/>
  <c r="G112" i="91"/>
  <c r="O111" i="91"/>
  <c r="P111" i="91" s="1"/>
  <c r="H111" i="91"/>
  <c r="G111" i="91"/>
  <c r="O110" i="91"/>
  <c r="P110" i="91" s="1"/>
  <c r="H110" i="91"/>
  <c r="G110" i="91"/>
  <c r="O109" i="91"/>
  <c r="P109" i="91" s="1"/>
  <c r="H109" i="91"/>
  <c r="G109" i="91"/>
  <c r="O108" i="91"/>
  <c r="P108" i="91" s="1"/>
  <c r="H108" i="91"/>
  <c r="G108" i="91"/>
  <c r="O107" i="91"/>
  <c r="P107" i="91" s="1"/>
  <c r="H107" i="91"/>
  <c r="G107" i="91"/>
  <c r="O106" i="91"/>
  <c r="P106" i="91" s="1"/>
  <c r="H106" i="91"/>
  <c r="G106" i="91"/>
  <c r="O105" i="91"/>
  <c r="P105" i="91" s="1"/>
  <c r="H105" i="91"/>
  <c r="G105" i="91"/>
  <c r="O104" i="91"/>
  <c r="P104" i="91" s="1"/>
  <c r="H104" i="91"/>
  <c r="G104" i="91"/>
  <c r="O103" i="91"/>
  <c r="P103" i="91" s="1"/>
  <c r="H103" i="91"/>
  <c r="G103" i="91"/>
  <c r="O102" i="91"/>
  <c r="P102" i="91" s="1"/>
  <c r="H102" i="91"/>
  <c r="G102" i="91"/>
  <c r="B102" i="91"/>
  <c r="O101" i="91"/>
  <c r="P101" i="91" s="1"/>
  <c r="H101" i="91"/>
  <c r="G101" i="91"/>
  <c r="B100" i="91"/>
  <c r="R98" i="91"/>
  <c r="Q98" i="91"/>
  <c r="O98" i="91"/>
  <c r="P98" i="91" s="1"/>
  <c r="H98" i="91"/>
  <c r="R97" i="91"/>
  <c r="Q97" i="91"/>
  <c r="O97" i="91"/>
  <c r="H97" i="91"/>
  <c r="R96" i="91"/>
  <c r="Q96" i="91"/>
  <c r="O96" i="91"/>
  <c r="P96" i="91" s="1"/>
  <c r="H96" i="91"/>
  <c r="R95" i="91"/>
  <c r="Q95" i="91"/>
  <c r="O95" i="91"/>
  <c r="P95" i="91" s="1"/>
  <c r="H95" i="91"/>
  <c r="R94" i="91"/>
  <c r="Q94" i="91"/>
  <c r="O94" i="91"/>
  <c r="P94" i="91" s="1"/>
  <c r="H94" i="91"/>
  <c r="R93" i="91"/>
  <c r="Q93" i="91"/>
  <c r="O93" i="91"/>
  <c r="H93" i="91"/>
  <c r="R92" i="91"/>
  <c r="Q92" i="91"/>
  <c r="O92" i="91"/>
  <c r="P92" i="91" s="1"/>
  <c r="H92" i="91"/>
  <c r="R91" i="91"/>
  <c r="Q91" i="91"/>
  <c r="O91" i="91"/>
  <c r="P91" i="91" s="1"/>
  <c r="H91" i="91"/>
  <c r="R90" i="91"/>
  <c r="Q90" i="91"/>
  <c r="O90" i="91"/>
  <c r="P90" i="91" s="1"/>
  <c r="H90" i="91"/>
  <c r="R89" i="91"/>
  <c r="Q89" i="91"/>
  <c r="O89" i="91"/>
  <c r="H89" i="91"/>
  <c r="R88" i="91"/>
  <c r="Q88" i="91"/>
  <c r="O88" i="91"/>
  <c r="H88" i="91"/>
  <c r="R87" i="91"/>
  <c r="Q87" i="91"/>
  <c r="O87" i="91"/>
  <c r="P87" i="91" s="1"/>
  <c r="H87" i="91"/>
  <c r="B87" i="91"/>
  <c r="R86" i="91"/>
  <c r="Q86" i="91"/>
  <c r="O86" i="91"/>
  <c r="H86" i="91"/>
  <c r="R85" i="91"/>
  <c r="Q85" i="91"/>
  <c r="O85" i="91"/>
  <c r="H85" i="91"/>
  <c r="B85" i="91"/>
  <c r="R84" i="91"/>
  <c r="Q84" i="91"/>
  <c r="O84" i="91"/>
  <c r="H84" i="91"/>
  <c r="R83" i="91"/>
  <c r="Q83" i="91"/>
  <c r="O83" i="91"/>
  <c r="P83" i="91" s="1"/>
  <c r="H83" i="91"/>
  <c r="B83" i="91"/>
  <c r="R82" i="91"/>
  <c r="Q82" i="91"/>
  <c r="O82" i="91"/>
  <c r="H82" i="91"/>
  <c r="B82" i="91"/>
  <c r="R81" i="91"/>
  <c r="Q81" i="91"/>
  <c r="O81" i="91"/>
  <c r="P81" i="91" s="1"/>
  <c r="H81" i="91"/>
  <c r="B81" i="91"/>
  <c r="R80" i="91"/>
  <c r="Q80" i="91"/>
  <c r="O80" i="91"/>
  <c r="P80" i="91" s="1"/>
  <c r="H80" i="91"/>
  <c r="B80" i="91"/>
  <c r="R79" i="91"/>
  <c r="Q79" i="91"/>
  <c r="O79" i="91"/>
  <c r="P79" i="91" s="1"/>
  <c r="H79" i="91"/>
  <c r="B79" i="91"/>
  <c r="B78" i="91"/>
  <c r="B77" i="91"/>
  <c r="B76" i="91"/>
  <c r="B75" i="91"/>
  <c r="O74" i="91"/>
  <c r="B74" i="91"/>
  <c r="AF73" i="91"/>
  <c r="B343" i="91" s="1"/>
  <c r="AE73" i="91" a="1"/>
  <c r="AE73" i="91" s="1"/>
  <c r="B313" i="91" s="1"/>
  <c r="AD73" i="91" a="1"/>
  <c r="AD73" i="91" s="1"/>
  <c r="B283" i="91" s="1"/>
  <c r="O73" i="91"/>
  <c r="P73" i="91" s="1"/>
  <c r="B73" i="91"/>
  <c r="AF72" i="91"/>
  <c r="B342" i="91" s="1"/>
  <c r="AE72" i="91" a="1"/>
  <c r="AE72" i="91" s="1"/>
  <c r="B312" i="91" s="1"/>
  <c r="AD72" i="91" a="1"/>
  <c r="AD72" i="91" s="1"/>
  <c r="B282" i="91" s="1"/>
  <c r="O72" i="91"/>
  <c r="P72" i="91" s="1"/>
  <c r="B72" i="91"/>
  <c r="AF71" i="91"/>
  <c r="B341" i="91" s="1"/>
  <c r="AE71" i="91" a="1"/>
  <c r="AE71" i="91" s="1"/>
  <c r="B311" i="91" s="1"/>
  <c r="AD71" i="91" a="1"/>
  <c r="AD71" i="91" s="1"/>
  <c r="B281" i="91" s="1"/>
  <c r="B71" i="91"/>
  <c r="AF70" i="91"/>
  <c r="B340" i="91" s="1"/>
  <c r="AE70" i="91" a="1"/>
  <c r="AE70" i="91" s="1"/>
  <c r="B310" i="91" s="1"/>
  <c r="AD70" i="91" a="1"/>
  <c r="AD70" i="91" s="1"/>
  <c r="B280" i="91" s="1"/>
  <c r="B70" i="91"/>
  <c r="AF69" i="91"/>
  <c r="B339" i="91" s="1"/>
  <c r="AE69" i="91" a="1"/>
  <c r="AE69" i="91" s="1"/>
  <c r="B309" i="91" s="1"/>
  <c r="AD69" i="91" a="1"/>
  <c r="AD69" i="91" s="1"/>
  <c r="B279" i="91" s="1"/>
  <c r="V69" i="91"/>
  <c r="O69" i="91"/>
  <c r="P69" i="91" s="1"/>
  <c r="B69" i="91"/>
  <c r="AF68" i="91"/>
  <c r="B338" i="91" s="1"/>
  <c r="AE68" i="91" a="1"/>
  <c r="AE68" i="91" s="1"/>
  <c r="B308" i="91" s="1"/>
  <c r="AD68" i="91" a="1"/>
  <c r="AD68" i="91" s="1"/>
  <c r="B278" i="91" s="1"/>
  <c r="V68" i="91"/>
  <c r="O68" i="91"/>
  <c r="P68" i="91" s="1"/>
  <c r="B68" i="91"/>
  <c r="AF67" i="91"/>
  <c r="B337" i="91" s="1"/>
  <c r="AE67" i="91" a="1"/>
  <c r="AE67" i="91" s="1"/>
  <c r="B307" i="91" s="1"/>
  <c r="AD67" i="91" a="1"/>
  <c r="AD67" i="91" s="1"/>
  <c r="B277" i="91" s="1"/>
  <c r="V67" i="91"/>
  <c r="O67" i="91"/>
  <c r="P67" i="91" s="1"/>
  <c r="B47" i="91" s="1"/>
  <c r="B67" i="91"/>
  <c r="AF66" i="91"/>
  <c r="B336" i="91" s="1"/>
  <c r="AE66" i="91" a="1"/>
  <c r="AE66" i="91" s="1"/>
  <c r="B306" i="91" s="1"/>
  <c r="AD66" i="91" a="1"/>
  <c r="AD66" i="91" s="1"/>
  <c r="B276" i="91" s="1"/>
  <c r="V66" i="91"/>
  <c r="O66" i="91"/>
  <c r="P66" i="91" s="1"/>
  <c r="B46" i="91" s="1"/>
  <c r="B66" i="91"/>
  <c r="AF65" i="91"/>
  <c r="B335" i="91" s="1"/>
  <c r="AE65" i="91" a="1"/>
  <c r="AE65" i="91" s="1"/>
  <c r="B305" i="91" s="1"/>
  <c r="AD65" i="91" a="1"/>
  <c r="AD65" i="91" s="1"/>
  <c r="B275" i="91" s="1"/>
  <c r="V65" i="91"/>
  <c r="O65" i="91"/>
  <c r="P65" i="91" s="1"/>
  <c r="B65" i="91"/>
  <c r="AF64" i="91"/>
  <c r="B334" i="91" s="1"/>
  <c r="AE64" i="91" a="1"/>
  <c r="AE64" i="91" s="1"/>
  <c r="B304" i="91" s="1"/>
  <c r="AD64" i="91" a="1"/>
  <c r="AD64" i="91" s="1"/>
  <c r="B274" i="91" s="1"/>
  <c r="V64" i="91"/>
  <c r="O64" i="91"/>
  <c r="P64" i="91" s="1"/>
  <c r="B64" i="91"/>
  <c r="AF63" i="91"/>
  <c r="B333" i="91" s="1"/>
  <c r="AE63" i="91" a="1"/>
  <c r="AE63" i="91" s="1"/>
  <c r="B303" i="91" s="1"/>
  <c r="AD63" i="91" a="1"/>
  <c r="AD63" i="91" s="1"/>
  <c r="B273" i="91" s="1"/>
  <c r="V63" i="91"/>
  <c r="O63" i="91"/>
  <c r="P63" i="91" s="1"/>
  <c r="AJ21" i="91" s="1"/>
  <c r="AK21" i="91" s="1"/>
  <c r="B63" i="91"/>
  <c r="AF62" i="91"/>
  <c r="B332" i="91" s="1"/>
  <c r="AE62" i="91" a="1"/>
  <c r="AE62" i="91" s="1"/>
  <c r="B302" i="91" s="1"/>
  <c r="AD62" i="91" a="1"/>
  <c r="AD62" i="91" s="1"/>
  <c r="B272" i="91" s="1"/>
  <c r="V62" i="91"/>
  <c r="O62" i="91"/>
  <c r="P62" i="91" s="1"/>
  <c r="B62" i="91"/>
  <c r="AF61" i="91"/>
  <c r="B331" i="91" s="1"/>
  <c r="AE61" i="91" a="1"/>
  <c r="AE61" i="91" s="1"/>
  <c r="B301" i="91" s="1"/>
  <c r="AD61" i="91" a="1"/>
  <c r="AD61" i="91" s="1"/>
  <c r="B271" i="91" s="1"/>
  <c r="B61" i="91"/>
  <c r="AF60" i="91"/>
  <c r="B330" i="91" s="1"/>
  <c r="AE60" i="91" a="1"/>
  <c r="AE60" i="91" s="1"/>
  <c r="B300" i="91" s="1"/>
  <c r="AD60" i="91" a="1"/>
  <c r="AD60" i="91" s="1"/>
  <c r="B270" i="91" s="1"/>
  <c r="B60" i="91"/>
  <c r="AF59" i="91"/>
  <c r="B329" i="91" s="1"/>
  <c r="AE59" i="91" a="1"/>
  <c r="AE59" i="91" s="1"/>
  <c r="B299" i="91" s="1"/>
  <c r="AD59" i="91" a="1"/>
  <c r="AD59" i="91" s="1"/>
  <c r="B269" i="91" s="1"/>
  <c r="V59" i="91"/>
  <c r="O59" i="91"/>
  <c r="P59" i="91" s="1"/>
  <c r="AJ56" i="91" s="1"/>
  <c r="AK56" i="91" s="1"/>
  <c r="AF58" i="91"/>
  <c r="B328" i="91" s="1"/>
  <c r="AE58" i="91" a="1"/>
  <c r="AE58" i="91" s="1"/>
  <c r="B298" i="91" s="1"/>
  <c r="AD58" i="91" a="1"/>
  <c r="AD58" i="91" s="1"/>
  <c r="B268" i="91" s="1"/>
  <c r="V58" i="91"/>
  <c r="O58" i="91"/>
  <c r="P58" i="91" s="1"/>
  <c r="B40" i="91" s="1"/>
  <c r="AF57" i="91"/>
  <c r="B327" i="91" s="1"/>
  <c r="AE57" i="91" a="1"/>
  <c r="AE57" i="91" s="1"/>
  <c r="B297" i="91" s="1"/>
  <c r="AD57" i="91" a="1"/>
  <c r="AD57" i="91" s="1"/>
  <c r="B267" i="91" s="1"/>
  <c r="V57" i="91"/>
  <c r="O57" i="91"/>
  <c r="P57" i="91" s="1"/>
  <c r="AF56" i="91"/>
  <c r="B326" i="91" s="1"/>
  <c r="AE56" i="91" a="1"/>
  <c r="AE56" i="91" s="1"/>
  <c r="B296" i="91" s="1"/>
  <c r="AD56" i="91" a="1"/>
  <c r="AD56" i="91" s="1"/>
  <c r="B266" i="91" s="1"/>
  <c r="V56" i="91"/>
  <c r="O56" i="91"/>
  <c r="P56" i="91" s="1"/>
  <c r="AF55" i="91"/>
  <c r="B325" i="91" s="1"/>
  <c r="AE55" i="91" a="1"/>
  <c r="AE55" i="91" s="1"/>
  <c r="B295" i="91" s="1"/>
  <c r="AD55" i="91" a="1"/>
  <c r="AD55" i="91" s="1"/>
  <c r="B265" i="91" s="1"/>
  <c r="V55" i="91"/>
  <c r="O55" i="91"/>
  <c r="P55" i="91" s="1"/>
  <c r="B37" i="91" s="1"/>
  <c r="AF54" i="91"/>
  <c r="B324" i="91" s="1"/>
  <c r="AE54" i="91" a="1"/>
  <c r="AE54" i="91" s="1"/>
  <c r="B294" i="91" s="1"/>
  <c r="AD54" i="91" a="1"/>
  <c r="AD54" i="91" s="1"/>
  <c r="B264" i="91" s="1"/>
  <c r="V54" i="91"/>
  <c r="O54" i="91"/>
  <c r="P54" i="91" s="1"/>
  <c r="V53" i="91"/>
  <c r="O53" i="91"/>
  <c r="P53" i="91" s="1"/>
  <c r="AJ52" i="91"/>
  <c r="AK52" i="91" s="1"/>
  <c r="V52" i="91"/>
  <c r="O52" i="91"/>
  <c r="P52" i="91" s="1"/>
  <c r="B34" i="91" s="1"/>
  <c r="AJ49" i="91"/>
  <c r="AK49" i="91" s="1"/>
  <c r="V49" i="91"/>
  <c r="O49" i="91"/>
  <c r="P49" i="91" s="1"/>
  <c r="V48" i="91"/>
  <c r="O48" i="91"/>
  <c r="P48" i="91" s="1"/>
  <c r="V47" i="91"/>
  <c r="O47" i="91"/>
  <c r="P47" i="91" s="1"/>
  <c r="AJ35" i="91" s="1"/>
  <c r="AK35" i="91" s="1"/>
  <c r="V46" i="91"/>
  <c r="O46" i="91"/>
  <c r="P46" i="91" s="1"/>
  <c r="V45" i="91"/>
  <c r="O45" i="91"/>
  <c r="P45" i="91" s="1"/>
  <c r="V44" i="91"/>
  <c r="O44" i="91"/>
  <c r="P44" i="91" s="1"/>
  <c r="B28" i="91" s="1"/>
  <c r="B44" i="91"/>
  <c r="V43" i="91"/>
  <c r="O43" i="91"/>
  <c r="P43" i="91" s="1"/>
  <c r="V42" i="91"/>
  <c r="O42" i="91"/>
  <c r="P42" i="91" s="1"/>
  <c r="AJ2" i="91" s="1"/>
  <c r="AK2" i="91" s="1"/>
  <c r="AA41" i="91"/>
  <c r="Z41" i="91" s="1"/>
  <c r="AA40" i="91"/>
  <c r="Z40" i="91" s="1"/>
  <c r="AA39" i="91"/>
  <c r="Z39" i="91" s="1"/>
  <c r="AA38" i="91"/>
  <c r="Z38" i="91" s="1"/>
  <c r="V38" i="91"/>
  <c r="O38" i="91"/>
  <c r="P38" i="91" s="1"/>
  <c r="B25" i="91" s="1"/>
  <c r="AA37" i="91"/>
  <c r="Z37" i="91" s="1"/>
  <c r="V37" i="91"/>
  <c r="O37" i="91"/>
  <c r="P37" i="91"/>
  <c r="AA36" i="91"/>
  <c r="Z36" i="91" s="1"/>
  <c r="V36" i="91"/>
  <c r="O36" i="91"/>
  <c r="P36" i="91" s="1"/>
  <c r="B23" i="91" s="1"/>
  <c r="AA35" i="91"/>
  <c r="Z35" i="91" s="1"/>
  <c r="B35" i="91"/>
  <c r="AA34" i="91"/>
  <c r="Z34" i="91" s="1"/>
  <c r="AA33" i="91"/>
  <c r="Z33" i="91" s="1"/>
  <c r="O33" i="91"/>
  <c r="P33" i="91" s="1"/>
  <c r="AJ47" i="91" s="1"/>
  <c r="AJ32" i="91"/>
  <c r="AK32" i="91" s="1"/>
  <c r="AA32" i="91"/>
  <c r="Z32" i="91" s="1"/>
  <c r="V32" i="91"/>
  <c r="O32" i="91"/>
  <c r="P32" i="91"/>
  <c r="AJ17" i="91" s="1"/>
  <c r="AK17" i="91" s="1"/>
  <c r="AF31" i="91"/>
  <c r="B174" i="91" s="1"/>
  <c r="AD31" i="91"/>
  <c r="B144" i="91" s="1"/>
  <c r="AA31" i="91"/>
  <c r="Z31" i="91" s="1"/>
  <c r="O31" i="91"/>
  <c r="P31" i="91" s="1"/>
  <c r="AF30" i="91"/>
  <c r="B173" i="91" s="1"/>
  <c r="AD30" i="91"/>
  <c r="B143" i="91" s="1"/>
  <c r="AA30" i="91"/>
  <c r="Z30" i="91" s="1"/>
  <c r="AF29" i="91"/>
  <c r="B172" i="91" s="1"/>
  <c r="AD29" i="91"/>
  <c r="B142" i="91" s="1"/>
  <c r="AA29" i="91"/>
  <c r="Z29" i="91" s="1"/>
  <c r="B29" i="91"/>
  <c r="AJ28" i="91"/>
  <c r="AK28" i="91" s="1"/>
  <c r="AF28" i="91"/>
  <c r="B171" i="91" s="1"/>
  <c r="AD28" i="91"/>
  <c r="B141" i="91" s="1"/>
  <c r="AA28" i="91"/>
  <c r="Z28" i="91" s="1"/>
  <c r="V28" i="91"/>
  <c r="O28" i="91"/>
  <c r="P28" i="91"/>
  <c r="AF27" i="91"/>
  <c r="B170" i="91" s="1"/>
  <c r="AD27" i="91"/>
  <c r="B140" i="91" s="1"/>
  <c r="AA27" i="91"/>
  <c r="Z27" i="91" s="1"/>
  <c r="V27" i="91"/>
  <c r="O27" i="91"/>
  <c r="P27" i="91" s="1"/>
  <c r="AF26" i="91"/>
  <c r="B169" i="91" s="1"/>
  <c r="AD26" i="91"/>
  <c r="B139" i="91" s="1"/>
  <c r="AA26" i="91"/>
  <c r="Z26" i="91" s="1"/>
  <c r="V26" i="91"/>
  <c r="O26" i="91"/>
  <c r="P26" i="91" s="1"/>
  <c r="AF25" i="91"/>
  <c r="B168" i="91" s="1"/>
  <c r="AD25" i="91"/>
  <c r="B138" i="91" s="1"/>
  <c r="AA25" i="91"/>
  <c r="Z25" i="91" s="1"/>
  <c r="AF24" i="91"/>
  <c r="B167" i="91" s="1"/>
  <c r="AD24" i="91"/>
  <c r="B137" i="91" s="1"/>
  <c r="AA24" i="91"/>
  <c r="Z24" i="91" s="1"/>
  <c r="AF23" i="91"/>
  <c r="B166" i="91" s="1"/>
  <c r="AD23" i="91"/>
  <c r="B136" i="91" s="1"/>
  <c r="AA23" i="91"/>
  <c r="Z23" i="91" s="1"/>
  <c r="N23" i="91"/>
  <c r="AJ22" i="91"/>
  <c r="AK22" i="91" s="1"/>
  <c r="AF22" i="91"/>
  <c r="B165" i="91" s="1"/>
  <c r="AD22" i="91"/>
  <c r="B135" i="91" s="1"/>
  <c r="AA22" i="91"/>
  <c r="Z22" i="91" s="1"/>
  <c r="AF21" i="91"/>
  <c r="B164" i="91" s="1"/>
  <c r="AD21" i="91"/>
  <c r="B134" i="91" s="1"/>
  <c r="AA21" i="91"/>
  <c r="N21" i="91"/>
  <c r="AF20" i="91"/>
  <c r="B163" i="91" s="1"/>
  <c r="AD20" i="91"/>
  <c r="B133" i="91" s="1"/>
  <c r="AA20" i="91"/>
  <c r="N20" i="91"/>
  <c r="AF19" i="91"/>
  <c r="B162" i="91" s="1"/>
  <c r="AD19" i="91"/>
  <c r="B132" i="91" s="1"/>
  <c r="AA19" i="91"/>
  <c r="N19" i="91"/>
  <c r="AF18" i="91"/>
  <c r="B161" i="91" s="1"/>
  <c r="AD18" i="91"/>
  <c r="B131" i="91" s="1"/>
  <c r="AA18" i="91"/>
  <c r="N18" i="91"/>
  <c r="AF17" i="91"/>
  <c r="B160" i="91" s="1"/>
  <c r="AD17" i="91"/>
  <c r="B130" i="91" s="1"/>
  <c r="AA17" i="91"/>
  <c r="N17" i="91"/>
  <c r="AF16" i="91"/>
  <c r="B159" i="91" s="1"/>
  <c r="AD16" i="91"/>
  <c r="B129" i="91" s="1"/>
  <c r="AA16" i="91"/>
  <c r="B16" i="91"/>
  <c r="AF15" i="91"/>
  <c r="B158" i="91" s="1"/>
  <c r="AD15" i="91"/>
  <c r="B128" i="91" s="1"/>
  <c r="AA15" i="91"/>
  <c r="B15" i="91"/>
  <c r="AF14" i="91"/>
  <c r="B157" i="91" s="1"/>
  <c r="AD14" i="91"/>
  <c r="B127" i="91" s="1"/>
  <c r="AA14" i="91"/>
  <c r="B14" i="91"/>
  <c r="AF13" i="91"/>
  <c r="B156" i="91" s="1"/>
  <c r="AD13" i="91"/>
  <c r="B126" i="91" s="1"/>
  <c r="AA13" i="91"/>
  <c r="AF12" i="91"/>
  <c r="B155" i="91" s="1"/>
  <c r="AD12" i="91"/>
  <c r="B125" i="91" s="1"/>
  <c r="AA12" i="91"/>
  <c r="N12" i="91"/>
  <c r="B12" i="91"/>
  <c r="B13" i="91" s="1"/>
  <c r="AF11" i="91"/>
  <c r="B154" i="91" s="1"/>
  <c r="AD11" i="91"/>
  <c r="B124" i="91" s="1"/>
  <c r="AA11" i="91"/>
  <c r="N11" i="91"/>
  <c r="B11" i="91"/>
  <c r="AJ10" i="91"/>
  <c r="AK10" i="91" s="1"/>
  <c r="AF10" i="91"/>
  <c r="B153" i="91" s="1"/>
  <c r="AD10" i="91"/>
  <c r="B123" i="91" s="1"/>
  <c r="AA10" i="91"/>
  <c r="AF9" i="91"/>
  <c r="B152" i="91" s="1"/>
  <c r="AD9" i="91"/>
  <c r="B122" i="91" s="1"/>
  <c r="AA9" i="91"/>
  <c r="B9" i="91"/>
  <c r="B10" i="91" s="1"/>
  <c r="AJ8" i="91"/>
  <c r="AK8" i="91" s="1"/>
  <c r="AF8" i="91"/>
  <c r="B151" i="91" s="1"/>
  <c r="AD8" i="91"/>
  <c r="B121" i="91" s="1"/>
  <c r="AA8" i="91"/>
  <c r="N8" i="91"/>
  <c r="G8" i="91"/>
  <c r="D8" i="91"/>
  <c r="B8" i="91"/>
  <c r="AF7" i="91"/>
  <c r="B150" i="91" s="1"/>
  <c r="AD7" i="91"/>
  <c r="B120" i="91" s="1"/>
  <c r="AA7" i="91"/>
  <c r="D7" i="91"/>
  <c r="B7" i="91"/>
  <c r="AF6" i="91"/>
  <c r="B149" i="91" s="1"/>
  <c r="AD6" i="91"/>
  <c r="B119" i="91" s="1"/>
  <c r="AA6" i="91"/>
  <c r="B6" i="91"/>
  <c r="B5" i="91"/>
  <c r="AA4" i="91"/>
  <c r="N4" i="91"/>
  <c r="AA3" i="91"/>
  <c r="AA2" i="91"/>
  <c r="B2" i="91"/>
  <c r="M124" i="89"/>
  <c r="L61" i="89"/>
  <c r="L51" i="89"/>
  <c r="L41" i="89"/>
  <c r="L35" i="89"/>
  <c r="L30" i="89"/>
  <c r="L25" i="89"/>
  <c r="M124" i="90"/>
  <c r="L61" i="90"/>
  <c r="L51" i="90"/>
  <c r="L41" i="90"/>
  <c r="L35" i="90"/>
  <c r="L30" i="90"/>
  <c r="L25" i="90"/>
  <c r="M218" i="90"/>
  <c r="P218" i="90" s="1"/>
  <c r="B354" i="90" s="1"/>
  <c r="L164" i="90"/>
  <c r="N163" i="90"/>
  <c r="N11" i="90" s="1"/>
  <c r="L78" i="90"/>
  <c r="N77" i="90"/>
  <c r="N71" i="90"/>
  <c r="N40" i="90"/>
  <c r="P31" i="90"/>
  <c r="B364" i="90"/>
  <c r="B363" i="90"/>
  <c r="B362" i="90"/>
  <c r="B361" i="90"/>
  <c r="B360" i="90"/>
  <c r="B359" i="90"/>
  <c r="B358" i="90"/>
  <c r="B357" i="90"/>
  <c r="B336" i="90"/>
  <c r="B335" i="90"/>
  <c r="E282" i="90"/>
  <c r="E283" i="90" s="1"/>
  <c r="E284" i="90" s="1"/>
  <c r="E285" i="90" s="1"/>
  <c r="E286" i="90" s="1"/>
  <c r="E287" i="90" s="1"/>
  <c r="E288" i="90" s="1"/>
  <c r="E289" i="90" s="1"/>
  <c r="E290" i="90" s="1"/>
  <c r="E291" i="90" s="1"/>
  <c r="E292" i="90" s="1"/>
  <c r="E293" i="90" s="1"/>
  <c r="E294" i="90" s="1"/>
  <c r="E295" i="90" s="1"/>
  <c r="E296" i="90" s="1"/>
  <c r="E297" i="90" s="1"/>
  <c r="E298" i="90" s="1"/>
  <c r="E299" i="90" s="1"/>
  <c r="E300" i="90" s="1"/>
  <c r="E301" i="90" s="1"/>
  <c r="E302" i="90" s="1"/>
  <c r="E303" i="90" s="1"/>
  <c r="E304" i="90" s="1"/>
  <c r="E305" i="90" s="1"/>
  <c r="E306" i="90" s="1"/>
  <c r="E307" i="90" s="1"/>
  <c r="E308" i="90" s="1"/>
  <c r="E309" i="90" s="1"/>
  <c r="E310" i="90" s="1"/>
  <c r="E311" i="90" s="1"/>
  <c r="E312" i="90" s="1"/>
  <c r="E313" i="90" s="1"/>
  <c r="E314" i="90" s="1"/>
  <c r="E315" i="90" s="1"/>
  <c r="E316" i="90" s="1"/>
  <c r="E281" i="90"/>
  <c r="B265" i="90"/>
  <c r="H238" i="90"/>
  <c r="H237" i="90"/>
  <c r="H236" i="90"/>
  <c r="F234" i="90"/>
  <c r="H234" i="90" s="1"/>
  <c r="B216" i="90"/>
  <c r="R215" i="90"/>
  <c r="Q215" i="90"/>
  <c r="O215" i="90"/>
  <c r="P215" i="90" s="1"/>
  <c r="H215" i="90"/>
  <c r="G215" i="90"/>
  <c r="B215" i="90"/>
  <c r="R214" i="90"/>
  <c r="Q214" i="90"/>
  <c r="O214" i="90"/>
  <c r="H214" i="90"/>
  <c r="G214" i="90"/>
  <c r="B214" i="90"/>
  <c r="R213" i="90"/>
  <c r="Q213" i="90"/>
  <c r="O213" i="90"/>
  <c r="P213" i="90" s="1"/>
  <c r="H213" i="90"/>
  <c r="G213" i="90"/>
  <c r="B213" i="90"/>
  <c r="R212" i="90"/>
  <c r="Q212" i="90"/>
  <c r="O212" i="90"/>
  <c r="P212" i="90" s="1"/>
  <c r="H212" i="90"/>
  <c r="G212" i="90"/>
  <c r="B212" i="90"/>
  <c r="R211" i="90"/>
  <c r="P211" i="90" s="1"/>
  <c r="Q211" i="90"/>
  <c r="O211" i="90"/>
  <c r="H211" i="90"/>
  <c r="G211" i="90"/>
  <c r="B211" i="90"/>
  <c r="R210" i="90"/>
  <c r="Q210" i="90"/>
  <c r="P210" i="90"/>
  <c r="O210" i="90"/>
  <c r="H210" i="90"/>
  <c r="G210" i="90"/>
  <c r="B210" i="90"/>
  <c r="R209" i="90"/>
  <c r="Q209" i="90"/>
  <c r="O209" i="90"/>
  <c r="P209" i="90" s="1"/>
  <c r="H209" i="90"/>
  <c r="G209" i="90"/>
  <c r="B209" i="90"/>
  <c r="R208" i="90"/>
  <c r="Q208" i="90"/>
  <c r="O208" i="90"/>
  <c r="H208" i="90"/>
  <c r="G208" i="90"/>
  <c r="B208" i="90"/>
  <c r="R207" i="90"/>
  <c r="P207" i="90" s="1"/>
  <c r="Q207" i="90"/>
  <c r="O207" i="90"/>
  <c r="H207" i="90"/>
  <c r="G207" i="90"/>
  <c r="B207" i="90"/>
  <c r="R206" i="90"/>
  <c r="Q206" i="90"/>
  <c r="O206" i="90"/>
  <c r="H206" i="90"/>
  <c r="G206" i="90"/>
  <c r="B206" i="90"/>
  <c r="B205" i="90"/>
  <c r="B204" i="90"/>
  <c r="R203" i="90"/>
  <c r="P203" i="90" s="1"/>
  <c r="AA121" i="90" s="1"/>
  <c r="O203" i="90"/>
  <c r="G203" i="90"/>
  <c r="B203" i="90"/>
  <c r="R202" i="90"/>
  <c r="P202" i="90" s="1"/>
  <c r="AA120" i="90" s="1"/>
  <c r="O202" i="90"/>
  <c r="G202" i="90"/>
  <c r="B202" i="90"/>
  <c r="R201" i="90"/>
  <c r="P201" i="90" s="1"/>
  <c r="AA119" i="90" s="1"/>
  <c r="O201" i="90"/>
  <c r="G201" i="90"/>
  <c r="B201" i="90"/>
  <c r="R200" i="90"/>
  <c r="O200" i="90"/>
  <c r="P200" i="90" s="1"/>
  <c r="AA118" i="90" s="1"/>
  <c r="G200" i="90"/>
  <c r="B200" i="90"/>
  <c r="R199" i="90"/>
  <c r="O199" i="90"/>
  <c r="G199" i="90"/>
  <c r="B199" i="90"/>
  <c r="R198" i="90"/>
  <c r="O198" i="90"/>
  <c r="P198" i="90" s="1"/>
  <c r="AA116" i="90" s="1"/>
  <c r="G198" i="90"/>
  <c r="R197" i="90"/>
  <c r="P197" i="90" s="1"/>
  <c r="AA115" i="90" s="1"/>
  <c r="O197" i="90"/>
  <c r="G197" i="90"/>
  <c r="R196" i="90"/>
  <c r="O196" i="90"/>
  <c r="P196" i="90" s="1"/>
  <c r="AA114" i="90" s="1"/>
  <c r="G196" i="90"/>
  <c r="B196" i="90"/>
  <c r="R195" i="90"/>
  <c r="O195" i="90"/>
  <c r="P195" i="90" s="1"/>
  <c r="AA113" i="90" s="1"/>
  <c r="G195" i="90"/>
  <c r="B195" i="90"/>
  <c r="R194" i="90"/>
  <c r="O194" i="90"/>
  <c r="G194" i="90"/>
  <c r="B194" i="90"/>
  <c r="B193" i="90"/>
  <c r="B192" i="90"/>
  <c r="O191" i="90"/>
  <c r="B191" i="90"/>
  <c r="O190" i="90"/>
  <c r="B190" i="90"/>
  <c r="O189" i="90"/>
  <c r="B189" i="90"/>
  <c r="O188" i="90"/>
  <c r="B188" i="90"/>
  <c r="O187" i="90"/>
  <c r="B187" i="90"/>
  <c r="B186" i="90"/>
  <c r="O185" i="90"/>
  <c r="P185" i="90" s="1"/>
  <c r="I185" i="90"/>
  <c r="M189" i="90" s="1"/>
  <c r="B185" i="90"/>
  <c r="O184" i="90"/>
  <c r="P184" i="90" s="1"/>
  <c r="L193" i="90" s="1"/>
  <c r="I184" i="90"/>
  <c r="M190" i="90" s="1"/>
  <c r="B184" i="90"/>
  <c r="B183" i="90"/>
  <c r="B182" i="90"/>
  <c r="R181" i="90"/>
  <c r="P181" i="90"/>
  <c r="O181" i="90"/>
  <c r="H181" i="90"/>
  <c r="B181" i="90"/>
  <c r="R180" i="90"/>
  <c r="O180" i="90"/>
  <c r="P180" i="90" s="1"/>
  <c r="AA85" i="90" s="1"/>
  <c r="H180" i="90"/>
  <c r="B180" i="90"/>
  <c r="R179" i="90"/>
  <c r="O179" i="90"/>
  <c r="P179" i="90" s="1"/>
  <c r="AA84" i="90" s="1"/>
  <c r="H179" i="90"/>
  <c r="B179" i="90"/>
  <c r="R178" i="90"/>
  <c r="O178" i="90"/>
  <c r="P178" i="90" s="1"/>
  <c r="AA83" i="90" s="1"/>
  <c r="H178" i="90"/>
  <c r="R177" i="90"/>
  <c r="P177" i="90" s="1"/>
  <c r="AA82" i="90" s="1"/>
  <c r="O177" i="90"/>
  <c r="H177" i="90"/>
  <c r="B173" i="90"/>
  <c r="I164" i="90"/>
  <c r="H164" i="90"/>
  <c r="G164" i="90"/>
  <c r="F164" i="90"/>
  <c r="O172" i="90" s="1"/>
  <c r="P172" i="90" s="1"/>
  <c r="B163" i="90"/>
  <c r="O161" i="90"/>
  <c r="P161" i="90" s="1"/>
  <c r="P160" i="90"/>
  <c r="AE155" i="90" s="1"/>
  <c r="O160" i="90"/>
  <c r="R157" i="90"/>
  <c r="Q157" i="90"/>
  <c r="O157" i="90"/>
  <c r="P157" i="90" s="1"/>
  <c r="H157" i="90"/>
  <c r="G157" i="90"/>
  <c r="B157" i="90"/>
  <c r="R156" i="90"/>
  <c r="Q156" i="90"/>
  <c r="O156" i="90"/>
  <c r="P156" i="90" s="1"/>
  <c r="H156" i="90"/>
  <c r="G156" i="90"/>
  <c r="R155" i="90"/>
  <c r="Q155" i="90"/>
  <c r="O155" i="90"/>
  <c r="P155" i="90" s="1"/>
  <c r="H155" i="90"/>
  <c r="G155" i="90"/>
  <c r="B155" i="90"/>
  <c r="R154" i="90"/>
  <c r="Q154" i="90"/>
  <c r="O154" i="90"/>
  <c r="H154" i="90"/>
  <c r="G154" i="90"/>
  <c r="AF153" i="90" a="1"/>
  <c r="AF153" i="90" s="1"/>
  <c r="B236" i="90" s="1"/>
  <c r="AE153" i="90"/>
  <c r="R153" i="90"/>
  <c r="Q153" i="90"/>
  <c r="O153" i="90"/>
  <c r="P153" i="90" s="1"/>
  <c r="H153" i="90"/>
  <c r="G153" i="90"/>
  <c r="AF152" i="90" a="1"/>
  <c r="AF152" i="90" s="1"/>
  <c r="B235" i="90" s="1"/>
  <c r="AE152" i="90"/>
  <c r="R152" i="90"/>
  <c r="Q152" i="90"/>
  <c r="O152" i="90"/>
  <c r="P152" i="90" s="1"/>
  <c r="H152" i="90"/>
  <c r="G152" i="90"/>
  <c r="AF151" i="90" a="1"/>
  <c r="AF151" i="90" s="1"/>
  <c r="B234" i="90" s="1"/>
  <c r="AE151" i="90"/>
  <c r="R151" i="90"/>
  <c r="Q151" i="90"/>
  <c r="P151" i="90"/>
  <c r="O151" i="90"/>
  <c r="H151" i="90"/>
  <c r="G151" i="90"/>
  <c r="AF150" i="90" a="1"/>
  <c r="AF150" i="90" s="1"/>
  <c r="B233" i="90" s="1"/>
  <c r="AE150" i="90"/>
  <c r="R150" i="90"/>
  <c r="Q150" i="90"/>
  <c r="O150" i="90"/>
  <c r="P150" i="90" s="1"/>
  <c r="H150" i="90"/>
  <c r="G150" i="90"/>
  <c r="AF149" i="90" a="1"/>
  <c r="AF149" i="90" s="1"/>
  <c r="B232" i="90" s="1"/>
  <c r="AE149" i="90"/>
  <c r="R149" i="90"/>
  <c r="Q149" i="90"/>
  <c r="O149" i="90"/>
  <c r="P149" i="90" s="1"/>
  <c r="H149" i="90"/>
  <c r="G149" i="90"/>
  <c r="AF148" i="90" a="1"/>
  <c r="AF148" i="90" s="1"/>
  <c r="B231" i="90" s="1"/>
  <c r="AE148" i="90"/>
  <c r="R148" i="90"/>
  <c r="Q148" i="90"/>
  <c r="O148" i="90"/>
  <c r="P148" i="90" s="1"/>
  <c r="H148" i="90"/>
  <c r="G148" i="90"/>
  <c r="AF147" i="90" a="1"/>
  <c r="AF147" i="90" s="1"/>
  <c r="B230" i="90" s="1"/>
  <c r="AE147" i="90"/>
  <c r="R147" i="90"/>
  <c r="Q147" i="90"/>
  <c r="O147" i="90"/>
  <c r="P147" i="90" s="1"/>
  <c r="H147" i="90"/>
  <c r="G147" i="90"/>
  <c r="AF146" i="90" a="1"/>
  <c r="AF146" i="90" s="1"/>
  <c r="B229" i="90" s="1"/>
  <c r="AE146" i="90"/>
  <c r="R146" i="90"/>
  <c r="Q146" i="90"/>
  <c r="O146" i="90"/>
  <c r="P146" i="90" s="1"/>
  <c r="H146" i="90"/>
  <c r="G146" i="90"/>
  <c r="AF145" i="90" a="1"/>
  <c r="AF145" i="90" s="1"/>
  <c r="B228" i="90" s="1"/>
  <c r="AE145" i="90"/>
  <c r="R145" i="90"/>
  <c r="Q145" i="90"/>
  <c r="O145" i="90"/>
  <c r="P145" i="90" s="1"/>
  <c r="H145" i="90"/>
  <c r="G145" i="90"/>
  <c r="AF144" i="90" a="1"/>
  <c r="AF144" i="90" s="1"/>
  <c r="B227" i="90" s="1"/>
  <c r="AE144" i="90"/>
  <c r="R144" i="90"/>
  <c r="Q144" i="90"/>
  <c r="O144" i="90"/>
  <c r="H144" i="90"/>
  <c r="AF143" i="90" a="1"/>
  <c r="AF143" i="90" s="1"/>
  <c r="B226" i="90" s="1"/>
  <c r="AE143" i="90"/>
  <c r="R143" i="90"/>
  <c r="Q143" i="90"/>
  <c r="O143" i="90"/>
  <c r="P143" i="90" s="1"/>
  <c r="H143" i="90"/>
  <c r="AF142" i="90" a="1"/>
  <c r="AF142" i="90" s="1"/>
  <c r="B225" i="90" s="1"/>
  <c r="AE142" i="90"/>
  <c r="R142" i="90"/>
  <c r="Q142" i="90"/>
  <c r="O142" i="90"/>
  <c r="H142" i="90"/>
  <c r="AF141" i="90" a="1"/>
  <c r="AF141" i="90" s="1"/>
  <c r="B224" i="90" s="1"/>
  <c r="AE141" i="90"/>
  <c r="R141" i="90"/>
  <c r="Q141" i="90"/>
  <c r="O141" i="90"/>
  <c r="P141" i="90" s="1"/>
  <c r="H141" i="90"/>
  <c r="AF140" i="90" a="1"/>
  <c r="AF140" i="90" s="1"/>
  <c r="B223" i="90" s="1"/>
  <c r="AE140" i="90"/>
  <c r="R140" i="90"/>
  <c r="Q140" i="90"/>
  <c r="O140" i="90"/>
  <c r="H140" i="90"/>
  <c r="AF139" i="90" a="1"/>
  <c r="AF139" i="90" s="1"/>
  <c r="B222" i="90" s="1"/>
  <c r="AE139" i="90"/>
  <c r="R139" i="90"/>
  <c r="Q139" i="90"/>
  <c r="O139" i="90"/>
  <c r="H139" i="90"/>
  <c r="AF138" i="90" a="1"/>
  <c r="AF138" i="90" s="1"/>
  <c r="B221" i="90" s="1"/>
  <c r="AE138" i="90"/>
  <c r="R138" i="90"/>
  <c r="P138" i="90" s="1"/>
  <c r="Q138" i="90"/>
  <c r="O138" i="90"/>
  <c r="H138" i="90"/>
  <c r="AF137" i="90"/>
  <c r="B220" i="90" s="1"/>
  <c r="AF137" i="90" a="1"/>
  <c r="AE137" i="90"/>
  <c r="H137" i="90"/>
  <c r="AF136" i="90" a="1"/>
  <c r="AF136" i="90" s="1"/>
  <c r="B219" i="90" s="1"/>
  <c r="AE136" i="90"/>
  <c r="R135" i="90"/>
  <c r="Q135" i="90"/>
  <c r="O135" i="90"/>
  <c r="P135" i="90" s="1"/>
  <c r="B98" i="90" s="1"/>
  <c r="R134" i="90"/>
  <c r="Q134" i="90"/>
  <c r="O134" i="90"/>
  <c r="P134" i="90" s="1"/>
  <c r="B97" i="90" s="1"/>
  <c r="R133" i="90"/>
  <c r="Q133" i="90"/>
  <c r="O133" i="90"/>
  <c r="P133" i="90" s="1"/>
  <c r="B96" i="90" s="1"/>
  <c r="R132" i="90"/>
  <c r="Q132" i="90"/>
  <c r="O132" i="90"/>
  <c r="P132" i="90" s="1"/>
  <c r="B95" i="90" s="1"/>
  <c r="P129" i="90"/>
  <c r="R128" i="90"/>
  <c r="P128" i="90"/>
  <c r="B92" i="90" s="1"/>
  <c r="P127" i="90"/>
  <c r="B90" i="90" s="1"/>
  <c r="R126" i="90"/>
  <c r="P126" i="90"/>
  <c r="R129" i="90" s="1"/>
  <c r="P125" i="90"/>
  <c r="P124" i="90"/>
  <c r="B84" i="90" s="1"/>
  <c r="Z121" i="90"/>
  <c r="Z120" i="90"/>
  <c r="O120" i="90"/>
  <c r="P120" i="90" s="1"/>
  <c r="H120" i="90"/>
  <c r="G120" i="90"/>
  <c r="Z119" i="90"/>
  <c r="O119" i="90"/>
  <c r="P119" i="90" s="1"/>
  <c r="H119" i="90"/>
  <c r="G119" i="90"/>
  <c r="Z118" i="90"/>
  <c r="O118" i="90"/>
  <c r="P118" i="90" s="1"/>
  <c r="H118" i="90"/>
  <c r="G118" i="90"/>
  <c r="Z117" i="90"/>
  <c r="O117" i="90"/>
  <c r="P117" i="90" s="1"/>
  <c r="H117" i="90"/>
  <c r="G117" i="90"/>
  <c r="Z116" i="90"/>
  <c r="O116" i="90"/>
  <c r="P116" i="90" s="1"/>
  <c r="H116" i="90"/>
  <c r="G116" i="90"/>
  <c r="Z115" i="90"/>
  <c r="O115" i="90"/>
  <c r="P115" i="90" s="1"/>
  <c r="H115" i="90"/>
  <c r="G115" i="90"/>
  <c r="Z114" i="90"/>
  <c r="O114" i="90"/>
  <c r="P114" i="90" s="1"/>
  <c r="H114" i="90"/>
  <c r="G114" i="90"/>
  <c r="Z113" i="90"/>
  <c r="O113" i="90"/>
  <c r="P113" i="90" s="1"/>
  <c r="H113" i="90"/>
  <c r="G113" i="90"/>
  <c r="Z112" i="90"/>
  <c r="O112" i="90"/>
  <c r="P112" i="90" s="1"/>
  <c r="H112" i="90"/>
  <c r="G112" i="90"/>
  <c r="O111" i="90"/>
  <c r="P111" i="90" s="1"/>
  <c r="H111" i="90"/>
  <c r="G111" i="90"/>
  <c r="P110" i="90"/>
  <c r="O110" i="90"/>
  <c r="H110" i="90"/>
  <c r="G110" i="90"/>
  <c r="O109" i="90"/>
  <c r="P109" i="90" s="1"/>
  <c r="H109" i="90"/>
  <c r="G109" i="90"/>
  <c r="P108" i="90"/>
  <c r="O108" i="90"/>
  <c r="H108" i="90"/>
  <c r="G108" i="90"/>
  <c r="P107" i="90"/>
  <c r="O107" i="90"/>
  <c r="H107" i="90"/>
  <c r="G107" i="90"/>
  <c r="P106" i="90"/>
  <c r="O106" i="90"/>
  <c r="H106" i="90"/>
  <c r="G106" i="90"/>
  <c r="O105" i="90"/>
  <c r="P105" i="90" s="1"/>
  <c r="H105" i="90"/>
  <c r="G105" i="90"/>
  <c r="O104" i="90"/>
  <c r="P104" i="90" s="1"/>
  <c r="H104" i="90"/>
  <c r="G104" i="90"/>
  <c r="O103" i="90"/>
  <c r="P103" i="90" s="1"/>
  <c r="H103" i="90"/>
  <c r="G103" i="90"/>
  <c r="O102" i="90"/>
  <c r="P102" i="90" s="1"/>
  <c r="H102" i="90"/>
  <c r="G102" i="90"/>
  <c r="B102" i="90"/>
  <c r="O101" i="90"/>
  <c r="P101" i="90" s="1"/>
  <c r="H101" i="90"/>
  <c r="G101" i="90"/>
  <c r="B100" i="90"/>
  <c r="B99" i="90"/>
  <c r="R98" i="90"/>
  <c r="Q98" i="90"/>
  <c r="O98" i="90"/>
  <c r="H98" i="90"/>
  <c r="R97" i="90"/>
  <c r="Q97" i="90"/>
  <c r="O97" i="90"/>
  <c r="P97" i="90" s="1"/>
  <c r="H97" i="90"/>
  <c r="R96" i="90"/>
  <c r="Q96" i="90"/>
  <c r="O96" i="90"/>
  <c r="H96" i="90"/>
  <c r="R95" i="90"/>
  <c r="Q95" i="90"/>
  <c r="O95" i="90"/>
  <c r="P95" i="90" s="1"/>
  <c r="H95" i="90"/>
  <c r="R94" i="90"/>
  <c r="Q94" i="90"/>
  <c r="O94" i="90"/>
  <c r="H94" i="90"/>
  <c r="B94" i="90"/>
  <c r="R93" i="90"/>
  <c r="P93" i="90" s="1"/>
  <c r="Q93" i="90"/>
  <c r="O93" i="90"/>
  <c r="H93" i="90"/>
  <c r="R92" i="90"/>
  <c r="P92" i="90" s="1"/>
  <c r="Q92" i="90"/>
  <c r="O92" i="90"/>
  <c r="H92" i="90"/>
  <c r="R91" i="90"/>
  <c r="Q91" i="90"/>
  <c r="O91" i="90"/>
  <c r="H91" i="90"/>
  <c r="R90" i="90"/>
  <c r="Q90" i="90"/>
  <c r="O90" i="90"/>
  <c r="H90" i="90"/>
  <c r="R89" i="90"/>
  <c r="Q89" i="90"/>
  <c r="O89" i="90"/>
  <c r="H89" i="90"/>
  <c r="R88" i="90"/>
  <c r="P88" i="90" s="1"/>
  <c r="Q88" i="90"/>
  <c r="O88" i="90"/>
  <c r="H88" i="90"/>
  <c r="B88" i="90"/>
  <c r="R87" i="90"/>
  <c r="P87" i="90" s="1"/>
  <c r="Q87" i="90"/>
  <c r="O87" i="90"/>
  <c r="H87" i="90"/>
  <c r="B87" i="90"/>
  <c r="AA86" i="90"/>
  <c r="R86" i="90"/>
  <c r="Q86" i="90"/>
  <c r="O86" i="90"/>
  <c r="H86" i="90"/>
  <c r="B86" i="90"/>
  <c r="R85" i="90"/>
  <c r="Q85" i="90"/>
  <c r="P85" i="90"/>
  <c r="O85" i="90"/>
  <c r="H85" i="90"/>
  <c r="B85" i="90"/>
  <c r="R84" i="90"/>
  <c r="Q84" i="90"/>
  <c r="O84" i="90"/>
  <c r="P84" i="90" s="1"/>
  <c r="H84" i="90"/>
  <c r="R83" i="90"/>
  <c r="P83" i="90" s="1"/>
  <c r="Q83" i="90"/>
  <c r="O83" i="90"/>
  <c r="H83" i="90"/>
  <c r="B83" i="90"/>
  <c r="R82" i="90"/>
  <c r="Q82" i="90"/>
  <c r="O82" i="90"/>
  <c r="P82" i="90" s="1"/>
  <c r="H82" i="90"/>
  <c r="B82" i="90"/>
  <c r="R81" i="90"/>
  <c r="Q81" i="90"/>
  <c r="O81" i="90"/>
  <c r="H81" i="90"/>
  <c r="B81" i="90"/>
  <c r="R80" i="90"/>
  <c r="Q80" i="90"/>
  <c r="O80" i="90"/>
  <c r="P80" i="90" s="1"/>
  <c r="H80" i="90"/>
  <c r="B80" i="90"/>
  <c r="R79" i="90"/>
  <c r="Q79" i="90"/>
  <c r="O79" i="90"/>
  <c r="H79" i="90"/>
  <c r="B79" i="90"/>
  <c r="B78" i="90"/>
  <c r="B77" i="90"/>
  <c r="B76" i="90"/>
  <c r="B75" i="90"/>
  <c r="O74" i="90"/>
  <c r="B74" i="90"/>
  <c r="AF73" i="90"/>
  <c r="B343" i="90" s="1"/>
  <c r="AE73" i="90" a="1"/>
  <c r="AE73" i="90" s="1"/>
  <c r="B313" i="90" s="1"/>
  <c r="AD73" i="90" a="1"/>
  <c r="AD73" i="90" s="1"/>
  <c r="B283" i="90" s="1"/>
  <c r="O73" i="90"/>
  <c r="P73" i="90" s="1"/>
  <c r="B73" i="90"/>
  <c r="AF72" i="90"/>
  <c r="B342" i="90" s="1"/>
  <c r="AE72" i="90" a="1"/>
  <c r="AE72" i="90" s="1"/>
  <c r="B312" i="90" s="1"/>
  <c r="AD72" i="90"/>
  <c r="B282" i="90" s="1"/>
  <c r="AD72" i="90" a="1"/>
  <c r="P72" i="90"/>
  <c r="O72" i="90"/>
  <c r="B72" i="90"/>
  <c r="AF71" i="90"/>
  <c r="B341" i="90" s="1"/>
  <c r="AE71" i="90" a="1"/>
  <c r="AE71" i="90" s="1"/>
  <c r="B311" i="90" s="1"/>
  <c r="AD71" i="90" a="1"/>
  <c r="AD71" i="90" s="1"/>
  <c r="B281" i="90" s="1"/>
  <c r="B71" i="90"/>
  <c r="AF70" i="90"/>
  <c r="B340" i="90" s="1"/>
  <c r="AE70" i="90" a="1"/>
  <c r="AE70" i="90" s="1"/>
  <c r="B310" i="90" s="1"/>
  <c r="AD70" i="90"/>
  <c r="B280" i="90" s="1"/>
  <c r="AD70" i="90" a="1"/>
  <c r="B70" i="90"/>
  <c r="AF69" i="90"/>
  <c r="B339" i="90" s="1"/>
  <c r="AE69" i="90" a="1"/>
  <c r="AE69" i="90" s="1"/>
  <c r="B309" i="90" s="1"/>
  <c r="AD69" i="90"/>
  <c r="B279" i="90" s="1"/>
  <c r="AD69" i="90" a="1"/>
  <c r="V69" i="90"/>
  <c r="P69" i="90"/>
  <c r="O69" i="90"/>
  <c r="B69" i="90"/>
  <c r="AF68" i="90"/>
  <c r="B338" i="90" s="1"/>
  <c r="AE68" i="90" a="1"/>
  <c r="AE68" i="90" s="1"/>
  <c r="B308" i="90" s="1"/>
  <c r="AD68" i="90" a="1"/>
  <c r="AD68" i="90" s="1"/>
  <c r="B278" i="90" s="1"/>
  <c r="V68" i="90"/>
  <c r="P68" i="90"/>
  <c r="B48" i="90" s="1"/>
  <c r="O68" i="90"/>
  <c r="B68" i="90"/>
  <c r="AF67" i="90"/>
  <c r="B337" i="90" s="1"/>
  <c r="AE67" i="90" a="1"/>
  <c r="AE67" i="90" s="1"/>
  <c r="B307" i="90" s="1"/>
  <c r="AD67" i="90"/>
  <c r="B277" i="90" s="1"/>
  <c r="AD67" i="90" a="1"/>
  <c r="V67" i="90"/>
  <c r="O67" i="90"/>
  <c r="P67" i="90" s="1"/>
  <c r="B67" i="90"/>
  <c r="AF66" i="90"/>
  <c r="AE66" i="90" a="1"/>
  <c r="AE66" i="90" s="1"/>
  <c r="B306" i="90" s="1"/>
  <c r="AD66" i="90" a="1"/>
  <c r="AD66" i="90" s="1"/>
  <c r="B276" i="90" s="1"/>
  <c r="V66" i="90"/>
  <c r="O66" i="90"/>
  <c r="P66" i="90" s="1"/>
  <c r="AJ36" i="90" s="1"/>
  <c r="AK36" i="90" s="1"/>
  <c r="B66" i="90"/>
  <c r="AF65" i="90"/>
  <c r="AE65" i="90" a="1"/>
  <c r="AE65" i="90" s="1"/>
  <c r="B305" i="90" s="1"/>
  <c r="AD65" i="90" a="1"/>
  <c r="AD65" i="90" s="1"/>
  <c r="B275" i="90" s="1"/>
  <c r="V65" i="90"/>
  <c r="O65" i="90"/>
  <c r="P65" i="90" s="1"/>
  <c r="B45" i="90" s="1"/>
  <c r="B65" i="90"/>
  <c r="AF64" i="90"/>
  <c r="B334" i="90" s="1"/>
  <c r="AE64" i="90" a="1"/>
  <c r="AE64" i="90" s="1"/>
  <c r="B304" i="90" s="1"/>
  <c r="AD64" i="90" a="1"/>
  <c r="AD64" i="90" s="1"/>
  <c r="B274" i="90" s="1"/>
  <c r="V64" i="90"/>
  <c r="P64" i="90"/>
  <c r="AJ22" i="90" s="1"/>
  <c r="AK22" i="90" s="1"/>
  <c r="O64" i="90"/>
  <c r="B64" i="90"/>
  <c r="AF63" i="90"/>
  <c r="B333" i="90" s="1"/>
  <c r="AE63" i="90" a="1"/>
  <c r="AE63" i="90" s="1"/>
  <c r="B303" i="90" s="1"/>
  <c r="AD63" i="90" a="1"/>
  <c r="AD63" i="90" s="1"/>
  <c r="B273" i="90" s="1"/>
  <c r="V63" i="90"/>
  <c r="O63" i="90"/>
  <c r="P63" i="90" s="1"/>
  <c r="B43" i="90" s="1"/>
  <c r="B63" i="90"/>
  <c r="AF62" i="90"/>
  <c r="B332" i="90" s="1"/>
  <c r="AE62" i="90" a="1"/>
  <c r="AE62" i="90" s="1"/>
  <c r="B302" i="90" s="1"/>
  <c r="AD62" i="90" a="1"/>
  <c r="AD62" i="90" s="1"/>
  <c r="B272" i="90" s="1"/>
  <c r="V62" i="90"/>
  <c r="O62" i="90"/>
  <c r="P62" i="90" s="1"/>
  <c r="AJ3" i="90" s="1"/>
  <c r="AK3" i="90" s="1"/>
  <c r="B62" i="90"/>
  <c r="AF61" i="90"/>
  <c r="B331" i="90" s="1"/>
  <c r="AE61" i="90" a="1"/>
  <c r="AE61" i="90" s="1"/>
  <c r="B301" i="90" s="1"/>
  <c r="AD61" i="90" a="1"/>
  <c r="AD61" i="90" s="1"/>
  <c r="B271" i="90" s="1"/>
  <c r="B61" i="90"/>
  <c r="AF60" i="90"/>
  <c r="B330" i="90" s="1"/>
  <c r="AE60" i="90" a="1"/>
  <c r="AE60" i="90" s="1"/>
  <c r="B300" i="90" s="1"/>
  <c r="AD60" i="90" a="1"/>
  <c r="AD60" i="90" s="1"/>
  <c r="B270" i="90" s="1"/>
  <c r="B60" i="90"/>
  <c r="AF59" i="90"/>
  <c r="B329" i="90" s="1"/>
  <c r="AE59" i="90" a="1"/>
  <c r="AE59" i="90" s="1"/>
  <c r="B299" i="90" s="1"/>
  <c r="AD59" i="90"/>
  <c r="B269" i="90" s="1"/>
  <c r="AD59" i="90" a="1"/>
  <c r="V59" i="90"/>
  <c r="O59" i="90"/>
  <c r="P59" i="90" s="1"/>
  <c r="AF58" i="90"/>
  <c r="B328" i="90" s="1"/>
  <c r="AE58" i="90" a="1"/>
  <c r="AE58" i="90" s="1"/>
  <c r="B298" i="90" s="1"/>
  <c r="AD58" i="90" a="1"/>
  <c r="AD58" i="90" s="1"/>
  <c r="B268" i="90" s="1"/>
  <c r="V58" i="90"/>
  <c r="O58" i="90"/>
  <c r="P58" i="90" s="1"/>
  <c r="AF57" i="90"/>
  <c r="B327" i="90" s="1"/>
  <c r="AE57" i="90" a="1"/>
  <c r="AE57" i="90" s="1"/>
  <c r="B297" i="90" s="1"/>
  <c r="AD57" i="90" a="1"/>
  <c r="AD57" i="90" s="1"/>
  <c r="B267" i="90" s="1"/>
  <c r="V57" i="90"/>
  <c r="O57" i="90"/>
  <c r="P57" i="90" s="1"/>
  <c r="AF56" i="90"/>
  <c r="B326" i="90" s="1"/>
  <c r="AE56" i="90" a="1"/>
  <c r="AE56" i="90" s="1"/>
  <c r="B296" i="90" s="1"/>
  <c r="AD56" i="90"/>
  <c r="B266" i="90" s="1"/>
  <c r="AD56" i="90" a="1"/>
  <c r="V56" i="90"/>
  <c r="O56" i="90"/>
  <c r="P56" i="90" s="1"/>
  <c r="AF55" i="90"/>
  <c r="B325" i="90" s="1"/>
  <c r="AE55" i="90" a="1"/>
  <c r="AE55" i="90" s="1"/>
  <c r="B295" i="90" s="1"/>
  <c r="AD55" i="90"/>
  <c r="AD55" i="90" a="1"/>
  <c r="V55" i="90"/>
  <c r="P55" i="90"/>
  <c r="O55" i="90"/>
  <c r="AF54" i="90"/>
  <c r="B324" i="90" s="1"/>
  <c r="AE54" i="90" a="1"/>
  <c r="AE54" i="90" s="1"/>
  <c r="B294" i="90" s="1"/>
  <c r="AD54" i="90" a="1"/>
  <c r="AD54" i="90" s="1"/>
  <c r="B264" i="90" s="1"/>
  <c r="V54" i="90"/>
  <c r="P54" i="90"/>
  <c r="AJ20" i="90" s="1"/>
  <c r="AK20" i="90" s="1"/>
  <c r="O54" i="90"/>
  <c r="AF53" i="90"/>
  <c r="B323" i="90" s="1"/>
  <c r="AE53" i="90" a="1"/>
  <c r="AE53" i="90" s="1"/>
  <c r="B293" i="90" s="1"/>
  <c r="AD53" i="90" a="1"/>
  <c r="AD53" i="90" s="1"/>
  <c r="B263" i="90" s="1"/>
  <c r="V53" i="90"/>
  <c r="O53" i="90"/>
  <c r="P53" i="90" s="1"/>
  <c r="AF52" i="90"/>
  <c r="B322" i="90" s="1"/>
  <c r="AE52" i="90" a="1"/>
  <c r="AE52" i="90" s="1"/>
  <c r="B292" i="90" s="1"/>
  <c r="AD52" i="90" a="1"/>
  <c r="AD52" i="90" s="1"/>
  <c r="B262" i="90" s="1"/>
  <c r="V52" i="90"/>
  <c r="P52" i="90"/>
  <c r="O52" i="90"/>
  <c r="B52" i="90"/>
  <c r="AF51" i="90"/>
  <c r="B321" i="90" s="1"/>
  <c r="AE51" i="90" a="1"/>
  <c r="AE51" i="90" s="1"/>
  <c r="B291" i="90" s="1"/>
  <c r="AD51" i="90" a="1"/>
  <c r="AD51" i="90" s="1"/>
  <c r="B261" i="90" s="1"/>
  <c r="B51" i="90"/>
  <c r="V49" i="90"/>
  <c r="O49" i="90"/>
  <c r="P49" i="90" s="1"/>
  <c r="B33" i="90" s="1"/>
  <c r="V48" i="90"/>
  <c r="O48" i="90"/>
  <c r="P48" i="90" s="1"/>
  <c r="B32" i="90" s="1"/>
  <c r="V47" i="90"/>
  <c r="O47" i="90"/>
  <c r="P47" i="90" s="1"/>
  <c r="AJ35" i="90" s="1"/>
  <c r="AK35" i="90" s="1"/>
  <c r="V46" i="90"/>
  <c r="O46" i="90"/>
  <c r="P46" i="90" s="1"/>
  <c r="V45" i="90"/>
  <c r="O45" i="90"/>
  <c r="P45" i="90" s="1"/>
  <c r="V44" i="90"/>
  <c r="O44" i="90"/>
  <c r="P44" i="90" s="1"/>
  <c r="V43" i="90"/>
  <c r="O43" i="90"/>
  <c r="P43" i="90" s="1"/>
  <c r="V42" i="90"/>
  <c r="O42" i="90"/>
  <c r="P42" i="90" s="1"/>
  <c r="AJ2" i="90" s="1"/>
  <c r="AK2" i="90" s="1"/>
  <c r="AA41" i="90"/>
  <c r="Z41" i="90" s="1"/>
  <c r="AA40" i="90"/>
  <c r="Z40" i="90" s="1"/>
  <c r="AA39" i="90"/>
  <c r="Z39" i="90" s="1"/>
  <c r="AA38" i="90"/>
  <c r="Z38" i="90" s="1"/>
  <c r="V38" i="90"/>
  <c r="O38" i="90"/>
  <c r="P38" i="90" s="1"/>
  <c r="AA37" i="90"/>
  <c r="Z37" i="90" s="1"/>
  <c r="V37" i="90"/>
  <c r="O37" i="90"/>
  <c r="P37" i="90"/>
  <c r="AJ31" i="90" s="1"/>
  <c r="AK31" i="90" s="1"/>
  <c r="B37" i="90"/>
  <c r="AA36" i="90"/>
  <c r="Z36" i="90" s="1"/>
  <c r="V36" i="90"/>
  <c r="O36" i="90"/>
  <c r="P36" i="90" s="1"/>
  <c r="B23" i="90" s="1"/>
  <c r="AA35" i="90"/>
  <c r="Z35" i="90" s="1"/>
  <c r="AA34" i="90"/>
  <c r="Z34" i="90" s="1"/>
  <c r="B34" i="90"/>
  <c r="AA33" i="90"/>
  <c r="Z33" i="90" s="1"/>
  <c r="O33" i="90"/>
  <c r="P33" i="90"/>
  <c r="AA32" i="90"/>
  <c r="Z32" i="90" s="1"/>
  <c r="V32" i="90"/>
  <c r="O32" i="90"/>
  <c r="P32" i="90"/>
  <c r="AF31" i="90"/>
  <c r="B174" i="90" s="1"/>
  <c r="AD31" i="90"/>
  <c r="B144" i="90" s="1"/>
  <c r="AA31" i="90"/>
  <c r="Z31" i="90" s="1"/>
  <c r="O31" i="90"/>
  <c r="AF30" i="90"/>
  <c r="AD30" i="90"/>
  <c r="B143" i="90" s="1"/>
  <c r="AA30" i="90"/>
  <c r="Z30" i="90" s="1"/>
  <c r="AF29" i="90"/>
  <c r="B172" i="90" s="1"/>
  <c r="AD29" i="90"/>
  <c r="B142" i="90" s="1"/>
  <c r="AA29" i="90"/>
  <c r="Z29" i="90" s="1"/>
  <c r="AF28" i="90"/>
  <c r="B171" i="90" s="1"/>
  <c r="AD28" i="90"/>
  <c r="B141" i="90" s="1"/>
  <c r="AA28" i="90"/>
  <c r="Z28" i="90" s="1"/>
  <c r="V28" i="90"/>
  <c r="O28" i="90"/>
  <c r="AF27" i="90"/>
  <c r="B170" i="90" s="1"/>
  <c r="AD27" i="90"/>
  <c r="B140" i="90" s="1"/>
  <c r="AA27" i="90"/>
  <c r="Z27" i="90" s="1"/>
  <c r="V27" i="90"/>
  <c r="O27" i="90"/>
  <c r="P27" i="90"/>
  <c r="AF26" i="90"/>
  <c r="B169" i="90" s="1"/>
  <c r="AD26" i="90"/>
  <c r="B139" i="90" s="1"/>
  <c r="AA26" i="90"/>
  <c r="Z26" i="90" s="1"/>
  <c r="V26" i="90"/>
  <c r="O26" i="90"/>
  <c r="P26" i="90" s="1"/>
  <c r="B26" i="90"/>
  <c r="AF25" i="90"/>
  <c r="B168" i="90" s="1"/>
  <c r="AD25" i="90"/>
  <c r="B138" i="90" s="1"/>
  <c r="AA25" i="90"/>
  <c r="Z25" i="90" s="1"/>
  <c r="AF24" i="90"/>
  <c r="B167" i="90" s="1"/>
  <c r="AD24" i="90"/>
  <c r="B137" i="90" s="1"/>
  <c r="AA24" i="90"/>
  <c r="Z24" i="90" s="1"/>
  <c r="AJ23" i="90"/>
  <c r="AK23" i="90" s="1"/>
  <c r="AF23" i="90"/>
  <c r="B166" i="90" s="1"/>
  <c r="AD23" i="90"/>
  <c r="B136" i="90" s="1"/>
  <c r="AA23" i="90"/>
  <c r="Z23" i="90" s="1"/>
  <c r="N23" i="90"/>
  <c r="N8" i="90" s="1"/>
  <c r="AF22" i="90"/>
  <c r="B165" i="90" s="1"/>
  <c r="AD22" i="90"/>
  <c r="B135" i="90" s="1"/>
  <c r="AA22" i="90"/>
  <c r="Z22" i="90" s="1"/>
  <c r="AJ21" i="90"/>
  <c r="AK21" i="90" s="1"/>
  <c r="AF21" i="90"/>
  <c r="B164" i="90" s="1"/>
  <c r="AD21" i="90"/>
  <c r="B134" i="90" s="1"/>
  <c r="AA21" i="90"/>
  <c r="N21" i="90"/>
  <c r="AF20" i="90"/>
  <c r="AD20" i="90"/>
  <c r="B133" i="90" s="1"/>
  <c r="AA20" i="90"/>
  <c r="N20" i="90"/>
  <c r="AF19" i="90"/>
  <c r="B162" i="90" s="1"/>
  <c r="AD19" i="90"/>
  <c r="B132" i="90" s="1"/>
  <c r="AA19" i="90"/>
  <c r="N19" i="90"/>
  <c r="AF18" i="90"/>
  <c r="B161" i="90" s="1"/>
  <c r="AD18" i="90"/>
  <c r="B131" i="90" s="1"/>
  <c r="AA18" i="90"/>
  <c r="N18" i="90"/>
  <c r="AF17" i="90"/>
  <c r="B160" i="90" s="1"/>
  <c r="AD17" i="90"/>
  <c r="B130" i="90" s="1"/>
  <c r="AA17" i="90"/>
  <c r="N17" i="90"/>
  <c r="N16" i="90" s="1"/>
  <c r="N5" i="90" s="1"/>
  <c r="AF16" i="90"/>
  <c r="B159" i="90" s="1"/>
  <c r="AD16" i="90"/>
  <c r="B129" i="90" s="1"/>
  <c r="AA16" i="90"/>
  <c r="B16" i="90"/>
  <c r="AF15" i="90"/>
  <c r="B158" i="90" s="1"/>
  <c r="AD15" i="90"/>
  <c r="B128" i="90" s="1"/>
  <c r="AA15" i="90"/>
  <c r="B15" i="90"/>
  <c r="AF14" i="90"/>
  <c r="AD14" i="90"/>
  <c r="B127" i="90" s="1"/>
  <c r="AA14" i="90"/>
  <c r="B14" i="90"/>
  <c r="AF13" i="90"/>
  <c r="B156" i="90" s="1"/>
  <c r="AD13" i="90"/>
  <c r="B126" i="90" s="1"/>
  <c r="AA13" i="90"/>
  <c r="AF12" i="90"/>
  <c r="AD12" i="90"/>
  <c r="B125" i="90" s="1"/>
  <c r="AA12" i="90"/>
  <c r="N12" i="90"/>
  <c r="B12" i="90"/>
  <c r="B13" i="90" s="1"/>
  <c r="AF11" i="90"/>
  <c r="B154" i="90" s="1"/>
  <c r="AD11" i="90"/>
  <c r="B124" i="90" s="1"/>
  <c r="AA11" i="90"/>
  <c r="B11" i="90"/>
  <c r="AF10" i="90"/>
  <c r="B153" i="90" s="1"/>
  <c r="AD10" i="90"/>
  <c r="B123" i="90" s="1"/>
  <c r="AA10" i="90"/>
  <c r="N10" i="90"/>
  <c r="AF9" i="90"/>
  <c r="B152" i="90" s="1"/>
  <c r="AD9" i="90"/>
  <c r="B122" i="90" s="1"/>
  <c r="AA9" i="90"/>
  <c r="B9" i="90"/>
  <c r="B10" i="90" s="1"/>
  <c r="AA8" i="90"/>
  <c r="G8" i="90"/>
  <c r="D8" i="90"/>
  <c r="B8" i="90"/>
  <c r="AJ7" i="90"/>
  <c r="AK7" i="90" s="1"/>
  <c r="AA7" i="90"/>
  <c r="D7" i="90"/>
  <c r="B7" i="90"/>
  <c r="AA6" i="90"/>
  <c r="B6" i="90"/>
  <c r="AJ5" i="90"/>
  <c r="AK5" i="90" s="1"/>
  <c r="AA5" i="90"/>
  <c r="B5" i="90"/>
  <c r="N4" i="90"/>
  <c r="AA3" i="90"/>
  <c r="B2" i="90"/>
  <c r="M218" i="89"/>
  <c r="L164" i="89"/>
  <c r="N163" i="89"/>
  <c r="L78" i="89"/>
  <c r="N77" i="89"/>
  <c r="N71" i="89"/>
  <c r="N40" i="89"/>
  <c r="B364" i="89"/>
  <c r="B363" i="89"/>
  <c r="B362" i="89"/>
  <c r="B361" i="89"/>
  <c r="B360" i="89"/>
  <c r="B359" i="89"/>
  <c r="B358" i="89"/>
  <c r="B357" i="89"/>
  <c r="B335" i="89"/>
  <c r="B319" i="89"/>
  <c r="E282" i="89"/>
  <c r="E283" i="89" s="1"/>
  <c r="E284" i="89" s="1"/>
  <c r="E285" i="89" s="1"/>
  <c r="E286" i="89" s="1"/>
  <c r="E287" i="89" s="1"/>
  <c r="E288" i="89" s="1"/>
  <c r="E289" i="89" s="1"/>
  <c r="E290" i="89" s="1"/>
  <c r="E291" i="89" s="1"/>
  <c r="E292" i="89" s="1"/>
  <c r="E293" i="89" s="1"/>
  <c r="E294" i="89" s="1"/>
  <c r="E295" i="89" s="1"/>
  <c r="E296" i="89" s="1"/>
  <c r="E297" i="89" s="1"/>
  <c r="E298" i="89" s="1"/>
  <c r="E299" i="89" s="1"/>
  <c r="E300" i="89" s="1"/>
  <c r="E301" i="89" s="1"/>
  <c r="E302" i="89" s="1"/>
  <c r="E303" i="89" s="1"/>
  <c r="E304" i="89" s="1"/>
  <c r="E305" i="89" s="1"/>
  <c r="E306" i="89" s="1"/>
  <c r="E307" i="89" s="1"/>
  <c r="E308" i="89" s="1"/>
  <c r="E309" i="89" s="1"/>
  <c r="E310" i="89" s="1"/>
  <c r="E311" i="89" s="1"/>
  <c r="E312" i="89" s="1"/>
  <c r="E313" i="89" s="1"/>
  <c r="E314" i="89" s="1"/>
  <c r="E315" i="89" s="1"/>
  <c r="E316" i="89" s="1"/>
  <c r="E281" i="89"/>
  <c r="H238" i="89"/>
  <c r="H237" i="89"/>
  <c r="H236" i="89"/>
  <c r="F234" i="89"/>
  <c r="H234" i="89" s="1"/>
  <c r="P218" i="89"/>
  <c r="B354" i="89" s="1"/>
  <c r="B216" i="89"/>
  <c r="R215" i="89"/>
  <c r="Q215" i="89"/>
  <c r="O215" i="89"/>
  <c r="P215" i="89" s="1"/>
  <c r="H215" i="89"/>
  <c r="G215" i="89"/>
  <c r="B215" i="89"/>
  <c r="R214" i="89"/>
  <c r="Q214" i="89"/>
  <c r="O214" i="89"/>
  <c r="H214" i="89"/>
  <c r="G214" i="89"/>
  <c r="B214" i="89"/>
  <c r="R213" i="89"/>
  <c r="Q213" i="89"/>
  <c r="O213" i="89"/>
  <c r="P213" i="89" s="1"/>
  <c r="H213" i="89"/>
  <c r="G213" i="89"/>
  <c r="B213" i="89"/>
  <c r="R212" i="89"/>
  <c r="Q212" i="89"/>
  <c r="O212" i="89"/>
  <c r="P212" i="89" s="1"/>
  <c r="H212" i="89"/>
  <c r="G212" i="89"/>
  <c r="B212" i="89"/>
  <c r="R211" i="89"/>
  <c r="Q211" i="89"/>
  <c r="O211" i="89"/>
  <c r="H211" i="89"/>
  <c r="G211" i="89"/>
  <c r="B211" i="89"/>
  <c r="R210" i="89"/>
  <c r="Q210" i="89"/>
  <c r="O210" i="89"/>
  <c r="P210" i="89" s="1"/>
  <c r="H210" i="89"/>
  <c r="G210" i="89"/>
  <c r="B210" i="89"/>
  <c r="R209" i="89"/>
  <c r="Q209" i="89"/>
  <c r="O209" i="89"/>
  <c r="P209" i="89" s="1"/>
  <c r="H209" i="89"/>
  <c r="G209" i="89"/>
  <c r="B209" i="89"/>
  <c r="R208" i="89"/>
  <c r="Q208" i="89"/>
  <c r="O208" i="89"/>
  <c r="H208" i="89"/>
  <c r="G208" i="89"/>
  <c r="B208" i="89"/>
  <c r="R207" i="89"/>
  <c r="Q207" i="89"/>
  <c r="O207" i="89"/>
  <c r="H207" i="89"/>
  <c r="G207" i="89"/>
  <c r="B207" i="89"/>
  <c r="R206" i="89"/>
  <c r="Q206" i="89"/>
  <c r="O206" i="89"/>
  <c r="P206" i="89" s="1"/>
  <c r="H206" i="89"/>
  <c r="G206" i="89"/>
  <c r="B206" i="89"/>
  <c r="B205" i="89"/>
  <c r="B204" i="89"/>
  <c r="R203" i="89"/>
  <c r="O203" i="89"/>
  <c r="G203" i="89"/>
  <c r="B203" i="89"/>
  <c r="R202" i="89"/>
  <c r="P202" i="89" s="1"/>
  <c r="AA120" i="89" s="1"/>
  <c r="O202" i="89"/>
  <c r="G202" i="89"/>
  <c r="B202" i="89"/>
  <c r="R201" i="89"/>
  <c r="O201" i="89"/>
  <c r="G201" i="89"/>
  <c r="B201" i="89"/>
  <c r="R200" i="89"/>
  <c r="O200" i="89"/>
  <c r="P200" i="89" s="1"/>
  <c r="AA118" i="89" s="1"/>
  <c r="G200" i="89"/>
  <c r="B200" i="89"/>
  <c r="R199" i="89"/>
  <c r="P199" i="89" s="1"/>
  <c r="AA117" i="89" s="1"/>
  <c r="O199" i="89"/>
  <c r="G199" i="89"/>
  <c r="B199" i="89"/>
  <c r="R198" i="89"/>
  <c r="O198" i="89"/>
  <c r="P198" i="89" s="1"/>
  <c r="AA116" i="89" s="1"/>
  <c r="G198" i="89"/>
  <c r="B198" i="89"/>
  <c r="R197" i="89"/>
  <c r="P197" i="89" s="1"/>
  <c r="AA115" i="89" s="1"/>
  <c r="O197" i="89"/>
  <c r="G197" i="89"/>
  <c r="R196" i="89"/>
  <c r="O196" i="89"/>
  <c r="G196" i="89"/>
  <c r="B196" i="89"/>
  <c r="R195" i="89"/>
  <c r="P195" i="89" s="1"/>
  <c r="AA113" i="89" s="1"/>
  <c r="O195" i="89"/>
  <c r="G195" i="89"/>
  <c r="B195" i="89"/>
  <c r="R194" i="89"/>
  <c r="P194" i="89" s="1"/>
  <c r="AA112" i="89" s="1"/>
  <c r="O194" i="89"/>
  <c r="G194" i="89"/>
  <c r="B194" i="89"/>
  <c r="B193" i="89"/>
  <c r="B192" i="89"/>
  <c r="O191" i="89"/>
  <c r="B191" i="89"/>
  <c r="O190" i="89"/>
  <c r="B190" i="89"/>
  <c r="O189" i="89"/>
  <c r="B189" i="89"/>
  <c r="O188" i="89"/>
  <c r="B188" i="89"/>
  <c r="O187" i="89"/>
  <c r="B187" i="89"/>
  <c r="B186" i="89"/>
  <c r="O185" i="89"/>
  <c r="P185" i="89" s="1"/>
  <c r="I185" i="89"/>
  <c r="M191" i="89" s="1"/>
  <c r="B185" i="89"/>
  <c r="P184" i="89"/>
  <c r="R189" i="89" s="1"/>
  <c r="O184" i="89"/>
  <c r="I184" i="89"/>
  <c r="M190" i="89" s="1"/>
  <c r="B184" i="89"/>
  <c r="B183" i="89"/>
  <c r="B182" i="89"/>
  <c r="R181" i="89"/>
  <c r="P181" i="89"/>
  <c r="AA86" i="89" s="1"/>
  <c r="O181" i="89"/>
  <c r="H181" i="89"/>
  <c r="B181" i="89"/>
  <c r="R180" i="89"/>
  <c r="O180" i="89"/>
  <c r="P180" i="89" s="1"/>
  <c r="AA85" i="89" s="1"/>
  <c r="H180" i="89"/>
  <c r="B180" i="89"/>
  <c r="R179" i="89"/>
  <c r="O179" i="89"/>
  <c r="P179" i="89" s="1"/>
  <c r="AA84" i="89" s="1"/>
  <c r="H179" i="89"/>
  <c r="B179" i="89"/>
  <c r="R178" i="89"/>
  <c r="O178" i="89"/>
  <c r="P178" i="89" s="1"/>
  <c r="AA83" i="89" s="1"/>
  <c r="H178" i="89"/>
  <c r="B178" i="89"/>
  <c r="R177" i="89"/>
  <c r="P177" i="89" s="1"/>
  <c r="AA82" i="89" s="1"/>
  <c r="O177" i="89"/>
  <c r="H177" i="89"/>
  <c r="I164" i="89"/>
  <c r="H164" i="89"/>
  <c r="G164" i="89"/>
  <c r="F164" i="89"/>
  <c r="B162" i="89"/>
  <c r="O161" i="89"/>
  <c r="P161" i="89" s="1"/>
  <c r="O160" i="89"/>
  <c r="P160" i="89" s="1"/>
  <c r="R157" i="89"/>
  <c r="P157" i="89" s="1"/>
  <c r="Q157" i="89"/>
  <c r="O157" i="89"/>
  <c r="H157" i="89"/>
  <c r="G157" i="89"/>
  <c r="R156" i="89"/>
  <c r="Q156" i="89"/>
  <c r="O156" i="89"/>
  <c r="P156" i="89" s="1"/>
  <c r="H156" i="89"/>
  <c r="G156" i="89"/>
  <c r="R155" i="89"/>
  <c r="Q155" i="89"/>
  <c r="O155" i="89"/>
  <c r="H155" i="89"/>
  <c r="G155" i="89"/>
  <c r="R154" i="89"/>
  <c r="Q154" i="89"/>
  <c r="O154" i="89"/>
  <c r="H154" i="89"/>
  <c r="G154" i="89"/>
  <c r="AF153" i="89" a="1"/>
  <c r="AF153" i="89" s="1"/>
  <c r="B236" i="89" s="1"/>
  <c r="AE153" i="89"/>
  <c r="R153" i="89"/>
  <c r="Q153" i="89"/>
  <c r="O153" i="89"/>
  <c r="P153" i="89" s="1"/>
  <c r="H153" i="89"/>
  <c r="G153" i="89"/>
  <c r="AF152" i="89" a="1"/>
  <c r="AF152" i="89" s="1"/>
  <c r="B235" i="89" s="1"/>
  <c r="AE152" i="89"/>
  <c r="R152" i="89"/>
  <c r="Q152" i="89"/>
  <c r="O152" i="89"/>
  <c r="P152" i="89" s="1"/>
  <c r="H152" i="89"/>
  <c r="G152" i="89"/>
  <c r="AF151" i="89" a="1"/>
  <c r="AF151" i="89" s="1"/>
  <c r="B234" i="89" s="1"/>
  <c r="AE151" i="89"/>
  <c r="R151" i="89"/>
  <c r="Q151" i="89"/>
  <c r="O151" i="89"/>
  <c r="P151" i="89" s="1"/>
  <c r="H151" i="89"/>
  <c r="G151" i="89"/>
  <c r="AF150" i="89" a="1"/>
  <c r="AF150" i="89" s="1"/>
  <c r="B233" i="89" s="1"/>
  <c r="AE150" i="89"/>
  <c r="R150" i="89"/>
  <c r="Q150" i="89"/>
  <c r="P150" i="89"/>
  <c r="O150" i="89"/>
  <c r="H150" i="89"/>
  <c r="G150" i="89"/>
  <c r="AF149" i="89" a="1"/>
  <c r="AF149" i="89" s="1"/>
  <c r="B232" i="89" s="1"/>
  <c r="AE149" i="89"/>
  <c r="R149" i="89"/>
  <c r="Q149" i="89"/>
  <c r="O149" i="89"/>
  <c r="P149" i="89" s="1"/>
  <c r="H149" i="89"/>
  <c r="G149" i="89"/>
  <c r="AF148" i="89" a="1"/>
  <c r="AF148" i="89" s="1"/>
  <c r="B231" i="89" s="1"/>
  <c r="AE148" i="89"/>
  <c r="R148" i="89"/>
  <c r="Q148" i="89"/>
  <c r="O148" i="89"/>
  <c r="P148" i="89" s="1"/>
  <c r="H148" i="89"/>
  <c r="G148" i="89"/>
  <c r="AF147" i="89" a="1"/>
  <c r="AF147" i="89" s="1"/>
  <c r="B230" i="89" s="1"/>
  <c r="AE147" i="89"/>
  <c r="R147" i="89"/>
  <c r="Q147" i="89"/>
  <c r="O147" i="89"/>
  <c r="P147" i="89" s="1"/>
  <c r="H147" i="89"/>
  <c r="G147" i="89"/>
  <c r="AF146" i="89" a="1"/>
  <c r="AF146" i="89" s="1"/>
  <c r="B229" i="89" s="1"/>
  <c r="AE146" i="89"/>
  <c r="R146" i="89"/>
  <c r="Q146" i="89"/>
  <c r="O146" i="89"/>
  <c r="P146" i="89" s="1"/>
  <c r="H146" i="89"/>
  <c r="G146" i="89"/>
  <c r="AF145" i="89" a="1"/>
  <c r="AF145" i="89" s="1"/>
  <c r="B228" i="89" s="1"/>
  <c r="AE145" i="89"/>
  <c r="R145" i="89"/>
  <c r="Q145" i="89"/>
  <c r="O145" i="89"/>
  <c r="P145" i="89" s="1"/>
  <c r="H145" i="89"/>
  <c r="G145" i="89"/>
  <c r="AF144" i="89" a="1"/>
  <c r="AF144" i="89" s="1"/>
  <c r="B227" i="89" s="1"/>
  <c r="AE144" i="89"/>
  <c r="R144" i="89"/>
  <c r="Q144" i="89"/>
  <c r="P144" i="89"/>
  <c r="O144" i="89"/>
  <c r="H144" i="89"/>
  <c r="AF143" i="89" a="1"/>
  <c r="AF143" i="89" s="1"/>
  <c r="B226" i="89" s="1"/>
  <c r="AE143" i="89"/>
  <c r="R143" i="89"/>
  <c r="Q143" i="89"/>
  <c r="O143" i="89"/>
  <c r="P143" i="89" s="1"/>
  <c r="H143" i="89"/>
  <c r="G143" i="89"/>
  <c r="AF142" i="89" a="1"/>
  <c r="AF142" i="89" s="1"/>
  <c r="B225" i="89" s="1"/>
  <c r="AE142" i="89"/>
  <c r="R142" i="89"/>
  <c r="Q142" i="89"/>
  <c r="O142" i="89"/>
  <c r="P142" i="89" s="1"/>
  <c r="H142" i="89"/>
  <c r="AF141" i="89" a="1"/>
  <c r="AF141" i="89" s="1"/>
  <c r="B224" i="89" s="1"/>
  <c r="AE141" i="89"/>
  <c r="R141" i="89"/>
  <c r="Q141" i="89"/>
  <c r="O141" i="89"/>
  <c r="P141" i="89" s="1"/>
  <c r="H141" i="89"/>
  <c r="AF140" i="89" a="1"/>
  <c r="AF140" i="89" s="1"/>
  <c r="B223" i="89" s="1"/>
  <c r="AE140" i="89"/>
  <c r="R140" i="89"/>
  <c r="Q140" i="89"/>
  <c r="O140" i="89"/>
  <c r="P140" i="89" s="1"/>
  <c r="H140" i="89"/>
  <c r="AF139" i="89" a="1"/>
  <c r="AF139" i="89" s="1"/>
  <c r="B222" i="89" s="1"/>
  <c r="AE139" i="89"/>
  <c r="R139" i="89"/>
  <c r="P139" i="89" s="1"/>
  <c r="Q139" i="89"/>
  <c r="O139" i="89"/>
  <c r="H139" i="89"/>
  <c r="AF138" i="89" a="1"/>
  <c r="AF138" i="89" s="1"/>
  <c r="B221" i="89" s="1"/>
  <c r="AE138" i="89"/>
  <c r="R138" i="89"/>
  <c r="Q138" i="89"/>
  <c r="O138" i="89"/>
  <c r="H138" i="89"/>
  <c r="AF137" i="89" a="1"/>
  <c r="AF137" i="89" s="1"/>
  <c r="B220" i="89" s="1"/>
  <c r="AE137" i="89"/>
  <c r="H137" i="89"/>
  <c r="AF136" i="89" a="1"/>
  <c r="AF136" i="89" s="1"/>
  <c r="B219" i="89" s="1"/>
  <c r="AE136" i="89"/>
  <c r="AF135" i="89" a="1"/>
  <c r="AF135" i="89" s="1"/>
  <c r="B218" i="89" s="1"/>
  <c r="AE135" i="89"/>
  <c r="R135" i="89"/>
  <c r="Q135" i="89"/>
  <c r="O135" i="89"/>
  <c r="P135" i="89" s="1"/>
  <c r="B98" i="89" s="1"/>
  <c r="R134" i="89"/>
  <c r="Q134" i="89"/>
  <c r="O134" i="89"/>
  <c r="P134" i="89" s="1"/>
  <c r="B97" i="89" s="1"/>
  <c r="R133" i="89"/>
  <c r="Q133" i="89"/>
  <c r="O133" i="89"/>
  <c r="P133" i="89" s="1"/>
  <c r="B96" i="89" s="1"/>
  <c r="R132" i="89"/>
  <c r="Q132" i="89"/>
  <c r="O132" i="89"/>
  <c r="P132" i="89" s="1"/>
  <c r="B95" i="89" s="1"/>
  <c r="P129" i="89"/>
  <c r="B94" i="89" s="1"/>
  <c r="R128" i="89"/>
  <c r="P128" i="89"/>
  <c r="P127" i="89"/>
  <c r="B90" i="89" s="1"/>
  <c r="R126" i="89"/>
  <c r="P126" i="89"/>
  <c r="R129" i="89" s="1"/>
  <c r="P125" i="89"/>
  <c r="P124" i="89"/>
  <c r="B84" i="89" s="1"/>
  <c r="Z121" i="89"/>
  <c r="Z120" i="89"/>
  <c r="O120" i="89"/>
  <c r="P120" i="89" s="1"/>
  <c r="H120" i="89"/>
  <c r="G120" i="89"/>
  <c r="Z119" i="89"/>
  <c r="O119" i="89"/>
  <c r="P119" i="89" s="1"/>
  <c r="H119" i="89"/>
  <c r="G119" i="89"/>
  <c r="Z118" i="89"/>
  <c r="O118" i="89"/>
  <c r="P118" i="89" s="1"/>
  <c r="H118" i="89"/>
  <c r="G118" i="89"/>
  <c r="Z117" i="89"/>
  <c r="O117" i="89"/>
  <c r="P117" i="89" s="1"/>
  <c r="H117" i="89"/>
  <c r="G117" i="89"/>
  <c r="Z116" i="89"/>
  <c r="O116" i="89"/>
  <c r="P116" i="89" s="1"/>
  <c r="H116" i="89"/>
  <c r="G116" i="89"/>
  <c r="Z115" i="89"/>
  <c r="O115" i="89"/>
  <c r="P115" i="89" s="1"/>
  <c r="H115" i="89"/>
  <c r="G115" i="89"/>
  <c r="Z114" i="89"/>
  <c r="O114" i="89"/>
  <c r="P114" i="89" s="1"/>
  <c r="H114" i="89"/>
  <c r="G114" i="89"/>
  <c r="Z113" i="89"/>
  <c r="O113" i="89"/>
  <c r="P113" i="89" s="1"/>
  <c r="H113" i="89"/>
  <c r="G113" i="89"/>
  <c r="Z112" i="89"/>
  <c r="P112" i="89"/>
  <c r="O112" i="89"/>
  <c r="H112" i="89"/>
  <c r="G112" i="89"/>
  <c r="O111" i="89"/>
  <c r="P111" i="89" s="1"/>
  <c r="H111" i="89"/>
  <c r="G111" i="89"/>
  <c r="O110" i="89"/>
  <c r="P110" i="89" s="1"/>
  <c r="H110" i="89"/>
  <c r="G110" i="89"/>
  <c r="O109" i="89"/>
  <c r="P109" i="89" s="1"/>
  <c r="H109" i="89"/>
  <c r="G109" i="89"/>
  <c r="O108" i="89"/>
  <c r="P108" i="89" s="1"/>
  <c r="H108" i="89"/>
  <c r="G108" i="89"/>
  <c r="O107" i="89"/>
  <c r="P107" i="89" s="1"/>
  <c r="H107" i="89"/>
  <c r="G107" i="89"/>
  <c r="P106" i="89"/>
  <c r="O106" i="89"/>
  <c r="H106" i="89"/>
  <c r="G106" i="89"/>
  <c r="O105" i="89"/>
  <c r="P105" i="89" s="1"/>
  <c r="H105" i="89"/>
  <c r="G105" i="89"/>
  <c r="O104" i="89"/>
  <c r="P104" i="89" s="1"/>
  <c r="H104" i="89"/>
  <c r="G104" i="89"/>
  <c r="P103" i="89"/>
  <c r="O103" i="89"/>
  <c r="H103" i="89"/>
  <c r="G103" i="89"/>
  <c r="O102" i="89"/>
  <c r="P102" i="89" s="1"/>
  <c r="H102" i="89"/>
  <c r="G102" i="89"/>
  <c r="B102" i="89"/>
  <c r="O101" i="89"/>
  <c r="P101" i="89" s="1"/>
  <c r="H101" i="89"/>
  <c r="G101" i="89"/>
  <c r="B100" i="89"/>
  <c r="R98" i="89"/>
  <c r="P98" i="89" s="1"/>
  <c r="Q98" i="89"/>
  <c r="O98" i="89"/>
  <c r="H98" i="89"/>
  <c r="R97" i="89"/>
  <c r="Q97" i="89"/>
  <c r="O97" i="89"/>
  <c r="P97" i="89" s="1"/>
  <c r="H97" i="89"/>
  <c r="R96" i="89"/>
  <c r="Q96" i="89"/>
  <c r="O96" i="89"/>
  <c r="H96" i="89"/>
  <c r="R95" i="89"/>
  <c r="Q95" i="89"/>
  <c r="O95" i="89"/>
  <c r="P95" i="89" s="1"/>
  <c r="H95" i="89"/>
  <c r="R94" i="89"/>
  <c r="Q94" i="89"/>
  <c r="O94" i="89"/>
  <c r="H94" i="89"/>
  <c r="R93" i="89"/>
  <c r="Q93" i="89"/>
  <c r="O93" i="89"/>
  <c r="P93" i="89" s="1"/>
  <c r="H93" i="89"/>
  <c r="R92" i="89"/>
  <c r="P92" i="89" s="1"/>
  <c r="Q92" i="89"/>
  <c r="O92" i="89"/>
  <c r="H92" i="89"/>
  <c r="B92" i="89"/>
  <c r="R91" i="89"/>
  <c r="Q91" i="89"/>
  <c r="O91" i="89"/>
  <c r="P91" i="89" s="1"/>
  <c r="H91" i="89"/>
  <c r="R90" i="89"/>
  <c r="P90" i="89" s="1"/>
  <c r="Q90" i="89"/>
  <c r="O90" i="89"/>
  <c r="H90" i="89"/>
  <c r="R89" i="89"/>
  <c r="Q89" i="89"/>
  <c r="O89" i="89"/>
  <c r="P89" i="89" s="1"/>
  <c r="H89" i="89"/>
  <c r="R88" i="89"/>
  <c r="P88" i="89" s="1"/>
  <c r="Q88" i="89"/>
  <c r="O88" i="89"/>
  <c r="H88" i="89"/>
  <c r="B88" i="89"/>
  <c r="R87" i="89"/>
  <c r="Q87" i="89"/>
  <c r="O87" i="89"/>
  <c r="H87" i="89"/>
  <c r="R86" i="89"/>
  <c r="P86" i="89" s="1"/>
  <c r="Q86" i="89"/>
  <c r="O86" i="89"/>
  <c r="H86" i="89"/>
  <c r="B86" i="89"/>
  <c r="R85" i="89"/>
  <c r="Q85" i="89"/>
  <c r="P85" i="89"/>
  <c r="O85" i="89"/>
  <c r="H85" i="89"/>
  <c r="B85" i="89"/>
  <c r="R84" i="89"/>
  <c r="Q84" i="89"/>
  <c r="O84" i="89"/>
  <c r="P84" i="89" s="1"/>
  <c r="H84" i="89"/>
  <c r="R83" i="89"/>
  <c r="Q83" i="89"/>
  <c r="O83" i="89"/>
  <c r="H83" i="89"/>
  <c r="B83" i="89"/>
  <c r="R82" i="89"/>
  <c r="Q82" i="89"/>
  <c r="O82" i="89"/>
  <c r="P82" i="89" s="1"/>
  <c r="AA5" i="89" s="1"/>
  <c r="H82" i="89"/>
  <c r="B82" i="89"/>
  <c r="R81" i="89"/>
  <c r="P81" i="89" s="1"/>
  <c r="Q81" i="89"/>
  <c r="O81" i="89"/>
  <c r="H81" i="89"/>
  <c r="B81" i="89"/>
  <c r="R80" i="89"/>
  <c r="Q80" i="89"/>
  <c r="O80" i="89"/>
  <c r="H80" i="89"/>
  <c r="B80" i="89"/>
  <c r="R79" i="89"/>
  <c r="Q79" i="89"/>
  <c r="O79" i="89"/>
  <c r="P79" i="89" s="1"/>
  <c r="H79" i="89"/>
  <c r="B79" i="89"/>
  <c r="B78" i="89"/>
  <c r="B77" i="89"/>
  <c r="B76" i="89"/>
  <c r="B75" i="89"/>
  <c r="O74" i="89"/>
  <c r="B74" i="89"/>
  <c r="AF73" i="89"/>
  <c r="B343" i="89" s="1"/>
  <c r="AE73" i="89" a="1"/>
  <c r="AE73" i="89" s="1"/>
  <c r="B313" i="89" s="1"/>
  <c r="AD73" i="89" a="1"/>
  <c r="AD73" i="89" s="1"/>
  <c r="B283" i="89" s="1"/>
  <c r="O73" i="89"/>
  <c r="P73" i="89" s="1"/>
  <c r="B73" i="89"/>
  <c r="AF72" i="89"/>
  <c r="B342" i="89" s="1"/>
  <c r="AE72" i="89" a="1"/>
  <c r="AE72" i="89" s="1"/>
  <c r="B312" i="89" s="1"/>
  <c r="AD72" i="89" a="1"/>
  <c r="AD72" i="89" s="1"/>
  <c r="B282" i="89" s="1"/>
  <c r="O72" i="89"/>
  <c r="P72" i="89" s="1"/>
  <c r="B72" i="89"/>
  <c r="AF71" i="89"/>
  <c r="B341" i="89" s="1"/>
  <c r="AE71" i="89" a="1"/>
  <c r="AE71" i="89" s="1"/>
  <c r="B311" i="89" s="1"/>
  <c r="AD71" i="89" a="1"/>
  <c r="AD71" i="89" s="1"/>
  <c r="B281" i="89" s="1"/>
  <c r="B71" i="89"/>
  <c r="AF70" i="89"/>
  <c r="B340" i="89" s="1"/>
  <c r="AE70" i="89" a="1"/>
  <c r="AE70" i="89" s="1"/>
  <c r="B310" i="89" s="1"/>
  <c r="AD70" i="89" a="1"/>
  <c r="AD70" i="89" s="1"/>
  <c r="B280" i="89" s="1"/>
  <c r="B70" i="89"/>
  <c r="AF69" i="89"/>
  <c r="B339" i="89" s="1"/>
  <c r="AE69" i="89" a="1"/>
  <c r="AE69" i="89" s="1"/>
  <c r="B309" i="89" s="1"/>
  <c r="AD69" i="89" a="1"/>
  <c r="AD69" i="89" s="1"/>
  <c r="B279" i="89" s="1"/>
  <c r="V69" i="89"/>
  <c r="O69" i="89"/>
  <c r="P69" i="89" s="1"/>
  <c r="B69" i="89"/>
  <c r="AF68" i="89"/>
  <c r="B338" i="89" s="1"/>
  <c r="AE68" i="89" a="1"/>
  <c r="AE68" i="89" s="1"/>
  <c r="B308" i="89" s="1"/>
  <c r="AD68" i="89" a="1"/>
  <c r="AD68" i="89" s="1"/>
  <c r="B278" i="89" s="1"/>
  <c r="V68" i="89"/>
  <c r="O68" i="89"/>
  <c r="P68" i="89" s="1"/>
  <c r="B48" i="89" s="1"/>
  <c r="B68" i="89"/>
  <c r="AF67" i="89"/>
  <c r="B337" i="89" s="1"/>
  <c r="AE67" i="89" a="1"/>
  <c r="AE67" i="89" s="1"/>
  <c r="B307" i="89" s="1"/>
  <c r="AD67" i="89" a="1"/>
  <c r="AD67" i="89" s="1"/>
  <c r="B277" i="89" s="1"/>
  <c r="V67" i="89"/>
  <c r="O67" i="89"/>
  <c r="P67" i="89" s="1"/>
  <c r="B67" i="89"/>
  <c r="AF66" i="89"/>
  <c r="B336" i="89" s="1"/>
  <c r="AE66" i="89" a="1"/>
  <c r="AE66" i="89" s="1"/>
  <c r="B306" i="89" s="1"/>
  <c r="AD66" i="89" a="1"/>
  <c r="AD66" i="89" s="1"/>
  <c r="B276" i="89" s="1"/>
  <c r="V66" i="89"/>
  <c r="P66" i="89"/>
  <c r="O66" i="89"/>
  <c r="B66" i="89"/>
  <c r="AF65" i="89"/>
  <c r="AE65" i="89" a="1"/>
  <c r="AE65" i="89" s="1"/>
  <c r="B305" i="89" s="1"/>
  <c r="AD65" i="89"/>
  <c r="B275" i="89" s="1"/>
  <c r="AD65" i="89" a="1"/>
  <c r="V65" i="89"/>
  <c r="O65" i="89"/>
  <c r="P65" i="89" s="1"/>
  <c r="B65" i="89"/>
  <c r="AF64" i="89"/>
  <c r="B334" i="89" s="1"/>
  <c r="AE64" i="89" a="1"/>
  <c r="AE64" i="89" s="1"/>
  <c r="B304" i="89" s="1"/>
  <c r="AD64" i="89" a="1"/>
  <c r="AD64" i="89" s="1"/>
  <c r="B274" i="89" s="1"/>
  <c r="V64" i="89"/>
  <c r="P64" i="89"/>
  <c r="AJ22" i="89" s="1"/>
  <c r="AK22" i="89" s="1"/>
  <c r="O64" i="89"/>
  <c r="B64" i="89"/>
  <c r="AF63" i="89"/>
  <c r="B333" i="89" s="1"/>
  <c r="AE63" i="89" a="1"/>
  <c r="AE63" i="89" s="1"/>
  <c r="B303" i="89" s="1"/>
  <c r="AD63" i="89" a="1"/>
  <c r="AD63" i="89" s="1"/>
  <c r="B273" i="89" s="1"/>
  <c r="V63" i="89"/>
  <c r="O63" i="89"/>
  <c r="P63" i="89" s="1"/>
  <c r="B43" i="89" s="1"/>
  <c r="B63" i="89"/>
  <c r="AF62" i="89"/>
  <c r="B332" i="89" s="1"/>
  <c r="AE62" i="89" a="1"/>
  <c r="AE62" i="89" s="1"/>
  <c r="B302" i="89" s="1"/>
  <c r="AD62" i="89"/>
  <c r="B272" i="89" s="1"/>
  <c r="AD62" i="89" a="1"/>
  <c r="V62" i="89"/>
  <c r="P62" i="89"/>
  <c r="AJ3" i="89" s="1"/>
  <c r="AK3" i="89" s="1"/>
  <c r="O62" i="89"/>
  <c r="B62" i="89"/>
  <c r="AF61" i="89"/>
  <c r="B331" i="89" s="1"/>
  <c r="AE61" i="89" a="1"/>
  <c r="AE61" i="89" s="1"/>
  <c r="B301" i="89" s="1"/>
  <c r="AD61" i="89" a="1"/>
  <c r="AD61" i="89" s="1"/>
  <c r="B271" i="89" s="1"/>
  <c r="B61" i="89"/>
  <c r="AF60" i="89"/>
  <c r="B330" i="89" s="1"/>
  <c r="AE60" i="89" a="1"/>
  <c r="AE60" i="89" s="1"/>
  <c r="B300" i="89" s="1"/>
  <c r="AD60" i="89" a="1"/>
  <c r="AD60" i="89" s="1"/>
  <c r="B270" i="89" s="1"/>
  <c r="B60" i="89"/>
  <c r="AF59" i="89"/>
  <c r="B329" i="89" s="1"/>
  <c r="AE59" i="89" a="1"/>
  <c r="AE59" i="89" s="1"/>
  <c r="B299" i="89" s="1"/>
  <c r="AD59" i="89" a="1"/>
  <c r="AD59" i="89" s="1"/>
  <c r="B269" i="89" s="1"/>
  <c r="V59" i="89"/>
  <c r="P59" i="89"/>
  <c r="O59" i="89"/>
  <c r="AF58" i="89"/>
  <c r="B328" i="89" s="1"/>
  <c r="AE58" i="89" a="1"/>
  <c r="AE58" i="89" s="1"/>
  <c r="B298" i="89" s="1"/>
  <c r="AD58" i="89" a="1"/>
  <c r="AD58" i="89" s="1"/>
  <c r="B268" i="89" s="1"/>
  <c r="V58" i="89"/>
  <c r="O58" i="89"/>
  <c r="P58" i="89" s="1"/>
  <c r="AF57" i="89"/>
  <c r="B327" i="89" s="1"/>
  <c r="AE57" i="89" a="1"/>
  <c r="AE57" i="89" s="1"/>
  <c r="B297" i="89" s="1"/>
  <c r="AD57" i="89" a="1"/>
  <c r="AD57" i="89" s="1"/>
  <c r="B267" i="89" s="1"/>
  <c r="V57" i="89"/>
  <c r="O57" i="89"/>
  <c r="P57" i="89" s="1"/>
  <c r="AJ56" i="89"/>
  <c r="AK56" i="89" s="1"/>
  <c r="AF56" i="89"/>
  <c r="B326" i="89" s="1"/>
  <c r="AE56" i="89" a="1"/>
  <c r="AE56" i="89" s="1"/>
  <c r="B296" i="89" s="1"/>
  <c r="AD56" i="89" a="1"/>
  <c r="AD56" i="89" s="1"/>
  <c r="B266" i="89" s="1"/>
  <c r="V56" i="89"/>
  <c r="O56" i="89"/>
  <c r="P56" i="89" s="1"/>
  <c r="AF55" i="89"/>
  <c r="B325" i="89" s="1"/>
  <c r="AE55" i="89" a="1"/>
  <c r="AE55" i="89" s="1"/>
  <c r="B295" i="89" s="1"/>
  <c r="AD55" i="89"/>
  <c r="B265" i="89" s="1"/>
  <c r="AD55" i="89" a="1"/>
  <c r="V55" i="89"/>
  <c r="O55" i="89"/>
  <c r="P55" i="89" s="1"/>
  <c r="AJ23" i="89" s="1"/>
  <c r="AK23" i="89" s="1"/>
  <c r="AF54" i="89"/>
  <c r="B324" i="89" s="1"/>
  <c r="AE54" i="89" a="1"/>
  <c r="AE54" i="89" s="1"/>
  <c r="B294" i="89" s="1"/>
  <c r="AD54" i="89"/>
  <c r="B264" i="89" s="1"/>
  <c r="AD54" i="89" a="1"/>
  <c r="V54" i="89"/>
  <c r="O54" i="89"/>
  <c r="P54" i="89" s="1"/>
  <c r="AF53" i="89"/>
  <c r="B323" i="89" s="1"/>
  <c r="AE53" i="89" a="1"/>
  <c r="AE53" i="89" s="1"/>
  <c r="B293" i="89" s="1"/>
  <c r="AD53" i="89"/>
  <c r="B263" i="89" s="1"/>
  <c r="AD53" i="89" a="1"/>
  <c r="V53" i="89"/>
  <c r="O53" i="89"/>
  <c r="P53" i="89" s="1"/>
  <c r="AF52" i="89"/>
  <c r="B322" i="89" s="1"/>
  <c r="AE52" i="89" a="1"/>
  <c r="AE52" i="89" s="1"/>
  <c r="B292" i="89" s="1"/>
  <c r="AD52" i="89" a="1"/>
  <c r="AD52" i="89" s="1"/>
  <c r="B262" i="89" s="1"/>
  <c r="V52" i="89"/>
  <c r="P52" i="89"/>
  <c r="B34" i="89" s="1"/>
  <c r="O52" i="89"/>
  <c r="AF51" i="89"/>
  <c r="B321" i="89" s="1"/>
  <c r="AE51" i="89" a="1"/>
  <c r="AE51" i="89" s="1"/>
  <c r="B291" i="89" s="1"/>
  <c r="AD51" i="89" a="1"/>
  <c r="AD51" i="89" s="1"/>
  <c r="B261" i="89" s="1"/>
  <c r="AF50" i="89"/>
  <c r="B320" i="89" s="1"/>
  <c r="AE50" i="89" a="1"/>
  <c r="AE50" i="89" s="1"/>
  <c r="B290" i="89" s="1"/>
  <c r="AD50" i="89" a="1"/>
  <c r="AD50" i="89" s="1"/>
  <c r="B260" i="89" s="1"/>
  <c r="AF49" i="89"/>
  <c r="AE49" i="89" a="1"/>
  <c r="AE49" i="89" s="1"/>
  <c r="B289" i="89" s="1"/>
  <c r="AD49" i="89" a="1"/>
  <c r="AD49" i="89" s="1"/>
  <c r="B259" i="89" s="1"/>
  <c r="V49" i="89"/>
  <c r="P49" i="89"/>
  <c r="B33" i="89" s="1"/>
  <c r="O49" i="89"/>
  <c r="V48" i="89"/>
  <c r="O48" i="89"/>
  <c r="P48" i="89" s="1"/>
  <c r="B32" i="89" s="1"/>
  <c r="V47" i="89"/>
  <c r="O47" i="89"/>
  <c r="P47" i="89" s="1"/>
  <c r="V46" i="89"/>
  <c r="O46" i="89"/>
  <c r="P46" i="89" s="1"/>
  <c r="V45" i="89"/>
  <c r="O45" i="89"/>
  <c r="P45" i="89" s="1"/>
  <c r="V44" i="89"/>
  <c r="O44" i="89"/>
  <c r="P44" i="89" s="1"/>
  <c r="V43" i="89"/>
  <c r="O43" i="89"/>
  <c r="P43" i="89" s="1"/>
  <c r="V42" i="89"/>
  <c r="O42" i="89"/>
  <c r="P42" i="89" s="1"/>
  <c r="AJ2" i="89" s="1"/>
  <c r="AK2" i="89" s="1"/>
  <c r="B42" i="89"/>
  <c r="AA41" i="89"/>
  <c r="Z41" i="89" s="1"/>
  <c r="B41" i="89"/>
  <c r="AA40" i="89"/>
  <c r="Z40" i="89" s="1"/>
  <c r="AA39" i="89"/>
  <c r="Z39" i="89" s="1"/>
  <c r="AA38" i="89"/>
  <c r="Z38" i="89" s="1"/>
  <c r="V38" i="89"/>
  <c r="O38" i="89"/>
  <c r="P38" i="89"/>
  <c r="AJ10" i="89" s="1"/>
  <c r="AK10" i="89" s="1"/>
  <c r="AA37" i="89"/>
  <c r="Z37" i="89" s="1"/>
  <c r="V37" i="89"/>
  <c r="O37" i="89"/>
  <c r="P37" i="89"/>
  <c r="AA36" i="89"/>
  <c r="Z36" i="89" s="1"/>
  <c r="V36" i="89"/>
  <c r="O36" i="89"/>
  <c r="P36" i="89" s="1"/>
  <c r="AA35" i="89"/>
  <c r="Z35" i="89" s="1"/>
  <c r="AA34" i="89"/>
  <c r="Z34" i="89" s="1"/>
  <c r="AA33" i="89"/>
  <c r="Z33" i="89" s="1"/>
  <c r="O33" i="89"/>
  <c r="P33" i="89" s="1"/>
  <c r="AA32" i="89"/>
  <c r="Z32" i="89" s="1"/>
  <c r="V32" i="89"/>
  <c r="O32" i="89"/>
  <c r="P32" i="89"/>
  <c r="B21" i="89" s="1"/>
  <c r="AF31" i="89"/>
  <c r="B174" i="89" s="1"/>
  <c r="AD31" i="89"/>
  <c r="B144" i="89" s="1"/>
  <c r="AA31" i="89"/>
  <c r="Z31" i="89" s="1"/>
  <c r="O31" i="89"/>
  <c r="P31" i="89"/>
  <c r="AF30" i="89"/>
  <c r="B173" i="89" s="1"/>
  <c r="AD30" i="89"/>
  <c r="B143" i="89" s="1"/>
  <c r="AA30" i="89"/>
  <c r="Z30" i="89" s="1"/>
  <c r="AF29" i="89"/>
  <c r="B172" i="89" s="1"/>
  <c r="AD29" i="89"/>
  <c r="B142" i="89" s="1"/>
  <c r="AA29" i="89"/>
  <c r="Z29" i="89" s="1"/>
  <c r="AF28" i="89"/>
  <c r="B171" i="89" s="1"/>
  <c r="AD28" i="89"/>
  <c r="B141" i="89" s="1"/>
  <c r="AA28" i="89"/>
  <c r="Z28" i="89" s="1"/>
  <c r="V28" i="89"/>
  <c r="P28" i="89"/>
  <c r="AJ42" i="89" s="1"/>
  <c r="AK42" i="89" s="1"/>
  <c r="O28" i="89"/>
  <c r="AF27" i="89"/>
  <c r="B170" i="89" s="1"/>
  <c r="AD27" i="89"/>
  <c r="B140" i="89" s="1"/>
  <c r="AA27" i="89"/>
  <c r="Z27" i="89" s="1"/>
  <c r="V27" i="89"/>
  <c r="O27" i="89"/>
  <c r="P27" i="89" s="1"/>
  <c r="AF26" i="89"/>
  <c r="B169" i="89" s="1"/>
  <c r="AD26" i="89"/>
  <c r="B139" i="89" s="1"/>
  <c r="AA26" i="89"/>
  <c r="Z26" i="89" s="1"/>
  <c r="V26" i="89"/>
  <c r="O26" i="89"/>
  <c r="P26" i="89"/>
  <c r="B26" i="89"/>
  <c r="AF25" i="89"/>
  <c r="B168" i="89" s="1"/>
  <c r="AD25" i="89"/>
  <c r="B138" i="89" s="1"/>
  <c r="AA25" i="89"/>
  <c r="Z25" i="89" s="1"/>
  <c r="AF24" i="89"/>
  <c r="B167" i="89" s="1"/>
  <c r="AD24" i="89"/>
  <c r="B137" i="89" s="1"/>
  <c r="AA24" i="89"/>
  <c r="Z24" i="89" s="1"/>
  <c r="AF23" i="89"/>
  <c r="B166" i="89" s="1"/>
  <c r="AD23" i="89"/>
  <c r="B136" i="89" s="1"/>
  <c r="AA23" i="89"/>
  <c r="Z23" i="89" s="1"/>
  <c r="N23" i="89"/>
  <c r="N8" i="89" s="1"/>
  <c r="AF22" i="89"/>
  <c r="B165" i="89" s="1"/>
  <c r="AD22" i="89"/>
  <c r="B135" i="89" s="1"/>
  <c r="AA22" i="89"/>
  <c r="Z22" i="89" s="1"/>
  <c r="AJ21" i="89"/>
  <c r="AK21" i="89" s="1"/>
  <c r="AF21" i="89"/>
  <c r="B164" i="89" s="1"/>
  <c r="AD21" i="89"/>
  <c r="B134" i="89" s="1"/>
  <c r="AA21" i="89"/>
  <c r="N21" i="89"/>
  <c r="AF20" i="89"/>
  <c r="B163" i="89" s="1"/>
  <c r="AD20" i="89"/>
  <c r="B133" i="89" s="1"/>
  <c r="AA20" i="89"/>
  <c r="N20" i="89"/>
  <c r="AF19" i="89"/>
  <c r="AD19" i="89"/>
  <c r="B132" i="89" s="1"/>
  <c r="AA19" i="89"/>
  <c r="N19" i="89"/>
  <c r="AF18" i="89"/>
  <c r="B161" i="89" s="1"/>
  <c r="AD18" i="89"/>
  <c r="B131" i="89" s="1"/>
  <c r="AA18" i="89"/>
  <c r="N18" i="89"/>
  <c r="AF17" i="89"/>
  <c r="B160" i="89" s="1"/>
  <c r="AD17" i="89"/>
  <c r="B130" i="89" s="1"/>
  <c r="AA17" i="89"/>
  <c r="N17" i="89"/>
  <c r="N16" i="89" s="1"/>
  <c r="N5" i="89" s="1"/>
  <c r="AF16" i="89"/>
  <c r="B159" i="89" s="1"/>
  <c r="AD16" i="89"/>
  <c r="B129" i="89" s="1"/>
  <c r="AA16" i="89"/>
  <c r="B16" i="89"/>
  <c r="AF15" i="89"/>
  <c r="B158" i="89" s="1"/>
  <c r="AD15" i="89"/>
  <c r="B128" i="89" s="1"/>
  <c r="AA15" i="89"/>
  <c r="B15" i="89"/>
  <c r="AF14" i="89"/>
  <c r="B157" i="89" s="1"/>
  <c r="AD14" i="89"/>
  <c r="B127" i="89" s="1"/>
  <c r="AA14" i="89"/>
  <c r="B14" i="89"/>
  <c r="AF13" i="89"/>
  <c r="B156" i="89" s="1"/>
  <c r="AD13" i="89"/>
  <c r="B126" i="89" s="1"/>
  <c r="AA13" i="89"/>
  <c r="AF12" i="89"/>
  <c r="B155" i="89" s="1"/>
  <c r="AD12" i="89"/>
  <c r="B125" i="89" s="1"/>
  <c r="AA12" i="89"/>
  <c r="N12" i="89"/>
  <c r="B12" i="89"/>
  <c r="B13" i="89" s="1"/>
  <c r="AF11" i="89"/>
  <c r="B154" i="89" s="1"/>
  <c r="AD11" i="89"/>
  <c r="B124" i="89" s="1"/>
  <c r="AA11" i="89"/>
  <c r="N11" i="89"/>
  <c r="B11" i="89"/>
  <c r="AF10" i="89"/>
  <c r="B153" i="89" s="1"/>
  <c r="AD10" i="89"/>
  <c r="B123" i="89" s="1"/>
  <c r="AA10" i="89"/>
  <c r="N10" i="89"/>
  <c r="AF9" i="89"/>
  <c r="B152" i="89" s="1"/>
  <c r="AD9" i="89"/>
  <c r="B122" i="89" s="1"/>
  <c r="AA9" i="89"/>
  <c r="B9" i="89"/>
  <c r="B10" i="89" s="1"/>
  <c r="AF8" i="89"/>
  <c r="B151" i="89" s="1"/>
  <c r="AD8" i="89"/>
  <c r="B121" i="89" s="1"/>
  <c r="AA8" i="89"/>
  <c r="G8" i="89"/>
  <c r="D8" i="89"/>
  <c r="B8" i="89"/>
  <c r="AF7" i="89"/>
  <c r="B150" i="89" s="1"/>
  <c r="AD7" i="89"/>
  <c r="B120" i="89" s="1"/>
  <c r="AA7" i="89"/>
  <c r="D7" i="89"/>
  <c r="B7" i="89"/>
  <c r="AF6" i="89"/>
  <c r="B149" i="89" s="1"/>
  <c r="AD6" i="89"/>
  <c r="B119" i="89" s="1"/>
  <c r="AA6" i="89"/>
  <c r="B6" i="89"/>
  <c r="B5" i="89"/>
  <c r="AA4" i="89"/>
  <c r="N4" i="89"/>
  <c r="AA2" i="89"/>
  <c r="B2" i="89"/>
  <c r="B91" i="85"/>
  <c r="M124" i="88"/>
  <c r="L61" i="88"/>
  <c r="L51" i="88"/>
  <c r="L41" i="88"/>
  <c r="L35" i="88"/>
  <c r="L30" i="88"/>
  <c r="L25" i="88"/>
  <c r="G157" i="86"/>
  <c r="G156" i="86"/>
  <c r="G155" i="86"/>
  <c r="G154" i="86"/>
  <c r="G153" i="86"/>
  <c r="G152" i="86"/>
  <c r="G151" i="86"/>
  <c r="G150" i="86"/>
  <c r="G149" i="86"/>
  <c r="G148" i="86"/>
  <c r="G147" i="86"/>
  <c r="G146" i="86"/>
  <c r="G145" i="86"/>
  <c r="G144" i="86"/>
  <c r="G143" i="86"/>
  <c r="G142" i="86"/>
  <c r="G141" i="86"/>
  <c r="G120" i="86"/>
  <c r="G119" i="86"/>
  <c r="G118" i="86"/>
  <c r="G117" i="86"/>
  <c r="G116" i="86"/>
  <c r="G115" i="86"/>
  <c r="G114" i="86"/>
  <c r="G113" i="86"/>
  <c r="G112" i="86"/>
  <c r="G111" i="86"/>
  <c r="G110" i="86"/>
  <c r="G109" i="86"/>
  <c r="G108" i="86"/>
  <c r="G107" i="86"/>
  <c r="G106" i="86"/>
  <c r="G105" i="86"/>
  <c r="G104" i="86"/>
  <c r="G103" i="86"/>
  <c r="G102" i="86"/>
  <c r="G101" i="86"/>
  <c r="M218" i="88"/>
  <c r="P218" i="88" s="1"/>
  <c r="B354" i="88" s="1"/>
  <c r="M191" i="88"/>
  <c r="M190" i="88"/>
  <c r="M189" i="88"/>
  <c r="L164" i="88"/>
  <c r="N163" i="88"/>
  <c r="L78" i="88"/>
  <c r="N77" i="88"/>
  <c r="N71" i="88"/>
  <c r="N40" i="88"/>
  <c r="P28" i="88"/>
  <c r="P26" i="88"/>
  <c r="AJ26" i="88" s="1"/>
  <c r="AK26" i="88" s="1"/>
  <c r="B364" i="88"/>
  <c r="B363" i="88"/>
  <c r="B362" i="88"/>
  <c r="B361" i="88"/>
  <c r="B360" i="88"/>
  <c r="B359" i="88"/>
  <c r="B358" i="88"/>
  <c r="B357" i="88"/>
  <c r="B336" i="88"/>
  <c r="B335" i="88"/>
  <c r="E285" i="88"/>
  <c r="E286" i="88" s="1"/>
  <c r="E287" i="88" s="1"/>
  <c r="E288" i="88" s="1"/>
  <c r="E289" i="88" s="1"/>
  <c r="E290" i="88" s="1"/>
  <c r="E291" i="88" s="1"/>
  <c r="E292" i="88" s="1"/>
  <c r="E293" i="88" s="1"/>
  <c r="E294" i="88" s="1"/>
  <c r="E295" i="88" s="1"/>
  <c r="E296" i="88" s="1"/>
  <c r="E297" i="88" s="1"/>
  <c r="E298" i="88" s="1"/>
  <c r="E299" i="88" s="1"/>
  <c r="E300" i="88" s="1"/>
  <c r="E301" i="88" s="1"/>
  <c r="E302" i="88" s="1"/>
  <c r="E303" i="88" s="1"/>
  <c r="E304" i="88" s="1"/>
  <c r="E305" i="88" s="1"/>
  <c r="E306" i="88" s="1"/>
  <c r="E307" i="88" s="1"/>
  <c r="E308" i="88" s="1"/>
  <c r="E309" i="88" s="1"/>
  <c r="E310" i="88" s="1"/>
  <c r="E311" i="88" s="1"/>
  <c r="E312" i="88" s="1"/>
  <c r="E313" i="88" s="1"/>
  <c r="E314" i="88" s="1"/>
  <c r="E315" i="88" s="1"/>
  <c r="E316" i="88" s="1"/>
  <c r="E282" i="88"/>
  <c r="E283" i="88" s="1"/>
  <c r="E284" i="88" s="1"/>
  <c r="E281" i="88"/>
  <c r="B265" i="88"/>
  <c r="H238" i="88"/>
  <c r="H237" i="88"/>
  <c r="H236" i="88"/>
  <c r="F234" i="88"/>
  <c r="H234" i="88" s="1"/>
  <c r="B216" i="88"/>
  <c r="R215" i="88"/>
  <c r="Q215" i="88"/>
  <c r="O215" i="88"/>
  <c r="P215" i="88" s="1"/>
  <c r="H215" i="88"/>
  <c r="G215" i="88"/>
  <c r="B215" i="88"/>
  <c r="R214" i="88"/>
  <c r="Q214" i="88"/>
  <c r="O214" i="88"/>
  <c r="P214" i="88" s="1"/>
  <c r="H214" i="88"/>
  <c r="G214" i="88"/>
  <c r="B214" i="88"/>
  <c r="R213" i="88"/>
  <c r="Q213" i="88"/>
  <c r="O213" i="88"/>
  <c r="P213" i="88" s="1"/>
  <c r="H213" i="88"/>
  <c r="G213" i="88"/>
  <c r="B213" i="88"/>
  <c r="R212" i="88"/>
  <c r="Q212" i="88"/>
  <c r="O212" i="88"/>
  <c r="P212" i="88" s="1"/>
  <c r="H212" i="88"/>
  <c r="G212" i="88"/>
  <c r="B212" i="88"/>
  <c r="R211" i="88"/>
  <c r="P211" i="88" s="1"/>
  <c r="Q211" i="88"/>
  <c r="O211" i="88"/>
  <c r="H211" i="88"/>
  <c r="G211" i="88"/>
  <c r="B211" i="88"/>
  <c r="R210" i="88"/>
  <c r="Q210" i="88"/>
  <c r="O210" i="88"/>
  <c r="P210" i="88" s="1"/>
  <c r="H210" i="88"/>
  <c r="G210" i="88"/>
  <c r="B210" i="88"/>
  <c r="R209" i="88"/>
  <c r="Q209" i="88"/>
  <c r="O209" i="88"/>
  <c r="P209" i="88" s="1"/>
  <c r="H209" i="88"/>
  <c r="G209" i="88"/>
  <c r="B209" i="88"/>
  <c r="R208" i="88"/>
  <c r="Q208" i="88"/>
  <c r="O208" i="88"/>
  <c r="H208" i="88"/>
  <c r="G208" i="88"/>
  <c r="B208" i="88"/>
  <c r="R207" i="88"/>
  <c r="Q207" i="88"/>
  <c r="O207" i="88"/>
  <c r="H207" i="88"/>
  <c r="G207" i="88"/>
  <c r="B207" i="88"/>
  <c r="R206" i="88"/>
  <c r="Q206" i="88"/>
  <c r="O206" i="88"/>
  <c r="P206" i="88" s="1"/>
  <c r="H206" i="88"/>
  <c r="G206" i="88"/>
  <c r="B206" i="88"/>
  <c r="B205" i="88"/>
  <c r="B204" i="88"/>
  <c r="R203" i="88"/>
  <c r="O203" i="88"/>
  <c r="G203" i="88"/>
  <c r="B203" i="88"/>
  <c r="R202" i="88"/>
  <c r="P202" i="88" s="1"/>
  <c r="AA120" i="88" s="1"/>
  <c r="O202" i="88"/>
  <c r="G202" i="88"/>
  <c r="B202" i="88"/>
  <c r="R201" i="88"/>
  <c r="P201" i="88" s="1"/>
  <c r="AA119" i="88" s="1"/>
  <c r="O201" i="88"/>
  <c r="G201" i="88"/>
  <c r="B201" i="88"/>
  <c r="R200" i="88"/>
  <c r="P200" i="88"/>
  <c r="O200" i="88"/>
  <c r="G200" i="88"/>
  <c r="B200" i="88"/>
  <c r="R199" i="88"/>
  <c r="O199" i="88"/>
  <c r="G199" i="88"/>
  <c r="R198" i="88"/>
  <c r="P198" i="88"/>
  <c r="AA116" i="88" s="1"/>
  <c r="O198" i="88"/>
  <c r="G198" i="88"/>
  <c r="R197" i="88"/>
  <c r="P197" i="88" s="1"/>
  <c r="AA115" i="88" s="1"/>
  <c r="O197" i="88"/>
  <c r="G197" i="88"/>
  <c r="R196" i="88"/>
  <c r="P196" i="88" s="1"/>
  <c r="AA114" i="88" s="1"/>
  <c r="O196" i="88"/>
  <c r="G196" i="88"/>
  <c r="B196" i="88"/>
  <c r="R195" i="88"/>
  <c r="O195" i="88"/>
  <c r="P195" i="88" s="1"/>
  <c r="AA113" i="88" s="1"/>
  <c r="G195" i="88"/>
  <c r="B195" i="88"/>
  <c r="R194" i="88"/>
  <c r="O194" i="88"/>
  <c r="G194" i="88"/>
  <c r="B194" i="88"/>
  <c r="B193" i="88"/>
  <c r="B192" i="88"/>
  <c r="O191" i="88"/>
  <c r="B191" i="88"/>
  <c r="O190" i="88"/>
  <c r="B190" i="88"/>
  <c r="O189" i="88"/>
  <c r="B189" i="88"/>
  <c r="O188" i="88"/>
  <c r="B188" i="88"/>
  <c r="O187" i="88"/>
  <c r="B187" i="88"/>
  <c r="B186" i="88"/>
  <c r="O185" i="88"/>
  <c r="P185" i="88" s="1"/>
  <c r="R190" i="88" s="1"/>
  <c r="I185" i="88"/>
  <c r="B185" i="88"/>
  <c r="P184" i="88"/>
  <c r="L193" i="88" s="1"/>
  <c r="O184" i="88"/>
  <c r="I184" i="88"/>
  <c r="M187" i="88" s="1"/>
  <c r="B184" i="88"/>
  <c r="B183" i="88"/>
  <c r="B182" i="88"/>
  <c r="R181" i="88"/>
  <c r="O181" i="88"/>
  <c r="H181" i="88"/>
  <c r="B181" i="88"/>
  <c r="R180" i="88"/>
  <c r="O180" i="88"/>
  <c r="P180" i="88" s="1"/>
  <c r="AA85" i="88" s="1"/>
  <c r="H180" i="88"/>
  <c r="B180" i="88"/>
  <c r="R179" i="88"/>
  <c r="O179" i="88"/>
  <c r="P179" i="88" s="1"/>
  <c r="AA84" i="88" s="1"/>
  <c r="H179" i="88"/>
  <c r="R178" i="88"/>
  <c r="O178" i="88"/>
  <c r="P178" i="88" s="1"/>
  <c r="AA83" i="88" s="1"/>
  <c r="H178" i="88"/>
  <c r="R177" i="88"/>
  <c r="O177" i="88"/>
  <c r="H177" i="88"/>
  <c r="B173" i="88"/>
  <c r="I164" i="88"/>
  <c r="H164" i="88"/>
  <c r="O167" i="88" s="1"/>
  <c r="P167" i="88" s="1"/>
  <c r="Y54" i="88" s="1"/>
  <c r="AA54" i="88" s="1" a="1"/>
  <c r="AA54" i="88" s="1"/>
  <c r="G164" i="88"/>
  <c r="F164" i="88"/>
  <c r="B163" i="88"/>
  <c r="P161" i="88"/>
  <c r="O161" i="88"/>
  <c r="P160" i="88"/>
  <c r="AE155" i="88" s="1"/>
  <c r="O160" i="88"/>
  <c r="R157" i="88"/>
  <c r="Q157" i="88"/>
  <c r="O157" i="88"/>
  <c r="H157" i="88"/>
  <c r="G157" i="88"/>
  <c r="R156" i="88"/>
  <c r="P156" i="88" s="1"/>
  <c r="Q156" i="88"/>
  <c r="O156" i="88"/>
  <c r="H156" i="88"/>
  <c r="G156" i="88"/>
  <c r="R155" i="88"/>
  <c r="P155" i="88" s="1"/>
  <c r="Q155" i="88"/>
  <c r="O155" i="88"/>
  <c r="H155" i="88"/>
  <c r="G155" i="88"/>
  <c r="R154" i="88"/>
  <c r="Q154" i="88"/>
  <c r="O154" i="88"/>
  <c r="H154" i="88"/>
  <c r="G154" i="88"/>
  <c r="AF153" i="88" a="1"/>
  <c r="AF153" i="88" s="1"/>
  <c r="B236" i="88" s="1"/>
  <c r="AE153" i="88"/>
  <c r="R153" i="88"/>
  <c r="Q153" i="88"/>
  <c r="O153" i="88"/>
  <c r="P153" i="88" s="1"/>
  <c r="H153" i="88"/>
  <c r="G153" i="88"/>
  <c r="AF152" i="88" a="1"/>
  <c r="AF152" i="88" s="1"/>
  <c r="B235" i="88" s="1"/>
  <c r="AE152" i="88"/>
  <c r="R152" i="88"/>
  <c r="Q152" i="88"/>
  <c r="O152" i="88"/>
  <c r="P152" i="88" s="1"/>
  <c r="H152" i="88"/>
  <c r="G152" i="88"/>
  <c r="AF151" i="88" a="1"/>
  <c r="AF151" i="88" s="1"/>
  <c r="B234" i="88" s="1"/>
  <c r="AE151" i="88"/>
  <c r="R151" i="88"/>
  <c r="Q151" i="88"/>
  <c r="O151" i="88"/>
  <c r="P151" i="88" s="1"/>
  <c r="H151" i="88"/>
  <c r="G151" i="88"/>
  <c r="AF150" i="88" a="1"/>
  <c r="AF150" i="88" s="1"/>
  <c r="B233" i="88" s="1"/>
  <c r="AE150" i="88"/>
  <c r="R150" i="88"/>
  <c r="Q150" i="88"/>
  <c r="O150" i="88"/>
  <c r="P150" i="88" s="1"/>
  <c r="H150" i="88"/>
  <c r="G150" i="88"/>
  <c r="AF149" i="88" a="1"/>
  <c r="AF149" i="88" s="1"/>
  <c r="B232" i="88" s="1"/>
  <c r="AE149" i="88"/>
  <c r="R149" i="88"/>
  <c r="Q149" i="88"/>
  <c r="O149" i="88"/>
  <c r="P149" i="88" s="1"/>
  <c r="H149" i="88"/>
  <c r="G149" i="88"/>
  <c r="AF148" i="88" a="1"/>
  <c r="AF148" i="88" s="1"/>
  <c r="B231" i="88" s="1"/>
  <c r="AE148" i="88"/>
  <c r="R148" i="88"/>
  <c r="Q148" i="88"/>
  <c r="O148" i="88"/>
  <c r="P148" i="88" s="1"/>
  <c r="H148" i="88"/>
  <c r="G148" i="88"/>
  <c r="AF147" i="88" a="1"/>
  <c r="AF147" i="88" s="1"/>
  <c r="B230" i="88" s="1"/>
  <c r="AE147" i="88"/>
  <c r="R147" i="88"/>
  <c r="Q147" i="88"/>
  <c r="P147" i="88"/>
  <c r="O147" i="88"/>
  <c r="H147" i="88"/>
  <c r="G147" i="88"/>
  <c r="AF146" i="88" a="1"/>
  <c r="AF146" i="88" s="1"/>
  <c r="B229" i="88" s="1"/>
  <c r="AE146" i="88"/>
  <c r="R146" i="88"/>
  <c r="Q146" i="88"/>
  <c r="O146" i="88"/>
  <c r="P146" i="88" s="1"/>
  <c r="H146" i="88"/>
  <c r="G146" i="88"/>
  <c r="AF145" i="88" a="1"/>
  <c r="AF145" i="88" s="1"/>
  <c r="B228" i="88" s="1"/>
  <c r="AE145" i="88"/>
  <c r="R145" i="88"/>
  <c r="Q145" i="88"/>
  <c r="O145" i="88"/>
  <c r="P145" i="88" s="1"/>
  <c r="H145" i="88"/>
  <c r="G145" i="88"/>
  <c r="AF144" i="88" a="1"/>
  <c r="AF144" i="88" s="1"/>
  <c r="B227" i="88" s="1"/>
  <c r="AE144" i="88"/>
  <c r="R144" i="88"/>
  <c r="Q144" i="88"/>
  <c r="P144" i="88"/>
  <c r="O144" i="88"/>
  <c r="H144" i="88"/>
  <c r="AF143" i="88" a="1"/>
  <c r="AF143" i="88" s="1"/>
  <c r="B226" i="88" s="1"/>
  <c r="AE143" i="88"/>
  <c r="R143" i="88"/>
  <c r="Q143" i="88"/>
  <c r="O143" i="88"/>
  <c r="P143" i="88" s="1"/>
  <c r="H143" i="88"/>
  <c r="G143" i="88"/>
  <c r="AF142" i="88" a="1"/>
  <c r="AF142" i="88" s="1"/>
  <c r="B225" i="88" s="1"/>
  <c r="AE142" i="88"/>
  <c r="R142" i="88"/>
  <c r="Q142" i="88"/>
  <c r="O142" i="88"/>
  <c r="H142" i="88"/>
  <c r="AF141" i="88" a="1"/>
  <c r="AF141" i="88" s="1"/>
  <c r="B224" i="88" s="1"/>
  <c r="AE141" i="88"/>
  <c r="R141" i="88"/>
  <c r="Q141" i="88"/>
  <c r="P141" i="88"/>
  <c r="O141" i="88"/>
  <c r="H141" i="88"/>
  <c r="AF140" i="88" a="1"/>
  <c r="AF140" i="88" s="1"/>
  <c r="B223" i="88" s="1"/>
  <c r="AE140" i="88"/>
  <c r="R140" i="88"/>
  <c r="Q140" i="88"/>
  <c r="O140" i="88"/>
  <c r="H140" i="88"/>
  <c r="AF139" i="88" a="1"/>
  <c r="AF139" i="88" s="1"/>
  <c r="B222" i="88" s="1"/>
  <c r="AE139" i="88"/>
  <c r="R139" i="88"/>
  <c r="Q139" i="88"/>
  <c r="O139" i="88"/>
  <c r="H139" i="88"/>
  <c r="AF138" i="88"/>
  <c r="B221" i="88" s="1"/>
  <c r="AF138" i="88" a="1"/>
  <c r="AE138" i="88"/>
  <c r="R138" i="88"/>
  <c r="Q138" i="88"/>
  <c r="O138" i="88"/>
  <c r="P138" i="88" s="1"/>
  <c r="H138" i="88"/>
  <c r="AF137" i="88" a="1"/>
  <c r="AF137" i="88" s="1"/>
  <c r="B220" i="88" s="1"/>
  <c r="AE137" i="88"/>
  <c r="H137" i="88"/>
  <c r="R135" i="88"/>
  <c r="Q135" i="88"/>
  <c r="O135" i="88"/>
  <c r="P135" i="88" s="1"/>
  <c r="B98" i="88" s="1"/>
  <c r="R134" i="88"/>
  <c r="Q134" i="88"/>
  <c r="O134" i="88"/>
  <c r="P134" i="88" s="1"/>
  <c r="B97" i="88" s="1"/>
  <c r="R133" i="88"/>
  <c r="Q133" i="88"/>
  <c r="O133" i="88"/>
  <c r="P133" i="88" s="1"/>
  <c r="B96" i="88" s="1"/>
  <c r="R132" i="88"/>
  <c r="Q132" i="88"/>
  <c r="O132" i="88"/>
  <c r="P132" i="88" s="1"/>
  <c r="B95" i="88" s="1"/>
  <c r="P129" i="88"/>
  <c r="R128" i="88"/>
  <c r="P128" i="88"/>
  <c r="P127" i="88"/>
  <c r="B90" i="88" s="1"/>
  <c r="R126" i="88"/>
  <c r="P126" i="88"/>
  <c r="R129" i="88" s="1"/>
  <c r="P125" i="88"/>
  <c r="P124" i="88"/>
  <c r="B84" i="88" s="1"/>
  <c r="Z121" i="88"/>
  <c r="Z120" i="88"/>
  <c r="O120" i="88"/>
  <c r="P120" i="88" s="1"/>
  <c r="H120" i="88"/>
  <c r="G120" i="88"/>
  <c r="Z119" i="88"/>
  <c r="P119" i="88"/>
  <c r="O119" i="88"/>
  <c r="H119" i="88"/>
  <c r="G119" i="88"/>
  <c r="AA118" i="88"/>
  <c r="Z118" i="88"/>
  <c r="O118" i="88"/>
  <c r="P118" i="88" s="1"/>
  <c r="H118" i="88"/>
  <c r="G118" i="88"/>
  <c r="Z117" i="88"/>
  <c r="O117" i="88"/>
  <c r="P117" i="88" s="1"/>
  <c r="H117" i="88"/>
  <c r="G117" i="88"/>
  <c r="Z116" i="88"/>
  <c r="O116" i="88"/>
  <c r="P116" i="88" s="1"/>
  <c r="H116" i="88"/>
  <c r="G116" i="88"/>
  <c r="Z115" i="88"/>
  <c r="O115" i="88"/>
  <c r="P115" i="88" s="1"/>
  <c r="H115" i="88"/>
  <c r="G115" i="88"/>
  <c r="Z114" i="88"/>
  <c r="P114" i="88"/>
  <c r="O114" i="88"/>
  <c r="H114" i="88"/>
  <c r="G114" i="88"/>
  <c r="Z113" i="88"/>
  <c r="O113" i="88"/>
  <c r="P113" i="88" s="1"/>
  <c r="H113" i="88"/>
  <c r="G113" i="88"/>
  <c r="Z112" i="88"/>
  <c r="P112" i="88"/>
  <c r="O112" i="88"/>
  <c r="H112" i="88"/>
  <c r="G112" i="88"/>
  <c r="O111" i="88"/>
  <c r="P111" i="88" s="1"/>
  <c r="H111" i="88"/>
  <c r="G111" i="88"/>
  <c r="P110" i="88"/>
  <c r="O110" i="88"/>
  <c r="H110" i="88"/>
  <c r="G110" i="88"/>
  <c r="O109" i="88"/>
  <c r="P109" i="88" s="1"/>
  <c r="H109" i="88"/>
  <c r="G109" i="88"/>
  <c r="O108" i="88"/>
  <c r="P108" i="88" s="1"/>
  <c r="H108" i="88"/>
  <c r="G108" i="88"/>
  <c r="P107" i="88"/>
  <c r="O107" i="88"/>
  <c r="H107" i="88"/>
  <c r="G107" i="88"/>
  <c r="P106" i="88"/>
  <c r="O106" i="88"/>
  <c r="H106" i="88"/>
  <c r="G106" i="88"/>
  <c r="O105" i="88"/>
  <c r="P105" i="88" s="1"/>
  <c r="H105" i="88"/>
  <c r="G105" i="88"/>
  <c r="P104" i="88"/>
  <c r="O104" i="88"/>
  <c r="H104" i="88"/>
  <c r="G104" i="88"/>
  <c r="O103" i="88"/>
  <c r="P103" i="88" s="1"/>
  <c r="H103" i="88"/>
  <c r="G103" i="88"/>
  <c r="O102" i="88"/>
  <c r="P102" i="88" s="1"/>
  <c r="H102" i="88"/>
  <c r="G102" i="88"/>
  <c r="B102" i="88"/>
  <c r="O101" i="88"/>
  <c r="P101" i="88" s="1"/>
  <c r="H101" i="88"/>
  <c r="G101" i="88"/>
  <c r="B101" i="88"/>
  <c r="B100" i="88"/>
  <c r="B99" i="88"/>
  <c r="R98" i="88"/>
  <c r="P98" i="88" s="1"/>
  <c r="Q98" i="88"/>
  <c r="O98" i="88"/>
  <c r="H98" i="88"/>
  <c r="R97" i="88"/>
  <c r="Q97" i="88"/>
  <c r="O97" i="88"/>
  <c r="P97" i="88" s="1"/>
  <c r="H97" i="88"/>
  <c r="R96" i="88"/>
  <c r="Q96" i="88"/>
  <c r="O96" i="88"/>
  <c r="H96" i="88"/>
  <c r="R95" i="88"/>
  <c r="Q95" i="88"/>
  <c r="O95" i="88"/>
  <c r="P95" i="88" s="1"/>
  <c r="H95" i="88"/>
  <c r="R94" i="88"/>
  <c r="P94" i="88" s="1"/>
  <c r="Q94" i="88"/>
  <c r="O94" i="88"/>
  <c r="H94" i="88"/>
  <c r="B94" i="88"/>
  <c r="R93" i="88"/>
  <c r="Q93" i="88"/>
  <c r="O93" i="88"/>
  <c r="P93" i="88" s="1"/>
  <c r="H93" i="88"/>
  <c r="R92" i="88"/>
  <c r="Q92" i="88"/>
  <c r="O92" i="88"/>
  <c r="H92" i="88"/>
  <c r="B92" i="88"/>
  <c r="R91" i="88"/>
  <c r="Q91" i="88"/>
  <c r="O91" i="88"/>
  <c r="P91" i="88" s="1"/>
  <c r="H91" i="88"/>
  <c r="R90" i="88"/>
  <c r="Q90" i="88"/>
  <c r="O90" i="88"/>
  <c r="H90" i="88"/>
  <c r="R89" i="88"/>
  <c r="Q89" i="88"/>
  <c r="O89" i="88"/>
  <c r="P89" i="88" s="1"/>
  <c r="H89" i="88"/>
  <c r="R88" i="88"/>
  <c r="P88" i="88" s="1"/>
  <c r="Q88" i="88"/>
  <c r="O88" i="88"/>
  <c r="H88" i="88"/>
  <c r="B88" i="88"/>
  <c r="R87" i="88"/>
  <c r="Q87" i="88"/>
  <c r="O87" i="88"/>
  <c r="P87" i="88" s="1"/>
  <c r="H87" i="88"/>
  <c r="R86" i="88"/>
  <c r="P86" i="88" s="1"/>
  <c r="Q86" i="88"/>
  <c r="O86" i="88"/>
  <c r="H86" i="88"/>
  <c r="B86" i="88"/>
  <c r="R85" i="88"/>
  <c r="Q85" i="88"/>
  <c r="O85" i="88"/>
  <c r="P85" i="88" s="1"/>
  <c r="H85" i="88"/>
  <c r="B85" i="88"/>
  <c r="R84" i="88"/>
  <c r="Q84" i="88"/>
  <c r="O84" i="88"/>
  <c r="H84" i="88"/>
  <c r="R83" i="88"/>
  <c r="Q83" i="88"/>
  <c r="O83" i="88"/>
  <c r="P83" i="88" s="1"/>
  <c r="H83" i="88"/>
  <c r="B83" i="88"/>
  <c r="R82" i="88"/>
  <c r="Q82" i="88"/>
  <c r="O82" i="88"/>
  <c r="H82" i="88"/>
  <c r="B82" i="88"/>
  <c r="R81" i="88"/>
  <c r="Q81" i="88"/>
  <c r="O81" i="88"/>
  <c r="H81" i="88"/>
  <c r="B81" i="88"/>
  <c r="R80" i="88"/>
  <c r="Q80" i="88"/>
  <c r="O80" i="88"/>
  <c r="P80" i="88" s="1"/>
  <c r="AA3" i="88" s="1"/>
  <c r="H80" i="88"/>
  <c r="B80" i="88"/>
  <c r="R79" i="88"/>
  <c r="Q79" i="88"/>
  <c r="O79" i="88"/>
  <c r="P79" i="88" s="1"/>
  <c r="H79" i="88"/>
  <c r="B79" i="88"/>
  <c r="B78" i="88"/>
  <c r="B77" i="88"/>
  <c r="B76" i="88"/>
  <c r="B75" i="88"/>
  <c r="O74" i="88"/>
  <c r="B74" i="88"/>
  <c r="AF73" i="88"/>
  <c r="B343" i="88" s="1"/>
  <c r="AE73" i="88" a="1"/>
  <c r="AE73" i="88" s="1"/>
  <c r="B313" i="88" s="1"/>
  <c r="AD73" i="88" a="1"/>
  <c r="AD73" i="88" s="1"/>
  <c r="B283" i="88" s="1"/>
  <c r="O73" i="88"/>
  <c r="P73" i="88" s="1"/>
  <c r="B107" i="88" s="1"/>
  <c r="B73" i="88"/>
  <c r="AF72" i="88"/>
  <c r="B342" i="88" s="1"/>
  <c r="AE72" i="88" a="1"/>
  <c r="AE72" i="88" s="1"/>
  <c r="B312" i="88" s="1"/>
  <c r="AD72" i="88" a="1"/>
  <c r="AD72" i="88" s="1"/>
  <c r="B282" i="88" s="1"/>
  <c r="O72" i="88"/>
  <c r="P72" i="88" s="1"/>
  <c r="B72" i="88"/>
  <c r="AF71" i="88"/>
  <c r="B341" i="88" s="1"/>
  <c r="AE71" i="88" a="1"/>
  <c r="AE71" i="88" s="1"/>
  <c r="B311" i="88" s="1"/>
  <c r="AD71" i="88" a="1"/>
  <c r="AD71" i="88" s="1"/>
  <c r="B281" i="88" s="1"/>
  <c r="B71" i="88"/>
  <c r="AF70" i="88"/>
  <c r="B340" i="88" s="1"/>
  <c r="AE70" i="88" a="1"/>
  <c r="AE70" i="88" s="1"/>
  <c r="B310" i="88" s="1"/>
  <c r="AD70" i="88" a="1"/>
  <c r="AD70" i="88" s="1"/>
  <c r="B280" i="88" s="1"/>
  <c r="B70" i="88"/>
  <c r="AF69" i="88"/>
  <c r="B339" i="88" s="1"/>
  <c r="AE69" i="88" a="1"/>
  <c r="AE69" i="88" s="1"/>
  <c r="B309" i="88" s="1"/>
  <c r="AD69" i="88" a="1"/>
  <c r="AD69" i="88" s="1"/>
  <c r="B279" i="88" s="1"/>
  <c r="V69" i="88"/>
  <c r="O69" i="88"/>
  <c r="P69" i="88" s="1"/>
  <c r="B69" i="88"/>
  <c r="AF68" i="88"/>
  <c r="B338" i="88" s="1"/>
  <c r="AE68" i="88" a="1"/>
  <c r="AE68" i="88" s="1"/>
  <c r="B308" i="88" s="1"/>
  <c r="AD68" i="88" a="1"/>
  <c r="AD68" i="88" s="1"/>
  <c r="B278" i="88" s="1"/>
  <c r="V68" i="88"/>
  <c r="O68" i="88"/>
  <c r="P68" i="88" s="1"/>
  <c r="B68" i="88"/>
  <c r="AF67" i="88"/>
  <c r="B337" i="88" s="1"/>
  <c r="AE67" i="88" a="1"/>
  <c r="AE67" i="88" s="1"/>
  <c r="B307" i="88" s="1"/>
  <c r="AD67" i="88"/>
  <c r="B277" i="88" s="1"/>
  <c r="AD67" i="88" a="1"/>
  <c r="V67" i="88"/>
  <c r="O67" i="88"/>
  <c r="P67" i="88" s="1"/>
  <c r="B67" i="88"/>
  <c r="AF66" i="88"/>
  <c r="AE66" i="88" a="1"/>
  <c r="AE66" i="88" s="1"/>
  <c r="B306" i="88" s="1"/>
  <c r="AD66" i="88" a="1"/>
  <c r="AD66" i="88" s="1"/>
  <c r="B276" i="88" s="1"/>
  <c r="V66" i="88"/>
  <c r="P66" i="88"/>
  <c r="AJ36" i="88" s="1"/>
  <c r="AK36" i="88" s="1"/>
  <c r="O66" i="88"/>
  <c r="B66" i="88"/>
  <c r="AF65" i="88"/>
  <c r="AE65" i="88" a="1"/>
  <c r="AE65" i="88" s="1"/>
  <c r="B305" i="88" s="1"/>
  <c r="AD65" i="88"/>
  <c r="B275" i="88" s="1"/>
  <c r="AD65" i="88" a="1"/>
  <c r="V65" i="88"/>
  <c r="O65" i="88"/>
  <c r="P65" i="88" s="1"/>
  <c r="B45" i="88" s="1"/>
  <c r="B65" i="88"/>
  <c r="AF64" i="88"/>
  <c r="B334" i="88" s="1"/>
  <c r="AE64" i="88" a="1"/>
  <c r="AE64" i="88" s="1"/>
  <c r="B304" i="88" s="1"/>
  <c r="AD64" i="88" a="1"/>
  <c r="AD64" i="88" s="1"/>
  <c r="B274" i="88" s="1"/>
  <c r="V64" i="88"/>
  <c r="O64" i="88"/>
  <c r="P64" i="88" s="1"/>
  <c r="B64" i="88"/>
  <c r="AF63" i="88"/>
  <c r="B333" i="88" s="1"/>
  <c r="AE63" i="88" a="1"/>
  <c r="AE63" i="88" s="1"/>
  <c r="B303" i="88" s="1"/>
  <c r="AD63" i="88" a="1"/>
  <c r="AD63" i="88" s="1"/>
  <c r="B273" i="88" s="1"/>
  <c r="V63" i="88"/>
  <c r="O63" i="88"/>
  <c r="P63" i="88" s="1"/>
  <c r="B63" i="88"/>
  <c r="AF62" i="88"/>
  <c r="B332" i="88" s="1"/>
  <c r="AE62" i="88" a="1"/>
  <c r="AE62" i="88" s="1"/>
  <c r="B302" i="88" s="1"/>
  <c r="AD62" i="88"/>
  <c r="B272" i="88" s="1"/>
  <c r="AD62" i="88" a="1"/>
  <c r="V62" i="88"/>
  <c r="O62" i="88"/>
  <c r="P62" i="88" s="1"/>
  <c r="B62" i="88"/>
  <c r="AF61" i="88"/>
  <c r="B331" i="88" s="1"/>
  <c r="AE61" i="88" a="1"/>
  <c r="AE61" i="88" s="1"/>
  <c r="B301" i="88" s="1"/>
  <c r="AD61" i="88" a="1"/>
  <c r="AD61" i="88" s="1"/>
  <c r="B271" i="88" s="1"/>
  <c r="B61" i="88"/>
  <c r="AF60" i="88"/>
  <c r="B330" i="88" s="1"/>
  <c r="AE60" i="88" a="1"/>
  <c r="AE60" i="88" s="1"/>
  <c r="B300" i="88" s="1"/>
  <c r="AD60" i="88"/>
  <c r="B270" i="88" s="1"/>
  <c r="AD60" i="88" a="1"/>
  <c r="B60" i="88"/>
  <c r="AF59" i="88"/>
  <c r="B329" i="88" s="1"/>
  <c r="AE59" i="88" a="1"/>
  <c r="AE59" i="88" s="1"/>
  <c r="B299" i="88" s="1"/>
  <c r="AD59" i="88" a="1"/>
  <c r="AD59" i="88" s="1"/>
  <c r="B269" i="88" s="1"/>
  <c r="V59" i="88"/>
  <c r="O59" i="88"/>
  <c r="P59" i="88" s="1"/>
  <c r="B41" i="88" s="1"/>
  <c r="AF58" i="88"/>
  <c r="B328" i="88" s="1"/>
  <c r="AE58" i="88" a="1"/>
  <c r="AE58" i="88" s="1"/>
  <c r="B298" i="88" s="1"/>
  <c r="AD58" i="88" a="1"/>
  <c r="AD58" i="88" s="1"/>
  <c r="B268" i="88" s="1"/>
  <c r="V58" i="88"/>
  <c r="O58" i="88"/>
  <c r="P58" i="88" s="1"/>
  <c r="B40" i="88" s="1"/>
  <c r="AF57" i="88"/>
  <c r="B327" i="88" s="1"/>
  <c r="AE57" i="88" a="1"/>
  <c r="AE57" i="88" s="1"/>
  <c r="B297" i="88" s="1"/>
  <c r="AD57" i="88" a="1"/>
  <c r="AD57" i="88" s="1"/>
  <c r="B267" i="88" s="1"/>
  <c r="V57" i="88"/>
  <c r="O57" i="88"/>
  <c r="P57" i="88" s="1"/>
  <c r="AF56" i="88"/>
  <c r="B326" i="88" s="1"/>
  <c r="AE56" i="88" a="1"/>
  <c r="AE56" i="88" s="1"/>
  <c r="B296" i="88" s="1"/>
  <c r="AD56" i="88" a="1"/>
  <c r="AD56" i="88" s="1"/>
  <c r="B266" i="88" s="1"/>
  <c r="V56" i="88"/>
  <c r="P56" i="88"/>
  <c r="B38" i="88" s="1"/>
  <c r="O56" i="88"/>
  <c r="AF55" i="88"/>
  <c r="B325" i="88" s="1"/>
  <c r="AE55" i="88" a="1"/>
  <c r="AE55" i="88" s="1"/>
  <c r="B295" i="88" s="1"/>
  <c r="AD55" i="88"/>
  <c r="AD55" i="88" a="1"/>
  <c r="V55" i="88"/>
  <c r="O55" i="88"/>
  <c r="P55" i="88" s="1"/>
  <c r="AF54" i="88"/>
  <c r="B324" i="88" s="1"/>
  <c r="AE54" i="88" a="1"/>
  <c r="AE54" i="88" s="1"/>
  <c r="B294" i="88" s="1"/>
  <c r="AD54" i="88" a="1"/>
  <c r="AD54" i="88" s="1"/>
  <c r="B264" i="88" s="1"/>
  <c r="V54" i="88"/>
  <c r="O54" i="88"/>
  <c r="P54" i="88" s="1"/>
  <c r="AF53" i="88"/>
  <c r="B323" i="88" s="1"/>
  <c r="AE53" i="88" a="1"/>
  <c r="AE53" i="88" s="1"/>
  <c r="B293" i="88" s="1"/>
  <c r="AD53" i="88" a="1"/>
  <c r="AD53" i="88" s="1"/>
  <c r="B263" i="88" s="1"/>
  <c r="V53" i="88"/>
  <c r="O53" i="88"/>
  <c r="P53" i="88" s="1"/>
  <c r="AJ8" i="88" s="1"/>
  <c r="AK8" i="88" s="1"/>
  <c r="AJ52" i="88"/>
  <c r="AK52" i="88" s="1"/>
  <c r="AF52" i="88"/>
  <c r="B322" i="88" s="1"/>
  <c r="AE52" i="88" a="1"/>
  <c r="AE52" i="88" s="1"/>
  <c r="B292" i="88" s="1"/>
  <c r="AD52" i="88" a="1"/>
  <c r="AD52" i="88" s="1"/>
  <c r="B262" i="88" s="1"/>
  <c r="V52" i="88"/>
  <c r="O52" i="88"/>
  <c r="P52" i="88" s="1"/>
  <c r="B34" i="88" s="1"/>
  <c r="V49" i="88"/>
  <c r="P49" i="88"/>
  <c r="O49" i="88"/>
  <c r="V48" i="88"/>
  <c r="O48" i="88"/>
  <c r="P48" i="88" s="1"/>
  <c r="V47" i="88"/>
  <c r="P47" i="88"/>
  <c r="AJ35" i="88" s="1"/>
  <c r="AK35" i="88" s="1"/>
  <c r="O47" i="88"/>
  <c r="V46" i="88"/>
  <c r="O46" i="88"/>
  <c r="P46" i="88" s="1"/>
  <c r="B30" i="88" s="1"/>
  <c r="B46" i="88"/>
  <c r="V45" i="88"/>
  <c r="O45" i="88"/>
  <c r="P45" i="88" s="1"/>
  <c r="AJ28" i="88" s="1"/>
  <c r="AK28" i="88" s="1"/>
  <c r="V44" i="88"/>
  <c r="O44" i="88"/>
  <c r="P44" i="88" s="1"/>
  <c r="AJ12" i="88" s="1"/>
  <c r="AK12" i="88" s="1"/>
  <c r="V43" i="88"/>
  <c r="O43" i="88"/>
  <c r="P43" i="88" s="1"/>
  <c r="V42" i="88"/>
  <c r="O42" i="88"/>
  <c r="P42" i="88" s="1"/>
  <c r="AA41" i="88"/>
  <c r="Z41" i="88" s="1"/>
  <c r="AA40" i="88"/>
  <c r="Z40" i="88" s="1"/>
  <c r="U40" i="88"/>
  <c r="N9" i="88"/>
  <c r="AA39" i="88"/>
  <c r="Z39" i="88" s="1"/>
  <c r="AA38" i="88"/>
  <c r="Z38" i="88" s="1"/>
  <c r="V38" i="88"/>
  <c r="P38" i="88"/>
  <c r="AJ10" i="88" s="1"/>
  <c r="AK10" i="88" s="1"/>
  <c r="O38" i="88"/>
  <c r="AA37" i="88"/>
  <c r="Z37" i="88" s="1"/>
  <c r="V37" i="88"/>
  <c r="O37" i="88"/>
  <c r="P37" i="88"/>
  <c r="AJ31" i="88" s="1"/>
  <c r="AK31" i="88" s="1"/>
  <c r="B37" i="88"/>
  <c r="AA36" i="88"/>
  <c r="Z36" i="88" s="1"/>
  <c r="V36" i="88"/>
  <c r="O36" i="88"/>
  <c r="P36" i="88" s="1"/>
  <c r="B23" i="88" s="1"/>
  <c r="AA35" i="88"/>
  <c r="Z35" i="88" s="1"/>
  <c r="AA34" i="88"/>
  <c r="Z34" i="88" s="1"/>
  <c r="AA33" i="88"/>
  <c r="Z33" i="88" s="1"/>
  <c r="O33" i="88"/>
  <c r="P33" i="88"/>
  <c r="AA32" i="88"/>
  <c r="Z32" i="88" s="1"/>
  <c r="V32" i="88"/>
  <c r="P32" i="88"/>
  <c r="AJ17" i="88" s="1"/>
  <c r="O32" i="88"/>
  <c r="AF31" i="88"/>
  <c r="B174" i="88" s="1"/>
  <c r="AD31" i="88"/>
  <c r="B144" i="88" s="1"/>
  <c r="AA31" i="88"/>
  <c r="Z31" i="88" s="1"/>
  <c r="O31" i="88"/>
  <c r="P31" i="88" s="1"/>
  <c r="AF30" i="88"/>
  <c r="AD30" i="88"/>
  <c r="B143" i="88" s="1"/>
  <c r="AA30" i="88"/>
  <c r="Z30" i="88" s="1"/>
  <c r="AJ29" i="88"/>
  <c r="AK29" i="88" s="1"/>
  <c r="AF29" i="88"/>
  <c r="B172" i="88" s="1"/>
  <c r="AD29" i="88"/>
  <c r="B142" i="88" s="1"/>
  <c r="AA29" i="88"/>
  <c r="Z29" i="88" s="1"/>
  <c r="B29" i="88"/>
  <c r="AF28" i="88"/>
  <c r="B171" i="88" s="1"/>
  <c r="AD28" i="88"/>
  <c r="B141" i="88" s="1"/>
  <c r="AA28" i="88"/>
  <c r="Z28" i="88" s="1"/>
  <c r="V28" i="88"/>
  <c r="O28" i="88"/>
  <c r="AF27" i="88"/>
  <c r="B170" i="88" s="1"/>
  <c r="AD27" i="88"/>
  <c r="B140" i="88" s="1"/>
  <c r="AA27" i="88"/>
  <c r="Z27" i="88" s="1"/>
  <c r="V27" i="88"/>
  <c r="P27" i="88"/>
  <c r="AJ58" i="88" s="1"/>
  <c r="O27" i="88"/>
  <c r="AF26" i="88"/>
  <c r="B169" i="88" s="1"/>
  <c r="AD26" i="88"/>
  <c r="B139" i="88" s="1"/>
  <c r="AA26" i="88"/>
  <c r="Z26" i="88" s="1"/>
  <c r="V26" i="88"/>
  <c r="O26" i="88"/>
  <c r="B26" i="88"/>
  <c r="AJ25" i="88"/>
  <c r="AK25" i="88" s="1"/>
  <c r="AF25" i="88"/>
  <c r="B168" i="88" s="1"/>
  <c r="AD25" i="88"/>
  <c r="B138" i="88" s="1"/>
  <c r="AA25" i="88"/>
  <c r="Z25" i="88" s="1"/>
  <c r="AF24" i="88"/>
  <c r="B167" i="88" s="1"/>
  <c r="AD24" i="88"/>
  <c r="B137" i="88" s="1"/>
  <c r="AA24" i="88"/>
  <c r="Z24" i="88" s="1"/>
  <c r="AJ23" i="88"/>
  <c r="AK23" i="88" s="1"/>
  <c r="AF23" i="88"/>
  <c r="B166" i="88" s="1"/>
  <c r="AD23" i="88"/>
  <c r="B136" i="88" s="1"/>
  <c r="AA23" i="88"/>
  <c r="Z23" i="88" s="1"/>
  <c r="N23" i="88"/>
  <c r="N8" i="88" s="1"/>
  <c r="AF22" i="88"/>
  <c r="B165" i="88" s="1"/>
  <c r="AD22" i="88"/>
  <c r="B135" i="88" s="1"/>
  <c r="AA22" i="88"/>
  <c r="Z22" i="88" s="1"/>
  <c r="AJ21" i="88"/>
  <c r="AK21" i="88" s="1"/>
  <c r="AF21" i="88"/>
  <c r="B164" i="88" s="1"/>
  <c r="AD21" i="88"/>
  <c r="B134" i="88" s="1"/>
  <c r="AA21" i="88"/>
  <c r="N21" i="88"/>
  <c r="AF20" i="88"/>
  <c r="AD20" i="88"/>
  <c r="B133" i="88" s="1"/>
  <c r="AA20" i="88"/>
  <c r="N20" i="88"/>
  <c r="AF19" i="88"/>
  <c r="B162" i="88" s="1"/>
  <c r="AD19" i="88"/>
  <c r="B132" i="88" s="1"/>
  <c r="AA19" i="88"/>
  <c r="N19" i="88"/>
  <c r="AF18" i="88"/>
  <c r="B161" i="88" s="1"/>
  <c r="AD18" i="88"/>
  <c r="B131" i="88" s="1"/>
  <c r="AA18" i="88"/>
  <c r="N18" i="88"/>
  <c r="AF17" i="88"/>
  <c r="B160" i="88" s="1"/>
  <c r="AD17" i="88"/>
  <c r="B130" i="88" s="1"/>
  <c r="AA17" i="88"/>
  <c r="N17" i="88"/>
  <c r="AF16" i="88"/>
  <c r="B159" i="88" s="1"/>
  <c r="AD16" i="88"/>
  <c r="B129" i="88" s="1"/>
  <c r="AA16" i="88"/>
  <c r="B16" i="88"/>
  <c r="AF15" i="88"/>
  <c r="B158" i="88" s="1"/>
  <c r="AD15" i="88"/>
  <c r="B128" i="88" s="1"/>
  <c r="AA15" i="88"/>
  <c r="B15" i="88"/>
  <c r="AF14" i="88"/>
  <c r="B157" i="88" s="1"/>
  <c r="AD14" i="88"/>
  <c r="B127" i="88" s="1"/>
  <c r="AA14" i="88"/>
  <c r="B14" i="88"/>
  <c r="AF13" i="88"/>
  <c r="B156" i="88" s="1"/>
  <c r="AD13" i="88"/>
  <c r="B126" i="88" s="1"/>
  <c r="AA13" i="88"/>
  <c r="AF12" i="88"/>
  <c r="B155" i="88" s="1"/>
  <c r="AD12" i="88"/>
  <c r="B125" i="88" s="1"/>
  <c r="AA12" i="88"/>
  <c r="N12" i="88"/>
  <c r="B12" i="88"/>
  <c r="B13" i="88" s="1"/>
  <c r="AF11" i="88"/>
  <c r="B154" i="88" s="1"/>
  <c r="AD11" i="88"/>
  <c r="B124" i="88" s="1"/>
  <c r="AA11" i="88"/>
  <c r="N11" i="88"/>
  <c r="B11" i="88"/>
  <c r="AF10" i="88"/>
  <c r="B153" i="88" s="1"/>
  <c r="AD10" i="88"/>
  <c r="B123" i="88" s="1"/>
  <c r="AA10" i="88"/>
  <c r="N10" i="88"/>
  <c r="AF9" i="88"/>
  <c r="B152" i="88" s="1"/>
  <c r="AD9" i="88"/>
  <c r="B122" i="88" s="1"/>
  <c r="AA9" i="88"/>
  <c r="B9" i="88"/>
  <c r="B10" i="88" s="1"/>
  <c r="AF8" i="88"/>
  <c r="B151" i="88" s="1"/>
  <c r="AD8" i="88"/>
  <c r="B121" i="88" s="1"/>
  <c r="AA8" i="88"/>
  <c r="G8" i="88"/>
  <c r="D8" i="88"/>
  <c r="B8" i="88"/>
  <c r="AF7" i="88"/>
  <c r="B150" i="88" s="1"/>
  <c r="AD7" i="88"/>
  <c r="B120" i="88" s="1"/>
  <c r="AA7" i="88"/>
  <c r="D7" i="88"/>
  <c r="B7" i="88"/>
  <c r="AF6" i="88"/>
  <c r="B149" i="88" s="1"/>
  <c r="AD6" i="88"/>
  <c r="B119" i="88" s="1"/>
  <c r="AA6" i="88"/>
  <c r="B6" i="88"/>
  <c r="B5" i="88"/>
  <c r="N4" i="88"/>
  <c r="AJ3" i="88"/>
  <c r="AK3" i="88" s="1"/>
  <c r="AJ2" i="88"/>
  <c r="AK2" i="88" s="1"/>
  <c r="AA2" i="88"/>
  <c r="B2" i="88"/>
  <c r="M124" i="86"/>
  <c r="P124" i="86" s="1"/>
  <c r="B84" i="86" s="1"/>
  <c r="L61" i="86"/>
  <c r="L51" i="86"/>
  <c r="L41" i="86"/>
  <c r="L35" i="86"/>
  <c r="L30" i="86"/>
  <c r="L25" i="86"/>
  <c r="M218" i="86"/>
  <c r="M189" i="86"/>
  <c r="L164" i="86"/>
  <c r="N163" i="86"/>
  <c r="L78" i="86"/>
  <c r="N77" i="86"/>
  <c r="N71" i="86"/>
  <c r="N40" i="86"/>
  <c r="B364" i="86"/>
  <c r="B363" i="86"/>
  <c r="B362" i="86"/>
  <c r="B361" i="86"/>
  <c r="B360" i="86"/>
  <c r="B359" i="86"/>
  <c r="B358" i="86"/>
  <c r="B357" i="86"/>
  <c r="B338" i="86"/>
  <c r="B336" i="86"/>
  <c r="B335" i="86"/>
  <c r="B334" i="86"/>
  <c r="E281" i="86"/>
  <c r="E282" i="86" s="1"/>
  <c r="E283" i="86" s="1"/>
  <c r="E284" i="86" s="1"/>
  <c r="E285" i="86" s="1"/>
  <c r="E286" i="86" s="1"/>
  <c r="E287" i="86" s="1"/>
  <c r="E288" i="86" s="1"/>
  <c r="E289" i="86" s="1"/>
  <c r="E290" i="86" s="1"/>
  <c r="E291" i="86" s="1"/>
  <c r="E292" i="86" s="1"/>
  <c r="E293" i="86" s="1"/>
  <c r="E294" i="86" s="1"/>
  <c r="E295" i="86" s="1"/>
  <c r="E296" i="86" s="1"/>
  <c r="E297" i="86" s="1"/>
  <c r="E298" i="86" s="1"/>
  <c r="E299" i="86" s="1"/>
  <c r="E300" i="86" s="1"/>
  <c r="E301" i="86" s="1"/>
  <c r="E302" i="86" s="1"/>
  <c r="E303" i="86" s="1"/>
  <c r="E304" i="86" s="1"/>
  <c r="E305" i="86" s="1"/>
  <c r="E306" i="86" s="1"/>
  <c r="E307" i="86" s="1"/>
  <c r="E308" i="86" s="1"/>
  <c r="E309" i="86" s="1"/>
  <c r="E310" i="86" s="1"/>
  <c r="E311" i="86" s="1"/>
  <c r="E312" i="86" s="1"/>
  <c r="E313" i="86" s="1"/>
  <c r="E314" i="86" s="1"/>
  <c r="E315" i="86" s="1"/>
  <c r="E316" i="86" s="1"/>
  <c r="H238" i="86"/>
  <c r="H237" i="86"/>
  <c r="H236" i="86"/>
  <c r="F234" i="86"/>
  <c r="H234" i="86" s="1"/>
  <c r="P218" i="86"/>
  <c r="B354" i="86" s="1"/>
  <c r="B216" i="86"/>
  <c r="R215" i="86"/>
  <c r="Q215" i="86"/>
  <c r="O215" i="86"/>
  <c r="P215" i="86" s="1"/>
  <c r="H215" i="86"/>
  <c r="G215" i="86"/>
  <c r="B215" i="86"/>
  <c r="R214" i="86"/>
  <c r="Q214" i="86"/>
  <c r="P214" i="86"/>
  <c r="O214" i="86"/>
  <c r="H214" i="86"/>
  <c r="G214" i="86"/>
  <c r="B214" i="86"/>
  <c r="R213" i="86"/>
  <c r="Q213" i="86"/>
  <c r="O213" i="86"/>
  <c r="P213" i="86" s="1"/>
  <c r="H213" i="86"/>
  <c r="G213" i="86"/>
  <c r="B213" i="86"/>
  <c r="R212" i="86"/>
  <c r="Q212" i="86"/>
  <c r="O212" i="86"/>
  <c r="P212" i="86" s="1"/>
  <c r="H212" i="86"/>
  <c r="G212" i="86"/>
  <c r="B212" i="86"/>
  <c r="R211" i="86"/>
  <c r="Q211" i="86"/>
  <c r="O211" i="86"/>
  <c r="P211" i="86" s="1"/>
  <c r="H211" i="86"/>
  <c r="G211" i="86"/>
  <c r="B211" i="86"/>
  <c r="R210" i="86"/>
  <c r="Q210" i="86"/>
  <c r="O210" i="86"/>
  <c r="H210" i="86"/>
  <c r="G210" i="86"/>
  <c r="B210" i="86"/>
  <c r="R209" i="86"/>
  <c r="Q209" i="86"/>
  <c r="O209" i="86"/>
  <c r="P209" i="86" s="1"/>
  <c r="H209" i="86"/>
  <c r="G209" i="86"/>
  <c r="B209" i="86"/>
  <c r="R208" i="86"/>
  <c r="Q208" i="86"/>
  <c r="O208" i="86"/>
  <c r="P208" i="86" s="1"/>
  <c r="H208" i="86"/>
  <c r="G208" i="86"/>
  <c r="B208" i="86"/>
  <c r="R207" i="86"/>
  <c r="Q207" i="86"/>
  <c r="O207" i="86"/>
  <c r="P207" i="86" s="1"/>
  <c r="H207" i="86"/>
  <c r="G207" i="86"/>
  <c r="B207" i="86"/>
  <c r="R206" i="86"/>
  <c r="Q206" i="86"/>
  <c r="O206" i="86"/>
  <c r="P206" i="86" s="1"/>
  <c r="H206" i="86"/>
  <c r="G206" i="86"/>
  <c r="B206" i="86"/>
  <c r="B205" i="86"/>
  <c r="B204" i="86"/>
  <c r="R203" i="86"/>
  <c r="O203" i="86"/>
  <c r="G203" i="86"/>
  <c r="B203" i="86"/>
  <c r="R202" i="86"/>
  <c r="P202" i="86" s="1"/>
  <c r="AA120" i="86" s="1"/>
  <c r="O202" i="86"/>
  <c r="G202" i="86"/>
  <c r="B202" i="86"/>
  <c r="R201" i="86"/>
  <c r="P201" i="86"/>
  <c r="AA119" i="86" s="1"/>
  <c r="O201" i="86"/>
  <c r="G201" i="86"/>
  <c r="B201" i="86"/>
  <c r="R200" i="86"/>
  <c r="O200" i="86"/>
  <c r="P200" i="86" s="1"/>
  <c r="AA118" i="86" s="1"/>
  <c r="G200" i="86"/>
  <c r="B200" i="86"/>
  <c r="R199" i="86"/>
  <c r="P199" i="86"/>
  <c r="AA117" i="86" s="1"/>
  <c r="O199" i="86"/>
  <c r="G199" i="86"/>
  <c r="Z117" i="86" s="1"/>
  <c r="R198" i="86"/>
  <c r="O198" i="86"/>
  <c r="P198" i="86" s="1"/>
  <c r="AA116" i="86" s="1"/>
  <c r="G198" i="86"/>
  <c r="R197" i="86"/>
  <c r="O197" i="86"/>
  <c r="P197" i="86" s="1"/>
  <c r="G197" i="86"/>
  <c r="R196" i="86"/>
  <c r="O196" i="86"/>
  <c r="G196" i="86"/>
  <c r="Z114" i="86" s="1"/>
  <c r="B196" i="86"/>
  <c r="R195" i="86"/>
  <c r="O195" i="86"/>
  <c r="G195" i="86"/>
  <c r="Z113" i="86" s="1"/>
  <c r="B195" i="86"/>
  <c r="R194" i="86"/>
  <c r="O194" i="86"/>
  <c r="G194" i="86"/>
  <c r="B194" i="86"/>
  <c r="B193" i="86"/>
  <c r="B192" i="86"/>
  <c r="O191" i="86"/>
  <c r="B191" i="86"/>
  <c r="O190" i="86"/>
  <c r="B190" i="86"/>
  <c r="O189" i="86"/>
  <c r="B189" i="86"/>
  <c r="O188" i="86"/>
  <c r="B188" i="86"/>
  <c r="O187" i="86"/>
  <c r="B187" i="86"/>
  <c r="B186" i="86"/>
  <c r="O185" i="86"/>
  <c r="P185" i="86" s="1"/>
  <c r="I185" i="86"/>
  <c r="M191" i="86" s="1"/>
  <c r="B185" i="86"/>
  <c r="O184" i="86"/>
  <c r="P184" i="86" s="1"/>
  <c r="I184" i="86"/>
  <c r="M190" i="86" s="1"/>
  <c r="B184" i="86"/>
  <c r="B183" i="86"/>
  <c r="B182" i="86"/>
  <c r="R181" i="86"/>
  <c r="O181" i="86"/>
  <c r="H181" i="86"/>
  <c r="B181" i="86"/>
  <c r="R180" i="86"/>
  <c r="O180" i="86"/>
  <c r="H180" i="86"/>
  <c r="B180" i="86"/>
  <c r="R179" i="86"/>
  <c r="O179" i="86"/>
  <c r="H179" i="86"/>
  <c r="R178" i="86"/>
  <c r="O178" i="86"/>
  <c r="H178" i="86"/>
  <c r="R177" i="86"/>
  <c r="O177" i="86"/>
  <c r="H177" i="86"/>
  <c r="B173" i="86"/>
  <c r="B169" i="86"/>
  <c r="B168" i="86"/>
  <c r="B167" i="86"/>
  <c r="I164" i="86"/>
  <c r="H164" i="86"/>
  <c r="O173" i="86" s="1"/>
  <c r="P173" i="86" s="1"/>
  <c r="G164" i="86"/>
  <c r="F164" i="86"/>
  <c r="N11" i="86"/>
  <c r="B163" i="86"/>
  <c r="B162" i="86"/>
  <c r="O161" i="86"/>
  <c r="P161" i="86" s="1"/>
  <c r="O160" i="86"/>
  <c r="P160" i="86" s="1"/>
  <c r="R157" i="86"/>
  <c r="Q157" i="86"/>
  <c r="P157" i="86"/>
  <c r="O157" i="86"/>
  <c r="H157" i="86"/>
  <c r="R156" i="86"/>
  <c r="P156" i="86" s="1"/>
  <c r="Q156" i="86"/>
  <c r="O156" i="86"/>
  <c r="H156" i="86"/>
  <c r="R155" i="86"/>
  <c r="Q155" i="86"/>
  <c r="P155" i="86"/>
  <c r="O155" i="86"/>
  <c r="H155" i="86"/>
  <c r="R154" i="86"/>
  <c r="Q154" i="86"/>
  <c r="O154" i="86"/>
  <c r="H154" i="86"/>
  <c r="AF153" i="86" a="1"/>
  <c r="AF153" i="86" s="1"/>
  <c r="B236" i="86" s="1"/>
  <c r="AE153" i="86"/>
  <c r="R153" i="86"/>
  <c r="Q153" i="86"/>
  <c r="O153" i="86"/>
  <c r="H153" i="86"/>
  <c r="AF152" i="86" a="1"/>
  <c r="AF152" i="86" s="1"/>
  <c r="B235" i="86" s="1"/>
  <c r="AE152" i="86"/>
  <c r="R152" i="86"/>
  <c r="P152" i="86" s="1"/>
  <c r="Q152" i="86"/>
  <c r="O152" i="86"/>
  <c r="H152" i="86"/>
  <c r="AF151" i="86" a="1"/>
  <c r="AF151" i="86" s="1"/>
  <c r="B234" i="86" s="1"/>
  <c r="AE151" i="86"/>
  <c r="R151" i="86"/>
  <c r="Q151" i="86"/>
  <c r="O151" i="86"/>
  <c r="H151" i="86"/>
  <c r="AF150" i="86" a="1"/>
  <c r="AF150" i="86" s="1"/>
  <c r="B233" i="86" s="1"/>
  <c r="AE150" i="86"/>
  <c r="R150" i="86"/>
  <c r="Q150" i="86"/>
  <c r="P150" i="86"/>
  <c r="O150" i="86"/>
  <c r="H150" i="86"/>
  <c r="AF149" i="86" a="1"/>
  <c r="AF149" i="86" s="1"/>
  <c r="B232" i="86" s="1"/>
  <c r="AE149" i="86"/>
  <c r="R149" i="86"/>
  <c r="Q149" i="86"/>
  <c r="O149" i="86"/>
  <c r="H149" i="86"/>
  <c r="AF148" i="86" a="1"/>
  <c r="AF148" i="86" s="1"/>
  <c r="B231" i="86" s="1"/>
  <c r="AE148" i="86"/>
  <c r="R148" i="86"/>
  <c r="Q148" i="86"/>
  <c r="O148" i="86"/>
  <c r="H148" i="86"/>
  <c r="AF147" i="86" a="1"/>
  <c r="AF147" i="86" s="1"/>
  <c r="B230" i="86" s="1"/>
  <c r="AE147" i="86"/>
  <c r="R147" i="86"/>
  <c r="Q147" i="86"/>
  <c r="O147" i="86"/>
  <c r="H147" i="86"/>
  <c r="AF146" i="86" a="1"/>
  <c r="AF146" i="86" s="1"/>
  <c r="B229" i="86" s="1"/>
  <c r="AE146" i="86"/>
  <c r="R146" i="86"/>
  <c r="Q146" i="86"/>
  <c r="O146" i="86"/>
  <c r="P146" i="86" s="1"/>
  <c r="H146" i="86"/>
  <c r="AF145" i="86" a="1"/>
  <c r="AF145" i="86" s="1"/>
  <c r="B228" i="86" s="1"/>
  <c r="AE145" i="86"/>
  <c r="R145" i="86"/>
  <c r="Q145" i="86"/>
  <c r="O145" i="86"/>
  <c r="H145" i="86"/>
  <c r="AF144" i="86" a="1"/>
  <c r="AF144" i="86" s="1"/>
  <c r="B227" i="86" s="1"/>
  <c r="AE144" i="86"/>
  <c r="R144" i="86"/>
  <c r="Q144" i="86"/>
  <c r="O144" i="86"/>
  <c r="P144" i="86" s="1"/>
  <c r="H144" i="86"/>
  <c r="AF143" i="86" a="1"/>
  <c r="AF143" i="86" s="1"/>
  <c r="B226" i="86" s="1"/>
  <c r="AE143" i="86"/>
  <c r="R143" i="86"/>
  <c r="Q143" i="86"/>
  <c r="O143" i="86"/>
  <c r="H143" i="86"/>
  <c r="AF142" i="86" a="1"/>
  <c r="AF142" i="86" s="1"/>
  <c r="B225" i="86" s="1"/>
  <c r="AE142" i="86"/>
  <c r="R142" i="86"/>
  <c r="Q142" i="86"/>
  <c r="O142" i="86"/>
  <c r="P142" i="86" s="1"/>
  <c r="H142" i="86"/>
  <c r="AF141" i="86" a="1"/>
  <c r="AF141" i="86" s="1"/>
  <c r="B224" i="86" s="1"/>
  <c r="AE141" i="86"/>
  <c r="R141" i="86"/>
  <c r="Q141" i="86"/>
  <c r="O141" i="86"/>
  <c r="P141" i="86" s="1"/>
  <c r="H141" i="86"/>
  <c r="AF140" i="86" a="1"/>
  <c r="AF140" i="86" s="1"/>
  <c r="B223" i="86" s="1"/>
  <c r="AE140" i="86"/>
  <c r="R140" i="86"/>
  <c r="Q140" i="86"/>
  <c r="O140" i="86"/>
  <c r="P140" i="86" s="1"/>
  <c r="H140" i="86"/>
  <c r="AF139" i="86" a="1"/>
  <c r="AF139" i="86" s="1"/>
  <c r="B222" i="86" s="1"/>
  <c r="AE139" i="86"/>
  <c r="R139" i="86"/>
  <c r="Q139" i="86"/>
  <c r="O139" i="86"/>
  <c r="P139" i="86" s="1"/>
  <c r="H139" i="86"/>
  <c r="AF138" i="86"/>
  <c r="B221" i="86" s="1"/>
  <c r="AF138" i="86" a="1"/>
  <c r="AE138" i="86"/>
  <c r="R138" i="86"/>
  <c r="Q138" i="86"/>
  <c r="O138" i="86"/>
  <c r="H138" i="86"/>
  <c r="AF137" i="86" a="1"/>
  <c r="AF137" i="86" s="1"/>
  <c r="B220" i="86" s="1"/>
  <c r="AE137" i="86"/>
  <c r="H137" i="86"/>
  <c r="R135" i="86"/>
  <c r="Q135" i="86"/>
  <c r="O135" i="86"/>
  <c r="R134" i="86"/>
  <c r="Q134" i="86"/>
  <c r="O134" i="86"/>
  <c r="R133" i="86"/>
  <c r="Q133" i="86"/>
  <c r="O133" i="86"/>
  <c r="R132" i="86"/>
  <c r="P132" i="86" s="1"/>
  <c r="B95" i="86" s="1"/>
  <c r="Q132" i="86"/>
  <c r="O132" i="86"/>
  <c r="P129" i="86"/>
  <c r="P128" i="86"/>
  <c r="B92" i="86" s="1"/>
  <c r="P127" i="86"/>
  <c r="R126" i="86"/>
  <c r="P126" i="86"/>
  <c r="R129" i="86" s="1"/>
  <c r="P125" i="86"/>
  <c r="B85" i="86" s="1"/>
  <c r="Z121" i="86"/>
  <c r="Z120" i="86"/>
  <c r="O120" i="86"/>
  <c r="P120" i="86" s="1"/>
  <c r="H120" i="86"/>
  <c r="Z119" i="86"/>
  <c r="P119" i="86"/>
  <c r="O119" i="86"/>
  <c r="H119" i="86"/>
  <c r="Z118" i="86"/>
  <c r="P118" i="86"/>
  <c r="O118" i="86"/>
  <c r="H118" i="86"/>
  <c r="O117" i="86"/>
  <c r="P117" i="86" s="1"/>
  <c r="H117" i="86"/>
  <c r="Z116" i="86"/>
  <c r="O116" i="86"/>
  <c r="P116" i="86" s="1"/>
  <c r="H116" i="86"/>
  <c r="AA115" i="86"/>
  <c r="Z115" i="86"/>
  <c r="O115" i="86"/>
  <c r="P115" i="86" s="1"/>
  <c r="H115" i="86"/>
  <c r="O114" i="86"/>
  <c r="P114" i="86" s="1"/>
  <c r="H114" i="86"/>
  <c r="P113" i="86"/>
  <c r="O113" i="86"/>
  <c r="H113" i="86"/>
  <c r="Z112" i="86"/>
  <c r="P112" i="86"/>
  <c r="O112" i="86"/>
  <c r="H112" i="86"/>
  <c r="O111" i="86"/>
  <c r="P111" i="86" s="1"/>
  <c r="H111" i="86"/>
  <c r="P110" i="86"/>
  <c r="O110" i="86"/>
  <c r="H110" i="86"/>
  <c r="O109" i="86"/>
  <c r="P109" i="86" s="1"/>
  <c r="H109" i="86"/>
  <c r="O108" i="86"/>
  <c r="P108" i="86" s="1"/>
  <c r="H108" i="86"/>
  <c r="P107" i="86"/>
  <c r="O107" i="86"/>
  <c r="H107" i="86"/>
  <c r="P106" i="86"/>
  <c r="O106" i="86"/>
  <c r="H106" i="86"/>
  <c r="O105" i="86"/>
  <c r="P105" i="86" s="1"/>
  <c r="H105" i="86"/>
  <c r="O104" i="86"/>
  <c r="P104" i="86" s="1"/>
  <c r="H104" i="86"/>
  <c r="O103" i="86"/>
  <c r="P103" i="86" s="1"/>
  <c r="H103" i="86"/>
  <c r="P102" i="86"/>
  <c r="O102" i="86"/>
  <c r="H102" i="86"/>
  <c r="B102" i="86"/>
  <c r="O101" i="86"/>
  <c r="P101" i="86" s="1"/>
  <c r="H101" i="86"/>
  <c r="B100" i="86"/>
  <c r="R98" i="86"/>
  <c r="Q98" i="86"/>
  <c r="O98" i="86"/>
  <c r="H98" i="86"/>
  <c r="R97" i="86"/>
  <c r="Q97" i="86"/>
  <c r="O97" i="86"/>
  <c r="P97" i="86" s="1"/>
  <c r="H97" i="86"/>
  <c r="R96" i="86"/>
  <c r="P96" i="86" s="1"/>
  <c r="Q96" i="86"/>
  <c r="O96" i="86"/>
  <c r="H96" i="86"/>
  <c r="R95" i="86"/>
  <c r="Q95" i="86"/>
  <c r="O95" i="86"/>
  <c r="H95" i="86"/>
  <c r="R94" i="86"/>
  <c r="Q94" i="86"/>
  <c r="O94" i="86"/>
  <c r="H94" i="86"/>
  <c r="B94" i="86"/>
  <c r="R93" i="86"/>
  <c r="Q93" i="86"/>
  <c r="O93" i="86"/>
  <c r="P93" i="86" s="1"/>
  <c r="H93" i="86"/>
  <c r="R92" i="86"/>
  <c r="Q92" i="86"/>
  <c r="O92" i="86"/>
  <c r="H92" i="86"/>
  <c r="R91" i="86"/>
  <c r="Q91" i="86"/>
  <c r="O91" i="86"/>
  <c r="P91" i="86" s="1"/>
  <c r="H91" i="86"/>
  <c r="R90" i="86"/>
  <c r="Q90" i="86"/>
  <c r="O90" i="86"/>
  <c r="H90" i="86"/>
  <c r="B90" i="86"/>
  <c r="R89" i="86"/>
  <c r="Q89" i="86"/>
  <c r="O89" i="86"/>
  <c r="H89" i="86"/>
  <c r="R88" i="86"/>
  <c r="P88" i="86" s="1"/>
  <c r="Q88" i="86"/>
  <c r="O88" i="86"/>
  <c r="H88" i="86"/>
  <c r="R87" i="86"/>
  <c r="Q87" i="86"/>
  <c r="O87" i="86"/>
  <c r="H87" i="86"/>
  <c r="B87" i="86"/>
  <c r="R86" i="86"/>
  <c r="Q86" i="86"/>
  <c r="O86" i="86"/>
  <c r="H86" i="86"/>
  <c r="R85" i="86"/>
  <c r="Q85" i="86"/>
  <c r="O85" i="86"/>
  <c r="P85" i="86" s="1"/>
  <c r="H85" i="86"/>
  <c r="R84" i="86"/>
  <c r="P84" i="86" s="1"/>
  <c r="Q84" i="86"/>
  <c r="O84" i="86"/>
  <c r="H84" i="86"/>
  <c r="R83" i="86"/>
  <c r="Q83" i="86"/>
  <c r="O83" i="86"/>
  <c r="H83" i="86"/>
  <c r="B83" i="86"/>
  <c r="R82" i="86"/>
  <c r="Q82" i="86"/>
  <c r="O82" i="86"/>
  <c r="P82" i="86" s="1"/>
  <c r="H82" i="86"/>
  <c r="B82" i="86"/>
  <c r="R81" i="86"/>
  <c r="P81" i="86" s="1"/>
  <c r="Q81" i="86"/>
  <c r="AA4" i="86" s="1"/>
  <c r="O81" i="86"/>
  <c r="H81" i="86"/>
  <c r="B81" i="86"/>
  <c r="R80" i="86"/>
  <c r="Q80" i="86"/>
  <c r="O80" i="86"/>
  <c r="P80" i="86" s="1"/>
  <c r="H80" i="86"/>
  <c r="B80" i="86"/>
  <c r="R79" i="86"/>
  <c r="Q79" i="86"/>
  <c r="O79" i="86"/>
  <c r="P79" i="86" s="1"/>
  <c r="H79" i="86"/>
  <c r="B79" i="86"/>
  <c r="B78" i="86"/>
  <c r="B77" i="86"/>
  <c r="B76" i="86"/>
  <c r="B75" i="86"/>
  <c r="O74" i="86"/>
  <c r="B74" i="86"/>
  <c r="AF73" i="86"/>
  <c r="B343" i="86" s="1"/>
  <c r="AE73" i="86" a="1"/>
  <c r="AE73" i="86" s="1"/>
  <c r="B313" i="86" s="1"/>
  <c r="AD73" i="86" a="1"/>
  <c r="AD73" i="86" s="1"/>
  <c r="B283" i="86" s="1"/>
  <c r="O73" i="86"/>
  <c r="P73" i="86" s="1"/>
  <c r="B73" i="86"/>
  <c r="AF72" i="86"/>
  <c r="B342" i="86" s="1"/>
  <c r="AE72" i="86" a="1"/>
  <c r="AE72" i="86" s="1"/>
  <c r="B312" i="86" s="1"/>
  <c r="AD72" i="86" a="1"/>
  <c r="AD72" i="86" s="1"/>
  <c r="B282" i="86" s="1"/>
  <c r="O72" i="86"/>
  <c r="P72" i="86" s="1"/>
  <c r="B72" i="86"/>
  <c r="AF71" i="86"/>
  <c r="B341" i="86" s="1"/>
  <c r="AE71" i="86" a="1"/>
  <c r="AE71" i="86" s="1"/>
  <c r="B311" i="86" s="1"/>
  <c r="AD71" i="86" a="1"/>
  <c r="AD71" i="86" s="1"/>
  <c r="B281" i="86" s="1"/>
  <c r="B71" i="86"/>
  <c r="AF70" i="86"/>
  <c r="B340" i="86" s="1"/>
  <c r="AE70" i="86" a="1"/>
  <c r="AE70" i="86" s="1"/>
  <c r="B310" i="86" s="1"/>
  <c r="AD70" i="86" a="1"/>
  <c r="AD70" i="86" s="1"/>
  <c r="B280" i="86" s="1"/>
  <c r="B70" i="86"/>
  <c r="AF69" i="86"/>
  <c r="B339" i="86" s="1"/>
  <c r="AE69" i="86" a="1"/>
  <c r="AE69" i="86" s="1"/>
  <c r="B309" i="86" s="1"/>
  <c r="AD69" i="86" a="1"/>
  <c r="AD69" i="86" s="1"/>
  <c r="B279" i="86" s="1"/>
  <c r="V69" i="86"/>
  <c r="O69" i="86"/>
  <c r="P69" i="86" s="1"/>
  <c r="B69" i="86"/>
  <c r="AF68" i="86"/>
  <c r="AE68" i="86" a="1"/>
  <c r="AE68" i="86" s="1"/>
  <c r="B308" i="86" s="1"/>
  <c r="AD68" i="86" a="1"/>
  <c r="AD68" i="86" s="1"/>
  <c r="B278" i="86" s="1"/>
  <c r="V68" i="86"/>
  <c r="O68" i="86"/>
  <c r="P68" i="86" s="1"/>
  <c r="B68" i="86"/>
  <c r="AF67" i="86"/>
  <c r="B337" i="86" s="1"/>
  <c r="AE67" i="86" a="1"/>
  <c r="AE67" i="86" s="1"/>
  <c r="B307" i="86" s="1"/>
  <c r="AD67" i="86" a="1"/>
  <c r="AD67" i="86" s="1"/>
  <c r="B277" i="86" s="1"/>
  <c r="V67" i="86"/>
  <c r="O67" i="86"/>
  <c r="P67" i="86" s="1"/>
  <c r="B47" i="86" s="1"/>
  <c r="B67" i="86"/>
  <c r="AF66" i="86"/>
  <c r="AE66" i="86" a="1"/>
  <c r="AE66" i="86" s="1"/>
  <c r="B306" i="86" s="1"/>
  <c r="AD66" i="86" a="1"/>
  <c r="AD66" i="86" s="1"/>
  <c r="B276" i="86" s="1"/>
  <c r="V66" i="86"/>
  <c r="P66" i="86"/>
  <c r="B46" i="86" s="1"/>
  <c r="O66" i="86"/>
  <c r="B66" i="86"/>
  <c r="AF65" i="86"/>
  <c r="AE65" i="86" a="1"/>
  <c r="AE65" i="86" s="1"/>
  <c r="B305" i="86" s="1"/>
  <c r="AD65" i="86" a="1"/>
  <c r="AD65" i="86" s="1"/>
  <c r="B275" i="86" s="1"/>
  <c r="V65" i="86"/>
  <c r="O65" i="86"/>
  <c r="P65" i="86" s="1"/>
  <c r="B45" i="86" s="1"/>
  <c r="B65" i="86"/>
  <c r="AF64" i="86"/>
  <c r="AE64" i="86" a="1"/>
  <c r="AE64" i="86" s="1"/>
  <c r="B304" i="86" s="1"/>
  <c r="AD64" i="86" a="1"/>
  <c r="AD64" i="86" s="1"/>
  <c r="B274" i="86" s="1"/>
  <c r="V64" i="86"/>
  <c r="P64" i="86"/>
  <c r="B44" i="86" s="1"/>
  <c r="O64" i="86"/>
  <c r="B64" i="86"/>
  <c r="AF63" i="86"/>
  <c r="B333" i="86" s="1"/>
  <c r="AE63" i="86" a="1"/>
  <c r="AE63" i="86" s="1"/>
  <c r="B303" i="86" s="1"/>
  <c r="AD63" i="86" a="1"/>
  <c r="AD63" i="86" s="1"/>
  <c r="B273" i="86" s="1"/>
  <c r="V63" i="86"/>
  <c r="P63" i="86"/>
  <c r="B43" i="86" s="1"/>
  <c r="O63" i="86"/>
  <c r="B63" i="86"/>
  <c r="AF62" i="86"/>
  <c r="B332" i="86" s="1"/>
  <c r="AE62" i="86" a="1"/>
  <c r="AE62" i="86" s="1"/>
  <c r="B302" i="86" s="1"/>
  <c r="AD62" i="86" a="1"/>
  <c r="AD62" i="86" s="1"/>
  <c r="B272" i="86" s="1"/>
  <c r="V62" i="86"/>
  <c r="O62" i="86"/>
  <c r="P62" i="86" s="1"/>
  <c r="B62" i="86"/>
  <c r="AF61" i="86"/>
  <c r="B331" i="86" s="1"/>
  <c r="AE61" i="86" a="1"/>
  <c r="AE61" i="86" s="1"/>
  <c r="B301" i="86" s="1"/>
  <c r="AD61" i="86" a="1"/>
  <c r="AD61" i="86" s="1"/>
  <c r="B271" i="86" s="1"/>
  <c r="B61" i="86"/>
  <c r="B60" i="86"/>
  <c r="V59" i="86"/>
  <c r="P59" i="86"/>
  <c r="B41" i="86" s="1"/>
  <c r="O59" i="86"/>
  <c r="V58" i="86"/>
  <c r="O58" i="86"/>
  <c r="P58" i="86" s="1"/>
  <c r="V57" i="86"/>
  <c r="B39" i="86" s="1"/>
  <c r="P57" i="86"/>
  <c r="O57" i="86"/>
  <c r="V56" i="86"/>
  <c r="O56" i="86"/>
  <c r="P56" i="86" s="1"/>
  <c r="V55" i="86"/>
  <c r="O55" i="86"/>
  <c r="P55" i="86" s="1"/>
  <c r="B37" i="86" s="1"/>
  <c r="V54" i="86"/>
  <c r="O54" i="86"/>
  <c r="P54" i="86" s="1"/>
  <c r="V53" i="86"/>
  <c r="P53" i="86"/>
  <c r="O53" i="86"/>
  <c r="V52" i="86"/>
  <c r="O52" i="86"/>
  <c r="P52" i="86" s="1"/>
  <c r="V49" i="86"/>
  <c r="O49" i="86"/>
  <c r="P49" i="86" s="1"/>
  <c r="AJ48" i="86"/>
  <c r="AK48" i="86" s="1"/>
  <c r="V48" i="86"/>
  <c r="O48" i="86"/>
  <c r="P48" i="86" s="1"/>
  <c r="V47" i="86"/>
  <c r="O47" i="86"/>
  <c r="P47" i="86" s="1"/>
  <c r="AJ35" i="86" s="1"/>
  <c r="AK35" i="86" s="1"/>
  <c r="V46" i="86"/>
  <c r="O46" i="86"/>
  <c r="P46" i="86" s="1"/>
  <c r="AJ45" i="86"/>
  <c r="AK45" i="86" s="1"/>
  <c r="V45" i="86"/>
  <c r="O45" i="86"/>
  <c r="P45" i="86" s="1"/>
  <c r="B29" i="86" s="1"/>
  <c r="V44" i="86"/>
  <c r="O44" i="86"/>
  <c r="P44" i="86" s="1"/>
  <c r="V43" i="86"/>
  <c r="O43" i="86"/>
  <c r="P43" i="86" s="1"/>
  <c r="V42" i="86"/>
  <c r="P42" i="86"/>
  <c r="B26" i="86" s="1"/>
  <c r="O42" i="86"/>
  <c r="AA41" i="86"/>
  <c r="Z41" i="86" s="1"/>
  <c r="AA40" i="86"/>
  <c r="Z40" i="86" s="1"/>
  <c r="AA39" i="86"/>
  <c r="Z39" i="86" s="1"/>
  <c r="AA38" i="86"/>
  <c r="Z38" i="86" s="1"/>
  <c r="V38" i="86"/>
  <c r="O38" i="86"/>
  <c r="P38" i="86" s="1"/>
  <c r="AA37" i="86"/>
  <c r="Z37" i="86" s="1"/>
  <c r="V37" i="86"/>
  <c r="O37" i="86"/>
  <c r="P37" i="86"/>
  <c r="AJ36" i="86"/>
  <c r="AK36" i="86" s="1"/>
  <c r="AA36" i="86"/>
  <c r="Z36" i="86" s="1"/>
  <c r="V36" i="86"/>
  <c r="P36" i="86"/>
  <c r="B23" i="86" s="1"/>
  <c r="O36" i="86"/>
  <c r="AA35" i="86"/>
  <c r="Z35" i="86" s="1"/>
  <c r="B35" i="86"/>
  <c r="AA34" i="86"/>
  <c r="Z34" i="86" s="1"/>
  <c r="AA33" i="86"/>
  <c r="Z33" i="86" s="1"/>
  <c r="O33" i="86"/>
  <c r="P33" i="86"/>
  <c r="AA32" i="86"/>
  <c r="Z32" i="86" s="1"/>
  <c r="V32" i="86"/>
  <c r="O32" i="86"/>
  <c r="P32" i="86"/>
  <c r="AJ17" i="86" s="1"/>
  <c r="AF31" i="86"/>
  <c r="B174" i="86" s="1"/>
  <c r="AD31" i="86"/>
  <c r="B144" i="86" s="1"/>
  <c r="AA31" i="86"/>
  <c r="Z31" i="86" s="1"/>
  <c r="O31" i="86"/>
  <c r="AF30" i="86"/>
  <c r="AD30" i="86"/>
  <c r="B143" i="86" s="1"/>
  <c r="AA30" i="86"/>
  <c r="Z30" i="86" s="1"/>
  <c r="AF29" i="86"/>
  <c r="B172" i="86" s="1"/>
  <c r="AD29" i="86"/>
  <c r="B142" i="86" s="1"/>
  <c r="AA29" i="86"/>
  <c r="Z29" i="86" s="1"/>
  <c r="AF28" i="86"/>
  <c r="B171" i="86" s="1"/>
  <c r="AD28" i="86"/>
  <c r="B141" i="86" s="1"/>
  <c r="AA28" i="86"/>
  <c r="Z28" i="86" s="1"/>
  <c r="V28" i="86"/>
  <c r="O28" i="86"/>
  <c r="P28" i="86" s="1"/>
  <c r="AF27" i="86"/>
  <c r="B170" i="86" s="1"/>
  <c r="AD27" i="86"/>
  <c r="B140" i="86" s="1"/>
  <c r="AA27" i="86"/>
  <c r="Z27" i="86" s="1"/>
  <c r="V27" i="86"/>
  <c r="O27" i="86"/>
  <c r="P27" i="86"/>
  <c r="AJ58" i="86" s="1"/>
  <c r="AF26" i="86"/>
  <c r="AD26" i="86"/>
  <c r="B139" i="86" s="1"/>
  <c r="AA26" i="86"/>
  <c r="Z26" i="86" s="1"/>
  <c r="V26" i="86"/>
  <c r="O26" i="86"/>
  <c r="AF25" i="86"/>
  <c r="AD25" i="86"/>
  <c r="B138" i="86" s="1"/>
  <c r="AA25" i="86"/>
  <c r="Z25" i="86" s="1"/>
  <c r="AF24" i="86"/>
  <c r="AD24" i="86"/>
  <c r="B137" i="86" s="1"/>
  <c r="AA24" i="86"/>
  <c r="Z24" i="86" s="1"/>
  <c r="AJ23" i="86"/>
  <c r="AK23" i="86" s="1"/>
  <c r="AF23" i="86"/>
  <c r="B166" i="86" s="1"/>
  <c r="AD23" i="86"/>
  <c r="B136" i="86" s="1"/>
  <c r="AA23" i="86"/>
  <c r="Z23" i="86" s="1"/>
  <c r="N23" i="86"/>
  <c r="N8" i="86" s="1"/>
  <c r="AJ22" i="86"/>
  <c r="AK22" i="86" s="1"/>
  <c r="AF22" i="86"/>
  <c r="B165" i="86" s="1"/>
  <c r="AD22" i="86"/>
  <c r="B135" i="86" s="1"/>
  <c r="AA22" i="86"/>
  <c r="Z22" i="86" s="1"/>
  <c r="AJ21" i="86"/>
  <c r="AK21" i="86" s="1"/>
  <c r="AF21" i="86"/>
  <c r="B164" i="86" s="1"/>
  <c r="AD21" i="86"/>
  <c r="B134" i="86" s="1"/>
  <c r="AA21" i="86"/>
  <c r="N21" i="86"/>
  <c r="AF20" i="86"/>
  <c r="AD20" i="86"/>
  <c r="B133" i="86" s="1"/>
  <c r="AA20" i="86"/>
  <c r="N20" i="86"/>
  <c r="AF19" i="86"/>
  <c r="AD19" i="86"/>
  <c r="B132" i="86" s="1"/>
  <c r="AA19" i="86"/>
  <c r="N19" i="86"/>
  <c r="AF18" i="86"/>
  <c r="B161" i="86" s="1"/>
  <c r="AD18" i="86"/>
  <c r="B131" i="86" s="1"/>
  <c r="AA18" i="86"/>
  <c r="N18" i="86"/>
  <c r="AF17" i="86"/>
  <c r="B160" i="86" s="1"/>
  <c r="AD17" i="86"/>
  <c r="B130" i="86" s="1"/>
  <c r="AA17" i="86"/>
  <c r="N17" i="86"/>
  <c r="AF16" i="86"/>
  <c r="B159" i="86" s="1"/>
  <c r="AD16" i="86"/>
  <c r="B129" i="86" s="1"/>
  <c r="AA16" i="86"/>
  <c r="B16" i="86"/>
  <c r="AF15" i="86"/>
  <c r="B158" i="86" s="1"/>
  <c r="AD15" i="86"/>
  <c r="B128" i="86" s="1"/>
  <c r="AA15" i="86"/>
  <c r="B15" i="86"/>
  <c r="AA14" i="86"/>
  <c r="B14" i="86"/>
  <c r="AA13" i="86"/>
  <c r="AA12" i="86"/>
  <c r="N12" i="86"/>
  <c r="B12" i="86"/>
  <c r="B13" i="86" s="1"/>
  <c r="AA11" i="86"/>
  <c r="B11" i="86"/>
  <c r="AA10" i="86"/>
  <c r="N10" i="86"/>
  <c r="AA9" i="86"/>
  <c r="B9" i="86"/>
  <c r="B10" i="86" s="1"/>
  <c r="AJ8" i="86"/>
  <c r="AK8" i="86" s="1"/>
  <c r="AA8" i="86"/>
  <c r="G8" i="86"/>
  <c r="D8" i="86"/>
  <c r="B8" i="86"/>
  <c r="AA7" i="86"/>
  <c r="D7" i="86"/>
  <c r="B7" i="86"/>
  <c r="AA6" i="86"/>
  <c r="B6" i="86"/>
  <c r="AA5" i="86"/>
  <c r="B5" i="86"/>
  <c r="N4" i="86"/>
  <c r="AA3" i="86"/>
  <c r="AA2" i="86"/>
  <c r="B2" i="86"/>
  <c r="M124" i="85"/>
  <c r="L61" i="85"/>
  <c r="L51" i="85"/>
  <c r="L41" i="85"/>
  <c r="L35" i="85"/>
  <c r="L30" i="85"/>
  <c r="L25" i="85"/>
  <c r="G157" i="84"/>
  <c r="G156" i="84"/>
  <c r="G155" i="84"/>
  <c r="G154" i="84"/>
  <c r="G153" i="84"/>
  <c r="G152" i="84"/>
  <c r="G151" i="84"/>
  <c r="G150" i="84"/>
  <c r="G149" i="84"/>
  <c r="G148" i="84"/>
  <c r="G147" i="84"/>
  <c r="G146" i="84"/>
  <c r="G145" i="84"/>
  <c r="G144" i="84"/>
  <c r="G143" i="84"/>
  <c r="F133" i="84"/>
  <c r="F132" i="84"/>
  <c r="M218" i="85"/>
  <c r="P218" i="85" s="1"/>
  <c r="B354" i="85" s="1"/>
  <c r="M191" i="85"/>
  <c r="L164" i="85"/>
  <c r="N163" i="85"/>
  <c r="L78" i="85"/>
  <c r="N77" i="85"/>
  <c r="N71" i="85"/>
  <c r="N40" i="85"/>
  <c r="B364" i="85"/>
  <c r="B363" i="85"/>
  <c r="B362" i="85"/>
  <c r="B361" i="85"/>
  <c r="B360" i="85"/>
  <c r="B359" i="85"/>
  <c r="B358" i="85"/>
  <c r="B357" i="85"/>
  <c r="B335" i="85"/>
  <c r="B319" i="85"/>
  <c r="E282" i="85"/>
  <c r="E283" i="85" s="1"/>
  <c r="E284" i="85" s="1"/>
  <c r="E285" i="85" s="1"/>
  <c r="E286" i="85" s="1"/>
  <c r="E287" i="85" s="1"/>
  <c r="E288" i="85" s="1"/>
  <c r="E289" i="85" s="1"/>
  <c r="E290" i="85" s="1"/>
  <c r="E291" i="85" s="1"/>
  <c r="E292" i="85" s="1"/>
  <c r="E293" i="85" s="1"/>
  <c r="E294" i="85" s="1"/>
  <c r="E295" i="85" s="1"/>
  <c r="E296" i="85" s="1"/>
  <c r="E297" i="85" s="1"/>
  <c r="E298" i="85" s="1"/>
  <c r="E299" i="85" s="1"/>
  <c r="E300" i="85" s="1"/>
  <c r="E301" i="85" s="1"/>
  <c r="E302" i="85" s="1"/>
  <c r="E303" i="85" s="1"/>
  <c r="E304" i="85" s="1"/>
  <c r="E305" i="85" s="1"/>
  <c r="E306" i="85" s="1"/>
  <c r="E307" i="85" s="1"/>
  <c r="E308" i="85" s="1"/>
  <c r="E309" i="85" s="1"/>
  <c r="E310" i="85" s="1"/>
  <c r="E311" i="85" s="1"/>
  <c r="E312" i="85" s="1"/>
  <c r="E313" i="85" s="1"/>
  <c r="E314" i="85" s="1"/>
  <c r="E315" i="85" s="1"/>
  <c r="E316" i="85" s="1"/>
  <c r="E281" i="85"/>
  <c r="H238" i="85"/>
  <c r="H237" i="85"/>
  <c r="H236" i="85"/>
  <c r="F234" i="85"/>
  <c r="H234" i="85" s="1"/>
  <c r="B216" i="85"/>
  <c r="R215" i="85"/>
  <c r="Q215" i="85"/>
  <c r="P215" i="85"/>
  <c r="O215" i="85"/>
  <c r="H215" i="85"/>
  <c r="G215" i="85"/>
  <c r="B215" i="85"/>
  <c r="R214" i="85"/>
  <c r="P214" i="85" s="1"/>
  <c r="Q214" i="85"/>
  <c r="O214" i="85"/>
  <c r="H214" i="85"/>
  <c r="G214" i="85"/>
  <c r="B214" i="85"/>
  <c r="R213" i="85"/>
  <c r="Q213" i="85"/>
  <c r="O213" i="85"/>
  <c r="P213" i="85" s="1"/>
  <c r="H213" i="85"/>
  <c r="G213" i="85"/>
  <c r="B213" i="85"/>
  <c r="R212" i="85"/>
  <c r="Q212" i="85"/>
  <c r="O212" i="85"/>
  <c r="P212" i="85" s="1"/>
  <c r="H212" i="85"/>
  <c r="G212" i="85"/>
  <c r="B212" i="85"/>
  <c r="R211" i="85"/>
  <c r="Q211" i="85"/>
  <c r="O211" i="85"/>
  <c r="P211" i="85" s="1"/>
  <c r="H211" i="85"/>
  <c r="G211" i="85"/>
  <c r="B211" i="85"/>
  <c r="R210" i="85"/>
  <c r="Q210" i="85"/>
  <c r="O210" i="85"/>
  <c r="P210" i="85" s="1"/>
  <c r="H210" i="85"/>
  <c r="G210" i="85"/>
  <c r="B210" i="85"/>
  <c r="R209" i="85"/>
  <c r="Q209" i="85"/>
  <c r="O209" i="85"/>
  <c r="P209" i="85" s="1"/>
  <c r="H209" i="85"/>
  <c r="G209" i="85"/>
  <c r="B209" i="85"/>
  <c r="R208" i="85"/>
  <c r="Q208" i="85"/>
  <c r="O208" i="85"/>
  <c r="P208" i="85" s="1"/>
  <c r="H208" i="85"/>
  <c r="G208" i="85"/>
  <c r="B208" i="85"/>
  <c r="R207" i="85"/>
  <c r="Q207" i="85"/>
  <c r="O207" i="85"/>
  <c r="H207" i="85"/>
  <c r="G207" i="85"/>
  <c r="B207" i="85"/>
  <c r="R206" i="85"/>
  <c r="Q206" i="85"/>
  <c r="O206" i="85"/>
  <c r="P206" i="85" s="1"/>
  <c r="H206" i="85"/>
  <c r="G206" i="85"/>
  <c r="B206" i="85"/>
  <c r="B205" i="85"/>
  <c r="B204" i="85"/>
  <c r="R203" i="85"/>
  <c r="O203" i="85"/>
  <c r="G203" i="85"/>
  <c r="B203" i="85"/>
  <c r="R202" i="85"/>
  <c r="O202" i="85"/>
  <c r="G202" i="85"/>
  <c r="B202" i="85"/>
  <c r="R201" i="85"/>
  <c r="O201" i="85"/>
  <c r="G201" i="85"/>
  <c r="B201" i="85"/>
  <c r="R200" i="85"/>
  <c r="O200" i="85"/>
  <c r="P200" i="85" s="1"/>
  <c r="AA118" i="85" s="1"/>
  <c r="G200" i="85"/>
  <c r="B200" i="85"/>
  <c r="R199" i="85"/>
  <c r="P199" i="85" s="1"/>
  <c r="AA117" i="85" s="1"/>
  <c r="O199" i="85"/>
  <c r="G199" i="85"/>
  <c r="B199" i="85"/>
  <c r="R198" i="85"/>
  <c r="P198" i="85"/>
  <c r="AA116" i="85" s="1"/>
  <c r="O198" i="85"/>
  <c r="G198" i="85"/>
  <c r="R197" i="85"/>
  <c r="O197" i="85"/>
  <c r="G197" i="85"/>
  <c r="R196" i="85"/>
  <c r="P196" i="85"/>
  <c r="O196" i="85"/>
  <c r="G196" i="85"/>
  <c r="B196" i="85"/>
  <c r="R195" i="85"/>
  <c r="O195" i="85"/>
  <c r="P195" i="85" s="1"/>
  <c r="AA113" i="85" s="1"/>
  <c r="G195" i="85"/>
  <c r="B195" i="85"/>
  <c r="R194" i="85"/>
  <c r="P194" i="85" s="1"/>
  <c r="AA112" i="85" s="1"/>
  <c r="O194" i="85"/>
  <c r="G194" i="85"/>
  <c r="B194" i="85"/>
  <c r="B193" i="85"/>
  <c r="B192" i="85"/>
  <c r="O191" i="85"/>
  <c r="B191" i="85"/>
  <c r="O190" i="85"/>
  <c r="B190" i="85"/>
  <c r="O189" i="85"/>
  <c r="B189" i="85"/>
  <c r="O188" i="85"/>
  <c r="B188" i="85"/>
  <c r="O187" i="85"/>
  <c r="B187" i="85"/>
  <c r="B186" i="85"/>
  <c r="O185" i="85"/>
  <c r="P185" i="85" s="1"/>
  <c r="I185" i="85"/>
  <c r="M189" i="85" s="1"/>
  <c r="B185" i="85"/>
  <c r="O184" i="85"/>
  <c r="P184" i="85" s="1"/>
  <c r="R190" i="85" s="1"/>
  <c r="I184" i="85"/>
  <c r="M187" i="85" s="1"/>
  <c r="B184" i="85"/>
  <c r="B183" i="85"/>
  <c r="B182" i="85"/>
  <c r="R181" i="85"/>
  <c r="O181" i="85"/>
  <c r="P181" i="85" s="1"/>
  <c r="AA86" i="85" s="1"/>
  <c r="H181" i="85"/>
  <c r="B181" i="85"/>
  <c r="R180" i="85"/>
  <c r="O180" i="85"/>
  <c r="P180" i="85" s="1"/>
  <c r="AA85" i="85" s="1"/>
  <c r="H180" i="85"/>
  <c r="B180" i="85"/>
  <c r="R179" i="85"/>
  <c r="O179" i="85"/>
  <c r="P179" i="85" s="1"/>
  <c r="AA84" i="85" s="1"/>
  <c r="H179" i="85"/>
  <c r="B179" i="85"/>
  <c r="R178" i="85"/>
  <c r="O178" i="85"/>
  <c r="P178" i="85" s="1"/>
  <c r="AA83" i="85" s="1"/>
  <c r="H178" i="85"/>
  <c r="R177" i="85"/>
  <c r="P177" i="85" s="1"/>
  <c r="AA82" i="85" s="1"/>
  <c r="O177" i="85"/>
  <c r="H177" i="85"/>
  <c r="I164" i="85"/>
  <c r="H164" i="85"/>
  <c r="G164" i="85"/>
  <c r="F164" i="85"/>
  <c r="O161" i="85"/>
  <c r="P161" i="85" s="1"/>
  <c r="P160" i="85"/>
  <c r="AE155" i="85" s="1"/>
  <c r="O160" i="85"/>
  <c r="R157" i="85"/>
  <c r="Q157" i="85"/>
  <c r="O157" i="85"/>
  <c r="H157" i="85"/>
  <c r="G157" i="85"/>
  <c r="R156" i="85"/>
  <c r="Q156" i="85"/>
  <c r="P156" i="85"/>
  <c r="O156" i="85"/>
  <c r="H156" i="85"/>
  <c r="G156" i="85"/>
  <c r="R155" i="85"/>
  <c r="Q155" i="85"/>
  <c r="O155" i="85"/>
  <c r="H155" i="85"/>
  <c r="G155" i="85"/>
  <c r="R154" i="85"/>
  <c r="Q154" i="85"/>
  <c r="O154" i="85"/>
  <c r="P154" i="85" s="1"/>
  <c r="H154" i="85"/>
  <c r="G154" i="85"/>
  <c r="AF153" i="85" a="1"/>
  <c r="AF153" i="85" s="1"/>
  <c r="B236" i="85" s="1"/>
  <c r="AE153" i="85"/>
  <c r="R153" i="85"/>
  <c r="Q153" i="85"/>
  <c r="O153" i="85"/>
  <c r="P153" i="85" s="1"/>
  <c r="H153" i="85"/>
  <c r="G153" i="85"/>
  <c r="AF152" i="85" a="1"/>
  <c r="AF152" i="85" s="1"/>
  <c r="B235" i="85" s="1"/>
  <c r="AE152" i="85"/>
  <c r="R152" i="85"/>
  <c r="Q152" i="85"/>
  <c r="O152" i="85"/>
  <c r="P152" i="85" s="1"/>
  <c r="H152" i="85"/>
  <c r="G152" i="85"/>
  <c r="AF151" i="85" a="1"/>
  <c r="AF151" i="85" s="1"/>
  <c r="B234" i="85" s="1"/>
  <c r="AE151" i="85"/>
  <c r="R151" i="85"/>
  <c r="Q151" i="85"/>
  <c r="O151" i="85"/>
  <c r="P151" i="85" s="1"/>
  <c r="H151" i="85"/>
  <c r="G151" i="85"/>
  <c r="AF150" i="85" a="1"/>
  <c r="AF150" i="85" s="1"/>
  <c r="B233" i="85" s="1"/>
  <c r="AE150" i="85"/>
  <c r="R150" i="85"/>
  <c r="Q150" i="85"/>
  <c r="O150" i="85"/>
  <c r="P150" i="85" s="1"/>
  <c r="H150" i="85"/>
  <c r="G150" i="85"/>
  <c r="AF149" i="85" a="1"/>
  <c r="AF149" i="85" s="1"/>
  <c r="B232" i="85" s="1"/>
  <c r="AE149" i="85"/>
  <c r="R149" i="85"/>
  <c r="Q149" i="85"/>
  <c r="O149" i="85"/>
  <c r="P149" i="85" s="1"/>
  <c r="H149" i="85"/>
  <c r="G149" i="85"/>
  <c r="AF148" i="85" a="1"/>
  <c r="AF148" i="85" s="1"/>
  <c r="B231" i="85" s="1"/>
  <c r="AE148" i="85"/>
  <c r="R148" i="85"/>
  <c r="Q148" i="85"/>
  <c r="O148" i="85"/>
  <c r="P148" i="85" s="1"/>
  <c r="H148" i="85"/>
  <c r="G148" i="85"/>
  <c r="AF147" i="85" a="1"/>
  <c r="AF147" i="85" s="1"/>
  <c r="B230" i="85" s="1"/>
  <c r="AE147" i="85"/>
  <c r="R147" i="85"/>
  <c r="Q147" i="85"/>
  <c r="O147" i="85"/>
  <c r="P147" i="85" s="1"/>
  <c r="H147" i="85"/>
  <c r="G147" i="85"/>
  <c r="AF146" i="85" a="1"/>
  <c r="AF146" i="85" s="1"/>
  <c r="B229" i="85" s="1"/>
  <c r="AE146" i="85"/>
  <c r="R146" i="85"/>
  <c r="Q146" i="85"/>
  <c r="O146" i="85"/>
  <c r="P146" i="85" s="1"/>
  <c r="H146" i="85"/>
  <c r="G146" i="85"/>
  <c r="AF145" i="85" a="1"/>
  <c r="AF145" i="85" s="1"/>
  <c r="B228" i="85" s="1"/>
  <c r="AE145" i="85"/>
  <c r="R145" i="85"/>
  <c r="Q145" i="85"/>
  <c r="O145" i="85"/>
  <c r="P145" i="85" s="1"/>
  <c r="H145" i="85"/>
  <c r="G145" i="85"/>
  <c r="AF144" i="85" a="1"/>
  <c r="AF144" i="85" s="1"/>
  <c r="B227" i="85" s="1"/>
  <c r="AE144" i="85"/>
  <c r="R144" i="85"/>
  <c r="Q144" i="85"/>
  <c r="O144" i="85"/>
  <c r="P144" i="85" s="1"/>
  <c r="H144" i="85"/>
  <c r="AF143" i="85" a="1"/>
  <c r="AF143" i="85" s="1"/>
  <c r="B226" i="85" s="1"/>
  <c r="AE143" i="85"/>
  <c r="R143" i="85"/>
  <c r="Q143" i="85"/>
  <c r="P143" i="85"/>
  <c r="O143" i="85"/>
  <c r="H143" i="85"/>
  <c r="G143" i="85"/>
  <c r="AF142" i="85" a="1"/>
  <c r="AF142" i="85" s="1"/>
  <c r="B225" i="85" s="1"/>
  <c r="AE142" i="85"/>
  <c r="R142" i="85"/>
  <c r="Q142" i="85"/>
  <c r="O142" i="85"/>
  <c r="P142" i="85" s="1"/>
  <c r="H142" i="85"/>
  <c r="AF141" i="85" a="1"/>
  <c r="AF141" i="85" s="1"/>
  <c r="B224" i="85" s="1"/>
  <c r="AE141" i="85"/>
  <c r="R141" i="85"/>
  <c r="Q141" i="85"/>
  <c r="O141" i="85"/>
  <c r="P141" i="85" s="1"/>
  <c r="H141" i="85"/>
  <c r="AF140" i="85" a="1"/>
  <c r="AF140" i="85" s="1"/>
  <c r="B223" i="85" s="1"/>
  <c r="AE140" i="85"/>
  <c r="R140" i="85"/>
  <c r="Q140" i="85"/>
  <c r="O140" i="85"/>
  <c r="P140" i="85" s="1"/>
  <c r="H140" i="85"/>
  <c r="AF139" i="85" a="1"/>
  <c r="AF139" i="85" s="1"/>
  <c r="B222" i="85" s="1"/>
  <c r="AE139" i="85"/>
  <c r="R139" i="85"/>
  <c r="P139" i="85" s="1"/>
  <c r="Q139" i="85"/>
  <c r="O139" i="85"/>
  <c r="H139" i="85"/>
  <c r="AF138" i="85" a="1"/>
  <c r="AF138" i="85" s="1"/>
  <c r="B221" i="85" s="1"/>
  <c r="AE138" i="85"/>
  <c r="R138" i="85"/>
  <c r="Q138" i="85"/>
  <c r="O138" i="85"/>
  <c r="H138" i="85"/>
  <c r="AF137" i="85" a="1"/>
  <c r="AF137" i="85" s="1"/>
  <c r="B220" i="85" s="1"/>
  <c r="AE137" i="85"/>
  <c r="H137" i="85"/>
  <c r="AF136" i="85"/>
  <c r="B219" i="85" s="1"/>
  <c r="AF136" i="85" a="1"/>
  <c r="AE136" i="85"/>
  <c r="R135" i="85"/>
  <c r="Q135" i="85"/>
  <c r="O135" i="85"/>
  <c r="R134" i="85"/>
  <c r="Q134" i="85"/>
  <c r="O134" i="85"/>
  <c r="P134" i="85" s="1"/>
  <c r="B97" i="85" s="1"/>
  <c r="R133" i="85"/>
  <c r="Q133" i="85"/>
  <c r="O133" i="85"/>
  <c r="P133" i="85" s="1"/>
  <c r="B96" i="85" s="1"/>
  <c r="R132" i="85"/>
  <c r="Q132" i="85"/>
  <c r="O132" i="85"/>
  <c r="P132" i="85" s="1"/>
  <c r="B95" i="85" s="1"/>
  <c r="P129" i="85"/>
  <c r="P128" i="85"/>
  <c r="P127" i="85"/>
  <c r="B90" i="85" s="1"/>
  <c r="R126" i="85"/>
  <c r="P126" i="85"/>
  <c r="R129" i="85" s="1"/>
  <c r="P125" i="85"/>
  <c r="P124" i="85"/>
  <c r="B84" i="85" s="1"/>
  <c r="Z121" i="85"/>
  <c r="Z120" i="85"/>
  <c r="P120" i="85"/>
  <c r="O120" i="85"/>
  <c r="H120" i="85"/>
  <c r="G120" i="85"/>
  <c r="Z119" i="85"/>
  <c r="O119" i="85"/>
  <c r="P119" i="85" s="1"/>
  <c r="H119" i="85"/>
  <c r="G119" i="85"/>
  <c r="Z118" i="85"/>
  <c r="O118" i="85"/>
  <c r="P118" i="85" s="1"/>
  <c r="H118" i="85"/>
  <c r="G118" i="85"/>
  <c r="Z117" i="85"/>
  <c r="O117" i="85"/>
  <c r="P117" i="85" s="1"/>
  <c r="H117" i="85"/>
  <c r="G117" i="85"/>
  <c r="Z116" i="85"/>
  <c r="O116" i="85"/>
  <c r="P116" i="85" s="1"/>
  <c r="H116" i="85"/>
  <c r="G116" i="85"/>
  <c r="Z115" i="85"/>
  <c r="O115" i="85"/>
  <c r="P115" i="85" s="1"/>
  <c r="H115" i="85"/>
  <c r="G115" i="85"/>
  <c r="AA114" i="85"/>
  <c r="Z114" i="85"/>
  <c r="O114" i="85"/>
  <c r="P114" i="85" s="1"/>
  <c r="H114" i="85"/>
  <c r="G114" i="85"/>
  <c r="Z113" i="85"/>
  <c r="O113" i="85"/>
  <c r="P113" i="85" s="1"/>
  <c r="H113" i="85"/>
  <c r="G113" i="85"/>
  <c r="Z112" i="85"/>
  <c r="O112" i="85"/>
  <c r="P112" i="85" s="1"/>
  <c r="H112" i="85"/>
  <c r="G112" i="85"/>
  <c r="O111" i="85"/>
  <c r="P111" i="85" s="1"/>
  <c r="H111" i="85"/>
  <c r="G111" i="85"/>
  <c r="O110" i="85"/>
  <c r="P110" i="85" s="1"/>
  <c r="H110" i="85"/>
  <c r="G110" i="85"/>
  <c r="O109" i="85"/>
  <c r="P109" i="85" s="1"/>
  <c r="H109" i="85"/>
  <c r="G109" i="85"/>
  <c r="O108" i="85"/>
  <c r="P108" i="85" s="1"/>
  <c r="H108" i="85"/>
  <c r="G108" i="85"/>
  <c r="O107" i="85"/>
  <c r="P107" i="85" s="1"/>
  <c r="H107" i="85"/>
  <c r="G107" i="85"/>
  <c r="P106" i="85"/>
  <c r="O106" i="85"/>
  <c r="H106" i="85"/>
  <c r="G106" i="85"/>
  <c r="O105" i="85"/>
  <c r="P105" i="85" s="1"/>
  <c r="H105" i="85"/>
  <c r="G105" i="85"/>
  <c r="O104" i="85"/>
  <c r="P104" i="85" s="1"/>
  <c r="H104" i="85"/>
  <c r="G104" i="85"/>
  <c r="O103" i="85"/>
  <c r="P103" i="85" s="1"/>
  <c r="H103" i="85"/>
  <c r="G103" i="85"/>
  <c r="O102" i="85"/>
  <c r="P102" i="85" s="1"/>
  <c r="H102" i="85"/>
  <c r="G102" i="85"/>
  <c r="B102" i="85"/>
  <c r="O101" i="85"/>
  <c r="P101" i="85" s="1"/>
  <c r="H101" i="85"/>
  <c r="G101" i="85"/>
  <c r="B100" i="85"/>
  <c r="R98" i="85"/>
  <c r="P98" i="85" s="1"/>
  <c r="Q98" i="85"/>
  <c r="O98" i="85"/>
  <c r="H98" i="85"/>
  <c r="R97" i="85"/>
  <c r="P97" i="85" s="1"/>
  <c r="Q97" i="85"/>
  <c r="O97" i="85"/>
  <c r="H97" i="85"/>
  <c r="R96" i="85"/>
  <c r="P96" i="85" s="1"/>
  <c r="Q96" i="85"/>
  <c r="O96" i="85"/>
  <c r="H96" i="85"/>
  <c r="R95" i="85"/>
  <c r="Q95" i="85"/>
  <c r="O95" i="85"/>
  <c r="H95" i="85"/>
  <c r="R94" i="85"/>
  <c r="P94" i="85" s="1"/>
  <c r="Q94" i="85"/>
  <c r="O94" i="85"/>
  <c r="H94" i="85"/>
  <c r="B94" i="85"/>
  <c r="R93" i="85"/>
  <c r="P93" i="85" s="1"/>
  <c r="Q93" i="85"/>
  <c r="O93" i="85"/>
  <c r="H93" i="85"/>
  <c r="R92" i="85"/>
  <c r="P92" i="85" s="1"/>
  <c r="Q92" i="85"/>
  <c r="O92" i="85"/>
  <c r="H92" i="85"/>
  <c r="B92" i="85"/>
  <c r="R91" i="85"/>
  <c r="Q91" i="85"/>
  <c r="O91" i="85"/>
  <c r="H91" i="85"/>
  <c r="R90" i="85"/>
  <c r="Q90" i="85"/>
  <c r="O90" i="85"/>
  <c r="H90" i="85"/>
  <c r="R89" i="85"/>
  <c r="Q89" i="85"/>
  <c r="O89" i="85"/>
  <c r="H89" i="85"/>
  <c r="R88" i="85"/>
  <c r="P88" i="85" s="1"/>
  <c r="Q88" i="85"/>
  <c r="O88" i="85"/>
  <c r="H88" i="85"/>
  <c r="R87" i="85"/>
  <c r="P87" i="85" s="1"/>
  <c r="Q87" i="85"/>
  <c r="O87" i="85"/>
  <c r="H87" i="85"/>
  <c r="B87" i="85"/>
  <c r="R86" i="85"/>
  <c r="Q86" i="85"/>
  <c r="O86" i="85"/>
  <c r="H86" i="85"/>
  <c r="R85" i="85"/>
  <c r="Q85" i="85"/>
  <c r="O85" i="85"/>
  <c r="P85" i="85" s="1"/>
  <c r="H85" i="85"/>
  <c r="B85" i="85"/>
  <c r="R84" i="85"/>
  <c r="Q84" i="85"/>
  <c r="O84" i="85"/>
  <c r="P84" i="85" s="1"/>
  <c r="H84" i="85"/>
  <c r="R83" i="85"/>
  <c r="Q83" i="85"/>
  <c r="O83" i="85"/>
  <c r="H83" i="85"/>
  <c r="B83" i="85"/>
  <c r="R82" i="85"/>
  <c r="Q82" i="85"/>
  <c r="O82" i="85"/>
  <c r="H82" i="85"/>
  <c r="B82" i="85"/>
  <c r="R81" i="85"/>
  <c r="P81" i="85" s="1"/>
  <c r="Q81" i="85"/>
  <c r="O81" i="85"/>
  <c r="H81" i="85"/>
  <c r="B81" i="85"/>
  <c r="R80" i="85"/>
  <c r="Q80" i="85"/>
  <c r="O80" i="85"/>
  <c r="P80" i="85" s="1"/>
  <c r="H80" i="85"/>
  <c r="B80" i="85"/>
  <c r="R79" i="85"/>
  <c r="Q79" i="85"/>
  <c r="O79" i="85"/>
  <c r="P79" i="85" s="1"/>
  <c r="AA2" i="85" s="1"/>
  <c r="H79" i="85"/>
  <c r="B79" i="85"/>
  <c r="B78" i="85"/>
  <c r="B77" i="85"/>
  <c r="B76" i="85"/>
  <c r="B75" i="85"/>
  <c r="O74" i="85"/>
  <c r="B74" i="85"/>
  <c r="AF73" i="85"/>
  <c r="B343" i="85" s="1"/>
  <c r="AE73" i="85" a="1"/>
  <c r="AE73" i="85" s="1"/>
  <c r="B313" i="85" s="1"/>
  <c r="AD73" i="85" a="1"/>
  <c r="AD73" i="85" s="1"/>
  <c r="B283" i="85" s="1"/>
  <c r="O73" i="85"/>
  <c r="P73" i="85" s="1"/>
  <c r="AJ25" i="85" s="1"/>
  <c r="AK25" i="85" s="1"/>
  <c r="B73" i="85"/>
  <c r="AF72" i="85"/>
  <c r="B342" i="85" s="1"/>
  <c r="AE72" i="85" a="1"/>
  <c r="AE72" i="85" s="1"/>
  <c r="B312" i="85" s="1"/>
  <c r="AD72" i="85" a="1"/>
  <c r="AD72" i="85" s="1"/>
  <c r="B282" i="85" s="1"/>
  <c r="O72" i="85"/>
  <c r="P72" i="85" s="1"/>
  <c r="B72" i="85"/>
  <c r="AF71" i="85"/>
  <c r="B341" i="85" s="1"/>
  <c r="AE71" i="85" a="1"/>
  <c r="AE71" i="85" s="1"/>
  <c r="B311" i="85" s="1"/>
  <c r="AD71" i="85" a="1"/>
  <c r="AD71" i="85" s="1"/>
  <c r="B281" i="85" s="1"/>
  <c r="B71" i="85"/>
  <c r="AF70" i="85"/>
  <c r="B340" i="85" s="1"/>
  <c r="AE70" i="85" a="1"/>
  <c r="AE70" i="85" s="1"/>
  <c r="B310" i="85" s="1"/>
  <c r="AD70" i="85"/>
  <c r="B280" i="85" s="1"/>
  <c r="AD70" i="85" a="1"/>
  <c r="B70" i="85"/>
  <c r="AF69" i="85"/>
  <c r="B339" i="85" s="1"/>
  <c r="AE69" i="85" a="1"/>
  <c r="AE69" i="85" s="1"/>
  <c r="B309" i="85" s="1"/>
  <c r="AD69" i="85"/>
  <c r="B279" i="85" s="1"/>
  <c r="AD69" i="85" a="1"/>
  <c r="V69" i="85"/>
  <c r="O69" i="85"/>
  <c r="P69" i="85" s="1"/>
  <c r="B69" i="85"/>
  <c r="AF68" i="85"/>
  <c r="B338" i="85" s="1"/>
  <c r="AE68" i="85" a="1"/>
  <c r="AE68" i="85" s="1"/>
  <c r="B308" i="85" s="1"/>
  <c r="AD68" i="85" a="1"/>
  <c r="AD68" i="85" s="1"/>
  <c r="B278" i="85" s="1"/>
  <c r="V68" i="85"/>
  <c r="O68" i="85"/>
  <c r="P68" i="85" s="1"/>
  <c r="B48" i="85" s="1"/>
  <c r="B68" i="85"/>
  <c r="AF67" i="85"/>
  <c r="B337" i="85" s="1"/>
  <c r="AE67" i="85" a="1"/>
  <c r="AE67" i="85" s="1"/>
  <c r="B307" i="85" s="1"/>
  <c r="AD67" i="85"/>
  <c r="B277" i="85" s="1"/>
  <c r="AD67" i="85" a="1"/>
  <c r="V67" i="85"/>
  <c r="O67" i="85"/>
  <c r="P67" i="85" s="1"/>
  <c r="B67" i="85"/>
  <c r="AF66" i="85"/>
  <c r="B336" i="85" s="1"/>
  <c r="AE66" i="85" a="1"/>
  <c r="AE66" i="85" s="1"/>
  <c r="B306" i="85" s="1"/>
  <c r="AD66" i="85"/>
  <c r="B276" i="85" s="1"/>
  <c r="AD66" i="85" a="1"/>
  <c r="V66" i="85"/>
  <c r="O66" i="85"/>
  <c r="P66" i="85" s="1"/>
  <c r="B66" i="85"/>
  <c r="AF65" i="85"/>
  <c r="AE65" i="85" a="1"/>
  <c r="AE65" i="85" s="1"/>
  <c r="B305" i="85" s="1"/>
  <c r="AD65" i="85"/>
  <c r="B275" i="85" s="1"/>
  <c r="AD65" i="85" a="1"/>
  <c r="V65" i="85"/>
  <c r="B45" i="85" s="1"/>
  <c r="P65" i="85"/>
  <c r="O65" i="85"/>
  <c r="B65" i="85"/>
  <c r="AF64" i="85"/>
  <c r="B334" i="85" s="1"/>
  <c r="AE64" i="85" a="1"/>
  <c r="AE64" i="85" s="1"/>
  <c r="B304" i="85" s="1"/>
  <c r="AD64" i="85" a="1"/>
  <c r="AD64" i="85" s="1"/>
  <c r="B274" i="85" s="1"/>
  <c r="V64" i="85"/>
  <c r="O64" i="85"/>
  <c r="P64" i="85" s="1"/>
  <c r="B64" i="85"/>
  <c r="AF63" i="85"/>
  <c r="B333" i="85" s="1"/>
  <c r="AE63" i="85" a="1"/>
  <c r="AE63" i="85" s="1"/>
  <c r="B303" i="85" s="1"/>
  <c r="AD63" i="85" a="1"/>
  <c r="AD63" i="85" s="1"/>
  <c r="B273" i="85" s="1"/>
  <c r="V63" i="85"/>
  <c r="O63" i="85"/>
  <c r="P63" i="85" s="1"/>
  <c r="B63" i="85"/>
  <c r="AF62" i="85"/>
  <c r="B332" i="85" s="1"/>
  <c r="AE62" i="85" a="1"/>
  <c r="AE62" i="85" s="1"/>
  <c r="B302" i="85" s="1"/>
  <c r="AD62" i="85" a="1"/>
  <c r="AD62" i="85" s="1"/>
  <c r="B272" i="85" s="1"/>
  <c r="V62" i="85"/>
  <c r="O62" i="85"/>
  <c r="P62" i="85" s="1"/>
  <c r="B62" i="85"/>
  <c r="AF61" i="85"/>
  <c r="B331" i="85" s="1"/>
  <c r="AE61" i="85" a="1"/>
  <c r="AE61" i="85" s="1"/>
  <c r="B301" i="85" s="1"/>
  <c r="AD61" i="85"/>
  <c r="B271" i="85" s="1"/>
  <c r="AD61" i="85" a="1"/>
  <c r="B61" i="85"/>
  <c r="AF60" i="85"/>
  <c r="B330" i="85" s="1"/>
  <c r="AE60" i="85" a="1"/>
  <c r="AE60" i="85" s="1"/>
  <c r="B300" i="85" s="1"/>
  <c r="AD60" i="85"/>
  <c r="B270" i="85" s="1"/>
  <c r="AD60" i="85" a="1"/>
  <c r="B60" i="85"/>
  <c r="AF59" i="85"/>
  <c r="B329" i="85" s="1"/>
  <c r="AE59" i="85" a="1"/>
  <c r="AE59" i="85" s="1"/>
  <c r="B299" i="85" s="1"/>
  <c r="AD59" i="85"/>
  <c r="B269" i="85" s="1"/>
  <c r="AD59" i="85" a="1"/>
  <c r="V59" i="85"/>
  <c r="O59" i="85"/>
  <c r="P59" i="85" s="1"/>
  <c r="AF58" i="85"/>
  <c r="B328" i="85" s="1"/>
  <c r="AE58" i="85" a="1"/>
  <c r="AE58" i="85" s="1"/>
  <c r="B298" i="85" s="1"/>
  <c r="AD58" i="85" a="1"/>
  <c r="AD58" i="85" s="1"/>
  <c r="B268" i="85" s="1"/>
  <c r="V58" i="85"/>
  <c r="O58" i="85"/>
  <c r="P58" i="85" s="1"/>
  <c r="AF57" i="85"/>
  <c r="B327" i="85" s="1"/>
  <c r="AE57" i="85" a="1"/>
  <c r="AE57" i="85" s="1"/>
  <c r="B297" i="85" s="1"/>
  <c r="AD57" i="85" a="1"/>
  <c r="AD57" i="85" s="1"/>
  <c r="B267" i="85" s="1"/>
  <c r="V57" i="85"/>
  <c r="O57" i="85"/>
  <c r="P57" i="85" s="1"/>
  <c r="AF56" i="85"/>
  <c r="B326" i="85" s="1"/>
  <c r="AE56" i="85" a="1"/>
  <c r="AE56" i="85" s="1"/>
  <c r="B296" i="85" s="1"/>
  <c r="AD56" i="85" a="1"/>
  <c r="AD56" i="85" s="1"/>
  <c r="B266" i="85" s="1"/>
  <c r="V56" i="85"/>
  <c r="O56" i="85"/>
  <c r="P56" i="85" s="1"/>
  <c r="B38" i="85" s="1"/>
  <c r="AF55" i="85"/>
  <c r="B325" i="85" s="1"/>
  <c r="AE55" i="85" a="1"/>
  <c r="AE55" i="85" s="1"/>
  <c r="B295" i="85" s="1"/>
  <c r="AD55" i="85"/>
  <c r="B265" i="85" s="1"/>
  <c r="AD55" i="85" a="1"/>
  <c r="V55" i="85"/>
  <c r="O55" i="85"/>
  <c r="P55" i="85" s="1"/>
  <c r="AF54" i="85"/>
  <c r="B324" i="85" s="1"/>
  <c r="AE54" i="85" a="1"/>
  <c r="AE54" i="85" s="1"/>
  <c r="B294" i="85" s="1"/>
  <c r="AD54" i="85"/>
  <c r="B264" i="85" s="1"/>
  <c r="AD54" i="85" a="1"/>
  <c r="V54" i="85"/>
  <c r="O54" i="85"/>
  <c r="P54" i="85" s="1"/>
  <c r="AF53" i="85"/>
  <c r="B323" i="85" s="1"/>
  <c r="AE53" i="85" a="1"/>
  <c r="AE53" i="85" s="1"/>
  <c r="B293" i="85" s="1"/>
  <c r="AD53" i="85"/>
  <c r="B263" i="85" s="1"/>
  <c r="AD53" i="85" a="1"/>
  <c r="V53" i="85"/>
  <c r="B35" i="85" s="1"/>
  <c r="P53" i="85"/>
  <c r="O53" i="85"/>
  <c r="AF52" i="85"/>
  <c r="B322" i="85" s="1"/>
  <c r="AE52" i="85" a="1"/>
  <c r="AE52" i="85" s="1"/>
  <c r="B292" i="85" s="1"/>
  <c r="AD52" i="85" a="1"/>
  <c r="AD52" i="85" s="1"/>
  <c r="B262" i="85" s="1"/>
  <c r="V52" i="85"/>
  <c r="O52" i="85"/>
  <c r="P52" i="85" s="1"/>
  <c r="B34" i="85" s="1"/>
  <c r="AF51" i="85"/>
  <c r="B321" i="85" s="1"/>
  <c r="AE51" i="85" a="1"/>
  <c r="AE51" i="85" s="1"/>
  <c r="B291" i="85" s="1"/>
  <c r="AD51" i="85"/>
  <c r="B261" i="85" s="1"/>
  <c r="AD51" i="85" a="1"/>
  <c r="AF50" i="85"/>
  <c r="B320" i="85" s="1"/>
  <c r="AE50" i="85" a="1"/>
  <c r="AE50" i="85" s="1"/>
  <c r="B290" i="85" s="1"/>
  <c r="AD50" i="85"/>
  <c r="B260" i="85" s="1"/>
  <c r="AD50" i="85" a="1"/>
  <c r="AF49" i="85"/>
  <c r="AE49" i="85" a="1"/>
  <c r="AE49" i="85" s="1"/>
  <c r="B289" i="85" s="1"/>
  <c r="AD49" i="85" a="1"/>
  <c r="AD49" i="85" s="1"/>
  <c r="B259" i="85" s="1"/>
  <c r="V49" i="85"/>
  <c r="O49" i="85"/>
  <c r="P49" i="85" s="1"/>
  <c r="V48" i="85"/>
  <c r="P48" i="85"/>
  <c r="B32" i="85" s="1"/>
  <c r="O48" i="85"/>
  <c r="V47" i="85"/>
  <c r="O47" i="85"/>
  <c r="P47" i="85" s="1"/>
  <c r="V46" i="85"/>
  <c r="O46" i="85"/>
  <c r="P46" i="85" s="1"/>
  <c r="V45" i="85"/>
  <c r="P45" i="85"/>
  <c r="AJ28" i="85" s="1"/>
  <c r="AK28" i="85" s="1"/>
  <c r="O45" i="85"/>
  <c r="V44" i="85"/>
  <c r="O44" i="85"/>
  <c r="P44" i="85" s="1"/>
  <c r="AJ12" i="85" s="1"/>
  <c r="AK12" i="85" s="1"/>
  <c r="V43" i="85"/>
  <c r="O43" i="85"/>
  <c r="P43" i="85" s="1"/>
  <c r="V42" i="85"/>
  <c r="O42" i="85"/>
  <c r="P42" i="85" s="1"/>
  <c r="B26" i="85" s="1"/>
  <c r="AA41" i="85"/>
  <c r="Z41" i="85" s="1"/>
  <c r="AA40" i="85"/>
  <c r="Z40" i="85" s="1"/>
  <c r="N9" i="85"/>
  <c r="AA39" i="85"/>
  <c r="Z39" i="85" s="1"/>
  <c r="AA38" i="85"/>
  <c r="Z38" i="85" s="1"/>
  <c r="V38" i="85"/>
  <c r="P38" i="85"/>
  <c r="B25" i="85" s="1"/>
  <c r="O38" i="85"/>
  <c r="AA37" i="85"/>
  <c r="Z37" i="85" s="1"/>
  <c r="V37" i="85"/>
  <c r="O37" i="85"/>
  <c r="P37" i="85"/>
  <c r="AJ31" i="85" s="1"/>
  <c r="AK31" i="85" s="1"/>
  <c r="AA36" i="85"/>
  <c r="Z36" i="85" s="1"/>
  <c r="V36" i="85"/>
  <c r="O36" i="85"/>
  <c r="P36" i="85" s="1"/>
  <c r="AA35" i="85"/>
  <c r="Z35" i="85" s="1"/>
  <c r="AA34" i="85"/>
  <c r="Z34" i="85" s="1"/>
  <c r="AA33" i="85"/>
  <c r="Z33" i="85" s="1"/>
  <c r="O33" i="85"/>
  <c r="AA32" i="85"/>
  <c r="Z32" i="85" s="1"/>
  <c r="V32" i="85"/>
  <c r="O32" i="85"/>
  <c r="P32" i="85" s="1"/>
  <c r="B21" i="85" s="1"/>
  <c r="AF31" i="85"/>
  <c r="B174" i="85" s="1"/>
  <c r="AD31" i="85"/>
  <c r="B144" i="85" s="1"/>
  <c r="AA31" i="85"/>
  <c r="Z31" i="85" s="1"/>
  <c r="O31" i="85"/>
  <c r="P31" i="85" s="1"/>
  <c r="AF30" i="85"/>
  <c r="B173" i="85" s="1"/>
  <c r="AD30" i="85"/>
  <c r="B143" i="85" s="1"/>
  <c r="AA30" i="85"/>
  <c r="Z30" i="85" s="1"/>
  <c r="AJ29" i="85"/>
  <c r="AK29" i="85" s="1"/>
  <c r="AF29" i="85"/>
  <c r="B172" i="85" s="1"/>
  <c r="AD29" i="85"/>
  <c r="B142" i="85" s="1"/>
  <c r="AA29" i="85"/>
  <c r="Z29" i="85" s="1"/>
  <c r="B29" i="85"/>
  <c r="AF28" i="85"/>
  <c r="B171" i="85" s="1"/>
  <c r="AD28" i="85"/>
  <c r="B141" i="85" s="1"/>
  <c r="AA28" i="85"/>
  <c r="Z28" i="85" s="1"/>
  <c r="V28" i="85"/>
  <c r="O28" i="85"/>
  <c r="P28" i="85"/>
  <c r="M74" i="85" s="1"/>
  <c r="AJ27" i="85"/>
  <c r="AK27" i="85" s="1"/>
  <c r="AF27" i="85"/>
  <c r="B170" i="85" s="1"/>
  <c r="AD27" i="85"/>
  <c r="B140" i="85" s="1"/>
  <c r="AA27" i="85"/>
  <c r="Z27" i="85" s="1"/>
  <c r="V27" i="85"/>
  <c r="O27" i="85"/>
  <c r="P27" i="85" s="1"/>
  <c r="AJ58" i="85" s="1"/>
  <c r="AK58" i="85" s="1"/>
  <c r="AF26" i="85"/>
  <c r="B169" i="85" s="1"/>
  <c r="AD26" i="85"/>
  <c r="B139" i="85" s="1"/>
  <c r="AA26" i="85"/>
  <c r="Z26" i="85" s="1"/>
  <c r="V26" i="85"/>
  <c r="O26" i="85"/>
  <c r="P26" i="85" s="1"/>
  <c r="AF25" i="85"/>
  <c r="B168" i="85" s="1"/>
  <c r="AD25" i="85"/>
  <c r="B138" i="85" s="1"/>
  <c r="AA25" i="85"/>
  <c r="Z25" i="85" s="1"/>
  <c r="AF24" i="85"/>
  <c r="B167" i="85" s="1"/>
  <c r="AD24" i="85"/>
  <c r="B137" i="85" s="1"/>
  <c r="AA24" i="85"/>
  <c r="Z24" i="85" s="1"/>
  <c r="AF23" i="85"/>
  <c r="B166" i="85" s="1"/>
  <c r="AD23" i="85"/>
  <c r="B136" i="85" s="1"/>
  <c r="AA23" i="85"/>
  <c r="Z23" i="85" s="1"/>
  <c r="N23" i="85"/>
  <c r="N8" i="85" s="1"/>
  <c r="AF22" i="85"/>
  <c r="B165" i="85" s="1"/>
  <c r="AD22" i="85"/>
  <c r="B135" i="85" s="1"/>
  <c r="AA22" i="85"/>
  <c r="Z22" i="85" s="1"/>
  <c r="AJ21" i="85"/>
  <c r="AK21" i="85" s="1"/>
  <c r="AF21" i="85"/>
  <c r="B164" i="85" s="1"/>
  <c r="AD21" i="85"/>
  <c r="B134" i="85" s="1"/>
  <c r="AA21" i="85"/>
  <c r="N21" i="85"/>
  <c r="AF20" i="85"/>
  <c r="B163" i="85" s="1"/>
  <c r="AD20" i="85"/>
  <c r="B133" i="85" s="1"/>
  <c r="AA20" i="85"/>
  <c r="N20" i="85"/>
  <c r="AF19" i="85"/>
  <c r="B162" i="85" s="1"/>
  <c r="AD19" i="85"/>
  <c r="B132" i="85" s="1"/>
  <c r="AA19" i="85"/>
  <c r="N19" i="85"/>
  <c r="AF18" i="85"/>
  <c r="B161" i="85" s="1"/>
  <c r="AD18" i="85"/>
  <c r="B131" i="85" s="1"/>
  <c r="AA18" i="85"/>
  <c r="N18" i="85"/>
  <c r="AF17" i="85"/>
  <c r="B160" i="85" s="1"/>
  <c r="AD17" i="85"/>
  <c r="B130" i="85" s="1"/>
  <c r="AA17" i="85"/>
  <c r="N17" i="85"/>
  <c r="N16" i="85" s="1"/>
  <c r="N5" i="85" s="1"/>
  <c r="AF16" i="85"/>
  <c r="B159" i="85" s="1"/>
  <c r="AD16" i="85"/>
  <c r="B129" i="85" s="1"/>
  <c r="AA16" i="85"/>
  <c r="B16" i="85"/>
  <c r="AF15" i="85"/>
  <c r="B158" i="85" s="1"/>
  <c r="AD15" i="85"/>
  <c r="B128" i="85" s="1"/>
  <c r="AA15" i="85"/>
  <c r="B15" i="85"/>
  <c r="AF14" i="85"/>
  <c r="B157" i="85" s="1"/>
  <c r="AD14" i="85"/>
  <c r="B127" i="85" s="1"/>
  <c r="AA14" i="85"/>
  <c r="B14" i="85"/>
  <c r="AF13" i="85"/>
  <c r="B156" i="85" s="1"/>
  <c r="AD13" i="85"/>
  <c r="B126" i="85" s="1"/>
  <c r="AA13" i="85"/>
  <c r="AF12" i="85"/>
  <c r="B155" i="85" s="1"/>
  <c r="AD12" i="85"/>
  <c r="B125" i="85" s="1"/>
  <c r="AA12" i="85"/>
  <c r="N12" i="85"/>
  <c r="B12" i="85"/>
  <c r="B13" i="85" s="1"/>
  <c r="AA11" i="85"/>
  <c r="N11" i="85"/>
  <c r="B11" i="85"/>
  <c r="AA10" i="85"/>
  <c r="N10" i="85"/>
  <c r="AA9" i="85"/>
  <c r="B9" i="85"/>
  <c r="B10" i="85" s="1"/>
  <c r="AJ8" i="85"/>
  <c r="AK8" i="85" s="1"/>
  <c r="AA8" i="85"/>
  <c r="G8" i="85"/>
  <c r="D8" i="85"/>
  <c r="B8" i="85"/>
  <c r="AA7" i="85"/>
  <c r="D7" i="85"/>
  <c r="B7" i="85"/>
  <c r="B6" i="85"/>
  <c r="AJ5" i="85"/>
  <c r="AK5" i="85" s="1"/>
  <c r="B5" i="85"/>
  <c r="AA4" i="85"/>
  <c r="N4" i="85"/>
  <c r="AA3" i="85"/>
  <c r="AJ2" i="85"/>
  <c r="AK2" i="85" s="1"/>
  <c r="B2" i="85"/>
  <c r="M124" i="84"/>
  <c r="P124" i="84" s="1"/>
  <c r="B84" i="84" s="1"/>
  <c r="L61" i="84"/>
  <c r="L51" i="84"/>
  <c r="L41" i="84"/>
  <c r="L35" i="84"/>
  <c r="L30" i="84"/>
  <c r="L25" i="84"/>
  <c r="G8" i="84"/>
  <c r="M218" i="84"/>
  <c r="P218" i="84" s="1"/>
  <c r="B354" i="84" s="1"/>
  <c r="L164" i="84"/>
  <c r="N163" i="84"/>
  <c r="L78" i="84"/>
  <c r="N77" i="84"/>
  <c r="N71" i="84"/>
  <c r="N40" i="84"/>
  <c r="B364" i="84"/>
  <c r="B363" i="84"/>
  <c r="B362" i="84"/>
  <c r="B361" i="84"/>
  <c r="B360" i="84"/>
  <c r="B359" i="84"/>
  <c r="B358" i="84"/>
  <c r="B357" i="84"/>
  <c r="B334" i="84"/>
  <c r="E281" i="84"/>
  <c r="E282" i="84" s="1"/>
  <c r="E283" i="84" s="1"/>
  <c r="E284" i="84" s="1"/>
  <c r="E285" i="84" s="1"/>
  <c r="E286" i="84" s="1"/>
  <c r="E287" i="84" s="1"/>
  <c r="E288" i="84" s="1"/>
  <c r="E289" i="84" s="1"/>
  <c r="E290" i="84" s="1"/>
  <c r="E291" i="84" s="1"/>
  <c r="E292" i="84" s="1"/>
  <c r="E293" i="84" s="1"/>
  <c r="E294" i="84" s="1"/>
  <c r="E295" i="84" s="1"/>
  <c r="E296" i="84" s="1"/>
  <c r="E297" i="84" s="1"/>
  <c r="E298" i="84" s="1"/>
  <c r="E299" i="84" s="1"/>
  <c r="E300" i="84" s="1"/>
  <c r="E301" i="84" s="1"/>
  <c r="E302" i="84" s="1"/>
  <c r="E303" i="84" s="1"/>
  <c r="E304" i="84" s="1"/>
  <c r="E305" i="84" s="1"/>
  <c r="E306" i="84" s="1"/>
  <c r="E307" i="84" s="1"/>
  <c r="E308" i="84" s="1"/>
  <c r="E309" i="84" s="1"/>
  <c r="E310" i="84" s="1"/>
  <c r="E311" i="84" s="1"/>
  <c r="E312" i="84" s="1"/>
  <c r="E313" i="84" s="1"/>
  <c r="E314" i="84" s="1"/>
  <c r="E315" i="84" s="1"/>
  <c r="E316" i="84" s="1"/>
  <c r="H238" i="84"/>
  <c r="H237" i="84"/>
  <c r="H236" i="84"/>
  <c r="F234" i="84"/>
  <c r="H234" i="84" s="1"/>
  <c r="B216" i="84"/>
  <c r="R215" i="84"/>
  <c r="Q215" i="84"/>
  <c r="O215" i="84"/>
  <c r="P215" i="84" s="1"/>
  <c r="H215" i="84"/>
  <c r="G215" i="84"/>
  <c r="B215" i="84"/>
  <c r="R214" i="84"/>
  <c r="Q214" i="84"/>
  <c r="O214" i="84"/>
  <c r="H214" i="84"/>
  <c r="G214" i="84"/>
  <c r="B214" i="84"/>
  <c r="R213" i="84"/>
  <c r="Q213" i="84"/>
  <c r="P213" i="84"/>
  <c r="O213" i="84"/>
  <c r="H213" i="84"/>
  <c r="G213" i="84"/>
  <c r="B213" i="84"/>
  <c r="R212" i="84"/>
  <c r="Q212" i="84"/>
  <c r="O212" i="84"/>
  <c r="P212" i="84" s="1"/>
  <c r="H212" i="84"/>
  <c r="G212" i="84"/>
  <c r="B212" i="84"/>
  <c r="R211" i="84"/>
  <c r="Q211" i="84"/>
  <c r="O211" i="84"/>
  <c r="H211" i="84"/>
  <c r="G211" i="84"/>
  <c r="B211" i="84"/>
  <c r="R210" i="84"/>
  <c r="P210" i="84" s="1"/>
  <c r="Q210" i="84"/>
  <c r="O210" i="84"/>
  <c r="H210" i="84"/>
  <c r="G210" i="84"/>
  <c r="B210" i="84"/>
  <c r="R209" i="84"/>
  <c r="Q209" i="84"/>
  <c r="O209" i="84"/>
  <c r="P209" i="84" s="1"/>
  <c r="H209" i="84"/>
  <c r="G209" i="84"/>
  <c r="B209" i="84"/>
  <c r="R208" i="84"/>
  <c r="Q208" i="84"/>
  <c r="P208" i="84"/>
  <c r="O208" i="84"/>
  <c r="H208" i="84"/>
  <c r="G208" i="84"/>
  <c r="B208" i="84"/>
  <c r="R207" i="84"/>
  <c r="Q207" i="84"/>
  <c r="O207" i="84"/>
  <c r="H207" i="84"/>
  <c r="G207" i="84"/>
  <c r="B207" i="84"/>
  <c r="R206" i="84"/>
  <c r="Q206" i="84"/>
  <c r="O206" i="84"/>
  <c r="P206" i="84" s="1"/>
  <c r="H206" i="84"/>
  <c r="G206" i="84"/>
  <c r="B206" i="84"/>
  <c r="B205" i="84"/>
  <c r="B204" i="84"/>
  <c r="R203" i="84"/>
  <c r="O203" i="84"/>
  <c r="G203" i="84"/>
  <c r="B203" i="84"/>
  <c r="R202" i="84"/>
  <c r="O202" i="84"/>
  <c r="G202" i="84"/>
  <c r="B202" i="84"/>
  <c r="R201" i="84"/>
  <c r="O201" i="84"/>
  <c r="P201" i="84" s="1"/>
  <c r="AA119" i="84" s="1"/>
  <c r="G201" i="84"/>
  <c r="B201" i="84"/>
  <c r="R200" i="84"/>
  <c r="P200" i="84"/>
  <c r="O200" i="84"/>
  <c r="G200" i="84"/>
  <c r="R199" i="84"/>
  <c r="P199" i="84" s="1"/>
  <c r="AA117" i="84" s="1"/>
  <c r="O199" i="84"/>
  <c r="G199" i="84"/>
  <c r="R198" i="84"/>
  <c r="O198" i="84"/>
  <c r="P198" i="84" s="1"/>
  <c r="AA116" i="84" s="1"/>
  <c r="G198" i="84"/>
  <c r="R197" i="84"/>
  <c r="O197" i="84"/>
  <c r="P197" i="84" s="1"/>
  <c r="AA115" i="84" s="1"/>
  <c r="G197" i="84"/>
  <c r="R196" i="84"/>
  <c r="P196" i="84"/>
  <c r="O196" i="84"/>
  <c r="G196" i="84"/>
  <c r="B196" i="84"/>
  <c r="R195" i="84"/>
  <c r="P195" i="84" s="1"/>
  <c r="AA113" i="84" s="1"/>
  <c r="O195" i="84"/>
  <c r="G195" i="84"/>
  <c r="Z113" i="84" s="1"/>
  <c r="B195" i="84"/>
  <c r="R194" i="84"/>
  <c r="P194" i="84" s="1"/>
  <c r="AA112" i="84" s="1"/>
  <c r="O194" i="84"/>
  <c r="G194" i="84"/>
  <c r="B194" i="84"/>
  <c r="B193" i="84"/>
  <c r="B192" i="84"/>
  <c r="O191" i="84"/>
  <c r="B191" i="84"/>
  <c r="O190" i="84"/>
  <c r="B190" i="84"/>
  <c r="O189" i="84"/>
  <c r="B189" i="84"/>
  <c r="O188" i="84"/>
  <c r="B188" i="84"/>
  <c r="O187" i="84"/>
  <c r="B187" i="84"/>
  <c r="B186" i="84"/>
  <c r="O185" i="84"/>
  <c r="P185" i="84" s="1"/>
  <c r="I185" i="84"/>
  <c r="M191" i="84" s="1"/>
  <c r="B185" i="84"/>
  <c r="O184" i="84"/>
  <c r="P184" i="84" s="1"/>
  <c r="L193" i="84" s="1"/>
  <c r="I184" i="84"/>
  <c r="M190" i="84" s="1"/>
  <c r="B184" i="84"/>
  <c r="B183" i="84"/>
  <c r="B182" i="84"/>
  <c r="R181" i="84"/>
  <c r="O181" i="84"/>
  <c r="P181" i="84" s="1"/>
  <c r="AA86" i="84" s="1"/>
  <c r="H181" i="84"/>
  <c r="B181" i="84"/>
  <c r="R180" i="84"/>
  <c r="O180" i="84"/>
  <c r="P180" i="84" s="1"/>
  <c r="H180" i="84"/>
  <c r="R179" i="84"/>
  <c r="O179" i="84"/>
  <c r="H179" i="84"/>
  <c r="R178" i="84"/>
  <c r="P178" i="84" s="1"/>
  <c r="AA83" i="84" s="1"/>
  <c r="O178" i="84"/>
  <c r="H178" i="84"/>
  <c r="R177" i="84"/>
  <c r="O177" i="84"/>
  <c r="H177" i="84"/>
  <c r="I164" i="84"/>
  <c r="H164" i="84"/>
  <c r="G164" i="84"/>
  <c r="F164" i="84"/>
  <c r="P161" i="84"/>
  <c r="O161" i="84"/>
  <c r="P160" i="84"/>
  <c r="AE155" i="84" s="1"/>
  <c r="O160" i="84"/>
  <c r="R157" i="84"/>
  <c r="Q157" i="84"/>
  <c r="O157" i="84"/>
  <c r="H157" i="84"/>
  <c r="R156" i="84"/>
  <c r="P156" i="84" s="1"/>
  <c r="Q156" i="84"/>
  <c r="O156" i="84"/>
  <c r="H156" i="84"/>
  <c r="R155" i="84"/>
  <c r="Q155" i="84"/>
  <c r="O155" i="84"/>
  <c r="H155" i="84"/>
  <c r="R154" i="84"/>
  <c r="Q154" i="84"/>
  <c r="O154" i="84"/>
  <c r="P154" i="84" s="1"/>
  <c r="H154" i="84"/>
  <c r="AF153" i="84" a="1"/>
  <c r="AF153" i="84" s="1"/>
  <c r="B236" i="84" s="1"/>
  <c r="AE153" i="84"/>
  <c r="R153" i="84"/>
  <c r="Q153" i="84"/>
  <c r="O153" i="84"/>
  <c r="P153" i="84" s="1"/>
  <c r="H153" i="84"/>
  <c r="B153" i="84"/>
  <c r="AF152" i="84" a="1"/>
  <c r="AF152" i="84" s="1"/>
  <c r="B235" i="84" s="1"/>
  <c r="AE152" i="84"/>
  <c r="R152" i="84"/>
  <c r="Q152" i="84"/>
  <c r="O152" i="84"/>
  <c r="P152" i="84" s="1"/>
  <c r="H152" i="84"/>
  <c r="AF151" i="84" a="1"/>
  <c r="AF151" i="84" s="1"/>
  <c r="B234" i="84" s="1"/>
  <c r="AE151" i="84"/>
  <c r="R151" i="84"/>
  <c r="Q151" i="84"/>
  <c r="O151" i="84"/>
  <c r="H151" i="84"/>
  <c r="B151" i="84"/>
  <c r="AF150" i="84" a="1"/>
  <c r="AF150" i="84" s="1"/>
  <c r="B233" i="84" s="1"/>
  <c r="AE150" i="84"/>
  <c r="R150" i="84"/>
  <c r="Q150" i="84"/>
  <c r="O150" i="84"/>
  <c r="P150" i="84" s="1"/>
  <c r="H150" i="84"/>
  <c r="AF149" i="84" a="1"/>
  <c r="AF149" i="84" s="1"/>
  <c r="B232" i="84" s="1"/>
  <c r="AE149" i="84"/>
  <c r="R149" i="84"/>
  <c r="Q149" i="84"/>
  <c r="O149" i="84"/>
  <c r="P149" i="84" s="1"/>
  <c r="H149" i="84"/>
  <c r="AF148" i="84" a="1"/>
  <c r="AF148" i="84" s="1"/>
  <c r="B231" i="84" s="1"/>
  <c r="AE148" i="84"/>
  <c r="R148" i="84"/>
  <c r="Q148" i="84"/>
  <c r="O148" i="84"/>
  <c r="H148" i="84"/>
  <c r="AF147" i="84" a="1"/>
  <c r="AF147" i="84" s="1"/>
  <c r="B230" i="84" s="1"/>
  <c r="AE147" i="84"/>
  <c r="R147" i="84"/>
  <c r="Q147" i="84"/>
  <c r="O147" i="84"/>
  <c r="H147" i="84"/>
  <c r="AF146" i="84" a="1"/>
  <c r="AF146" i="84" s="1"/>
  <c r="B229" i="84" s="1"/>
  <c r="AE146" i="84"/>
  <c r="R146" i="84"/>
  <c r="Q146" i="84"/>
  <c r="O146" i="84"/>
  <c r="H146" i="84"/>
  <c r="AF145" i="84" a="1"/>
  <c r="AF145" i="84" s="1"/>
  <c r="B228" i="84" s="1"/>
  <c r="AE145" i="84"/>
  <c r="R145" i="84"/>
  <c r="Q145" i="84"/>
  <c r="O145" i="84"/>
  <c r="P145" i="84" s="1"/>
  <c r="H145" i="84"/>
  <c r="AF144" i="84" a="1"/>
  <c r="AF144" i="84" s="1"/>
  <c r="B227" i="84" s="1"/>
  <c r="AE144" i="84"/>
  <c r="R144" i="84"/>
  <c r="Q144" i="84"/>
  <c r="O144" i="84"/>
  <c r="P144" i="84" s="1"/>
  <c r="H144" i="84"/>
  <c r="AF143" i="84" a="1"/>
  <c r="AF143" i="84" s="1"/>
  <c r="B226" i="84" s="1"/>
  <c r="AE143" i="84"/>
  <c r="R143" i="84"/>
  <c r="Q143" i="84"/>
  <c r="O143" i="84"/>
  <c r="P143" i="84" s="1"/>
  <c r="H143" i="84"/>
  <c r="AF142" i="84" a="1"/>
  <c r="AF142" i="84" s="1"/>
  <c r="B225" i="84" s="1"/>
  <c r="AE142" i="84"/>
  <c r="R142" i="84"/>
  <c r="Q142" i="84"/>
  <c r="O142" i="84"/>
  <c r="P142" i="84" s="1"/>
  <c r="H142" i="84"/>
  <c r="AF141" i="84" a="1"/>
  <c r="AF141" i="84" s="1"/>
  <c r="B224" i="84" s="1"/>
  <c r="AE141" i="84"/>
  <c r="R141" i="84"/>
  <c r="Q141" i="84"/>
  <c r="O141" i="84"/>
  <c r="H141" i="84"/>
  <c r="AF140" i="84" a="1"/>
  <c r="AF140" i="84" s="1"/>
  <c r="B223" i="84" s="1"/>
  <c r="AE140" i="84"/>
  <c r="R140" i="84"/>
  <c r="Q140" i="84"/>
  <c r="O140" i="84"/>
  <c r="H140" i="84"/>
  <c r="AF139" i="84" a="1"/>
  <c r="AF139" i="84" s="1"/>
  <c r="B222" i="84" s="1"/>
  <c r="AE139" i="84"/>
  <c r="R139" i="84"/>
  <c r="P139" i="84" s="1"/>
  <c r="Q139" i="84"/>
  <c r="O139" i="84"/>
  <c r="H139" i="84"/>
  <c r="AF138" i="84" a="1"/>
  <c r="AF138" i="84" s="1"/>
  <c r="B221" i="84" s="1"/>
  <c r="AE138" i="84"/>
  <c r="R138" i="84"/>
  <c r="Q138" i="84"/>
  <c r="O138" i="84"/>
  <c r="P138" i="84" s="1"/>
  <c r="H138" i="84"/>
  <c r="H137" i="84"/>
  <c r="R135" i="84"/>
  <c r="Q135" i="84"/>
  <c r="O135" i="84"/>
  <c r="R134" i="84"/>
  <c r="Q134" i="84"/>
  <c r="O134" i="84"/>
  <c r="R133" i="84"/>
  <c r="Q133" i="84"/>
  <c r="O133" i="84"/>
  <c r="P133" i="84" s="1"/>
  <c r="B96" i="84" s="1"/>
  <c r="R132" i="84"/>
  <c r="Q132" i="84"/>
  <c r="O132" i="84"/>
  <c r="P132" i="84" s="1"/>
  <c r="B95" i="84" s="1"/>
  <c r="P129" i="84"/>
  <c r="P128" i="84"/>
  <c r="B92" i="84" s="1"/>
  <c r="P127" i="84"/>
  <c r="R126" i="84"/>
  <c r="P126" i="84"/>
  <c r="R129" i="84" s="1"/>
  <c r="P125" i="84"/>
  <c r="B85" i="84" s="1"/>
  <c r="Z121" i="84"/>
  <c r="Z120" i="84"/>
  <c r="O120" i="84"/>
  <c r="P120" i="84" s="1"/>
  <c r="H120" i="84"/>
  <c r="G120" i="84"/>
  <c r="Z119" i="84"/>
  <c r="O119" i="84"/>
  <c r="P119" i="84" s="1"/>
  <c r="H119" i="84"/>
  <c r="G119" i="84"/>
  <c r="AA118" i="84"/>
  <c r="Z118" i="84"/>
  <c r="P118" i="84"/>
  <c r="O118" i="84"/>
  <c r="H118" i="84"/>
  <c r="G118" i="84"/>
  <c r="Z117" i="84"/>
  <c r="O117" i="84"/>
  <c r="P117" i="84" s="1"/>
  <c r="H117" i="84"/>
  <c r="G117" i="84"/>
  <c r="Z116" i="84"/>
  <c r="O116" i="84"/>
  <c r="P116" i="84" s="1"/>
  <c r="H116" i="84"/>
  <c r="G116" i="84"/>
  <c r="Z115" i="84"/>
  <c r="P115" i="84"/>
  <c r="O115" i="84"/>
  <c r="H115" i="84"/>
  <c r="G115" i="84"/>
  <c r="AA114" i="84"/>
  <c r="Z114" i="84"/>
  <c r="P114" i="84"/>
  <c r="O114" i="84"/>
  <c r="H114" i="84"/>
  <c r="G114" i="84"/>
  <c r="P113" i="84"/>
  <c r="O113" i="84"/>
  <c r="H113" i="84"/>
  <c r="G113" i="84"/>
  <c r="Z112" i="84"/>
  <c r="O112" i="84"/>
  <c r="P112" i="84" s="1"/>
  <c r="H112" i="84"/>
  <c r="G112" i="84"/>
  <c r="O111" i="84"/>
  <c r="P111" i="84" s="1"/>
  <c r="H111" i="84"/>
  <c r="G111" i="84"/>
  <c r="O110" i="84"/>
  <c r="P110" i="84" s="1"/>
  <c r="H110" i="84"/>
  <c r="G110" i="84"/>
  <c r="O109" i="84"/>
  <c r="P109" i="84" s="1"/>
  <c r="H109" i="84"/>
  <c r="G109" i="84"/>
  <c r="O108" i="84"/>
  <c r="P108" i="84" s="1"/>
  <c r="H108" i="84"/>
  <c r="G108" i="84"/>
  <c r="O107" i="84"/>
  <c r="P107" i="84" s="1"/>
  <c r="H107" i="84"/>
  <c r="G107" i="84"/>
  <c r="O106" i="84"/>
  <c r="P106" i="84" s="1"/>
  <c r="H106" i="84"/>
  <c r="G106" i="84"/>
  <c r="O105" i="84"/>
  <c r="P105" i="84" s="1"/>
  <c r="H105" i="84"/>
  <c r="G105" i="84"/>
  <c r="O104" i="84"/>
  <c r="P104" i="84" s="1"/>
  <c r="H104" i="84"/>
  <c r="G104" i="84"/>
  <c r="P103" i="84"/>
  <c r="O103" i="84"/>
  <c r="H103" i="84"/>
  <c r="G103" i="84"/>
  <c r="O102" i="84"/>
  <c r="P102" i="84" s="1"/>
  <c r="H102" i="84"/>
  <c r="G102" i="84"/>
  <c r="B102" i="84"/>
  <c r="O101" i="84"/>
  <c r="P101" i="84" s="1"/>
  <c r="H101" i="84"/>
  <c r="G101" i="84"/>
  <c r="B100" i="84"/>
  <c r="R98" i="84"/>
  <c r="Q98" i="84"/>
  <c r="O98" i="84"/>
  <c r="H98" i="84"/>
  <c r="R97" i="84"/>
  <c r="P97" i="84" s="1"/>
  <c r="Q97" i="84"/>
  <c r="O97" i="84"/>
  <c r="H97" i="84"/>
  <c r="R96" i="84"/>
  <c r="Q96" i="84"/>
  <c r="O96" i="84"/>
  <c r="H96" i="84"/>
  <c r="R95" i="84"/>
  <c r="P95" i="84" s="1"/>
  <c r="Q95" i="84"/>
  <c r="O95" i="84"/>
  <c r="H95" i="84"/>
  <c r="R94" i="84"/>
  <c r="Q94" i="84"/>
  <c r="O94" i="84"/>
  <c r="H94" i="84"/>
  <c r="B94" i="84"/>
  <c r="R93" i="84"/>
  <c r="Q93" i="84"/>
  <c r="O93" i="84"/>
  <c r="H93" i="84"/>
  <c r="R92" i="84"/>
  <c r="Q92" i="84"/>
  <c r="O92" i="84"/>
  <c r="H92" i="84"/>
  <c r="R91" i="84"/>
  <c r="Q91" i="84"/>
  <c r="O91" i="84"/>
  <c r="H91" i="84"/>
  <c r="R90" i="84"/>
  <c r="P90" i="84" s="1"/>
  <c r="Q90" i="84"/>
  <c r="O90" i="84"/>
  <c r="H90" i="84"/>
  <c r="B90" i="84"/>
  <c r="R89" i="84"/>
  <c r="P89" i="84" s="1"/>
  <c r="Q89" i="84"/>
  <c r="O89" i="84"/>
  <c r="H89" i="84"/>
  <c r="R88" i="84"/>
  <c r="P88" i="84" s="1"/>
  <c r="Q88" i="84"/>
  <c r="O88" i="84"/>
  <c r="H88" i="84"/>
  <c r="R87" i="84"/>
  <c r="Q87" i="84"/>
  <c r="O87" i="84"/>
  <c r="H87" i="84"/>
  <c r="R86" i="84"/>
  <c r="P86" i="84" s="1"/>
  <c r="Q86" i="84"/>
  <c r="O86" i="84"/>
  <c r="H86" i="84"/>
  <c r="B86" i="84"/>
  <c r="AA85" i="84"/>
  <c r="R85" i="84"/>
  <c r="Q85" i="84"/>
  <c r="P85" i="84"/>
  <c r="O85" i="84"/>
  <c r="H85" i="84"/>
  <c r="R84" i="84"/>
  <c r="Q84" i="84"/>
  <c r="O84" i="84"/>
  <c r="H84" i="84"/>
  <c r="R83" i="84"/>
  <c r="Q83" i="84"/>
  <c r="O83" i="84"/>
  <c r="P83" i="84" s="1"/>
  <c r="AA6" i="84" s="1"/>
  <c r="H83" i="84"/>
  <c r="B83" i="84"/>
  <c r="R82" i="84"/>
  <c r="Q82" i="84"/>
  <c r="O82" i="84"/>
  <c r="H82" i="84"/>
  <c r="B82" i="84"/>
  <c r="R81" i="84"/>
  <c r="Q81" i="84"/>
  <c r="O81" i="84"/>
  <c r="P81" i="84" s="1"/>
  <c r="H81" i="84"/>
  <c r="B81" i="84"/>
  <c r="R80" i="84"/>
  <c r="Q80" i="84"/>
  <c r="P80" i="84"/>
  <c r="AA3" i="84" s="1"/>
  <c r="O80" i="84"/>
  <c r="H80" i="84"/>
  <c r="B80" i="84"/>
  <c r="R79" i="84"/>
  <c r="Q79" i="84"/>
  <c r="O79" i="84"/>
  <c r="H79" i="84"/>
  <c r="B79" i="84"/>
  <c r="B78" i="84"/>
  <c r="B77" i="84"/>
  <c r="B76" i="84"/>
  <c r="B75" i="84"/>
  <c r="O74" i="84"/>
  <c r="B74" i="84"/>
  <c r="AF73" i="84"/>
  <c r="B343" i="84" s="1"/>
  <c r="AE73" i="84" a="1"/>
  <c r="AE73" i="84" s="1"/>
  <c r="B313" i="84" s="1"/>
  <c r="AD73" i="84" a="1"/>
  <c r="AD73" i="84" s="1"/>
  <c r="B283" i="84" s="1"/>
  <c r="P73" i="84"/>
  <c r="B109" i="84" s="1"/>
  <c r="O73" i="84"/>
  <c r="B73" i="84"/>
  <c r="AF72" i="84"/>
  <c r="B342" i="84" s="1"/>
  <c r="AE72" i="84" a="1"/>
  <c r="AE72" i="84" s="1"/>
  <c r="B312" i="84" s="1"/>
  <c r="AD72" i="84" a="1"/>
  <c r="AD72" i="84" s="1"/>
  <c r="B282" i="84" s="1"/>
  <c r="P72" i="84"/>
  <c r="O72" i="84"/>
  <c r="B72" i="84"/>
  <c r="AF71" i="84"/>
  <c r="B341" i="84" s="1"/>
  <c r="AE71" i="84" a="1"/>
  <c r="AE71" i="84" s="1"/>
  <c r="B311" i="84" s="1"/>
  <c r="AD71" i="84"/>
  <c r="B281" i="84" s="1"/>
  <c r="AD71" i="84" a="1"/>
  <c r="B71" i="84"/>
  <c r="AF70" i="84"/>
  <c r="B340" i="84" s="1"/>
  <c r="AE70" i="84" a="1"/>
  <c r="AE70" i="84" s="1"/>
  <c r="B310" i="84" s="1"/>
  <c r="AD70" i="84"/>
  <c r="B280" i="84" s="1"/>
  <c r="AD70" i="84" a="1"/>
  <c r="B70" i="84"/>
  <c r="AF69" i="84"/>
  <c r="B339" i="84" s="1"/>
  <c r="AE69" i="84" a="1"/>
  <c r="AE69" i="84" s="1"/>
  <c r="B309" i="84" s="1"/>
  <c r="AD69" i="84"/>
  <c r="B279" i="84" s="1"/>
  <c r="AD69" i="84" a="1"/>
  <c r="V69" i="84"/>
  <c r="O69" i="84"/>
  <c r="P69" i="84" s="1"/>
  <c r="B69" i="84"/>
  <c r="AF68" i="84"/>
  <c r="B338" i="84" s="1"/>
  <c r="AE68" i="84" a="1"/>
  <c r="AE68" i="84" s="1"/>
  <c r="B308" i="84" s="1"/>
  <c r="AD68" i="84" a="1"/>
  <c r="AD68" i="84" s="1"/>
  <c r="B278" i="84" s="1"/>
  <c r="V68" i="84"/>
  <c r="P68" i="84"/>
  <c r="B48" i="84" s="1"/>
  <c r="O68" i="84"/>
  <c r="B68" i="84"/>
  <c r="AF67" i="84"/>
  <c r="B337" i="84" s="1"/>
  <c r="AE67" i="84" a="1"/>
  <c r="AE67" i="84" s="1"/>
  <c r="B307" i="84" s="1"/>
  <c r="AD67" i="84" a="1"/>
  <c r="AD67" i="84" s="1"/>
  <c r="B277" i="84" s="1"/>
  <c r="V67" i="84"/>
  <c r="O67" i="84"/>
  <c r="P67" i="84" s="1"/>
  <c r="B47" i="84" s="1"/>
  <c r="B67" i="84"/>
  <c r="AF66" i="84"/>
  <c r="B336" i="84" s="1"/>
  <c r="AE66" i="84" a="1"/>
  <c r="AE66" i="84" s="1"/>
  <c r="B306" i="84" s="1"/>
  <c r="AD66" i="84" a="1"/>
  <c r="AD66" i="84" s="1"/>
  <c r="B276" i="84" s="1"/>
  <c r="V66" i="84"/>
  <c r="O66" i="84"/>
  <c r="P66" i="84" s="1"/>
  <c r="B46" i="84" s="1"/>
  <c r="B66" i="84"/>
  <c r="AF65" i="84"/>
  <c r="B335" i="84" s="1"/>
  <c r="AE65" i="84" a="1"/>
  <c r="AE65" i="84" s="1"/>
  <c r="B305" i="84" s="1"/>
  <c r="AD65" i="84" a="1"/>
  <c r="AD65" i="84" s="1"/>
  <c r="B275" i="84" s="1"/>
  <c r="V65" i="84"/>
  <c r="O65" i="84"/>
  <c r="P65" i="84" s="1"/>
  <c r="AJ27" i="84" s="1"/>
  <c r="AK27" i="84" s="1"/>
  <c r="B65" i="84"/>
  <c r="AF64" i="84"/>
  <c r="AE64" i="84" a="1"/>
  <c r="AE64" i="84" s="1"/>
  <c r="B304" i="84" s="1"/>
  <c r="AD64" i="84" a="1"/>
  <c r="AD64" i="84" s="1"/>
  <c r="B274" i="84" s="1"/>
  <c r="V64" i="84"/>
  <c r="O64" i="84"/>
  <c r="P64" i="84" s="1"/>
  <c r="B44" i="84" s="1"/>
  <c r="B64" i="84"/>
  <c r="AF63" i="84"/>
  <c r="B333" i="84" s="1"/>
  <c r="AE63" i="84" a="1"/>
  <c r="AE63" i="84" s="1"/>
  <c r="B303" i="84" s="1"/>
  <c r="AD63" i="84"/>
  <c r="B273" i="84" s="1"/>
  <c r="AD63" i="84" a="1"/>
  <c r="V63" i="84"/>
  <c r="P63" i="84"/>
  <c r="AJ21" i="84" s="1"/>
  <c r="AK21" i="84" s="1"/>
  <c r="O63" i="84"/>
  <c r="B63" i="84"/>
  <c r="AF62" i="84"/>
  <c r="B332" i="84" s="1"/>
  <c r="AE62" i="84" a="1"/>
  <c r="AE62" i="84" s="1"/>
  <c r="B302" i="84" s="1"/>
  <c r="AD62" i="84"/>
  <c r="B272" i="84" s="1"/>
  <c r="AD62" i="84" a="1"/>
  <c r="V62" i="84"/>
  <c r="O62" i="84"/>
  <c r="P62" i="84" s="1"/>
  <c r="B62" i="84"/>
  <c r="AF61" i="84"/>
  <c r="B331" i="84" s="1"/>
  <c r="AE61" i="84" a="1"/>
  <c r="AE61" i="84" s="1"/>
  <c r="B301" i="84" s="1"/>
  <c r="AD61" i="84"/>
  <c r="B271" i="84" s="1"/>
  <c r="AD61" i="84" a="1"/>
  <c r="B61" i="84"/>
  <c r="AF60" i="84"/>
  <c r="B330" i="84" s="1"/>
  <c r="AE60" i="84" a="1"/>
  <c r="AE60" i="84" s="1"/>
  <c r="B300" i="84" s="1"/>
  <c r="AD60" i="84"/>
  <c r="B270" i="84" s="1"/>
  <c r="AD60" i="84" a="1"/>
  <c r="B60" i="84"/>
  <c r="AF59" i="84"/>
  <c r="B329" i="84" s="1"/>
  <c r="AE59" i="84" a="1"/>
  <c r="AE59" i="84" s="1"/>
  <c r="B299" i="84" s="1"/>
  <c r="AD59" i="84"/>
  <c r="B269" i="84" s="1"/>
  <c r="AD59" i="84" a="1"/>
  <c r="V59" i="84"/>
  <c r="O59" i="84"/>
  <c r="P59" i="84" s="1"/>
  <c r="AF58" i="84"/>
  <c r="B328" i="84" s="1"/>
  <c r="AE58" i="84" a="1"/>
  <c r="AE58" i="84" s="1"/>
  <c r="B298" i="84" s="1"/>
  <c r="AD58" i="84" a="1"/>
  <c r="AD58" i="84" s="1"/>
  <c r="B268" i="84" s="1"/>
  <c r="V58" i="84"/>
  <c r="O58" i="84"/>
  <c r="P58" i="84" s="1"/>
  <c r="AF57" i="84"/>
  <c r="B327" i="84" s="1"/>
  <c r="AE57" i="84" a="1"/>
  <c r="AE57" i="84" s="1"/>
  <c r="B297" i="84" s="1"/>
  <c r="AD57" i="84" a="1"/>
  <c r="AD57" i="84" s="1"/>
  <c r="B267" i="84" s="1"/>
  <c r="V57" i="84"/>
  <c r="P57" i="84"/>
  <c r="AJ48" i="84" s="1"/>
  <c r="AK48" i="84" s="1"/>
  <c r="O57" i="84"/>
  <c r="AF56" i="84"/>
  <c r="B326" i="84" s="1"/>
  <c r="AE56" i="84" a="1"/>
  <c r="AE56" i="84" s="1"/>
  <c r="B296" i="84" s="1"/>
  <c r="AD56" i="84" a="1"/>
  <c r="AD56" i="84" s="1"/>
  <c r="B266" i="84" s="1"/>
  <c r="V56" i="84"/>
  <c r="O56" i="84"/>
  <c r="P56" i="84" s="1"/>
  <c r="AF55" i="84"/>
  <c r="B325" i="84" s="1"/>
  <c r="AE55" i="84" a="1"/>
  <c r="AE55" i="84" s="1"/>
  <c r="B295" i="84" s="1"/>
  <c r="AD55" i="84" a="1"/>
  <c r="AD55" i="84" s="1"/>
  <c r="B265" i="84" s="1"/>
  <c r="V55" i="84"/>
  <c r="O55" i="84"/>
  <c r="P55" i="84" s="1"/>
  <c r="AF54" i="84"/>
  <c r="B324" i="84" s="1"/>
  <c r="AE54" i="84" a="1"/>
  <c r="AE54" i="84" s="1"/>
  <c r="B294" i="84" s="1"/>
  <c r="AD54" i="84" a="1"/>
  <c r="AD54" i="84" s="1"/>
  <c r="B264" i="84" s="1"/>
  <c r="V54" i="84"/>
  <c r="P54" i="84"/>
  <c r="O54" i="84"/>
  <c r="AF53" i="84"/>
  <c r="B323" i="84" s="1"/>
  <c r="AE53" i="84" a="1"/>
  <c r="AE53" i="84" s="1"/>
  <c r="B293" i="84" s="1"/>
  <c r="AD53" i="84" a="1"/>
  <c r="AD53" i="84" s="1"/>
  <c r="B263" i="84" s="1"/>
  <c r="V53" i="84"/>
  <c r="O53" i="84"/>
  <c r="P53" i="84" s="1"/>
  <c r="AF52" i="84"/>
  <c r="B322" i="84" s="1"/>
  <c r="AE52" i="84" a="1"/>
  <c r="AE52" i="84" s="1"/>
  <c r="B292" i="84" s="1"/>
  <c r="AD52" i="84" a="1"/>
  <c r="AD52" i="84" s="1"/>
  <c r="B262" i="84" s="1"/>
  <c r="V52" i="84"/>
  <c r="O52" i="84"/>
  <c r="P52" i="84" s="1"/>
  <c r="B34" i="84" s="1"/>
  <c r="B52" i="84"/>
  <c r="AF51" i="84"/>
  <c r="B321" i="84" s="1"/>
  <c r="AE51" i="84" a="1"/>
  <c r="AE51" i="84" s="1"/>
  <c r="B291" i="84" s="1"/>
  <c r="AD51" i="84" a="1"/>
  <c r="AD51" i="84" s="1"/>
  <c r="B261" i="84" s="1"/>
  <c r="B51" i="84"/>
  <c r="AF50" i="84"/>
  <c r="B320" i="84" s="1"/>
  <c r="AE50" i="84" a="1"/>
  <c r="AE50" i="84" s="1"/>
  <c r="B290" i="84" s="1"/>
  <c r="AD50" i="84"/>
  <c r="B260" i="84" s="1"/>
  <c r="AD50" i="84" a="1"/>
  <c r="V49" i="84"/>
  <c r="O49" i="84"/>
  <c r="P49" i="84" s="1"/>
  <c r="V48" i="84"/>
  <c r="O48" i="84"/>
  <c r="P48" i="84" s="1"/>
  <c r="V47" i="84"/>
  <c r="O47" i="84"/>
  <c r="P47" i="84" s="1"/>
  <c r="V46" i="84"/>
  <c r="O46" i="84"/>
  <c r="P46" i="84" s="1"/>
  <c r="V45" i="84"/>
  <c r="O45" i="84"/>
  <c r="P45" i="84" s="1"/>
  <c r="B29" i="84" s="1"/>
  <c r="V44" i="84"/>
  <c r="O44" i="84"/>
  <c r="P44" i="84" s="1"/>
  <c r="V43" i="84"/>
  <c r="O43" i="84"/>
  <c r="P43" i="84" s="1"/>
  <c r="V42" i="84"/>
  <c r="O42" i="84"/>
  <c r="P42" i="84" s="1"/>
  <c r="AA41" i="84"/>
  <c r="Z41" i="84" s="1"/>
  <c r="AA40" i="84"/>
  <c r="Z40" i="84" s="1"/>
  <c r="AA39" i="84"/>
  <c r="Z39" i="84" s="1"/>
  <c r="AA38" i="84"/>
  <c r="Z38" i="84" s="1"/>
  <c r="V38" i="84"/>
  <c r="O38" i="84"/>
  <c r="P38" i="84" s="1"/>
  <c r="AJ10" i="84" s="1"/>
  <c r="AK10" i="84" s="1"/>
  <c r="AA37" i="84"/>
  <c r="Z37" i="84" s="1"/>
  <c r="V37" i="84"/>
  <c r="O37" i="84"/>
  <c r="P37" i="84"/>
  <c r="B24" i="84" s="1"/>
  <c r="AJ36" i="84"/>
  <c r="AK36" i="84" s="1"/>
  <c r="AA36" i="84"/>
  <c r="Z36" i="84" s="1"/>
  <c r="V36" i="84"/>
  <c r="O36" i="84"/>
  <c r="P36" i="84" s="1"/>
  <c r="AJ38" i="84" s="1"/>
  <c r="AK38" i="84" s="1"/>
  <c r="AA35" i="84"/>
  <c r="Z35" i="84" s="1"/>
  <c r="AA34" i="84"/>
  <c r="Z34" i="84" s="1"/>
  <c r="AA33" i="84"/>
  <c r="Z33" i="84" s="1"/>
  <c r="P33" i="84"/>
  <c r="AJ47" i="84" s="1"/>
  <c r="O33" i="84"/>
  <c r="AA32" i="84"/>
  <c r="Z32" i="84" s="1"/>
  <c r="V32" i="84"/>
  <c r="O32" i="84"/>
  <c r="P32" i="84"/>
  <c r="AJ17" i="84" s="1"/>
  <c r="AF31" i="84"/>
  <c r="B174" i="84" s="1"/>
  <c r="AD31" i="84"/>
  <c r="B144" i="84" s="1"/>
  <c r="AA31" i="84"/>
  <c r="Z31" i="84" s="1"/>
  <c r="O31" i="84"/>
  <c r="P31" i="84"/>
  <c r="AF30" i="84"/>
  <c r="B173" i="84" s="1"/>
  <c r="AD30" i="84"/>
  <c r="B143" i="84" s="1"/>
  <c r="AA30" i="84"/>
  <c r="Z30" i="84" s="1"/>
  <c r="AF29" i="84"/>
  <c r="B172" i="84" s="1"/>
  <c r="AD29" i="84"/>
  <c r="B142" i="84" s="1"/>
  <c r="AA29" i="84"/>
  <c r="Z29" i="84" s="1"/>
  <c r="AF28" i="84"/>
  <c r="B171" i="84" s="1"/>
  <c r="AD28" i="84"/>
  <c r="B141" i="84" s="1"/>
  <c r="AA28" i="84"/>
  <c r="Z28" i="84" s="1"/>
  <c r="V28" i="84"/>
  <c r="O28" i="84"/>
  <c r="P28" i="84" s="1"/>
  <c r="M74" i="84" s="1"/>
  <c r="AF27" i="84"/>
  <c r="B170" i="84" s="1"/>
  <c r="AD27" i="84"/>
  <c r="B140" i="84" s="1"/>
  <c r="AA27" i="84"/>
  <c r="Z27" i="84" s="1"/>
  <c r="V27" i="84"/>
  <c r="O27" i="84"/>
  <c r="P27" i="84" s="1"/>
  <c r="AJ58" i="84" s="1"/>
  <c r="AK58" i="84" s="1"/>
  <c r="AF26" i="84"/>
  <c r="B169" i="84" s="1"/>
  <c r="AD26" i="84"/>
  <c r="B139" i="84" s="1"/>
  <c r="AA26" i="84"/>
  <c r="Z26" i="84" s="1"/>
  <c r="V26" i="84"/>
  <c r="O26" i="84"/>
  <c r="P26" i="84" s="1"/>
  <c r="B17" i="84" s="1"/>
  <c r="AF25" i="84"/>
  <c r="B168" i="84" s="1"/>
  <c r="AD25" i="84"/>
  <c r="B138" i="84" s="1"/>
  <c r="AA25" i="84"/>
  <c r="Z25" i="84" s="1"/>
  <c r="AF24" i="84"/>
  <c r="B167" i="84" s="1"/>
  <c r="AD24" i="84"/>
  <c r="B137" i="84" s="1"/>
  <c r="AA24" i="84"/>
  <c r="Z24" i="84" s="1"/>
  <c r="AF23" i="84"/>
  <c r="B166" i="84" s="1"/>
  <c r="AD23" i="84"/>
  <c r="B136" i="84" s="1"/>
  <c r="AA23" i="84"/>
  <c r="Z23" i="84" s="1"/>
  <c r="N23" i="84"/>
  <c r="AJ22" i="84"/>
  <c r="AK22" i="84" s="1"/>
  <c r="AF22" i="84"/>
  <c r="B165" i="84" s="1"/>
  <c r="AD22" i="84"/>
  <c r="B135" i="84" s="1"/>
  <c r="AA22" i="84"/>
  <c r="Z22" i="84" s="1"/>
  <c r="AF21" i="84"/>
  <c r="B164" i="84" s="1"/>
  <c r="AD21" i="84"/>
  <c r="B134" i="84" s="1"/>
  <c r="AA21" i="84"/>
  <c r="N21" i="84"/>
  <c r="AJ20" i="84"/>
  <c r="AK20" i="84" s="1"/>
  <c r="AF20" i="84"/>
  <c r="B163" i="84" s="1"/>
  <c r="AD20" i="84"/>
  <c r="B133" i="84" s="1"/>
  <c r="AA20" i="84"/>
  <c r="N20" i="84"/>
  <c r="AF19" i="84"/>
  <c r="B162" i="84" s="1"/>
  <c r="AD19" i="84"/>
  <c r="B132" i="84" s="1"/>
  <c r="AA19" i="84"/>
  <c r="N19" i="84"/>
  <c r="AF18" i="84"/>
  <c r="B161" i="84" s="1"/>
  <c r="AD18" i="84"/>
  <c r="B131" i="84" s="1"/>
  <c r="AA18" i="84"/>
  <c r="N18" i="84"/>
  <c r="AF17" i="84"/>
  <c r="B160" i="84" s="1"/>
  <c r="AD17" i="84"/>
  <c r="B130" i="84" s="1"/>
  <c r="AA17" i="84"/>
  <c r="N17" i="84"/>
  <c r="N16" i="84" s="1"/>
  <c r="N5" i="84" s="1"/>
  <c r="AF16" i="84"/>
  <c r="B159" i="84" s="1"/>
  <c r="AD16" i="84"/>
  <c r="B129" i="84" s="1"/>
  <c r="AA16" i="84"/>
  <c r="B16" i="84"/>
  <c r="AF15" i="84"/>
  <c r="B158" i="84" s="1"/>
  <c r="AD15" i="84"/>
  <c r="B128" i="84" s="1"/>
  <c r="AA15" i="84"/>
  <c r="B15" i="84"/>
  <c r="AF14" i="84"/>
  <c r="B157" i="84" s="1"/>
  <c r="AD14" i="84"/>
  <c r="B127" i="84" s="1"/>
  <c r="AA14" i="84"/>
  <c r="B14" i="84"/>
  <c r="AF13" i="84"/>
  <c r="B156" i="84" s="1"/>
  <c r="AD13" i="84"/>
  <c r="B126" i="84" s="1"/>
  <c r="AA13" i="84"/>
  <c r="AF12" i="84"/>
  <c r="B155" i="84" s="1"/>
  <c r="AD12" i="84"/>
  <c r="B125" i="84" s="1"/>
  <c r="AA12" i="84"/>
  <c r="N12" i="84"/>
  <c r="B12" i="84"/>
  <c r="B13" i="84" s="1"/>
  <c r="AF11" i="84"/>
  <c r="B154" i="84" s="1"/>
  <c r="AD11" i="84"/>
  <c r="B124" i="84" s="1"/>
  <c r="AA11" i="84"/>
  <c r="N11" i="84"/>
  <c r="B11" i="84"/>
  <c r="AF10" i="84"/>
  <c r="AD10" i="84"/>
  <c r="B123" i="84" s="1"/>
  <c r="AA10" i="84"/>
  <c r="N10" i="84"/>
  <c r="AF9" i="84"/>
  <c r="B152" i="84" s="1"/>
  <c r="AD9" i="84"/>
  <c r="B122" i="84" s="1"/>
  <c r="AA9" i="84"/>
  <c r="B9" i="84"/>
  <c r="B10" i="84" s="1"/>
  <c r="AF8" i="84"/>
  <c r="AD8" i="84"/>
  <c r="B121" i="84" s="1"/>
  <c r="AA8" i="84"/>
  <c r="N8" i="84"/>
  <c r="D8" i="84"/>
  <c r="B8" i="84"/>
  <c r="AJ7" i="84"/>
  <c r="AK7" i="84" s="1"/>
  <c r="D7" i="84"/>
  <c r="B7" i="84"/>
  <c r="B6" i="84"/>
  <c r="B5" i="84"/>
  <c r="AA4" i="84"/>
  <c r="N4" i="84"/>
  <c r="B2" i="84"/>
  <c r="M124" i="83"/>
  <c r="P124" i="83" s="1"/>
  <c r="B84" i="83" s="1"/>
  <c r="L61" i="83"/>
  <c r="L51" i="83"/>
  <c r="L41" i="83"/>
  <c r="L35" i="83"/>
  <c r="L30" i="83"/>
  <c r="L25" i="83"/>
  <c r="G157" i="82"/>
  <c r="G156" i="82"/>
  <c r="G155" i="82"/>
  <c r="G154" i="82"/>
  <c r="G153" i="82"/>
  <c r="G152" i="82"/>
  <c r="G151" i="82"/>
  <c r="G150" i="82"/>
  <c r="G149" i="82"/>
  <c r="G148" i="82"/>
  <c r="G147" i="82"/>
  <c r="G146" i="82"/>
  <c r="G145" i="82"/>
  <c r="G144" i="82"/>
  <c r="G143" i="82"/>
  <c r="G142" i="82"/>
  <c r="G141" i="82"/>
  <c r="M124" i="82"/>
  <c r="L61" i="82"/>
  <c r="L51" i="82"/>
  <c r="L41" i="82"/>
  <c r="L35" i="82"/>
  <c r="L30" i="82"/>
  <c r="L25" i="82"/>
  <c r="M218" i="83"/>
  <c r="P218" i="83" s="1"/>
  <c r="B354" i="83" s="1"/>
  <c r="L164" i="83"/>
  <c r="N163" i="83"/>
  <c r="N11" i="83" s="1"/>
  <c r="L78" i="83"/>
  <c r="N77" i="83"/>
  <c r="N71" i="83"/>
  <c r="N40" i="83"/>
  <c r="B364" i="83"/>
  <c r="B363" i="83"/>
  <c r="B362" i="83"/>
  <c r="B361" i="83"/>
  <c r="B360" i="83"/>
  <c r="B359" i="83"/>
  <c r="B358" i="83"/>
  <c r="B357" i="83"/>
  <c r="B336" i="83"/>
  <c r="B335" i="83"/>
  <c r="E282" i="83"/>
  <c r="E283" i="83" s="1"/>
  <c r="E284" i="83" s="1"/>
  <c r="E285" i="83" s="1"/>
  <c r="E286" i="83" s="1"/>
  <c r="E287" i="83" s="1"/>
  <c r="E288" i="83" s="1"/>
  <c r="E289" i="83" s="1"/>
  <c r="E290" i="83" s="1"/>
  <c r="E291" i="83" s="1"/>
  <c r="E292" i="83" s="1"/>
  <c r="E293" i="83" s="1"/>
  <c r="E294" i="83" s="1"/>
  <c r="E295" i="83" s="1"/>
  <c r="E296" i="83" s="1"/>
  <c r="E297" i="83" s="1"/>
  <c r="E298" i="83" s="1"/>
  <c r="E299" i="83" s="1"/>
  <c r="E300" i="83" s="1"/>
  <c r="E301" i="83" s="1"/>
  <c r="E302" i="83" s="1"/>
  <c r="E303" i="83" s="1"/>
  <c r="E304" i="83" s="1"/>
  <c r="E305" i="83" s="1"/>
  <c r="E306" i="83" s="1"/>
  <c r="E307" i="83" s="1"/>
  <c r="E308" i="83" s="1"/>
  <c r="E309" i="83" s="1"/>
  <c r="E310" i="83" s="1"/>
  <c r="E311" i="83" s="1"/>
  <c r="E312" i="83" s="1"/>
  <c r="E313" i="83" s="1"/>
  <c r="E314" i="83" s="1"/>
  <c r="E315" i="83" s="1"/>
  <c r="E316" i="83" s="1"/>
  <c r="E281" i="83"/>
  <c r="H238" i="83"/>
  <c r="H237" i="83"/>
  <c r="H236" i="83"/>
  <c r="F234" i="83"/>
  <c r="H234" i="83" s="1"/>
  <c r="B216" i="83"/>
  <c r="R215" i="83"/>
  <c r="Q215" i="83"/>
  <c r="O215" i="83"/>
  <c r="P215" i="83" s="1"/>
  <c r="H215" i="83"/>
  <c r="G215" i="83"/>
  <c r="B215" i="83"/>
  <c r="R214" i="83"/>
  <c r="P214" i="83" s="1"/>
  <c r="Q214" i="83"/>
  <c r="O214" i="83"/>
  <c r="H214" i="83"/>
  <c r="G214" i="83"/>
  <c r="B214" i="83"/>
  <c r="R213" i="83"/>
  <c r="Q213" i="83"/>
  <c r="O213" i="83"/>
  <c r="P213" i="83" s="1"/>
  <c r="H213" i="83"/>
  <c r="G213" i="83"/>
  <c r="B213" i="83"/>
  <c r="R212" i="83"/>
  <c r="Q212" i="83"/>
  <c r="O212" i="83"/>
  <c r="P212" i="83" s="1"/>
  <c r="H212" i="83"/>
  <c r="G212" i="83"/>
  <c r="B212" i="83"/>
  <c r="R211" i="83"/>
  <c r="Q211" i="83"/>
  <c r="O211" i="83"/>
  <c r="P211" i="83" s="1"/>
  <c r="H211" i="83"/>
  <c r="G211" i="83"/>
  <c r="B211" i="83"/>
  <c r="R210" i="83"/>
  <c r="Q210" i="83"/>
  <c r="O210" i="83"/>
  <c r="P210" i="83" s="1"/>
  <c r="H210" i="83"/>
  <c r="G210" i="83"/>
  <c r="B210" i="83"/>
  <c r="R209" i="83"/>
  <c r="Q209" i="83"/>
  <c r="P209" i="83"/>
  <c r="O209" i="83"/>
  <c r="H209" i="83"/>
  <c r="G209" i="83"/>
  <c r="B209" i="83"/>
  <c r="R208" i="83"/>
  <c r="Q208" i="83"/>
  <c r="O208" i="83"/>
  <c r="P208" i="83" s="1"/>
  <c r="H208" i="83"/>
  <c r="G208" i="83"/>
  <c r="B208" i="83"/>
  <c r="R207" i="83"/>
  <c r="Q207" i="83"/>
  <c r="O207" i="83"/>
  <c r="H207" i="83"/>
  <c r="G207" i="83"/>
  <c r="B207" i="83"/>
  <c r="R206" i="83"/>
  <c r="Q206" i="83"/>
  <c r="P206" i="83"/>
  <c r="O206" i="83"/>
  <c r="H206" i="83"/>
  <c r="G206" i="83"/>
  <c r="B206" i="83"/>
  <c r="B205" i="83"/>
  <c r="B204" i="83"/>
  <c r="R203" i="83"/>
  <c r="O203" i="83"/>
  <c r="G203" i="83"/>
  <c r="B203" i="83"/>
  <c r="R202" i="83"/>
  <c r="O202" i="83"/>
  <c r="G202" i="83"/>
  <c r="Z120" i="83" s="1"/>
  <c r="B202" i="83"/>
  <c r="R201" i="83"/>
  <c r="P201" i="83" s="1"/>
  <c r="AA119" i="83" s="1"/>
  <c r="O201" i="83"/>
  <c r="G201" i="83"/>
  <c r="B201" i="83"/>
  <c r="R200" i="83"/>
  <c r="P200" i="83"/>
  <c r="O200" i="83"/>
  <c r="G200" i="83"/>
  <c r="B200" i="83"/>
  <c r="R199" i="83"/>
  <c r="P199" i="83" s="1"/>
  <c r="AA117" i="83" s="1"/>
  <c r="O199" i="83"/>
  <c r="G199" i="83"/>
  <c r="Z117" i="83" s="1"/>
  <c r="B199" i="83"/>
  <c r="R198" i="83"/>
  <c r="P198" i="83"/>
  <c r="AA116" i="83" s="1"/>
  <c r="O198" i="83"/>
  <c r="G198" i="83"/>
  <c r="B198" i="83"/>
  <c r="R197" i="83"/>
  <c r="O197" i="83"/>
  <c r="P197" i="83" s="1"/>
  <c r="AA115" i="83" s="1"/>
  <c r="G197" i="83"/>
  <c r="R196" i="83"/>
  <c r="P196" i="83"/>
  <c r="O196" i="83"/>
  <c r="G196" i="83"/>
  <c r="B196" i="83"/>
  <c r="R195" i="83"/>
  <c r="O195" i="83"/>
  <c r="G195" i="83"/>
  <c r="B195" i="83"/>
  <c r="R194" i="83"/>
  <c r="P194" i="83" s="1"/>
  <c r="AA112" i="83" s="1"/>
  <c r="O194" i="83"/>
  <c r="G194" i="83"/>
  <c r="B194" i="83"/>
  <c r="B193" i="83"/>
  <c r="B192" i="83"/>
  <c r="O191" i="83"/>
  <c r="B191" i="83"/>
  <c r="O190" i="83"/>
  <c r="B190" i="83"/>
  <c r="O189" i="83"/>
  <c r="B189" i="83"/>
  <c r="O188" i="83"/>
  <c r="B188" i="83"/>
  <c r="O187" i="83"/>
  <c r="B187" i="83"/>
  <c r="B186" i="83"/>
  <c r="O185" i="83"/>
  <c r="P185" i="83" s="1"/>
  <c r="I185" i="83"/>
  <c r="M191" i="83" s="1"/>
  <c r="B185" i="83"/>
  <c r="O184" i="83"/>
  <c r="P184" i="83" s="1"/>
  <c r="L193" i="83" s="1"/>
  <c r="I184" i="83"/>
  <c r="M190" i="83" s="1"/>
  <c r="B184" i="83"/>
  <c r="B183" i="83"/>
  <c r="B182" i="83"/>
  <c r="R181" i="83"/>
  <c r="O181" i="83"/>
  <c r="P181" i="83" s="1"/>
  <c r="AA86" i="83" s="1"/>
  <c r="H181" i="83"/>
  <c r="B181" i="83"/>
  <c r="R180" i="83"/>
  <c r="O180" i="83"/>
  <c r="P180" i="83" s="1"/>
  <c r="AA85" i="83" s="1"/>
  <c r="H180" i="83"/>
  <c r="B180" i="83"/>
  <c r="R179" i="83"/>
  <c r="O179" i="83"/>
  <c r="P179" i="83" s="1"/>
  <c r="AA84" i="83" s="1"/>
  <c r="H179" i="83"/>
  <c r="B179" i="83"/>
  <c r="R178" i="83"/>
  <c r="O178" i="83"/>
  <c r="P178" i="83" s="1"/>
  <c r="AA83" i="83" s="1"/>
  <c r="H178" i="83"/>
  <c r="B178" i="83"/>
  <c r="R177" i="83"/>
  <c r="O177" i="83"/>
  <c r="H177" i="83"/>
  <c r="B173" i="83"/>
  <c r="B168" i="83"/>
  <c r="I164" i="83"/>
  <c r="H164" i="83"/>
  <c r="G164" i="83"/>
  <c r="F164" i="83"/>
  <c r="B163" i="83"/>
  <c r="O161" i="83"/>
  <c r="P161" i="83" s="1"/>
  <c r="P160" i="83"/>
  <c r="AE155" i="83" s="1"/>
  <c r="O160" i="83"/>
  <c r="R157" i="83"/>
  <c r="Q157" i="83"/>
  <c r="P157" i="83"/>
  <c r="O157" i="83"/>
  <c r="H157" i="83"/>
  <c r="G157" i="83"/>
  <c r="B157" i="83"/>
  <c r="R156" i="83"/>
  <c r="Q156" i="83"/>
  <c r="P156" i="83"/>
  <c r="O156" i="83"/>
  <c r="H156" i="83"/>
  <c r="G156" i="83"/>
  <c r="R155" i="83"/>
  <c r="Q155" i="83"/>
  <c r="O155" i="83"/>
  <c r="H155" i="83"/>
  <c r="G155" i="83"/>
  <c r="R154" i="83"/>
  <c r="Q154" i="83"/>
  <c r="O154" i="83"/>
  <c r="P154" i="83" s="1"/>
  <c r="H154" i="83"/>
  <c r="G154" i="83"/>
  <c r="AF153" i="83"/>
  <c r="B236" i="83" s="1"/>
  <c r="AF153" i="83" a="1"/>
  <c r="AE153" i="83"/>
  <c r="R153" i="83"/>
  <c r="Q153" i="83"/>
  <c r="O153" i="83"/>
  <c r="P153" i="83" s="1"/>
  <c r="H153" i="83"/>
  <c r="G153" i="83"/>
  <c r="AF152" i="83" a="1"/>
  <c r="AF152" i="83" s="1"/>
  <c r="B235" i="83" s="1"/>
  <c r="AE152" i="83"/>
  <c r="R152" i="83"/>
  <c r="Q152" i="83"/>
  <c r="O152" i="83"/>
  <c r="P152" i="83" s="1"/>
  <c r="H152" i="83"/>
  <c r="G152" i="83"/>
  <c r="AF151" i="83" a="1"/>
  <c r="AF151" i="83" s="1"/>
  <c r="B234" i="83" s="1"/>
  <c r="AE151" i="83"/>
  <c r="R151" i="83"/>
  <c r="Q151" i="83"/>
  <c r="P151" i="83"/>
  <c r="O151" i="83"/>
  <c r="H151" i="83"/>
  <c r="G151" i="83"/>
  <c r="AF150" i="83" a="1"/>
  <c r="AF150" i="83" s="1"/>
  <c r="B233" i="83" s="1"/>
  <c r="AE150" i="83"/>
  <c r="R150" i="83"/>
  <c r="Q150" i="83"/>
  <c r="O150" i="83"/>
  <c r="P150" i="83" s="1"/>
  <c r="H150" i="83"/>
  <c r="G150" i="83"/>
  <c r="AF149" i="83" a="1"/>
  <c r="AF149" i="83" s="1"/>
  <c r="B232" i="83" s="1"/>
  <c r="AE149" i="83"/>
  <c r="R149" i="83"/>
  <c r="Q149" i="83"/>
  <c r="O149" i="83"/>
  <c r="P149" i="83" s="1"/>
  <c r="H149" i="83"/>
  <c r="G149" i="83"/>
  <c r="AF148" i="83" a="1"/>
  <c r="AF148" i="83" s="1"/>
  <c r="B231" i="83" s="1"/>
  <c r="AE148" i="83"/>
  <c r="R148" i="83"/>
  <c r="Q148" i="83"/>
  <c r="O148" i="83"/>
  <c r="P148" i="83" s="1"/>
  <c r="H148" i="83"/>
  <c r="G148" i="83"/>
  <c r="AF147" i="83" a="1"/>
  <c r="AF147" i="83" s="1"/>
  <c r="B230" i="83" s="1"/>
  <c r="AE147" i="83"/>
  <c r="R147" i="83"/>
  <c r="Q147" i="83"/>
  <c r="O147" i="83"/>
  <c r="P147" i="83" s="1"/>
  <c r="H147" i="83"/>
  <c r="G147" i="83"/>
  <c r="AF146" i="83" a="1"/>
  <c r="AF146" i="83" s="1"/>
  <c r="B229" i="83" s="1"/>
  <c r="AE146" i="83"/>
  <c r="R146" i="83"/>
  <c r="Q146" i="83"/>
  <c r="O146" i="83"/>
  <c r="P146" i="83" s="1"/>
  <c r="H146" i="83"/>
  <c r="G146" i="83"/>
  <c r="AF145" i="83" a="1"/>
  <c r="AF145" i="83" s="1"/>
  <c r="B228" i="83" s="1"/>
  <c r="AE145" i="83"/>
  <c r="R145" i="83"/>
  <c r="Q145" i="83"/>
  <c r="O145" i="83"/>
  <c r="P145" i="83" s="1"/>
  <c r="H145" i="83"/>
  <c r="G145" i="83"/>
  <c r="AF144" i="83" a="1"/>
  <c r="AF144" i="83" s="1"/>
  <c r="B227" i="83" s="1"/>
  <c r="AE144" i="83"/>
  <c r="R144" i="83"/>
  <c r="Q144" i="83"/>
  <c r="P144" i="83"/>
  <c r="O144" i="83"/>
  <c r="H144" i="83"/>
  <c r="AF143" i="83" a="1"/>
  <c r="AF143" i="83" s="1"/>
  <c r="B226" i="83" s="1"/>
  <c r="AE143" i="83"/>
  <c r="R143" i="83"/>
  <c r="Q143" i="83"/>
  <c r="O143" i="83"/>
  <c r="P143" i="83" s="1"/>
  <c r="H143" i="83"/>
  <c r="G143" i="83"/>
  <c r="AF142" i="83" a="1"/>
  <c r="AF142" i="83" s="1"/>
  <c r="B225" i="83" s="1"/>
  <c r="AE142" i="83"/>
  <c r="R142" i="83"/>
  <c r="Q142" i="83"/>
  <c r="O142" i="83"/>
  <c r="P142" i="83" s="1"/>
  <c r="H142" i="83"/>
  <c r="AF141" i="83" a="1"/>
  <c r="AF141" i="83" s="1"/>
  <c r="B224" i="83" s="1"/>
  <c r="AE141" i="83"/>
  <c r="R141" i="83"/>
  <c r="Q141" i="83"/>
  <c r="O141" i="83"/>
  <c r="P141" i="83" s="1"/>
  <c r="H141" i="83"/>
  <c r="AF140" i="83" a="1"/>
  <c r="AF140" i="83" s="1"/>
  <c r="B223" i="83" s="1"/>
  <c r="AE140" i="83"/>
  <c r="R140" i="83"/>
  <c r="Q140" i="83"/>
  <c r="O140" i="83"/>
  <c r="P140" i="83" s="1"/>
  <c r="H140" i="83"/>
  <c r="AF139" i="83" a="1"/>
  <c r="AF139" i="83" s="1"/>
  <c r="B222" i="83" s="1"/>
  <c r="AE139" i="83"/>
  <c r="R139" i="83"/>
  <c r="P139" i="83" s="1"/>
  <c r="Q139" i="83"/>
  <c r="O139" i="83"/>
  <c r="H139" i="83"/>
  <c r="AF138" i="83" a="1"/>
  <c r="AF138" i="83" s="1"/>
  <c r="B221" i="83" s="1"/>
  <c r="AE138" i="83"/>
  <c r="R138" i="83"/>
  <c r="Q138" i="83"/>
  <c r="O138" i="83"/>
  <c r="P138" i="83" s="1"/>
  <c r="H138" i="83"/>
  <c r="AF137" i="83" a="1"/>
  <c r="AF137" i="83" s="1"/>
  <c r="B220" i="83" s="1"/>
  <c r="AE137" i="83"/>
  <c r="H137" i="83"/>
  <c r="AF136" i="83" a="1"/>
  <c r="AF136" i="83" s="1"/>
  <c r="B219" i="83" s="1"/>
  <c r="AE136" i="83"/>
  <c r="AF135" i="83" a="1"/>
  <c r="AF135" i="83" s="1"/>
  <c r="B218" i="83" s="1"/>
  <c r="AE135" i="83"/>
  <c r="R135" i="83"/>
  <c r="Q135" i="83"/>
  <c r="O135" i="83"/>
  <c r="R134" i="83"/>
  <c r="Q134" i="83"/>
  <c r="P134" i="83"/>
  <c r="B97" i="83" s="1"/>
  <c r="O134" i="83"/>
  <c r="R133" i="83"/>
  <c r="Q133" i="83"/>
  <c r="O133" i="83"/>
  <c r="P133" i="83" s="1"/>
  <c r="B96" i="83" s="1"/>
  <c r="R132" i="83"/>
  <c r="Q132" i="83"/>
  <c r="O132" i="83"/>
  <c r="P132" i="83" s="1"/>
  <c r="B95" i="83" s="1"/>
  <c r="P129" i="83"/>
  <c r="P128" i="83"/>
  <c r="P127" i="83"/>
  <c r="B90" i="83" s="1"/>
  <c r="R126" i="83"/>
  <c r="P126" i="83"/>
  <c r="R129" i="83" s="1"/>
  <c r="P125" i="83"/>
  <c r="Z121" i="83"/>
  <c r="O120" i="83"/>
  <c r="P120" i="83" s="1"/>
  <c r="H120" i="83"/>
  <c r="G120" i="83"/>
  <c r="Z119" i="83"/>
  <c r="P119" i="83"/>
  <c r="O119" i="83"/>
  <c r="H119" i="83"/>
  <c r="G119" i="83"/>
  <c r="AA118" i="83"/>
  <c r="Z118" i="83"/>
  <c r="O118" i="83"/>
  <c r="P118" i="83" s="1"/>
  <c r="H118" i="83"/>
  <c r="G118" i="83"/>
  <c r="O117" i="83"/>
  <c r="P117" i="83" s="1"/>
  <c r="H117" i="83"/>
  <c r="G117" i="83"/>
  <c r="Z116" i="83"/>
  <c r="O116" i="83"/>
  <c r="P116" i="83" s="1"/>
  <c r="H116" i="83"/>
  <c r="G116" i="83"/>
  <c r="Z115" i="83"/>
  <c r="P115" i="83"/>
  <c r="O115" i="83"/>
  <c r="H115" i="83"/>
  <c r="G115" i="83"/>
  <c r="AA114" i="83"/>
  <c r="Z114" i="83"/>
  <c r="P114" i="83"/>
  <c r="O114" i="83"/>
  <c r="H114" i="83"/>
  <c r="G114" i="83"/>
  <c r="Z113" i="83"/>
  <c r="O113" i="83"/>
  <c r="P113" i="83" s="1"/>
  <c r="H113" i="83"/>
  <c r="G113" i="83"/>
  <c r="Z112" i="83"/>
  <c r="P112" i="83"/>
  <c r="O112" i="83"/>
  <c r="H112" i="83"/>
  <c r="G112" i="83"/>
  <c r="O111" i="83"/>
  <c r="P111" i="83" s="1"/>
  <c r="H111" i="83"/>
  <c r="G111" i="83"/>
  <c r="O110" i="83"/>
  <c r="P110" i="83" s="1"/>
  <c r="H110" i="83"/>
  <c r="G110" i="83"/>
  <c r="O109" i="83"/>
  <c r="P109" i="83" s="1"/>
  <c r="H109" i="83"/>
  <c r="G109" i="83"/>
  <c r="P108" i="83"/>
  <c r="O108" i="83"/>
  <c r="H108" i="83"/>
  <c r="G108" i="83"/>
  <c r="O107" i="83"/>
  <c r="P107" i="83" s="1"/>
  <c r="H107" i="83"/>
  <c r="G107" i="83"/>
  <c r="P106" i="83"/>
  <c r="O106" i="83"/>
  <c r="H106" i="83"/>
  <c r="G106" i="83"/>
  <c r="O105" i="83"/>
  <c r="P105" i="83" s="1"/>
  <c r="H105" i="83"/>
  <c r="G105" i="83"/>
  <c r="O104" i="83"/>
  <c r="P104" i="83" s="1"/>
  <c r="H104" i="83"/>
  <c r="G104" i="83"/>
  <c r="P103" i="83"/>
  <c r="O103" i="83"/>
  <c r="H103" i="83"/>
  <c r="G103" i="83"/>
  <c r="P102" i="83"/>
  <c r="O102" i="83"/>
  <c r="H102" i="83"/>
  <c r="G102" i="83"/>
  <c r="B102" i="83"/>
  <c r="O101" i="83"/>
  <c r="P101" i="83" s="1"/>
  <c r="H101" i="83"/>
  <c r="G101" i="83"/>
  <c r="B100" i="83"/>
  <c r="B99" i="83"/>
  <c r="R98" i="83"/>
  <c r="P98" i="83" s="1"/>
  <c r="Q98" i="83"/>
  <c r="O98" i="83"/>
  <c r="H98" i="83"/>
  <c r="R97" i="83"/>
  <c r="Q97" i="83"/>
  <c r="O97" i="83"/>
  <c r="H97" i="83"/>
  <c r="R96" i="83"/>
  <c r="Q96" i="83"/>
  <c r="O96" i="83"/>
  <c r="H96" i="83"/>
  <c r="R95" i="83"/>
  <c r="Q95" i="83"/>
  <c r="O95" i="83"/>
  <c r="H95" i="83"/>
  <c r="R94" i="83"/>
  <c r="P94" i="83" s="1"/>
  <c r="Q94" i="83"/>
  <c r="O94" i="83"/>
  <c r="H94" i="83"/>
  <c r="B94" i="83"/>
  <c r="R93" i="83"/>
  <c r="Q93" i="83"/>
  <c r="O93" i="83"/>
  <c r="P93" i="83" s="1"/>
  <c r="H93" i="83"/>
  <c r="R92" i="83"/>
  <c r="Q92" i="83"/>
  <c r="O92" i="83"/>
  <c r="H92" i="83"/>
  <c r="B92" i="83"/>
  <c r="R91" i="83"/>
  <c r="Q91" i="83"/>
  <c r="O91" i="83"/>
  <c r="P91" i="83" s="1"/>
  <c r="H91" i="83"/>
  <c r="R90" i="83"/>
  <c r="Q90" i="83"/>
  <c r="O90" i="83"/>
  <c r="H90" i="83"/>
  <c r="R89" i="83"/>
  <c r="Q89" i="83"/>
  <c r="O89" i="83"/>
  <c r="H89" i="83"/>
  <c r="R88" i="83"/>
  <c r="Q88" i="83"/>
  <c r="O88" i="83"/>
  <c r="H88" i="83"/>
  <c r="B88" i="83"/>
  <c r="R87" i="83"/>
  <c r="Q87" i="83"/>
  <c r="O87" i="83"/>
  <c r="H87" i="83"/>
  <c r="R86" i="83"/>
  <c r="Q86" i="83"/>
  <c r="O86" i="83"/>
  <c r="H86" i="83"/>
  <c r="B86" i="83"/>
  <c r="R85" i="83"/>
  <c r="Q85" i="83"/>
  <c r="P85" i="83"/>
  <c r="O85" i="83"/>
  <c r="H85" i="83"/>
  <c r="B85" i="83"/>
  <c r="R84" i="83"/>
  <c r="Q84" i="83"/>
  <c r="O84" i="83"/>
  <c r="H84" i="83"/>
  <c r="R83" i="83"/>
  <c r="Q83" i="83"/>
  <c r="O83" i="83"/>
  <c r="H83" i="83"/>
  <c r="B83" i="83"/>
  <c r="R82" i="83"/>
  <c r="P82" i="83" s="1"/>
  <c r="AA5" i="83" s="1"/>
  <c r="Q82" i="83"/>
  <c r="O82" i="83"/>
  <c r="H82" i="83"/>
  <c r="B82" i="83"/>
  <c r="R81" i="83"/>
  <c r="Q81" i="83"/>
  <c r="O81" i="83"/>
  <c r="H81" i="83"/>
  <c r="B81" i="83"/>
  <c r="R80" i="83"/>
  <c r="Q80" i="83"/>
  <c r="O80" i="83"/>
  <c r="P80" i="83" s="1"/>
  <c r="H80" i="83"/>
  <c r="B80" i="83"/>
  <c r="R79" i="83"/>
  <c r="Q79" i="83"/>
  <c r="O79" i="83"/>
  <c r="H79" i="83"/>
  <c r="B79" i="83"/>
  <c r="B78" i="83"/>
  <c r="B77" i="83"/>
  <c r="B76" i="83"/>
  <c r="B75" i="83"/>
  <c r="O74" i="83"/>
  <c r="B74" i="83"/>
  <c r="AF73" i="83"/>
  <c r="B343" i="83" s="1"/>
  <c r="AE73" i="83" a="1"/>
  <c r="AE73" i="83" s="1"/>
  <c r="B313" i="83" s="1"/>
  <c r="AD73" i="83" a="1"/>
  <c r="AD73" i="83" s="1"/>
  <c r="B283" i="83" s="1"/>
  <c r="O73" i="83"/>
  <c r="P73" i="83" s="1"/>
  <c r="AJ25" i="83" s="1"/>
  <c r="AK25" i="83" s="1"/>
  <c r="B73" i="83"/>
  <c r="AF72" i="83"/>
  <c r="B342" i="83" s="1"/>
  <c r="AE72" i="83" a="1"/>
  <c r="AE72" i="83" s="1"/>
  <c r="B312" i="83" s="1"/>
  <c r="AD72" i="83" a="1"/>
  <c r="AD72" i="83" s="1"/>
  <c r="B282" i="83" s="1"/>
  <c r="P72" i="83"/>
  <c r="O72" i="83"/>
  <c r="B72" i="83"/>
  <c r="AF71" i="83"/>
  <c r="B341" i="83" s="1"/>
  <c r="AE71" i="83" a="1"/>
  <c r="AE71" i="83" s="1"/>
  <c r="B311" i="83" s="1"/>
  <c r="AD71" i="83" a="1"/>
  <c r="AD71" i="83" s="1"/>
  <c r="B281" i="83" s="1"/>
  <c r="N12" i="83"/>
  <c r="B71" i="83"/>
  <c r="AF70" i="83"/>
  <c r="B340" i="83" s="1"/>
  <c r="AE70" i="83" a="1"/>
  <c r="AE70" i="83" s="1"/>
  <c r="B310" i="83" s="1"/>
  <c r="AD70" i="83" a="1"/>
  <c r="AD70" i="83" s="1"/>
  <c r="B280" i="83" s="1"/>
  <c r="B70" i="83"/>
  <c r="AF69" i="83"/>
  <c r="B339" i="83" s="1"/>
  <c r="AE69" i="83" a="1"/>
  <c r="AE69" i="83" s="1"/>
  <c r="B309" i="83" s="1"/>
  <c r="AD69" i="83"/>
  <c r="B279" i="83" s="1"/>
  <c r="AD69" i="83" a="1"/>
  <c r="V69" i="83"/>
  <c r="O69" i="83"/>
  <c r="P69" i="83" s="1"/>
  <c r="B69" i="83"/>
  <c r="AF68" i="83"/>
  <c r="B338" i="83" s="1"/>
  <c r="AE68" i="83" a="1"/>
  <c r="AE68" i="83" s="1"/>
  <c r="B308" i="83" s="1"/>
  <c r="AD68" i="83" a="1"/>
  <c r="AD68" i="83" s="1"/>
  <c r="B278" i="83" s="1"/>
  <c r="V68" i="83"/>
  <c r="P68" i="83"/>
  <c r="B48" i="83" s="1"/>
  <c r="O68" i="83"/>
  <c r="B68" i="83"/>
  <c r="AF67" i="83"/>
  <c r="B337" i="83" s="1"/>
  <c r="AE67" i="83" a="1"/>
  <c r="AE67" i="83" s="1"/>
  <c r="B307" i="83" s="1"/>
  <c r="AD67" i="83" a="1"/>
  <c r="AD67" i="83" s="1"/>
  <c r="B277" i="83" s="1"/>
  <c r="V67" i="83"/>
  <c r="O67" i="83"/>
  <c r="P67" i="83" s="1"/>
  <c r="B67" i="83"/>
  <c r="AF66" i="83"/>
  <c r="AE66" i="83" a="1"/>
  <c r="AE66" i="83" s="1"/>
  <c r="B306" i="83" s="1"/>
  <c r="AD66" i="83" a="1"/>
  <c r="AD66" i="83" s="1"/>
  <c r="B276" i="83" s="1"/>
  <c r="V66" i="83"/>
  <c r="O66" i="83"/>
  <c r="P66" i="83" s="1"/>
  <c r="AJ36" i="83" s="1"/>
  <c r="AK36" i="83" s="1"/>
  <c r="B66" i="83"/>
  <c r="AF65" i="83"/>
  <c r="AE65" i="83" a="1"/>
  <c r="AE65" i="83" s="1"/>
  <c r="B305" i="83" s="1"/>
  <c r="AD65" i="83" a="1"/>
  <c r="AD65" i="83" s="1"/>
  <c r="B275" i="83" s="1"/>
  <c r="V65" i="83"/>
  <c r="O65" i="83"/>
  <c r="P65" i="83" s="1"/>
  <c r="B65" i="83"/>
  <c r="AF64" i="83"/>
  <c r="B334" i="83" s="1"/>
  <c r="AE64" i="83" a="1"/>
  <c r="AE64" i="83" s="1"/>
  <c r="B304" i="83" s="1"/>
  <c r="AD64" i="83" a="1"/>
  <c r="AD64" i="83" s="1"/>
  <c r="B274" i="83" s="1"/>
  <c r="V64" i="83"/>
  <c r="O64" i="83"/>
  <c r="P64" i="83" s="1"/>
  <c r="AJ22" i="83" s="1"/>
  <c r="AK22" i="83" s="1"/>
  <c r="B64" i="83"/>
  <c r="AF63" i="83"/>
  <c r="B333" i="83" s="1"/>
  <c r="AE63" i="83" a="1"/>
  <c r="AE63" i="83" s="1"/>
  <c r="B303" i="83" s="1"/>
  <c r="AD63" i="83" a="1"/>
  <c r="AD63" i="83" s="1"/>
  <c r="B273" i="83" s="1"/>
  <c r="V63" i="83"/>
  <c r="O63" i="83"/>
  <c r="P63" i="83" s="1"/>
  <c r="B63" i="83"/>
  <c r="AF62" i="83"/>
  <c r="B332" i="83" s="1"/>
  <c r="AE62" i="83" a="1"/>
  <c r="AE62" i="83" s="1"/>
  <c r="B302" i="83" s="1"/>
  <c r="AD62" i="83" a="1"/>
  <c r="AD62" i="83" s="1"/>
  <c r="B272" i="83" s="1"/>
  <c r="V62" i="83"/>
  <c r="O62" i="83"/>
  <c r="P62" i="83" s="1"/>
  <c r="B42" i="83" s="1"/>
  <c r="B62" i="83"/>
  <c r="AF61" i="83"/>
  <c r="B331" i="83" s="1"/>
  <c r="AE61" i="83" a="1"/>
  <c r="AE61" i="83" s="1"/>
  <c r="B301" i="83" s="1"/>
  <c r="AD61" i="83" a="1"/>
  <c r="AD61" i="83" s="1"/>
  <c r="B271" i="83" s="1"/>
  <c r="B61" i="83"/>
  <c r="AF60" i="83"/>
  <c r="B330" i="83" s="1"/>
  <c r="AE60" i="83" a="1"/>
  <c r="AE60" i="83" s="1"/>
  <c r="B300" i="83" s="1"/>
  <c r="AD60" i="83" a="1"/>
  <c r="AD60" i="83" s="1"/>
  <c r="B270" i="83" s="1"/>
  <c r="B60" i="83"/>
  <c r="AF59" i="83"/>
  <c r="B329" i="83" s="1"/>
  <c r="AE59" i="83" a="1"/>
  <c r="AE59" i="83" s="1"/>
  <c r="B299" i="83" s="1"/>
  <c r="AD59" i="83" a="1"/>
  <c r="AD59" i="83" s="1"/>
  <c r="B269" i="83" s="1"/>
  <c r="V59" i="83"/>
  <c r="P59" i="83"/>
  <c r="O59" i="83"/>
  <c r="AF58" i="83"/>
  <c r="B328" i="83" s="1"/>
  <c r="AE58" i="83" a="1"/>
  <c r="AE58" i="83" s="1"/>
  <c r="B298" i="83" s="1"/>
  <c r="AD58" i="83" a="1"/>
  <c r="AD58" i="83" s="1"/>
  <c r="B268" i="83" s="1"/>
  <c r="V58" i="83"/>
  <c r="O58" i="83"/>
  <c r="P58" i="83" s="1"/>
  <c r="AF57" i="83"/>
  <c r="B327" i="83" s="1"/>
  <c r="AE57" i="83" a="1"/>
  <c r="AE57" i="83" s="1"/>
  <c r="B297" i="83" s="1"/>
  <c r="AD57" i="83" a="1"/>
  <c r="AD57" i="83" s="1"/>
  <c r="B267" i="83" s="1"/>
  <c r="V57" i="83"/>
  <c r="O57" i="83"/>
  <c r="P57" i="83" s="1"/>
  <c r="AJ56" i="83"/>
  <c r="AK56" i="83" s="1"/>
  <c r="AF56" i="83"/>
  <c r="B326" i="83" s="1"/>
  <c r="AE56" i="83" a="1"/>
  <c r="AE56" i="83" s="1"/>
  <c r="B296" i="83" s="1"/>
  <c r="AD56" i="83" a="1"/>
  <c r="AD56" i="83" s="1"/>
  <c r="B266" i="83" s="1"/>
  <c r="V56" i="83"/>
  <c r="O56" i="83"/>
  <c r="P56" i="83" s="1"/>
  <c r="AF55" i="83"/>
  <c r="B325" i="83" s="1"/>
  <c r="AE55" i="83" a="1"/>
  <c r="AE55" i="83" s="1"/>
  <c r="B295" i="83" s="1"/>
  <c r="AD55" i="83" a="1"/>
  <c r="AD55" i="83" s="1"/>
  <c r="B265" i="83" s="1"/>
  <c r="V55" i="83"/>
  <c r="O55" i="83"/>
  <c r="P55" i="83" s="1"/>
  <c r="AJ23" i="83" s="1"/>
  <c r="AK23" i="83" s="1"/>
  <c r="AF54" i="83"/>
  <c r="B324" i="83" s="1"/>
  <c r="AE54" i="83" a="1"/>
  <c r="AE54" i="83" s="1"/>
  <c r="B294" i="83" s="1"/>
  <c r="AD54" i="83" a="1"/>
  <c r="AD54" i="83" s="1"/>
  <c r="B264" i="83" s="1"/>
  <c r="V54" i="83"/>
  <c r="O54" i="83"/>
  <c r="P54" i="83" s="1"/>
  <c r="AF53" i="83"/>
  <c r="B323" i="83" s="1"/>
  <c r="AE53" i="83" a="1"/>
  <c r="AE53" i="83" s="1"/>
  <c r="B293" i="83" s="1"/>
  <c r="AD53" i="83" a="1"/>
  <c r="AD53" i="83" s="1"/>
  <c r="B263" i="83" s="1"/>
  <c r="V53" i="83"/>
  <c r="P53" i="83"/>
  <c r="AJ8" i="83" s="1"/>
  <c r="AK8" i="83" s="1"/>
  <c r="O53" i="83"/>
  <c r="V52" i="83"/>
  <c r="O52" i="83"/>
  <c r="P52" i="83" s="1"/>
  <c r="B34" i="83" s="1"/>
  <c r="B52" i="83"/>
  <c r="B51" i="83"/>
  <c r="AJ49" i="83"/>
  <c r="AK49" i="83" s="1"/>
  <c r="V49" i="83"/>
  <c r="O49" i="83"/>
  <c r="P49" i="83" s="1"/>
  <c r="V48" i="83"/>
  <c r="O48" i="83"/>
  <c r="P48" i="83" s="1"/>
  <c r="B32" i="83" s="1"/>
  <c r="V47" i="83"/>
  <c r="P47" i="83"/>
  <c r="AJ35" i="83" s="1"/>
  <c r="AK35" i="83" s="1"/>
  <c r="O47" i="83"/>
  <c r="V46" i="83"/>
  <c r="O46" i="83"/>
  <c r="P46" i="83" s="1"/>
  <c r="V45" i="83"/>
  <c r="O45" i="83"/>
  <c r="P45" i="83" s="1"/>
  <c r="V44" i="83"/>
  <c r="O44" i="83"/>
  <c r="P44" i="83" s="1"/>
  <c r="AJ12" i="83" s="1"/>
  <c r="AK12" i="83" s="1"/>
  <c r="V43" i="83"/>
  <c r="O43" i="83"/>
  <c r="P43" i="83" s="1"/>
  <c r="V42" i="83"/>
  <c r="O42" i="83"/>
  <c r="P42" i="83" s="1"/>
  <c r="AA41" i="83"/>
  <c r="Z41" i="83" s="1"/>
  <c r="B41" i="83"/>
  <c r="AA40" i="83"/>
  <c r="Z40" i="83" s="1"/>
  <c r="AA39" i="83"/>
  <c r="Z39" i="83" s="1"/>
  <c r="AA38" i="83"/>
  <c r="Z38" i="83" s="1"/>
  <c r="V38" i="83"/>
  <c r="O38" i="83"/>
  <c r="P38" i="83"/>
  <c r="AA37" i="83"/>
  <c r="Z37" i="83" s="1"/>
  <c r="V37" i="83"/>
  <c r="O37" i="83"/>
  <c r="P37" i="83" s="1"/>
  <c r="AJ31" i="83" s="1"/>
  <c r="AK31" i="83" s="1"/>
  <c r="AA36" i="83"/>
  <c r="Z36" i="83" s="1"/>
  <c r="V36" i="83"/>
  <c r="O36" i="83"/>
  <c r="P36" i="83"/>
  <c r="B23" i="83" s="1"/>
  <c r="AA35" i="83"/>
  <c r="Z35" i="83" s="1"/>
  <c r="AA34" i="83"/>
  <c r="Z34" i="83" s="1"/>
  <c r="AA33" i="83"/>
  <c r="Z33" i="83" s="1"/>
  <c r="O33" i="83"/>
  <c r="P33" i="83" s="1"/>
  <c r="AJ47" i="83" s="1"/>
  <c r="AA32" i="83"/>
  <c r="Z32" i="83" s="1"/>
  <c r="V32" i="83"/>
  <c r="O32" i="83"/>
  <c r="P32" i="83" s="1"/>
  <c r="B21" i="83" s="1"/>
  <c r="AF31" i="83"/>
  <c r="B174" i="83" s="1"/>
  <c r="AD31" i="83"/>
  <c r="B144" i="83" s="1"/>
  <c r="AA31" i="83"/>
  <c r="Z31" i="83" s="1"/>
  <c r="O31" i="83"/>
  <c r="P31" i="83" s="1"/>
  <c r="B31" i="83"/>
  <c r="AF30" i="83"/>
  <c r="AD30" i="83"/>
  <c r="B143" i="83" s="1"/>
  <c r="AA30" i="83"/>
  <c r="Z30" i="83" s="1"/>
  <c r="AF29" i="83"/>
  <c r="B172" i="83" s="1"/>
  <c r="AD29" i="83"/>
  <c r="B142" i="83" s="1"/>
  <c r="AA29" i="83"/>
  <c r="Z29" i="83" s="1"/>
  <c r="AF28" i="83"/>
  <c r="B171" i="83" s="1"/>
  <c r="AD28" i="83"/>
  <c r="B141" i="83" s="1"/>
  <c r="AA28" i="83"/>
  <c r="Z28" i="83" s="1"/>
  <c r="V28" i="83"/>
  <c r="P28" i="83"/>
  <c r="AJ42" i="83" s="1"/>
  <c r="AK42" i="83" s="1"/>
  <c r="O28" i="83"/>
  <c r="AF27" i="83"/>
  <c r="B170" i="83" s="1"/>
  <c r="AD27" i="83"/>
  <c r="B140" i="83" s="1"/>
  <c r="AA27" i="83"/>
  <c r="Z27" i="83" s="1"/>
  <c r="V27" i="83"/>
  <c r="O27" i="83"/>
  <c r="P27" i="83"/>
  <c r="AJ58" i="83" s="1"/>
  <c r="AK58" i="83" s="1"/>
  <c r="AF26" i="83"/>
  <c r="B169" i="83" s="1"/>
  <c r="AD26" i="83"/>
  <c r="B139" i="83" s="1"/>
  <c r="AA26" i="83"/>
  <c r="Z26" i="83" s="1"/>
  <c r="V26" i="83"/>
  <c r="O26" i="83"/>
  <c r="P26" i="83" s="1"/>
  <c r="B26" i="83"/>
  <c r="AF25" i="83"/>
  <c r="AD25" i="83"/>
  <c r="B138" i="83" s="1"/>
  <c r="AA25" i="83"/>
  <c r="Z25" i="83" s="1"/>
  <c r="AF24" i="83"/>
  <c r="B167" i="83" s="1"/>
  <c r="AD24" i="83"/>
  <c r="B137" i="83" s="1"/>
  <c r="AA24" i="83"/>
  <c r="Z24" i="83" s="1"/>
  <c r="AF23" i="83"/>
  <c r="B166" i="83" s="1"/>
  <c r="AD23" i="83"/>
  <c r="B136" i="83" s="1"/>
  <c r="AA23" i="83"/>
  <c r="Z23" i="83" s="1"/>
  <c r="N23" i="83"/>
  <c r="N8" i="83" s="1"/>
  <c r="AF22" i="83"/>
  <c r="B165" i="83" s="1"/>
  <c r="AD22" i="83"/>
  <c r="B135" i="83" s="1"/>
  <c r="AA22" i="83"/>
  <c r="Z22" i="83" s="1"/>
  <c r="AF21" i="83"/>
  <c r="B164" i="83" s="1"/>
  <c r="AD21" i="83"/>
  <c r="B134" i="83" s="1"/>
  <c r="AA21" i="83"/>
  <c r="N21" i="83"/>
  <c r="AF20" i="83"/>
  <c r="AD20" i="83"/>
  <c r="B133" i="83" s="1"/>
  <c r="AA20" i="83"/>
  <c r="N20" i="83"/>
  <c r="AF19" i="83"/>
  <c r="B162" i="83" s="1"/>
  <c r="AD19" i="83"/>
  <c r="B132" i="83" s="1"/>
  <c r="AA19" i="83"/>
  <c r="N19" i="83"/>
  <c r="AF18" i="83"/>
  <c r="B161" i="83" s="1"/>
  <c r="AD18" i="83"/>
  <c r="B131" i="83" s="1"/>
  <c r="AA18" i="83"/>
  <c r="N18" i="83"/>
  <c r="AF17" i="83"/>
  <c r="B160" i="83" s="1"/>
  <c r="AD17" i="83"/>
  <c r="B130" i="83" s="1"/>
  <c r="AA17" i="83"/>
  <c r="N17" i="83"/>
  <c r="AF16" i="83"/>
  <c r="B159" i="83" s="1"/>
  <c r="AD16" i="83"/>
  <c r="B129" i="83" s="1"/>
  <c r="AA16" i="83"/>
  <c r="B16" i="83"/>
  <c r="AF15" i="83"/>
  <c r="B158" i="83" s="1"/>
  <c r="AD15" i="83"/>
  <c r="B128" i="83" s="1"/>
  <c r="AA15" i="83"/>
  <c r="B15" i="83"/>
  <c r="AF14" i="83"/>
  <c r="AD14" i="83"/>
  <c r="B127" i="83" s="1"/>
  <c r="AA14" i="83"/>
  <c r="B14" i="83"/>
  <c r="AA13" i="83"/>
  <c r="AA12" i="83"/>
  <c r="B12" i="83"/>
  <c r="B13" i="83" s="1"/>
  <c r="AA11" i="83"/>
  <c r="B11" i="83"/>
  <c r="AA10" i="83"/>
  <c r="N10" i="83"/>
  <c r="AA9" i="83"/>
  <c r="B9" i="83"/>
  <c r="B10" i="83" s="1"/>
  <c r="AA8" i="83"/>
  <c r="G8" i="83"/>
  <c r="D8" i="83"/>
  <c r="B8" i="83"/>
  <c r="AJ7" i="83"/>
  <c r="AK7" i="83" s="1"/>
  <c r="D7" i="83"/>
  <c r="B7" i="83"/>
  <c r="B6" i="83"/>
  <c r="AJ5" i="83"/>
  <c r="AK5" i="83" s="1"/>
  <c r="B5" i="83"/>
  <c r="N4" i="83"/>
  <c r="AA3" i="83"/>
  <c r="AJ2" i="83"/>
  <c r="AK2" i="83" s="1"/>
  <c r="B2" i="83"/>
  <c r="M218" i="82"/>
  <c r="L164" i="82"/>
  <c r="N163" i="82"/>
  <c r="L78" i="82"/>
  <c r="N77" i="82"/>
  <c r="N71" i="82"/>
  <c r="N12" i="82" s="1"/>
  <c r="N40" i="82"/>
  <c r="B364" i="82"/>
  <c r="B363" i="82"/>
  <c r="B362" i="82"/>
  <c r="B361" i="82"/>
  <c r="B360" i="82"/>
  <c r="B359" i="82"/>
  <c r="B358" i="82"/>
  <c r="B357" i="82"/>
  <c r="B335" i="82"/>
  <c r="E281" i="82"/>
  <c r="E282" i="82" s="1"/>
  <c r="E283" i="82" s="1"/>
  <c r="E284" i="82" s="1"/>
  <c r="E285" i="82" s="1"/>
  <c r="E286" i="82" s="1"/>
  <c r="E287" i="82" s="1"/>
  <c r="E288" i="82" s="1"/>
  <c r="E289" i="82" s="1"/>
  <c r="E290" i="82" s="1"/>
  <c r="E291" i="82" s="1"/>
  <c r="E292" i="82" s="1"/>
  <c r="E293" i="82" s="1"/>
  <c r="E294" i="82" s="1"/>
  <c r="E295" i="82" s="1"/>
  <c r="E296" i="82" s="1"/>
  <c r="E297" i="82" s="1"/>
  <c r="E298" i="82" s="1"/>
  <c r="E299" i="82" s="1"/>
  <c r="E300" i="82" s="1"/>
  <c r="E301" i="82" s="1"/>
  <c r="E302" i="82" s="1"/>
  <c r="E303" i="82" s="1"/>
  <c r="E304" i="82" s="1"/>
  <c r="E305" i="82" s="1"/>
  <c r="E306" i="82" s="1"/>
  <c r="E307" i="82" s="1"/>
  <c r="E308" i="82" s="1"/>
  <c r="E309" i="82" s="1"/>
  <c r="E310" i="82" s="1"/>
  <c r="E311" i="82" s="1"/>
  <c r="E312" i="82" s="1"/>
  <c r="E313" i="82" s="1"/>
  <c r="E314" i="82" s="1"/>
  <c r="E315" i="82" s="1"/>
  <c r="E316" i="82" s="1"/>
  <c r="H238" i="82"/>
  <c r="H237" i="82"/>
  <c r="H236" i="82"/>
  <c r="F234" i="82"/>
  <c r="H234" i="82" s="1"/>
  <c r="P218" i="82"/>
  <c r="B354" i="82" s="1"/>
  <c r="B216" i="82"/>
  <c r="R215" i="82"/>
  <c r="Q215" i="82"/>
  <c r="O215" i="82"/>
  <c r="P215" i="82" s="1"/>
  <c r="H215" i="82"/>
  <c r="G215" i="82"/>
  <c r="B215" i="82"/>
  <c r="R214" i="82"/>
  <c r="Q214" i="82"/>
  <c r="O214" i="82"/>
  <c r="H214" i="82"/>
  <c r="G214" i="82"/>
  <c r="B214" i="82"/>
  <c r="R213" i="82"/>
  <c r="P213" i="82" s="1"/>
  <c r="Q213" i="82"/>
  <c r="O213" i="82"/>
  <c r="H213" i="82"/>
  <c r="G213" i="82"/>
  <c r="B213" i="82"/>
  <c r="R212" i="82"/>
  <c r="Q212" i="82"/>
  <c r="O212" i="82"/>
  <c r="P212" i="82" s="1"/>
  <c r="H212" i="82"/>
  <c r="G212" i="82"/>
  <c r="B212" i="82"/>
  <c r="R211" i="82"/>
  <c r="P211" i="82" s="1"/>
  <c r="Q211" i="82"/>
  <c r="O211" i="82"/>
  <c r="H211" i="82"/>
  <c r="G211" i="82"/>
  <c r="B211" i="82"/>
  <c r="R210" i="82"/>
  <c r="Q210" i="82"/>
  <c r="O210" i="82"/>
  <c r="P210" i="82" s="1"/>
  <c r="H210" i="82"/>
  <c r="G210" i="82"/>
  <c r="B210" i="82"/>
  <c r="R209" i="82"/>
  <c r="Q209" i="82"/>
  <c r="O209" i="82"/>
  <c r="P209" i="82" s="1"/>
  <c r="H209" i="82"/>
  <c r="G209" i="82"/>
  <c r="B209" i="82"/>
  <c r="R208" i="82"/>
  <c r="Q208" i="82"/>
  <c r="P208" i="82"/>
  <c r="O208" i="82"/>
  <c r="H208" i="82"/>
  <c r="G208" i="82"/>
  <c r="B208" i="82"/>
  <c r="R207" i="82"/>
  <c r="Q207" i="82"/>
  <c r="O207" i="82"/>
  <c r="P207" i="82" s="1"/>
  <c r="H207" i="82"/>
  <c r="G207" i="82"/>
  <c r="B207" i="82"/>
  <c r="R206" i="82"/>
  <c r="Q206" i="82"/>
  <c r="O206" i="82"/>
  <c r="P206" i="82" s="1"/>
  <c r="H206" i="82"/>
  <c r="G206" i="82"/>
  <c r="B206" i="82"/>
  <c r="B205" i="82"/>
  <c r="B204" i="82"/>
  <c r="R203" i="82"/>
  <c r="O203" i="82"/>
  <c r="G203" i="82"/>
  <c r="B203" i="82"/>
  <c r="R202" i="82"/>
  <c r="O202" i="82"/>
  <c r="G202" i="82"/>
  <c r="B202" i="82"/>
  <c r="R201" i="82"/>
  <c r="O201" i="82"/>
  <c r="G201" i="82"/>
  <c r="B201" i="82"/>
  <c r="R200" i="82"/>
  <c r="P200" i="82"/>
  <c r="O200" i="82"/>
  <c r="G200" i="82"/>
  <c r="B200" i="82"/>
  <c r="R199" i="82"/>
  <c r="P199" i="82" s="1"/>
  <c r="AA117" i="82" s="1"/>
  <c r="O199" i="82"/>
  <c r="G199" i="82"/>
  <c r="B199" i="82"/>
  <c r="R198" i="82"/>
  <c r="P198" i="82"/>
  <c r="AA116" i="82" s="1"/>
  <c r="O198" i="82"/>
  <c r="G198" i="82"/>
  <c r="B198" i="82"/>
  <c r="R197" i="82"/>
  <c r="P197" i="82" s="1"/>
  <c r="AA115" i="82" s="1"/>
  <c r="O197" i="82"/>
  <c r="G197" i="82"/>
  <c r="R196" i="82"/>
  <c r="P196" i="82" s="1"/>
  <c r="AA114" i="82" s="1"/>
  <c r="O196" i="82"/>
  <c r="G196" i="82"/>
  <c r="B196" i="82"/>
  <c r="R195" i="82"/>
  <c r="P195" i="82" s="1"/>
  <c r="AA113" i="82" s="1"/>
  <c r="O195" i="82"/>
  <c r="G195" i="82"/>
  <c r="B195" i="82"/>
  <c r="R194" i="82"/>
  <c r="O194" i="82"/>
  <c r="G194" i="82"/>
  <c r="B194" i="82"/>
  <c r="B193" i="82"/>
  <c r="B192" i="82"/>
  <c r="O191" i="82"/>
  <c r="B191" i="82"/>
  <c r="O190" i="82"/>
  <c r="B190" i="82"/>
  <c r="O189" i="82"/>
  <c r="B189" i="82"/>
  <c r="O188" i="82"/>
  <c r="B188" i="82"/>
  <c r="O187" i="82"/>
  <c r="B187" i="82"/>
  <c r="B186" i="82"/>
  <c r="O185" i="82"/>
  <c r="P185" i="82" s="1"/>
  <c r="I185" i="82"/>
  <c r="M191" i="82" s="1"/>
  <c r="B185" i="82"/>
  <c r="O184" i="82"/>
  <c r="P184" i="82" s="1"/>
  <c r="I184" i="82"/>
  <c r="M190" i="82" s="1"/>
  <c r="B184" i="82"/>
  <c r="B183" i="82"/>
  <c r="B182" i="82"/>
  <c r="R181" i="82"/>
  <c r="O181" i="82"/>
  <c r="P181" i="82" s="1"/>
  <c r="AA86" i="82" s="1"/>
  <c r="H181" i="82"/>
  <c r="B181" i="82"/>
  <c r="R180" i="82"/>
  <c r="O180" i="82"/>
  <c r="P180" i="82" s="1"/>
  <c r="AA85" i="82" s="1"/>
  <c r="H180" i="82"/>
  <c r="B180" i="82"/>
  <c r="R179" i="82"/>
  <c r="O179" i="82"/>
  <c r="P179" i="82" s="1"/>
  <c r="AA84" i="82" s="1"/>
  <c r="H179" i="82"/>
  <c r="B179" i="82"/>
  <c r="R178" i="82"/>
  <c r="O178" i="82"/>
  <c r="P178" i="82" s="1"/>
  <c r="AA83" i="82" s="1"/>
  <c r="H178" i="82"/>
  <c r="B178" i="82"/>
  <c r="R177" i="82"/>
  <c r="O177" i="82"/>
  <c r="H177" i="82"/>
  <c r="I164" i="82"/>
  <c r="H164" i="82"/>
  <c r="G164" i="82"/>
  <c r="F164" i="82"/>
  <c r="B162" i="82"/>
  <c r="P161" i="82"/>
  <c r="U40" i="82" s="1"/>
  <c r="O161" i="82"/>
  <c r="P160" i="82"/>
  <c r="AE155" i="82" s="1"/>
  <c r="O160" i="82"/>
  <c r="R157" i="82"/>
  <c r="Q157" i="82"/>
  <c r="O157" i="82"/>
  <c r="H157" i="82"/>
  <c r="R156" i="82"/>
  <c r="P156" i="82" s="1"/>
  <c r="Q156" i="82"/>
  <c r="O156" i="82"/>
  <c r="H156" i="82"/>
  <c r="R155" i="82"/>
  <c r="P155" i="82" s="1"/>
  <c r="Q155" i="82"/>
  <c r="O155" i="82"/>
  <c r="H155" i="82"/>
  <c r="R154" i="82"/>
  <c r="Q154" i="82"/>
  <c r="O154" i="82"/>
  <c r="H154" i="82"/>
  <c r="AF153" i="82" a="1"/>
  <c r="AF153" i="82" s="1"/>
  <c r="B236" i="82" s="1"/>
  <c r="AE153" i="82"/>
  <c r="R153" i="82"/>
  <c r="Q153" i="82"/>
  <c r="O153" i="82"/>
  <c r="H153" i="82"/>
  <c r="AF152" i="82" a="1"/>
  <c r="AF152" i="82" s="1"/>
  <c r="B235" i="82" s="1"/>
  <c r="AE152" i="82"/>
  <c r="R152" i="82"/>
  <c r="Q152" i="82"/>
  <c r="O152" i="82"/>
  <c r="P152" i="82" s="1"/>
  <c r="H152" i="82"/>
  <c r="AF151" i="82" a="1"/>
  <c r="AF151" i="82" s="1"/>
  <c r="B234" i="82" s="1"/>
  <c r="AE151" i="82"/>
  <c r="R151" i="82"/>
  <c r="Q151" i="82"/>
  <c r="O151" i="82"/>
  <c r="P151" i="82" s="1"/>
  <c r="H151" i="82"/>
  <c r="AF150" i="82" a="1"/>
  <c r="AF150" i="82" s="1"/>
  <c r="B233" i="82" s="1"/>
  <c r="AE150" i="82"/>
  <c r="R150" i="82"/>
  <c r="Q150" i="82"/>
  <c r="O150" i="82"/>
  <c r="P150" i="82" s="1"/>
  <c r="H150" i="82"/>
  <c r="AF149" i="82" a="1"/>
  <c r="AF149" i="82" s="1"/>
  <c r="B232" i="82" s="1"/>
  <c r="AE149" i="82"/>
  <c r="R149" i="82"/>
  <c r="Q149" i="82"/>
  <c r="O149" i="82"/>
  <c r="H149" i="82"/>
  <c r="AF148" i="82"/>
  <c r="B231" i="82" s="1"/>
  <c r="AF148" i="82" a="1"/>
  <c r="AE148" i="82"/>
  <c r="R148" i="82"/>
  <c r="Q148" i="82"/>
  <c r="O148" i="82"/>
  <c r="H148" i="82"/>
  <c r="AF147" i="82" a="1"/>
  <c r="AF147" i="82" s="1"/>
  <c r="B230" i="82" s="1"/>
  <c r="AE147" i="82"/>
  <c r="R147" i="82"/>
  <c r="Q147" i="82"/>
  <c r="O147" i="82"/>
  <c r="P147" i="82" s="1"/>
  <c r="H147" i="82"/>
  <c r="AF146" i="82" a="1"/>
  <c r="AF146" i="82" s="1"/>
  <c r="B229" i="82" s="1"/>
  <c r="AE146" i="82"/>
  <c r="R146" i="82"/>
  <c r="Q146" i="82"/>
  <c r="O146" i="82"/>
  <c r="H146" i="82"/>
  <c r="AF145" i="82" a="1"/>
  <c r="AF145" i="82" s="1"/>
  <c r="B228" i="82" s="1"/>
  <c r="AE145" i="82"/>
  <c r="R145" i="82"/>
  <c r="Q145" i="82"/>
  <c r="O145" i="82"/>
  <c r="P145" i="82" s="1"/>
  <c r="H145" i="82"/>
  <c r="AF144" i="82" a="1"/>
  <c r="AF144" i="82" s="1"/>
  <c r="B227" i="82" s="1"/>
  <c r="AE144" i="82"/>
  <c r="R144" i="82"/>
  <c r="P144" i="82" s="1"/>
  <c r="Q144" i="82"/>
  <c r="O144" i="82"/>
  <c r="H144" i="82"/>
  <c r="AF143" i="82" a="1"/>
  <c r="AF143" i="82" s="1"/>
  <c r="B226" i="82" s="1"/>
  <c r="AE143" i="82"/>
  <c r="R143" i="82"/>
  <c r="Q143" i="82"/>
  <c r="O143" i="82"/>
  <c r="H143" i="82"/>
  <c r="AF142" i="82" a="1"/>
  <c r="AF142" i="82" s="1"/>
  <c r="B225" i="82" s="1"/>
  <c r="AE142" i="82"/>
  <c r="R142" i="82"/>
  <c r="Q142" i="82"/>
  <c r="O142" i="82"/>
  <c r="H142" i="82"/>
  <c r="AF141" i="82" a="1"/>
  <c r="AF141" i="82" s="1"/>
  <c r="B224" i="82" s="1"/>
  <c r="AE141" i="82"/>
  <c r="R141" i="82"/>
  <c r="Q141" i="82"/>
  <c r="O141" i="82"/>
  <c r="P141" i="82" s="1"/>
  <c r="H141" i="82"/>
  <c r="AF140" i="82" a="1"/>
  <c r="AF140" i="82" s="1"/>
  <c r="B223" i="82" s="1"/>
  <c r="AE140" i="82"/>
  <c r="R140" i="82"/>
  <c r="Q140" i="82"/>
  <c r="O140" i="82"/>
  <c r="H140" i="82"/>
  <c r="AF139" i="82" a="1"/>
  <c r="AF139" i="82" s="1"/>
  <c r="B222" i="82" s="1"/>
  <c r="AE139" i="82"/>
  <c r="R139" i="82"/>
  <c r="P139" i="82" s="1"/>
  <c r="Q139" i="82"/>
  <c r="O139" i="82"/>
  <c r="H139" i="82"/>
  <c r="AF138" i="82" a="1"/>
  <c r="AF138" i="82" s="1"/>
  <c r="B221" i="82" s="1"/>
  <c r="AE138" i="82"/>
  <c r="R138" i="82"/>
  <c r="Q138" i="82"/>
  <c r="P138" i="82"/>
  <c r="O138" i="82"/>
  <c r="H138" i="82"/>
  <c r="AF137" i="82" a="1"/>
  <c r="AF137" i="82" s="1"/>
  <c r="B220" i="82" s="1"/>
  <c r="AE137" i="82"/>
  <c r="H137" i="82"/>
  <c r="AF136" i="82" a="1"/>
  <c r="AF136" i="82" s="1"/>
  <c r="B219" i="82" s="1"/>
  <c r="AE136" i="82"/>
  <c r="AF135" i="82" a="1"/>
  <c r="AF135" i="82" s="1"/>
  <c r="B218" i="82" s="1"/>
  <c r="AE135" i="82"/>
  <c r="R135" i="82"/>
  <c r="Q135" i="82"/>
  <c r="O135" i="82"/>
  <c r="P135" i="82" s="1"/>
  <c r="B98" i="82" s="1"/>
  <c r="R134" i="82"/>
  <c r="Q134" i="82"/>
  <c r="O134" i="82"/>
  <c r="P134" i="82" s="1"/>
  <c r="B97" i="82" s="1"/>
  <c r="R133" i="82"/>
  <c r="Q133" i="82"/>
  <c r="O133" i="82"/>
  <c r="P133" i="82" s="1"/>
  <c r="B96" i="82" s="1"/>
  <c r="R132" i="82"/>
  <c r="Q132" i="82"/>
  <c r="O132" i="82"/>
  <c r="P132" i="82" s="1"/>
  <c r="B95" i="82" s="1"/>
  <c r="P129" i="82"/>
  <c r="P128" i="82"/>
  <c r="P127" i="82"/>
  <c r="B90" i="82" s="1"/>
  <c r="R126" i="82"/>
  <c r="P126" i="82"/>
  <c r="R129" i="82" s="1"/>
  <c r="P125" i="82"/>
  <c r="P124" i="82"/>
  <c r="B84" i="82" s="1"/>
  <c r="Z121" i="82"/>
  <c r="Z120" i="82"/>
  <c r="O120" i="82"/>
  <c r="P120" i="82" s="1"/>
  <c r="H120" i="82"/>
  <c r="G120" i="82"/>
  <c r="Z119" i="82"/>
  <c r="O119" i="82"/>
  <c r="P119" i="82" s="1"/>
  <c r="H119" i="82"/>
  <c r="G119" i="82"/>
  <c r="AA118" i="82"/>
  <c r="Z118" i="82"/>
  <c r="P118" i="82"/>
  <c r="O118" i="82"/>
  <c r="H118" i="82"/>
  <c r="G118" i="82"/>
  <c r="Z117" i="82"/>
  <c r="O117" i="82"/>
  <c r="P117" i="82" s="1"/>
  <c r="H117" i="82"/>
  <c r="G117" i="82"/>
  <c r="Z116" i="82"/>
  <c r="P116" i="82"/>
  <c r="O116" i="82"/>
  <c r="H116" i="82"/>
  <c r="G116" i="82"/>
  <c r="Z115" i="82"/>
  <c r="P115" i="82"/>
  <c r="O115" i="82"/>
  <c r="H115" i="82"/>
  <c r="G115" i="82"/>
  <c r="Z114" i="82"/>
  <c r="P114" i="82"/>
  <c r="O114" i="82"/>
  <c r="H114" i="82"/>
  <c r="G114" i="82"/>
  <c r="Z113" i="82"/>
  <c r="O113" i="82"/>
  <c r="P113" i="82" s="1"/>
  <c r="H113" i="82"/>
  <c r="G113" i="82"/>
  <c r="Z112" i="82"/>
  <c r="P112" i="82"/>
  <c r="O112" i="82"/>
  <c r="H112" i="82"/>
  <c r="G112" i="82"/>
  <c r="O111" i="82"/>
  <c r="P111" i="82" s="1"/>
  <c r="H111" i="82"/>
  <c r="G111" i="82"/>
  <c r="P110" i="82"/>
  <c r="O110" i="82"/>
  <c r="H110" i="82"/>
  <c r="G110" i="82"/>
  <c r="O109" i="82"/>
  <c r="P109" i="82" s="1"/>
  <c r="H109" i="82"/>
  <c r="G109" i="82"/>
  <c r="O108" i="82"/>
  <c r="P108" i="82" s="1"/>
  <c r="H108" i="82"/>
  <c r="G108" i="82"/>
  <c r="O107" i="82"/>
  <c r="P107" i="82" s="1"/>
  <c r="H107" i="82"/>
  <c r="G107" i="82"/>
  <c r="O106" i="82"/>
  <c r="P106" i="82" s="1"/>
  <c r="H106" i="82"/>
  <c r="G106" i="82"/>
  <c r="O105" i="82"/>
  <c r="P105" i="82" s="1"/>
  <c r="H105" i="82"/>
  <c r="G105" i="82"/>
  <c r="P104" i="82"/>
  <c r="O104" i="82"/>
  <c r="H104" i="82"/>
  <c r="G104" i="82"/>
  <c r="O103" i="82"/>
  <c r="P103" i="82" s="1"/>
  <c r="H103" i="82"/>
  <c r="G103" i="82"/>
  <c r="P102" i="82"/>
  <c r="O102" i="82"/>
  <c r="H102" i="82"/>
  <c r="G102" i="82"/>
  <c r="B102" i="82"/>
  <c r="O101" i="82"/>
  <c r="P101" i="82" s="1"/>
  <c r="H101" i="82"/>
  <c r="G101" i="82"/>
  <c r="B100" i="82"/>
  <c r="B99" i="82"/>
  <c r="R98" i="82"/>
  <c r="Q98" i="82"/>
  <c r="O98" i="82"/>
  <c r="H98" i="82"/>
  <c r="R97" i="82"/>
  <c r="Q97" i="82"/>
  <c r="O97" i="82"/>
  <c r="H97" i="82"/>
  <c r="R96" i="82"/>
  <c r="Q96" i="82"/>
  <c r="O96" i="82"/>
  <c r="H96" i="82"/>
  <c r="R95" i="82"/>
  <c r="Q95" i="82"/>
  <c r="O95" i="82"/>
  <c r="H95" i="82"/>
  <c r="R94" i="82"/>
  <c r="Q94" i="82"/>
  <c r="O94" i="82"/>
  <c r="H94" i="82"/>
  <c r="B94" i="82"/>
  <c r="R93" i="82"/>
  <c r="P93" i="82" s="1"/>
  <c r="Q93" i="82"/>
  <c r="O93" i="82"/>
  <c r="H93" i="82"/>
  <c r="R92" i="82"/>
  <c r="Q92" i="82"/>
  <c r="O92" i="82"/>
  <c r="P92" i="82" s="1"/>
  <c r="H92" i="82"/>
  <c r="B92" i="82"/>
  <c r="R91" i="82"/>
  <c r="Q91" i="82"/>
  <c r="P91" i="82"/>
  <c r="O91" i="82"/>
  <c r="H91" i="82"/>
  <c r="R90" i="82"/>
  <c r="Q90" i="82"/>
  <c r="O90" i="82"/>
  <c r="H90" i="82"/>
  <c r="R89" i="82"/>
  <c r="Q89" i="82"/>
  <c r="P89" i="82"/>
  <c r="O89" i="82"/>
  <c r="H89" i="82"/>
  <c r="R88" i="82"/>
  <c r="Q88" i="82"/>
  <c r="O88" i="82"/>
  <c r="H88" i="82"/>
  <c r="R87" i="82"/>
  <c r="Q87" i="82"/>
  <c r="O87" i="82"/>
  <c r="H87" i="82"/>
  <c r="R86" i="82"/>
  <c r="Q86" i="82"/>
  <c r="O86" i="82"/>
  <c r="H86" i="82"/>
  <c r="R85" i="82"/>
  <c r="Q85" i="82"/>
  <c r="P85" i="82"/>
  <c r="O85" i="82"/>
  <c r="H85" i="82"/>
  <c r="B85" i="82"/>
  <c r="R84" i="82"/>
  <c r="Q84" i="82"/>
  <c r="O84" i="82"/>
  <c r="H84" i="82"/>
  <c r="R83" i="82"/>
  <c r="Q83" i="82"/>
  <c r="O83" i="82"/>
  <c r="H83" i="82"/>
  <c r="B83" i="82"/>
  <c r="R82" i="82"/>
  <c r="Q82" i="82"/>
  <c r="O82" i="82"/>
  <c r="P82" i="82" s="1"/>
  <c r="H82" i="82"/>
  <c r="B82" i="82"/>
  <c r="R81" i="82"/>
  <c r="P81" i="82" s="1"/>
  <c r="Q81" i="82"/>
  <c r="O81" i="82"/>
  <c r="H81" i="82"/>
  <c r="B81" i="82"/>
  <c r="R80" i="82"/>
  <c r="Q80" i="82"/>
  <c r="O80" i="82"/>
  <c r="H80" i="82"/>
  <c r="B80" i="82"/>
  <c r="R79" i="82"/>
  <c r="Q79" i="82"/>
  <c r="O79" i="82"/>
  <c r="P79" i="82" s="1"/>
  <c r="H79" i="82"/>
  <c r="B79" i="82"/>
  <c r="B78" i="82"/>
  <c r="B77" i="82"/>
  <c r="B76" i="82"/>
  <c r="B75" i="82"/>
  <c r="O74" i="82"/>
  <c r="B74" i="82"/>
  <c r="AF73" i="82"/>
  <c r="B343" i="82" s="1"/>
  <c r="AE73" i="82" a="1"/>
  <c r="AE73" i="82" s="1"/>
  <c r="B313" i="82" s="1"/>
  <c r="AD73" i="82" a="1"/>
  <c r="AD73" i="82" s="1"/>
  <c r="B283" i="82" s="1"/>
  <c r="O73" i="82"/>
  <c r="P73" i="82" s="1"/>
  <c r="B73" i="82"/>
  <c r="AF72" i="82"/>
  <c r="B342" i="82" s="1"/>
  <c r="AE72" i="82" a="1"/>
  <c r="AE72" i="82" s="1"/>
  <c r="B312" i="82" s="1"/>
  <c r="AD72" i="82" a="1"/>
  <c r="AD72" i="82" s="1"/>
  <c r="B282" i="82" s="1"/>
  <c r="O72" i="82"/>
  <c r="P72" i="82" s="1"/>
  <c r="B72" i="82"/>
  <c r="AF71" i="82"/>
  <c r="B341" i="82" s="1"/>
  <c r="AE71" i="82" a="1"/>
  <c r="AE71" i="82" s="1"/>
  <c r="B311" i="82" s="1"/>
  <c r="AD71" i="82" a="1"/>
  <c r="AD71" i="82" s="1"/>
  <c r="B281" i="82" s="1"/>
  <c r="B71" i="82"/>
  <c r="AF70" i="82"/>
  <c r="B340" i="82" s="1"/>
  <c r="AE70" i="82" a="1"/>
  <c r="AE70" i="82" s="1"/>
  <c r="B310" i="82" s="1"/>
  <c r="AD70" i="82" a="1"/>
  <c r="AD70" i="82" s="1"/>
  <c r="B280" i="82" s="1"/>
  <c r="B70" i="82"/>
  <c r="AF69" i="82"/>
  <c r="B339" i="82" s="1"/>
  <c r="AE69" i="82" a="1"/>
  <c r="AE69" i="82" s="1"/>
  <c r="B309" i="82" s="1"/>
  <c r="AD69" i="82" a="1"/>
  <c r="AD69" i="82" s="1"/>
  <c r="B279" i="82" s="1"/>
  <c r="V69" i="82"/>
  <c r="O69" i="82"/>
  <c r="P69" i="82" s="1"/>
  <c r="B69" i="82"/>
  <c r="AF68" i="82"/>
  <c r="B338" i="82" s="1"/>
  <c r="AE68" i="82" a="1"/>
  <c r="AE68" i="82" s="1"/>
  <c r="B308" i="82" s="1"/>
  <c r="AD68" i="82" a="1"/>
  <c r="AD68" i="82" s="1"/>
  <c r="B278" i="82" s="1"/>
  <c r="V68" i="82"/>
  <c r="O68" i="82"/>
  <c r="P68" i="82" s="1"/>
  <c r="B48" i="82" s="1"/>
  <c r="B68" i="82"/>
  <c r="AF67" i="82"/>
  <c r="B337" i="82" s="1"/>
  <c r="AE67" i="82" a="1"/>
  <c r="AE67" i="82" s="1"/>
  <c r="B307" i="82" s="1"/>
  <c r="AD67" i="82"/>
  <c r="B277" i="82" s="1"/>
  <c r="AD67" i="82" a="1"/>
  <c r="V67" i="82"/>
  <c r="O67" i="82"/>
  <c r="P67" i="82" s="1"/>
  <c r="B67" i="82"/>
  <c r="AF66" i="82"/>
  <c r="B336" i="82" s="1"/>
  <c r="AE66" i="82" a="1"/>
  <c r="AE66" i="82" s="1"/>
  <c r="B306" i="82" s="1"/>
  <c r="AD66" i="82" a="1"/>
  <c r="AD66" i="82" s="1"/>
  <c r="B276" i="82" s="1"/>
  <c r="V66" i="82"/>
  <c r="P66" i="82"/>
  <c r="O66" i="82"/>
  <c r="B66" i="82"/>
  <c r="AF65" i="82"/>
  <c r="AE65" i="82" a="1"/>
  <c r="AE65" i="82" s="1"/>
  <c r="B305" i="82" s="1"/>
  <c r="AD65" i="82"/>
  <c r="B275" i="82" s="1"/>
  <c r="AD65" i="82" a="1"/>
  <c r="V65" i="82"/>
  <c r="O65" i="82"/>
  <c r="P65" i="82" s="1"/>
  <c r="B65" i="82"/>
  <c r="AF64" i="82"/>
  <c r="B334" i="82" s="1"/>
  <c r="AE64" i="82" a="1"/>
  <c r="AE64" i="82" s="1"/>
  <c r="B304" i="82" s="1"/>
  <c r="AD64" i="82" a="1"/>
  <c r="AD64" i="82" s="1"/>
  <c r="B274" i="82" s="1"/>
  <c r="V64" i="82"/>
  <c r="P64" i="82"/>
  <c r="AJ22" i="82" s="1"/>
  <c r="AK22" i="82" s="1"/>
  <c r="O64" i="82"/>
  <c r="B64" i="82"/>
  <c r="AF63" i="82"/>
  <c r="B333" i="82" s="1"/>
  <c r="AE63" i="82" a="1"/>
  <c r="AE63" i="82" s="1"/>
  <c r="B303" i="82" s="1"/>
  <c r="AD63" i="82"/>
  <c r="B273" i="82" s="1"/>
  <c r="AD63" i="82" a="1"/>
  <c r="V63" i="82"/>
  <c r="O63" i="82"/>
  <c r="P63" i="82" s="1"/>
  <c r="B63" i="82"/>
  <c r="AF62" i="82"/>
  <c r="B332" i="82" s="1"/>
  <c r="AE62" i="82" a="1"/>
  <c r="AE62" i="82" s="1"/>
  <c r="B302" i="82" s="1"/>
  <c r="AD62" i="82" a="1"/>
  <c r="AD62" i="82" s="1"/>
  <c r="B272" i="82" s="1"/>
  <c r="V62" i="82"/>
  <c r="P62" i="82"/>
  <c r="B42" i="82" s="1"/>
  <c r="O62" i="82"/>
  <c r="B62" i="82"/>
  <c r="AF61" i="82"/>
  <c r="B331" i="82" s="1"/>
  <c r="AE61" i="82" a="1"/>
  <c r="AE61" i="82" s="1"/>
  <c r="B301" i="82" s="1"/>
  <c r="AD61" i="82" a="1"/>
  <c r="AD61" i="82" s="1"/>
  <c r="B271" i="82" s="1"/>
  <c r="B61" i="82"/>
  <c r="AF60" i="82"/>
  <c r="B330" i="82" s="1"/>
  <c r="AE60" i="82" a="1"/>
  <c r="AE60" i="82" s="1"/>
  <c r="B300" i="82" s="1"/>
  <c r="AD60" i="82" a="1"/>
  <c r="AD60" i="82" s="1"/>
  <c r="B270" i="82" s="1"/>
  <c r="B60" i="82"/>
  <c r="AF59" i="82"/>
  <c r="B329" i="82" s="1"/>
  <c r="AE59" i="82" a="1"/>
  <c r="AE59" i="82" s="1"/>
  <c r="B299" i="82" s="1"/>
  <c r="AD59" i="82" a="1"/>
  <c r="AD59" i="82" s="1"/>
  <c r="B269" i="82" s="1"/>
  <c r="V59" i="82"/>
  <c r="P59" i="82"/>
  <c r="O59" i="82"/>
  <c r="AF58" i="82"/>
  <c r="B328" i="82" s="1"/>
  <c r="AE58" i="82" a="1"/>
  <c r="AE58" i="82" s="1"/>
  <c r="B298" i="82" s="1"/>
  <c r="AD58" i="82" a="1"/>
  <c r="AD58" i="82" s="1"/>
  <c r="B268" i="82" s="1"/>
  <c r="V58" i="82"/>
  <c r="O58" i="82"/>
  <c r="P58" i="82" s="1"/>
  <c r="AF57" i="82"/>
  <c r="B327" i="82" s="1"/>
  <c r="AE57" i="82" a="1"/>
  <c r="AE57" i="82" s="1"/>
  <c r="B297" i="82" s="1"/>
  <c r="AD57" i="82" a="1"/>
  <c r="AD57" i="82" s="1"/>
  <c r="B267" i="82" s="1"/>
  <c r="V57" i="82"/>
  <c r="O57" i="82"/>
  <c r="P57" i="82" s="1"/>
  <c r="AJ56" i="82"/>
  <c r="AK56" i="82" s="1"/>
  <c r="AF56" i="82"/>
  <c r="B326" i="82" s="1"/>
  <c r="AE56" i="82" a="1"/>
  <c r="AE56" i="82" s="1"/>
  <c r="B296" i="82" s="1"/>
  <c r="AD56" i="82"/>
  <c r="B266" i="82" s="1"/>
  <c r="AD56" i="82" a="1"/>
  <c r="V56" i="82"/>
  <c r="O56" i="82"/>
  <c r="P56" i="82" s="1"/>
  <c r="AF55" i="82"/>
  <c r="B325" i="82" s="1"/>
  <c r="AE55" i="82" a="1"/>
  <c r="AE55" i="82" s="1"/>
  <c r="B295" i="82" s="1"/>
  <c r="AD55" i="82"/>
  <c r="B265" i="82" s="1"/>
  <c r="AD55" i="82" a="1"/>
  <c r="V55" i="82"/>
  <c r="P55" i="82"/>
  <c r="B37" i="82" s="1"/>
  <c r="O55" i="82"/>
  <c r="AF54" i="82"/>
  <c r="B324" i="82" s="1"/>
  <c r="AE54" i="82" a="1"/>
  <c r="AE54" i="82" s="1"/>
  <c r="B294" i="82" s="1"/>
  <c r="AD54" i="82"/>
  <c r="B264" i="82" s="1"/>
  <c r="AD54" i="82" a="1"/>
  <c r="V54" i="82"/>
  <c r="P54" i="82"/>
  <c r="B36" i="82" s="1"/>
  <c r="O54" i="82"/>
  <c r="AF53" i="82"/>
  <c r="B323" i="82" s="1"/>
  <c r="AE53" i="82" a="1"/>
  <c r="AE53" i="82" s="1"/>
  <c r="B293" i="82" s="1"/>
  <c r="AD53" i="82"/>
  <c r="B263" i="82" s="1"/>
  <c r="AD53" i="82" a="1"/>
  <c r="V53" i="82"/>
  <c r="O53" i="82"/>
  <c r="P53" i="82" s="1"/>
  <c r="AF52" i="82"/>
  <c r="B322" i="82" s="1"/>
  <c r="AE52" i="82" a="1"/>
  <c r="AE52" i="82" s="1"/>
  <c r="B292" i="82" s="1"/>
  <c r="AD52" i="82" a="1"/>
  <c r="AD52" i="82" s="1"/>
  <c r="B262" i="82" s="1"/>
  <c r="V52" i="82"/>
  <c r="P52" i="82"/>
  <c r="B34" i="82" s="1"/>
  <c r="O52" i="82"/>
  <c r="V49" i="82"/>
  <c r="P49" i="82"/>
  <c r="AJ43" i="82" s="1"/>
  <c r="AK43" i="82" s="1"/>
  <c r="O49" i="82"/>
  <c r="V48" i="82"/>
  <c r="O48" i="82"/>
  <c r="P48" i="82" s="1"/>
  <c r="B32" i="82" s="1"/>
  <c r="V47" i="82"/>
  <c r="O47" i="82"/>
  <c r="P47" i="82" s="1"/>
  <c r="V46" i="82"/>
  <c r="O46" i="82"/>
  <c r="P46" i="82" s="1"/>
  <c r="V45" i="82"/>
  <c r="P45" i="82"/>
  <c r="B29" i="82" s="1"/>
  <c r="O45" i="82"/>
  <c r="V44" i="82"/>
  <c r="O44" i="82"/>
  <c r="P44" i="82" s="1"/>
  <c r="B44" i="82"/>
  <c r="V43" i="82"/>
  <c r="O43" i="82"/>
  <c r="P43" i="82" s="1"/>
  <c r="V42" i="82"/>
  <c r="O42" i="82"/>
  <c r="P42" i="82" s="1"/>
  <c r="AJ2" i="82" s="1"/>
  <c r="AK2" i="82" s="1"/>
  <c r="AA41" i="82"/>
  <c r="Z41" i="82" s="1"/>
  <c r="B41" i="82"/>
  <c r="AA40" i="82"/>
  <c r="Z40" i="82" s="1"/>
  <c r="AA39" i="82"/>
  <c r="Z39" i="82" s="1"/>
  <c r="AA38" i="82"/>
  <c r="Z38" i="82" s="1"/>
  <c r="V38" i="82"/>
  <c r="P38" i="82"/>
  <c r="O38" i="82"/>
  <c r="AA37" i="82"/>
  <c r="Z37" i="82" s="1"/>
  <c r="V37" i="82"/>
  <c r="O37" i="82"/>
  <c r="P37" i="82" s="1"/>
  <c r="AJ31" i="82" s="1"/>
  <c r="AK31" i="82" s="1"/>
  <c r="AA36" i="82"/>
  <c r="Z36" i="82" s="1"/>
  <c r="V36" i="82"/>
  <c r="O36" i="82"/>
  <c r="P36" i="82" s="1"/>
  <c r="AA35" i="82"/>
  <c r="Z35" i="82" s="1"/>
  <c r="AA34" i="82"/>
  <c r="Z34" i="82" s="1"/>
  <c r="AA33" i="82"/>
  <c r="Z33" i="82" s="1"/>
  <c r="O33" i="82"/>
  <c r="P33" i="82"/>
  <c r="AA32" i="82"/>
  <c r="Z32" i="82" s="1"/>
  <c r="V32" i="82"/>
  <c r="O32" i="82"/>
  <c r="P32" i="82"/>
  <c r="AF31" i="82"/>
  <c r="B174" i="82" s="1"/>
  <c r="AD31" i="82"/>
  <c r="B144" i="82" s="1"/>
  <c r="AA31" i="82"/>
  <c r="Z31" i="82" s="1"/>
  <c r="O31" i="82"/>
  <c r="P31" i="82"/>
  <c r="AF30" i="82"/>
  <c r="B173" i="82" s="1"/>
  <c r="AD30" i="82"/>
  <c r="B143" i="82" s="1"/>
  <c r="AA30" i="82"/>
  <c r="Z30" i="82" s="1"/>
  <c r="AF29" i="82"/>
  <c r="B172" i="82" s="1"/>
  <c r="AD29" i="82"/>
  <c r="B142" i="82" s="1"/>
  <c r="AA29" i="82"/>
  <c r="Z29" i="82" s="1"/>
  <c r="AJ28" i="82"/>
  <c r="AK28" i="82" s="1"/>
  <c r="AF28" i="82"/>
  <c r="B171" i="82" s="1"/>
  <c r="AD28" i="82"/>
  <c r="B141" i="82" s="1"/>
  <c r="AA28" i="82"/>
  <c r="Z28" i="82" s="1"/>
  <c r="V28" i="82"/>
  <c r="O28" i="82"/>
  <c r="AF27" i="82"/>
  <c r="B170" i="82" s="1"/>
  <c r="AD27" i="82"/>
  <c r="B140" i="82" s="1"/>
  <c r="AA27" i="82"/>
  <c r="Z27" i="82" s="1"/>
  <c r="V27" i="82"/>
  <c r="P27" i="82"/>
  <c r="AJ58" i="82" s="1"/>
  <c r="AK58" i="82" s="1"/>
  <c r="O27" i="82"/>
  <c r="AF26" i="82"/>
  <c r="B169" i="82" s="1"/>
  <c r="AD26" i="82"/>
  <c r="B139" i="82" s="1"/>
  <c r="AA26" i="82"/>
  <c r="Z26" i="82" s="1"/>
  <c r="V26" i="82"/>
  <c r="O26" i="82"/>
  <c r="AF25" i="82"/>
  <c r="B168" i="82" s="1"/>
  <c r="AD25" i="82"/>
  <c r="B138" i="82" s="1"/>
  <c r="AA25" i="82"/>
  <c r="Z25" i="82" s="1"/>
  <c r="AF24" i="82"/>
  <c r="B167" i="82" s="1"/>
  <c r="AD24" i="82"/>
  <c r="B137" i="82" s="1"/>
  <c r="AA24" i="82"/>
  <c r="Z24" i="82" s="1"/>
  <c r="AJ23" i="82"/>
  <c r="AK23" i="82" s="1"/>
  <c r="AF23" i="82"/>
  <c r="B166" i="82" s="1"/>
  <c r="AD23" i="82"/>
  <c r="B136" i="82" s="1"/>
  <c r="AA23" i="82"/>
  <c r="Z23" i="82" s="1"/>
  <c r="N23" i="82"/>
  <c r="N8" i="82" s="1"/>
  <c r="AF22" i="82"/>
  <c r="B165" i="82" s="1"/>
  <c r="AD22" i="82"/>
  <c r="B135" i="82" s="1"/>
  <c r="AA22" i="82"/>
  <c r="Z22" i="82" s="1"/>
  <c r="AJ21" i="82"/>
  <c r="AK21" i="82" s="1"/>
  <c r="AF21" i="82"/>
  <c r="B164" i="82" s="1"/>
  <c r="AD21" i="82"/>
  <c r="B134" i="82" s="1"/>
  <c r="AA21" i="82"/>
  <c r="N21" i="82"/>
  <c r="AJ20" i="82"/>
  <c r="AK20" i="82" s="1"/>
  <c r="AF20" i="82"/>
  <c r="B163" i="82" s="1"/>
  <c r="AD20" i="82"/>
  <c r="B133" i="82" s="1"/>
  <c r="AA20" i="82"/>
  <c r="N20" i="82"/>
  <c r="AF19" i="82"/>
  <c r="AD19" i="82"/>
  <c r="B132" i="82" s="1"/>
  <c r="AA19" i="82"/>
  <c r="N19" i="82"/>
  <c r="AF18" i="82"/>
  <c r="B161" i="82" s="1"/>
  <c r="AD18" i="82"/>
  <c r="B131" i="82" s="1"/>
  <c r="AA18" i="82"/>
  <c r="N18" i="82"/>
  <c r="AF17" i="82"/>
  <c r="B160" i="82" s="1"/>
  <c r="AD17" i="82"/>
  <c r="B130" i="82" s="1"/>
  <c r="AA17" i="82"/>
  <c r="N17" i="82"/>
  <c r="N16" i="82" s="1"/>
  <c r="N5" i="82" s="1"/>
  <c r="AF16" i="82"/>
  <c r="B159" i="82" s="1"/>
  <c r="AD16" i="82"/>
  <c r="B129" i="82" s="1"/>
  <c r="AA16" i="82"/>
  <c r="B16" i="82"/>
  <c r="AF15" i="82"/>
  <c r="B158" i="82" s="1"/>
  <c r="AD15" i="82"/>
  <c r="B128" i="82" s="1"/>
  <c r="AA15" i="82"/>
  <c r="B15" i="82"/>
  <c r="AF14" i="82"/>
  <c r="B157" i="82" s="1"/>
  <c r="AD14" i="82"/>
  <c r="B127" i="82" s="1"/>
  <c r="AA14" i="82"/>
  <c r="B14" i="82"/>
  <c r="AF13" i="82"/>
  <c r="B156" i="82" s="1"/>
  <c r="AD13" i="82"/>
  <c r="B126" i="82" s="1"/>
  <c r="AA13" i="82"/>
  <c r="AF12" i="82"/>
  <c r="B155" i="82" s="1"/>
  <c r="AD12" i="82"/>
  <c r="B125" i="82" s="1"/>
  <c r="AA12" i="82"/>
  <c r="B12" i="82"/>
  <c r="B13" i="82" s="1"/>
  <c r="AF11" i="82"/>
  <c r="B154" i="82" s="1"/>
  <c r="AD11" i="82"/>
  <c r="B124" i="82" s="1"/>
  <c r="AA11" i="82"/>
  <c r="N11" i="82"/>
  <c r="B11" i="82"/>
  <c r="AJ10" i="82"/>
  <c r="AK10" i="82" s="1"/>
  <c r="AF10" i="82"/>
  <c r="B153" i="82" s="1"/>
  <c r="AD10" i="82"/>
  <c r="B123" i="82" s="1"/>
  <c r="AA10" i="82"/>
  <c r="N10" i="82"/>
  <c r="AF9" i="82"/>
  <c r="B152" i="82" s="1"/>
  <c r="AD9" i="82"/>
  <c r="B122" i="82" s="1"/>
  <c r="AA9" i="82"/>
  <c r="B9" i="82"/>
  <c r="B10" i="82" s="1"/>
  <c r="AF8" i="82"/>
  <c r="B151" i="82" s="1"/>
  <c r="AD8" i="82"/>
  <c r="B121" i="82" s="1"/>
  <c r="AA8" i="82"/>
  <c r="G8" i="82"/>
  <c r="D8" i="82"/>
  <c r="B8" i="82"/>
  <c r="AF7" i="82"/>
  <c r="B150" i="82" s="1"/>
  <c r="AD7" i="82"/>
  <c r="B120" i="82" s="1"/>
  <c r="AA7" i="82"/>
  <c r="D7" i="82"/>
  <c r="B7" i="82"/>
  <c r="AF6" i="82"/>
  <c r="B149" i="82" s="1"/>
  <c r="AD6" i="82"/>
  <c r="B119" i="82" s="1"/>
  <c r="AA6" i="82"/>
  <c r="B6" i="82"/>
  <c r="AF5" i="82"/>
  <c r="B148" i="82" s="1"/>
  <c r="AD5" i="82"/>
  <c r="B118" i="82" s="1"/>
  <c r="AA5" i="82"/>
  <c r="B5" i="82"/>
  <c r="AF4" i="82"/>
  <c r="B147" i="82" s="1"/>
  <c r="AD4" i="82"/>
  <c r="B117" i="82" s="1"/>
  <c r="AA4" i="82"/>
  <c r="N4" i="82"/>
  <c r="AA2" i="82"/>
  <c r="B2" i="82"/>
  <c r="G215" i="81"/>
  <c r="G214" i="81"/>
  <c r="G213" i="81"/>
  <c r="G212" i="81"/>
  <c r="G211" i="81"/>
  <c r="G210" i="81"/>
  <c r="G209" i="81"/>
  <c r="G208" i="81"/>
  <c r="G207" i="81"/>
  <c r="G206" i="81"/>
  <c r="G203" i="81"/>
  <c r="G202" i="81"/>
  <c r="G201" i="81"/>
  <c r="G200" i="81"/>
  <c r="Z118" i="81" s="1"/>
  <c r="G199" i="81"/>
  <c r="Z117" i="81" s="1"/>
  <c r="G198" i="81"/>
  <c r="G197" i="81"/>
  <c r="G196" i="81"/>
  <c r="G195" i="81"/>
  <c r="G194" i="81"/>
  <c r="G164" i="81"/>
  <c r="F164" i="81"/>
  <c r="F160" i="81"/>
  <c r="G157" i="81"/>
  <c r="G156" i="81"/>
  <c r="G155" i="81"/>
  <c r="G154" i="81"/>
  <c r="G153" i="81"/>
  <c r="G152" i="81"/>
  <c r="G151" i="81"/>
  <c r="G150" i="81"/>
  <c r="G149" i="81"/>
  <c r="G148" i="81"/>
  <c r="G147" i="81"/>
  <c r="G146" i="81"/>
  <c r="G145" i="81"/>
  <c r="G144" i="81"/>
  <c r="G143" i="81"/>
  <c r="G142" i="81"/>
  <c r="G141" i="81"/>
  <c r="M124" i="81"/>
  <c r="P124" i="81" s="1"/>
  <c r="B84" i="81" s="1"/>
  <c r="L61" i="81"/>
  <c r="L51" i="81"/>
  <c r="L41" i="81"/>
  <c r="L35" i="81"/>
  <c r="L30" i="81"/>
  <c r="L25" i="81"/>
  <c r="G157" i="80"/>
  <c r="G156" i="80"/>
  <c r="G155" i="80"/>
  <c r="G154" i="80"/>
  <c r="G153" i="80"/>
  <c r="G152" i="80"/>
  <c r="G151" i="80"/>
  <c r="G150" i="80"/>
  <c r="G149" i="80"/>
  <c r="G148" i="80"/>
  <c r="G147" i="80"/>
  <c r="G146" i="80"/>
  <c r="G145" i="80"/>
  <c r="G144" i="80"/>
  <c r="G143" i="80"/>
  <c r="G142" i="80"/>
  <c r="G141" i="80"/>
  <c r="Z121" i="81"/>
  <c r="Z116" i="81"/>
  <c r="G101" i="81"/>
  <c r="G102" i="81"/>
  <c r="G103" i="81"/>
  <c r="G104" i="81"/>
  <c r="G105" i="81"/>
  <c r="G106" i="81"/>
  <c r="G107" i="81"/>
  <c r="G108" i="81"/>
  <c r="G109" i="81"/>
  <c r="G110" i="81"/>
  <c r="G111" i="81"/>
  <c r="G112" i="81"/>
  <c r="G113" i="81"/>
  <c r="G114" i="81"/>
  <c r="G115" i="81"/>
  <c r="G116" i="81"/>
  <c r="G117" i="81"/>
  <c r="G118" i="81"/>
  <c r="G119" i="81"/>
  <c r="G120" i="81"/>
  <c r="Z112" i="81"/>
  <c r="Z113" i="81"/>
  <c r="Z114" i="81"/>
  <c r="F234" i="81"/>
  <c r="H234" i="81" s="1"/>
  <c r="Z120" i="81"/>
  <c r="M218" i="81"/>
  <c r="P218" i="81" s="1"/>
  <c r="B354" i="81" s="1"/>
  <c r="L164" i="81"/>
  <c r="N163" i="81"/>
  <c r="L78" i="81"/>
  <c r="N77" i="81"/>
  <c r="N71" i="81"/>
  <c r="N40" i="81"/>
  <c r="B87" i="81"/>
  <c r="B87" i="80"/>
  <c r="F129" i="77" a="1"/>
  <c r="F129" i="77" s="1"/>
  <c r="B93" i="77" s="1"/>
  <c r="E129" i="77" a="1"/>
  <c r="E129" i="77" s="1"/>
  <c r="F128" i="77" a="1"/>
  <c r="F128" i="77" s="1"/>
  <c r="B91" i="77" s="1"/>
  <c r="E128" i="77" a="1"/>
  <c r="E128" i="77" s="1"/>
  <c r="F127" i="77" a="1"/>
  <c r="F127" i="77" s="1"/>
  <c r="B89" i="77" s="1"/>
  <c r="E127" i="77" a="1"/>
  <c r="E127" i="77" s="1"/>
  <c r="F126" i="77"/>
  <c r="E126" i="77"/>
  <c r="E125" i="77"/>
  <c r="B87" i="76"/>
  <c r="B87" i="75"/>
  <c r="B87" i="74"/>
  <c r="F129" i="29" a="1"/>
  <c r="F129" i="29" s="1"/>
  <c r="B93" i="29" s="1"/>
  <c r="E129" i="29" a="1"/>
  <c r="E129" i="29" s="1"/>
  <c r="F128" i="29"/>
  <c r="F128" i="29" a="1"/>
  <c r="E128" i="29" a="1"/>
  <c r="E128" i="29" s="1"/>
  <c r="F127" i="29" a="1"/>
  <c r="F127" i="29" s="1"/>
  <c r="B89" i="29" s="1"/>
  <c r="E127" i="29" a="1"/>
  <c r="E127" i="29" s="1"/>
  <c r="AA137" i="29" s="1"/>
  <c r="F126" i="29"/>
  <c r="E126" i="29"/>
  <c r="E125" i="29"/>
  <c r="B347" i="29" s="1"/>
  <c r="B352" i="29" s="1"/>
  <c r="B87" i="73"/>
  <c r="B87" i="77"/>
  <c r="B364" i="81"/>
  <c r="B363" i="81"/>
  <c r="B362" i="81"/>
  <c r="B361" i="81"/>
  <c r="B360" i="81"/>
  <c r="B359" i="81"/>
  <c r="B358" i="81"/>
  <c r="B357" i="81"/>
  <c r="B343" i="81"/>
  <c r="B342" i="81"/>
  <c r="B341" i="81"/>
  <c r="B340" i="81"/>
  <c r="B339" i="81"/>
  <c r="B338" i="81"/>
  <c r="B337" i="81"/>
  <c r="B336" i="81"/>
  <c r="B335" i="81"/>
  <c r="B334" i="81"/>
  <c r="B333" i="81"/>
  <c r="B332" i="81"/>
  <c r="B331" i="81"/>
  <c r="B330" i="81"/>
  <c r="B329" i="81"/>
  <c r="B328" i="81"/>
  <c r="B327" i="81"/>
  <c r="B326" i="81"/>
  <c r="B325" i="81"/>
  <c r="B324" i="81"/>
  <c r="B323" i="81"/>
  <c r="B322" i="81"/>
  <c r="B321" i="81"/>
  <c r="B216" i="81"/>
  <c r="B215" i="81"/>
  <c r="B214" i="81"/>
  <c r="B213" i="81"/>
  <c r="B212" i="81"/>
  <c r="B211" i="81"/>
  <c r="B210" i="81"/>
  <c r="B209" i="81"/>
  <c r="B208" i="81"/>
  <c r="B207" i="81"/>
  <c r="B206" i="81"/>
  <c r="B205" i="81"/>
  <c r="B204" i="81"/>
  <c r="B203" i="81"/>
  <c r="B202" i="81"/>
  <c r="B201" i="81"/>
  <c r="B200" i="81"/>
  <c r="B199" i="81"/>
  <c r="B198" i="81"/>
  <c r="B196" i="81"/>
  <c r="B195" i="81"/>
  <c r="B194" i="81"/>
  <c r="B193" i="81"/>
  <c r="B192" i="81"/>
  <c r="B191" i="81"/>
  <c r="B190" i="81"/>
  <c r="B189" i="81"/>
  <c r="B188" i="81"/>
  <c r="B187" i="81"/>
  <c r="B186" i="81"/>
  <c r="B185" i="81"/>
  <c r="B184" i="81"/>
  <c r="B183" i="81"/>
  <c r="B182" i="81"/>
  <c r="B181" i="81"/>
  <c r="B180" i="81"/>
  <c r="B179" i="81"/>
  <c r="B178" i="81"/>
  <c r="B174" i="81"/>
  <c r="B173" i="81"/>
  <c r="B172" i="81"/>
  <c r="B171" i="81"/>
  <c r="B170" i="81"/>
  <c r="B169" i="81"/>
  <c r="B168" i="81"/>
  <c r="B167" i="81"/>
  <c r="B166" i="81"/>
  <c r="B165" i="81"/>
  <c r="B164" i="81"/>
  <c r="B163" i="81"/>
  <c r="B162" i="81"/>
  <c r="B161" i="81"/>
  <c r="B160" i="81"/>
  <c r="B159" i="81"/>
  <c r="B158" i="81"/>
  <c r="B157" i="81"/>
  <c r="B156" i="81"/>
  <c r="B155" i="81"/>
  <c r="B154" i="81"/>
  <c r="B153" i="81"/>
  <c r="B152" i="81"/>
  <c r="B151" i="81"/>
  <c r="B150" i="81"/>
  <c r="B102" i="81"/>
  <c r="B100" i="81"/>
  <c r="B94" i="81"/>
  <c r="B92" i="81"/>
  <c r="B90" i="81"/>
  <c r="B83" i="81"/>
  <c r="B82" i="81"/>
  <c r="B81" i="81"/>
  <c r="B80" i="81"/>
  <c r="B79" i="81"/>
  <c r="B78" i="81"/>
  <c r="B77" i="81"/>
  <c r="B76" i="81"/>
  <c r="B75" i="81"/>
  <c r="B74" i="81"/>
  <c r="B73" i="81"/>
  <c r="B72" i="81"/>
  <c r="B71" i="81"/>
  <c r="B70" i="81"/>
  <c r="B69" i="81"/>
  <c r="B68" i="81"/>
  <c r="B67" i="81"/>
  <c r="B66" i="81"/>
  <c r="B65" i="81"/>
  <c r="B64" i="81"/>
  <c r="B63" i="81"/>
  <c r="B62" i="81"/>
  <c r="B61" i="81"/>
  <c r="B60" i="81"/>
  <c r="B49" i="81"/>
  <c r="B48" i="81"/>
  <c r="B47" i="81"/>
  <c r="B33" i="81"/>
  <c r="B32" i="81"/>
  <c r="B16" i="81"/>
  <c r="B15" i="81"/>
  <c r="B14" i="81"/>
  <c r="B12" i="81"/>
  <c r="B13" i="81" s="1"/>
  <c r="B11" i="81"/>
  <c r="B9" i="81"/>
  <c r="B10" i="81" s="1"/>
  <c r="B8" i="81"/>
  <c r="B7" i="81"/>
  <c r="B6" i="81"/>
  <c r="B5" i="81"/>
  <c r="B2" i="81"/>
  <c r="B364" i="80"/>
  <c r="B363" i="80"/>
  <c r="B362" i="80"/>
  <c r="B361" i="80"/>
  <c r="B360" i="80"/>
  <c r="B359" i="80"/>
  <c r="B358" i="80"/>
  <c r="B357" i="80"/>
  <c r="B354" i="80"/>
  <c r="B343" i="80"/>
  <c r="B342" i="80"/>
  <c r="B341" i="80"/>
  <c r="B340" i="80"/>
  <c r="B339" i="80"/>
  <c r="B338" i="80"/>
  <c r="B337" i="80"/>
  <c r="B336" i="80"/>
  <c r="B335" i="80"/>
  <c r="B334" i="80"/>
  <c r="B333" i="80"/>
  <c r="B332" i="80"/>
  <c r="B331" i="80"/>
  <c r="B330" i="80"/>
  <c r="B329" i="80"/>
  <c r="B328" i="80"/>
  <c r="B327" i="80"/>
  <c r="B326" i="80"/>
  <c r="B325" i="80"/>
  <c r="B324" i="80"/>
  <c r="B323" i="80"/>
  <c r="B322" i="80"/>
  <c r="B283" i="80"/>
  <c r="B282" i="80"/>
  <c r="B281" i="80"/>
  <c r="B280" i="80"/>
  <c r="B279" i="80"/>
  <c r="B278" i="80"/>
  <c r="B277" i="80"/>
  <c r="B276" i="80"/>
  <c r="B275" i="80"/>
  <c r="B274" i="80"/>
  <c r="B273" i="80"/>
  <c r="B272" i="80"/>
  <c r="B271" i="80"/>
  <c r="B270" i="80"/>
  <c r="B269" i="80"/>
  <c r="B268" i="80"/>
  <c r="B267" i="80"/>
  <c r="B266" i="80"/>
  <c r="B265" i="80"/>
  <c r="B264" i="80"/>
  <c r="B263" i="80"/>
  <c r="B262" i="80"/>
  <c r="B216" i="80"/>
  <c r="B215" i="80"/>
  <c r="B214" i="80"/>
  <c r="B213" i="80"/>
  <c r="B212" i="80"/>
  <c r="B211" i="80"/>
  <c r="B210" i="80"/>
  <c r="B209" i="80"/>
  <c r="B208" i="80"/>
  <c r="B207" i="80"/>
  <c r="B206" i="80"/>
  <c r="B205" i="80"/>
  <c r="B204" i="80"/>
  <c r="B203" i="80"/>
  <c r="B202" i="80"/>
  <c r="B196" i="80"/>
  <c r="B195" i="80"/>
  <c r="B194" i="80"/>
  <c r="B193" i="80"/>
  <c r="B192" i="80"/>
  <c r="B191" i="80"/>
  <c r="B190" i="80"/>
  <c r="B189" i="80"/>
  <c r="B188" i="80"/>
  <c r="B187" i="80"/>
  <c r="B186" i="80"/>
  <c r="B185" i="80"/>
  <c r="B184" i="80"/>
  <c r="B183" i="80"/>
  <c r="B182" i="80"/>
  <c r="B174" i="80"/>
  <c r="B173" i="80"/>
  <c r="B172" i="80"/>
  <c r="B171" i="80"/>
  <c r="B170" i="80"/>
  <c r="B169" i="80"/>
  <c r="B168" i="80"/>
  <c r="B167" i="80"/>
  <c r="B166" i="80"/>
  <c r="B165" i="80"/>
  <c r="B164" i="80"/>
  <c r="B163" i="80"/>
  <c r="B162" i="80"/>
  <c r="B161" i="80"/>
  <c r="B160" i="80"/>
  <c r="B159" i="80"/>
  <c r="B158" i="80"/>
  <c r="B157" i="80"/>
  <c r="B156" i="80"/>
  <c r="B155" i="80"/>
  <c r="B154" i="80"/>
  <c r="B153" i="80"/>
  <c r="B152" i="80"/>
  <c r="B151" i="80"/>
  <c r="B150" i="80"/>
  <c r="B149" i="80"/>
  <c r="B144" i="80"/>
  <c r="B143" i="80"/>
  <c r="B142" i="80"/>
  <c r="B141" i="80"/>
  <c r="B140" i="80"/>
  <c r="B139" i="80"/>
  <c r="B138" i="80"/>
  <c r="B137" i="80"/>
  <c r="B136" i="80"/>
  <c r="B135" i="80"/>
  <c r="B134" i="80"/>
  <c r="B133" i="80"/>
  <c r="B132" i="80"/>
  <c r="B131" i="80"/>
  <c r="B130" i="80"/>
  <c r="B129" i="80"/>
  <c r="B128" i="80"/>
  <c r="B127" i="80"/>
  <c r="B126" i="80"/>
  <c r="B125" i="80"/>
  <c r="B124" i="80"/>
  <c r="B123" i="80"/>
  <c r="B122" i="80"/>
  <c r="B121" i="80"/>
  <c r="B120" i="80"/>
  <c r="B119" i="80"/>
  <c r="B111" i="80"/>
  <c r="B102" i="80"/>
  <c r="B101" i="80"/>
  <c r="B100" i="80"/>
  <c r="B99" i="80"/>
  <c r="B98" i="80"/>
  <c r="B97" i="80"/>
  <c r="B96" i="80"/>
  <c r="B95" i="80"/>
  <c r="B94" i="80"/>
  <c r="B92" i="80"/>
  <c r="B90" i="80"/>
  <c r="B88" i="80"/>
  <c r="B86" i="80"/>
  <c r="B85" i="80"/>
  <c r="B83" i="80"/>
  <c r="B82" i="80"/>
  <c r="B81" i="80"/>
  <c r="B80" i="80"/>
  <c r="B79" i="80"/>
  <c r="B78" i="80"/>
  <c r="B77" i="80"/>
  <c r="B76" i="80"/>
  <c r="B75" i="80"/>
  <c r="B74" i="80"/>
  <c r="B73" i="80"/>
  <c r="B72" i="80"/>
  <c r="B71" i="80"/>
  <c r="B70" i="80"/>
  <c r="B69" i="80"/>
  <c r="B68" i="80"/>
  <c r="B67" i="80"/>
  <c r="B66" i="80"/>
  <c r="B65" i="80"/>
  <c r="B64" i="80"/>
  <c r="B63" i="80"/>
  <c r="B62" i="80"/>
  <c r="B61" i="80"/>
  <c r="B60" i="80"/>
  <c r="B52" i="80"/>
  <c r="B51" i="80"/>
  <c r="B49" i="80"/>
  <c r="B48" i="80"/>
  <c r="B47" i="80"/>
  <c r="B46" i="80"/>
  <c r="B45" i="80"/>
  <c r="B44" i="80"/>
  <c r="B43" i="80"/>
  <c r="B42" i="80"/>
  <c r="B41" i="80"/>
  <c r="B40" i="80"/>
  <c r="B39" i="80"/>
  <c r="B38" i="80"/>
  <c r="B37" i="80"/>
  <c r="B36" i="80"/>
  <c r="B35" i="80"/>
  <c r="B34" i="80"/>
  <c r="B33" i="80"/>
  <c r="B32" i="80"/>
  <c r="B31" i="80"/>
  <c r="B30" i="80"/>
  <c r="B29" i="80"/>
  <c r="B28" i="80"/>
  <c r="B27" i="80"/>
  <c r="B26" i="80"/>
  <c r="B24" i="80"/>
  <c r="B23" i="80"/>
  <c r="B21" i="80"/>
  <c r="B16" i="80"/>
  <c r="B15" i="80"/>
  <c r="B14" i="80"/>
  <c r="B12" i="80"/>
  <c r="B13" i="80" s="1"/>
  <c r="B11" i="80"/>
  <c r="B9" i="80"/>
  <c r="B10" i="80" s="1"/>
  <c r="B8" i="80"/>
  <c r="B7" i="80"/>
  <c r="B6" i="80"/>
  <c r="B5" i="80"/>
  <c r="B2" i="80"/>
  <c r="B364" i="79"/>
  <c r="B363" i="79"/>
  <c r="B362" i="79"/>
  <c r="B361" i="79"/>
  <c r="B360" i="79"/>
  <c r="B359" i="79"/>
  <c r="B358" i="79"/>
  <c r="B357" i="79"/>
  <c r="B343" i="79"/>
  <c r="B342" i="79"/>
  <c r="B341" i="79"/>
  <c r="B340" i="79"/>
  <c r="B339" i="79"/>
  <c r="B338" i="79"/>
  <c r="B337" i="79"/>
  <c r="B336" i="79"/>
  <c r="B335" i="79"/>
  <c r="B334" i="79"/>
  <c r="B333" i="79"/>
  <c r="B332" i="79"/>
  <c r="B331" i="79"/>
  <c r="B330" i="79"/>
  <c r="B329" i="79"/>
  <c r="B328" i="79"/>
  <c r="B327" i="79"/>
  <c r="B283" i="79"/>
  <c r="B282" i="79"/>
  <c r="B281" i="79"/>
  <c r="B280" i="79"/>
  <c r="B279" i="79"/>
  <c r="B278" i="79"/>
  <c r="B277" i="79"/>
  <c r="B276" i="79"/>
  <c r="B275" i="79"/>
  <c r="B274" i="79"/>
  <c r="B273" i="79"/>
  <c r="B272" i="79"/>
  <c r="B271" i="79"/>
  <c r="B270" i="79"/>
  <c r="B269" i="79"/>
  <c r="B268" i="79"/>
  <c r="B267" i="79"/>
  <c r="B216" i="79"/>
  <c r="B215" i="79"/>
  <c r="B214" i="79"/>
  <c r="B213" i="79"/>
  <c r="B212" i="79"/>
  <c r="B211" i="79"/>
  <c r="B210" i="79"/>
  <c r="B209" i="79"/>
  <c r="B208" i="79"/>
  <c r="B207" i="79"/>
  <c r="B206" i="79"/>
  <c r="B205" i="79"/>
  <c r="B204" i="79"/>
  <c r="B203" i="79"/>
  <c r="B202" i="79"/>
  <c r="B201" i="79"/>
  <c r="B200" i="79"/>
  <c r="B199" i="79"/>
  <c r="B198" i="79"/>
  <c r="B196" i="79"/>
  <c r="B195" i="79"/>
  <c r="B194" i="79"/>
  <c r="B193" i="79"/>
  <c r="B192" i="79"/>
  <c r="B191" i="79"/>
  <c r="B190" i="79"/>
  <c r="B189" i="79"/>
  <c r="B188" i="79"/>
  <c r="B187" i="79"/>
  <c r="B186" i="79"/>
  <c r="B185" i="79"/>
  <c r="B184" i="79"/>
  <c r="B183" i="79"/>
  <c r="B182" i="79"/>
  <c r="B181" i="79"/>
  <c r="B180" i="79"/>
  <c r="B179" i="79"/>
  <c r="B178" i="79"/>
  <c r="B176" i="79"/>
  <c r="B175" i="79"/>
  <c r="B174" i="79"/>
  <c r="B173" i="79"/>
  <c r="B172" i="79"/>
  <c r="B171" i="79"/>
  <c r="B170" i="79"/>
  <c r="B169" i="79"/>
  <c r="B168" i="79"/>
  <c r="B167" i="79"/>
  <c r="B166" i="79"/>
  <c r="B165" i="79"/>
  <c r="B164" i="79"/>
  <c r="B163" i="79"/>
  <c r="B162" i="79"/>
  <c r="B161" i="79"/>
  <c r="B160" i="79"/>
  <c r="B159" i="79"/>
  <c r="B158" i="79"/>
  <c r="B157" i="79"/>
  <c r="B156" i="79"/>
  <c r="B155" i="79"/>
  <c r="B154" i="79"/>
  <c r="B153" i="79"/>
  <c r="B152" i="79"/>
  <c r="B151" i="79"/>
  <c r="B150" i="79"/>
  <c r="B149" i="79"/>
  <c r="B148" i="79"/>
  <c r="B147" i="79"/>
  <c r="B146" i="79"/>
  <c r="B124" i="79"/>
  <c r="B116" i="79"/>
  <c r="B114" i="79"/>
  <c r="B113" i="79"/>
  <c r="B112" i="79"/>
  <c r="B111" i="79"/>
  <c r="B110" i="79"/>
  <c r="B109" i="79"/>
  <c r="B108" i="79"/>
  <c r="B107" i="79"/>
  <c r="B106" i="79"/>
  <c r="B105" i="79"/>
  <c r="B104" i="79"/>
  <c r="B103" i="79"/>
  <c r="B102" i="79"/>
  <c r="B101" i="79"/>
  <c r="B100" i="79"/>
  <c r="B99" i="79"/>
  <c r="B94" i="79"/>
  <c r="B92" i="79"/>
  <c r="B90" i="79"/>
  <c r="B88" i="79"/>
  <c r="B87" i="79"/>
  <c r="B86" i="79"/>
  <c r="B85" i="79"/>
  <c r="B83" i="79"/>
  <c r="B82" i="79"/>
  <c r="B81" i="79"/>
  <c r="B80" i="79"/>
  <c r="B79" i="79"/>
  <c r="B78" i="79"/>
  <c r="B77" i="79"/>
  <c r="B76" i="79"/>
  <c r="B75" i="79"/>
  <c r="B74" i="79"/>
  <c r="B73" i="79"/>
  <c r="B72" i="79"/>
  <c r="B71" i="79"/>
  <c r="B70" i="79"/>
  <c r="B69" i="79"/>
  <c r="B68" i="79"/>
  <c r="B67" i="79"/>
  <c r="B66" i="79"/>
  <c r="B65" i="79"/>
  <c r="B64" i="79"/>
  <c r="B63" i="79"/>
  <c r="B62" i="79"/>
  <c r="B61" i="79"/>
  <c r="B60" i="79"/>
  <c r="B52" i="79"/>
  <c r="B51" i="79"/>
  <c r="B49" i="79"/>
  <c r="B48" i="79"/>
  <c r="B47" i="79"/>
  <c r="B46" i="79"/>
  <c r="B45" i="79"/>
  <c r="B44" i="79"/>
  <c r="B42" i="79"/>
  <c r="B41" i="79"/>
  <c r="B40" i="79"/>
  <c r="B39" i="79"/>
  <c r="B38" i="79"/>
  <c r="B37" i="79"/>
  <c r="B36" i="79"/>
  <c r="B35" i="79"/>
  <c r="B34" i="79"/>
  <c r="B33" i="79"/>
  <c r="B32" i="79"/>
  <c r="B31" i="79"/>
  <c r="B30" i="79"/>
  <c r="B29" i="79"/>
  <c r="B28" i="79"/>
  <c r="B27" i="79"/>
  <c r="B26" i="79"/>
  <c r="B21" i="79"/>
  <c r="B16" i="79"/>
  <c r="B15" i="79"/>
  <c r="B14" i="79"/>
  <c r="B12" i="79"/>
  <c r="B13" i="79" s="1"/>
  <c r="B11" i="79"/>
  <c r="B9" i="79"/>
  <c r="B10" i="79" s="1"/>
  <c r="B8" i="79"/>
  <c r="B7" i="79"/>
  <c r="B6" i="79"/>
  <c r="B5" i="79"/>
  <c r="B2" i="79"/>
  <c r="B364" i="34"/>
  <c r="B363" i="34"/>
  <c r="B362" i="34"/>
  <c r="B361" i="34"/>
  <c r="B360" i="34"/>
  <c r="B359" i="34"/>
  <c r="B358" i="34"/>
  <c r="B357" i="34"/>
  <c r="B354" i="34"/>
  <c r="B343" i="34"/>
  <c r="B342" i="34"/>
  <c r="B341" i="34"/>
  <c r="B340" i="34"/>
  <c r="B339" i="34"/>
  <c r="B338" i="34"/>
  <c r="B337" i="34"/>
  <c r="B336" i="34"/>
  <c r="B335" i="34"/>
  <c r="B334" i="34"/>
  <c r="B333" i="34"/>
  <c r="B332" i="34"/>
  <c r="B331" i="34"/>
  <c r="B330" i="34"/>
  <c r="B329" i="34"/>
  <c r="B328" i="34"/>
  <c r="B327" i="34"/>
  <c r="B283" i="34"/>
  <c r="B282" i="34"/>
  <c r="B281" i="34"/>
  <c r="B280" i="34"/>
  <c r="B279" i="34"/>
  <c r="B278" i="34"/>
  <c r="B277" i="34"/>
  <c r="B276" i="34"/>
  <c r="B275" i="34"/>
  <c r="B274" i="34"/>
  <c r="B273" i="34"/>
  <c r="B272" i="34"/>
  <c r="B271" i="34"/>
  <c r="B270" i="34"/>
  <c r="B269" i="34"/>
  <c r="B268" i="34"/>
  <c r="B267" i="34"/>
  <c r="B236" i="34"/>
  <c r="B235" i="34"/>
  <c r="B234" i="34"/>
  <c r="B233" i="34"/>
  <c r="B232" i="34"/>
  <c r="B231" i="34"/>
  <c r="B230" i="34"/>
  <c r="B229" i="34"/>
  <c r="B228" i="34"/>
  <c r="B227" i="34"/>
  <c r="B226" i="34"/>
  <c r="B225" i="34"/>
  <c r="B224" i="34"/>
  <c r="B223" i="34"/>
  <c r="B222" i="34"/>
  <c r="B221" i="34"/>
  <c r="B220" i="34"/>
  <c r="B216" i="34"/>
  <c r="B215" i="34"/>
  <c r="B214" i="34"/>
  <c r="B213" i="34"/>
  <c r="B212" i="34"/>
  <c r="B211" i="34"/>
  <c r="B210" i="34"/>
  <c r="B209" i="34"/>
  <c r="B208" i="34"/>
  <c r="B207" i="34"/>
  <c r="B206" i="34"/>
  <c r="B205" i="34"/>
  <c r="B204" i="34"/>
  <c r="B203" i="34"/>
  <c r="B202" i="34"/>
  <c r="B201" i="34"/>
  <c r="B200" i="34"/>
  <c r="B196" i="34"/>
  <c r="B195" i="34"/>
  <c r="B194" i="34"/>
  <c r="B193" i="34"/>
  <c r="B192" i="34"/>
  <c r="B191" i="34"/>
  <c r="B190" i="34"/>
  <c r="B189" i="34"/>
  <c r="B188" i="34"/>
  <c r="B187" i="34"/>
  <c r="B186" i="34"/>
  <c r="B185" i="34"/>
  <c r="B184" i="34"/>
  <c r="B183" i="34"/>
  <c r="B182" i="34"/>
  <c r="B181" i="34"/>
  <c r="B180" i="34"/>
  <c r="B174" i="34"/>
  <c r="B173" i="34"/>
  <c r="B172" i="34"/>
  <c r="B171" i="34"/>
  <c r="B170" i="34"/>
  <c r="B169" i="34"/>
  <c r="B168" i="34"/>
  <c r="B167" i="34"/>
  <c r="B166" i="34"/>
  <c r="B165" i="34"/>
  <c r="B144" i="34"/>
  <c r="B143" i="34"/>
  <c r="B142" i="34"/>
  <c r="B141" i="34"/>
  <c r="B140" i="34"/>
  <c r="B139" i="34"/>
  <c r="B138" i="34"/>
  <c r="B137" i="34"/>
  <c r="B136" i="34"/>
  <c r="B135" i="34"/>
  <c r="B114" i="34"/>
  <c r="B113" i="34"/>
  <c r="B112" i="34"/>
  <c r="B111" i="34"/>
  <c r="B110" i="34"/>
  <c r="B109" i="34"/>
  <c r="B108" i="34"/>
  <c r="B107" i="34"/>
  <c r="B106" i="34"/>
  <c r="B105" i="34"/>
  <c r="B104" i="34"/>
  <c r="B103" i="34"/>
  <c r="B102" i="34"/>
  <c r="B101" i="34"/>
  <c r="B100" i="34"/>
  <c r="B99" i="34"/>
  <c r="B98" i="34"/>
  <c r="B97" i="34"/>
  <c r="B96" i="34"/>
  <c r="B95" i="34"/>
  <c r="B94" i="34"/>
  <c r="B92" i="34"/>
  <c r="B90" i="34"/>
  <c r="B88" i="34"/>
  <c r="B87" i="34"/>
  <c r="B86" i="34"/>
  <c r="B85" i="34"/>
  <c r="B83" i="34"/>
  <c r="B82" i="34"/>
  <c r="B81" i="34"/>
  <c r="B80" i="34"/>
  <c r="B79" i="34"/>
  <c r="B78" i="34"/>
  <c r="B77" i="34"/>
  <c r="B76" i="34"/>
  <c r="B75" i="34"/>
  <c r="B74" i="34"/>
  <c r="B73" i="34"/>
  <c r="B72" i="34"/>
  <c r="B71" i="34"/>
  <c r="B70" i="34"/>
  <c r="B69" i="34"/>
  <c r="B68" i="34"/>
  <c r="B67" i="34"/>
  <c r="B66" i="34"/>
  <c r="B65" i="34"/>
  <c r="B64" i="34"/>
  <c r="B63" i="34"/>
  <c r="B62" i="34"/>
  <c r="B61" i="34"/>
  <c r="B60" i="34"/>
  <c r="B52" i="34"/>
  <c r="B51" i="34"/>
  <c r="B49" i="34"/>
  <c r="B48" i="34"/>
  <c r="B47" i="34"/>
  <c r="B46" i="34"/>
  <c r="B45" i="34"/>
  <c r="B44" i="34"/>
  <c r="B43" i="34"/>
  <c r="B42" i="34"/>
  <c r="B41" i="34"/>
  <c r="B40" i="34"/>
  <c r="B39" i="34"/>
  <c r="B38" i="34"/>
  <c r="B37" i="34"/>
  <c r="B36" i="34"/>
  <c r="B35" i="34"/>
  <c r="B34" i="34"/>
  <c r="B33" i="34"/>
  <c r="B32" i="34"/>
  <c r="B31" i="34"/>
  <c r="B30" i="34"/>
  <c r="B29" i="34"/>
  <c r="B28" i="34"/>
  <c r="B27" i="34"/>
  <c r="B26" i="34"/>
  <c r="B18" i="34"/>
  <c r="B16" i="34"/>
  <c r="B15" i="34"/>
  <c r="B14" i="34"/>
  <c r="B12" i="34"/>
  <c r="B13" i="34" s="1"/>
  <c r="B11" i="34"/>
  <c r="B9" i="34"/>
  <c r="B10" i="34" s="1"/>
  <c r="B8" i="34"/>
  <c r="B7" i="34"/>
  <c r="B6" i="34"/>
  <c r="B5" i="34"/>
  <c r="B2" i="34"/>
  <c r="B364" i="78"/>
  <c r="B363" i="78"/>
  <c r="B362" i="78"/>
  <c r="B361" i="78"/>
  <c r="B360" i="78"/>
  <c r="B359" i="78"/>
  <c r="B358" i="78"/>
  <c r="B357" i="78"/>
  <c r="B354" i="78"/>
  <c r="B343" i="78"/>
  <c r="B342" i="78"/>
  <c r="B341" i="78"/>
  <c r="B340" i="78"/>
  <c r="B339" i="78"/>
  <c r="B338" i="78"/>
  <c r="B337" i="78"/>
  <c r="B336" i="78"/>
  <c r="B335" i="78"/>
  <c r="B334" i="78"/>
  <c r="B333" i="78"/>
  <c r="B332" i="78"/>
  <c r="B331" i="78"/>
  <c r="B330" i="78"/>
  <c r="B329" i="78"/>
  <c r="B328" i="78"/>
  <c r="B327" i="78"/>
  <c r="B326" i="78"/>
  <c r="B283" i="78"/>
  <c r="B282" i="78"/>
  <c r="B281" i="78"/>
  <c r="B280" i="78"/>
  <c r="B279" i="78"/>
  <c r="B278" i="78"/>
  <c r="B277" i="78"/>
  <c r="B276" i="78"/>
  <c r="B275" i="78"/>
  <c r="B274" i="78"/>
  <c r="B273" i="78"/>
  <c r="B272" i="78"/>
  <c r="B271" i="78"/>
  <c r="B270" i="78"/>
  <c r="B269" i="78"/>
  <c r="B268" i="78"/>
  <c r="B267" i="78"/>
  <c r="B266" i="78"/>
  <c r="B216" i="78"/>
  <c r="B215" i="78"/>
  <c r="B214" i="78"/>
  <c r="B213" i="78"/>
  <c r="B212" i="78"/>
  <c r="B211" i="78"/>
  <c r="B210" i="78"/>
  <c r="B209" i="78"/>
  <c r="B208" i="78"/>
  <c r="B207" i="78"/>
  <c r="B206" i="78"/>
  <c r="B205" i="78"/>
  <c r="B204" i="78"/>
  <c r="B203" i="78"/>
  <c r="B202" i="78"/>
  <c r="B196" i="78"/>
  <c r="B195" i="78"/>
  <c r="B194" i="78"/>
  <c r="B193" i="78"/>
  <c r="B192" i="78"/>
  <c r="B191" i="78"/>
  <c r="B190" i="78"/>
  <c r="B189" i="78"/>
  <c r="B188" i="78"/>
  <c r="B187" i="78"/>
  <c r="B186" i="78"/>
  <c r="B185" i="78"/>
  <c r="B184" i="78"/>
  <c r="B183" i="78"/>
  <c r="B182" i="78"/>
  <c r="B174" i="78"/>
  <c r="B173" i="78"/>
  <c r="B172" i="78"/>
  <c r="B171" i="78"/>
  <c r="B170" i="78"/>
  <c r="B169" i="78"/>
  <c r="B168" i="78"/>
  <c r="B167" i="78"/>
  <c r="B166" i="78"/>
  <c r="B165" i="78"/>
  <c r="B164" i="78"/>
  <c r="B163" i="78"/>
  <c r="B162" i="78"/>
  <c r="B161" i="78"/>
  <c r="B160" i="78"/>
  <c r="B159" i="78"/>
  <c r="B158" i="78"/>
  <c r="B157" i="78"/>
  <c r="B156" i="78"/>
  <c r="B155" i="78"/>
  <c r="B154" i="78"/>
  <c r="B153" i="78"/>
  <c r="B152" i="78"/>
  <c r="B151" i="78"/>
  <c r="B150" i="78"/>
  <c r="B149" i="78"/>
  <c r="B114" i="78"/>
  <c r="B113" i="78"/>
  <c r="B112" i="78"/>
  <c r="B111" i="78"/>
  <c r="B110" i="78"/>
  <c r="B109" i="78"/>
  <c r="B108" i="78"/>
  <c r="B107" i="78"/>
  <c r="B106" i="78"/>
  <c r="B105" i="78"/>
  <c r="B104" i="78"/>
  <c r="B103" i="78"/>
  <c r="B102" i="78"/>
  <c r="B101" i="78"/>
  <c r="B100" i="78"/>
  <c r="B99" i="78"/>
  <c r="B98" i="78"/>
  <c r="B97" i="78"/>
  <c r="B96" i="78"/>
  <c r="B95" i="78"/>
  <c r="B94" i="78"/>
  <c r="B92" i="78"/>
  <c r="B90" i="78"/>
  <c r="B88" i="78"/>
  <c r="B86" i="78"/>
  <c r="B85" i="78"/>
  <c r="B83" i="78"/>
  <c r="B82" i="78"/>
  <c r="B81" i="78"/>
  <c r="B80" i="78"/>
  <c r="B79" i="78"/>
  <c r="B78" i="78"/>
  <c r="B77" i="78"/>
  <c r="B76" i="78"/>
  <c r="B75" i="78"/>
  <c r="B74" i="78"/>
  <c r="B73" i="78"/>
  <c r="B72" i="78"/>
  <c r="B71" i="78"/>
  <c r="B70" i="78"/>
  <c r="B69" i="78"/>
  <c r="B68" i="78"/>
  <c r="B67" i="78"/>
  <c r="B66" i="78"/>
  <c r="B65" i="78"/>
  <c r="B64" i="78"/>
  <c r="B63" i="78"/>
  <c r="B62" i="78"/>
  <c r="B61" i="78"/>
  <c r="B60" i="78"/>
  <c r="B52" i="78"/>
  <c r="B51" i="78"/>
  <c r="B49" i="78"/>
  <c r="B48" i="78"/>
  <c r="B47" i="78"/>
  <c r="B46" i="78"/>
  <c r="B45" i="78"/>
  <c r="B44" i="78"/>
  <c r="B43" i="78"/>
  <c r="B42" i="78"/>
  <c r="B41" i="78"/>
  <c r="B40" i="78"/>
  <c r="B39" i="78"/>
  <c r="B38" i="78"/>
  <c r="B37" i="78"/>
  <c r="B36" i="78"/>
  <c r="B35" i="78"/>
  <c r="B34" i="78"/>
  <c r="B33" i="78"/>
  <c r="B32" i="78"/>
  <c r="B31" i="78"/>
  <c r="B30" i="78"/>
  <c r="B29" i="78"/>
  <c r="B28" i="78"/>
  <c r="B27" i="78"/>
  <c r="B26" i="78"/>
  <c r="B16" i="78"/>
  <c r="B15" i="78"/>
  <c r="B14" i="78"/>
  <c r="B12" i="78"/>
  <c r="B13" i="78" s="1"/>
  <c r="B11" i="78"/>
  <c r="B9" i="78"/>
  <c r="B10" i="78" s="1"/>
  <c r="B8" i="78"/>
  <c r="B7" i="78"/>
  <c r="B6" i="78"/>
  <c r="B5" i="78"/>
  <c r="B2" i="78"/>
  <c r="B364" i="77"/>
  <c r="B363" i="77"/>
  <c r="B362" i="77"/>
  <c r="B361" i="77"/>
  <c r="B360" i="77"/>
  <c r="B359" i="77"/>
  <c r="B358" i="77"/>
  <c r="B357" i="77"/>
  <c r="B354" i="77"/>
  <c r="B343" i="77"/>
  <c r="B342" i="77"/>
  <c r="B341" i="77"/>
  <c r="B340" i="77"/>
  <c r="B339" i="77"/>
  <c r="B338" i="77"/>
  <c r="B337" i="77"/>
  <c r="B336" i="77"/>
  <c r="B335" i="77"/>
  <c r="B334" i="77"/>
  <c r="B333" i="77"/>
  <c r="B332" i="77"/>
  <c r="B331" i="77"/>
  <c r="B330" i="77"/>
  <c r="B329" i="77"/>
  <c r="B328" i="77"/>
  <c r="B327" i="77"/>
  <c r="B326" i="77"/>
  <c r="B325" i="77"/>
  <c r="B324" i="77"/>
  <c r="B323" i="77"/>
  <c r="B322" i="77"/>
  <c r="B321" i="77"/>
  <c r="B320" i="77"/>
  <c r="B319" i="77"/>
  <c r="B283" i="77"/>
  <c r="B282" i="77"/>
  <c r="B281" i="77"/>
  <c r="B280" i="77"/>
  <c r="B279" i="77"/>
  <c r="B278" i="77"/>
  <c r="B277" i="77"/>
  <c r="B276" i="77"/>
  <c r="B275" i="77"/>
  <c r="B274" i="77"/>
  <c r="B273" i="77"/>
  <c r="B272" i="77"/>
  <c r="B271" i="77"/>
  <c r="B270" i="77"/>
  <c r="B269" i="77"/>
  <c r="B268" i="77"/>
  <c r="B267" i="77"/>
  <c r="B266" i="77"/>
  <c r="B265" i="77"/>
  <c r="B264" i="77"/>
  <c r="B263" i="77"/>
  <c r="B262" i="77"/>
  <c r="B261" i="77"/>
  <c r="B260" i="77"/>
  <c r="B259" i="77"/>
  <c r="B236" i="77"/>
  <c r="B235" i="77"/>
  <c r="B234" i="77"/>
  <c r="B233" i="77"/>
  <c r="B232" i="77"/>
  <c r="B231" i="77"/>
  <c r="B230" i="77"/>
  <c r="B229" i="77"/>
  <c r="B228" i="77"/>
  <c r="B227" i="77"/>
  <c r="B226" i="77"/>
  <c r="B225" i="77"/>
  <c r="B224" i="77"/>
  <c r="B223" i="77"/>
  <c r="B222" i="77"/>
  <c r="B221" i="77"/>
  <c r="B220" i="77"/>
  <c r="B219" i="77"/>
  <c r="B218" i="77"/>
  <c r="B216" i="77"/>
  <c r="B215" i="77"/>
  <c r="B214" i="77"/>
  <c r="B213" i="77"/>
  <c r="B212" i="77"/>
  <c r="B211" i="77"/>
  <c r="B210" i="77"/>
  <c r="B209" i="77"/>
  <c r="B208" i="77"/>
  <c r="B207" i="77"/>
  <c r="B206" i="77"/>
  <c r="B205" i="77"/>
  <c r="B204" i="77"/>
  <c r="B203" i="77"/>
  <c r="B202" i="77"/>
  <c r="B201" i="77"/>
  <c r="B200" i="77"/>
  <c r="B199" i="77"/>
  <c r="B198" i="77"/>
  <c r="B196" i="77"/>
  <c r="B195" i="77"/>
  <c r="B194" i="77"/>
  <c r="B193" i="77"/>
  <c r="B192" i="77"/>
  <c r="B191" i="77"/>
  <c r="B190" i="77"/>
  <c r="B189" i="77"/>
  <c r="B188" i="77"/>
  <c r="B187" i="77"/>
  <c r="B186" i="77"/>
  <c r="B185" i="77"/>
  <c r="B184" i="77"/>
  <c r="B183" i="77"/>
  <c r="B182" i="77"/>
  <c r="B181" i="77"/>
  <c r="B180" i="77"/>
  <c r="B179" i="77"/>
  <c r="B178" i="77"/>
  <c r="B174" i="77"/>
  <c r="B173" i="77"/>
  <c r="B172" i="77"/>
  <c r="B171" i="77"/>
  <c r="B170" i="77"/>
  <c r="B169" i="77"/>
  <c r="B168" i="77"/>
  <c r="B167" i="77"/>
  <c r="B166" i="77"/>
  <c r="B165" i="77"/>
  <c r="B164" i="77"/>
  <c r="B163" i="77"/>
  <c r="B162" i="77"/>
  <c r="B161" i="77"/>
  <c r="B160" i="77"/>
  <c r="B159" i="77"/>
  <c r="B158" i="77"/>
  <c r="B157" i="77"/>
  <c r="B156" i="77"/>
  <c r="B155" i="77"/>
  <c r="B154" i="77"/>
  <c r="B153" i="77"/>
  <c r="B152" i="77"/>
  <c r="B151" i="77"/>
  <c r="B144" i="77"/>
  <c r="B143" i="77"/>
  <c r="B142" i="77"/>
  <c r="B141" i="77"/>
  <c r="B140" i="77"/>
  <c r="B139" i="77"/>
  <c r="B138" i="77"/>
  <c r="B137" i="77"/>
  <c r="B136" i="77"/>
  <c r="B135" i="77"/>
  <c r="B134" i="77"/>
  <c r="B133" i="77"/>
  <c r="B132" i="77"/>
  <c r="B131" i="77"/>
  <c r="B130" i="77"/>
  <c r="B129" i="77"/>
  <c r="B128" i="77"/>
  <c r="B127" i="77"/>
  <c r="B126" i="77"/>
  <c r="B125" i="77"/>
  <c r="B124" i="77"/>
  <c r="B123" i="77"/>
  <c r="B122" i="77"/>
  <c r="B121" i="77"/>
  <c r="B114" i="77"/>
  <c r="B113" i="77"/>
  <c r="B112" i="77"/>
  <c r="B111" i="77"/>
  <c r="B110" i="77"/>
  <c r="B109" i="77"/>
  <c r="B108" i="77"/>
  <c r="B107" i="77"/>
  <c r="B106" i="77"/>
  <c r="B105" i="77"/>
  <c r="B104" i="77"/>
  <c r="B103" i="77"/>
  <c r="B102" i="77"/>
  <c r="B101" i="77"/>
  <c r="B100" i="77"/>
  <c r="B99" i="77"/>
  <c r="B98" i="77"/>
  <c r="B97" i="77"/>
  <c r="B96" i="77"/>
  <c r="B95" i="77"/>
  <c r="B94" i="77"/>
  <c r="B92" i="77"/>
  <c r="B90" i="77"/>
  <c r="B88" i="77"/>
  <c r="B86" i="77"/>
  <c r="B85" i="77"/>
  <c r="B83" i="77"/>
  <c r="B82" i="77"/>
  <c r="B81" i="77"/>
  <c r="B80" i="77"/>
  <c r="B79" i="77"/>
  <c r="B78" i="77"/>
  <c r="B77" i="77"/>
  <c r="B76" i="77"/>
  <c r="B75" i="77"/>
  <c r="B74" i="77"/>
  <c r="B73" i="77"/>
  <c r="B72" i="77"/>
  <c r="B71" i="77"/>
  <c r="B70" i="77"/>
  <c r="B69" i="77"/>
  <c r="B68" i="77"/>
  <c r="B67" i="77"/>
  <c r="B66" i="77"/>
  <c r="B65" i="77"/>
  <c r="B64" i="77"/>
  <c r="B63" i="77"/>
  <c r="B62" i="77"/>
  <c r="B61" i="77"/>
  <c r="B60" i="77"/>
  <c r="B52" i="77"/>
  <c r="B51" i="77"/>
  <c r="B49" i="77"/>
  <c r="B48" i="77"/>
  <c r="B47" i="77"/>
  <c r="B46" i="77"/>
  <c r="B45" i="77"/>
  <c r="B44" i="77"/>
  <c r="B43" i="77"/>
  <c r="B42" i="77"/>
  <c r="B41" i="77"/>
  <c r="B40" i="77"/>
  <c r="B39" i="77"/>
  <c r="B38" i="77"/>
  <c r="B37" i="77"/>
  <c r="B36" i="77"/>
  <c r="B35" i="77"/>
  <c r="B34" i="77"/>
  <c r="B33" i="77"/>
  <c r="B32" i="77"/>
  <c r="B31" i="77"/>
  <c r="B30" i="77"/>
  <c r="B29" i="77"/>
  <c r="B28" i="77"/>
  <c r="B27" i="77"/>
  <c r="B26" i="77"/>
  <c r="B21" i="77"/>
  <c r="B16" i="77"/>
  <c r="B15" i="77"/>
  <c r="B14" i="77"/>
  <c r="B12" i="77"/>
  <c r="B13" i="77" s="1"/>
  <c r="B11" i="77"/>
  <c r="B9" i="77"/>
  <c r="B10" i="77" s="1"/>
  <c r="B8" i="77"/>
  <c r="B7" i="77"/>
  <c r="B6" i="77"/>
  <c r="B5" i="77"/>
  <c r="B2" i="77"/>
  <c r="B364" i="76"/>
  <c r="B363" i="76"/>
  <c r="B362" i="76"/>
  <c r="B361" i="76"/>
  <c r="B360" i="76"/>
  <c r="B359" i="76"/>
  <c r="B358" i="76"/>
  <c r="B357" i="76"/>
  <c r="B354" i="76"/>
  <c r="B343" i="76"/>
  <c r="B342" i="76"/>
  <c r="B341" i="76"/>
  <c r="B340" i="76"/>
  <c r="B339" i="76"/>
  <c r="B338" i="76"/>
  <c r="B337" i="76"/>
  <c r="B336" i="76"/>
  <c r="B335" i="76"/>
  <c r="B334" i="76"/>
  <c r="B333" i="76"/>
  <c r="B332" i="76"/>
  <c r="B331" i="76"/>
  <c r="B330" i="76"/>
  <c r="B329" i="76"/>
  <c r="B328" i="76"/>
  <c r="B327" i="76"/>
  <c r="B326" i="76"/>
  <c r="B325" i="76"/>
  <c r="B324" i="76"/>
  <c r="B323" i="76"/>
  <c r="B322" i="76"/>
  <c r="B321" i="76"/>
  <c r="B283" i="76"/>
  <c r="B282" i="76"/>
  <c r="B281" i="76"/>
  <c r="B280" i="76"/>
  <c r="B279" i="76"/>
  <c r="B278" i="76"/>
  <c r="B277" i="76"/>
  <c r="B276" i="76"/>
  <c r="B275" i="76"/>
  <c r="B274" i="76"/>
  <c r="B273" i="76"/>
  <c r="B272" i="76"/>
  <c r="B271" i="76"/>
  <c r="B270" i="76"/>
  <c r="B269" i="76"/>
  <c r="B268" i="76"/>
  <c r="B267" i="76"/>
  <c r="B266" i="76"/>
  <c r="B265" i="76"/>
  <c r="B264" i="76"/>
  <c r="B263" i="76"/>
  <c r="B262" i="76"/>
  <c r="B261" i="76"/>
  <c r="B236" i="76"/>
  <c r="B235" i="76"/>
  <c r="B234" i="76"/>
  <c r="B233" i="76"/>
  <c r="B232" i="76"/>
  <c r="B231" i="76"/>
  <c r="B230" i="76"/>
  <c r="B229" i="76"/>
  <c r="B228" i="76"/>
  <c r="B227" i="76"/>
  <c r="B226" i="76"/>
  <c r="B225" i="76"/>
  <c r="B224" i="76"/>
  <c r="B223" i="76"/>
  <c r="B222" i="76"/>
  <c r="B221" i="76"/>
  <c r="B220" i="76"/>
  <c r="B216" i="76"/>
  <c r="B215" i="76"/>
  <c r="B214" i="76"/>
  <c r="B213" i="76"/>
  <c r="B212" i="76"/>
  <c r="B211" i="76"/>
  <c r="B210" i="76"/>
  <c r="B209" i="76"/>
  <c r="B208" i="76"/>
  <c r="B207" i="76"/>
  <c r="B206" i="76"/>
  <c r="B205" i="76"/>
  <c r="B204" i="76"/>
  <c r="B203" i="76"/>
  <c r="B202" i="76"/>
  <c r="B201" i="76"/>
  <c r="B200" i="76"/>
  <c r="B196" i="76"/>
  <c r="B195" i="76"/>
  <c r="B194" i="76"/>
  <c r="B193" i="76"/>
  <c r="B192" i="76"/>
  <c r="B191" i="76"/>
  <c r="B190" i="76"/>
  <c r="B189" i="76"/>
  <c r="B188" i="76"/>
  <c r="B187" i="76"/>
  <c r="B186" i="76"/>
  <c r="B185" i="76"/>
  <c r="B184" i="76"/>
  <c r="B183" i="76"/>
  <c r="B182" i="76"/>
  <c r="B181" i="76"/>
  <c r="B180" i="76"/>
  <c r="B174" i="76"/>
  <c r="B173" i="76"/>
  <c r="B172" i="76"/>
  <c r="B171" i="76"/>
  <c r="B170" i="76"/>
  <c r="B169" i="76"/>
  <c r="B168" i="76"/>
  <c r="B167" i="76"/>
  <c r="B166" i="76"/>
  <c r="B165" i="76"/>
  <c r="B164" i="76"/>
  <c r="B163" i="76"/>
  <c r="B162" i="76"/>
  <c r="B161" i="76"/>
  <c r="B160" i="76"/>
  <c r="B159" i="76"/>
  <c r="B158" i="76"/>
  <c r="B157" i="76"/>
  <c r="B156" i="76"/>
  <c r="B155" i="76"/>
  <c r="B154" i="76"/>
  <c r="B153" i="76"/>
  <c r="B152" i="76"/>
  <c r="B151" i="76"/>
  <c r="B144" i="76"/>
  <c r="B143" i="76"/>
  <c r="B142" i="76"/>
  <c r="B141" i="76"/>
  <c r="B140" i="76"/>
  <c r="B139" i="76"/>
  <c r="B138" i="76"/>
  <c r="B137" i="76"/>
  <c r="B136" i="76"/>
  <c r="B135" i="76"/>
  <c r="B134" i="76"/>
  <c r="B133" i="76"/>
  <c r="B132" i="76"/>
  <c r="B131" i="76"/>
  <c r="B130" i="76"/>
  <c r="B129" i="76"/>
  <c r="B128" i="76"/>
  <c r="B127" i="76"/>
  <c r="B126" i="76"/>
  <c r="B125" i="76"/>
  <c r="B124" i="76"/>
  <c r="B123" i="76"/>
  <c r="B122" i="76"/>
  <c r="B121" i="76"/>
  <c r="B114" i="76"/>
  <c r="B113" i="76"/>
  <c r="B112" i="76"/>
  <c r="B111" i="76"/>
  <c r="B110" i="76"/>
  <c r="B109" i="76"/>
  <c r="B108" i="76"/>
  <c r="B107" i="76"/>
  <c r="B106" i="76"/>
  <c r="B105" i="76"/>
  <c r="B104" i="76"/>
  <c r="B103" i="76"/>
  <c r="B102" i="76"/>
  <c r="B101" i="76"/>
  <c r="B100" i="76"/>
  <c r="B99" i="76"/>
  <c r="B98" i="76"/>
  <c r="B97" i="76"/>
  <c r="B96" i="76"/>
  <c r="B95" i="76"/>
  <c r="B94" i="76"/>
  <c r="B92" i="76"/>
  <c r="B90" i="76"/>
  <c r="B88" i="76"/>
  <c r="B86" i="76"/>
  <c r="B85" i="76"/>
  <c r="B83" i="76"/>
  <c r="B82" i="76"/>
  <c r="B81" i="76"/>
  <c r="B80" i="76"/>
  <c r="B79" i="76"/>
  <c r="B78" i="76"/>
  <c r="B77" i="76"/>
  <c r="B76" i="76"/>
  <c r="B75" i="76"/>
  <c r="B74" i="76"/>
  <c r="B73" i="76"/>
  <c r="B72" i="76"/>
  <c r="B71" i="76"/>
  <c r="B70" i="76"/>
  <c r="B69" i="76"/>
  <c r="B68" i="76"/>
  <c r="B67" i="76"/>
  <c r="B66" i="76"/>
  <c r="B65" i="76"/>
  <c r="B64" i="76"/>
  <c r="B63" i="76"/>
  <c r="B62" i="76"/>
  <c r="B61" i="76"/>
  <c r="B60" i="76"/>
  <c r="B52" i="76"/>
  <c r="B51" i="76"/>
  <c r="B49" i="76"/>
  <c r="B48" i="76"/>
  <c r="B47" i="76"/>
  <c r="B46" i="76"/>
  <c r="B45" i="76"/>
  <c r="B44" i="76"/>
  <c r="B43" i="76"/>
  <c r="B42" i="76"/>
  <c r="B41" i="76"/>
  <c r="B40" i="76"/>
  <c r="B39" i="76"/>
  <c r="B38" i="76"/>
  <c r="B37" i="76"/>
  <c r="B36" i="76"/>
  <c r="B35" i="76"/>
  <c r="B34" i="76"/>
  <c r="B33" i="76"/>
  <c r="B32" i="76"/>
  <c r="B31" i="76"/>
  <c r="B30" i="76"/>
  <c r="B29" i="76"/>
  <c r="B28" i="76"/>
  <c r="B27" i="76"/>
  <c r="B26" i="76"/>
  <c r="B21" i="76"/>
  <c r="B16" i="76"/>
  <c r="B15" i="76"/>
  <c r="B14" i="76"/>
  <c r="B12" i="76"/>
  <c r="B13" i="76" s="1"/>
  <c r="B11" i="76"/>
  <c r="B9" i="76"/>
  <c r="B10" i="76" s="1"/>
  <c r="B8" i="76"/>
  <c r="B7" i="76"/>
  <c r="B6" i="76"/>
  <c r="B5" i="76"/>
  <c r="B2" i="76"/>
  <c r="B364" i="75"/>
  <c r="B363" i="75"/>
  <c r="B362" i="75"/>
  <c r="B361" i="75"/>
  <c r="B360" i="75"/>
  <c r="B359" i="75"/>
  <c r="B358" i="75"/>
  <c r="B357" i="75"/>
  <c r="B354" i="75"/>
  <c r="B343" i="75"/>
  <c r="B342" i="75"/>
  <c r="B341" i="75"/>
  <c r="B340" i="75"/>
  <c r="B339" i="75"/>
  <c r="B338" i="75"/>
  <c r="B337" i="75"/>
  <c r="B336" i="75"/>
  <c r="B335" i="75"/>
  <c r="B334" i="75"/>
  <c r="B333" i="75"/>
  <c r="B332" i="75"/>
  <c r="B331" i="75"/>
  <c r="B330" i="75"/>
  <c r="B329" i="75"/>
  <c r="B328" i="75"/>
  <c r="B327" i="75"/>
  <c r="B326" i="75"/>
  <c r="B325" i="75"/>
  <c r="B324" i="75"/>
  <c r="B323" i="75"/>
  <c r="B283" i="75"/>
  <c r="B282" i="75"/>
  <c r="B281" i="75"/>
  <c r="B280" i="75"/>
  <c r="B279" i="75"/>
  <c r="B278" i="75"/>
  <c r="B277" i="75"/>
  <c r="B276" i="75"/>
  <c r="B275" i="75"/>
  <c r="B274" i="75"/>
  <c r="B273" i="75"/>
  <c r="B272" i="75"/>
  <c r="B271" i="75"/>
  <c r="B270" i="75"/>
  <c r="B269" i="75"/>
  <c r="B268" i="75"/>
  <c r="B267" i="75"/>
  <c r="B266" i="75"/>
  <c r="B265" i="75"/>
  <c r="B264" i="75"/>
  <c r="B263" i="75"/>
  <c r="B216" i="75"/>
  <c r="B215" i="75"/>
  <c r="B214" i="75"/>
  <c r="B213" i="75"/>
  <c r="B212" i="75"/>
  <c r="B211" i="75"/>
  <c r="B210" i="75"/>
  <c r="B209" i="75"/>
  <c r="B208" i="75"/>
  <c r="B207" i="75"/>
  <c r="B206" i="75"/>
  <c r="B205" i="75"/>
  <c r="B204" i="75"/>
  <c r="B203" i="75"/>
  <c r="B202" i="75"/>
  <c r="B196" i="75"/>
  <c r="B195" i="75"/>
  <c r="B194" i="75"/>
  <c r="B193" i="75"/>
  <c r="B192" i="75"/>
  <c r="B191" i="75"/>
  <c r="B190" i="75"/>
  <c r="B189" i="75"/>
  <c r="B188" i="75"/>
  <c r="B187" i="75"/>
  <c r="B186" i="75"/>
  <c r="B185" i="75"/>
  <c r="B184" i="75"/>
  <c r="B183" i="75"/>
  <c r="B182" i="75"/>
  <c r="B174" i="75"/>
  <c r="B173" i="75"/>
  <c r="B172" i="75"/>
  <c r="B171" i="75"/>
  <c r="B170" i="75"/>
  <c r="B169" i="75"/>
  <c r="B168" i="75"/>
  <c r="B167" i="75"/>
  <c r="B166" i="75"/>
  <c r="B165" i="75"/>
  <c r="B164" i="75"/>
  <c r="B163" i="75"/>
  <c r="B162" i="75"/>
  <c r="B161" i="75"/>
  <c r="B160" i="75"/>
  <c r="B159" i="75"/>
  <c r="B158" i="75"/>
  <c r="B157" i="75"/>
  <c r="B156" i="75"/>
  <c r="B144" i="75"/>
  <c r="B143" i="75"/>
  <c r="B142" i="75"/>
  <c r="B141" i="75"/>
  <c r="B140" i="75"/>
  <c r="B139" i="75"/>
  <c r="B138" i="75"/>
  <c r="B137" i="75"/>
  <c r="B136" i="75"/>
  <c r="B135" i="75"/>
  <c r="B134" i="75"/>
  <c r="B133" i="75"/>
  <c r="B132" i="75"/>
  <c r="B131" i="75"/>
  <c r="B130" i="75"/>
  <c r="B129" i="75"/>
  <c r="B128" i="75"/>
  <c r="B127" i="75"/>
  <c r="B126" i="75"/>
  <c r="B114" i="75"/>
  <c r="B113" i="75"/>
  <c r="B112" i="75"/>
  <c r="B111" i="75"/>
  <c r="B110" i="75"/>
  <c r="B109" i="75"/>
  <c r="B108" i="75"/>
  <c r="B107" i="75"/>
  <c r="B106" i="75"/>
  <c r="B105" i="75"/>
  <c r="B104" i="75"/>
  <c r="B103" i="75"/>
  <c r="B102" i="75"/>
  <c r="B101" i="75"/>
  <c r="B100" i="75"/>
  <c r="B99" i="75"/>
  <c r="B97" i="75"/>
  <c r="B96" i="75"/>
  <c r="B95" i="75"/>
  <c r="B94" i="75"/>
  <c r="B92" i="75"/>
  <c r="B90" i="75"/>
  <c r="B88" i="75"/>
  <c r="B86" i="75"/>
  <c r="B85" i="75"/>
  <c r="B83" i="75"/>
  <c r="B82" i="75"/>
  <c r="B81" i="75"/>
  <c r="B80" i="75"/>
  <c r="B79" i="75"/>
  <c r="B78" i="75"/>
  <c r="B77" i="75"/>
  <c r="B76" i="75"/>
  <c r="B75" i="75"/>
  <c r="B74" i="75"/>
  <c r="B73" i="75"/>
  <c r="B72" i="75"/>
  <c r="B71" i="75"/>
  <c r="B70" i="75"/>
  <c r="B69" i="75"/>
  <c r="B68" i="75"/>
  <c r="B67" i="75"/>
  <c r="B66" i="75"/>
  <c r="B65" i="75"/>
  <c r="B64" i="75"/>
  <c r="B63" i="75"/>
  <c r="B62" i="75"/>
  <c r="B61" i="75"/>
  <c r="B60" i="75"/>
  <c r="B52" i="75"/>
  <c r="B51" i="75"/>
  <c r="B49" i="75"/>
  <c r="B48" i="75"/>
  <c r="B47" i="75"/>
  <c r="B46" i="75"/>
  <c r="B45" i="75"/>
  <c r="B44" i="75"/>
  <c r="B43" i="75"/>
  <c r="B42" i="75"/>
  <c r="B41" i="75"/>
  <c r="B40" i="75"/>
  <c r="B39" i="75"/>
  <c r="B38" i="75"/>
  <c r="B37" i="75"/>
  <c r="B36" i="75"/>
  <c r="B35" i="75"/>
  <c r="B34" i="75"/>
  <c r="B33" i="75"/>
  <c r="B32" i="75"/>
  <c r="B31" i="75"/>
  <c r="B30" i="75"/>
  <c r="B29" i="75"/>
  <c r="B28" i="75"/>
  <c r="B27" i="75"/>
  <c r="B26" i="75"/>
  <c r="B16" i="75"/>
  <c r="B15" i="75"/>
  <c r="B14" i="75"/>
  <c r="B12" i="75"/>
  <c r="B13" i="75" s="1"/>
  <c r="B11" i="75"/>
  <c r="B9" i="75"/>
  <c r="B10" i="75" s="1"/>
  <c r="B8" i="75"/>
  <c r="B7" i="75"/>
  <c r="B6" i="75"/>
  <c r="B5" i="75"/>
  <c r="B2" i="75"/>
  <c r="B364" i="74"/>
  <c r="B363" i="74"/>
  <c r="B362" i="74"/>
  <c r="B361" i="74"/>
  <c r="B360" i="74"/>
  <c r="B359" i="74"/>
  <c r="B358" i="74"/>
  <c r="B357" i="74"/>
  <c r="B354" i="74"/>
  <c r="B343" i="74"/>
  <c r="B342" i="74"/>
  <c r="B341" i="74"/>
  <c r="B340" i="74"/>
  <c r="B339" i="74"/>
  <c r="B338" i="74"/>
  <c r="B337" i="74"/>
  <c r="B336" i="74"/>
  <c r="B335" i="74"/>
  <c r="B334" i="74"/>
  <c r="B333" i="74"/>
  <c r="B332" i="74"/>
  <c r="B331" i="74"/>
  <c r="B330" i="74"/>
  <c r="B329" i="74"/>
  <c r="B328" i="74"/>
  <c r="B327" i="74"/>
  <c r="B326" i="74"/>
  <c r="B325" i="74"/>
  <c r="B283" i="74"/>
  <c r="B282" i="74"/>
  <c r="B281" i="74"/>
  <c r="B280" i="74"/>
  <c r="B279" i="74"/>
  <c r="B278" i="74"/>
  <c r="B277" i="74"/>
  <c r="B276" i="74"/>
  <c r="B275" i="74"/>
  <c r="B274" i="74"/>
  <c r="B273" i="74"/>
  <c r="B272" i="74"/>
  <c r="B271" i="74"/>
  <c r="B270" i="74"/>
  <c r="B269" i="74"/>
  <c r="B268" i="74"/>
  <c r="B267" i="74"/>
  <c r="B266" i="74"/>
  <c r="B265" i="74"/>
  <c r="B236" i="74"/>
  <c r="B235" i="74"/>
  <c r="B234" i="74"/>
  <c r="B233" i="74"/>
  <c r="B232" i="74"/>
  <c r="B231" i="74"/>
  <c r="B230" i="74"/>
  <c r="B229" i="74"/>
  <c r="B228" i="74"/>
  <c r="B227" i="74"/>
  <c r="B226" i="74"/>
  <c r="B225" i="74"/>
  <c r="B224" i="74"/>
  <c r="B223" i="74"/>
  <c r="B222" i="74"/>
  <c r="B221" i="74"/>
  <c r="B220" i="74"/>
  <c r="B219" i="74"/>
  <c r="B218" i="74"/>
  <c r="B216" i="74"/>
  <c r="B215" i="74"/>
  <c r="B214" i="74"/>
  <c r="B213" i="74"/>
  <c r="B212" i="74"/>
  <c r="B211" i="74"/>
  <c r="B210" i="74"/>
  <c r="B209" i="74"/>
  <c r="B208" i="74"/>
  <c r="B207" i="74"/>
  <c r="B206" i="74"/>
  <c r="B205" i="74"/>
  <c r="B204" i="74"/>
  <c r="B203" i="74"/>
  <c r="B202" i="74"/>
  <c r="B201" i="74"/>
  <c r="B200" i="74"/>
  <c r="B199" i="74"/>
  <c r="B198" i="74"/>
  <c r="B196" i="74"/>
  <c r="B195" i="74"/>
  <c r="B194" i="74"/>
  <c r="B193" i="74"/>
  <c r="B192" i="74"/>
  <c r="B191" i="74"/>
  <c r="B190" i="74"/>
  <c r="B189" i="74"/>
  <c r="B188" i="74"/>
  <c r="B187" i="74"/>
  <c r="B186" i="74"/>
  <c r="B185" i="74"/>
  <c r="B184" i="74"/>
  <c r="B183" i="74"/>
  <c r="B182" i="74"/>
  <c r="B181" i="74"/>
  <c r="B180" i="74"/>
  <c r="B179" i="74"/>
  <c r="B178" i="74"/>
  <c r="B174" i="74"/>
  <c r="B173" i="74"/>
  <c r="B172" i="74"/>
  <c r="B171" i="74"/>
  <c r="B170" i="74"/>
  <c r="B169" i="74"/>
  <c r="B168" i="74"/>
  <c r="B167" i="74"/>
  <c r="B166" i="74"/>
  <c r="B165" i="74"/>
  <c r="B164" i="74"/>
  <c r="B163" i="74"/>
  <c r="B162" i="74"/>
  <c r="B161" i="74"/>
  <c r="B160" i="74"/>
  <c r="B159" i="74"/>
  <c r="B158" i="74"/>
  <c r="B157" i="74"/>
  <c r="B156" i="74"/>
  <c r="B155" i="74"/>
  <c r="B154" i="74"/>
  <c r="B153" i="74"/>
  <c r="B152" i="74"/>
  <c r="B151" i="74"/>
  <c r="B150" i="74"/>
  <c r="B144" i="74"/>
  <c r="B143" i="74"/>
  <c r="B142" i="74"/>
  <c r="B141" i="74"/>
  <c r="B140" i="74"/>
  <c r="B139" i="74"/>
  <c r="B138" i="74"/>
  <c r="B137" i="74"/>
  <c r="B136" i="74"/>
  <c r="B135" i="74"/>
  <c r="B134" i="74"/>
  <c r="B133" i="74"/>
  <c r="B132" i="74"/>
  <c r="B131" i="74"/>
  <c r="B130" i="74"/>
  <c r="B129" i="74"/>
  <c r="B128" i="74"/>
  <c r="B127" i="74"/>
  <c r="B126" i="74"/>
  <c r="B125" i="74"/>
  <c r="B124" i="74"/>
  <c r="B123" i="74"/>
  <c r="B122" i="74"/>
  <c r="B121" i="74"/>
  <c r="B120" i="74"/>
  <c r="B114" i="74"/>
  <c r="B113" i="74"/>
  <c r="B112" i="74"/>
  <c r="B111" i="74"/>
  <c r="B110" i="74"/>
  <c r="B109" i="74"/>
  <c r="B108" i="74"/>
  <c r="B107" i="74"/>
  <c r="B106" i="74"/>
  <c r="B105" i="74"/>
  <c r="B104" i="74"/>
  <c r="B103" i="74"/>
  <c r="B102" i="74"/>
  <c r="B101" i="74"/>
  <c r="B100" i="74"/>
  <c r="B99" i="74"/>
  <c r="B98" i="74"/>
  <c r="B97" i="74"/>
  <c r="B96" i="74"/>
  <c r="B95" i="74"/>
  <c r="B94" i="74"/>
  <c r="B92" i="74"/>
  <c r="B90" i="74"/>
  <c r="B88" i="74"/>
  <c r="B86" i="74"/>
  <c r="B85" i="74"/>
  <c r="B83" i="74"/>
  <c r="B82" i="74"/>
  <c r="B81" i="74"/>
  <c r="B80" i="74"/>
  <c r="B79" i="74"/>
  <c r="B78" i="74"/>
  <c r="B77" i="74"/>
  <c r="B76" i="74"/>
  <c r="B75" i="74"/>
  <c r="B74" i="74"/>
  <c r="B73" i="74"/>
  <c r="B72" i="74"/>
  <c r="B71" i="74"/>
  <c r="B70" i="74"/>
  <c r="B69" i="74"/>
  <c r="B68" i="74"/>
  <c r="B67" i="74"/>
  <c r="B66" i="74"/>
  <c r="B65" i="74"/>
  <c r="B64" i="74"/>
  <c r="B63" i="74"/>
  <c r="B62" i="74"/>
  <c r="B61" i="74"/>
  <c r="B60" i="74"/>
  <c r="B52" i="74"/>
  <c r="B51" i="74"/>
  <c r="B49" i="74"/>
  <c r="B48" i="74"/>
  <c r="B47" i="74"/>
  <c r="B46" i="74"/>
  <c r="B45" i="74"/>
  <c r="B44" i="74"/>
  <c r="B43" i="74"/>
  <c r="B42" i="74"/>
  <c r="B41" i="74"/>
  <c r="B40" i="74"/>
  <c r="B39" i="74"/>
  <c r="B38" i="74"/>
  <c r="B37" i="74"/>
  <c r="B36" i="74"/>
  <c r="B35" i="74"/>
  <c r="B34" i="74"/>
  <c r="B33" i="74"/>
  <c r="B32" i="74"/>
  <c r="B31" i="74"/>
  <c r="B30" i="74"/>
  <c r="B29" i="74"/>
  <c r="B28" i="74"/>
  <c r="B27" i="74"/>
  <c r="B26" i="74"/>
  <c r="B16" i="74"/>
  <c r="B15" i="74"/>
  <c r="B14" i="74"/>
  <c r="B12" i="74"/>
  <c r="B13" i="74" s="1"/>
  <c r="B11" i="74"/>
  <c r="B9" i="74"/>
  <c r="B10" i="74" s="1"/>
  <c r="B8" i="74"/>
  <c r="B7" i="74"/>
  <c r="B6" i="74"/>
  <c r="B5" i="74"/>
  <c r="B2" i="74"/>
  <c r="B364" i="73"/>
  <c r="B363" i="73"/>
  <c r="B362" i="73"/>
  <c r="B361" i="73"/>
  <c r="B360" i="73"/>
  <c r="B359" i="73"/>
  <c r="B358" i="73"/>
  <c r="B357" i="73"/>
  <c r="B354" i="73"/>
  <c r="B343" i="73"/>
  <c r="B342" i="73"/>
  <c r="B341" i="73"/>
  <c r="B340" i="73"/>
  <c r="B339" i="73"/>
  <c r="B338" i="73"/>
  <c r="B337" i="73"/>
  <c r="B336" i="73"/>
  <c r="B335" i="73"/>
  <c r="B334" i="73"/>
  <c r="B333" i="73"/>
  <c r="B332" i="73"/>
  <c r="B331" i="73"/>
  <c r="B330" i="73"/>
  <c r="B329" i="73"/>
  <c r="B328" i="73"/>
  <c r="B327" i="73"/>
  <c r="B326" i="73"/>
  <c r="B325" i="73"/>
  <c r="B324" i="73"/>
  <c r="B323" i="73"/>
  <c r="B283" i="73"/>
  <c r="B282" i="73"/>
  <c r="B281" i="73"/>
  <c r="B280" i="73"/>
  <c r="B279" i="73"/>
  <c r="B278" i="73"/>
  <c r="B277" i="73"/>
  <c r="B276" i="73"/>
  <c r="B275" i="73"/>
  <c r="B274" i="73"/>
  <c r="B273" i="73"/>
  <c r="B272" i="73"/>
  <c r="B271" i="73"/>
  <c r="B270" i="73"/>
  <c r="B269" i="73"/>
  <c r="B268" i="73"/>
  <c r="B267" i="73"/>
  <c r="B266" i="73"/>
  <c r="B265" i="73"/>
  <c r="B264" i="73"/>
  <c r="B263" i="73"/>
  <c r="B236" i="73"/>
  <c r="B235" i="73"/>
  <c r="B234" i="73"/>
  <c r="B233" i="73"/>
  <c r="B232" i="73"/>
  <c r="B231" i="73"/>
  <c r="B230" i="73"/>
  <c r="B229" i="73"/>
  <c r="B228" i="73"/>
  <c r="B227" i="73"/>
  <c r="B226" i="73"/>
  <c r="B225" i="73"/>
  <c r="B224" i="73"/>
  <c r="B223" i="73"/>
  <c r="B222" i="73"/>
  <c r="B216" i="73"/>
  <c r="B215" i="73"/>
  <c r="B214" i="73"/>
  <c r="B213" i="73"/>
  <c r="B212" i="73"/>
  <c r="B211" i="73"/>
  <c r="B210" i="73"/>
  <c r="B209" i="73"/>
  <c r="B208" i="73"/>
  <c r="B207" i="73"/>
  <c r="B206" i="73"/>
  <c r="B205" i="73"/>
  <c r="B204" i="73"/>
  <c r="B203" i="73"/>
  <c r="B202" i="73"/>
  <c r="B196" i="73"/>
  <c r="B195" i="73"/>
  <c r="B194" i="73"/>
  <c r="B193" i="73"/>
  <c r="B192" i="73"/>
  <c r="B191" i="73"/>
  <c r="B190" i="73"/>
  <c r="B189" i="73"/>
  <c r="B188" i="73"/>
  <c r="B187" i="73"/>
  <c r="B186" i="73"/>
  <c r="B185" i="73"/>
  <c r="B184" i="73"/>
  <c r="B183" i="73"/>
  <c r="B182" i="73"/>
  <c r="B174" i="73"/>
  <c r="B173" i="73"/>
  <c r="B172" i="73"/>
  <c r="B171" i="73"/>
  <c r="B170" i="73"/>
  <c r="B169" i="73"/>
  <c r="B168" i="73"/>
  <c r="B167" i="73"/>
  <c r="B166" i="73"/>
  <c r="B165" i="73"/>
  <c r="B164" i="73"/>
  <c r="B163" i="73"/>
  <c r="B162" i="73"/>
  <c r="B161" i="73"/>
  <c r="B160" i="73"/>
  <c r="B159" i="73"/>
  <c r="B158" i="73"/>
  <c r="B157" i="73"/>
  <c r="B156" i="73"/>
  <c r="B155" i="73"/>
  <c r="B154" i="73"/>
  <c r="B153" i="73"/>
  <c r="B152" i="73"/>
  <c r="B151" i="73"/>
  <c r="B150" i="73"/>
  <c r="B149" i="73"/>
  <c r="B114" i="73"/>
  <c r="B113" i="73"/>
  <c r="B112" i="73"/>
  <c r="B111" i="73"/>
  <c r="B110" i="73"/>
  <c r="B109" i="73"/>
  <c r="B108" i="73"/>
  <c r="B107" i="73"/>
  <c r="B106" i="73"/>
  <c r="B105" i="73"/>
  <c r="B104" i="73"/>
  <c r="B103" i="73"/>
  <c r="B102" i="73"/>
  <c r="B101" i="73"/>
  <c r="B100" i="73"/>
  <c r="B99" i="73"/>
  <c r="B97" i="73"/>
  <c r="B96" i="73"/>
  <c r="B95" i="73"/>
  <c r="B94" i="73"/>
  <c r="B92" i="73"/>
  <c r="B90" i="73"/>
  <c r="B85" i="73"/>
  <c r="B83" i="73"/>
  <c r="B82" i="73"/>
  <c r="B81" i="73"/>
  <c r="B80" i="73"/>
  <c r="B79" i="73"/>
  <c r="B78" i="73"/>
  <c r="B77" i="73"/>
  <c r="B76" i="73"/>
  <c r="B75" i="73"/>
  <c r="B74" i="73"/>
  <c r="B73" i="73"/>
  <c r="B72" i="73"/>
  <c r="B71" i="73"/>
  <c r="B70" i="73"/>
  <c r="B69" i="73"/>
  <c r="B68" i="73"/>
  <c r="B67" i="73"/>
  <c r="B66" i="73"/>
  <c r="B65" i="73"/>
  <c r="B64" i="73"/>
  <c r="B63" i="73"/>
  <c r="B62" i="73"/>
  <c r="B61" i="73"/>
  <c r="B60" i="73"/>
  <c r="B52" i="73"/>
  <c r="B51" i="73"/>
  <c r="B49" i="73"/>
  <c r="B48" i="73"/>
  <c r="B47" i="73"/>
  <c r="B46" i="73"/>
  <c r="B45" i="73"/>
  <c r="B44" i="73"/>
  <c r="B43" i="73"/>
  <c r="B42" i="73"/>
  <c r="B41" i="73"/>
  <c r="B40" i="73"/>
  <c r="B39" i="73"/>
  <c r="B38" i="73"/>
  <c r="B37" i="73"/>
  <c r="B36" i="73"/>
  <c r="B35" i="73"/>
  <c r="B34" i="73"/>
  <c r="B33" i="73"/>
  <c r="B32" i="73"/>
  <c r="B31" i="73"/>
  <c r="B30" i="73"/>
  <c r="B29" i="73"/>
  <c r="B28" i="73"/>
  <c r="B27" i="73"/>
  <c r="B26" i="73"/>
  <c r="B16" i="73"/>
  <c r="B15" i="73"/>
  <c r="B14" i="73"/>
  <c r="B12" i="73"/>
  <c r="B13" i="73" s="1"/>
  <c r="B11" i="73"/>
  <c r="B9" i="73"/>
  <c r="B10" i="73" s="1"/>
  <c r="B8" i="73"/>
  <c r="B7" i="73"/>
  <c r="B6" i="73"/>
  <c r="B5" i="73"/>
  <c r="B2" i="73"/>
  <c r="E282" i="81"/>
  <c r="E283" i="81" s="1"/>
  <c r="E284" i="81" s="1"/>
  <c r="E285" i="81" s="1"/>
  <c r="E286" i="81" s="1"/>
  <c r="E287" i="81" s="1"/>
  <c r="E288" i="81" s="1"/>
  <c r="E289" i="81" s="1"/>
  <c r="E290" i="81" s="1"/>
  <c r="E291" i="81" s="1"/>
  <c r="E292" i="81" s="1"/>
  <c r="E293" i="81" s="1"/>
  <c r="E294" i="81" s="1"/>
  <c r="E295" i="81" s="1"/>
  <c r="E296" i="81" s="1"/>
  <c r="E297" i="81" s="1"/>
  <c r="E298" i="81" s="1"/>
  <c r="E299" i="81" s="1"/>
  <c r="E300" i="81" s="1"/>
  <c r="E301" i="81" s="1"/>
  <c r="E302" i="81" s="1"/>
  <c r="E303" i="81" s="1"/>
  <c r="E304" i="81" s="1"/>
  <c r="E305" i="81" s="1"/>
  <c r="E306" i="81" s="1"/>
  <c r="E307" i="81" s="1"/>
  <c r="E308" i="81" s="1"/>
  <c r="E309" i="81" s="1"/>
  <c r="E310" i="81" s="1"/>
  <c r="E311" i="81" s="1"/>
  <c r="E312" i="81" s="1"/>
  <c r="E313" i="81" s="1"/>
  <c r="E314" i="81" s="1"/>
  <c r="E315" i="81" s="1"/>
  <c r="E316" i="81" s="1"/>
  <c r="E281" i="81"/>
  <c r="H238" i="81"/>
  <c r="H237" i="81"/>
  <c r="H236" i="81"/>
  <c r="R215" i="81"/>
  <c r="Q215" i="81"/>
  <c r="O215" i="81"/>
  <c r="H215" i="81"/>
  <c r="R214" i="81"/>
  <c r="P214" i="81" s="1"/>
  <c r="Q214" i="81"/>
  <c r="O214" i="81"/>
  <c r="H214" i="81"/>
  <c r="R213" i="81"/>
  <c r="P213" i="81" s="1"/>
  <c r="Q213" i="81"/>
  <c r="O213" i="81"/>
  <c r="H213" i="81"/>
  <c r="R212" i="81"/>
  <c r="Q212" i="81"/>
  <c r="O212" i="81"/>
  <c r="H212" i="81"/>
  <c r="R211" i="81"/>
  <c r="P211" i="81" s="1"/>
  <c r="Q211" i="81"/>
  <c r="O211" i="81"/>
  <c r="H211" i="81"/>
  <c r="R210" i="81"/>
  <c r="Q210" i="81"/>
  <c r="O210" i="81"/>
  <c r="H210" i="81"/>
  <c r="R209" i="81"/>
  <c r="Q209" i="81"/>
  <c r="O209" i="81"/>
  <c r="H209" i="81"/>
  <c r="R208" i="81"/>
  <c r="P208" i="81" s="1"/>
  <c r="Q208" i="81"/>
  <c r="O208" i="81"/>
  <c r="H208" i="81"/>
  <c r="R207" i="81"/>
  <c r="Q207" i="81"/>
  <c r="O207" i="81"/>
  <c r="H207" i="81"/>
  <c r="R206" i="81"/>
  <c r="Q206" i="81"/>
  <c r="O206" i="81"/>
  <c r="H206" i="81"/>
  <c r="R203" i="81"/>
  <c r="O203" i="81"/>
  <c r="R202" i="81"/>
  <c r="P202" i="81" s="1"/>
  <c r="AA120" i="81" s="1"/>
  <c r="O202" i="81"/>
  <c r="R201" i="81"/>
  <c r="O201" i="81"/>
  <c r="R200" i="81"/>
  <c r="P200" i="81" s="1"/>
  <c r="AA118" i="81" s="1"/>
  <c r="O200" i="81"/>
  <c r="R199" i="81"/>
  <c r="O199" i="81"/>
  <c r="R198" i="81"/>
  <c r="O198" i="81"/>
  <c r="R197" i="81"/>
  <c r="P197" i="81" s="1"/>
  <c r="AA115" i="81" s="1"/>
  <c r="O197" i="81"/>
  <c r="R196" i="81"/>
  <c r="P196" i="81" s="1"/>
  <c r="AA114" i="81" s="1"/>
  <c r="O196" i="81"/>
  <c r="R195" i="81"/>
  <c r="O195" i="81"/>
  <c r="R194" i="81"/>
  <c r="P194" i="81" s="1"/>
  <c r="AA112" i="81" s="1"/>
  <c r="O194" i="81"/>
  <c r="O191" i="81"/>
  <c r="O190" i="81"/>
  <c r="O189" i="81"/>
  <c r="O188" i="81"/>
  <c r="O187" i="81"/>
  <c r="O185" i="81"/>
  <c r="P185" i="81" s="1"/>
  <c r="I185" i="81"/>
  <c r="M189" i="81" s="1"/>
  <c r="P184" i="81"/>
  <c r="L193" i="81" s="1"/>
  <c r="O184" i="81"/>
  <c r="I184" i="81"/>
  <c r="M187" i="81" s="1"/>
  <c r="R181" i="81"/>
  <c r="O181" i="81"/>
  <c r="H181" i="81"/>
  <c r="R180" i="81"/>
  <c r="O180" i="81"/>
  <c r="H180" i="81"/>
  <c r="R179" i="81"/>
  <c r="O179" i="81"/>
  <c r="H179" i="81"/>
  <c r="R178" i="81"/>
  <c r="O178" i="81"/>
  <c r="H178" i="81"/>
  <c r="R177" i="81"/>
  <c r="O177" i="81"/>
  <c r="H177" i="81"/>
  <c r="I164" i="81"/>
  <c r="H164" i="81"/>
  <c r="P161" i="81"/>
  <c r="B101" i="81" s="1"/>
  <c r="O161" i="81"/>
  <c r="O160" i="81"/>
  <c r="P160" i="81" s="1"/>
  <c r="R157" i="81"/>
  <c r="Q157" i="81"/>
  <c r="O157" i="81"/>
  <c r="H157" i="81"/>
  <c r="R156" i="81"/>
  <c r="Q156" i="81"/>
  <c r="O156" i="81"/>
  <c r="H156" i="81"/>
  <c r="R155" i="81"/>
  <c r="Q155" i="81"/>
  <c r="O155" i="81"/>
  <c r="H155" i="81"/>
  <c r="R154" i="81"/>
  <c r="Q154" i="81"/>
  <c r="O154" i="81"/>
  <c r="H154" i="81"/>
  <c r="AF153" i="81" a="1"/>
  <c r="AF153" i="81" s="1"/>
  <c r="B236" i="81" s="1"/>
  <c r="AE153" i="81"/>
  <c r="R153" i="81"/>
  <c r="Q153" i="81"/>
  <c r="O153" i="81"/>
  <c r="H153" i="81"/>
  <c r="AF152" i="81" a="1"/>
  <c r="AF152" i="81" s="1"/>
  <c r="B235" i="81" s="1"/>
  <c r="AE152" i="81"/>
  <c r="R152" i="81"/>
  <c r="Q152" i="81"/>
  <c r="O152" i="81"/>
  <c r="H152" i="81"/>
  <c r="AF151" i="81" a="1"/>
  <c r="AF151" i="81" s="1"/>
  <c r="B234" i="81" s="1"/>
  <c r="AE151" i="81"/>
  <c r="R151" i="81"/>
  <c r="Q151" i="81"/>
  <c r="O151" i="81"/>
  <c r="H151" i="81"/>
  <c r="AF150" i="81" a="1"/>
  <c r="AF150" i="81" s="1"/>
  <c r="B233" i="81" s="1"/>
  <c r="AE150" i="81"/>
  <c r="R150" i="81"/>
  <c r="Q150" i="81"/>
  <c r="O150" i="81"/>
  <c r="H150" i="81"/>
  <c r="AF149" i="81" a="1"/>
  <c r="AF149" i="81" s="1"/>
  <c r="B232" i="81" s="1"/>
  <c r="AE149" i="81"/>
  <c r="R149" i="81"/>
  <c r="Q149" i="81"/>
  <c r="O149" i="81"/>
  <c r="H149" i="81"/>
  <c r="AF148" i="81" a="1"/>
  <c r="AF148" i="81" s="1"/>
  <c r="B231" i="81" s="1"/>
  <c r="AE148" i="81"/>
  <c r="R148" i="81"/>
  <c r="Q148" i="81"/>
  <c r="O148" i="81"/>
  <c r="H148" i="81"/>
  <c r="AF147" i="81" a="1"/>
  <c r="AF147" i="81" s="1"/>
  <c r="B230" i="81" s="1"/>
  <c r="AE147" i="81"/>
  <c r="R147" i="81"/>
  <c r="Q147" i="81"/>
  <c r="O147" i="81"/>
  <c r="H147" i="81"/>
  <c r="AF146" i="81" a="1"/>
  <c r="AF146" i="81" s="1"/>
  <c r="B229" i="81" s="1"/>
  <c r="AE146" i="81"/>
  <c r="R146" i="81"/>
  <c r="Q146" i="81"/>
  <c r="O146" i="81"/>
  <c r="H146" i="81"/>
  <c r="AF145" i="81" a="1"/>
  <c r="AF145" i="81" s="1"/>
  <c r="B228" i="81" s="1"/>
  <c r="AE145" i="81"/>
  <c r="R145" i="81"/>
  <c r="Q145" i="81"/>
  <c r="O145" i="81"/>
  <c r="H145" i="81"/>
  <c r="AF144" i="81" a="1"/>
  <c r="AF144" i="81" s="1"/>
  <c r="B227" i="81" s="1"/>
  <c r="AE144" i="81"/>
  <c r="R144" i="81"/>
  <c r="Q144" i="81"/>
  <c r="O144" i="81"/>
  <c r="H144" i="81"/>
  <c r="AF143" i="81" a="1"/>
  <c r="AF143" i="81" s="1"/>
  <c r="B226" i="81" s="1"/>
  <c r="AE143" i="81"/>
  <c r="R143" i="81"/>
  <c r="Q143" i="81"/>
  <c r="O143" i="81"/>
  <c r="H143" i="81"/>
  <c r="AF142" i="81" a="1"/>
  <c r="AF142" i="81" s="1"/>
  <c r="B225" i="81" s="1"/>
  <c r="AE142" i="81"/>
  <c r="R142" i="81"/>
  <c r="Q142" i="81"/>
  <c r="O142" i="81"/>
  <c r="H142" i="81"/>
  <c r="AF141" i="81" a="1"/>
  <c r="AF141" i="81" s="1"/>
  <c r="B224" i="81" s="1"/>
  <c r="AE141" i="81"/>
  <c r="R141" i="81"/>
  <c r="Q141" i="81"/>
  <c r="O141" i="81"/>
  <c r="H141" i="81"/>
  <c r="AF140" i="81" a="1"/>
  <c r="AF140" i="81" s="1"/>
  <c r="B223" i="81" s="1"/>
  <c r="AE140" i="81"/>
  <c r="R140" i="81"/>
  <c r="Q140" i="81"/>
  <c r="O140" i="81"/>
  <c r="P140" i="81" s="1"/>
  <c r="H140" i="81"/>
  <c r="AF139" i="81" a="1"/>
  <c r="AF139" i="81" s="1"/>
  <c r="B222" i="81" s="1"/>
  <c r="AE139" i="81"/>
  <c r="R139" i="81"/>
  <c r="Q139" i="81"/>
  <c r="O139" i="81"/>
  <c r="H139" i="81"/>
  <c r="AF138" i="81" a="1"/>
  <c r="AF138" i="81" s="1"/>
  <c r="B221" i="81" s="1"/>
  <c r="AE138" i="81"/>
  <c r="R138" i="81"/>
  <c r="P138" i="81" s="1"/>
  <c r="Q138" i="81"/>
  <c r="O138" i="81"/>
  <c r="H138" i="81"/>
  <c r="AF137" i="81" a="1"/>
  <c r="AF137" i="81" s="1"/>
  <c r="B220" i="81" s="1"/>
  <c r="AE137" i="81"/>
  <c r="H137" i="81"/>
  <c r="AF136" i="81" a="1"/>
  <c r="AF136" i="81" s="1"/>
  <c r="B219" i="81" s="1"/>
  <c r="AE136" i="81"/>
  <c r="AF135" i="81" a="1"/>
  <c r="AF135" i="81" s="1"/>
  <c r="B218" i="81" s="1"/>
  <c r="AE135" i="81"/>
  <c r="R135" i="81"/>
  <c r="Q135" i="81"/>
  <c r="O135" i="81"/>
  <c r="P135" i="81" s="1"/>
  <c r="B98" i="81" s="1"/>
  <c r="R134" i="81"/>
  <c r="Q134" i="81"/>
  <c r="O134" i="81"/>
  <c r="P134" i="81" s="1"/>
  <c r="B97" i="81" s="1"/>
  <c r="R133" i="81"/>
  <c r="Q133" i="81"/>
  <c r="O133" i="81"/>
  <c r="P133" i="81" s="1"/>
  <c r="B96" i="81" s="1"/>
  <c r="R132" i="81"/>
  <c r="Q132" i="81"/>
  <c r="O132" i="81"/>
  <c r="P132" i="81" s="1"/>
  <c r="B95" i="81" s="1"/>
  <c r="P129" i="81"/>
  <c r="R128" i="81"/>
  <c r="P128" i="81"/>
  <c r="P127" i="81"/>
  <c r="R126" i="81"/>
  <c r="P126" i="81"/>
  <c r="R129" i="81" s="1"/>
  <c r="P125" i="81"/>
  <c r="B85" i="81" s="1"/>
  <c r="P120" i="81"/>
  <c r="O120" i="81"/>
  <c r="H120" i="81"/>
  <c r="Z119" i="81"/>
  <c r="P119" i="81"/>
  <c r="O119" i="81"/>
  <c r="H119" i="81"/>
  <c r="P118" i="81"/>
  <c r="O118" i="81"/>
  <c r="H118" i="81"/>
  <c r="O117" i="81"/>
  <c r="P117" i="81" s="1"/>
  <c r="H117" i="81"/>
  <c r="O116" i="81"/>
  <c r="P116" i="81" s="1"/>
  <c r="H116" i="81"/>
  <c r="Z115" i="81"/>
  <c r="O115" i="81"/>
  <c r="P115" i="81" s="1"/>
  <c r="H115" i="81"/>
  <c r="O114" i="81"/>
  <c r="P114" i="81" s="1"/>
  <c r="H114" i="81"/>
  <c r="O113" i="81"/>
  <c r="P113" i="81" s="1"/>
  <c r="H113" i="81"/>
  <c r="P112" i="81"/>
  <c r="O112" i="81"/>
  <c r="H112" i="81"/>
  <c r="O111" i="81"/>
  <c r="P111" i="81" s="1"/>
  <c r="H111" i="81"/>
  <c r="O110" i="81"/>
  <c r="P110" i="81" s="1"/>
  <c r="H110" i="81"/>
  <c r="O109" i="81"/>
  <c r="P109" i="81" s="1"/>
  <c r="H109" i="81"/>
  <c r="O108" i="81"/>
  <c r="P108" i="81" s="1"/>
  <c r="H108" i="81"/>
  <c r="P107" i="81"/>
  <c r="O107" i="81"/>
  <c r="H107" i="81"/>
  <c r="O106" i="81"/>
  <c r="P106" i="81" s="1"/>
  <c r="H106" i="81"/>
  <c r="O105" i="81"/>
  <c r="P105" i="81" s="1"/>
  <c r="H105" i="81"/>
  <c r="P104" i="81"/>
  <c r="O104" i="81"/>
  <c r="H104" i="81"/>
  <c r="O103" i="81"/>
  <c r="P103" i="81" s="1"/>
  <c r="H103" i="81"/>
  <c r="O102" i="81"/>
  <c r="P102" i="81" s="1"/>
  <c r="H102" i="81"/>
  <c r="O101" i="81"/>
  <c r="P101" i="81" s="1"/>
  <c r="H101" i="81"/>
  <c r="R98" i="81"/>
  <c r="Q98" i="81"/>
  <c r="O98" i="81"/>
  <c r="H98" i="81"/>
  <c r="R97" i="81"/>
  <c r="Q97" i="81"/>
  <c r="O97" i="81"/>
  <c r="H97" i="81"/>
  <c r="R96" i="81"/>
  <c r="Q96" i="81"/>
  <c r="O96" i="81"/>
  <c r="H96" i="81"/>
  <c r="R95" i="81"/>
  <c r="Q95" i="81"/>
  <c r="O95" i="81"/>
  <c r="H95" i="81"/>
  <c r="R94" i="81"/>
  <c r="Q94" i="81"/>
  <c r="O94" i="81"/>
  <c r="H94" i="81"/>
  <c r="R93" i="81"/>
  <c r="Q93" i="81"/>
  <c r="O93" i="81"/>
  <c r="H93" i="81"/>
  <c r="R92" i="81"/>
  <c r="Q92" i="81"/>
  <c r="O92" i="81"/>
  <c r="H92" i="81"/>
  <c r="R91" i="81"/>
  <c r="Q91" i="81"/>
  <c r="O91" i="81"/>
  <c r="H91" i="81"/>
  <c r="R90" i="81"/>
  <c r="Q90" i="81"/>
  <c r="O90" i="81"/>
  <c r="H90" i="81"/>
  <c r="R89" i="81"/>
  <c r="Q89" i="81"/>
  <c r="O89" i="81"/>
  <c r="H89" i="81"/>
  <c r="R88" i="81"/>
  <c r="Q88" i="81"/>
  <c r="O88" i="81"/>
  <c r="H88" i="81"/>
  <c r="R87" i="81"/>
  <c r="Q87" i="81"/>
  <c r="O87" i="81"/>
  <c r="H87" i="81"/>
  <c r="R86" i="81"/>
  <c r="Q86" i="81"/>
  <c r="O86" i="81"/>
  <c r="H86" i="81"/>
  <c r="R85" i="81"/>
  <c r="P85" i="81" s="1"/>
  <c r="Q85" i="81"/>
  <c r="O85" i="81"/>
  <c r="H85" i="81"/>
  <c r="R84" i="81"/>
  <c r="Q84" i="81"/>
  <c r="O84" i="81"/>
  <c r="H84" i="81"/>
  <c r="R83" i="81"/>
  <c r="P83" i="81" s="1"/>
  <c r="Q83" i="81"/>
  <c r="O83" i="81"/>
  <c r="H83" i="81"/>
  <c r="R82" i="81"/>
  <c r="Q82" i="81"/>
  <c r="O82" i="81"/>
  <c r="H82" i="81"/>
  <c r="R81" i="81"/>
  <c r="P81" i="81" s="1"/>
  <c r="Q81" i="81"/>
  <c r="O81" i="81"/>
  <c r="H81" i="81"/>
  <c r="R80" i="81"/>
  <c r="Q80" i="81"/>
  <c r="O80" i="81"/>
  <c r="H80" i="81"/>
  <c r="R79" i="81"/>
  <c r="Q79" i="81"/>
  <c r="O79" i="81"/>
  <c r="H79" i="81"/>
  <c r="O74" i="81"/>
  <c r="AF73" i="81"/>
  <c r="AE73" i="81" a="1"/>
  <c r="AE73" i="81" s="1"/>
  <c r="B313" i="81" s="1"/>
  <c r="AD73" i="81" a="1"/>
  <c r="AD73" i="81" s="1"/>
  <c r="B283" i="81" s="1"/>
  <c r="O73" i="81"/>
  <c r="P73" i="81" s="1"/>
  <c r="B107" i="81" s="1"/>
  <c r="AF72" i="81"/>
  <c r="AE72" i="81" a="1"/>
  <c r="AE72" i="81" s="1"/>
  <c r="B312" i="81" s="1"/>
  <c r="AD72" i="81" a="1"/>
  <c r="AD72" i="81" s="1"/>
  <c r="B282" i="81" s="1"/>
  <c r="P72" i="81"/>
  <c r="B52" i="81" s="1"/>
  <c r="O72" i="81"/>
  <c r="AF71" i="81"/>
  <c r="AE71" i="81" a="1"/>
  <c r="AE71" i="81" s="1"/>
  <c r="B311" i="81" s="1"/>
  <c r="AD71" i="81" a="1"/>
  <c r="AD71" i="81" s="1"/>
  <c r="B281" i="81" s="1"/>
  <c r="AF70" i="81"/>
  <c r="AE70" i="81" a="1"/>
  <c r="AE70" i="81" s="1"/>
  <c r="B310" i="81" s="1"/>
  <c r="AD70" i="81" a="1"/>
  <c r="AD70" i="81" s="1"/>
  <c r="B280" i="81" s="1"/>
  <c r="AF69" i="81"/>
  <c r="AE69" i="81" a="1"/>
  <c r="AE69" i="81" s="1"/>
  <c r="B309" i="81" s="1"/>
  <c r="AD69" i="81" a="1"/>
  <c r="AD69" i="81" s="1"/>
  <c r="B279" i="81" s="1"/>
  <c r="V69" i="81"/>
  <c r="O69" i="81"/>
  <c r="P69" i="81" s="1"/>
  <c r="AF68" i="81"/>
  <c r="AE68" i="81" a="1"/>
  <c r="AE68" i="81" s="1"/>
  <c r="B308" i="81" s="1"/>
  <c r="AD68" i="81" a="1"/>
  <c r="AD68" i="81" s="1"/>
  <c r="B278" i="81" s="1"/>
  <c r="V68" i="81"/>
  <c r="O68" i="81"/>
  <c r="P68" i="81" s="1"/>
  <c r="AF67" i="81"/>
  <c r="AE67" i="81" a="1"/>
  <c r="AE67" i="81" s="1"/>
  <c r="B307" i="81" s="1"/>
  <c r="AD67" i="81" a="1"/>
  <c r="AD67" i="81" s="1"/>
  <c r="B277" i="81" s="1"/>
  <c r="V67" i="81"/>
  <c r="O67" i="81"/>
  <c r="P67" i="81" s="1"/>
  <c r="AF66" i="81"/>
  <c r="AE66" i="81" a="1"/>
  <c r="AE66" i="81" s="1"/>
  <c r="B306" i="81" s="1"/>
  <c r="AD66" i="81" a="1"/>
  <c r="AD66" i="81" s="1"/>
  <c r="B276" i="81" s="1"/>
  <c r="V66" i="81"/>
  <c r="O66" i="81"/>
  <c r="P66" i="81" s="1"/>
  <c r="B46" i="81" s="1"/>
  <c r="AF65" i="81"/>
  <c r="AE65" i="81" a="1"/>
  <c r="AE65" i="81" s="1"/>
  <c r="B305" i="81" s="1"/>
  <c r="AD65" i="81" a="1"/>
  <c r="AD65" i="81" s="1"/>
  <c r="B275" i="81" s="1"/>
  <c r="V65" i="81"/>
  <c r="P65" i="81"/>
  <c r="B45" i="81" s="1"/>
  <c r="O65" i="81"/>
  <c r="AF64" i="81"/>
  <c r="AE64" i="81" a="1"/>
  <c r="AE64" i="81" s="1"/>
  <c r="B304" i="81" s="1"/>
  <c r="AD64" i="81" a="1"/>
  <c r="AD64" i="81" s="1"/>
  <c r="B274" i="81" s="1"/>
  <c r="V64" i="81"/>
  <c r="P64" i="81"/>
  <c r="AJ22" i="81" s="1"/>
  <c r="AK22" i="81" s="1"/>
  <c r="O64" i="81"/>
  <c r="AF63" i="81"/>
  <c r="AE63" i="81" a="1"/>
  <c r="AE63" i="81" s="1"/>
  <c r="B303" i="81" s="1"/>
  <c r="AD63" i="81" a="1"/>
  <c r="AD63" i="81" s="1"/>
  <c r="B273" i="81" s="1"/>
  <c r="V63" i="81"/>
  <c r="O63" i="81"/>
  <c r="P63" i="81" s="1"/>
  <c r="B43" i="81" s="1"/>
  <c r="AF62" i="81"/>
  <c r="AE62" i="81" a="1"/>
  <c r="AE62" i="81" s="1"/>
  <c r="B302" i="81" s="1"/>
  <c r="AD62" i="81" a="1"/>
  <c r="AD62" i="81" s="1"/>
  <c r="B272" i="81" s="1"/>
  <c r="V62" i="81"/>
  <c r="O62" i="81"/>
  <c r="P62" i="81" s="1"/>
  <c r="B42" i="81" s="1"/>
  <c r="AF61" i="81"/>
  <c r="AE61" i="81" a="1"/>
  <c r="AE61" i="81" s="1"/>
  <c r="B301" i="81" s="1"/>
  <c r="AD61" i="81" a="1"/>
  <c r="AD61" i="81" s="1"/>
  <c r="B271" i="81" s="1"/>
  <c r="AF60" i="81"/>
  <c r="AE60" i="81" a="1"/>
  <c r="AE60" i="81" s="1"/>
  <c r="B300" i="81" s="1"/>
  <c r="AD60" i="81" a="1"/>
  <c r="AD60" i="81" s="1"/>
  <c r="B270" i="81" s="1"/>
  <c r="AF59" i="81"/>
  <c r="AE59" i="81" a="1"/>
  <c r="AE59" i="81" s="1"/>
  <c r="B299" i="81" s="1"/>
  <c r="AD59" i="81" a="1"/>
  <c r="AD59" i="81" s="1"/>
  <c r="B269" i="81" s="1"/>
  <c r="V59" i="81"/>
  <c r="P59" i="81"/>
  <c r="B41" i="81" s="1"/>
  <c r="O59" i="81"/>
  <c r="AF58" i="81"/>
  <c r="AE58" i="81" a="1"/>
  <c r="AE58" i="81" s="1"/>
  <c r="B298" i="81" s="1"/>
  <c r="AD58" i="81" a="1"/>
  <c r="AD58" i="81" s="1"/>
  <c r="B268" i="81" s="1"/>
  <c r="V58" i="81"/>
  <c r="O58" i="81"/>
  <c r="P58" i="81" s="1"/>
  <c r="B40" i="81" s="1"/>
  <c r="AF57" i="81"/>
  <c r="AE57" i="81" a="1"/>
  <c r="AE57" i="81" s="1"/>
  <c r="B297" i="81" s="1"/>
  <c r="AD57" i="81" a="1"/>
  <c r="AD57" i="81" s="1"/>
  <c r="B267" i="81" s="1"/>
  <c r="V57" i="81"/>
  <c r="P57" i="81"/>
  <c r="B39" i="81" s="1"/>
  <c r="O57" i="81"/>
  <c r="AJ56" i="81"/>
  <c r="AK56" i="81" s="1"/>
  <c r="AF56" i="81"/>
  <c r="AE56" i="81" a="1"/>
  <c r="AE56" i="81" s="1"/>
  <c r="B296" i="81" s="1"/>
  <c r="AD56" i="81" a="1"/>
  <c r="AD56" i="81" s="1"/>
  <c r="B266" i="81" s="1"/>
  <c r="V56" i="81"/>
  <c r="O56" i="81"/>
  <c r="P56" i="81" s="1"/>
  <c r="B38" i="81" s="1"/>
  <c r="AF55" i="81"/>
  <c r="AE55" i="81" a="1"/>
  <c r="AE55" i="81" s="1"/>
  <c r="B295" i="81" s="1"/>
  <c r="AD55" i="81" a="1"/>
  <c r="AD55" i="81" s="1"/>
  <c r="B265" i="81" s="1"/>
  <c r="V55" i="81"/>
  <c r="O55" i="81"/>
  <c r="P55" i="81" s="1"/>
  <c r="B37" i="81" s="1"/>
  <c r="AF54" i="81"/>
  <c r="AE54" i="81" a="1"/>
  <c r="AE54" i="81" s="1"/>
  <c r="B294" i="81" s="1"/>
  <c r="AD54" i="81" a="1"/>
  <c r="AD54" i="81" s="1"/>
  <c r="B264" i="81" s="1"/>
  <c r="V54" i="81"/>
  <c r="P54" i="81"/>
  <c r="B36" i="81" s="1"/>
  <c r="O54" i="81"/>
  <c r="AF53" i="81"/>
  <c r="AE53" i="81" a="1"/>
  <c r="AE53" i="81" s="1"/>
  <c r="B293" i="81" s="1"/>
  <c r="AD53" i="81" a="1"/>
  <c r="AD53" i="81" s="1"/>
  <c r="B263" i="81" s="1"/>
  <c r="V53" i="81"/>
  <c r="O53" i="81"/>
  <c r="P53" i="81" s="1"/>
  <c r="AF52" i="81"/>
  <c r="AE52" i="81" a="1"/>
  <c r="AE52" i="81" s="1"/>
  <c r="B292" i="81" s="1"/>
  <c r="AD52" i="81" a="1"/>
  <c r="AD52" i="81" s="1"/>
  <c r="B262" i="81" s="1"/>
  <c r="V52" i="81"/>
  <c r="O52" i="81"/>
  <c r="P52" i="81" s="1"/>
  <c r="AF51" i="81"/>
  <c r="AE51" i="81" a="1"/>
  <c r="AE51" i="81" s="1"/>
  <c r="B291" i="81" s="1"/>
  <c r="AD51" i="81" a="1"/>
  <c r="AD51" i="81" s="1"/>
  <c r="B261" i="81" s="1"/>
  <c r="V49" i="81"/>
  <c r="P49" i="81"/>
  <c r="O49" i="81"/>
  <c r="AJ48" i="81"/>
  <c r="AK48" i="81" s="1"/>
  <c r="V48" i="81"/>
  <c r="P48" i="81"/>
  <c r="O48" i="81"/>
  <c r="V47" i="81"/>
  <c r="O47" i="81"/>
  <c r="P47" i="81" s="1"/>
  <c r="V46" i="81"/>
  <c r="O46" i="81"/>
  <c r="P46" i="81" s="1"/>
  <c r="B30" i="81" s="1"/>
  <c r="V45" i="81"/>
  <c r="P45" i="81"/>
  <c r="B29" i="81" s="1"/>
  <c r="O45" i="81"/>
  <c r="V44" i="81"/>
  <c r="O44" i="81"/>
  <c r="P44" i="81" s="1"/>
  <c r="B28" i="81" s="1"/>
  <c r="V43" i="81"/>
  <c r="O43" i="81"/>
  <c r="P43" i="81" s="1"/>
  <c r="B27" i="81" s="1"/>
  <c r="V42" i="81"/>
  <c r="O42" i="81"/>
  <c r="P42" i="81" s="1"/>
  <c r="AJ2" i="81" s="1"/>
  <c r="AK2" i="81" s="1"/>
  <c r="AA41" i="81"/>
  <c r="Z41" i="81" s="1"/>
  <c r="AA40" i="81"/>
  <c r="Z40" i="81" s="1"/>
  <c r="N9" i="81"/>
  <c r="AA39" i="81"/>
  <c r="Z39" i="81" s="1"/>
  <c r="AA38" i="81"/>
  <c r="Z38" i="81" s="1"/>
  <c r="V38" i="81"/>
  <c r="P38" i="81"/>
  <c r="B25" i="81" s="1"/>
  <c r="O38" i="81"/>
  <c r="AA37" i="81"/>
  <c r="Z37" i="81" s="1"/>
  <c r="V37" i="81"/>
  <c r="O37" i="81"/>
  <c r="P37" i="81" s="1"/>
  <c r="B24" i="81" s="1"/>
  <c r="AA36" i="81"/>
  <c r="Z36" i="81" s="1"/>
  <c r="V36" i="81"/>
  <c r="O36" i="81"/>
  <c r="P36" i="81" s="1"/>
  <c r="B23" i="81" s="1"/>
  <c r="AA35" i="81"/>
  <c r="Z35" i="81" s="1"/>
  <c r="AA34" i="81"/>
  <c r="Z34" i="81" s="1"/>
  <c r="AA33" i="81"/>
  <c r="Z33" i="81" s="1"/>
  <c r="O33" i="81"/>
  <c r="P33" i="81" s="1"/>
  <c r="AA32" i="81"/>
  <c r="Z32" i="81" s="1"/>
  <c r="V32" i="81"/>
  <c r="O32" i="81"/>
  <c r="P32" i="81"/>
  <c r="B21" i="81" s="1"/>
  <c r="AF31" i="81"/>
  <c r="AD31" i="81"/>
  <c r="B144" i="81" s="1"/>
  <c r="AA31" i="81"/>
  <c r="Z31" i="81" s="1"/>
  <c r="O31" i="81"/>
  <c r="AF30" i="81"/>
  <c r="AD30" i="81"/>
  <c r="B143" i="81" s="1"/>
  <c r="AA30" i="81"/>
  <c r="Z30" i="81" s="1"/>
  <c r="AF29" i="81"/>
  <c r="AD29" i="81"/>
  <c r="B142" i="81" s="1"/>
  <c r="AA29" i="81"/>
  <c r="Z29" i="81" s="1"/>
  <c r="AF28" i="81"/>
  <c r="AD28" i="81"/>
  <c r="B141" i="81" s="1"/>
  <c r="AA28" i="81"/>
  <c r="Z28" i="81" s="1"/>
  <c r="V28" i="81"/>
  <c r="O28" i="81"/>
  <c r="P28" i="81" s="1"/>
  <c r="AJ27" i="81"/>
  <c r="AK27" i="81" s="1"/>
  <c r="AF27" i="81"/>
  <c r="AD27" i="81"/>
  <c r="B140" i="81" s="1"/>
  <c r="AA27" i="81"/>
  <c r="Z27" i="81" s="1"/>
  <c r="V27" i="81"/>
  <c r="O27" i="81"/>
  <c r="P27" i="81"/>
  <c r="AF26" i="81"/>
  <c r="AD26" i="81"/>
  <c r="B139" i="81" s="1"/>
  <c r="AA26" i="81"/>
  <c r="Z26" i="81" s="1"/>
  <c r="V26" i="81"/>
  <c r="O26" i="81"/>
  <c r="P26" i="81" s="1"/>
  <c r="B17" i="81" s="1"/>
  <c r="AF25" i="81"/>
  <c r="AD25" i="81"/>
  <c r="B138" i="81" s="1"/>
  <c r="AA25" i="81"/>
  <c r="Z25" i="81" s="1"/>
  <c r="AF24" i="81"/>
  <c r="AD24" i="81"/>
  <c r="B137" i="81" s="1"/>
  <c r="AA24" i="81"/>
  <c r="Z24" i="81" s="1"/>
  <c r="AF23" i="81"/>
  <c r="AD23" i="81"/>
  <c r="B136" i="81" s="1"/>
  <c r="AA23" i="81"/>
  <c r="Z23" i="81" s="1"/>
  <c r="N23" i="81"/>
  <c r="N8" i="81" s="1"/>
  <c r="AF22" i="81"/>
  <c r="AD22" i="81"/>
  <c r="B135" i="81" s="1"/>
  <c r="AA22" i="81"/>
  <c r="Z22" i="81" s="1"/>
  <c r="AJ21" i="81"/>
  <c r="AK21" i="81" s="1"/>
  <c r="AF21" i="81"/>
  <c r="AD21" i="81"/>
  <c r="B134" i="81" s="1"/>
  <c r="AA21" i="81"/>
  <c r="N21" i="81"/>
  <c r="AJ20" i="81"/>
  <c r="AK20" i="81" s="1"/>
  <c r="AF20" i="81"/>
  <c r="AD20" i="81"/>
  <c r="B133" i="81" s="1"/>
  <c r="AA20" i="81"/>
  <c r="N20" i="81"/>
  <c r="AF19" i="81"/>
  <c r="AD19" i="81"/>
  <c r="B132" i="81" s="1"/>
  <c r="AA19" i="81"/>
  <c r="N19" i="81"/>
  <c r="AF18" i="81"/>
  <c r="AD18" i="81"/>
  <c r="B131" i="81" s="1"/>
  <c r="AA18" i="81"/>
  <c r="N18" i="81"/>
  <c r="AF17" i="81"/>
  <c r="AD17" i="81"/>
  <c r="B130" i="81" s="1"/>
  <c r="AA17" i="81"/>
  <c r="N17" i="81"/>
  <c r="N16" i="81" s="1"/>
  <c r="N5" i="81" s="1"/>
  <c r="AF16" i="81"/>
  <c r="AD16" i="81"/>
  <c r="B129" i="81" s="1"/>
  <c r="AA16" i="81"/>
  <c r="AF15" i="81"/>
  <c r="AD15" i="81"/>
  <c r="B128" i="81" s="1"/>
  <c r="AA15" i="81"/>
  <c r="AF14" i="81"/>
  <c r="AD14" i="81"/>
  <c r="B127" i="81" s="1"/>
  <c r="AA14" i="81"/>
  <c r="AF13" i="81"/>
  <c r="AD13" i="81"/>
  <c r="B126" i="81" s="1"/>
  <c r="AA13" i="81"/>
  <c r="AF12" i="81"/>
  <c r="AD12" i="81"/>
  <c r="B125" i="81" s="1"/>
  <c r="AA12" i="81"/>
  <c r="N12" i="81"/>
  <c r="AF11" i="81"/>
  <c r="AD11" i="81"/>
  <c r="B124" i="81" s="1"/>
  <c r="AA11" i="81"/>
  <c r="N11" i="81"/>
  <c r="AF10" i="81"/>
  <c r="AD10" i="81"/>
  <c r="B123" i="81" s="1"/>
  <c r="AA10" i="81"/>
  <c r="N10" i="81"/>
  <c r="AF9" i="81"/>
  <c r="AD9" i="81"/>
  <c r="B122" i="81" s="1"/>
  <c r="AA9" i="81"/>
  <c r="AF8" i="81"/>
  <c r="AD8" i="81"/>
  <c r="B121" i="81" s="1"/>
  <c r="AA8" i="81"/>
  <c r="G8" i="81"/>
  <c r="D8" i="81"/>
  <c r="AJ7" i="81"/>
  <c r="AK7" i="81" s="1"/>
  <c r="AF7" i="81"/>
  <c r="AD7" i="81"/>
  <c r="B120" i="81" s="1"/>
  <c r="AA7" i="81"/>
  <c r="D7" i="81"/>
  <c r="AA6" i="81"/>
  <c r="AA5" i="81"/>
  <c r="AA4" i="81"/>
  <c r="N4" i="81"/>
  <c r="M124" i="80"/>
  <c r="L61" i="80"/>
  <c r="L51" i="80"/>
  <c r="L41" i="80"/>
  <c r="L35" i="80"/>
  <c r="L30" i="80"/>
  <c r="L25" i="80"/>
  <c r="L164" i="80"/>
  <c r="N163" i="80"/>
  <c r="L78" i="80"/>
  <c r="N77" i="80"/>
  <c r="N71" i="80"/>
  <c r="N40" i="80"/>
  <c r="E285" i="80"/>
  <c r="E286" i="80" s="1"/>
  <c r="E287" i="80" s="1"/>
  <c r="E288" i="80" s="1"/>
  <c r="E289" i="80" s="1"/>
  <c r="E290" i="80" s="1"/>
  <c r="E291" i="80" s="1"/>
  <c r="E292" i="80" s="1"/>
  <c r="E293" i="80" s="1"/>
  <c r="E294" i="80" s="1"/>
  <c r="E295" i="80" s="1"/>
  <c r="E296" i="80" s="1"/>
  <c r="E297" i="80" s="1"/>
  <c r="E298" i="80" s="1"/>
  <c r="E299" i="80" s="1"/>
  <c r="E300" i="80" s="1"/>
  <c r="E301" i="80" s="1"/>
  <c r="E302" i="80" s="1"/>
  <c r="E303" i="80" s="1"/>
  <c r="E304" i="80" s="1"/>
  <c r="E305" i="80" s="1"/>
  <c r="E306" i="80" s="1"/>
  <c r="E307" i="80" s="1"/>
  <c r="E308" i="80" s="1"/>
  <c r="E309" i="80" s="1"/>
  <c r="E310" i="80" s="1"/>
  <c r="E311" i="80" s="1"/>
  <c r="E312" i="80" s="1"/>
  <c r="E313" i="80" s="1"/>
  <c r="E314" i="80" s="1"/>
  <c r="E315" i="80" s="1"/>
  <c r="E316" i="80" s="1"/>
  <c r="E281" i="80"/>
  <c r="E282" i="80" s="1"/>
  <c r="E283" i="80" s="1"/>
  <c r="E284" i="80" s="1"/>
  <c r="H238" i="80"/>
  <c r="H237" i="80"/>
  <c r="H236" i="80"/>
  <c r="F234" i="80"/>
  <c r="H234" i="80" s="1"/>
  <c r="M218" i="80"/>
  <c r="P218" i="80" s="1"/>
  <c r="R215" i="80"/>
  <c r="Q215" i="80"/>
  <c r="P215" i="80"/>
  <c r="O215" i="80"/>
  <c r="H215" i="80"/>
  <c r="G215" i="80"/>
  <c r="R214" i="80"/>
  <c r="Q214" i="80"/>
  <c r="O214" i="80"/>
  <c r="H214" i="80"/>
  <c r="G214" i="80"/>
  <c r="R213" i="80"/>
  <c r="Q213" i="80"/>
  <c r="O213" i="80"/>
  <c r="P213" i="80" s="1"/>
  <c r="H213" i="80"/>
  <c r="G213" i="80"/>
  <c r="R212" i="80"/>
  <c r="Q212" i="80"/>
  <c r="O212" i="80"/>
  <c r="P212" i="80" s="1"/>
  <c r="H212" i="80"/>
  <c r="G212" i="80"/>
  <c r="R211" i="80"/>
  <c r="Q211" i="80"/>
  <c r="O211" i="80"/>
  <c r="P211" i="80" s="1"/>
  <c r="H211" i="80"/>
  <c r="G211" i="80"/>
  <c r="R210" i="80"/>
  <c r="P210" i="80" s="1"/>
  <c r="Q210" i="80"/>
  <c r="O210" i="80"/>
  <c r="H210" i="80"/>
  <c r="G210" i="80"/>
  <c r="R209" i="80"/>
  <c r="Q209" i="80"/>
  <c r="P209" i="80"/>
  <c r="O209" i="80"/>
  <c r="H209" i="80"/>
  <c r="G209" i="80"/>
  <c r="R208" i="80"/>
  <c r="Q208" i="80"/>
  <c r="O208" i="80"/>
  <c r="H208" i="80"/>
  <c r="G208" i="80"/>
  <c r="R207" i="80"/>
  <c r="Q207" i="80"/>
  <c r="O207" i="80"/>
  <c r="H207" i="80"/>
  <c r="G207" i="80"/>
  <c r="R206" i="80"/>
  <c r="Q206" i="80"/>
  <c r="P206" i="80"/>
  <c r="O206" i="80"/>
  <c r="H206" i="80"/>
  <c r="G206" i="80"/>
  <c r="R203" i="80"/>
  <c r="O203" i="80"/>
  <c r="G203" i="80"/>
  <c r="R202" i="80"/>
  <c r="P202" i="80" s="1"/>
  <c r="AA120" i="80" s="1"/>
  <c r="O202" i="80"/>
  <c r="G202" i="80"/>
  <c r="R201" i="80"/>
  <c r="O201" i="80"/>
  <c r="G201" i="80"/>
  <c r="R200" i="80"/>
  <c r="O200" i="80"/>
  <c r="P200" i="80" s="1"/>
  <c r="AA118" i="80" s="1"/>
  <c r="G200" i="80"/>
  <c r="R199" i="80"/>
  <c r="P199" i="80" s="1"/>
  <c r="AA117" i="80" s="1"/>
  <c r="O199" i="80"/>
  <c r="G199" i="80"/>
  <c r="R198" i="80"/>
  <c r="P198" i="80"/>
  <c r="AA116" i="80" s="1"/>
  <c r="O198" i="80"/>
  <c r="G198" i="80"/>
  <c r="R197" i="80"/>
  <c r="P197" i="80" s="1"/>
  <c r="AA115" i="80" s="1"/>
  <c r="O197" i="80"/>
  <c r="G197" i="80"/>
  <c r="R196" i="80"/>
  <c r="O196" i="80"/>
  <c r="P196" i="80" s="1"/>
  <c r="AA114" i="80" s="1"/>
  <c r="G196" i="80"/>
  <c r="R195" i="80"/>
  <c r="O195" i="80"/>
  <c r="P195" i="80" s="1"/>
  <c r="AA113" i="80" s="1"/>
  <c r="G195" i="80"/>
  <c r="R194" i="80"/>
  <c r="P194" i="80" s="1"/>
  <c r="AA112" i="80" s="1"/>
  <c r="O194" i="80"/>
  <c r="G194" i="80"/>
  <c r="Z112" i="80" s="1"/>
  <c r="O191" i="80"/>
  <c r="O190" i="80"/>
  <c r="O189" i="80"/>
  <c r="O188" i="80"/>
  <c r="O187" i="80"/>
  <c r="O185" i="80"/>
  <c r="P185" i="80" s="1"/>
  <c r="R190" i="80" s="1"/>
  <c r="I185" i="80"/>
  <c r="M191" i="80" s="1"/>
  <c r="O184" i="80"/>
  <c r="P184" i="80" s="1"/>
  <c r="L193" i="80" s="1"/>
  <c r="I184" i="80"/>
  <c r="M190" i="80" s="1"/>
  <c r="R181" i="80"/>
  <c r="O181" i="80"/>
  <c r="H181" i="80"/>
  <c r="R180" i="80"/>
  <c r="O180" i="80"/>
  <c r="P180" i="80" s="1"/>
  <c r="AA85" i="80" s="1"/>
  <c r="H180" i="80"/>
  <c r="R179" i="80"/>
  <c r="P179" i="80"/>
  <c r="AA84" i="80" s="1"/>
  <c r="O179" i="80"/>
  <c r="H179" i="80"/>
  <c r="R178" i="80"/>
  <c r="O178" i="80"/>
  <c r="P178" i="80" s="1"/>
  <c r="AA83" i="80" s="1"/>
  <c r="H178" i="80"/>
  <c r="R177" i="80"/>
  <c r="O177" i="80"/>
  <c r="H177" i="80"/>
  <c r="I164" i="80"/>
  <c r="H164" i="80"/>
  <c r="G164" i="80"/>
  <c r="F164" i="80"/>
  <c r="P161" i="80"/>
  <c r="O161" i="80"/>
  <c r="O160" i="80"/>
  <c r="P160" i="80" s="1"/>
  <c r="R157" i="80"/>
  <c r="Q157" i="80"/>
  <c r="P157" i="80"/>
  <c r="O157" i="80"/>
  <c r="H157" i="80"/>
  <c r="R156" i="80"/>
  <c r="Q156" i="80"/>
  <c r="O156" i="80"/>
  <c r="H156" i="80"/>
  <c r="R155" i="80"/>
  <c r="Q155" i="80"/>
  <c r="O155" i="80"/>
  <c r="H155" i="80"/>
  <c r="R154" i="80"/>
  <c r="Q154" i="80"/>
  <c r="O154" i="80"/>
  <c r="H154" i="80"/>
  <c r="AF153" i="80" a="1"/>
  <c r="AF153" i="80" s="1"/>
  <c r="B236" i="80" s="1"/>
  <c r="AE153" i="80"/>
  <c r="R153" i="80"/>
  <c r="Q153" i="80"/>
  <c r="O153" i="80"/>
  <c r="P153" i="80" s="1"/>
  <c r="H153" i="80"/>
  <c r="AF152" i="80" a="1"/>
  <c r="AF152" i="80" s="1"/>
  <c r="B235" i="80" s="1"/>
  <c r="AE152" i="80"/>
  <c r="R152" i="80"/>
  <c r="Q152" i="80"/>
  <c r="O152" i="80"/>
  <c r="P152" i="80" s="1"/>
  <c r="H152" i="80"/>
  <c r="AF151" i="80" a="1"/>
  <c r="AF151" i="80" s="1"/>
  <c r="B234" i="80" s="1"/>
  <c r="AE151" i="80"/>
  <c r="R151" i="80"/>
  <c r="P151" i="80" s="1"/>
  <c r="Q151" i="80"/>
  <c r="O151" i="80"/>
  <c r="H151" i="80"/>
  <c r="AF150" i="80" a="1"/>
  <c r="AF150" i="80" s="1"/>
  <c r="B233" i="80" s="1"/>
  <c r="AE150" i="80"/>
  <c r="R150" i="80"/>
  <c r="Q150" i="80"/>
  <c r="O150" i="80"/>
  <c r="P150" i="80" s="1"/>
  <c r="H150" i="80"/>
  <c r="AF149" i="80" a="1"/>
  <c r="AF149" i="80" s="1"/>
  <c r="B232" i="80" s="1"/>
  <c r="AE149" i="80"/>
  <c r="R149" i="80"/>
  <c r="Q149" i="80"/>
  <c r="O149" i="80"/>
  <c r="H149" i="80"/>
  <c r="AF148" i="80" a="1"/>
  <c r="AF148" i="80" s="1"/>
  <c r="B231" i="80" s="1"/>
  <c r="AE148" i="80"/>
  <c r="R148" i="80"/>
  <c r="Q148" i="80"/>
  <c r="O148" i="80"/>
  <c r="H148" i="80"/>
  <c r="AF147" i="80" a="1"/>
  <c r="AF147" i="80" s="1"/>
  <c r="B230" i="80" s="1"/>
  <c r="AE147" i="80"/>
  <c r="R147" i="80"/>
  <c r="Q147" i="80"/>
  <c r="O147" i="80"/>
  <c r="H147" i="80"/>
  <c r="AF146" i="80" a="1"/>
  <c r="AF146" i="80" s="1"/>
  <c r="B229" i="80" s="1"/>
  <c r="AE146" i="80"/>
  <c r="R146" i="80"/>
  <c r="Q146" i="80"/>
  <c r="O146" i="80"/>
  <c r="P146" i="80" s="1"/>
  <c r="H146" i="80"/>
  <c r="AF145" i="80" a="1"/>
  <c r="AF145" i="80" s="1"/>
  <c r="B228" i="80" s="1"/>
  <c r="AE145" i="80"/>
  <c r="R145" i="80"/>
  <c r="Q145" i="80"/>
  <c r="O145" i="80"/>
  <c r="P145" i="80" s="1"/>
  <c r="H145" i="80"/>
  <c r="AF144" i="80" a="1"/>
  <c r="AF144" i="80" s="1"/>
  <c r="B227" i="80" s="1"/>
  <c r="AE144" i="80"/>
  <c r="R144" i="80"/>
  <c r="Q144" i="80"/>
  <c r="O144" i="80"/>
  <c r="H144" i="80"/>
  <c r="AF143" i="80" a="1"/>
  <c r="AF143" i="80" s="1"/>
  <c r="B226" i="80" s="1"/>
  <c r="AE143" i="80"/>
  <c r="R143" i="80"/>
  <c r="P143" i="80" s="1"/>
  <c r="Q143" i="80"/>
  <c r="O143" i="80"/>
  <c r="H143" i="80"/>
  <c r="AF142" i="80" a="1"/>
  <c r="AF142" i="80" s="1"/>
  <c r="B225" i="80" s="1"/>
  <c r="AE142" i="80"/>
  <c r="R142" i="80"/>
  <c r="Q142" i="80"/>
  <c r="O142" i="80"/>
  <c r="H142" i="80"/>
  <c r="AF141" i="80" a="1"/>
  <c r="AF141" i="80" s="1"/>
  <c r="B224" i="80" s="1"/>
  <c r="AE141" i="80"/>
  <c r="R141" i="80"/>
  <c r="Q141" i="80"/>
  <c r="O141" i="80"/>
  <c r="P141" i="80" s="1"/>
  <c r="H141" i="80"/>
  <c r="AF140" i="80" a="1"/>
  <c r="AF140" i="80" s="1"/>
  <c r="B223" i="80" s="1"/>
  <c r="AE140" i="80"/>
  <c r="R140" i="80"/>
  <c r="Q140" i="80"/>
  <c r="O140" i="80"/>
  <c r="P140" i="80" s="1"/>
  <c r="H140" i="80"/>
  <c r="AF139" i="80" a="1"/>
  <c r="AF139" i="80" s="1"/>
  <c r="B222" i="80" s="1"/>
  <c r="AE139" i="80"/>
  <c r="R139" i="80"/>
  <c r="Q139" i="80"/>
  <c r="O139" i="80"/>
  <c r="H139" i="80"/>
  <c r="R138" i="80"/>
  <c r="P138" i="80" s="1"/>
  <c r="Q138" i="80"/>
  <c r="O138" i="80"/>
  <c r="H138" i="80"/>
  <c r="H137" i="80"/>
  <c r="R135" i="80"/>
  <c r="Q135" i="80"/>
  <c r="O135" i="80"/>
  <c r="P135" i="80" s="1"/>
  <c r="R134" i="80"/>
  <c r="Q134" i="80"/>
  <c r="P134" i="80"/>
  <c r="O134" i="80"/>
  <c r="R133" i="80"/>
  <c r="Q133" i="80"/>
  <c r="O133" i="80"/>
  <c r="P133" i="80" s="1"/>
  <c r="R132" i="80"/>
  <c r="Q132" i="80"/>
  <c r="P132" i="80"/>
  <c r="O132" i="80"/>
  <c r="P129" i="80"/>
  <c r="R128" i="80"/>
  <c r="P128" i="80"/>
  <c r="P127" i="80"/>
  <c r="R126" i="80"/>
  <c r="P126" i="80"/>
  <c r="R129" i="80" s="1"/>
  <c r="P125" i="80"/>
  <c r="P124" i="80"/>
  <c r="B84" i="80" s="1"/>
  <c r="Z121" i="80"/>
  <c r="Z120" i="80"/>
  <c r="O120" i="80"/>
  <c r="P120" i="80" s="1"/>
  <c r="H120" i="80"/>
  <c r="G120" i="80"/>
  <c r="Z119" i="80"/>
  <c r="O119" i="80"/>
  <c r="P119" i="80" s="1"/>
  <c r="H119" i="80"/>
  <c r="G119" i="80"/>
  <c r="Z118" i="80"/>
  <c r="O118" i="80"/>
  <c r="P118" i="80" s="1"/>
  <c r="H118" i="80"/>
  <c r="G118" i="80"/>
  <c r="Z117" i="80"/>
  <c r="O117" i="80"/>
  <c r="P117" i="80" s="1"/>
  <c r="H117" i="80"/>
  <c r="G117" i="80"/>
  <c r="Z116" i="80"/>
  <c r="O116" i="80"/>
  <c r="P116" i="80" s="1"/>
  <c r="H116" i="80"/>
  <c r="G116" i="80"/>
  <c r="Z115" i="80"/>
  <c r="O115" i="80"/>
  <c r="P115" i="80" s="1"/>
  <c r="H115" i="80"/>
  <c r="G115" i="80"/>
  <c r="Z114" i="80"/>
  <c r="O114" i="80"/>
  <c r="P114" i="80" s="1"/>
  <c r="H114" i="80"/>
  <c r="G114" i="80"/>
  <c r="Z113" i="80"/>
  <c r="O113" i="80"/>
  <c r="P113" i="80" s="1"/>
  <c r="H113" i="80"/>
  <c r="G113" i="80"/>
  <c r="P112" i="80"/>
  <c r="O112" i="80"/>
  <c r="H112" i="80"/>
  <c r="G112" i="80"/>
  <c r="P111" i="80"/>
  <c r="O111" i="80"/>
  <c r="H111" i="80"/>
  <c r="G111" i="80"/>
  <c r="O110" i="80"/>
  <c r="P110" i="80" s="1"/>
  <c r="H110" i="80"/>
  <c r="G110" i="80"/>
  <c r="P109" i="80"/>
  <c r="O109" i="80"/>
  <c r="H109" i="80"/>
  <c r="G109" i="80"/>
  <c r="P108" i="80"/>
  <c r="O108" i="80"/>
  <c r="H108" i="80"/>
  <c r="G108" i="80"/>
  <c r="P107" i="80"/>
  <c r="O107" i="80"/>
  <c r="H107" i="80"/>
  <c r="G107" i="80"/>
  <c r="P106" i="80"/>
  <c r="O106" i="80"/>
  <c r="H106" i="80"/>
  <c r="G106" i="80"/>
  <c r="O105" i="80"/>
  <c r="P105" i="80" s="1"/>
  <c r="H105" i="80"/>
  <c r="G105" i="80"/>
  <c r="P104" i="80"/>
  <c r="O104" i="80"/>
  <c r="H104" i="80"/>
  <c r="G104" i="80"/>
  <c r="P103" i="80"/>
  <c r="O103" i="80"/>
  <c r="H103" i="80"/>
  <c r="G103" i="80"/>
  <c r="O102" i="80"/>
  <c r="P102" i="80" s="1"/>
  <c r="H102" i="80"/>
  <c r="G102" i="80"/>
  <c r="O101" i="80"/>
  <c r="P101" i="80" s="1"/>
  <c r="H101" i="80"/>
  <c r="G101" i="80"/>
  <c r="R98" i="80"/>
  <c r="Q98" i="80"/>
  <c r="O98" i="80"/>
  <c r="H98" i="80"/>
  <c r="R97" i="80"/>
  <c r="Q97" i="80"/>
  <c r="O97" i="80"/>
  <c r="P97" i="80" s="1"/>
  <c r="H97" i="80"/>
  <c r="R96" i="80"/>
  <c r="Q96" i="80"/>
  <c r="O96" i="80"/>
  <c r="H96" i="80"/>
  <c r="R95" i="80"/>
  <c r="Q95" i="80"/>
  <c r="O95" i="80"/>
  <c r="P95" i="80" s="1"/>
  <c r="H95" i="80"/>
  <c r="R94" i="80"/>
  <c r="P94" i="80" s="1"/>
  <c r="Q94" i="80"/>
  <c r="O94" i="80"/>
  <c r="H94" i="80"/>
  <c r="R93" i="80"/>
  <c r="Q93" i="80"/>
  <c r="O93" i="80"/>
  <c r="H93" i="80"/>
  <c r="R92" i="80"/>
  <c r="P92" i="80" s="1"/>
  <c r="Q92" i="80"/>
  <c r="O92" i="80"/>
  <c r="H92" i="80"/>
  <c r="R91" i="80"/>
  <c r="Q91" i="80"/>
  <c r="O91" i="80"/>
  <c r="P91" i="80" s="1"/>
  <c r="H91" i="80"/>
  <c r="R90" i="80"/>
  <c r="Q90" i="80"/>
  <c r="O90" i="80"/>
  <c r="H90" i="80"/>
  <c r="R89" i="80"/>
  <c r="Q89" i="80"/>
  <c r="O89" i="80"/>
  <c r="P89" i="80" s="1"/>
  <c r="H89" i="80"/>
  <c r="R88" i="80"/>
  <c r="Q88" i="80"/>
  <c r="O88" i="80"/>
  <c r="H88" i="80"/>
  <c r="R87" i="80"/>
  <c r="Q87" i="80"/>
  <c r="O87" i="80"/>
  <c r="H87" i="80"/>
  <c r="R86" i="80"/>
  <c r="P86" i="80" s="1"/>
  <c r="Q86" i="80"/>
  <c r="O86" i="80"/>
  <c r="H86" i="80"/>
  <c r="R85" i="80"/>
  <c r="Q85" i="80"/>
  <c r="O85" i="80"/>
  <c r="H85" i="80"/>
  <c r="R84" i="80"/>
  <c r="Q84" i="80"/>
  <c r="O84" i="80"/>
  <c r="H84" i="80"/>
  <c r="R83" i="80"/>
  <c r="P83" i="80" s="1"/>
  <c r="Q83" i="80"/>
  <c r="O83" i="80"/>
  <c r="H83" i="80"/>
  <c r="R82" i="80"/>
  <c r="Q82" i="80"/>
  <c r="O82" i="80"/>
  <c r="H82" i="80"/>
  <c r="R81" i="80"/>
  <c r="P81" i="80" s="1"/>
  <c r="Q81" i="80"/>
  <c r="O81" i="80"/>
  <c r="H81" i="80"/>
  <c r="R80" i="80"/>
  <c r="Q80" i="80"/>
  <c r="O80" i="80"/>
  <c r="H80" i="80"/>
  <c r="R79" i="80"/>
  <c r="Q79" i="80"/>
  <c r="AA2" i="80" s="1"/>
  <c r="O79" i="80"/>
  <c r="P79" i="80" s="1"/>
  <c r="H79" i="80"/>
  <c r="O74" i="80"/>
  <c r="AF73" i="80"/>
  <c r="AE73" i="80" a="1"/>
  <c r="AE73" i="80" s="1"/>
  <c r="B313" i="80" s="1"/>
  <c r="AD73" i="80" a="1"/>
  <c r="AD73" i="80" s="1"/>
  <c r="O73" i="80"/>
  <c r="P73" i="80" s="1"/>
  <c r="B109" i="80" s="1"/>
  <c r="AF72" i="80"/>
  <c r="AE72" i="80" a="1"/>
  <c r="AE72" i="80" s="1"/>
  <c r="B312" i="80" s="1"/>
  <c r="AD72" i="80" a="1"/>
  <c r="AD72" i="80" s="1"/>
  <c r="O72" i="80"/>
  <c r="P72" i="80" s="1"/>
  <c r="AF71" i="80"/>
  <c r="AE71" i="80" a="1"/>
  <c r="AE71" i="80" s="1"/>
  <c r="B311" i="80" s="1"/>
  <c r="AD71" i="80" a="1"/>
  <c r="AD71" i="80" s="1"/>
  <c r="AF70" i="80"/>
  <c r="AE70" i="80" a="1"/>
  <c r="AE70" i="80" s="1"/>
  <c r="B310" i="80" s="1"/>
  <c r="AD70" i="80" a="1"/>
  <c r="AD70" i="80" s="1"/>
  <c r="AF69" i="80"/>
  <c r="AE69" i="80" a="1"/>
  <c r="AE69" i="80" s="1"/>
  <c r="B309" i="80" s="1"/>
  <c r="AD69" i="80" a="1"/>
  <c r="AD69" i="80" s="1"/>
  <c r="V69" i="80"/>
  <c r="O69" i="80"/>
  <c r="P69" i="80" s="1"/>
  <c r="AF68" i="80"/>
  <c r="AE68" i="80" a="1"/>
  <c r="AE68" i="80" s="1"/>
  <c r="B308" i="80" s="1"/>
  <c r="AD68" i="80" a="1"/>
  <c r="AD68" i="80" s="1"/>
  <c r="V68" i="80"/>
  <c r="P68" i="80"/>
  <c r="O68" i="80"/>
  <c r="AF67" i="80"/>
  <c r="AE67" i="80" a="1"/>
  <c r="AE67" i="80" s="1"/>
  <c r="B307" i="80" s="1"/>
  <c r="AD67" i="80" a="1"/>
  <c r="AD67" i="80" s="1"/>
  <c r="V67" i="80"/>
  <c r="O67" i="80"/>
  <c r="P67" i="80" s="1"/>
  <c r="AF66" i="80"/>
  <c r="AE66" i="80" a="1"/>
  <c r="AE66" i="80" s="1"/>
  <c r="B306" i="80" s="1"/>
  <c r="AD66" i="80" a="1"/>
  <c r="AD66" i="80" s="1"/>
  <c r="V66" i="80"/>
  <c r="O66" i="80"/>
  <c r="P66" i="80" s="1"/>
  <c r="AF65" i="80"/>
  <c r="AE65" i="80" a="1"/>
  <c r="AE65" i="80" s="1"/>
  <c r="B305" i="80" s="1"/>
  <c r="AD65" i="80" a="1"/>
  <c r="AD65" i="80" s="1"/>
  <c r="V65" i="80"/>
  <c r="P65" i="80"/>
  <c r="AJ27" i="80" s="1"/>
  <c r="AK27" i="80" s="1"/>
  <c r="O65" i="80"/>
  <c r="AF64" i="80"/>
  <c r="AE64" i="80" a="1"/>
  <c r="AE64" i="80" s="1"/>
  <c r="B304" i="80" s="1"/>
  <c r="AD64" i="80" a="1"/>
  <c r="AD64" i="80" s="1"/>
  <c r="V64" i="80"/>
  <c r="P64" i="80"/>
  <c r="O64" i="80"/>
  <c r="AF63" i="80"/>
  <c r="AE63" i="80" a="1"/>
  <c r="AE63" i="80" s="1"/>
  <c r="B303" i="80" s="1"/>
  <c r="AD63" i="80" a="1"/>
  <c r="AD63" i="80" s="1"/>
  <c r="V63" i="80"/>
  <c r="O63" i="80"/>
  <c r="P63" i="80" s="1"/>
  <c r="AF62" i="80"/>
  <c r="AE62" i="80" a="1"/>
  <c r="AE62" i="80" s="1"/>
  <c r="B302" i="80" s="1"/>
  <c r="AD62" i="80" a="1"/>
  <c r="AD62" i="80" s="1"/>
  <c r="V62" i="80"/>
  <c r="O62" i="80"/>
  <c r="P62" i="80" s="1"/>
  <c r="AF61" i="80"/>
  <c r="AE61" i="80" a="1"/>
  <c r="AE61" i="80" s="1"/>
  <c r="B301" i="80" s="1"/>
  <c r="AD61" i="80" a="1"/>
  <c r="AD61" i="80" s="1"/>
  <c r="AF60" i="80"/>
  <c r="AE60" i="80" a="1"/>
  <c r="AE60" i="80" s="1"/>
  <c r="B300" i="80" s="1"/>
  <c r="AD60" i="80" a="1"/>
  <c r="AD60" i="80" s="1"/>
  <c r="AF59" i="80"/>
  <c r="AE59" i="80" a="1"/>
  <c r="AE59" i="80" s="1"/>
  <c r="B299" i="80" s="1"/>
  <c r="AD59" i="80" a="1"/>
  <c r="AD59" i="80" s="1"/>
  <c r="V59" i="80"/>
  <c r="P59" i="80"/>
  <c r="AJ56" i="80" s="1"/>
  <c r="AK56" i="80" s="1"/>
  <c r="O59" i="80"/>
  <c r="AF58" i="80"/>
  <c r="AE58" i="80" a="1"/>
  <c r="AE58" i="80" s="1"/>
  <c r="B298" i="80" s="1"/>
  <c r="AD58" i="80" a="1"/>
  <c r="AD58" i="80" s="1"/>
  <c r="V58" i="80"/>
  <c r="O58" i="80"/>
  <c r="P58" i="80" s="1"/>
  <c r="AF57" i="80"/>
  <c r="AE57" i="80" a="1"/>
  <c r="AE57" i="80" s="1"/>
  <c r="B297" i="80" s="1"/>
  <c r="AD57" i="80" a="1"/>
  <c r="AD57" i="80" s="1"/>
  <c r="V57" i="80"/>
  <c r="O57" i="80"/>
  <c r="P57" i="80" s="1"/>
  <c r="AF56" i="80"/>
  <c r="AE56" i="80" a="1"/>
  <c r="AE56" i="80" s="1"/>
  <c r="B296" i="80" s="1"/>
  <c r="AD56" i="80"/>
  <c r="AD56" i="80" a="1"/>
  <c r="V56" i="80"/>
  <c r="O56" i="80"/>
  <c r="P56" i="80" s="1"/>
  <c r="AF55" i="80"/>
  <c r="AE55" i="80" a="1"/>
  <c r="AE55" i="80" s="1"/>
  <c r="B295" i="80" s="1"/>
  <c r="AD55" i="80" a="1"/>
  <c r="AD55" i="80" s="1"/>
  <c r="V55" i="80"/>
  <c r="O55" i="80"/>
  <c r="P55" i="80" s="1"/>
  <c r="AJ23" i="80" s="1"/>
  <c r="AK23" i="80" s="1"/>
  <c r="AF54" i="80"/>
  <c r="AE54" i="80" a="1"/>
  <c r="AE54" i="80" s="1"/>
  <c r="B294" i="80" s="1"/>
  <c r="AD54" i="80" a="1"/>
  <c r="AD54" i="80" s="1"/>
  <c r="V54" i="80"/>
  <c r="P54" i="80"/>
  <c r="AJ20" i="80" s="1"/>
  <c r="AK20" i="80" s="1"/>
  <c r="O54" i="80"/>
  <c r="AF53" i="80"/>
  <c r="AE53" i="80" a="1"/>
  <c r="AE53" i="80" s="1"/>
  <c r="B293" i="80" s="1"/>
  <c r="AD53" i="80" a="1"/>
  <c r="AD53" i="80" s="1"/>
  <c r="V53" i="80"/>
  <c r="O53" i="80"/>
  <c r="P53" i="80" s="1"/>
  <c r="V52" i="80"/>
  <c r="O52" i="80"/>
  <c r="P52" i="80" s="1"/>
  <c r="V49" i="80"/>
  <c r="P49" i="80"/>
  <c r="O49" i="80"/>
  <c r="V48" i="80"/>
  <c r="O48" i="80"/>
  <c r="P48" i="80" s="1"/>
  <c r="AJ37" i="80" s="1"/>
  <c r="AK37" i="80" s="1"/>
  <c r="V47" i="80"/>
  <c r="P47" i="80"/>
  <c r="AJ35" i="80" s="1"/>
  <c r="AK35" i="80" s="1"/>
  <c r="O47" i="80"/>
  <c r="V46" i="80"/>
  <c r="O46" i="80"/>
  <c r="P46" i="80" s="1"/>
  <c r="V45" i="80"/>
  <c r="P45" i="80"/>
  <c r="AJ28" i="80" s="1"/>
  <c r="AK28" i="80" s="1"/>
  <c r="O45" i="80"/>
  <c r="V44" i="80"/>
  <c r="O44" i="80"/>
  <c r="P44" i="80" s="1"/>
  <c r="V43" i="80"/>
  <c r="O43" i="80"/>
  <c r="P43" i="80" s="1"/>
  <c r="V42" i="80"/>
  <c r="O42" i="80"/>
  <c r="P42" i="80" s="1"/>
  <c r="AJ2" i="80" s="1"/>
  <c r="AK2" i="80" s="1"/>
  <c r="AA41" i="80"/>
  <c r="Z41" i="80" s="1"/>
  <c r="AA40" i="80"/>
  <c r="Z40" i="80" s="1"/>
  <c r="U40" i="80"/>
  <c r="N9" i="80"/>
  <c r="AA39" i="80"/>
  <c r="Z39" i="80" s="1"/>
  <c r="AA38" i="80"/>
  <c r="Z38" i="80" s="1"/>
  <c r="V38" i="80"/>
  <c r="O38" i="80"/>
  <c r="P38" i="80"/>
  <c r="AJ10" i="80" s="1"/>
  <c r="AK10" i="80" s="1"/>
  <c r="AA37" i="80"/>
  <c r="Z37" i="80" s="1"/>
  <c r="V37" i="80"/>
  <c r="O37" i="80"/>
  <c r="P37" i="80" s="1"/>
  <c r="AJ31" i="80" s="1"/>
  <c r="AK31" i="80" s="1"/>
  <c r="AA36" i="80"/>
  <c r="Z36" i="80" s="1"/>
  <c r="V36" i="80"/>
  <c r="O36" i="80"/>
  <c r="P36" i="80"/>
  <c r="AA35" i="80"/>
  <c r="Z35" i="80" s="1"/>
  <c r="AA34" i="80"/>
  <c r="Z34" i="80" s="1"/>
  <c r="AA33" i="80"/>
  <c r="Z33" i="80" s="1"/>
  <c r="O33" i="80"/>
  <c r="P33" i="80"/>
  <c r="AA32" i="80"/>
  <c r="Z32" i="80" s="1"/>
  <c r="V32" i="80"/>
  <c r="P32" i="80"/>
  <c r="AJ17" i="80" s="1"/>
  <c r="AK17" i="80" s="1"/>
  <c r="O32" i="80"/>
  <c r="AF31" i="80"/>
  <c r="AD31" i="80"/>
  <c r="AA31" i="80"/>
  <c r="Z31" i="80" s="1"/>
  <c r="O31" i="80"/>
  <c r="P31" i="80"/>
  <c r="AF30" i="80"/>
  <c r="AD30" i="80"/>
  <c r="AA30" i="80"/>
  <c r="Z30" i="80" s="1"/>
  <c r="AF29" i="80"/>
  <c r="AD29" i="80"/>
  <c r="AA29" i="80"/>
  <c r="Z29" i="80" s="1"/>
  <c r="AF28" i="80"/>
  <c r="AD28" i="80"/>
  <c r="AA28" i="80"/>
  <c r="Z28" i="80" s="1"/>
  <c r="V28" i="80"/>
  <c r="O28" i="80"/>
  <c r="P28" i="80"/>
  <c r="B19" i="80" s="1"/>
  <c r="AF27" i="80"/>
  <c r="AD27" i="80"/>
  <c r="AA27" i="80"/>
  <c r="Z27" i="80" s="1"/>
  <c r="V27" i="80"/>
  <c r="O27" i="80"/>
  <c r="P27" i="80" s="1"/>
  <c r="B18" i="80" s="1"/>
  <c r="AF26" i="80"/>
  <c r="AD26" i="80"/>
  <c r="AA26" i="80"/>
  <c r="Z26" i="80" s="1"/>
  <c r="V26" i="80"/>
  <c r="O26" i="80"/>
  <c r="P26" i="80" s="1"/>
  <c r="B17" i="80" s="1"/>
  <c r="AF25" i="80"/>
  <c r="AD25" i="80"/>
  <c r="AA25" i="80"/>
  <c r="Z25" i="80" s="1"/>
  <c r="AF24" i="80"/>
  <c r="AD24" i="80"/>
  <c r="AA24" i="80"/>
  <c r="Z24" i="80" s="1"/>
  <c r="AF23" i="80"/>
  <c r="AD23" i="80"/>
  <c r="AA23" i="80"/>
  <c r="Z23" i="80" s="1"/>
  <c r="N23" i="80"/>
  <c r="AJ22" i="80"/>
  <c r="AK22" i="80" s="1"/>
  <c r="AF22" i="80"/>
  <c r="AD22" i="80"/>
  <c r="AA22" i="80"/>
  <c r="Z22" i="80" s="1"/>
  <c r="AJ21" i="80"/>
  <c r="AK21" i="80" s="1"/>
  <c r="AF21" i="80"/>
  <c r="AD21" i="80"/>
  <c r="AA21" i="80"/>
  <c r="N21" i="80"/>
  <c r="AF20" i="80"/>
  <c r="AD20" i="80"/>
  <c r="AA20" i="80"/>
  <c r="N20" i="80"/>
  <c r="AF19" i="80"/>
  <c r="AD19" i="80"/>
  <c r="AA19" i="80"/>
  <c r="N19" i="80"/>
  <c r="AF18" i="80"/>
  <c r="AD18" i="80"/>
  <c r="AA18" i="80"/>
  <c r="N18" i="80"/>
  <c r="AF17" i="80"/>
  <c r="AD17" i="80"/>
  <c r="AA17" i="80"/>
  <c r="N17" i="80"/>
  <c r="AF16" i="80"/>
  <c r="AD16" i="80"/>
  <c r="AA16" i="80"/>
  <c r="AF15" i="80"/>
  <c r="AD15" i="80"/>
  <c r="AA15" i="80"/>
  <c r="AF14" i="80"/>
  <c r="AD14" i="80"/>
  <c r="AA14" i="80"/>
  <c r="AF13" i="80"/>
  <c r="AD13" i="80"/>
  <c r="AA13" i="80"/>
  <c r="AF12" i="80"/>
  <c r="AD12" i="80"/>
  <c r="AA12" i="80"/>
  <c r="N12" i="80"/>
  <c r="AF11" i="80"/>
  <c r="AD11" i="80"/>
  <c r="AA11" i="80"/>
  <c r="N11" i="80"/>
  <c r="AF10" i="80"/>
  <c r="AD10" i="80"/>
  <c r="AA10" i="80"/>
  <c r="N10" i="80"/>
  <c r="AF9" i="80"/>
  <c r="AD9" i="80"/>
  <c r="AA9" i="80"/>
  <c r="AF8" i="80"/>
  <c r="AD8" i="80"/>
  <c r="AA8" i="80"/>
  <c r="N8" i="80"/>
  <c r="G8" i="80"/>
  <c r="D8" i="80"/>
  <c r="AF7" i="80"/>
  <c r="AD7" i="80"/>
  <c r="AA7" i="80"/>
  <c r="D7" i="80"/>
  <c r="AF6" i="80"/>
  <c r="AD6" i="80"/>
  <c r="AA6" i="80"/>
  <c r="N4" i="80"/>
  <c r="H157" i="79"/>
  <c r="G157" i="79"/>
  <c r="H156" i="79"/>
  <c r="G156" i="79"/>
  <c r="H155" i="79"/>
  <c r="G155" i="79"/>
  <c r="H154" i="79"/>
  <c r="G154" i="79"/>
  <c r="H153" i="79"/>
  <c r="G153" i="79"/>
  <c r="H152" i="79"/>
  <c r="G152" i="79"/>
  <c r="H151" i="79"/>
  <c r="G151" i="79"/>
  <c r="H150" i="79"/>
  <c r="G150" i="79"/>
  <c r="H149" i="79"/>
  <c r="G149" i="79"/>
  <c r="H148" i="79"/>
  <c r="G148" i="79"/>
  <c r="H147" i="79"/>
  <c r="G147" i="79"/>
  <c r="H146" i="79"/>
  <c r="G146" i="79"/>
  <c r="H145" i="79"/>
  <c r="G145" i="79"/>
  <c r="H144" i="79"/>
  <c r="H143" i="79"/>
  <c r="H142" i="79"/>
  <c r="H141" i="79"/>
  <c r="H140" i="79"/>
  <c r="H139" i="79"/>
  <c r="H138" i="79"/>
  <c r="H120" i="79"/>
  <c r="H119" i="79"/>
  <c r="H118" i="79"/>
  <c r="H117" i="79"/>
  <c r="H116" i="79"/>
  <c r="H115" i="79"/>
  <c r="H114" i="79"/>
  <c r="H113" i="79"/>
  <c r="H112" i="79"/>
  <c r="H111" i="79"/>
  <c r="H110" i="79"/>
  <c r="G110" i="79"/>
  <c r="H109" i="79"/>
  <c r="G109" i="79"/>
  <c r="H108" i="79"/>
  <c r="G108" i="79"/>
  <c r="H107" i="79"/>
  <c r="G107" i="79"/>
  <c r="H106" i="79"/>
  <c r="G106" i="79"/>
  <c r="H105" i="79"/>
  <c r="G105" i="79"/>
  <c r="H104" i="79"/>
  <c r="G104" i="79"/>
  <c r="H103" i="79"/>
  <c r="G103" i="79"/>
  <c r="H102" i="79"/>
  <c r="G102" i="79"/>
  <c r="H101" i="79"/>
  <c r="G101" i="79"/>
  <c r="H98" i="79"/>
  <c r="H97" i="79"/>
  <c r="H96" i="79"/>
  <c r="H95" i="79"/>
  <c r="H94" i="79"/>
  <c r="H93" i="79"/>
  <c r="H92" i="79"/>
  <c r="H91" i="79"/>
  <c r="H90" i="79"/>
  <c r="H89" i="79"/>
  <c r="H88" i="79"/>
  <c r="H87" i="79"/>
  <c r="H86" i="79"/>
  <c r="H85" i="79"/>
  <c r="H84" i="79"/>
  <c r="H83" i="79"/>
  <c r="H82" i="79"/>
  <c r="H81" i="79"/>
  <c r="H80" i="79"/>
  <c r="H79" i="79"/>
  <c r="I137" i="79"/>
  <c r="E316" i="79"/>
  <c r="E315" i="79"/>
  <c r="E314" i="79"/>
  <c r="E313" i="79"/>
  <c r="E312" i="79"/>
  <c r="E311" i="79"/>
  <c r="E310" i="79"/>
  <c r="E309" i="79"/>
  <c r="E308" i="79"/>
  <c r="E307" i="79"/>
  <c r="E306" i="79"/>
  <c r="E305" i="79"/>
  <c r="E304" i="79"/>
  <c r="E303" i="79"/>
  <c r="E302" i="79"/>
  <c r="E301" i="79"/>
  <c r="E300" i="79"/>
  <c r="E299" i="79"/>
  <c r="E298" i="79"/>
  <c r="E297" i="79"/>
  <c r="E296" i="79"/>
  <c r="E295" i="79"/>
  <c r="E294" i="79"/>
  <c r="E293" i="79"/>
  <c r="E292" i="79"/>
  <c r="E291" i="79"/>
  <c r="E290" i="79"/>
  <c r="E289" i="79"/>
  <c r="E288" i="79"/>
  <c r="E287" i="79"/>
  <c r="E286" i="79"/>
  <c r="E285" i="79"/>
  <c r="E284" i="79"/>
  <c r="E283" i="79"/>
  <c r="E282" i="79"/>
  <c r="E281" i="79"/>
  <c r="H238" i="79"/>
  <c r="H237" i="79"/>
  <c r="H236" i="79"/>
  <c r="H234" i="79"/>
  <c r="F234" i="79"/>
  <c r="M218" i="79"/>
  <c r="P218" i="79" s="1"/>
  <c r="B354" i="79" s="1"/>
  <c r="R215" i="79"/>
  <c r="Q215" i="79"/>
  <c r="P215" i="79"/>
  <c r="O215" i="79"/>
  <c r="H215" i="79"/>
  <c r="G215" i="79"/>
  <c r="R214" i="79"/>
  <c r="Q214" i="79"/>
  <c r="P214" i="79"/>
  <c r="O214" i="79"/>
  <c r="H214" i="79"/>
  <c r="G214" i="79"/>
  <c r="R213" i="79"/>
  <c r="Q213" i="79"/>
  <c r="P213" i="79"/>
  <c r="O213" i="79"/>
  <c r="H213" i="79"/>
  <c r="G213" i="79"/>
  <c r="R212" i="79"/>
  <c r="Q212" i="79"/>
  <c r="P212" i="79"/>
  <c r="O212" i="79"/>
  <c r="H212" i="79"/>
  <c r="G212" i="79"/>
  <c r="R211" i="79"/>
  <c r="Q211" i="79"/>
  <c r="P211" i="79"/>
  <c r="O211" i="79"/>
  <c r="H211" i="79"/>
  <c r="G211" i="79"/>
  <c r="R210" i="79"/>
  <c r="Q210" i="79"/>
  <c r="P210" i="79"/>
  <c r="O210" i="79"/>
  <c r="H210" i="79"/>
  <c r="G210" i="79"/>
  <c r="R209" i="79"/>
  <c r="Q209" i="79"/>
  <c r="P209" i="79"/>
  <c r="O209" i="79"/>
  <c r="H209" i="79"/>
  <c r="G209" i="79"/>
  <c r="R208" i="79"/>
  <c r="Q208" i="79"/>
  <c r="P208" i="79"/>
  <c r="O208" i="79"/>
  <c r="H208" i="79"/>
  <c r="G208" i="79"/>
  <c r="R207" i="79"/>
  <c r="Q207" i="79"/>
  <c r="P207" i="79"/>
  <c r="O207" i="79"/>
  <c r="H207" i="79"/>
  <c r="G207" i="79"/>
  <c r="R206" i="79"/>
  <c r="Q206" i="79"/>
  <c r="P206" i="79"/>
  <c r="O206" i="79"/>
  <c r="H206" i="79"/>
  <c r="G206" i="79"/>
  <c r="R203" i="79"/>
  <c r="P203" i="79"/>
  <c r="O203" i="79"/>
  <c r="G203" i="79"/>
  <c r="R202" i="79"/>
  <c r="P202" i="79"/>
  <c r="O202" i="79"/>
  <c r="G202" i="79"/>
  <c r="R201" i="79"/>
  <c r="P201" i="79"/>
  <c r="O201" i="79"/>
  <c r="G201" i="79"/>
  <c r="R200" i="79"/>
  <c r="P200" i="79"/>
  <c r="O200" i="79"/>
  <c r="G200" i="79"/>
  <c r="R199" i="79"/>
  <c r="P199" i="79"/>
  <c r="O199" i="79"/>
  <c r="G199" i="79"/>
  <c r="R198" i="79"/>
  <c r="P198" i="79"/>
  <c r="O198" i="79"/>
  <c r="G198" i="79"/>
  <c r="R197" i="79"/>
  <c r="P197" i="79"/>
  <c r="O197" i="79"/>
  <c r="G197" i="79"/>
  <c r="R196" i="79"/>
  <c r="P196" i="79"/>
  <c r="O196" i="79"/>
  <c r="G196" i="79"/>
  <c r="R195" i="79"/>
  <c r="P195" i="79"/>
  <c r="O195" i="79"/>
  <c r="G195" i="79"/>
  <c r="R194" i="79"/>
  <c r="P194" i="79"/>
  <c r="O194" i="79"/>
  <c r="G194" i="79"/>
  <c r="L193" i="79"/>
  <c r="R191" i="79"/>
  <c r="O191" i="79"/>
  <c r="R190" i="79"/>
  <c r="O190" i="79"/>
  <c r="R189" i="79"/>
  <c r="O189" i="79"/>
  <c r="R188" i="79"/>
  <c r="P188" i="79"/>
  <c r="O188" i="79"/>
  <c r="R187" i="79"/>
  <c r="O187" i="79"/>
  <c r="L186" i="79"/>
  <c r="P185" i="79"/>
  <c r="O185" i="79"/>
  <c r="I185" i="79"/>
  <c r="M189" i="79" s="1"/>
  <c r="P189" i="79" s="1"/>
  <c r="P184" i="79"/>
  <c r="O184" i="79"/>
  <c r="I184" i="79"/>
  <c r="M187" i="79" s="1"/>
  <c r="P187" i="79" s="1"/>
  <c r="R181" i="79"/>
  <c r="P181" i="79"/>
  <c r="O181" i="79"/>
  <c r="H181" i="79"/>
  <c r="R180" i="79"/>
  <c r="P180" i="79"/>
  <c r="O180" i="79"/>
  <c r="H180" i="79"/>
  <c r="R179" i="79"/>
  <c r="P179" i="79"/>
  <c r="O179" i="79"/>
  <c r="H179" i="79"/>
  <c r="R178" i="79"/>
  <c r="P178" i="79"/>
  <c r="O178" i="79"/>
  <c r="H178" i="79"/>
  <c r="R177" i="79"/>
  <c r="P177" i="79"/>
  <c r="O177" i="79"/>
  <c r="H177" i="79"/>
  <c r="O167" i="79"/>
  <c r="P167" i="79" s="1"/>
  <c r="Y54" i="79" s="1"/>
  <c r="AA54" i="79" s="1" a="1"/>
  <c r="AA54" i="79" s="1"/>
  <c r="L164" i="79"/>
  <c r="I164" i="79"/>
  <c r="H164" i="79"/>
  <c r="G164" i="79"/>
  <c r="F164" i="79"/>
  <c r="N163" i="79"/>
  <c r="P161" i="79"/>
  <c r="O161" i="79"/>
  <c r="P160" i="79"/>
  <c r="O160" i="79"/>
  <c r="R157" i="79"/>
  <c r="P157" i="79" s="1"/>
  <c r="Q157" i="79"/>
  <c r="O157" i="79"/>
  <c r="R156" i="79"/>
  <c r="P156" i="79" s="1"/>
  <c r="Q156" i="79"/>
  <c r="O156" i="79"/>
  <c r="AE155" i="79"/>
  <c r="R155" i="79"/>
  <c r="Q155" i="79"/>
  <c r="P155" i="79"/>
  <c r="O155" i="79"/>
  <c r="R154" i="79"/>
  <c r="P154" i="79" s="1"/>
  <c r="Q154" i="79"/>
  <c r="O154" i="79"/>
  <c r="AF153" i="79" a="1"/>
  <c r="AF153" i="79" s="1"/>
  <c r="B236" i="79" s="1"/>
  <c r="AE153" i="79"/>
  <c r="R153" i="79"/>
  <c r="Q153" i="79"/>
  <c r="P153" i="79"/>
  <c r="O153" i="79"/>
  <c r="AF152" i="79" a="1"/>
  <c r="AF152" i="79" s="1"/>
  <c r="B235" i="79" s="1"/>
  <c r="AE152" i="79"/>
  <c r="R152" i="79"/>
  <c r="Q152" i="79"/>
  <c r="P152" i="79"/>
  <c r="O152" i="79"/>
  <c r="AF151" i="79" a="1"/>
  <c r="AF151" i="79" s="1"/>
  <c r="B234" i="79" s="1"/>
  <c r="AE151" i="79"/>
  <c r="R151" i="79"/>
  <c r="Q151" i="79"/>
  <c r="P151" i="79"/>
  <c r="O151" i="79"/>
  <c r="AF150" i="79" a="1"/>
  <c r="AF150" i="79" s="1"/>
  <c r="B233" i="79" s="1"/>
  <c r="AE150" i="79"/>
  <c r="R150" i="79"/>
  <c r="Q150" i="79"/>
  <c r="P150" i="79"/>
  <c r="O150" i="79"/>
  <c r="AF149" i="79" a="1"/>
  <c r="AF149" i="79" s="1"/>
  <c r="B232" i="79" s="1"/>
  <c r="AE149" i="79"/>
  <c r="R149" i="79"/>
  <c r="P149" i="79" s="1"/>
  <c r="Q149" i="79"/>
  <c r="O149" i="79"/>
  <c r="AF148" i="79" a="1"/>
  <c r="AF148" i="79" s="1"/>
  <c r="B231" i="79" s="1"/>
  <c r="AE148" i="79"/>
  <c r="R148" i="79"/>
  <c r="P148" i="79" s="1"/>
  <c r="Q148" i="79"/>
  <c r="O148" i="79"/>
  <c r="AF147" i="79" a="1"/>
  <c r="AF147" i="79" s="1"/>
  <c r="B230" i="79" s="1"/>
  <c r="AE147" i="79"/>
  <c r="R147" i="79"/>
  <c r="Q147" i="79"/>
  <c r="P147" i="79"/>
  <c r="O147" i="79"/>
  <c r="AF146" i="79" a="1"/>
  <c r="AF146" i="79" s="1"/>
  <c r="B229" i="79" s="1"/>
  <c r="AE146" i="79"/>
  <c r="R146" i="79"/>
  <c r="Q146" i="79"/>
  <c r="P146" i="79"/>
  <c r="O146" i="79"/>
  <c r="AF145" i="79" a="1"/>
  <c r="AF145" i="79" s="1"/>
  <c r="B228" i="79" s="1"/>
  <c r="AE145" i="79"/>
  <c r="R145" i="79"/>
  <c r="P145" i="79" s="1"/>
  <c r="Q145" i="79"/>
  <c r="O145" i="79"/>
  <c r="AF144" i="79" a="1"/>
  <c r="AF144" i="79" s="1"/>
  <c r="B227" i="79" s="1"/>
  <c r="AE144" i="79"/>
  <c r="R144" i="79"/>
  <c r="Q144" i="79"/>
  <c r="P144" i="79"/>
  <c r="O144" i="79"/>
  <c r="AF143" i="79" a="1"/>
  <c r="AF143" i="79" s="1"/>
  <c r="B226" i="79" s="1"/>
  <c r="AE143" i="79"/>
  <c r="R143" i="79"/>
  <c r="Q143" i="79"/>
  <c r="P143" i="79"/>
  <c r="O143" i="79"/>
  <c r="AF142" i="79" a="1"/>
  <c r="AF142" i="79" s="1"/>
  <c r="B225" i="79" s="1"/>
  <c r="AE142" i="79"/>
  <c r="R142" i="79"/>
  <c r="Q142" i="79"/>
  <c r="P142" i="79"/>
  <c r="O142" i="79"/>
  <c r="AF141" i="79" a="1"/>
  <c r="AF141" i="79" s="1"/>
  <c r="B224" i="79" s="1"/>
  <c r="AE141" i="79"/>
  <c r="R141" i="79"/>
  <c r="P141" i="79" s="1"/>
  <c r="Q141" i="79"/>
  <c r="O141" i="79"/>
  <c r="AF140" i="79" a="1"/>
  <c r="AF140" i="79" s="1"/>
  <c r="B223" i="79" s="1"/>
  <c r="AE140" i="79"/>
  <c r="R140" i="79"/>
  <c r="P140" i="79" s="1"/>
  <c r="Q140" i="79"/>
  <c r="O140" i="79"/>
  <c r="AF139" i="79" a="1"/>
  <c r="AF139" i="79" s="1"/>
  <c r="B222" i="79" s="1"/>
  <c r="AE139" i="79"/>
  <c r="R139" i="79"/>
  <c r="P139" i="79" s="1"/>
  <c r="Q139" i="79"/>
  <c r="O139" i="79"/>
  <c r="AF138" i="79"/>
  <c r="B221" i="79" s="1"/>
  <c r="AF138" i="79" a="1"/>
  <c r="AE138" i="79"/>
  <c r="R138" i="79"/>
  <c r="P138" i="79" s="1"/>
  <c r="Q138" i="79"/>
  <c r="O138" i="79"/>
  <c r="AF137" i="79" a="1"/>
  <c r="AF137" i="79" s="1"/>
  <c r="B220" i="79" s="1"/>
  <c r="AE137" i="79"/>
  <c r="AF136" i="79" a="1"/>
  <c r="AF136" i="79" s="1"/>
  <c r="B219" i="79" s="1"/>
  <c r="AE136" i="79"/>
  <c r="AF135" i="79" a="1"/>
  <c r="AF135" i="79" s="1"/>
  <c r="B218" i="79" s="1"/>
  <c r="AE135" i="79"/>
  <c r="R135" i="79"/>
  <c r="P135" i="79" s="1"/>
  <c r="B98" i="79" s="1"/>
  <c r="Q135" i="79"/>
  <c r="O135" i="79"/>
  <c r="R134" i="79"/>
  <c r="P134" i="79" s="1"/>
  <c r="B97" i="79" s="1"/>
  <c r="Q134" i="79"/>
  <c r="O134" i="79"/>
  <c r="R133" i="79"/>
  <c r="P133" i="79" s="1"/>
  <c r="B96" i="79" s="1"/>
  <c r="Q133" i="79"/>
  <c r="O133" i="79"/>
  <c r="R132" i="79"/>
  <c r="Q132" i="79"/>
  <c r="P132" i="79"/>
  <c r="B95" i="79" s="1"/>
  <c r="O132" i="79"/>
  <c r="R129" i="79"/>
  <c r="P129" i="79"/>
  <c r="R128" i="79"/>
  <c r="P128" i="79"/>
  <c r="R127" i="79"/>
  <c r="P127" i="79"/>
  <c r="R126" i="79"/>
  <c r="P126" i="79"/>
  <c r="P125" i="79"/>
  <c r="M124" i="79"/>
  <c r="P124" i="79" s="1"/>
  <c r="B84" i="79" s="1"/>
  <c r="AA121" i="79"/>
  <c r="Z121" i="79"/>
  <c r="AA120" i="79"/>
  <c r="Z120" i="79"/>
  <c r="P120" i="79"/>
  <c r="O120" i="79"/>
  <c r="AA119" i="79"/>
  <c r="Z119" i="79"/>
  <c r="P119" i="79"/>
  <c r="O119" i="79"/>
  <c r="AA118" i="79"/>
  <c r="Z118" i="79"/>
  <c r="P118" i="79"/>
  <c r="O118" i="79"/>
  <c r="AA117" i="79"/>
  <c r="Z117" i="79"/>
  <c r="P117" i="79"/>
  <c r="O117" i="79"/>
  <c r="AA116" i="79"/>
  <c r="Z116" i="79"/>
  <c r="P116" i="79"/>
  <c r="O116" i="79"/>
  <c r="AA115" i="79"/>
  <c r="Z115" i="79"/>
  <c r="P115" i="79"/>
  <c r="O115" i="79"/>
  <c r="AA114" i="79"/>
  <c r="Z114" i="79"/>
  <c r="P114" i="79"/>
  <c r="O114" i="79"/>
  <c r="AA113" i="79"/>
  <c r="Z113" i="79"/>
  <c r="P113" i="79"/>
  <c r="O113" i="79"/>
  <c r="AA112" i="79"/>
  <c r="Z112" i="79"/>
  <c r="P112" i="79"/>
  <c r="O112" i="79"/>
  <c r="P111" i="79"/>
  <c r="O111" i="79"/>
  <c r="P110" i="79"/>
  <c r="O110" i="79"/>
  <c r="P109" i="79"/>
  <c r="O109" i="79"/>
  <c r="P108" i="79"/>
  <c r="O108" i="79"/>
  <c r="P107" i="79"/>
  <c r="O107" i="79"/>
  <c r="P106" i="79"/>
  <c r="O106" i="79"/>
  <c r="P105" i="79"/>
  <c r="O105" i="79"/>
  <c r="P104" i="79"/>
  <c r="O104" i="79"/>
  <c r="P103" i="79"/>
  <c r="O103" i="79"/>
  <c r="P102" i="79"/>
  <c r="O102" i="79"/>
  <c r="P101" i="79"/>
  <c r="O101" i="79"/>
  <c r="R98" i="79"/>
  <c r="Q98" i="79"/>
  <c r="P98" i="79"/>
  <c r="O98" i="79"/>
  <c r="R97" i="79"/>
  <c r="P97" i="79" s="1"/>
  <c r="Q97" i="79"/>
  <c r="O97" i="79"/>
  <c r="R96" i="79"/>
  <c r="P96" i="79" s="1"/>
  <c r="Q96" i="79"/>
  <c r="O96" i="79"/>
  <c r="R95" i="79"/>
  <c r="P95" i="79" s="1"/>
  <c r="Q95" i="79"/>
  <c r="O95" i="79"/>
  <c r="R94" i="79"/>
  <c r="P94" i="79" s="1"/>
  <c r="Q94" i="79"/>
  <c r="O94" i="79"/>
  <c r="R93" i="79"/>
  <c r="Q93" i="79"/>
  <c r="P93" i="79"/>
  <c r="O93" i="79"/>
  <c r="R92" i="79"/>
  <c r="Q92" i="79"/>
  <c r="P92" i="79"/>
  <c r="O92" i="79"/>
  <c r="R91" i="79"/>
  <c r="P91" i="79" s="1"/>
  <c r="Q91" i="79"/>
  <c r="O91" i="79"/>
  <c r="R90" i="79"/>
  <c r="Q90" i="79"/>
  <c r="P90" i="79"/>
  <c r="O90" i="79"/>
  <c r="R89" i="79"/>
  <c r="Q89" i="79"/>
  <c r="P89" i="79"/>
  <c r="O89" i="79"/>
  <c r="R88" i="79"/>
  <c r="Q88" i="79"/>
  <c r="P88" i="79"/>
  <c r="O88" i="79"/>
  <c r="R87" i="79"/>
  <c r="Q87" i="79"/>
  <c r="P87" i="79"/>
  <c r="O87" i="79"/>
  <c r="AA86" i="79"/>
  <c r="R86" i="79"/>
  <c r="Q86" i="79"/>
  <c r="P86" i="79"/>
  <c r="O86" i="79"/>
  <c r="AA85" i="79"/>
  <c r="R85" i="79"/>
  <c r="P85" i="79" s="1"/>
  <c r="Q85" i="79"/>
  <c r="O85" i="79"/>
  <c r="AA84" i="79"/>
  <c r="R84" i="79"/>
  <c r="P84" i="79" s="1"/>
  <c r="Q84" i="79"/>
  <c r="O84" i="79"/>
  <c r="AA83" i="79"/>
  <c r="R83" i="79"/>
  <c r="P83" i="79" s="1"/>
  <c r="Q83" i="79"/>
  <c r="O83" i="79"/>
  <c r="AA82" i="79"/>
  <c r="R82" i="79"/>
  <c r="P82" i="79" s="1"/>
  <c r="AA5" i="79" s="1"/>
  <c r="Q82" i="79"/>
  <c r="O82" i="79"/>
  <c r="R81" i="79"/>
  <c r="P81" i="79" s="1"/>
  <c r="AA4" i="79" s="1"/>
  <c r="Q81" i="79"/>
  <c r="O81" i="79"/>
  <c r="R80" i="79"/>
  <c r="P80" i="79" s="1"/>
  <c r="AA3" i="79" s="1"/>
  <c r="Q80" i="79"/>
  <c r="O80" i="79"/>
  <c r="R79" i="79"/>
  <c r="P79" i="79" s="1"/>
  <c r="AA2" i="79" s="1"/>
  <c r="Q79" i="79"/>
  <c r="O79" i="79"/>
  <c r="L78" i="79"/>
  <c r="N77" i="79"/>
  <c r="O74" i="79"/>
  <c r="AF73" i="79"/>
  <c r="AE73" i="79" a="1"/>
  <c r="AE73" i="79" s="1"/>
  <c r="B313" i="79" s="1"/>
  <c r="AD73" i="79"/>
  <c r="AD73" i="79" a="1"/>
  <c r="P73" i="79"/>
  <c r="O73" i="79"/>
  <c r="AF72" i="79"/>
  <c r="AE72" i="79" a="1"/>
  <c r="AE72" i="79" s="1"/>
  <c r="B312" i="79" s="1"/>
  <c r="AD72" i="79"/>
  <c r="AD72" i="79" a="1"/>
  <c r="P72" i="79"/>
  <c r="O72" i="79"/>
  <c r="AF71" i="79"/>
  <c r="AE71" i="79" a="1"/>
  <c r="AE71" i="79" s="1"/>
  <c r="B311" i="79" s="1"/>
  <c r="AD71" i="79"/>
  <c r="AD71" i="79" a="1"/>
  <c r="N71" i="79"/>
  <c r="AF70" i="79"/>
  <c r="AE70" i="79" a="1"/>
  <c r="AE70" i="79" s="1"/>
  <c r="B310" i="79" s="1"/>
  <c r="AD70" i="79"/>
  <c r="AD70" i="79" a="1"/>
  <c r="AF69" i="79"/>
  <c r="AE69" i="79" a="1"/>
  <c r="AE69" i="79" s="1"/>
  <c r="B309" i="79" s="1"/>
  <c r="AD69" i="79"/>
  <c r="AD69" i="79" a="1"/>
  <c r="V69" i="79"/>
  <c r="P69" i="79"/>
  <c r="O69" i="79"/>
  <c r="AF68" i="79"/>
  <c r="AE68" i="79" a="1"/>
  <c r="AE68" i="79" s="1"/>
  <c r="B308" i="79" s="1"/>
  <c r="AD68" i="79"/>
  <c r="AD68" i="79" a="1"/>
  <c r="V68" i="79"/>
  <c r="P68" i="79"/>
  <c r="O68" i="79"/>
  <c r="AF67" i="79"/>
  <c r="AE67" i="79" a="1"/>
  <c r="AE67" i="79" s="1"/>
  <c r="B307" i="79" s="1"/>
  <c r="AD67" i="79"/>
  <c r="AD67" i="79" a="1"/>
  <c r="V67" i="79"/>
  <c r="P67" i="79"/>
  <c r="O67" i="79"/>
  <c r="AF66" i="79"/>
  <c r="AE66" i="79" a="1"/>
  <c r="AE66" i="79" s="1"/>
  <c r="B306" i="79" s="1"/>
  <c r="AD66" i="79"/>
  <c r="AD66" i="79" a="1"/>
  <c r="V66" i="79"/>
  <c r="P66" i="79"/>
  <c r="O66" i="79"/>
  <c r="AF65" i="79"/>
  <c r="AE65" i="79" a="1"/>
  <c r="AE65" i="79" s="1"/>
  <c r="B305" i="79" s="1"/>
  <c r="AD65" i="79"/>
  <c r="AD65" i="79" a="1"/>
  <c r="V65" i="79"/>
  <c r="P65" i="79"/>
  <c r="O65" i="79"/>
  <c r="AF64" i="79"/>
  <c r="AE64" i="79" a="1"/>
  <c r="AE64" i="79" s="1"/>
  <c r="B304" i="79" s="1"/>
  <c r="AD64" i="79"/>
  <c r="AD64" i="79" a="1"/>
  <c r="V64" i="79"/>
  <c r="P64" i="79"/>
  <c r="O64" i="79"/>
  <c r="AF63" i="79"/>
  <c r="AE63" i="79" a="1"/>
  <c r="AE63" i="79" s="1"/>
  <c r="B303" i="79" s="1"/>
  <c r="AD63" i="79"/>
  <c r="AD63" i="79" a="1"/>
  <c r="V63" i="79"/>
  <c r="P63" i="79"/>
  <c r="O63" i="79"/>
  <c r="AF62" i="79"/>
  <c r="AE62" i="79" a="1"/>
  <c r="AE62" i="79" s="1"/>
  <c r="B302" i="79" s="1"/>
  <c r="AD62" i="79"/>
  <c r="AD62" i="79" a="1"/>
  <c r="V62" i="79"/>
  <c r="P62" i="79"/>
  <c r="O62" i="79"/>
  <c r="AF61" i="79"/>
  <c r="AE61" i="79" a="1"/>
  <c r="AE61" i="79" s="1"/>
  <c r="B301" i="79" s="1"/>
  <c r="AD61" i="79"/>
  <c r="AD61" i="79" a="1"/>
  <c r="L61" i="79"/>
  <c r="AF60" i="79"/>
  <c r="AE60" i="79" a="1"/>
  <c r="AE60" i="79" s="1"/>
  <c r="B300" i="79" s="1"/>
  <c r="AD60" i="79"/>
  <c r="AD60" i="79" a="1"/>
  <c r="AF59" i="79"/>
  <c r="AE59" i="79" a="1"/>
  <c r="AE59" i="79" s="1"/>
  <c r="B299" i="79" s="1"/>
  <c r="AD59" i="79"/>
  <c r="AD59" i="79" a="1"/>
  <c r="V59" i="79"/>
  <c r="P59" i="79"/>
  <c r="O59" i="79"/>
  <c r="AF58" i="79"/>
  <c r="AE58" i="79" a="1"/>
  <c r="AE58" i="79" s="1"/>
  <c r="B298" i="79" s="1"/>
  <c r="AD58" i="79"/>
  <c r="AD58" i="79" a="1"/>
  <c r="V58" i="79"/>
  <c r="P58" i="79"/>
  <c r="O58" i="79"/>
  <c r="AF57" i="79"/>
  <c r="AE57" i="79" a="1"/>
  <c r="AE57" i="79" s="1"/>
  <c r="B297" i="79" s="1"/>
  <c r="AD57" i="79"/>
  <c r="AD57" i="79" a="1"/>
  <c r="V57" i="79"/>
  <c r="P57" i="79"/>
  <c r="O57" i="79"/>
  <c r="AJ56" i="79"/>
  <c r="AK56" i="79" s="1"/>
  <c r="V56" i="79"/>
  <c r="P56" i="79"/>
  <c r="O56" i="79"/>
  <c r="V55" i="79"/>
  <c r="P55" i="79"/>
  <c r="O55" i="79"/>
  <c r="V54" i="79"/>
  <c r="P54" i="79"/>
  <c r="O54" i="79"/>
  <c r="V53" i="79"/>
  <c r="P53" i="79"/>
  <c r="O53" i="79"/>
  <c r="AJ52" i="79"/>
  <c r="AK52" i="79" s="1"/>
  <c r="V52" i="79"/>
  <c r="P52" i="79"/>
  <c r="O52" i="79"/>
  <c r="AJ51" i="79"/>
  <c r="AK51" i="79" s="1"/>
  <c r="L51" i="79"/>
  <c r="AJ49" i="79"/>
  <c r="AK49" i="79" s="1"/>
  <c r="V49" i="79"/>
  <c r="P49" i="79"/>
  <c r="O49" i="79"/>
  <c r="AJ48" i="79"/>
  <c r="AK48" i="79" s="1"/>
  <c r="V48" i="79"/>
  <c r="P48" i="79"/>
  <c r="O48" i="79"/>
  <c r="V47" i="79"/>
  <c r="P47" i="79"/>
  <c r="O47" i="79"/>
  <c r="V46" i="79"/>
  <c r="P46" i="79"/>
  <c r="O46" i="79"/>
  <c r="AJ45" i="79"/>
  <c r="AK45" i="79" s="1"/>
  <c r="V45" i="79"/>
  <c r="P45" i="79"/>
  <c r="O45" i="79"/>
  <c r="V44" i="79"/>
  <c r="P44" i="79"/>
  <c r="O44" i="79"/>
  <c r="AJ43" i="79"/>
  <c r="AK43" i="79" s="1"/>
  <c r="V43" i="79"/>
  <c r="P43" i="79"/>
  <c r="O43" i="79"/>
  <c r="V42" i="79"/>
  <c r="P42" i="79"/>
  <c r="O42" i="79"/>
  <c r="AA41" i="79"/>
  <c r="Z41" i="79" s="1"/>
  <c r="L41" i="79"/>
  <c r="AA40" i="79"/>
  <c r="Z40" i="79" s="1"/>
  <c r="W40" i="79"/>
  <c r="W40" i="79" a="1"/>
  <c r="U40" i="79"/>
  <c r="N40" i="79"/>
  <c r="AA39" i="79"/>
  <c r="Z39" i="79" s="1"/>
  <c r="AJ38" i="79"/>
  <c r="AK38" i="79" s="1"/>
  <c r="AA38" i="79"/>
  <c r="Z38" i="79" s="1"/>
  <c r="V38" i="79"/>
  <c r="P38" i="79"/>
  <c r="B25" i="79" s="1"/>
  <c r="O38" i="79"/>
  <c r="AJ37" i="79"/>
  <c r="AK37" i="79" s="1"/>
  <c r="AA37" i="79"/>
  <c r="Z37" i="79" s="1"/>
  <c r="V37" i="79"/>
  <c r="P37" i="79"/>
  <c r="B24" i="79" s="1"/>
  <c r="O37" i="79"/>
  <c r="AJ36" i="79"/>
  <c r="AK36" i="79" s="1"/>
  <c r="AA36" i="79"/>
  <c r="Z36" i="79" s="1"/>
  <c r="V36" i="79"/>
  <c r="P36" i="79"/>
  <c r="B23" i="79" s="1"/>
  <c r="O36" i="79"/>
  <c r="AJ35" i="79"/>
  <c r="AK35" i="79" s="1"/>
  <c r="AA35" i="79"/>
  <c r="Z35" i="79" s="1"/>
  <c r="L35" i="79"/>
  <c r="AA34" i="79"/>
  <c r="Z34" i="79" s="1"/>
  <c r="AA33" i="79"/>
  <c r="Z33" i="79" s="1"/>
  <c r="P33" i="79"/>
  <c r="AJ47" i="79" s="1"/>
  <c r="O33" i="79"/>
  <c r="AJ32" i="79"/>
  <c r="AK32" i="79" s="1"/>
  <c r="AA32" i="79"/>
  <c r="Z32" i="79" s="1"/>
  <c r="V32" i="79"/>
  <c r="P32" i="79"/>
  <c r="O32" i="79"/>
  <c r="AF31" i="79"/>
  <c r="AD31" i="79"/>
  <c r="B144" i="79" s="1"/>
  <c r="AA31" i="79"/>
  <c r="Z31" i="79" s="1"/>
  <c r="P31" i="79"/>
  <c r="O31" i="79"/>
  <c r="AF30" i="79"/>
  <c r="AD30" i="79"/>
  <c r="B143" i="79" s="1"/>
  <c r="AA30" i="79"/>
  <c r="Z30" i="79" s="1"/>
  <c r="L30" i="79"/>
  <c r="AJ29" i="79"/>
  <c r="AK29" i="79" s="1"/>
  <c r="AF29" i="79"/>
  <c r="AD29" i="79"/>
  <c r="B142" i="79" s="1"/>
  <c r="AA29" i="79"/>
  <c r="Z29" i="79" s="1"/>
  <c r="AJ28" i="79"/>
  <c r="AK28" i="79" s="1"/>
  <c r="AF28" i="79"/>
  <c r="AD28" i="79"/>
  <c r="B141" i="79" s="1"/>
  <c r="AA28" i="79"/>
  <c r="Z28" i="79" s="1"/>
  <c r="V28" i="79"/>
  <c r="P28" i="79"/>
  <c r="B19" i="79" s="1"/>
  <c r="O28" i="79"/>
  <c r="AJ27" i="79"/>
  <c r="AK27" i="79" s="1"/>
  <c r="AF27" i="79"/>
  <c r="AD27" i="79"/>
  <c r="B140" i="79" s="1"/>
  <c r="AA27" i="79"/>
  <c r="Z27" i="79" s="1"/>
  <c r="V27" i="79"/>
  <c r="P27" i="79"/>
  <c r="B18" i="79" s="1"/>
  <c r="O27" i="79"/>
  <c r="AF26" i="79"/>
  <c r="AD26" i="79"/>
  <c r="B139" i="79" s="1"/>
  <c r="AA26" i="79"/>
  <c r="Z26" i="79" s="1"/>
  <c r="V26" i="79"/>
  <c r="P26" i="79"/>
  <c r="B17" i="79" s="1"/>
  <c r="O26" i="79"/>
  <c r="AJ25" i="79"/>
  <c r="AK25" i="79" s="1"/>
  <c r="AF25" i="79"/>
  <c r="AD25" i="79"/>
  <c r="B138" i="79" s="1"/>
  <c r="AA25" i="79"/>
  <c r="Z25" i="79" s="1"/>
  <c r="L25" i="79"/>
  <c r="AF24" i="79"/>
  <c r="AD24" i="79"/>
  <c r="B137" i="79" s="1"/>
  <c r="AA24" i="79"/>
  <c r="Z24" i="79" s="1"/>
  <c r="AJ23" i="79"/>
  <c r="AK23" i="79" s="1"/>
  <c r="AF23" i="79"/>
  <c r="AD23" i="79"/>
  <c r="B136" i="79" s="1"/>
  <c r="AA23" i="79"/>
  <c r="Z23" i="79" s="1"/>
  <c r="N23" i="79"/>
  <c r="AJ22" i="79"/>
  <c r="AK22" i="79" s="1"/>
  <c r="AF22" i="79"/>
  <c r="AD22" i="79"/>
  <c r="B135" i="79" s="1"/>
  <c r="AA22" i="79"/>
  <c r="Z22" i="79" s="1"/>
  <c r="AJ21" i="79"/>
  <c r="AK21" i="79" s="1"/>
  <c r="AF21" i="79"/>
  <c r="AD21" i="79"/>
  <c r="B134" i="79" s="1"/>
  <c r="AA21" i="79"/>
  <c r="N21" i="79"/>
  <c r="AJ20" i="79"/>
  <c r="AK20" i="79" s="1"/>
  <c r="AF20" i="79"/>
  <c r="AD20" i="79"/>
  <c r="B133" i="79" s="1"/>
  <c r="AA20" i="79"/>
  <c r="N20" i="79"/>
  <c r="AF19" i="79"/>
  <c r="AD19" i="79"/>
  <c r="B132" i="79" s="1"/>
  <c r="AA19" i="79"/>
  <c r="N19" i="79"/>
  <c r="AF18" i="79"/>
  <c r="AD18" i="79"/>
  <c r="B131" i="79" s="1"/>
  <c r="AA18" i="79"/>
  <c r="N18" i="79"/>
  <c r="AJ17" i="79"/>
  <c r="AK17" i="79" s="1"/>
  <c r="AF17" i="79"/>
  <c r="AD17" i="79"/>
  <c r="B130" i="79" s="1"/>
  <c r="AA17" i="79"/>
  <c r="N17" i="79"/>
  <c r="AF16" i="79"/>
  <c r="AD16" i="79"/>
  <c r="B129" i="79" s="1"/>
  <c r="AA16" i="79"/>
  <c r="N16" i="79"/>
  <c r="AF15" i="79"/>
  <c r="AD15" i="79"/>
  <c r="B128" i="79" s="1"/>
  <c r="AA15" i="79"/>
  <c r="AF14" i="79"/>
  <c r="AD14" i="79"/>
  <c r="B127" i="79" s="1"/>
  <c r="AA14" i="79"/>
  <c r="AF13" i="79"/>
  <c r="AD13" i="79"/>
  <c r="B126" i="79" s="1"/>
  <c r="AA13" i="79"/>
  <c r="AJ12" i="79"/>
  <c r="AK12" i="79" s="1"/>
  <c r="AF12" i="79"/>
  <c r="AD12" i="79"/>
  <c r="B125" i="79" s="1"/>
  <c r="AA12" i="79"/>
  <c r="N12" i="79"/>
  <c r="AJ11" i="79"/>
  <c r="AK11" i="79" s="1"/>
  <c r="AF11" i="79"/>
  <c r="AD11" i="79"/>
  <c r="AA11" i="79"/>
  <c r="N11" i="79"/>
  <c r="AJ10" i="79"/>
  <c r="AK10" i="79" s="1"/>
  <c r="AF10" i="79"/>
  <c r="AD10" i="79"/>
  <c r="B123" i="79" s="1"/>
  <c r="AA10" i="79"/>
  <c r="N10" i="79"/>
  <c r="AF9" i="79"/>
  <c r="AD9" i="79"/>
  <c r="B122" i="79" s="1"/>
  <c r="AA9" i="79"/>
  <c r="N9" i="79"/>
  <c r="O9" i="79" s="1"/>
  <c r="AJ8" i="79"/>
  <c r="AK8" i="79" s="1"/>
  <c r="AF8" i="79"/>
  <c r="AD8" i="79"/>
  <c r="B121" i="79" s="1"/>
  <c r="AA8" i="79"/>
  <c r="N8" i="79"/>
  <c r="G8" i="79"/>
  <c r="D8" i="79"/>
  <c r="AJ7" i="79"/>
  <c r="AK7" i="79" s="1"/>
  <c r="AF7" i="79"/>
  <c r="AD7" i="79"/>
  <c r="B120" i="79" s="1"/>
  <c r="AA7" i="79"/>
  <c r="N7" i="79"/>
  <c r="O11" i="79" s="1"/>
  <c r="D7" i="79"/>
  <c r="AF6" i="79"/>
  <c r="AD6" i="79"/>
  <c r="B119" i="79" s="1"/>
  <c r="AA6" i="79"/>
  <c r="AJ5" i="79"/>
  <c r="AK5" i="79" s="1"/>
  <c r="AF5" i="79"/>
  <c r="AD5" i="79"/>
  <c r="B118" i="79" s="1"/>
  <c r="N5" i="79"/>
  <c r="AF4" i="79"/>
  <c r="AD4" i="79"/>
  <c r="B117" i="79" s="1"/>
  <c r="N4" i="79"/>
  <c r="AJ3" i="79"/>
  <c r="AK3" i="79" s="1"/>
  <c r="AF3" i="79"/>
  <c r="AD3" i="79"/>
  <c r="AJ2" i="79"/>
  <c r="AK2" i="79" s="1"/>
  <c r="E316" i="34"/>
  <c r="E315" i="34"/>
  <c r="E314" i="34"/>
  <c r="E313" i="34"/>
  <c r="E312" i="34"/>
  <c r="E311" i="34"/>
  <c r="E310" i="34"/>
  <c r="E309" i="34"/>
  <c r="E308" i="34"/>
  <c r="E307" i="34"/>
  <c r="E306" i="34"/>
  <c r="E305" i="34"/>
  <c r="E304" i="34"/>
  <c r="E303" i="34"/>
  <c r="E302" i="34"/>
  <c r="E301" i="34"/>
  <c r="E300" i="34"/>
  <c r="E299" i="34"/>
  <c r="E298" i="34"/>
  <c r="E297" i="34"/>
  <c r="E296" i="34"/>
  <c r="E295" i="34"/>
  <c r="E294" i="34"/>
  <c r="E293" i="34"/>
  <c r="E292" i="34"/>
  <c r="E291" i="34"/>
  <c r="E290" i="34"/>
  <c r="E289" i="34"/>
  <c r="E288" i="34"/>
  <c r="E287" i="34"/>
  <c r="E286" i="34"/>
  <c r="E285" i="34"/>
  <c r="E284" i="34"/>
  <c r="E283" i="34"/>
  <c r="E282" i="34"/>
  <c r="E281" i="34"/>
  <c r="H238" i="34"/>
  <c r="H237" i="34"/>
  <c r="H236" i="34"/>
  <c r="H234" i="34"/>
  <c r="F234" i="34"/>
  <c r="P218" i="34"/>
  <c r="M218" i="34"/>
  <c r="R215" i="34"/>
  <c r="Q215" i="34"/>
  <c r="P215" i="34"/>
  <c r="O215" i="34"/>
  <c r="H215" i="34"/>
  <c r="G215" i="34"/>
  <c r="R214" i="34"/>
  <c r="Q214" i="34"/>
  <c r="P214" i="34"/>
  <c r="O214" i="34"/>
  <c r="H214" i="34"/>
  <c r="G214" i="34"/>
  <c r="R213" i="34"/>
  <c r="Q213" i="34"/>
  <c r="P213" i="34"/>
  <c r="O213" i="34"/>
  <c r="H213" i="34"/>
  <c r="G213" i="34"/>
  <c r="R212" i="34"/>
  <c r="Q212" i="34"/>
  <c r="P212" i="34"/>
  <c r="O212" i="34"/>
  <c r="H212" i="34"/>
  <c r="G212" i="34"/>
  <c r="R211" i="34"/>
  <c r="Q211" i="34"/>
  <c r="P211" i="34"/>
  <c r="O211" i="34"/>
  <c r="H211" i="34"/>
  <c r="G211" i="34"/>
  <c r="R210" i="34"/>
  <c r="Q210" i="34"/>
  <c r="P210" i="34"/>
  <c r="O210" i="34"/>
  <c r="H210" i="34"/>
  <c r="G210" i="34"/>
  <c r="R209" i="34"/>
  <c r="Q209" i="34"/>
  <c r="P209" i="34"/>
  <c r="O209" i="34"/>
  <c r="H209" i="34"/>
  <c r="G209" i="34"/>
  <c r="R208" i="34"/>
  <c r="Q208" i="34"/>
  <c r="P208" i="34"/>
  <c r="O208" i="34"/>
  <c r="H208" i="34"/>
  <c r="G208" i="34"/>
  <c r="R207" i="34"/>
  <c r="Q207" i="34"/>
  <c r="P207" i="34"/>
  <c r="O207" i="34"/>
  <c r="H207" i="34"/>
  <c r="G207" i="34"/>
  <c r="R206" i="34"/>
  <c r="Q206" i="34"/>
  <c r="P206" i="34"/>
  <c r="O206" i="34"/>
  <c r="H206" i="34"/>
  <c r="G206" i="34"/>
  <c r="R203" i="34"/>
  <c r="P203" i="34"/>
  <c r="O203" i="34"/>
  <c r="G203" i="34"/>
  <c r="R202" i="34"/>
  <c r="P202" i="34"/>
  <c r="O202" i="34"/>
  <c r="G202" i="34"/>
  <c r="R201" i="34"/>
  <c r="P201" i="34"/>
  <c r="O201" i="34"/>
  <c r="G201" i="34"/>
  <c r="R200" i="34"/>
  <c r="P200" i="34"/>
  <c r="O200" i="34"/>
  <c r="G200" i="34"/>
  <c r="R199" i="34"/>
  <c r="P199" i="34"/>
  <c r="O199" i="34"/>
  <c r="G199" i="34"/>
  <c r="R198" i="34"/>
  <c r="P198" i="34"/>
  <c r="O198" i="34"/>
  <c r="G198" i="34"/>
  <c r="R197" i="34"/>
  <c r="P197" i="34"/>
  <c r="O197" i="34"/>
  <c r="G197" i="34"/>
  <c r="R196" i="34"/>
  <c r="P196" i="34"/>
  <c r="O196" i="34"/>
  <c r="G196" i="34"/>
  <c r="R195" i="34"/>
  <c r="P195" i="34"/>
  <c r="O195" i="34"/>
  <c r="G195" i="34"/>
  <c r="R194" i="34"/>
  <c r="P194" i="34"/>
  <c r="O194" i="34"/>
  <c r="G194" i="34"/>
  <c r="L193" i="34"/>
  <c r="R191" i="34"/>
  <c r="P191" i="34"/>
  <c r="O191" i="34"/>
  <c r="M191" i="34"/>
  <c r="R190" i="34"/>
  <c r="P190" i="34"/>
  <c r="O190" i="34"/>
  <c r="M190" i="34"/>
  <c r="R189" i="34"/>
  <c r="P189" i="34"/>
  <c r="O189" i="34"/>
  <c r="M189" i="34"/>
  <c r="R188" i="34"/>
  <c r="P188" i="34"/>
  <c r="O188" i="34"/>
  <c r="R187" i="34"/>
  <c r="P187" i="34"/>
  <c r="O187" i="34"/>
  <c r="M187" i="34"/>
  <c r="L186" i="34"/>
  <c r="P185" i="34"/>
  <c r="O185" i="34"/>
  <c r="I185" i="34"/>
  <c r="P184" i="34"/>
  <c r="O184" i="34"/>
  <c r="I184" i="34"/>
  <c r="R181" i="34"/>
  <c r="P181" i="34"/>
  <c r="O181" i="34"/>
  <c r="H181" i="34"/>
  <c r="R180" i="34"/>
  <c r="P180" i="34"/>
  <c r="O180" i="34"/>
  <c r="H180" i="34"/>
  <c r="R179" i="34"/>
  <c r="P179" i="34"/>
  <c r="O179" i="34"/>
  <c r="H179" i="34"/>
  <c r="R178" i="34"/>
  <c r="P178" i="34"/>
  <c r="O178" i="34"/>
  <c r="H178" i="34"/>
  <c r="R177" i="34"/>
  <c r="P177" i="34"/>
  <c r="O177" i="34"/>
  <c r="H177" i="34"/>
  <c r="O168" i="34"/>
  <c r="P168" i="34" s="1"/>
  <c r="L164" i="34"/>
  <c r="I164" i="34"/>
  <c r="H164" i="34"/>
  <c r="G164" i="34"/>
  <c r="F164" i="34"/>
  <c r="O171" i="34" s="1"/>
  <c r="P171" i="34" s="1"/>
  <c r="N163" i="34"/>
  <c r="P161" i="34"/>
  <c r="O161" i="34"/>
  <c r="P160" i="34"/>
  <c r="O160" i="34"/>
  <c r="R157" i="34"/>
  <c r="Q157" i="34"/>
  <c r="P157" i="34"/>
  <c r="O157" i="34"/>
  <c r="H157" i="34"/>
  <c r="G157" i="34"/>
  <c r="R156" i="34"/>
  <c r="Q156" i="34"/>
  <c r="P156" i="34"/>
  <c r="O156" i="34"/>
  <c r="H156" i="34"/>
  <c r="G156" i="34"/>
  <c r="AE155" i="34"/>
  <c r="R155" i="34"/>
  <c r="Q155" i="34"/>
  <c r="P155" i="34"/>
  <c r="O155" i="34"/>
  <c r="H155" i="34"/>
  <c r="G155" i="34"/>
  <c r="R154" i="34"/>
  <c r="Q154" i="34"/>
  <c r="P154" i="34"/>
  <c r="O154" i="34"/>
  <c r="H154" i="34"/>
  <c r="G154" i="34"/>
  <c r="AF153" i="34"/>
  <c r="AF153" i="34" a="1"/>
  <c r="AE153" i="34"/>
  <c r="R153" i="34"/>
  <c r="Q153" i="34"/>
  <c r="P153" i="34"/>
  <c r="O153" i="34"/>
  <c r="H153" i="34"/>
  <c r="G153" i="34"/>
  <c r="AF152" i="34"/>
  <c r="AF152" i="34" a="1"/>
  <c r="AE152" i="34"/>
  <c r="R152" i="34"/>
  <c r="Q152" i="34"/>
  <c r="P152" i="34"/>
  <c r="O152" i="34"/>
  <c r="H152" i="34"/>
  <c r="G152" i="34"/>
  <c r="AF151" i="34"/>
  <c r="AF151" i="34" a="1"/>
  <c r="AE151" i="34"/>
  <c r="R151" i="34"/>
  <c r="Q151" i="34"/>
  <c r="P151" i="34"/>
  <c r="O151" i="34"/>
  <c r="H151" i="34"/>
  <c r="G151" i="34"/>
  <c r="AF150" i="34"/>
  <c r="AF150" i="34" a="1"/>
  <c r="AE150" i="34"/>
  <c r="R150" i="34"/>
  <c r="Q150" i="34"/>
  <c r="P150" i="34"/>
  <c r="O150" i="34"/>
  <c r="H150" i="34"/>
  <c r="G150" i="34"/>
  <c r="AF149" i="34"/>
  <c r="AF149" i="34" a="1"/>
  <c r="AE149" i="34"/>
  <c r="R149" i="34"/>
  <c r="Q149" i="34"/>
  <c r="P149" i="34"/>
  <c r="O149" i="34"/>
  <c r="H149" i="34"/>
  <c r="G149" i="34"/>
  <c r="AF148" i="34"/>
  <c r="AF148" i="34" a="1"/>
  <c r="AE148" i="34"/>
  <c r="R148" i="34"/>
  <c r="Q148" i="34"/>
  <c r="P148" i="34"/>
  <c r="O148" i="34"/>
  <c r="H148" i="34"/>
  <c r="G148" i="34"/>
  <c r="AF147" i="34"/>
  <c r="AF147" i="34" a="1"/>
  <c r="AE147" i="34"/>
  <c r="R147" i="34"/>
  <c r="Q147" i="34"/>
  <c r="P147" i="34"/>
  <c r="O147" i="34"/>
  <c r="H147" i="34"/>
  <c r="G147" i="34"/>
  <c r="AF146" i="34"/>
  <c r="AF146" i="34" a="1"/>
  <c r="AE146" i="34"/>
  <c r="R146" i="34"/>
  <c r="Q146" i="34"/>
  <c r="P146" i="34"/>
  <c r="O146" i="34"/>
  <c r="H146" i="34"/>
  <c r="G146" i="34"/>
  <c r="AF145" i="34"/>
  <c r="AF145" i="34" a="1"/>
  <c r="AE145" i="34"/>
  <c r="R145" i="34"/>
  <c r="Q145" i="34"/>
  <c r="P145" i="34"/>
  <c r="O145" i="34"/>
  <c r="H145" i="34"/>
  <c r="G145" i="34"/>
  <c r="AF144" i="34"/>
  <c r="AF144" i="34" a="1"/>
  <c r="AE144" i="34"/>
  <c r="R144" i="34"/>
  <c r="Q144" i="34"/>
  <c r="P144" i="34"/>
  <c r="O144" i="34"/>
  <c r="H144" i="34"/>
  <c r="AF143" i="34"/>
  <c r="AF143" i="34" a="1"/>
  <c r="AE143" i="34"/>
  <c r="R143" i="34"/>
  <c r="Q143" i="34"/>
  <c r="P143" i="34"/>
  <c r="O143" i="34"/>
  <c r="H143" i="34"/>
  <c r="G143" i="34"/>
  <c r="AF142" i="34"/>
  <c r="AF142" i="34" a="1"/>
  <c r="AE142" i="34"/>
  <c r="R142" i="34"/>
  <c r="Q142" i="34"/>
  <c r="P142" i="34"/>
  <c r="O142" i="34"/>
  <c r="H142" i="34"/>
  <c r="AF141" i="34"/>
  <c r="AF141" i="34" a="1"/>
  <c r="AE141" i="34"/>
  <c r="R141" i="34"/>
  <c r="Q141" i="34"/>
  <c r="P141" i="34"/>
  <c r="O141" i="34"/>
  <c r="H141" i="34"/>
  <c r="AF140" i="34"/>
  <c r="AF140" i="34" a="1"/>
  <c r="AE140" i="34"/>
  <c r="R140" i="34"/>
  <c r="Q140" i="34"/>
  <c r="P140" i="34"/>
  <c r="O140" i="34"/>
  <c r="H140" i="34"/>
  <c r="AF139" i="34"/>
  <c r="AF139" i="34" a="1"/>
  <c r="AE139" i="34"/>
  <c r="R139" i="34"/>
  <c r="Q139" i="34"/>
  <c r="P139" i="34"/>
  <c r="O139" i="34"/>
  <c r="H139" i="34"/>
  <c r="AF138" i="34"/>
  <c r="AF138" i="34" a="1"/>
  <c r="AE138" i="34"/>
  <c r="R138" i="34"/>
  <c r="Q138" i="34"/>
  <c r="P138" i="34"/>
  <c r="O138" i="34"/>
  <c r="H138" i="34"/>
  <c r="AF137" i="34"/>
  <c r="AF137" i="34" a="1"/>
  <c r="AE137" i="34"/>
  <c r="R135" i="34"/>
  <c r="Q135" i="34"/>
  <c r="P135" i="34"/>
  <c r="O135" i="34"/>
  <c r="R134" i="34"/>
  <c r="Q134" i="34"/>
  <c r="P134" i="34"/>
  <c r="O134" i="34"/>
  <c r="R133" i="34"/>
  <c r="Q133" i="34"/>
  <c r="P133" i="34"/>
  <c r="O133" i="34"/>
  <c r="R132" i="34"/>
  <c r="Q132" i="34"/>
  <c r="P132" i="34"/>
  <c r="O132" i="34"/>
  <c r="R129" i="34"/>
  <c r="P129" i="34"/>
  <c r="R128" i="34"/>
  <c r="P128" i="34"/>
  <c r="R127" i="34"/>
  <c r="P127" i="34"/>
  <c r="R126" i="34"/>
  <c r="P126" i="34"/>
  <c r="P125" i="34"/>
  <c r="M124" i="34"/>
  <c r="P124" i="34" s="1"/>
  <c r="B84" i="34" s="1"/>
  <c r="AA121" i="34"/>
  <c r="Z121" i="34"/>
  <c r="AA120" i="34"/>
  <c r="Z120" i="34"/>
  <c r="P120" i="34"/>
  <c r="O120" i="34"/>
  <c r="H120" i="34"/>
  <c r="G120" i="34"/>
  <c r="AA119" i="34"/>
  <c r="Z119" i="34"/>
  <c r="P119" i="34"/>
  <c r="O119" i="34"/>
  <c r="H119" i="34"/>
  <c r="G119" i="34"/>
  <c r="AA118" i="34"/>
  <c r="Z118" i="34"/>
  <c r="P118" i="34"/>
  <c r="O118" i="34"/>
  <c r="H118" i="34"/>
  <c r="G118" i="34"/>
  <c r="AA117" i="34"/>
  <c r="Z117" i="34"/>
  <c r="P117" i="34"/>
  <c r="O117" i="34"/>
  <c r="H117" i="34"/>
  <c r="G117" i="34"/>
  <c r="AA116" i="34"/>
  <c r="Z116" i="34"/>
  <c r="P116" i="34"/>
  <c r="O116" i="34"/>
  <c r="H116" i="34"/>
  <c r="G116" i="34"/>
  <c r="AA115" i="34"/>
  <c r="Z115" i="34"/>
  <c r="P115" i="34"/>
  <c r="O115" i="34"/>
  <c r="H115" i="34"/>
  <c r="G115" i="34"/>
  <c r="AA114" i="34"/>
  <c r="Z114" i="34"/>
  <c r="P114" i="34"/>
  <c r="O114" i="34"/>
  <c r="H114" i="34"/>
  <c r="G114" i="34"/>
  <c r="AA113" i="34"/>
  <c r="Z113" i="34"/>
  <c r="P113" i="34"/>
  <c r="O113" i="34"/>
  <c r="H113" i="34"/>
  <c r="G113" i="34"/>
  <c r="AA112" i="34"/>
  <c r="Z112" i="34"/>
  <c r="P112" i="34"/>
  <c r="O112" i="34"/>
  <c r="H112" i="34"/>
  <c r="G112" i="34"/>
  <c r="P111" i="34"/>
  <c r="O111" i="34"/>
  <c r="H111" i="34"/>
  <c r="G111" i="34"/>
  <c r="P110" i="34"/>
  <c r="O110" i="34"/>
  <c r="H110" i="34"/>
  <c r="G110" i="34"/>
  <c r="P109" i="34"/>
  <c r="O109" i="34"/>
  <c r="H109" i="34"/>
  <c r="G109" i="34"/>
  <c r="P108" i="34"/>
  <c r="O108" i="34"/>
  <c r="H108" i="34"/>
  <c r="G108" i="34"/>
  <c r="P107" i="34"/>
  <c r="O107" i="34"/>
  <c r="H107" i="34"/>
  <c r="G107" i="34"/>
  <c r="P106" i="34"/>
  <c r="O106" i="34"/>
  <c r="H106" i="34"/>
  <c r="G106" i="34"/>
  <c r="P105" i="34"/>
  <c r="O105" i="34"/>
  <c r="H105" i="34"/>
  <c r="G105" i="34"/>
  <c r="P104" i="34"/>
  <c r="O104" i="34"/>
  <c r="H104" i="34"/>
  <c r="G104" i="34"/>
  <c r="P103" i="34"/>
  <c r="O103" i="34"/>
  <c r="H103" i="34"/>
  <c r="G103" i="34"/>
  <c r="P102" i="34"/>
  <c r="O102" i="34"/>
  <c r="H102" i="34"/>
  <c r="G102" i="34"/>
  <c r="P101" i="34"/>
  <c r="O101" i="34"/>
  <c r="H101" i="34"/>
  <c r="G101" i="34"/>
  <c r="R98" i="34"/>
  <c r="Q98" i="34"/>
  <c r="P98" i="34"/>
  <c r="O98" i="34"/>
  <c r="H98" i="34"/>
  <c r="R97" i="34"/>
  <c r="Q97" i="34"/>
  <c r="P97" i="34"/>
  <c r="O97" i="34"/>
  <c r="H97" i="34"/>
  <c r="R96" i="34"/>
  <c r="Q96" i="34"/>
  <c r="P96" i="34"/>
  <c r="O96" i="34"/>
  <c r="H96" i="34"/>
  <c r="R95" i="34"/>
  <c r="Q95" i="34"/>
  <c r="P95" i="34"/>
  <c r="O95" i="34"/>
  <c r="H95" i="34"/>
  <c r="R94" i="34"/>
  <c r="Q94" i="34"/>
  <c r="P94" i="34"/>
  <c r="O94" i="34"/>
  <c r="H94" i="34"/>
  <c r="R93" i="34"/>
  <c r="Q93" i="34"/>
  <c r="P93" i="34"/>
  <c r="O93" i="34"/>
  <c r="H93" i="34"/>
  <c r="R92" i="34"/>
  <c r="Q92" i="34"/>
  <c r="P92" i="34"/>
  <c r="O92" i="34"/>
  <c r="H92" i="34"/>
  <c r="R91" i="34"/>
  <c r="Q91" i="34"/>
  <c r="P91" i="34"/>
  <c r="O91" i="34"/>
  <c r="H91" i="34"/>
  <c r="R90" i="34"/>
  <c r="Q90" i="34"/>
  <c r="P90" i="34"/>
  <c r="O90" i="34"/>
  <c r="H90" i="34"/>
  <c r="R89" i="34"/>
  <c r="Q89" i="34"/>
  <c r="P89" i="34"/>
  <c r="O89" i="34"/>
  <c r="H89" i="34"/>
  <c r="R88" i="34"/>
  <c r="Q88" i="34"/>
  <c r="P88" i="34"/>
  <c r="O88" i="34"/>
  <c r="H88" i="34"/>
  <c r="R87" i="34"/>
  <c r="Q87" i="34"/>
  <c r="P87" i="34"/>
  <c r="O87" i="34"/>
  <c r="H87" i="34"/>
  <c r="AA86" i="34"/>
  <c r="R86" i="34"/>
  <c r="Q86" i="34"/>
  <c r="P86" i="34"/>
  <c r="O86" i="34"/>
  <c r="H86" i="34"/>
  <c r="AA85" i="34"/>
  <c r="R85" i="34"/>
  <c r="Q85" i="34"/>
  <c r="P85" i="34"/>
  <c r="O85" i="34"/>
  <c r="H85" i="34"/>
  <c r="AA84" i="34"/>
  <c r="R84" i="34"/>
  <c r="Q84" i="34"/>
  <c r="P84" i="34"/>
  <c r="O84" i="34"/>
  <c r="H84" i="34"/>
  <c r="AA83" i="34"/>
  <c r="R83" i="34"/>
  <c r="Q83" i="34"/>
  <c r="P83" i="34"/>
  <c r="O83" i="34"/>
  <c r="H83" i="34"/>
  <c r="AA82" i="34"/>
  <c r="R82" i="34"/>
  <c r="Q82" i="34"/>
  <c r="P82" i="34"/>
  <c r="O82" i="34"/>
  <c r="H82" i="34"/>
  <c r="R81" i="34"/>
  <c r="Q81" i="34"/>
  <c r="P81" i="34"/>
  <c r="O81" i="34"/>
  <c r="H81" i="34"/>
  <c r="R80" i="34"/>
  <c r="Q80" i="34"/>
  <c r="P80" i="34"/>
  <c r="O80" i="34"/>
  <c r="H80" i="34"/>
  <c r="R79" i="34"/>
  <c r="Q79" i="34"/>
  <c r="P79" i="34"/>
  <c r="O79" i="34"/>
  <c r="H79" i="34"/>
  <c r="L78" i="34"/>
  <c r="N77" i="34"/>
  <c r="O74" i="34"/>
  <c r="M74" i="34"/>
  <c r="P74" i="34" s="1"/>
  <c r="AF73" i="34"/>
  <c r="AE73" i="34" a="1"/>
  <c r="AE73" i="34" s="1"/>
  <c r="B313" i="34" s="1"/>
  <c r="AD73" i="34"/>
  <c r="AD73" i="34" a="1"/>
  <c r="P73" i="34"/>
  <c r="O73" i="34"/>
  <c r="AF72" i="34"/>
  <c r="AE72" i="34" a="1"/>
  <c r="AE72" i="34" s="1"/>
  <c r="B312" i="34" s="1"/>
  <c r="AD72" i="34"/>
  <c r="AD72" i="34" a="1"/>
  <c r="P72" i="34"/>
  <c r="O72" i="34"/>
  <c r="AF71" i="34"/>
  <c r="AE71" i="34" a="1"/>
  <c r="AE71" i="34" s="1"/>
  <c r="B311" i="34" s="1"/>
  <c r="AD71" i="34"/>
  <c r="AD71" i="34" a="1"/>
  <c r="N71" i="34"/>
  <c r="AF70" i="34"/>
  <c r="AE70" i="34" a="1"/>
  <c r="AE70" i="34" s="1"/>
  <c r="B310" i="34" s="1"/>
  <c r="AD70" i="34"/>
  <c r="AD70" i="34" a="1"/>
  <c r="AF69" i="34"/>
  <c r="AE69" i="34" a="1"/>
  <c r="AE69" i="34" s="1"/>
  <c r="B309" i="34" s="1"/>
  <c r="AD69" i="34"/>
  <c r="AD69" i="34" a="1"/>
  <c r="V69" i="34"/>
  <c r="P69" i="34"/>
  <c r="O69" i="34"/>
  <c r="AF68" i="34"/>
  <c r="AE68" i="34" a="1"/>
  <c r="AE68" i="34" s="1"/>
  <c r="B308" i="34" s="1"/>
  <c r="AD68" i="34"/>
  <c r="AD68" i="34" a="1"/>
  <c r="V68" i="34"/>
  <c r="P68" i="34"/>
  <c r="O68" i="34"/>
  <c r="AF67" i="34"/>
  <c r="AE67" i="34" a="1"/>
  <c r="AE67" i="34" s="1"/>
  <c r="B307" i="34" s="1"/>
  <c r="AD67" i="34"/>
  <c r="AD67" i="34" a="1"/>
  <c r="V67" i="34"/>
  <c r="P67" i="34"/>
  <c r="O67" i="34"/>
  <c r="AF66" i="34"/>
  <c r="AE66" i="34" a="1"/>
  <c r="AE66" i="34" s="1"/>
  <c r="B306" i="34" s="1"/>
  <c r="AD66" i="34"/>
  <c r="AD66" i="34" a="1"/>
  <c r="V66" i="34"/>
  <c r="P66" i="34"/>
  <c r="O66" i="34"/>
  <c r="AF65" i="34"/>
  <c r="AE65" i="34" a="1"/>
  <c r="AE65" i="34" s="1"/>
  <c r="B305" i="34" s="1"/>
  <c r="AD65" i="34"/>
  <c r="AD65" i="34" a="1"/>
  <c r="V65" i="34"/>
  <c r="P65" i="34"/>
  <c r="O65" i="34"/>
  <c r="AF64" i="34"/>
  <c r="AE64" i="34" a="1"/>
  <c r="AE64" i="34" s="1"/>
  <c r="B304" i="34" s="1"/>
  <c r="AD64" i="34"/>
  <c r="AD64" i="34" a="1"/>
  <c r="V64" i="34"/>
  <c r="P64" i="34"/>
  <c r="O64" i="34"/>
  <c r="AF63" i="34"/>
  <c r="AE63" i="34" a="1"/>
  <c r="AE63" i="34" s="1"/>
  <c r="B303" i="34" s="1"/>
  <c r="AD63" i="34"/>
  <c r="AD63" i="34" a="1"/>
  <c r="V63" i="34"/>
  <c r="P63" i="34"/>
  <c r="O63" i="34"/>
  <c r="AF62" i="34"/>
  <c r="AE62" i="34" a="1"/>
  <c r="AE62" i="34" s="1"/>
  <c r="B302" i="34" s="1"/>
  <c r="AD62" i="34"/>
  <c r="AD62" i="34" a="1"/>
  <c r="V62" i="34"/>
  <c r="P62" i="34"/>
  <c r="O62" i="34"/>
  <c r="AF61" i="34"/>
  <c r="AE61" i="34" a="1"/>
  <c r="AE61" i="34" s="1"/>
  <c r="B301" i="34" s="1"/>
  <c r="AD61" i="34"/>
  <c r="AD61" i="34" a="1"/>
  <c r="L61" i="34"/>
  <c r="AF60" i="34"/>
  <c r="AE60" i="34" a="1"/>
  <c r="AE60" i="34" s="1"/>
  <c r="B300" i="34" s="1"/>
  <c r="AD60" i="34"/>
  <c r="AD60" i="34" a="1"/>
  <c r="AF59" i="34"/>
  <c r="AE59" i="34" a="1"/>
  <c r="AE59" i="34" s="1"/>
  <c r="B299" i="34" s="1"/>
  <c r="AD59" i="34"/>
  <c r="AD59" i="34" a="1"/>
  <c r="V59" i="34"/>
  <c r="P59" i="34"/>
  <c r="O59" i="34"/>
  <c r="AF58" i="34"/>
  <c r="AE58" i="34" a="1"/>
  <c r="AE58" i="34" s="1"/>
  <c r="B298" i="34" s="1"/>
  <c r="AD58" i="34"/>
  <c r="AD58" i="34" a="1"/>
  <c r="V58" i="34"/>
  <c r="P58" i="34"/>
  <c r="O58" i="34"/>
  <c r="AF57" i="34"/>
  <c r="AE57" i="34" a="1"/>
  <c r="AE57" i="34" s="1"/>
  <c r="B297" i="34" s="1"/>
  <c r="AD57" i="34"/>
  <c r="AD57" i="34" a="1"/>
  <c r="V57" i="34"/>
  <c r="P57" i="34"/>
  <c r="O57" i="34"/>
  <c r="AJ56" i="34"/>
  <c r="AK56" i="34" s="1"/>
  <c r="V56" i="34"/>
  <c r="P56" i="34"/>
  <c r="O56" i="34"/>
  <c r="V55" i="34"/>
  <c r="P55" i="34"/>
  <c r="O55" i="34"/>
  <c r="V54" i="34"/>
  <c r="P54" i="34"/>
  <c r="O54" i="34"/>
  <c r="V53" i="34"/>
  <c r="P53" i="34"/>
  <c r="O53" i="34"/>
  <c r="AJ52" i="34"/>
  <c r="AK52" i="34" s="1"/>
  <c r="V52" i="34"/>
  <c r="P52" i="34"/>
  <c r="O52" i="34"/>
  <c r="AJ51" i="34"/>
  <c r="AK51" i="34" s="1"/>
  <c r="L51" i="34"/>
  <c r="AJ49" i="34"/>
  <c r="AK49" i="34" s="1"/>
  <c r="V49" i="34"/>
  <c r="P49" i="34"/>
  <c r="O49" i="34"/>
  <c r="AJ48" i="34"/>
  <c r="AK48" i="34" s="1"/>
  <c r="V48" i="34"/>
  <c r="P48" i="34"/>
  <c r="O48" i="34"/>
  <c r="V47" i="34"/>
  <c r="P47" i="34"/>
  <c r="O47" i="34"/>
  <c r="V46" i="34"/>
  <c r="P46" i="34"/>
  <c r="O46" i="34"/>
  <c r="AJ45" i="34"/>
  <c r="AK45" i="34" s="1"/>
  <c r="V45" i="34"/>
  <c r="P45" i="34"/>
  <c r="O45" i="34"/>
  <c r="V44" i="34"/>
  <c r="P44" i="34"/>
  <c r="O44" i="34"/>
  <c r="AJ43" i="34"/>
  <c r="AK43" i="34" s="1"/>
  <c r="V43" i="34"/>
  <c r="P43" i="34"/>
  <c r="O43" i="34"/>
  <c r="V42" i="34"/>
  <c r="P42" i="34"/>
  <c r="O42" i="34"/>
  <c r="AA41" i="34"/>
  <c r="Z41" i="34" s="1"/>
  <c r="L41" i="34"/>
  <c r="AA40" i="34"/>
  <c r="Z40" i="34" s="1"/>
  <c r="W40" i="34"/>
  <c r="W40" i="34" a="1"/>
  <c r="U40" i="34"/>
  <c r="N40" i="34"/>
  <c r="AA39" i="34"/>
  <c r="Z39" i="34" s="1"/>
  <c r="AA38" i="34"/>
  <c r="Z38" i="34" s="1"/>
  <c r="V38" i="34"/>
  <c r="P38" i="34"/>
  <c r="B25" i="34" s="1"/>
  <c r="O38" i="34"/>
  <c r="AJ37" i="34"/>
  <c r="AK37" i="34" s="1"/>
  <c r="AA37" i="34"/>
  <c r="Z37" i="34" s="1"/>
  <c r="V37" i="34"/>
  <c r="P37" i="34"/>
  <c r="B24" i="34" s="1"/>
  <c r="O37" i="34"/>
  <c r="AJ36" i="34"/>
  <c r="AK36" i="34" s="1"/>
  <c r="AA36" i="34"/>
  <c r="Z36" i="34" s="1"/>
  <c r="V36" i="34"/>
  <c r="P36" i="34"/>
  <c r="AJ38" i="34" s="1"/>
  <c r="AK38" i="34" s="1"/>
  <c r="O36" i="34"/>
  <c r="AJ35" i="34"/>
  <c r="AK35" i="34" s="1"/>
  <c r="AA35" i="34"/>
  <c r="Z35" i="34" s="1"/>
  <c r="L35" i="34"/>
  <c r="AA34" i="34"/>
  <c r="Z34" i="34" s="1"/>
  <c r="AA33" i="34"/>
  <c r="Z33" i="34" s="1"/>
  <c r="P33" i="34"/>
  <c r="AJ47" i="34" s="1"/>
  <c r="O33" i="34"/>
  <c r="AJ32" i="34"/>
  <c r="AK32" i="34" s="1"/>
  <c r="AA32" i="34"/>
  <c r="Z32" i="34" s="1"/>
  <c r="V32" i="34"/>
  <c r="P32" i="34"/>
  <c r="B21" i="34" s="1"/>
  <c r="O32" i="34"/>
  <c r="AJ31" i="34"/>
  <c r="AK31" i="34" s="1"/>
  <c r="AF31" i="34"/>
  <c r="AD31" i="34"/>
  <c r="AA31" i="34"/>
  <c r="Z31" i="34" s="1"/>
  <c r="P31" i="34"/>
  <c r="AJ50" i="34" s="1"/>
  <c r="O31" i="34"/>
  <c r="AF30" i="34"/>
  <c r="AD30" i="34"/>
  <c r="AA30" i="34"/>
  <c r="Z30" i="34" s="1"/>
  <c r="L30" i="34"/>
  <c r="AJ29" i="34"/>
  <c r="AK29" i="34" s="1"/>
  <c r="AF29" i="34"/>
  <c r="AD29" i="34"/>
  <c r="AA29" i="34"/>
  <c r="Z29" i="34" s="1"/>
  <c r="AJ28" i="34"/>
  <c r="AK28" i="34" s="1"/>
  <c r="AF28" i="34"/>
  <c r="AD28" i="34"/>
  <c r="AA28" i="34"/>
  <c r="Z28" i="34" s="1"/>
  <c r="V28" i="34"/>
  <c r="P28" i="34"/>
  <c r="AJ42" i="34" s="1"/>
  <c r="AK42" i="34" s="1"/>
  <c r="O28" i="34"/>
  <c r="AJ27" i="34"/>
  <c r="AK27" i="34" s="1"/>
  <c r="AF27" i="34"/>
  <c r="AD27" i="34"/>
  <c r="AA27" i="34"/>
  <c r="Z27" i="34" s="1"/>
  <c r="V27" i="34"/>
  <c r="P27" i="34"/>
  <c r="AJ58" i="34" s="1"/>
  <c r="AK58" i="34" s="1"/>
  <c r="O27" i="34"/>
  <c r="AF26" i="34"/>
  <c r="AD26" i="34"/>
  <c r="AA26" i="34"/>
  <c r="Z26" i="34" s="1"/>
  <c r="V26" i="34"/>
  <c r="P26" i="34"/>
  <c r="B17" i="34" s="1"/>
  <c r="O26" i="34"/>
  <c r="AJ25" i="34"/>
  <c r="AK25" i="34" s="1"/>
  <c r="AF25" i="34"/>
  <c r="AD25" i="34"/>
  <c r="AA25" i="34"/>
  <c r="Z25" i="34" s="1"/>
  <c r="L25" i="34"/>
  <c r="AF24" i="34"/>
  <c r="AD24" i="34"/>
  <c r="AA24" i="34"/>
  <c r="Z24" i="34" s="1"/>
  <c r="AJ23" i="34"/>
  <c r="AK23" i="34" s="1"/>
  <c r="AF23" i="34"/>
  <c r="AD23" i="34"/>
  <c r="AA23" i="34"/>
  <c r="Z23" i="34" s="1"/>
  <c r="N23" i="34"/>
  <c r="AJ22" i="34"/>
  <c r="AK22" i="34" s="1"/>
  <c r="AF22" i="34"/>
  <c r="AD22" i="34"/>
  <c r="AA22" i="34"/>
  <c r="Z22" i="34" s="1"/>
  <c r="AJ21" i="34"/>
  <c r="AK21" i="34" s="1"/>
  <c r="AA21" i="34"/>
  <c r="N21" i="34"/>
  <c r="AJ20" i="34"/>
  <c r="AK20" i="34" s="1"/>
  <c r="AA20" i="34"/>
  <c r="N20" i="34"/>
  <c r="AA19" i="34"/>
  <c r="N19" i="34"/>
  <c r="AA18" i="34"/>
  <c r="N18" i="34"/>
  <c r="AJ17" i="34"/>
  <c r="AK17" i="34" s="1"/>
  <c r="AA17" i="34"/>
  <c r="N17" i="34"/>
  <c r="AA16" i="34"/>
  <c r="N16" i="34"/>
  <c r="AA15" i="34"/>
  <c r="AA14" i="34"/>
  <c r="AA13" i="34"/>
  <c r="AJ12" i="34"/>
  <c r="AK12" i="34" s="1"/>
  <c r="AA12" i="34"/>
  <c r="N12" i="34"/>
  <c r="AJ11" i="34"/>
  <c r="AK11" i="34" s="1"/>
  <c r="AA11" i="34"/>
  <c r="N11" i="34"/>
  <c r="N7" i="34" s="1"/>
  <c r="AJ10" i="34"/>
  <c r="AK10" i="34" s="1"/>
  <c r="AA10" i="34"/>
  <c r="N10" i="34"/>
  <c r="AA9" i="34"/>
  <c r="N9" i="34"/>
  <c r="AJ8" i="34"/>
  <c r="AK8" i="34" s="1"/>
  <c r="AA8" i="34"/>
  <c r="N8" i="34"/>
  <c r="G8" i="34"/>
  <c r="D8" i="34"/>
  <c r="AJ7" i="34"/>
  <c r="AK7" i="34" s="1"/>
  <c r="AA7" i="34"/>
  <c r="D7" i="34"/>
  <c r="AA6" i="34"/>
  <c r="AJ5" i="34"/>
  <c r="AK5" i="34" s="1"/>
  <c r="AA5" i="34"/>
  <c r="N5" i="34"/>
  <c r="AA4" i="34"/>
  <c r="N4" i="34"/>
  <c r="AJ3" i="34"/>
  <c r="AK3" i="34" s="1"/>
  <c r="AA3" i="34"/>
  <c r="AJ2" i="34"/>
  <c r="AK2" i="34" s="1"/>
  <c r="AA2" i="34"/>
  <c r="E316" i="78"/>
  <c r="E315" i="78"/>
  <c r="E314" i="78"/>
  <c r="E313" i="78"/>
  <c r="E312" i="78"/>
  <c r="E311" i="78"/>
  <c r="E310" i="78"/>
  <c r="E309" i="78"/>
  <c r="E308" i="78"/>
  <c r="E307" i="78"/>
  <c r="E306" i="78"/>
  <c r="E305" i="78"/>
  <c r="E304" i="78"/>
  <c r="E303" i="78"/>
  <c r="E302" i="78"/>
  <c r="E301" i="78"/>
  <c r="E300" i="78"/>
  <c r="E299" i="78"/>
  <c r="E298" i="78"/>
  <c r="E297" i="78"/>
  <c r="E296" i="78"/>
  <c r="E295" i="78"/>
  <c r="E294" i="78"/>
  <c r="E293" i="78"/>
  <c r="E292" i="78"/>
  <c r="E291" i="78"/>
  <c r="E290" i="78"/>
  <c r="E289" i="78"/>
  <c r="E288" i="78"/>
  <c r="E287" i="78"/>
  <c r="E286" i="78"/>
  <c r="E285" i="78"/>
  <c r="E284" i="78"/>
  <c r="E283" i="78"/>
  <c r="E282" i="78"/>
  <c r="E281" i="78"/>
  <c r="H238" i="78"/>
  <c r="H237" i="78"/>
  <c r="H236" i="78"/>
  <c r="H234" i="78"/>
  <c r="F234" i="78"/>
  <c r="P218" i="78"/>
  <c r="M218" i="78"/>
  <c r="R215" i="78"/>
  <c r="Q215" i="78"/>
  <c r="P215" i="78"/>
  <c r="O215" i="78"/>
  <c r="H215" i="78"/>
  <c r="G215" i="78"/>
  <c r="R214" i="78"/>
  <c r="Q214" i="78"/>
  <c r="P214" i="78"/>
  <c r="O214" i="78"/>
  <c r="H214" i="78"/>
  <c r="G214" i="78"/>
  <c r="R213" i="78"/>
  <c r="Q213" i="78"/>
  <c r="P213" i="78"/>
  <c r="O213" i="78"/>
  <c r="H213" i="78"/>
  <c r="G213" i="78"/>
  <c r="R212" i="78"/>
  <c r="Q212" i="78"/>
  <c r="P212" i="78"/>
  <c r="O212" i="78"/>
  <c r="H212" i="78"/>
  <c r="G212" i="78"/>
  <c r="R211" i="78"/>
  <c r="Q211" i="78"/>
  <c r="P211" i="78"/>
  <c r="O211" i="78"/>
  <c r="H211" i="78"/>
  <c r="G211" i="78"/>
  <c r="R210" i="78"/>
  <c r="Q210" i="78"/>
  <c r="P210" i="78"/>
  <c r="O210" i="78"/>
  <c r="H210" i="78"/>
  <c r="G210" i="78"/>
  <c r="R209" i="78"/>
  <c r="Q209" i="78"/>
  <c r="P209" i="78"/>
  <c r="O209" i="78"/>
  <c r="H209" i="78"/>
  <c r="G209" i="78"/>
  <c r="R208" i="78"/>
  <c r="Q208" i="78"/>
  <c r="P208" i="78"/>
  <c r="O208" i="78"/>
  <c r="H208" i="78"/>
  <c r="G208" i="78"/>
  <c r="R207" i="78"/>
  <c r="Q207" i="78"/>
  <c r="P207" i="78"/>
  <c r="O207" i="78"/>
  <c r="H207" i="78"/>
  <c r="G207" i="78"/>
  <c r="R206" i="78"/>
  <c r="Q206" i="78"/>
  <c r="P206" i="78"/>
  <c r="O206" i="78"/>
  <c r="H206" i="78"/>
  <c r="G206" i="78"/>
  <c r="R203" i="78"/>
  <c r="P203" i="78"/>
  <c r="O203" i="78"/>
  <c r="G203" i="78"/>
  <c r="R202" i="78"/>
  <c r="P202" i="78"/>
  <c r="O202" i="78"/>
  <c r="G202" i="78"/>
  <c r="R201" i="78"/>
  <c r="P201" i="78"/>
  <c r="O201" i="78"/>
  <c r="G201" i="78"/>
  <c r="R200" i="78"/>
  <c r="P200" i="78"/>
  <c r="O200" i="78"/>
  <c r="G200" i="78"/>
  <c r="R199" i="78"/>
  <c r="P199" i="78"/>
  <c r="O199" i="78"/>
  <c r="G199" i="78"/>
  <c r="R198" i="78"/>
  <c r="P198" i="78"/>
  <c r="O198" i="78"/>
  <c r="G198" i="78"/>
  <c r="R197" i="78"/>
  <c r="P197" i="78"/>
  <c r="O197" i="78"/>
  <c r="G197" i="78"/>
  <c r="R196" i="78"/>
  <c r="P196" i="78"/>
  <c r="O196" i="78"/>
  <c r="G196" i="78"/>
  <c r="R195" i="78"/>
  <c r="P195" i="78"/>
  <c r="O195" i="78"/>
  <c r="G195" i="78"/>
  <c r="R194" i="78"/>
  <c r="P194" i="78"/>
  <c r="O194" i="78"/>
  <c r="G194" i="78"/>
  <c r="L193" i="78"/>
  <c r="R191" i="78"/>
  <c r="P191" i="78"/>
  <c r="O191" i="78"/>
  <c r="M191" i="78"/>
  <c r="R190" i="78"/>
  <c r="P190" i="78"/>
  <c r="O190" i="78"/>
  <c r="M190" i="78"/>
  <c r="R189" i="78"/>
  <c r="P189" i="78"/>
  <c r="O189" i="78"/>
  <c r="M189" i="78"/>
  <c r="R188" i="78"/>
  <c r="P188" i="78"/>
  <c r="O188" i="78"/>
  <c r="R187" i="78"/>
  <c r="P187" i="78"/>
  <c r="O187" i="78"/>
  <c r="M187" i="78"/>
  <c r="L186" i="78"/>
  <c r="P185" i="78"/>
  <c r="O185" i="78"/>
  <c r="I185" i="78"/>
  <c r="P184" i="78"/>
  <c r="O184" i="78"/>
  <c r="I184" i="78"/>
  <c r="R181" i="78"/>
  <c r="P181" i="78"/>
  <c r="O181" i="78"/>
  <c r="H181" i="78"/>
  <c r="R180" i="78"/>
  <c r="P180" i="78"/>
  <c r="O180" i="78"/>
  <c r="H180" i="78"/>
  <c r="R179" i="78"/>
  <c r="P179" i="78"/>
  <c r="O179" i="78"/>
  <c r="H179" i="78"/>
  <c r="R178" i="78"/>
  <c r="P178" i="78"/>
  <c r="O178" i="78"/>
  <c r="H178" i="78"/>
  <c r="R177" i="78"/>
  <c r="P177" i="78"/>
  <c r="O177" i="78"/>
  <c r="H177" i="78"/>
  <c r="L164" i="78"/>
  <c r="I164" i="78"/>
  <c r="H164" i="78"/>
  <c r="G164" i="78"/>
  <c r="F164" i="78"/>
  <c r="O169" i="78" s="1"/>
  <c r="P169" i="78" s="1"/>
  <c r="N163" i="78"/>
  <c r="P161" i="78"/>
  <c r="O161" i="78"/>
  <c r="P160" i="78"/>
  <c r="O160" i="78"/>
  <c r="R157" i="78"/>
  <c r="Q157" i="78"/>
  <c r="P157" i="78"/>
  <c r="O157" i="78"/>
  <c r="H157" i="78"/>
  <c r="G157" i="78"/>
  <c r="R156" i="78"/>
  <c r="Q156" i="78"/>
  <c r="P156" i="78"/>
  <c r="O156" i="78"/>
  <c r="H156" i="78"/>
  <c r="G156" i="78"/>
  <c r="AE155" i="78"/>
  <c r="R155" i="78"/>
  <c r="Q155" i="78"/>
  <c r="P155" i="78"/>
  <c r="O155" i="78"/>
  <c r="H155" i="78"/>
  <c r="G155" i="78"/>
  <c r="R154" i="78"/>
  <c r="Q154" i="78"/>
  <c r="P154" i="78"/>
  <c r="O154" i="78"/>
  <c r="H154" i="78"/>
  <c r="G154" i="78"/>
  <c r="AF153" i="78" a="1"/>
  <c r="AF153" i="78" s="1"/>
  <c r="B236" i="78" s="1"/>
  <c r="AE153" i="78"/>
  <c r="R153" i="78"/>
  <c r="Q153" i="78"/>
  <c r="P153" i="78"/>
  <c r="O153" i="78"/>
  <c r="H153" i="78"/>
  <c r="G153" i="78"/>
  <c r="AF152" i="78" a="1"/>
  <c r="AF152" i="78" s="1"/>
  <c r="B235" i="78" s="1"/>
  <c r="AE152" i="78"/>
  <c r="R152" i="78"/>
  <c r="Q152" i="78"/>
  <c r="P152" i="78"/>
  <c r="O152" i="78"/>
  <c r="H152" i="78"/>
  <c r="G152" i="78"/>
  <c r="AF151" i="78" a="1"/>
  <c r="AF151" i="78" s="1"/>
  <c r="B234" i="78" s="1"/>
  <c r="AE151" i="78"/>
  <c r="R151" i="78"/>
  <c r="Q151" i="78"/>
  <c r="P151" i="78"/>
  <c r="O151" i="78"/>
  <c r="H151" i="78"/>
  <c r="G151" i="78"/>
  <c r="AF150" i="78" a="1"/>
  <c r="AF150" i="78" s="1"/>
  <c r="B233" i="78" s="1"/>
  <c r="AE150" i="78"/>
  <c r="R150" i="78"/>
  <c r="Q150" i="78"/>
  <c r="P150" i="78"/>
  <c r="O150" i="78"/>
  <c r="H150" i="78"/>
  <c r="G150" i="78"/>
  <c r="AF149" i="78" a="1"/>
  <c r="AF149" i="78" s="1"/>
  <c r="B232" i="78" s="1"/>
  <c r="AE149" i="78"/>
  <c r="R149" i="78"/>
  <c r="Q149" i="78"/>
  <c r="P149" i="78"/>
  <c r="O149" i="78"/>
  <c r="H149" i="78"/>
  <c r="G149" i="78"/>
  <c r="AF148" i="78" a="1"/>
  <c r="AF148" i="78" s="1"/>
  <c r="B231" i="78" s="1"/>
  <c r="AE148" i="78"/>
  <c r="R148" i="78"/>
  <c r="Q148" i="78"/>
  <c r="P148" i="78"/>
  <c r="O148" i="78"/>
  <c r="H148" i="78"/>
  <c r="G148" i="78"/>
  <c r="AF147" i="78" a="1"/>
  <c r="AF147" i="78" s="1"/>
  <c r="B230" i="78" s="1"/>
  <c r="AE147" i="78"/>
  <c r="R147" i="78"/>
  <c r="Q147" i="78"/>
  <c r="P147" i="78"/>
  <c r="O147" i="78"/>
  <c r="H147" i="78"/>
  <c r="G147" i="78"/>
  <c r="AF146" i="78" a="1"/>
  <c r="AF146" i="78" s="1"/>
  <c r="B229" i="78" s="1"/>
  <c r="AE146" i="78"/>
  <c r="R146" i="78"/>
  <c r="Q146" i="78"/>
  <c r="P146" i="78"/>
  <c r="O146" i="78"/>
  <c r="H146" i="78"/>
  <c r="G146" i="78"/>
  <c r="AF145" i="78" a="1"/>
  <c r="AF145" i="78" s="1"/>
  <c r="B228" i="78" s="1"/>
  <c r="AE145" i="78"/>
  <c r="R145" i="78"/>
  <c r="Q145" i="78"/>
  <c r="P145" i="78"/>
  <c r="O145" i="78"/>
  <c r="H145" i="78"/>
  <c r="G145" i="78"/>
  <c r="AF144" i="78" a="1"/>
  <c r="AF144" i="78" s="1"/>
  <c r="B227" i="78" s="1"/>
  <c r="AE144" i="78"/>
  <c r="R144" i="78"/>
  <c r="Q144" i="78"/>
  <c r="P144" i="78"/>
  <c r="O144" i="78"/>
  <c r="H144" i="78"/>
  <c r="G144" i="78"/>
  <c r="AF143" i="78" a="1"/>
  <c r="AF143" i="78" s="1"/>
  <c r="B226" i="78" s="1"/>
  <c r="AE143" i="78"/>
  <c r="R143" i="78"/>
  <c r="Q143" i="78"/>
  <c r="P143" i="78"/>
  <c r="O143" i="78"/>
  <c r="H143" i="78"/>
  <c r="G143" i="78"/>
  <c r="AF142" i="78" a="1"/>
  <c r="AF142" i="78" s="1"/>
  <c r="B225" i="78" s="1"/>
  <c r="AE142" i="78"/>
  <c r="R142" i="78"/>
  <c r="Q142" i="78"/>
  <c r="P142" i="78"/>
  <c r="O142" i="78"/>
  <c r="H142" i="78"/>
  <c r="AF141" i="78" a="1"/>
  <c r="AF141" i="78" s="1"/>
  <c r="B224" i="78" s="1"/>
  <c r="AE141" i="78"/>
  <c r="R141" i="78"/>
  <c r="Q141" i="78"/>
  <c r="P141" i="78"/>
  <c r="O141" i="78"/>
  <c r="H141" i="78"/>
  <c r="AF140" i="78" a="1"/>
  <c r="AF140" i="78" s="1"/>
  <c r="B223" i="78" s="1"/>
  <c r="AE140" i="78"/>
  <c r="R140" i="78"/>
  <c r="Q140" i="78"/>
  <c r="O140" i="78"/>
  <c r="P140" i="78" s="1"/>
  <c r="H140" i="78"/>
  <c r="AF139" i="78" a="1"/>
  <c r="AF139" i="78" s="1"/>
  <c r="B222" i="78" s="1"/>
  <c r="AE139" i="78"/>
  <c r="R139" i="78"/>
  <c r="Q139" i="78"/>
  <c r="P139" i="78"/>
  <c r="O139" i="78"/>
  <c r="H139" i="78"/>
  <c r="R138" i="78"/>
  <c r="Q138" i="78"/>
  <c r="P138" i="78"/>
  <c r="O138" i="78"/>
  <c r="H138" i="78"/>
  <c r="R135" i="78"/>
  <c r="Q135" i="78"/>
  <c r="P135" i="78"/>
  <c r="O135" i="78"/>
  <c r="R134" i="78"/>
  <c r="Q134" i="78"/>
  <c r="P134" i="78"/>
  <c r="O134" i="78"/>
  <c r="R133" i="78"/>
  <c r="Q133" i="78"/>
  <c r="P133" i="78"/>
  <c r="O133" i="78"/>
  <c r="F133" i="78"/>
  <c r="R132" i="78"/>
  <c r="Q132" i="78"/>
  <c r="P132" i="78"/>
  <c r="O132" i="78"/>
  <c r="F132" i="78"/>
  <c r="R129" i="78"/>
  <c r="P129" i="78"/>
  <c r="R128" i="78"/>
  <c r="P128" i="78"/>
  <c r="R127" i="78"/>
  <c r="P127" i="78"/>
  <c r="R126" i="78"/>
  <c r="P126" i="78"/>
  <c r="P125" i="78"/>
  <c r="M124" i="78"/>
  <c r="P124" i="78" s="1"/>
  <c r="B84" i="78" s="1"/>
  <c r="AA121" i="78"/>
  <c r="Z121" i="78"/>
  <c r="AA120" i="78"/>
  <c r="Z120" i="78"/>
  <c r="P120" i="78"/>
  <c r="O120" i="78"/>
  <c r="H120" i="78"/>
  <c r="G120" i="78"/>
  <c r="AA119" i="78"/>
  <c r="Z119" i="78"/>
  <c r="P119" i="78"/>
  <c r="O119" i="78"/>
  <c r="H119" i="78"/>
  <c r="G119" i="78"/>
  <c r="AA118" i="78"/>
  <c r="Z118" i="78"/>
  <c r="P118" i="78"/>
  <c r="O118" i="78"/>
  <c r="H118" i="78"/>
  <c r="G118" i="78"/>
  <c r="AA117" i="78"/>
  <c r="Z117" i="78"/>
  <c r="P117" i="78"/>
  <c r="O117" i="78"/>
  <c r="H117" i="78"/>
  <c r="G117" i="78"/>
  <c r="AA116" i="78"/>
  <c r="Z116" i="78"/>
  <c r="P116" i="78"/>
  <c r="O116" i="78"/>
  <c r="H116" i="78"/>
  <c r="G116" i="78"/>
  <c r="AA115" i="78"/>
  <c r="Z115" i="78"/>
  <c r="P115" i="78"/>
  <c r="O115" i="78"/>
  <c r="H115" i="78"/>
  <c r="G115" i="78"/>
  <c r="AA114" i="78"/>
  <c r="Z114" i="78"/>
  <c r="P114" i="78"/>
  <c r="O114" i="78"/>
  <c r="H114" i="78"/>
  <c r="G114" i="78"/>
  <c r="AA113" i="78"/>
  <c r="Z113" i="78"/>
  <c r="P113" i="78"/>
  <c r="O113" i="78"/>
  <c r="H113" i="78"/>
  <c r="G113" i="78"/>
  <c r="AA112" i="78"/>
  <c r="Z112" i="78"/>
  <c r="P112" i="78"/>
  <c r="O112" i="78"/>
  <c r="H112" i="78"/>
  <c r="G112" i="78"/>
  <c r="P111" i="78"/>
  <c r="O111" i="78"/>
  <c r="H111" i="78"/>
  <c r="G111" i="78"/>
  <c r="P110" i="78"/>
  <c r="O110" i="78"/>
  <c r="H110" i="78"/>
  <c r="G110" i="78"/>
  <c r="P109" i="78"/>
  <c r="O109" i="78"/>
  <c r="H109" i="78"/>
  <c r="G109" i="78"/>
  <c r="P108" i="78"/>
  <c r="O108" i="78"/>
  <c r="H108" i="78"/>
  <c r="G108" i="78"/>
  <c r="P107" i="78"/>
  <c r="O107" i="78"/>
  <c r="H107" i="78"/>
  <c r="G107" i="78"/>
  <c r="P106" i="78"/>
  <c r="O106" i="78"/>
  <c r="H106" i="78"/>
  <c r="G106" i="78"/>
  <c r="P105" i="78"/>
  <c r="O105" i="78"/>
  <c r="H105" i="78"/>
  <c r="G105" i="78"/>
  <c r="P104" i="78"/>
  <c r="O104" i="78"/>
  <c r="H104" i="78"/>
  <c r="G104" i="78"/>
  <c r="P103" i="78"/>
  <c r="O103" i="78"/>
  <c r="H103" i="78"/>
  <c r="G103" i="78"/>
  <c r="P102" i="78"/>
  <c r="O102" i="78"/>
  <c r="H102" i="78"/>
  <c r="G102" i="78"/>
  <c r="P101" i="78"/>
  <c r="O101" i="78"/>
  <c r="H101" i="78"/>
  <c r="G101" i="78"/>
  <c r="R98" i="78"/>
  <c r="Q98" i="78"/>
  <c r="P98" i="78"/>
  <c r="O98" i="78"/>
  <c r="H98" i="78"/>
  <c r="R97" i="78"/>
  <c r="Q97" i="78"/>
  <c r="P97" i="78"/>
  <c r="O97" i="78"/>
  <c r="H97" i="78"/>
  <c r="R96" i="78"/>
  <c r="Q96" i="78"/>
  <c r="P96" i="78"/>
  <c r="O96" i="78"/>
  <c r="H96" i="78"/>
  <c r="R95" i="78"/>
  <c r="Q95" i="78"/>
  <c r="P95" i="78"/>
  <c r="O95" i="78"/>
  <c r="H95" i="78"/>
  <c r="R94" i="78"/>
  <c r="Q94" i="78"/>
  <c r="P94" i="78"/>
  <c r="O94" i="78"/>
  <c r="H94" i="78"/>
  <c r="R93" i="78"/>
  <c r="Q93" i="78"/>
  <c r="P93" i="78"/>
  <c r="O93" i="78"/>
  <c r="H93" i="78"/>
  <c r="R92" i="78"/>
  <c r="Q92" i="78"/>
  <c r="P92" i="78"/>
  <c r="O92" i="78"/>
  <c r="H92" i="78"/>
  <c r="R91" i="78"/>
  <c r="Q91" i="78"/>
  <c r="P91" i="78"/>
  <c r="O91" i="78"/>
  <c r="H91" i="78"/>
  <c r="R90" i="78"/>
  <c r="Q90" i="78"/>
  <c r="P90" i="78"/>
  <c r="O90" i="78"/>
  <c r="H90" i="78"/>
  <c r="R89" i="78"/>
  <c r="Q89" i="78"/>
  <c r="P89" i="78"/>
  <c r="O89" i="78"/>
  <c r="H89" i="78"/>
  <c r="R88" i="78"/>
  <c r="Q88" i="78"/>
  <c r="P88" i="78"/>
  <c r="O88" i="78"/>
  <c r="H88" i="78"/>
  <c r="R87" i="78"/>
  <c r="Q87" i="78"/>
  <c r="P87" i="78"/>
  <c r="O87" i="78"/>
  <c r="H87" i="78"/>
  <c r="AA86" i="78"/>
  <c r="R86" i="78"/>
  <c r="Q86" i="78"/>
  <c r="P86" i="78"/>
  <c r="O86" i="78"/>
  <c r="H86" i="78"/>
  <c r="AA85" i="78"/>
  <c r="R85" i="78"/>
  <c r="Q85" i="78"/>
  <c r="P85" i="78"/>
  <c r="O85" i="78"/>
  <c r="H85" i="78"/>
  <c r="AA84" i="78"/>
  <c r="R84" i="78"/>
  <c r="Q84" i="78"/>
  <c r="P84" i="78"/>
  <c r="O84" i="78"/>
  <c r="H84" i="78"/>
  <c r="AA83" i="78"/>
  <c r="R83" i="78"/>
  <c r="Q83" i="78"/>
  <c r="P83" i="78"/>
  <c r="O83" i="78"/>
  <c r="H83" i="78"/>
  <c r="AA82" i="78"/>
  <c r="R82" i="78"/>
  <c r="Q82" i="78"/>
  <c r="P82" i="78"/>
  <c r="O82" i="78"/>
  <c r="H82" i="78"/>
  <c r="R81" i="78"/>
  <c r="Q81" i="78"/>
  <c r="P81" i="78"/>
  <c r="O81" i="78"/>
  <c r="H81" i="78"/>
  <c r="R80" i="78"/>
  <c r="Q80" i="78"/>
  <c r="P80" i="78"/>
  <c r="O80" i="78"/>
  <c r="H80" i="78"/>
  <c r="R79" i="78"/>
  <c r="Q79" i="78"/>
  <c r="O79" i="78"/>
  <c r="P79" i="78" s="1"/>
  <c r="F244" i="78" s="1" a="1"/>
  <c r="F244" i="78" s="1"/>
  <c r="B365" i="78" s="1"/>
  <c r="H79" i="78"/>
  <c r="L78" i="78"/>
  <c r="N77" i="78"/>
  <c r="O74" i="78"/>
  <c r="AF73" i="78"/>
  <c r="AE73" i="78" a="1"/>
  <c r="AE73" i="78" s="1"/>
  <c r="B313" i="78" s="1"/>
  <c r="AD73" i="78"/>
  <c r="AD73" i="78" a="1"/>
  <c r="P73" i="78"/>
  <c r="O73" i="78"/>
  <c r="AF72" i="78"/>
  <c r="AE72" i="78" a="1"/>
  <c r="AE72" i="78" s="1"/>
  <c r="B312" i="78" s="1"/>
  <c r="AD72" i="78"/>
  <c r="AD72" i="78" a="1"/>
  <c r="P72" i="78"/>
  <c r="O72" i="78"/>
  <c r="AF71" i="78"/>
  <c r="AE71" i="78" a="1"/>
  <c r="AE71" i="78" s="1"/>
  <c r="B311" i="78" s="1"/>
  <c r="AD71" i="78"/>
  <c r="AD71" i="78" a="1"/>
  <c r="N71" i="78"/>
  <c r="AF70" i="78"/>
  <c r="AE70" i="78" a="1"/>
  <c r="AE70" i="78" s="1"/>
  <c r="B310" i="78" s="1"/>
  <c r="AD70" i="78"/>
  <c r="AD70" i="78" a="1"/>
  <c r="AF69" i="78"/>
  <c r="AE69" i="78" a="1"/>
  <c r="AE69" i="78" s="1"/>
  <c r="B309" i="78" s="1"/>
  <c r="AD69" i="78"/>
  <c r="AD69" i="78" a="1"/>
  <c r="V69" i="78"/>
  <c r="P69" i="78"/>
  <c r="O69" i="78"/>
  <c r="AF68" i="78"/>
  <c r="AE68" i="78" a="1"/>
  <c r="AE68" i="78" s="1"/>
  <c r="B308" i="78" s="1"/>
  <c r="AD68" i="78"/>
  <c r="AD68" i="78" a="1"/>
  <c r="V68" i="78"/>
  <c r="P68" i="78"/>
  <c r="O68" i="78"/>
  <c r="AF67" i="78"/>
  <c r="AE67" i="78" a="1"/>
  <c r="AE67" i="78" s="1"/>
  <c r="B307" i="78" s="1"/>
  <c r="AD67" i="78"/>
  <c r="AD67" i="78" a="1"/>
  <c r="V67" i="78"/>
  <c r="P67" i="78"/>
  <c r="O67" i="78"/>
  <c r="AF66" i="78"/>
  <c r="AE66" i="78" a="1"/>
  <c r="AE66" i="78" s="1"/>
  <c r="B306" i="78" s="1"/>
  <c r="AD66" i="78"/>
  <c r="AD66" i="78" a="1"/>
  <c r="V66" i="78"/>
  <c r="P66" i="78"/>
  <c r="O66" i="78"/>
  <c r="AF65" i="78"/>
  <c r="AE65" i="78" a="1"/>
  <c r="AE65" i="78" s="1"/>
  <c r="B305" i="78" s="1"/>
  <c r="AD65" i="78"/>
  <c r="AD65" i="78" a="1"/>
  <c r="V65" i="78"/>
  <c r="P65" i="78"/>
  <c r="O65" i="78"/>
  <c r="AF64" i="78"/>
  <c r="AE64" i="78" a="1"/>
  <c r="AE64" i="78" s="1"/>
  <c r="B304" i="78" s="1"/>
  <c r="AD64" i="78"/>
  <c r="AD64" i="78" a="1"/>
  <c r="V64" i="78"/>
  <c r="P64" i="78"/>
  <c r="O64" i="78"/>
  <c r="AF63" i="78"/>
  <c r="AE63" i="78" a="1"/>
  <c r="AE63" i="78" s="1"/>
  <c r="B303" i="78" s="1"/>
  <c r="AD63" i="78"/>
  <c r="AD63" i="78" a="1"/>
  <c r="V63" i="78"/>
  <c r="P63" i="78"/>
  <c r="O63" i="78"/>
  <c r="AF62" i="78"/>
  <c r="AE62" i="78" a="1"/>
  <c r="AE62" i="78" s="1"/>
  <c r="B302" i="78" s="1"/>
  <c r="AD62" i="78"/>
  <c r="AD62" i="78" a="1"/>
  <c r="V62" i="78"/>
  <c r="P62" i="78"/>
  <c r="O62" i="78"/>
  <c r="AF61" i="78"/>
  <c r="AE61" i="78" a="1"/>
  <c r="AE61" i="78" s="1"/>
  <c r="B301" i="78" s="1"/>
  <c r="AD61" i="78"/>
  <c r="AD61" i="78" a="1"/>
  <c r="L61" i="78"/>
  <c r="AF60" i="78"/>
  <c r="AE60" i="78" a="1"/>
  <c r="AE60" i="78" s="1"/>
  <c r="B300" i="78" s="1"/>
  <c r="AD60" i="78"/>
  <c r="AD60" i="78" a="1"/>
  <c r="AF59" i="78"/>
  <c r="AE59" i="78" a="1"/>
  <c r="AE59" i="78" s="1"/>
  <c r="B299" i="78" s="1"/>
  <c r="AD59" i="78"/>
  <c r="AD59" i="78" a="1"/>
  <c r="V59" i="78"/>
  <c r="P59" i="78"/>
  <c r="O59" i="78"/>
  <c r="AF58" i="78"/>
  <c r="AE58" i="78" a="1"/>
  <c r="AE58" i="78" s="1"/>
  <c r="B298" i="78" s="1"/>
  <c r="AD58" i="78"/>
  <c r="AD58" i="78" a="1"/>
  <c r="V58" i="78"/>
  <c r="P58" i="78"/>
  <c r="O58" i="78"/>
  <c r="AF57" i="78"/>
  <c r="AE57" i="78" a="1"/>
  <c r="AE57" i="78" s="1"/>
  <c r="B297" i="78" s="1"/>
  <c r="AD57" i="78"/>
  <c r="AD57" i="78" a="1"/>
  <c r="V57" i="78"/>
  <c r="P57" i="78"/>
  <c r="O57" i="78"/>
  <c r="AJ56" i="78"/>
  <c r="AK56" i="78" s="1"/>
  <c r="AF56" i="78"/>
  <c r="AE56" i="78" a="1"/>
  <c r="AE56" i="78" s="1"/>
  <c r="B296" i="78" s="1"/>
  <c r="AD56" i="78"/>
  <c r="AD56" i="78" a="1"/>
  <c r="V56" i="78"/>
  <c r="P56" i="78"/>
  <c r="O56" i="78"/>
  <c r="V55" i="78"/>
  <c r="P55" i="78"/>
  <c r="O55" i="78"/>
  <c r="V54" i="78"/>
  <c r="P54" i="78"/>
  <c r="O54" i="78"/>
  <c r="V53" i="78"/>
  <c r="P53" i="78"/>
  <c r="O53" i="78"/>
  <c r="AJ52" i="78"/>
  <c r="AK52" i="78" s="1"/>
  <c r="V52" i="78"/>
  <c r="P52" i="78"/>
  <c r="O52" i="78"/>
  <c r="AJ51" i="78"/>
  <c r="AK51" i="78" s="1"/>
  <c r="L51" i="78"/>
  <c r="AJ49" i="78"/>
  <c r="AK49" i="78" s="1"/>
  <c r="V49" i="78"/>
  <c r="P49" i="78"/>
  <c r="O49" i="78"/>
  <c r="AJ48" i="78"/>
  <c r="AK48" i="78" s="1"/>
  <c r="V48" i="78"/>
  <c r="P48" i="78"/>
  <c r="O48" i="78"/>
  <c r="V47" i="78"/>
  <c r="P47" i="78"/>
  <c r="O47" i="78"/>
  <c r="V46" i="78"/>
  <c r="P46" i="78"/>
  <c r="O46" i="78"/>
  <c r="AJ45" i="78"/>
  <c r="AK45" i="78" s="1"/>
  <c r="V45" i="78"/>
  <c r="P45" i="78"/>
  <c r="O45" i="78"/>
  <c r="V44" i="78"/>
  <c r="P44" i="78"/>
  <c r="O44" i="78"/>
  <c r="AJ43" i="78"/>
  <c r="AK43" i="78" s="1"/>
  <c r="V43" i="78"/>
  <c r="P43" i="78"/>
  <c r="O43" i="78"/>
  <c r="V42" i="78"/>
  <c r="P42" i="78"/>
  <c r="O42" i="78"/>
  <c r="AA41" i="78"/>
  <c r="Z41" i="78" s="1"/>
  <c r="L41" i="78"/>
  <c r="AA40" i="78"/>
  <c r="Z40" i="78" s="1"/>
  <c r="W40" i="78"/>
  <c r="W40" i="78" a="1"/>
  <c r="U40" i="78"/>
  <c r="N40" i="78"/>
  <c r="AA39" i="78"/>
  <c r="Z39" i="78" s="1"/>
  <c r="AJ38" i="78"/>
  <c r="AK38" i="78" s="1"/>
  <c r="AA38" i="78"/>
  <c r="Z38" i="78" s="1"/>
  <c r="V38" i="78"/>
  <c r="P38" i="78"/>
  <c r="B25" i="78" s="1"/>
  <c r="O38" i="78"/>
  <c r="AJ37" i="78"/>
  <c r="AK37" i="78" s="1"/>
  <c r="AA37" i="78"/>
  <c r="Z37" i="78" s="1"/>
  <c r="V37" i="78"/>
  <c r="P37" i="78"/>
  <c r="AJ31" i="78" s="1"/>
  <c r="AK31" i="78" s="1"/>
  <c r="O37" i="78"/>
  <c r="AJ36" i="78"/>
  <c r="AK36" i="78" s="1"/>
  <c r="AA36" i="78"/>
  <c r="Z36" i="78" s="1"/>
  <c r="V36" i="78"/>
  <c r="P36" i="78"/>
  <c r="B23" i="78" s="1"/>
  <c r="O36" i="78"/>
  <c r="AJ35" i="78"/>
  <c r="AK35" i="78" s="1"/>
  <c r="AA35" i="78"/>
  <c r="Z35" i="78" s="1"/>
  <c r="L35" i="78"/>
  <c r="AA34" i="78"/>
  <c r="Z34" i="78" s="1"/>
  <c r="AA33" i="78"/>
  <c r="Z33" i="78" s="1"/>
  <c r="P33" i="78"/>
  <c r="O33" i="78"/>
  <c r="AJ32" i="78"/>
  <c r="AK32" i="78" s="1"/>
  <c r="AA32" i="78"/>
  <c r="Z32" i="78" s="1"/>
  <c r="V32" i="78"/>
  <c r="P32" i="78"/>
  <c r="B21" i="78" s="1"/>
  <c r="O32" i="78"/>
  <c r="AF31" i="78"/>
  <c r="AD31" i="78"/>
  <c r="B144" i="78" s="1"/>
  <c r="AA31" i="78"/>
  <c r="Z31" i="78" s="1"/>
  <c r="P31" i="78"/>
  <c r="O31" i="78"/>
  <c r="AF30" i="78"/>
  <c r="AD30" i="78"/>
  <c r="B143" i="78" s="1"/>
  <c r="AA30" i="78"/>
  <c r="Z30" i="78" s="1"/>
  <c r="L30" i="78"/>
  <c r="AJ29" i="78"/>
  <c r="AK29" i="78" s="1"/>
  <c r="AF29" i="78"/>
  <c r="AD29" i="78"/>
  <c r="B142" i="78" s="1"/>
  <c r="AA29" i="78"/>
  <c r="Z29" i="78" s="1"/>
  <c r="AJ28" i="78"/>
  <c r="AK28" i="78" s="1"/>
  <c r="AF28" i="78"/>
  <c r="AD28" i="78"/>
  <c r="B141" i="78" s="1"/>
  <c r="AA28" i="78"/>
  <c r="Z28" i="78" s="1"/>
  <c r="V28" i="78"/>
  <c r="P28" i="78"/>
  <c r="M74" i="78" s="1"/>
  <c r="P74" i="78" s="1"/>
  <c r="O28" i="78"/>
  <c r="AJ27" i="78"/>
  <c r="AK27" i="78" s="1"/>
  <c r="AF27" i="78"/>
  <c r="AD27" i="78"/>
  <c r="B140" i="78" s="1"/>
  <c r="AA27" i="78"/>
  <c r="Z27" i="78" s="1"/>
  <c r="V27" i="78"/>
  <c r="P27" i="78"/>
  <c r="AJ58" i="78" s="1"/>
  <c r="AK58" i="78" s="1"/>
  <c r="O27" i="78"/>
  <c r="AF26" i="78"/>
  <c r="AD26" i="78"/>
  <c r="B139" i="78" s="1"/>
  <c r="AA26" i="78"/>
  <c r="Z26" i="78" s="1"/>
  <c r="V26" i="78"/>
  <c r="P26" i="78"/>
  <c r="B17" i="78" s="1"/>
  <c r="O26" i="78"/>
  <c r="AJ25" i="78"/>
  <c r="AK25" i="78" s="1"/>
  <c r="AF25" i="78"/>
  <c r="AD25" i="78"/>
  <c r="B138" i="78" s="1"/>
  <c r="AA25" i="78"/>
  <c r="Z25" i="78" s="1"/>
  <c r="L25" i="78"/>
  <c r="AF24" i="78"/>
  <c r="AD24" i="78"/>
  <c r="B137" i="78" s="1"/>
  <c r="AA24" i="78"/>
  <c r="Z24" i="78" s="1"/>
  <c r="AJ23" i="78"/>
  <c r="AK23" i="78" s="1"/>
  <c r="AF23" i="78"/>
  <c r="AD23" i="78"/>
  <c r="B136" i="78" s="1"/>
  <c r="AA23" i="78"/>
  <c r="Z23" i="78" s="1"/>
  <c r="N23" i="78"/>
  <c r="AJ22" i="78"/>
  <c r="AK22" i="78" s="1"/>
  <c r="AF22" i="78"/>
  <c r="AD22" i="78"/>
  <c r="B135" i="78" s="1"/>
  <c r="AA22" i="78"/>
  <c r="Z22" i="78" s="1"/>
  <c r="AJ21" i="78"/>
  <c r="AK21" i="78" s="1"/>
  <c r="AF21" i="78"/>
  <c r="AD21" i="78"/>
  <c r="B134" i="78" s="1"/>
  <c r="AA21" i="78"/>
  <c r="N21" i="78"/>
  <c r="AJ20" i="78"/>
  <c r="AK20" i="78" s="1"/>
  <c r="AF20" i="78"/>
  <c r="AD20" i="78"/>
  <c r="B133" i="78" s="1"/>
  <c r="AA20" i="78"/>
  <c r="N20" i="78"/>
  <c r="AF19" i="78"/>
  <c r="AD19" i="78"/>
  <c r="B132" i="78" s="1"/>
  <c r="AA19" i="78"/>
  <c r="N19" i="78"/>
  <c r="AF18" i="78"/>
  <c r="AD18" i="78"/>
  <c r="B131" i="78" s="1"/>
  <c r="AA18" i="78"/>
  <c r="N18" i="78"/>
  <c r="AF17" i="78"/>
  <c r="AD17" i="78"/>
  <c r="B130" i="78" s="1"/>
  <c r="AA17" i="78"/>
  <c r="N17" i="78"/>
  <c r="AF16" i="78"/>
  <c r="AD16" i="78"/>
  <c r="B129" i="78" s="1"/>
  <c r="AA16" i="78"/>
  <c r="N16" i="78"/>
  <c r="AF15" i="78"/>
  <c r="AD15" i="78"/>
  <c r="B128" i="78" s="1"/>
  <c r="AA15" i="78"/>
  <c r="AF14" i="78"/>
  <c r="AD14" i="78"/>
  <c r="B127" i="78" s="1"/>
  <c r="AA14" i="78"/>
  <c r="AF13" i="78"/>
  <c r="AD13" i="78"/>
  <c r="B126" i="78" s="1"/>
  <c r="AA13" i="78"/>
  <c r="AJ12" i="78"/>
  <c r="AK12" i="78" s="1"/>
  <c r="AF12" i="78"/>
  <c r="AD12" i="78"/>
  <c r="B125" i="78" s="1"/>
  <c r="AA12" i="78"/>
  <c r="N12" i="78"/>
  <c r="AJ11" i="78"/>
  <c r="AK11" i="78" s="1"/>
  <c r="AF11" i="78"/>
  <c r="AD11" i="78"/>
  <c r="B124" i="78" s="1"/>
  <c r="AA11" i="78"/>
  <c r="N11" i="78"/>
  <c r="AJ10" i="78"/>
  <c r="AK10" i="78" s="1"/>
  <c r="AF10" i="78"/>
  <c r="AD10" i="78"/>
  <c r="B123" i="78" s="1"/>
  <c r="AA10" i="78"/>
  <c r="N10" i="78"/>
  <c r="AF9" i="78"/>
  <c r="AD9" i="78"/>
  <c r="B122" i="78" s="1"/>
  <c r="AA9" i="78"/>
  <c r="N9" i="78"/>
  <c r="AJ8" i="78"/>
  <c r="AK8" i="78" s="1"/>
  <c r="AF8" i="78"/>
  <c r="AD8" i="78"/>
  <c r="B121" i="78" s="1"/>
  <c r="AA8" i="78"/>
  <c r="N8" i="78"/>
  <c r="G8" i="78"/>
  <c r="D8" i="78"/>
  <c r="AJ7" i="78"/>
  <c r="AK7" i="78" s="1"/>
  <c r="AF7" i="78"/>
  <c r="AD7" i="78"/>
  <c r="B120" i="78" s="1"/>
  <c r="AA7" i="78"/>
  <c r="D7" i="78"/>
  <c r="AF6" i="78"/>
  <c r="AD6" i="78"/>
  <c r="B119" i="78" s="1"/>
  <c r="AA6" i="78"/>
  <c r="AJ5" i="78"/>
  <c r="AK5" i="78" s="1"/>
  <c r="AA5" i="78"/>
  <c r="N5" i="78"/>
  <c r="AA4" i="78"/>
  <c r="N4" i="78"/>
  <c r="AJ3" i="78"/>
  <c r="AK3" i="78" s="1"/>
  <c r="AA3" i="78"/>
  <c r="AJ2" i="78"/>
  <c r="AK2" i="78" s="1"/>
  <c r="AA2" i="78"/>
  <c r="E316" i="77"/>
  <c r="E315" i="77"/>
  <c r="E314" i="77"/>
  <c r="E313" i="77"/>
  <c r="E312" i="77"/>
  <c r="E311" i="77"/>
  <c r="E310" i="77"/>
  <c r="E309" i="77"/>
  <c r="E308" i="77"/>
  <c r="E307" i="77"/>
  <c r="E306" i="77"/>
  <c r="E305" i="77"/>
  <c r="E304" i="77"/>
  <c r="E303" i="77"/>
  <c r="E302" i="77"/>
  <c r="E301" i="77"/>
  <c r="E300" i="77"/>
  <c r="E299" i="77"/>
  <c r="E298" i="77"/>
  <c r="E297" i="77"/>
  <c r="E296" i="77"/>
  <c r="E295" i="77"/>
  <c r="E294" i="77"/>
  <c r="E293" i="77"/>
  <c r="E292" i="77"/>
  <c r="E291" i="77"/>
  <c r="E290" i="77"/>
  <c r="E289" i="77"/>
  <c r="E288" i="77"/>
  <c r="E287" i="77"/>
  <c r="E286" i="77"/>
  <c r="E285" i="77"/>
  <c r="E284" i="77"/>
  <c r="E283" i="77"/>
  <c r="E282" i="77"/>
  <c r="E281" i="77"/>
  <c r="F244" i="77" a="1"/>
  <c r="F244" i="77" s="1"/>
  <c r="B365" i="77" s="1"/>
  <c r="H238" i="77"/>
  <c r="H237" i="77"/>
  <c r="H236" i="77"/>
  <c r="H234" i="77"/>
  <c r="F234" i="77"/>
  <c r="P218" i="77"/>
  <c r="M218" i="77"/>
  <c r="R215" i="77"/>
  <c r="Q215" i="77"/>
  <c r="P215" i="77"/>
  <c r="O215" i="77"/>
  <c r="H215" i="77"/>
  <c r="G215" i="77"/>
  <c r="R214" i="77"/>
  <c r="Q214" i="77"/>
  <c r="P214" i="77"/>
  <c r="O214" i="77"/>
  <c r="H214" i="77"/>
  <c r="G214" i="77"/>
  <c r="R213" i="77"/>
  <c r="Q213" i="77"/>
  <c r="P213" i="77"/>
  <c r="O213" i="77"/>
  <c r="H213" i="77"/>
  <c r="G213" i="77"/>
  <c r="R212" i="77"/>
  <c r="Q212" i="77"/>
  <c r="P212" i="77"/>
  <c r="O212" i="77"/>
  <c r="H212" i="77"/>
  <c r="G212" i="77"/>
  <c r="R211" i="77"/>
  <c r="Q211" i="77"/>
  <c r="P211" i="77"/>
  <c r="O211" i="77"/>
  <c r="H211" i="77"/>
  <c r="G211" i="77"/>
  <c r="R210" i="77"/>
  <c r="Q210" i="77"/>
  <c r="P210" i="77"/>
  <c r="O210" i="77"/>
  <c r="H210" i="77"/>
  <c r="G210" i="77"/>
  <c r="R209" i="77"/>
  <c r="Q209" i="77"/>
  <c r="P209" i="77"/>
  <c r="O209" i="77"/>
  <c r="H209" i="77"/>
  <c r="G209" i="77"/>
  <c r="R208" i="77"/>
  <c r="Q208" i="77"/>
  <c r="P208" i="77"/>
  <c r="O208" i="77"/>
  <c r="H208" i="77"/>
  <c r="G208" i="77"/>
  <c r="R207" i="77"/>
  <c r="Q207" i="77"/>
  <c r="P207" i="77"/>
  <c r="O207" i="77"/>
  <c r="H207" i="77"/>
  <c r="G207" i="77"/>
  <c r="R206" i="77"/>
  <c r="Q206" i="77"/>
  <c r="P206" i="77"/>
  <c r="O206" i="77"/>
  <c r="H206" i="77"/>
  <c r="G206" i="77"/>
  <c r="R203" i="77"/>
  <c r="P203" i="77"/>
  <c r="O203" i="77"/>
  <c r="G203" i="77"/>
  <c r="R202" i="77"/>
  <c r="P202" i="77"/>
  <c r="O202" i="77"/>
  <c r="G202" i="77"/>
  <c r="R201" i="77"/>
  <c r="P201" i="77"/>
  <c r="O201" i="77"/>
  <c r="G201" i="77"/>
  <c r="R200" i="77"/>
  <c r="P200" i="77"/>
  <c r="O200" i="77"/>
  <c r="G200" i="77"/>
  <c r="R199" i="77"/>
  <c r="P199" i="77"/>
  <c r="O199" i="77"/>
  <c r="G199" i="77"/>
  <c r="R198" i="77"/>
  <c r="P198" i="77"/>
  <c r="O198" i="77"/>
  <c r="G198" i="77"/>
  <c r="R197" i="77"/>
  <c r="P197" i="77"/>
  <c r="O197" i="77"/>
  <c r="G197" i="77"/>
  <c r="R196" i="77"/>
  <c r="P196" i="77"/>
  <c r="O196" i="77"/>
  <c r="G196" i="77"/>
  <c r="R195" i="77"/>
  <c r="P195" i="77"/>
  <c r="O195" i="77"/>
  <c r="G195" i="77"/>
  <c r="R194" i="77"/>
  <c r="P194" i="77"/>
  <c r="O194" i="77"/>
  <c r="G194" i="77"/>
  <c r="L193" i="77"/>
  <c r="R191" i="77"/>
  <c r="P191" i="77"/>
  <c r="O191" i="77"/>
  <c r="M191" i="77"/>
  <c r="R190" i="77"/>
  <c r="P190" i="77"/>
  <c r="O190" i="77"/>
  <c r="M190" i="77"/>
  <c r="R189" i="77"/>
  <c r="P189" i="77"/>
  <c r="O189" i="77"/>
  <c r="M189" i="77"/>
  <c r="R188" i="77"/>
  <c r="P188" i="77"/>
  <c r="O188" i="77"/>
  <c r="R187" i="77"/>
  <c r="P187" i="77"/>
  <c r="O187" i="77"/>
  <c r="M187" i="77"/>
  <c r="L186" i="77"/>
  <c r="P185" i="77"/>
  <c r="O185" i="77"/>
  <c r="I185" i="77"/>
  <c r="P184" i="77"/>
  <c r="O184" i="77"/>
  <c r="I184" i="77"/>
  <c r="R181" i="77"/>
  <c r="P181" i="77"/>
  <c r="O181" i="77"/>
  <c r="H181" i="77"/>
  <c r="R180" i="77"/>
  <c r="P180" i="77"/>
  <c r="O180" i="77"/>
  <c r="H180" i="77"/>
  <c r="R179" i="77"/>
  <c r="P179" i="77"/>
  <c r="O179" i="77"/>
  <c r="H179" i="77"/>
  <c r="R178" i="77"/>
  <c r="P178" i="77"/>
  <c r="O178" i="77"/>
  <c r="H178" i="77"/>
  <c r="R177" i="77"/>
  <c r="P177" i="77"/>
  <c r="O177" i="77"/>
  <c r="H177" i="77"/>
  <c r="L164" i="77"/>
  <c r="I164" i="77"/>
  <c r="H164" i="77"/>
  <c r="G164" i="77"/>
  <c r="F164" i="77"/>
  <c r="N163" i="77"/>
  <c r="P161" i="77"/>
  <c r="O161" i="77"/>
  <c r="P160" i="77"/>
  <c r="O160" i="77"/>
  <c r="R157" i="77"/>
  <c r="Q157" i="77"/>
  <c r="P157" i="77"/>
  <c r="O157" i="77"/>
  <c r="H157" i="77"/>
  <c r="G157" i="77"/>
  <c r="R156" i="77"/>
  <c r="Q156" i="77"/>
  <c r="P156" i="77"/>
  <c r="O156" i="77"/>
  <c r="H156" i="77"/>
  <c r="G156" i="77"/>
  <c r="AE155" i="77"/>
  <c r="R155" i="77"/>
  <c r="Q155" i="77"/>
  <c r="P155" i="77"/>
  <c r="O155" i="77"/>
  <c r="H155" i="77"/>
  <c r="G155" i="77"/>
  <c r="R154" i="77"/>
  <c r="Q154" i="77"/>
  <c r="P154" i="77"/>
  <c r="O154" i="77"/>
  <c r="H154" i="77"/>
  <c r="G154" i="77"/>
  <c r="AF153" i="77"/>
  <c r="AF153" i="77" a="1"/>
  <c r="AE153" i="77"/>
  <c r="R153" i="77"/>
  <c r="Q153" i="77"/>
  <c r="P153" i="77"/>
  <c r="O153" i="77"/>
  <c r="H153" i="77"/>
  <c r="G153" i="77"/>
  <c r="AF152" i="77"/>
  <c r="AF152" i="77" a="1"/>
  <c r="AE152" i="77"/>
  <c r="R152" i="77"/>
  <c r="Q152" i="77"/>
  <c r="P152" i="77"/>
  <c r="O152" i="77"/>
  <c r="H152" i="77"/>
  <c r="G152" i="77"/>
  <c r="AF151" i="77"/>
  <c r="AF151" i="77" a="1"/>
  <c r="AE151" i="77"/>
  <c r="R151" i="77"/>
  <c r="Q151" i="77"/>
  <c r="P151" i="77"/>
  <c r="O151" i="77"/>
  <c r="H151" i="77"/>
  <c r="G151" i="77"/>
  <c r="AF150" i="77"/>
  <c r="AF150" i="77" a="1"/>
  <c r="AE150" i="77"/>
  <c r="R150" i="77"/>
  <c r="Q150" i="77"/>
  <c r="P150" i="77"/>
  <c r="O150" i="77"/>
  <c r="H150" i="77"/>
  <c r="G150" i="77"/>
  <c r="AF149" i="77"/>
  <c r="AF149" i="77" a="1"/>
  <c r="AE149" i="77"/>
  <c r="R149" i="77"/>
  <c r="Q149" i="77"/>
  <c r="P149" i="77"/>
  <c r="O149" i="77"/>
  <c r="H149" i="77"/>
  <c r="G149" i="77"/>
  <c r="AF148" i="77"/>
  <c r="AF148" i="77" a="1"/>
  <c r="AE148" i="77"/>
  <c r="R148" i="77"/>
  <c r="Q148" i="77"/>
  <c r="P148" i="77"/>
  <c r="O148" i="77"/>
  <c r="H148" i="77"/>
  <c r="G148" i="77"/>
  <c r="AF147" i="77"/>
  <c r="AF147" i="77" a="1"/>
  <c r="AE147" i="77"/>
  <c r="R147" i="77"/>
  <c r="Q147" i="77"/>
  <c r="P147" i="77"/>
  <c r="O147" i="77"/>
  <c r="H147" i="77"/>
  <c r="G147" i="77"/>
  <c r="AF146" i="77"/>
  <c r="AF146" i="77" a="1"/>
  <c r="AE146" i="77"/>
  <c r="R146" i="77"/>
  <c r="Q146" i="77"/>
  <c r="P146" i="77"/>
  <c r="O146" i="77"/>
  <c r="H146" i="77"/>
  <c r="G146" i="77"/>
  <c r="AF145" i="77"/>
  <c r="AF145" i="77" a="1"/>
  <c r="AE145" i="77"/>
  <c r="R145" i="77"/>
  <c r="Q145" i="77"/>
  <c r="P145" i="77"/>
  <c r="O145" i="77"/>
  <c r="H145" i="77"/>
  <c r="G145" i="77"/>
  <c r="AF144" i="77"/>
  <c r="AF144" i="77" a="1"/>
  <c r="AE144" i="77"/>
  <c r="R144" i="77"/>
  <c r="Q144" i="77"/>
  <c r="P144" i="77"/>
  <c r="O144" i="77"/>
  <c r="H144" i="77"/>
  <c r="G144" i="77"/>
  <c r="AF143" i="77"/>
  <c r="AF143" i="77" a="1"/>
  <c r="AE143" i="77"/>
  <c r="R143" i="77"/>
  <c r="Q143" i="77"/>
  <c r="P143" i="77"/>
  <c r="O143" i="77"/>
  <c r="H143" i="77"/>
  <c r="G143" i="77"/>
  <c r="AF142" i="77"/>
  <c r="AF142" i="77" a="1"/>
  <c r="AE142" i="77"/>
  <c r="R142" i="77"/>
  <c r="Q142" i="77"/>
  <c r="P142" i="77"/>
  <c r="O142" i="77"/>
  <c r="H142" i="77"/>
  <c r="AF141" i="77"/>
  <c r="AF141" i="77" a="1"/>
  <c r="AE141" i="77"/>
  <c r="R141" i="77"/>
  <c r="Q141" i="77"/>
  <c r="P141" i="77"/>
  <c r="O141" i="77"/>
  <c r="H141" i="77"/>
  <c r="AF140" i="77"/>
  <c r="AF140" i="77" a="1"/>
  <c r="AE140" i="77"/>
  <c r="R140" i="77"/>
  <c r="Q140" i="77"/>
  <c r="P140" i="77"/>
  <c r="O140" i="77"/>
  <c r="H140" i="77"/>
  <c r="AF139" i="77"/>
  <c r="AF139" i="77" a="1"/>
  <c r="AE139" i="77"/>
  <c r="R139" i="77"/>
  <c r="Q139" i="77"/>
  <c r="P139" i="77"/>
  <c r="O139" i="77"/>
  <c r="H139" i="77"/>
  <c r="AF138" i="77"/>
  <c r="AF138" i="77" a="1"/>
  <c r="AE138" i="77"/>
  <c r="R138" i="77"/>
  <c r="Q138" i="77"/>
  <c r="P138" i="77"/>
  <c r="O138" i="77"/>
  <c r="H138" i="77"/>
  <c r="AF137" i="77"/>
  <c r="AF137" i="77" a="1"/>
  <c r="AE137" i="77"/>
  <c r="H137" i="77"/>
  <c r="AF136" i="77"/>
  <c r="AF136" i="77" a="1"/>
  <c r="AE136" i="77"/>
  <c r="AF135" i="77"/>
  <c r="AF135" i="77" a="1"/>
  <c r="AE135" i="77"/>
  <c r="R135" i="77"/>
  <c r="Q135" i="77"/>
  <c r="P135" i="77"/>
  <c r="O135" i="77"/>
  <c r="R134" i="77"/>
  <c r="Q134" i="77"/>
  <c r="P134" i="77"/>
  <c r="O134" i="77"/>
  <c r="R133" i="77"/>
  <c r="Q133" i="77"/>
  <c r="P133" i="77"/>
  <c r="O133" i="77"/>
  <c r="F133" i="77"/>
  <c r="R132" i="77"/>
  <c r="Q132" i="77"/>
  <c r="P132" i="77"/>
  <c r="O132" i="77"/>
  <c r="F132" i="77"/>
  <c r="R129" i="77"/>
  <c r="P129" i="77"/>
  <c r="R128" i="77"/>
  <c r="P128" i="77"/>
  <c r="R127" i="77"/>
  <c r="P127" i="77"/>
  <c r="R126" i="77"/>
  <c r="P126" i="77"/>
  <c r="P125" i="77"/>
  <c r="M124" i="77"/>
  <c r="P124" i="77" s="1"/>
  <c r="B84" i="77" s="1"/>
  <c r="AA121" i="77"/>
  <c r="Z121" i="77"/>
  <c r="AA120" i="77"/>
  <c r="Z120" i="77"/>
  <c r="P120" i="77"/>
  <c r="O120" i="77"/>
  <c r="H120" i="77"/>
  <c r="AA119" i="77"/>
  <c r="Z119" i="77"/>
  <c r="P119" i="77"/>
  <c r="O119" i="77"/>
  <c r="H119" i="77"/>
  <c r="AA118" i="77"/>
  <c r="Z118" i="77"/>
  <c r="P118" i="77"/>
  <c r="O118" i="77"/>
  <c r="H118" i="77"/>
  <c r="AA117" i="77"/>
  <c r="Z117" i="77"/>
  <c r="P117" i="77"/>
  <c r="O117" i="77"/>
  <c r="H117" i="77"/>
  <c r="AA116" i="77"/>
  <c r="Z116" i="77"/>
  <c r="P116" i="77"/>
  <c r="O116" i="77"/>
  <c r="H116" i="77"/>
  <c r="AA115" i="77"/>
  <c r="Z115" i="77"/>
  <c r="P115" i="77"/>
  <c r="O115" i="77"/>
  <c r="H115" i="77"/>
  <c r="AA114" i="77"/>
  <c r="Z114" i="77"/>
  <c r="P114" i="77"/>
  <c r="O114" i="77"/>
  <c r="H114" i="77"/>
  <c r="AA113" i="77"/>
  <c r="Z113" i="77"/>
  <c r="P113" i="77"/>
  <c r="O113" i="77"/>
  <c r="H113" i="77"/>
  <c r="AA112" i="77"/>
  <c r="Z112" i="77"/>
  <c r="P112" i="77"/>
  <c r="O112" i="77"/>
  <c r="H112" i="77"/>
  <c r="P111" i="77"/>
  <c r="O111" i="77"/>
  <c r="H111" i="77"/>
  <c r="P110" i="77"/>
  <c r="O110" i="77"/>
  <c r="H110" i="77"/>
  <c r="G110" i="77"/>
  <c r="P109" i="77"/>
  <c r="O109" i="77"/>
  <c r="H109" i="77"/>
  <c r="G109" i="77"/>
  <c r="P108" i="77"/>
  <c r="O108" i="77"/>
  <c r="H108" i="77"/>
  <c r="G108" i="77"/>
  <c r="P107" i="77"/>
  <c r="O107" i="77"/>
  <c r="H107" i="77"/>
  <c r="G107" i="77"/>
  <c r="P106" i="77"/>
  <c r="O106" i="77"/>
  <c r="H106" i="77"/>
  <c r="G106" i="77"/>
  <c r="P105" i="77"/>
  <c r="O105" i="77"/>
  <c r="H105" i="77"/>
  <c r="G105" i="77"/>
  <c r="P104" i="77"/>
  <c r="O104" i="77"/>
  <c r="H104" i="77"/>
  <c r="G104" i="77"/>
  <c r="P103" i="77"/>
  <c r="O103" i="77"/>
  <c r="H103" i="77"/>
  <c r="G103" i="77"/>
  <c r="P102" i="77"/>
  <c r="O102" i="77"/>
  <c r="H102" i="77"/>
  <c r="G102" i="77"/>
  <c r="P101" i="77"/>
  <c r="O101" i="77"/>
  <c r="H101" i="77"/>
  <c r="G101" i="77"/>
  <c r="R98" i="77"/>
  <c r="Q98" i="77"/>
  <c r="P98" i="77"/>
  <c r="O98" i="77"/>
  <c r="H98" i="77"/>
  <c r="R97" i="77"/>
  <c r="Q97" i="77"/>
  <c r="P97" i="77"/>
  <c r="O97" i="77"/>
  <c r="H97" i="77"/>
  <c r="R96" i="77"/>
  <c r="Q96" i="77"/>
  <c r="P96" i="77"/>
  <c r="O96" i="77"/>
  <c r="H96" i="77"/>
  <c r="R95" i="77"/>
  <c r="Q95" i="77"/>
  <c r="P95" i="77"/>
  <c r="O95" i="77"/>
  <c r="H95" i="77"/>
  <c r="R94" i="77"/>
  <c r="Q94" i="77"/>
  <c r="P94" i="77"/>
  <c r="O94" i="77"/>
  <c r="H94" i="77"/>
  <c r="R93" i="77"/>
  <c r="Q93" i="77"/>
  <c r="P93" i="77"/>
  <c r="O93" i="77"/>
  <c r="H93" i="77"/>
  <c r="R92" i="77"/>
  <c r="Q92" i="77"/>
  <c r="P92" i="77"/>
  <c r="O92" i="77"/>
  <c r="H92" i="77"/>
  <c r="R91" i="77"/>
  <c r="Q91" i="77"/>
  <c r="P91" i="77"/>
  <c r="O91" i="77"/>
  <c r="H91" i="77"/>
  <c r="R90" i="77"/>
  <c r="Q90" i="77"/>
  <c r="P90" i="77"/>
  <c r="O90" i="77"/>
  <c r="H90" i="77"/>
  <c r="R89" i="77"/>
  <c r="Q89" i="77"/>
  <c r="P89" i="77"/>
  <c r="O89" i="77"/>
  <c r="H89" i="77"/>
  <c r="R88" i="77"/>
  <c r="Q88" i="77"/>
  <c r="P88" i="77"/>
  <c r="O88" i="77"/>
  <c r="H88" i="77"/>
  <c r="R87" i="77"/>
  <c r="Q87" i="77"/>
  <c r="P87" i="77"/>
  <c r="O87" i="77"/>
  <c r="H87" i="77"/>
  <c r="AA86" i="77"/>
  <c r="R86" i="77"/>
  <c r="Q86" i="77"/>
  <c r="P86" i="77"/>
  <c r="O86" i="77"/>
  <c r="H86" i="77"/>
  <c r="AA85" i="77"/>
  <c r="R85" i="77"/>
  <c r="Q85" i="77"/>
  <c r="P85" i="77"/>
  <c r="O85" i="77"/>
  <c r="H85" i="77"/>
  <c r="AA84" i="77"/>
  <c r="R84" i="77"/>
  <c r="Q84" i="77"/>
  <c r="P84" i="77"/>
  <c r="O84" i="77"/>
  <c r="H84" i="77"/>
  <c r="AA83" i="77"/>
  <c r="R83" i="77"/>
  <c r="Q83" i="77"/>
  <c r="P83" i="77"/>
  <c r="O83" i="77"/>
  <c r="H83" i="77"/>
  <c r="AA82" i="77"/>
  <c r="R82" i="77"/>
  <c r="Q82" i="77"/>
  <c r="P82" i="77"/>
  <c r="O82" i="77"/>
  <c r="H82" i="77"/>
  <c r="R81" i="77"/>
  <c r="Q81" i="77"/>
  <c r="P81" i="77"/>
  <c r="O81" i="77"/>
  <c r="H81" i="77"/>
  <c r="R80" i="77"/>
  <c r="Q80" i="77"/>
  <c r="P80" i="77"/>
  <c r="O80" i="77"/>
  <c r="H80" i="77"/>
  <c r="R79" i="77"/>
  <c r="Q79" i="77"/>
  <c r="P79" i="77"/>
  <c r="O79" i="77"/>
  <c r="H79" i="77"/>
  <c r="L78" i="77"/>
  <c r="N77" i="77"/>
  <c r="O74" i="77"/>
  <c r="AF73" i="77"/>
  <c r="AE73" i="77" a="1"/>
  <c r="AE73" i="77" s="1"/>
  <c r="B313" i="77" s="1"/>
  <c r="AD73" i="77"/>
  <c r="AD73" i="77" a="1"/>
  <c r="P73" i="77"/>
  <c r="O73" i="77"/>
  <c r="AF72" i="77"/>
  <c r="AE72" i="77" a="1"/>
  <c r="AE72" i="77" s="1"/>
  <c r="B312" i="77" s="1"/>
  <c r="AD72" i="77"/>
  <c r="AD72" i="77" a="1"/>
  <c r="P72" i="77"/>
  <c r="O72" i="77"/>
  <c r="AF71" i="77"/>
  <c r="AE71" i="77" a="1"/>
  <c r="AE71" i="77" s="1"/>
  <c r="B311" i="77" s="1"/>
  <c r="AD71" i="77"/>
  <c r="AD71" i="77" a="1"/>
  <c r="N71" i="77"/>
  <c r="AF70" i="77"/>
  <c r="AE70" i="77" a="1"/>
  <c r="AE70" i="77" s="1"/>
  <c r="B310" i="77" s="1"/>
  <c r="AD70" i="77"/>
  <c r="AD70" i="77" a="1"/>
  <c r="AF69" i="77"/>
  <c r="AE69" i="77" a="1"/>
  <c r="AE69" i="77" s="1"/>
  <c r="B309" i="77" s="1"/>
  <c r="AD69" i="77"/>
  <c r="AD69" i="77" a="1"/>
  <c r="V69" i="77"/>
  <c r="P69" i="77"/>
  <c r="O69" i="77"/>
  <c r="AF68" i="77"/>
  <c r="AE68" i="77" a="1"/>
  <c r="AE68" i="77" s="1"/>
  <c r="B308" i="77" s="1"/>
  <c r="AD68" i="77"/>
  <c r="AD68" i="77" a="1"/>
  <c r="V68" i="77"/>
  <c r="P68" i="77"/>
  <c r="O68" i="77"/>
  <c r="AF67" i="77"/>
  <c r="AE67" i="77" a="1"/>
  <c r="AE67" i="77" s="1"/>
  <c r="B307" i="77" s="1"/>
  <c r="AD67" i="77"/>
  <c r="AD67" i="77" a="1"/>
  <c r="V67" i="77"/>
  <c r="P67" i="77"/>
  <c r="O67" i="77"/>
  <c r="AF66" i="77"/>
  <c r="AE66" i="77" a="1"/>
  <c r="AE66" i="77" s="1"/>
  <c r="B306" i="77" s="1"/>
  <c r="AD66" i="77"/>
  <c r="AD66" i="77" a="1"/>
  <c r="V66" i="77"/>
  <c r="P66" i="77"/>
  <c r="O66" i="77"/>
  <c r="AF65" i="77"/>
  <c r="AE65" i="77" a="1"/>
  <c r="AE65" i="77" s="1"/>
  <c r="B305" i="77" s="1"/>
  <c r="AD65" i="77"/>
  <c r="AD65" i="77" a="1"/>
  <c r="V65" i="77"/>
  <c r="P65" i="77"/>
  <c r="O65" i="77"/>
  <c r="AF64" i="77"/>
  <c r="AE64" i="77" a="1"/>
  <c r="AE64" i="77" s="1"/>
  <c r="B304" i="77" s="1"/>
  <c r="AD64" i="77"/>
  <c r="AD64" i="77" a="1"/>
  <c r="V64" i="77"/>
  <c r="P64" i="77"/>
  <c r="O64" i="77"/>
  <c r="AF63" i="77"/>
  <c r="AE63" i="77" a="1"/>
  <c r="AE63" i="77" s="1"/>
  <c r="B303" i="77" s="1"/>
  <c r="AD63" i="77"/>
  <c r="AD63" i="77" a="1"/>
  <c r="V63" i="77"/>
  <c r="P63" i="77"/>
  <c r="O63" i="77"/>
  <c r="AF62" i="77"/>
  <c r="AE62" i="77" a="1"/>
  <c r="AE62" i="77" s="1"/>
  <c r="B302" i="77" s="1"/>
  <c r="AD62" i="77"/>
  <c r="AD62" i="77" a="1"/>
  <c r="V62" i="77"/>
  <c r="P62" i="77"/>
  <c r="O62" i="77"/>
  <c r="AF61" i="77"/>
  <c r="AE61" i="77" a="1"/>
  <c r="AE61" i="77" s="1"/>
  <c r="B301" i="77" s="1"/>
  <c r="AD61" i="77"/>
  <c r="AD61" i="77" a="1"/>
  <c r="L61" i="77"/>
  <c r="AF60" i="77"/>
  <c r="AE60" i="77" a="1"/>
  <c r="AE60" i="77" s="1"/>
  <c r="B300" i="77" s="1"/>
  <c r="AD60" i="77"/>
  <c r="AD60" i="77" a="1"/>
  <c r="AF59" i="77"/>
  <c r="AE59" i="77" a="1"/>
  <c r="AE59" i="77" s="1"/>
  <c r="B299" i="77" s="1"/>
  <c r="AD59" i="77"/>
  <c r="AD59" i="77" a="1"/>
  <c r="V59" i="77"/>
  <c r="P59" i="77"/>
  <c r="O59" i="77"/>
  <c r="AF58" i="77"/>
  <c r="AE58" i="77" a="1"/>
  <c r="AE58" i="77" s="1"/>
  <c r="B298" i="77" s="1"/>
  <c r="AD58" i="77"/>
  <c r="AD58" i="77" a="1"/>
  <c r="V58" i="77"/>
  <c r="P58" i="77"/>
  <c r="O58" i="77"/>
  <c r="AF57" i="77"/>
  <c r="AE57" i="77" a="1"/>
  <c r="AE57" i="77" s="1"/>
  <c r="B297" i="77" s="1"/>
  <c r="AD57" i="77"/>
  <c r="AD57" i="77" a="1"/>
  <c r="V57" i="77"/>
  <c r="P57" i="77"/>
  <c r="O57" i="77"/>
  <c r="AJ56" i="77"/>
  <c r="AK56" i="77" s="1"/>
  <c r="AF56" i="77"/>
  <c r="AE56" i="77" a="1"/>
  <c r="AE56" i="77" s="1"/>
  <c r="B296" i="77" s="1"/>
  <c r="AD56" i="77"/>
  <c r="AD56" i="77" a="1"/>
  <c r="V56" i="77"/>
  <c r="P56" i="77"/>
  <c r="O56" i="77"/>
  <c r="AF55" i="77"/>
  <c r="AE55" i="77" a="1"/>
  <c r="AE55" i="77" s="1"/>
  <c r="B295" i="77" s="1"/>
  <c r="AD55" i="77"/>
  <c r="AD55" i="77" a="1"/>
  <c r="V55" i="77"/>
  <c r="P55" i="77"/>
  <c r="O55" i="77"/>
  <c r="AF54" i="77"/>
  <c r="AE54" i="77" a="1"/>
  <c r="AE54" i="77" s="1"/>
  <c r="B294" i="77" s="1"/>
  <c r="AD54" i="77"/>
  <c r="AD54" i="77" a="1"/>
  <c r="V54" i="77"/>
  <c r="P54" i="77"/>
  <c r="O54" i="77"/>
  <c r="AF53" i="77"/>
  <c r="AE53" i="77" a="1"/>
  <c r="AE53" i="77" s="1"/>
  <c r="B293" i="77" s="1"/>
  <c r="AD53" i="77"/>
  <c r="AD53" i="77" a="1"/>
  <c r="V53" i="77"/>
  <c r="P53" i="77"/>
  <c r="O53" i="77"/>
  <c r="AJ52" i="77"/>
  <c r="AK52" i="77" s="1"/>
  <c r="AF52" i="77"/>
  <c r="AE52" i="77" a="1"/>
  <c r="AE52" i="77" s="1"/>
  <c r="B292" i="77" s="1"/>
  <c r="AD52" i="77"/>
  <c r="AD52" i="77" a="1"/>
  <c r="V52" i="77"/>
  <c r="P52" i="77"/>
  <c r="O52" i="77"/>
  <c r="AJ51" i="77"/>
  <c r="AK51" i="77" s="1"/>
  <c r="AF51" i="77"/>
  <c r="AE51" i="77" a="1"/>
  <c r="AE51" i="77" s="1"/>
  <c r="B291" i="77" s="1"/>
  <c r="AD51" i="77"/>
  <c r="AD51" i="77" a="1"/>
  <c r="L51" i="77"/>
  <c r="AF50" i="77"/>
  <c r="AE50" i="77" a="1"/>
  <c r="AE50" i="77" s="1"/>
  <c r="B290" i="77" s="1"/>
  <c r="AD50" i="77"/>
  <c r="AD50" i="77" a="1"/>
  <c r="AJ49" i="77"/>
  <c r="AK49" i="77" s="1"/>
  <c r="AF49" i="77"/>
  <c r="AE49" i="77" a="1"/>
  <c r="AE49" i="77" s="1"/>
  <c r="B289" i="77" s="1"/>
  <c r="AD49" i="77"/>
  <c r="AD49" i="77" a="1"/>
  <c r="V49" i="77"/>
  <c r="P49" i="77"/>
  <c r="O49" i="77"/>
  <c r="AJ48" i="77"/>
  <c r="AK48" i="77" s="1"/>
  <c r="V48" i="77"/>
  <c r="P48" i="77"/>
  <c r="O48" i="77"/>
  <c r="V47" i="77"/>
  <c r="P47" i="77"/>
  <c r="O47" i="77"/>
  <c r="V46" i="77"/>
  <c r="P46" i="77"/>
  <c r="O46" i="77"/>
  <c r="AJ45" i="77"/>
  <c r="AK45" i="77" s="1"/>
  <c r="V45" i="77"/>
  <c r="P45" i="77"/>
  <c r="O45" i="77"/>
  <c r="V44" i="77"/>
  <c r="P44" i="77"/>
  <c r="O44" i="77"/>
  <c r="AJ43" i="77"/>
  <c r="AK43" i="77" s="1"/>
  <c r="V43" i="77"/>
  <c r="P43" i="77"/>
  <c r="O43" i="77"/>
  <c r="AJ42" i="77"/>
  <c r="AK42" i="77" s="1"/>
  <c r="V42" i="77"/>
  <c r="P42" i="77"/>
  <c r="O42" i="77"/>
  <c r="AA41" i="77"/>
  <c r="Z41" i="77" s="1"/>
  <c r="L41" i="77"/>
  <c r="AA40" i="77"/>
  <c r="Z40" i="77" s="1"/>
  <c r="W40" i="77"/>
  <c r="W40" i="77" a="1"/>
  <c r="U40" i="77"/>
  <c r="N40" i="77"/>
  <c r="AA39" i="77"/>
  <c r="Z39" i="77" s="1"/>
  <c r="AA38" i="77"/>
  <c r="Z38" i="77" s="1"/>
  <c r="V38" i="77"/>
  <c r="P38" i="77"/>
  <c r="B25" i="77" s="1"/>
  <c r="O38" i="77"/>
  <c r="AJ37" i="77"/>
  <c r="AK37" i="77" s="1"/>
  <c r="AA37" i="77"/>
  <c r="Z37" i="77" s="1"/>
  <c r="V37" i="77"/>
  <c r="P37" i="77"/>
  <c r="AJ31" i="77" s="1"/>
  <c r="AK31" i="77" s="1"/>
  <c r="O37" i="77"/>
  <c r="AJ36" i="77"/>
  <c r="AK36" i="77" s="1"/>
  <c r="AA36" i="77"/>
  <c r="Z36" i="77" s="1"/>
  <c r="V36" i="77"/>
  <c r="P36" i="77"/>
  <c r="AJ38" i="77" s="1"/>
  <c r="AK38" i="77" s="1"/>
  <c r="O36" i="77"/>
  <c r="AJ35" i="77"/>
  <c r="AK35" i="77" s="1"/>
  <c r="AA35" i="77"/>
  <c r="Z35" i="77" s="1"/>
  <c r="L35" i="77"/>
  <c r="AA34" i="77"/>
  <c r="Z34" i="77" s="1"/>
  <c r="AA33" i="77"/>
  <c r="Z33" i="77" s="1"/>
  <c r="P33" i="77"/>
  <c r="AJ47" i="77" s="1"/>
  <c r="O33" i="77"/>
  <c r="AJ32" i="77"/>
  <c r="AK32" i="77" s="1"/>
  <c r="AA32" i="77"/>
  <c r="Z32" i="77" s="1"/>
  <c r="V32" i="77"/>
  <c r="P32" i="77"/>
  <c r="O32" i="77"/>
  <c r="AF31" i="77"/>
  <c r="AD31" i="77"/>
  <c r="AA31" i="77"/>
  <c r="Z31" i="77" s="1"/>
  <c r="P31" i="77"/>
  <c r="O31" i="77"/>
  <c r="AF30" i="77"/>
  <c r="AD30" i="77"/>
  <c r="AA30" i="77"/>
  <c r="Z30" i="77" s="1"/>
  <c r="L30" i="77"/>
  <c r="AJ29" i="77"/>
  <c r="AK29" i="77" s="1"/>
  <c r="AF29" i="77"/>
  <c r="AD29" i="77"/>
  <c r="AA29" i="77"/>
  <c r="Z29" i="77" s="1"/>
  <c r="AJ28" i="77"/>
  <c r="AK28" i="77" s="1"/>
  <c r="AF28" i="77"/>
  <c r="AD28" i="77"/>
  <c r="AA28" i="77"/>
  <c r="Z28" i="77" s="1"/>
  <c r="V28" i="77"/>
  <c r="P28" i="77"/>
  <c r="B19" i="77" s="1"/>
  <c r="O28" i="77"/>
  <c r="AJ27" i="77"/>
  <c r="AK27" i="77" s="1"/>
  <c r="AF27" i="77"/>
  <c r="AD27" i="77"/>
  <c r="AA27" i="77"/>
  <c r="Z27" i="77" s="1"/>
  <c r="V27" i="77"/>
  <c r="P27" i="77"/>
  <c r="B18" i="77" s="1"/>
  <c r="O27" i="77"/>
  <c r="AJ26" i="77"/>
  <c r="AK26" i="77" s="1"/>
  <c r="AF26" i="77"/>
  <c r="AD26" i="77"/>
  <c r="AA26" i="77"/>
  <c r="Z26" i="77" s="1"/>
  <c r="V26" i="77"/>
  <c r="P26" i="77"/>
  <c r="B17" i="77" s="1"/>
  <c r="O26" i="77"/>
  <c r="AJ25" i="77"/>
  <c r="AK25" i="77" s="1"/>
  <c r="AF25" i="77"/>
  <c r="AD25" i="77"/>
  <c r="AA25" i="77"/>
  <c r="Z25" i="77" s="1"/>
  <c r="L25" i="77"/>
  <c r="AF24" i="77"/>
  <c r="AD24" i="77"/>
  <c r="AA24" i="77"/>
  <c r="Z24" i="77" s="1"/>
  <c r="AJ23" i="77"/>
  <c r="AK23" i="77" s="1"/>
  <c r="AF23" i="77"/>
  <c r="AD23" i="77"/>
  <c r="AA23" i="77"/>
  <c r="Z23" i="77" s="1"/>
  <c r="N23" i="77"/>
  <c r="AJ22" i="77"/>
  <c r="AK22" i="77" s="1"/>
  <c r="AF22" i="77"/>
  <c r="AD22" i="77"/>
  <c r="AA22" i="77"/>
  <c r="Z22" i="77" s="1"/>
  <c r="AJ21" i="77"/>
  <c r="AK21" i="77" s="1"/>
  <c r="AF21" i="77"/>
  <c r="AD21" i="77"/>
  <c r="AA21" i="77"/>
  <c r="N21" i="77"/>
  <c r="AJ20" i="77"/>
  <c r="AK20" i="77" s="1"/>
  <c r="AF20" i="77"/>
  <c r="AD20" i="77"/>
  <c r="AA20" i="77"/>
  <c r="N20" i="77"/>
  <c r="AF19" i="77"/>
  <c r="AD19" i="77"/>
  <c r="AA19" i="77"/>
  <c r="N19" i="77"/>
  <c r="AF18" i="77"/>
  <c r="AD18" i="77"/>
  <c r="AA18" i="77"/>
  <c r="N18" i="77"/>
  <c r="AJ17" i="77"/>
  <c r="AK17" i="77" s="1"/>
  <c r="AF17" i="77"/>
  <c r="AD17" i="77"/>
  <c r="AA17" i="77"/>
  <c r="N17" i="77"/>
  <c r="AF16" i="77"/>
  <c r="AD16" i="77"/>
  <c r="AA16" i="77"/>
  <c r="N16" i="77"/>
  <c r="AF15" i="77"/>
  <c r="AD15" i="77"/>
  <c r="AA15" i="77"/>
  <c r="AF14" i="77"/>
  <c r="AD14" i="77"/>
  <c r="AA14" i="77"/>
  <c r="AF13" i="77"/>
  <c r="AD13" i="77"/>
  <c r="AA13" i="77"/>
  <c r="AJ12" i="77"/>
  <c r="AK12" i="77" s="1"/>
  <c r="AF12" i="77"/>
  <c r="AD12" i="77"/>
  <c r="AA12" i="77"/>
  <c r="N12" i="77"/>
  <c r="AJ11" i="77"/>
  <c r="AK11" i="77" s="1"/>
  <c r="AF11" i="77"/>
  <c r="AD11" i="77"/>
  <c r="AA11" i="77"/>
  <c r="N11" i="77"/>
  <c r="AJ10" i="77"/>
  <c r="AK10" i="77" s="1"/>
  <c r="AF10" i="77"/>
  <c r="AD10" i="77"/>
  <c r="AA10" i="77"/>
  <c r="N10" i="77"/>
  <c r="AF9" i="77"/>
  <c r="AD9" i="77"/>
  <c r="AA9" i="77"/>
  <c r="N9" i="77"/>
  <c r="N7" i="77" s="1"/>
  <c r="AJ8" i="77"/>
  <c r="AK8" i="77" s="1"/>
  <c r="AF8" i="77"/>
  <c r="AD8" i="77"/>
  <c r="AA8" i="77"/>
  <c r="N8" i="77"/>
  <c r="G8" i="77"/>
  <c r="D8" i="77"/>
  <c r="AJ7" i="77"/>
  <c r="AK7" i="77" s="1"/>
  <c r="AA7" i="77"/>
  <c r="D7" i="77"/>
  <c r="AA6" i="77"/>
  <c r="AJ5" i="77"/>
  <c r="AK5" i="77" s="1"/>
  <c r="AA5" i="77"/>
  <c r="N5" i="77"/>
  <c r="AA4" i="77"/>
  <c r="N4" i="77"/>
  <c r="AJ3" i="77"/>
  <c r="AK3" i="77" s="1"/>
  <c r="AA3" i="77"/>
  <c r="AJ2" i="77"/>
  <c r="AK2" i="77" s="1"/>
  <c r="AA2" i="77"/>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E288" i="76"/>
  <c r="E287" i="76"/>
  <c r="E286" i="76"/>
  <c r="E285" i="76"/>
  <c r="E284" i="76"/>
  <c r="E283" i="76"/>
  <c r="E282" i="76"/>
  <c r="E281" i="76"/>
  <c r="F244" i="76"/>
  <c r="B365" i="76" s="1"/>
  <c r="F244" i="76" a="1"/>
  <c r="H238" i="76"/>
  <c r="H237" i="76"/>
  <c r="H236" i="76"/>
  <c r="H234" i="76"/>
  <c r="F234" i="76"/>
  <c r="P218" i="76"/>
  <c r="M218" i="76"/>
  <c r="R215" i="76"/>
  <c r="Q215" i="76"/>
  <c r="P215" i="76"/>
  <c r="O215" i="76"/>
  <c r="H215" i="76"/>
  <c r="G215" i="76"/>
  <c r="R214" i="76"/>
  <c r="Q214" i="76"/>
  <c r="P214" i="76"/>
  <c r="O214" i="76"/>
  <c r="H214" i="76"/>
  <c r="G214" i="76"/>
  <c r="R213" i="76"/>
  <c r="Q213" i="76"/>
  <c r="P213" i="76"/>
  <c r="O213" i="76"/>
  <c r="H213" i="76"/>
  <c r="G213" i="76"/>
  <c r="R212" i="76"/>
  <c r="Q212" i="76"/>
  <c r="P212" i="76"/>
  <c r="O212" i="76"/>
  <c r="H212" i="76"/>
  <c r="G212" i="76"/>
  <c r="R211" i="76"/>
  <c r="Q211" i="76"/>
  <c r="P211" i="76"/>
  <c r="O211" i="76"/>
  <c r="H211" i="76"/>
  <c r="G211" i="76"/>
  <c r="R210" i="76"/>
  <c r="Q210" i="76"/>
  <c r="P210" i="76"/>
  <c r="O210" i="76"/>
  <c r="H210" i="76"/>
  <c r="G210" i="76"/>
  <c r="R209" i="76"/>
  <c r="Q209" i="76"/>
  <c r="P209" i="76"/>
  <c r="O209" i="76"/>
  <c r="H209" i="76"/>
  <c r="G209" i="76"/>
  <c r="R208" i="76"/>
  <c r="Q208" i="76"/>
  <c r="P208" i="76"/>
  <c r="O208" i="76"/>
  <c r="H208" i="76"/>
  <c r="G208" i="76"/>
  <c r="R207" i="76"/>
  <c r="Q207" i="76"/>
  <c r="P207" i="76"/>
  <c r="O207" i="76"/>
  <c r="H207" i="76"/>
  <c r="G207" i="76"/>
  <c r="R206" i="76"/>
  <c r="Q206" i="76"/>
  <c r="P206" i="76"/>
  <c r="O206" i="76"/>
  <c r="H206" i="76"/>
  <c r="G206" i="76"/>
  <c r="R203" i="76"/>
  <c r="P203" i="76"/>
  <c r="O203" i="76"/>
  <c r="G203" i="76"/>
  <c r="R202" i="76"/>
  <c r="P202" i="76"/>
  <c r="O202" i="76"/>
  <c r="G202" i="76"/>
  <c r="R201" i="76"/>
  <c r="P201" i="76"/>
  <c r="O201" i="76"/>
  <c r="G201" i="76"/>
  <c r="R200" i="76"/>
  <c r="P200" i="76"/>
  <c r="O200" i="76"/>
  <c r="G200" i="76"/>
  <c r="R199" i="76"/>
  <c r="P199" i="76"/>
  <c r="O199" i="76"/>
  <c r="G199" i="76"/>
  <c r="R198" i="76"/>
  <c r="P198" i="76"/>
  <c r="O198" i="76"/>
  <c r="G198" i="76"/>
  <c r="R197" i="76"/>
  <c r="P197" i="76"/>
  <c r="O197" i="76"/>
  <c r="G197" i="76"/>
  <c r="R196" i="76"/>
  <c r="P196" i="76"/>
  <c r="O196" i="76"/>
  <c r="G196" i="76"/>
  <c r="R195" i="76"/>
  <c r="P195" i="76"/>
  <c r="O195" i="76"/>
  <c r="G195" i="76"/>
  <c r="R194" i="76"/>
  <c r="P194" i="76"/>
  <c r="O194" i="76"/>
  <c r="G194" i="76"/>
  <c r="L193" i="76"/>
  <c r="R191" i="76"/>
  <c r="P191" i="76"/>
  <c r="O191" i="76"/>
  <c r="M191" i="76"/>
  <c r="R190" i="76"/>
  <c r="P190" i="76"/>
  <c r="O190" i="76"/>
  <c r="M190" i="76"/>
  <c r="R189" i="76"/>
  <c r="P189" i="76"/>
  <c r="O189" i="76"/>
  <c r="M189" i="76"/>
  <c r="R188" i="76"/>
  <c r="P188" i="76"/>
  <c r="O188" i="76"/>
  <c r="R187" i="76"/>
  <c r="P187" i="76"/>
  <c r="O187" i="76"/>
  <c r="M187" i="76"/>
  <c r="L186" i="76"/>
  <c r="P185" i="76"/>
  <c r="O185" i="76"/>
  <c r="I185" i="76"/>
  <c r="P184" i="76"/>
  <c r="O184" i="76"/>
  <c r="I184" i="76"/>
  <c r="R181" i="76"/>
  <c r="P181" i="76"/>
  <c r="O181" i="76"/>
  <c r="H181" i="76"/>
  <c r="R180" i="76"/>
  <c r="P180" i="76"/>
  <c r="O180" i="76"/>
  <c r="H180" i="76"/>
  <c r="R179" i="76"/>
  <c r="P179" i="76"/>
  <c r="O179" i="76"/>
  <c r="H179" i="76"/>
  <c r="R178" i="76"/>
  <c r="P178" i="76"/>
  <c r="O178" i="76"/>
  <c r="H178" i="76"/>
  <c r="R177" i="76"/>
  <c r="P177" i="76"/>
  <c r="O177" i="76"/>
  <c r="H177" i="76"/>
  <c r="L164" i="76"/>
  <c r="I164" i="76"/>
  <c r="H164" i="76"/>
  <c r="G164" i="76"/>
  <c r="F164" i="76"/>
  <c r="N163" i="76"/>
  <c r="P161" i="76"/>
  <c r="O161" i="76"/>
  <c r="P160" i="76"/>
  <c r="O160" i="76"/>
  <c r="R157" i="76"/>
  <c r="Q157" i="76"/>
  <c r="P157" i="76"/>
  <c r="O157" i="76"/>
  <c r="H157" i="76"/>
  <c r="G157" i="76"/>
  <c r="R156" i="76"/>
  <c r="Q156" i="76"/>
  <c r="P156" i="76"/>
  <c r="O156" i="76"/>
  <c r="H156" i="76"/>
  <c r="G156" i="76"/>
  <c r="AE155" i="76"/>
  <c r="R155" i="76"/>
  <c r="Q155" i="76"/>
  <c r="P155" i="76"/>
  <c r="O155" i="76"/>
  <c r="H155" i="76"/>
  <c r="G155" i="76"/>
  <c r="R154" i="76"/>
  <c r="Q154" i="76"/>
  <c r="P154" i="76"/>
  <c r="O154" i="76"/>
  <c r="H154" i="76"/>
  <c r="G154" i="76"/>
  <c r="AF153" i="76"/>
  <c r="AF153" i="76" a="1"/>
  <c r="AE153" i="76"/>
  <c r="R153" i="76"/>
  <c r="Q153" i="76"/>
  <c r="P153" i="76"/>
  <c r="O153" i="76"/>
  <c r="H153" i="76"/>
  <c r="G153" i="76"/>
  <c r="AF152" i="76" a="1"/>
  <c r="AF152" i="76" s="1"/>
  <c r="AE152" i="76"/>
  <c r="R152" i="76"/>
  <c r="Q152" i="76"/>
  <c r="P152" i="76"/>
  <c r="O152" i="76"/>
  <c r="H152" i="76"/>
  <c r="G152" i="76"/>
  <c r="AF151" i="76" a="1"/>
  <c r="AF151" i="76" s="1"/>
  <c r="AE151" i="76"/>
  <c r="R151" i="76"/>
  <c r="Q151" i="76"/>
  <c r="P151" i="76"/>
  <c r="O151" i="76"/>
  <c r="H151" i="76"/>
  <c r="G151" i="76"/>
  <c r="AF150" i="76" a="1"/>
  <c r="AF150" i="76" s="1"/>
  <c r="AE150" i="76"/>
  <c r="R150" i="76"/>
  <c r="Q150" i="76"/>
  <c r="P150" i="76"/>
  <c r="O150" i="76"/>
  <c r="H150" i="76"/>
  <c r="G150" i="76"/>
  <c r="AF149" i="76" a="1"/>
  <c r="AF149" i="76" s="1"/>
  <c r="AE149" i="76"/>
  <c r="R149" i="76"/>
  <c r="Q149" i="76"/>
  <c r="P149" i="76"/>
  <c r="O149" i="76"/>
  <c r="H149" i="76"/>
  <c r="G149" i="76"/>
  <c r="AF148" i="76" a="1"/>
  <c r="AF148" i="76" s="1"/>
  <c r="AE148" i="76"/>
  <c r="R148" i="76"/>
  <c r="Q148" i="76"/>
  <c r="P148" i="76"/>
  <c r="O148" i="76"/>
  <c r="H148" i="76"/>
  <c r="G148" i="76"/>
  <c r="AF147" i="76" a="1"/>
  <c r="AF147" i="76" s="1"/>
  <c r="AE147" i="76"/>
  <c r="R147" i="76"/>
  <c r="Q147" i="76"/>
  <c r="P147" i="76"/>
  <c r="O147" i="76"/>
  <c r="H147" i="76"/>
  <c r="G147" i="76"/>
  <c r="AF146" i="76"/>
  <c r="AF146" i="76" a="1"/>
  <c r="AE146" i="76"/>
  <c r="R146" i="76"/>
  <c r="Q146" i="76"/>
  <c r="P146" i="76"/>
  <c r="O146" i="76"/>
  <c r="H146" i="76"/>
  <c r="G146" i="76"/>
  <c r="AF145" i="76" a="1"/>
  <c r="AF145" i="76" s="1"/>
  <c r="AE145" i="76"/>
  <c r="R145" i="76"/>
  <c r="Q145" i="76"/>
  <c r="P145" i="76"/>
  <c r="O145" i="76"/>
  <c r="H145" i="76"/>
  <c r="G145" i="76"/>
  <c r="AF144" i="76" a="1"/>
  <c r="AF144" i="76" s="1"/>
  <c r="AE144" i="76"/>
  <c r="R144" i="76"/>
  <c r="Q144" i="76"/>
  <c r="P144" i="76"/>
  <c r="O144" i="76"/>
  <c r="H144" i="76"/>
  <c r="G144" i="76"/>
  <c r="AF143" i="76" a="1"/>
  <c r="AF143" i="76" s="1"/>
  <c r="AE143" i="76"/>
  <c r="R143" i="76"/>
  <c r="Q143" i="76"/>
  <c r="P143" i="76"/>
  <c r="O143" i="76"/>
  <c r="H143" i="76"/>
  <c r="G143" i="76"/>
  <c r="AF142" i="76" a="1"/>
  <c r="AF142" i="76" s="1"/>
  <c r="AE142" i="76"/>
  <c r="R142" i="76"/>
  <c r="Q142" i="76"/>
  <c r="P142" i="76"/>
  <c r="O142" i="76"/>
  <c r="H142" i="76"/>
  <c r="G142" i="76"/>
  <c r="AF141" i="76"/>
  <c r="AF141" i="76" a="1"/>
  <c r="AE141" i="76"/>
  <c r="R141" i="76"/>
  <c r="Q141" i="76"/>
  <c r="P141" i="76"/>
  <c r="O141" i="76"/>
  <c r="H141" i="76"/>
  <c r="G141" i="76"/>
  <c r="AF140" i="76"/>
  <c r="AF140" i="76" a="1"/>
  <c r="AE140" i="76"/>
  <c r="R140" i="76"/>
  <c r="Q140" i="76"/>
  <c r="P140" i="76"/>
  <c r="O140" i="76"/>
  <c r="H140" i="76"/>
  <c r="AF139" i="76" a="1"/>
  <c r="AF139" i="76" s="1"/>
  <c r="AE139" i="76"/>
  <c r="R139" i="76"/>
  <c r="Q139" i="76"/>
  <c r="P139" i="76"/>
  <c r="O139" i="76"/>
  <c r="H139" i="76"/>
  <c r="AF138" i="76" a="1"/>
  <c r="AF138" i="76" s="1"/>
  <c r="AE138" i="76"/>
  <c r="R138" i="76"/>
  <c r="Q138" i="76"/>
  <c r="P138" i="76"/>
  <c r="O138" i="76"/>
  <c r="H138" i="76"/>
  <c r="AF137" i="76" a="1"/>
  <c r="AF137" i="76" s="1"/>
  <c r="AE137" i="76"/>
  <c r="H137" i="76"/>
  <c r="R135" i="76"/>
  <c r="Q135" i="76"/>
  <c r="P135" i="76"/>
  <c r="O135" i="76"/>
  <c r="R134" i="76"/>
  <c r="Q134" i="76"/>
  <c r="P134" i="76"/>
  <c r="O134" i="76"/>
  <c r="R133" i="76"/>
  <c r="Q133" i="76"/>
  <c r="P133" i="76"/>
  <c r="O133" i="76"/>
  <c r="R132" i="76"/>
  <c r="Q132" i="76"/>
  <c r="P132" i="76"/>
  <c r="O132" i="76"/>
  <c r="R129" i="76"/>
  <c r="P129" i="76"/>
  <c r="R128" i="76"/>
  <c r="P128" i="76"/>
  <c r="R127" i="76"/>
  <c r="P127" i="76"/>
  <c r="R126" i="76"/>
  <c r="P126" i="76"/>
  <c r="P125" i="76"/>
  <c r="M124" i="76"/>
  <c r="P124" i="76" s="1"/>
  <c r="B84" i="76" s="1"/>
  <c r="AA121" i="76"/>
  <c r="Z121" i="76"/>
  <c r="AA120" i="76"/>
  <c r="Z120" i="76"/>
  <c r="P120" i="76"/>
  <c r="O120" i="76"/>
  <c r="H120" i="76"/>
  <c r="AA119" i="76"/>
  <c r="Z119" i="76"/>
  <c r="P119" i="76"/>
  <c r="O119" i="76"/>
  <c r="H119" i="76"/>
  <c r="AA118" i="76"/>
  <c r="Z118" i="76"/>
  <c r="P118" i="76"/>
  <c r="O118" i="76"/>
  <c r="H118" i="76"/>
  <c r="AA117" i="76"/>
  <c r="Z117" i="76"/>
  <c r="P117" i="76"/>
  <c r="O117" i="76"/>
  <c r="H117" i="76"/>
  <c r="AA116" i="76"/>
  <c r="Z116" i="76"/>
  <c r="P116" i="76"/>
  <c r="O116" i="76"/>
  <c r="H116" i="76"/>
  <c r="AA115" i="76"/>
  <c r="Z115" i="76"/>
  <c r="P115" i="76"/>
  <c r="O115" i="76"/>
  <c r="H115" i="76"/>
  <c r="AA114" i="76"/>
  <c r="Z114" i="76"/>
  <c r="P114" i="76"/>
  <c r="O114" i="76"/>
  <c r="H114" i="76"/>
  <c r="AA113" i="76"/>
  <c r="Z113" i="76"/>
  <c r="P113" i="76"/>
  <c r="O113" i="76"/>
  <c r="H113" i="76"/>
  <c r="AA112" i="76"/>
  <c r="Z112" i="76"/>
  <c r="P112" i="76"/>
  <c r="O112" i="76"/>
  <c r="H112" i="76"/>
  <c r="P111" i="76"/>
  <c r="O111" i="76"/>
  <c r="H111" i="76"/>
  <c r="P110" i="76"/>
  <c r="O110" i="76"/>
  <c r="H110" i="76"/>
  <c r="G110" i="76"/>
  <c r="P109" i="76"/>
  <c r="O109" i="76"/>
  <c r="H109" i="76"/>
  <c r="G109" i="76"/>
  <c r="P108" i="76"/>
  <c r="O108" i="76"/>
  <c r="H108" i="76"/>
  <c r="G108" i="76"/>
  <c r="P107" i="76"/>
  <c r="O107" i="76"/>
  <c r="H107" i="76"/>
  <c r="G107" i="76"/>
  <c r="P106" i="76"/>
  <c r="O106" i="76"/>
  <c r="H106" i="76"/>
  <c r="G106" i="76"/>
  <c r="P105" i="76"/>
  <c r="O105" i="76"/>
  <c r="H105" i="76"/>
  <c r="G105" i="76"/>
  <c r="P104" i="76"/>
  <c r="O104" i="76"/>
  <c r="H104" i="76"/>
  <c r="G104" i="76"/>
  <c r="P103" i="76"/>
  <c r="O103" i="76"/>
  <c r="H103" i="76"/>
  <c r="G103" i="76"/>
  <c r="P102" i="76"/>
  <c r="O102" i="76"/>
  <c r="H102" i="76"/>
  <c r="G102" i="76"/>
  <c r="P101" i="76"/>
  <c r="O101" i="76"/>
  <c r="H101" i="76"/>
  <c r="G101" i="76"/>
  <c r="R98" i="76"/>
  <c r="Q98" i="76"/>
  <c r="P98" i="76"/>
  <c r="O98" i="76"/>
  <c r="H98" i="76"/>
  <c r="R97" i="76"/>
  <c r="Q97" i="76"/>
  <c r="P97" i="76"/>
  <c r="O97" i="76"/>
  <c r="H97" i="76"/>
  <c r="R96" i="76"/>
  <c r="Q96" i="76"/>
  <c r="P96" i="76"/>
  <c r="O96" i="76"/>
  <c r="H96" i="76"/>
  <c r="R95" i="76"/>
  <c r="Q95" i="76"/>
  <c r="P95" i="76"/>
  <c r="O95" i="76"/>
  <c r="H95" i="76"/>
  <c r="R94" i="76"/>
  <c r="Q94" i="76"/>
  <c r="P94" i="76"/>
  <c r="O94" i="76"/>
  <c r="H94" i="76"/>
  <c r="R93" i="76"/>
  <c r="Q93" i="76"/>
  <c r="P93" i="76"/>
  <c r="O93" i="76"/>
  <c r="H93" i="76"/>
  <c r="R92" i="76"/>
  <c r="Q92" i="76"/>
  <c r="P92" i="76"/>
  <c r="O92" i="76"/>
  <c r="H92" i="76"/>
  <c r="R91" i="76"/>
  <c r="Q91" i="76"/>
  <c r="P91" i="76"/>
  <c r="O91" i="76"/>
  <c r="H91" i="76"/>
  <c r="R90" i="76"/>
  <c r="Q90" i="76"/>
  <c r="P90" i="76"/>
  <c r="O90" i="76"/>
  <c r="H90" i="76"/>
  <c r="R89" i="76"/>
  <c r="Q89" i="76"/>
  <c r="P89" i="76"/>
  <c r="O89" i="76"/>
  <c r="H89" i="76"/>
  <c r="R88" i="76"/>
  <c r="Q88" i="76"/>
  <c r="P88" i="76"/>
  <c r="O88" i="76"/>
  <c r="H88" i="76"/>
  <c r="R87" i="76"/>
  <c r="Q87" i="76"/>
  <c r="P87" i="76"/>
  <c r="O87" i="76"/>
  <c r="H87" i="76"/>
  <c r="AA86" i="76"/>
  <c r="R86" i="76"/>
  <c r="Q86" i="76"/>
  <c r="P86" i="76"/>
  <c r="O86" i="76"/>
  <c r="H86" i="76"/>
  <c r="AA85" i="76"/>
  <c r="R85" i="76"/>
  <c r="Q85" i="76"/>
  <c r="P85" i="76"/>
  <c r="O85" i="76"/>
  <c r="H85" i="76"/>
  <c r="AA84" i="76"/>
  <c r="R84" i="76"/>
  <c r="Q84" i="76"/>
  <c r="P84" i="76"/>
  <c r="O84" i="76"/>
  <c r="H84" i="76"/>
  <c r="AA83" i="76"/>
  <c r="R83" i="76"/>
  <c r="Q83" i="76"/>
  <c r="P83" i="76"/>
  <c r="O83" i="76"/>
  <c r="H83" i="76"/>
  <c r="AA82" i="76"/>
  <c r="R82" i="76"/>
  <c r="Q82" i="76"/>
  <c r="P82" i="76"/>
  <c r="O82" i="76"/>
  <c r="H82" i="76"/>
  <c r="R81" i="76"/>
  <c r="Q81" i="76"/>
  <c r="P81" i="76"/>
  <c r="O81" i="76"/>
  <c r="H81" i="76"/>
  <c r="R80" i="76"/>
  <c r="Q80" i="76"/>
  <c r="P80" i="76"/>
  <c r="O80" i="76"/>
  <c r="H80" i="76"/>
  <c r="R79" i="76"/>
  <c r="Q79" i="76"/>
  <c r="P79" i="76"/>
  <c r="O79" i="76"/>
  <c r="H79" i="76"/>
  <c r="L78" i="76"/>
  <c r="N77" i="76"/>
  <c r="O74" i="76"/>
  <c r="AF73" i="76"/>
  <c r="AE73" i="76" a="1"/>
  <c r="AE73" i="76" s="1"/>
  <c r="B313" i="76" s="1"/>
  <c r="AD73" i="76"/>
  <c r="AD73" i="76" a="1"/>
  <c r="P73" i="76"/>
  <c r="O73" i="76"/>
  <c r="AF72" i="76"/>
  <c r="AE72" i="76" a="1"/>
  <c r="AE72" i="76" s="1"/>
  <c r="B312" i="76" s="1"/>
  <c r="AD72" i="76"/>
  <c r="AD72" i="76" a="1"/>
  <c r="P72" i="76"/>
  <c r="O72" i="76"/>
  <c r="AF71" i="76"/>
  <c r="AE71" i="76" a="1"/>
  <c r="AE71" i="76" s="1"/>
  <c r="B311" i="76" s="1"/>
  <c r="AD71" i="76"/>
  <c r="AD71" i="76" a="1"/>
  <c r="N71" i="76"/>
  <c r="AF70" i="76"/>
  <c r="AE70" i="76" a="1"/>
  <c r="AE70" i="76" s="1"/>
  <c r="B310" i="76" s="1"/>
  <c r="AD70" i="76"/>
  <c r="AD70" i="76" a="1"/>
  <c r="AF69" i="76"/>
  <c r="AE69" i="76" a="1"/>
  <c r="AE69" i="76" s="1"/>
  <c r="B309" i="76" s="1"/>
  <c r="AD69" i="76"/>
  <c r="AD69" i="76" a="1"/>
  <c r="V69" i="76"/>
  <c r="P69" i="76"/>
  <c r="O69" i="76"/>
  <c r="AF68" i="76"/>
  <c r="AE68" i="76" a="1"/>
  <c r="AE68" i="76" s="1"/>
  <c r="B308" i="76" s="1"/>
  <c r="AD68" i="76"/>
  <c r="AD68" i="76" a="1"/>
  <c r="V68" i="76"/>
  <c r="P68" i="76"/>
  <c r="O68" i="76"/>
  <c r="AF67" i="76"/>
  <c r="AE67" i="76" a="1"/>
  <c r="AE67" i="76" s="1"/>
  <c r="B307" i="76" s="1"/>
  <c r="AD67" i="76"/>
  <c r="AD67" i="76" a="1"/>
  <c r="V67" i="76"/>
  <c r="P67" i="76"/>
  <c r="O67" i="76"/>
  <c r="AF66" i="76"/>
  <c r="AE66" i="76" a="1"/>
  <c r="AE66" i="76" s="1"/>
  <c r="B306" i="76" s="1"/>
  <c r="AD66" i="76"/>
  <c r="AD66" i="76" a="1"/>
  <c r="V66" i="76"/>
  <c r="P66" i="76"/>
  <c r="O66" i="76"/>
  <c r="AF65" i="76"/>
  <c r="AE65" i="76" a="1"/>
  <c r="AE65" i="76" s="1"/>
  <c r="B305" i="76" s="1"/>
  <c r="AD65" i="76"/>
  <c r="AD65" i="76" a="1"/>
  <c r="V65" i="76"/>
  <c r="P65" i="76"/>
  <c r="O65" i="76"/>
  <c r="AF64" i="76"/>
  <c r="AE64" i="76" a="1"/>
  <c r="AE64" i="76" s="1"/>
  <c r="B304" i="76" s="1"/>
  <c r="AD64" i="76"/>
  <c r="AD64" i="76" a="1"/>
  <c r="V64" i="76"/>
  <c r="P64" i="76"/>
  <c r="O64" i="76"/>
  <c r="AF63" i="76"/>
  <c r="AE63" i="76" a="1"/>
  <c r="AE63" i="76" s="1"/>
  <c r="B303" i="76" s="1"/>
  <c r="AD63" i="76"/>
  <c r="AD63" i="76" a="1"/>
  <c r="V63" i="76"/>
  <c r="P63" i="76"/>
  <c r="O63" i="76"/>
  <c r="AF62" i="76"/>
  <c r="AE62" i="76" a="1"/>
  <c r="AE62" i="76" s="1"/>
  <c r="B302" i="76" s="1"/>
  <c r="AD62" i="76"/>
  <c r="AD62" i="76" a="1"/>
  <c r="V62" i="76"/>
  <c r="P62" i="76"/>
  <c r="O62" i="76"/>
  <c r="AF61" i="76"/>
  <c r="AE61" i="76" a="1"/>
  <c r="AE61" i="76" s="1"/>
  <c r="B301" i="76" s="1"/>
  <c r="AD61" i="76"/>
  <c r="AD61" i="76" a="1"/>
  <c r="L61" i="76"/>
  <c r="AF60" i="76"/>
  <c r="AE60" i="76" a="1"/>
  <c r="AE60" i="76" s="1"/>
  <c r="B300" i="76" s="1"/>
  <c r="AD60" i="76"/>
  <c r="AD60" i="76" a="1"/>
  <c r="AF59" i="76"/>
  <c r="AE59" i="76" a="1"/>
  <c r="AE59" i="76" s="1"/>
  <c r="B299" i="76" s="1"/>
  <c r="AD59" i="76"/>
  <c r="AD59" i="76" a="1"/>
  <c r="V59" i="76"/>
  <c r="P59" i="76"/>
  <c r="O59" i="76"/>
  <c r="AJ58" i="76"/>
  <c r="AK58" i="76" s="1"/>
  <c r="AF58" i="76"/>
  <c r="AE58" i="76" a="1"/>
  <c r="AE58" i="76" s="1"/>
  <c r="B298" i="76" s="1"/>
  <c r="AD58" i="76"/>
  <c r="AD58" i="76" a="1"/>
  <c r="V58" i="76"/>
  <c r="P58" i="76"/>
  <c r="O58" i="76"/>
  <c r="AF57" i="76"/>
  <c r="AE57" i="76" a="1"/>
  <c r="AE57" i="76" s="1"/>
  <c r="B297" i="76" s="1"/>
  <c r="AD57" i="76"/>
  <c r="AD57" i="76" a="1"/>
  <c r="V57" i="76"/>
  <c r="P57" i="76"/>
  <c r="O57" i="76"/>
  <c r="AJ56" i="76"/>
  <c r="AK56" i="76" s="1"/>
  <c r="AF56" i="76"/>
  <c r="AE56" i="76" a="1"/>
  <c r="AE56" i="76" s="1"/>
  <c r="B296" i="76" s="1"/>
  <c r="AD56" i="76"/>
  <c r="AD56" i="76" a="1"/>
  <c r="V56" i="76"/>
  <c r="P56" i="76"/>
  <c r="O56" i="76"/>
  <c r="AF55" i="76"/>
  <c r="AE55" i="76" a="1"/>
  <c r="AE55" i="76" s="1"/>
  <c r="B295" i="76" s="1"/>
  <c r="AD55" i="76"/>
  <c r="AD55" i="76" a="1"/>
  <c r="V55" i="76"/>
  <c r="P55" i="76"/>
  <c r="O55" i="76"/>
  <c r="AF54" i="76"/>
  <c r="AE54" i="76" a="1"/>
  <c r="AE54" i="76" s="1"/>
  <c r="B294" i="76" s="1"/>
  <c r="AD54" i="76"/>
  <c r="AD54" i="76" a="1"/>
  <c r="V54" i="76"/>
  <c r="P54" i="76"/>
  <c r="O54" i="76"/>
  <c r="AF53" i="76"/>
  <c r="AE53" i="76" a="1"/>
  <c r="AE53" i="76" s="1"/>
  <c r="B293" i="76" s="1"/>
  <c r="AD53" i="76"/>
  <c r="AD53" i="76" a="1"/>
  <c r="V53" i="76"/>
  <c r="P53" i="76"/>
  <c r="O53" i="76"/>
  <c r="AJ52" i="76"/>
  <c r="AK52" i="76" s="1"/>
  <c r="AF52" i="76"/>
  <c r="AE52" i="76" a="1"/>
  <c r="AE52" i="76" s="1"/>
  <c r="B292" i="76" s="1"/>
  <c r="AD52" i="76"/>
  <c r="AD52" i="76" a="1"/>
  <c r="V52" i="76"/>
  <c r="P52" i="76"/>
  <c r="O52" i="76"/>
  <c r="AJ51" i="76"/>
  <c r="AK51" i="76" s="1"/>
  <c r="AF51" i="76"/>
  <c r="AE51" i="76" a="1"/>
  <c r="AE51" i="76" s="1"/>
  <c r="B291" i="76" s="1"/>
  <c r="AD51" i="76"/>
  <c r="AD51" i="76" a="1"/>
  <c r="L51" i="76"/>
  <c r="AJ49" i="76"/>
  <c r="AK49" i="76" s="1"/>
  <c r="V49" i="76"/>
  <c r="P49" i="76"/>
  <c r="O49" i="76"/>
  <c r="AJ48" i="76"/>
  <c r="AK48" i="76" s="1"/>
  <c r="V48" i="76"/>
  <c r="P48" i="76"/>
  <c r="O48" i="76"/>
  <c r="AJ47" i="76"/>
  <c r="V47" i="76"/>
  <c r="P47" i="76"/>
  <c r="O47" i="76"/>
  <c r="V46" i="76"/>
  <c r="P46" i="76"/>
  <c r="O46" i="76"/>
  <c r="AJ45" i="76"/>
  <c r="AK45" i="76" s="1"/>
  <c r="V45" i="76"/>
  <c r="P45" i="76"/>
  <c r="O45" i="76"/>
  <c r="V44" i="76"/>
  <c r="P44" i="76"/>
  <c r="O44" i="76"/>
  <c r="AJ43" i="76"/>
  <c r="AK43" i="76" s="1"/>
  <c r="V43" i="76"/>
  <c r="P43" i="76"/>
  <c r="O43" i="76"/>
  <c r="V42" i="76"/>
  <c r="P42" i="76"/>
  <c r="O42" i="76"/>
  <c r="AA41" i="76"/>
  <c r="Z41" i="76" s="1"/>
  <c r="L41" i="76"/>
  <c r="AA40" i="76"/>
  <c r="Z40" i="76" s="1"/>
  <c r="W40" i="76"/>
  <c r="W40" i="76" a="1"/>
  <c r="U40" i="76"/>
  <c r="N40" i="76"/>
  <c r="AA39" i="76"/>
  <c r="Z39" i="76" s="1"/>
  <c r="AJ38" i="76"/>
  <c r="AK38" i="76" s="1"/>
  <c r="AA38" i="76"/>
  <c r="Z38" i="76" s="1"/>
  <c r="V38" i="76"/>
  <c r="P38" i="76"/>
  <c r="B25" i="76" s="1"/>
  <c r="O38" i="76"/>
  <c r="AJ37" i="76"/>
  <c r="AK37" i="76" s="1"/>
  <c r="AA37" i="76"/>
  <c r="Z37" i="76" s="1"/>
  <c r="V37" i="76"/>
  <c r="P37" i="76"/>
  <c r="AJ31" i="76" s="1"/>
  <c r="AK31" i="76" s="1"/>
  <c r="O37" i="76"/>
  <c r="AJ36" i="76"/>
  <c r="AK36" i="76" s="1"/>
  <c r="AA36" i="76"/>
  <c r="Z36" i="76" s="1"/>
  <c r="V36" i="76"/>
  <c r="P36" i="76"/>
  <c r="B23" i="76" s="1"/>
  <c r="O36" i="76"/>
  <c r="AJ35" i="76"/>
  <c r="AK35" i="76" s="1"/>
  <c r="AA35" i="76"/>
  <c r="Z35" i="76" s="1"/>
  <c r="L35" i="76"/>
  <c r="AA34" i="76"/>
  <c r="Z34" i="76" s="1"/>
  <c r="AA33" i="76"/>
  <c r="Z33" i="76" s="1"/>
  <c r="P33" i="76"/>
  <c r="O33" i="76"/>
  <c r="AJ32" i="76"/>
  <c r="AK32" i="76" s="1"/>
  <c r="AA32" i="76"/>
  <c r="Z32" i="76" s="1"/>
  <c r="V32" i="76"/>
  <c r="P32" i="76"/>
  <c r="O32" i="76"/>
  <c r="AF31" i="76"/>
  <c r="AD31" i="76"/>
  <c r="AA31" i="76"/>
  <c r="Z31" i="76" s="1"/>
  <c r="P31" i="76"/>
  <c r="AJ50" i="76" s="1"/>
  <c r="O31" i="76"/>
  <c r="AF30" i="76"/>
  <c r="AD30" i="76"/>
  <c r="AA30" i="76"/>
  <c r="Z30" i="76" s="1"/>
  <c r="L30" i="76"/>
  <c r="AJ29" i="76"/>
  <c r="AK29" i="76" s="1"/>
  <c r="AF29" i="76"/>
  <c r="AD29" i="76"/>
  <c r="AA29" i="76"/>
  <c r="Z29" i="76" s="1"/>
  <c r="AJ28" i="76"/>
  <c r="AK28" i="76" s="1"/>
  <c r="AF28" i="76"/>
  <c r="AD28" i="76"/>
  <c r="AA28" i="76"/>
  <c r="Z28" i="76" s="1"/>
  <c r="V28" i="76"/>
  <c r="P28" i="76"/>
  <c r="AJ42" i="76" s="1"/>
  <c r="AK42" i="76" s="1"/>
  <c r="O28" i="76"/>
  <c r="AJ27" i="76"/>
  <c r="AK27" i="76" s="1"/>
  <c r="AF27" i="76"/>
  <c r="AD27" i="76"/>
  <c r="AA27" i="76"/>
  <c r="Z27" i="76" s="1"/>
  <c r="V27" i="76"/>
  <c r="P27" i="76"/>
  <c r="B18" i="76" s="1"/>
  <c r="O27" i="76"/>
  <c r="AF26" i="76"/>
  <c r="AD26" i="76"/>
  <c r="AA26" i="76"/>
  <c r="Z26" i="76" s="1"/>
  <c r="V26" i="76"/>
  <c r="P26" i="76"/>
  <c r="B17" i="76" s="1"/>
  <c r="O26" i="76"/>
  <c r="AJ25" i="76"/>
  <c r="AK25" i="76" s="1"/>
  <c r="AF25" i="76"/>
  <c r="AD25" i="76"/>
  <c r="AA25" i="76"/>
  <c r="Z25" i="76" s="1"/>
  <c r="L25" i="76"/>
  <c r="AF24" i="76"/>
  <c r="AD24" i="76"/>
  <c r="AA24" i="76"/>
  <c r="Z24" i="76" s="1"/>
  <c r="AJ23" i="76"/>
  <c r="AK23" i="76" s="1"/>
  <c r="AF23" i="76"/>
  <c r="AD23" i="76"/>
  <c r="AA23" i="76"/>
  <c r="Z23" i="76" s="1"/>
  <c r="N23" i="76"/>
  <c r="AJ22" i="76"/>
  <c r="AK22" i="76" s="1"/>
  <c r="AF22" i="76"/>
  <c r="AD22" i="76"/>
  <c r="AA22" i="76"/>
  <c r="Z22" i="76" s="1"/>
  <c r="AJ21" i="76"/>
  <c r="AK21" i="76" s="1"/>
  <c r="AF21" i="76"/>
  <c r="AD21" i="76"/>
  <c r="AA21" i="76"/>
  <c r="N21" i="76"/>
  <c r="AJ20" i="76"/>
  <c r="AK20" i="76" s="1"/>
  <c r="AF20" i="76"/>
  <c r="AD20" i="76"/>
  <c r="AA20" i="76"/>
  <c r="N20" i="76"/>
  <c r="AF19" i="76"/>
  <c r="AD19" i="76"/>
  <c r="AA19" i="76"/>
  <c r="N19" i="76"/>
  <c r="AF18" i="76"/>
  <c r="AD18" i="76"/>
  <c r="AA18" i="76"/>
  <c r="N18" i="76"/>
  <c r="AJ17" i="76"/>
  <c r="AK17" i="76" s="1"/>
  <c r="AF17" i="76"/>
  <c r="AD17" i="76"/>
  <c r="AA17" i="76"/>
  <c r="N17" i="76"/>
  <c r="AF16" i="76"/>
  <c r="AD16" i="76"/>
  <c r="AA16" i="76"/>
  <c r="N16" i="76"/>
  <c r="AF15" i="76"/>
  <c r="AD15" i="76"/>
  <c r="AA15" i="76"/>
  <c r="AF14" i="76"/>
  <c r="AD14" i="76"/>
  <c r="AA14" i="76"/>
  <c r="AF13" i="76"/>
  <c r="AD13" i="76"/>
  <c r="AA13" i="76"/>
  <c r="AJ12" i="76"/>
  <c r="AK12" i="76" s="1"/>
  <c r="AF12" i="76"/>
  <c r="AD12" i="76"/>
  <c r="AA12" i="76"/>
  <c r="N12" i="76"/>
  <c r="AJ11" i="76"/>
  <c r="AK11" i="76" s="1"/>
  <c r="AF11" i="76"/>
  <c r="AD11" i="76"/>
  <c r="AA11" i="76"/>
  <c r="N11" i="76"/>
  <c r="AJ10" i="76"/>
  <c r="AK10" i="76" s="1"/>
  <c r="AF10" i="76"/>
  <c r="AD10" i="76"/>
  <c r="AA10" i="76"/>
  <c r="N10" i="76"/>
  <c r="AF9" i="76"/>
  <c r="AD9" i="76"/>
  <c r="AA9" i="76"/>
  <c r="N9" i="76"/>
  <c r="N7" i="76" s="1"/>
  <c r="AJ8" i="76"/>
  <c r="AK8" i="76" s="1"/>
  <c r="AF8" i="76"/>
  <c r="AD8" i="76"/>
  <c r="AA8" i="76"/>
  <c r="N8" i="76"/>
  <c r="G8" i="76"/>
  <c r="D8" i="76"/>
  <c r="AJ7" i="76"/>
  <c r="AK7" i="76" s="1"/>
  <c r="AA7" i="76"/>
  <c r="D7" i="76"/>
  <c r="AA6" i="76"/>
  <c r="AJ5" i="76"/>
  <c r="AK5" i="76" s="1"/>
  <c r="AA5" i="76"/>
  <c r="N5" i="76"/>
  <c r="AA4" i="76"/>
  <c r="N4" i="76"/>
  <c r="AJ3" i="76"/>
  <c r="AK3" i="76" s="1"/>
  <c r="AA3" i="76"/>
  <c r="AJ2" i="76"/>
  <c r="AK2" i="76" s="1"/>
  <c r="AA2" i="76"/>
  <c r="E316" i="75"/>
  <c r="E315" i="75"/>
  <c r="E314" i="75"/>
  <c r="E313" i="75"/>
  <c r="E312" i="75"/>
  <c r="E311" i="75"/>
  <c r="E310" i="75"/>
  <c r="E309" i="75"/>
  <c r="E308" i="75"/>
  <c r="E307" i="75"/>
  <c r="E306" i="75"/>
  <c r="E305" i="75"/>
  <c r="E304" i="75"/>
  <c r="E303" i="75"/>
  <c r="E302" i="75"/>
  <c r="E301" i="75"/>
  <c r="E300" i="75"/>
  <c r="E299" i="75"/>
  <c r="E298" i="75"/>
  <c r="E297" i="75"/>
  <c r="E296" i="75"/>
  <c r="E295" i="75"/>
  <c r="E294" i="75"/>
  <c r="E293" i="75"/>
  <c r="E292" i="75"/>
  <c r="E291" i="75"/>
  <c r="E290" i="75"/>
  <c r="E289" i="75"/>
  <c r="E288" i="75"/>
  <c r="E287" i="75"/>
  <c r="E286" i="75"/>
  <c r="E285" i="75"/>
  <c r="E284" i="75"/>
  <c r="E283" i="75"/>
  <c r="E282" i="75"/>
  <c r="E281" i="75"/>
  <c r="F244" i="75" a="1"/>
  <c r="F244" i="75" s="1"/>
  <c r="B365" i="75" s="1"/>
  <c r="H238" i="75"/>
  <c r="H237" i="75"/>
  <c r="H236" i="75"/>
  <c r="H234" i="75"/>
  <c r="F234" i="75"/>
  <c r="P218" i="75"/>
  <c r="M218" i="75"/>
  <c r="R215" i="75"/>
  <c r="Q215" i="75"/>
  <c r="P215" i="75"/>
  <c r="O215" i="75"/>
  <c r="H215" i="75"/>
  <c r="G215" i="75"/>
  <c r="R214" i="75"/>
  <c r="Q214" i="75"/>
  <c r="P214" i="75"/>
  <c r="O214" i="75"/>
  <c r="H214" i="75"/>
  <c r="G214" i="75"/>
  <c r="R213" i="75"/>
  <c r="Q213" i="75"/>
  <c r="P213" i="75"/>
  <c r="O213" i="75"/>
  <c r="H213" i="75"/>
  <c r="G213" i="75"/>
  <c r="R212" i="75"/>
  <c r="Q212" i="75"/>
  <c r="P212" i="75"/>
  <c r="O212" i="75"/>
  <c r="H212" i="75"/>
  <c r="G212" i="75"/>
  <c r="R211" i="75"/>
  <c r="Q211" i="75"/>
  <c r="P211" i="75"/>
  <c r="O211" i="75"/>
  <c r="H211" i="75"/>
  <c r="G211" i="75"/>
  <c r="R210" i="75"/>
  <c r="Q210" i="75"/>
  <c r="P210" i="75"/>
  <c r="O210" i="75"/>
  <c r="H210" i="75"/>
  <c r="G210" i="75"/>
  <c r="R209" i="75"/>
  <c r="Q209" i="75"/>
  <c r="P209" i="75"/>
  <c r="O209" i="75"/>
  <c r="H209" i="75"/>
  <c r="G209" i="75"/>
  <c r="R208" i="75"/>
  <c r="Q208" i="75"/>
  <c r="P208" i="75"/>
  <c r="O208" i="75"/>
  <c r="H208" i="75"/>
  <c r="G208" i="75"/>
  <c r="R207" i="75"/>
  <c r="Q207" i="75"/>
  <c r="P207" i="75"/>
  <c r="O207" i="75"/>
  <c r="H207" i="75"/>
  <c r="G207" i="75"/>
  <c r="R206" i="75"/>
  <c r="Q206" i="75"/>
  <c r="P206" i="75"/>
  <c r="O206" i="75"/>
  <c r="H206" i="75"/>
  <c r="G206" i="75"/>
  <c r="R203" i="75"/>
  <c r="P203" i="75"/>
  <c r="O203" i="75"/>
  <c r="G203" i="75"/>
  <c r="R202" i="75"/>
  <c r="P202" i="75"/>
  <c r="O202" i="75"/>
  <c r="G202" i="75"/>
  <c r="R201" i="75"/>
  <c r="P201" i="75"/>
  <c r="O201" i="75"/>
  <c r="G201" i="75"/>
  <c r="R200" i="75"/>
  <c r="P200" i="75"/>
  <c r="O200" i="75"/>
  <c r="G200" i="75"/>
  <c r="R199" i="75"/>
  <c r="P199" i="75"/>
  <c r="O199" i="75"/>
  <c r="G199" i="75"/>
  <c r="R198" i="75"/>
  <c r="P198" i="75"/>
  <c r="O198" i="75"/>
  <c r="G198" i="75"/>
  <c r="R197" i="75"/>
  <c r="P197" i="75"/>
  <c r="O197" i="75"/>
  <c r="G197" i="75"/>
  <c r="R196" i="75"/>
  <c r="P196" i="75"/>
  <c r="O196" i="75"/>
  <c r="G196" i="75"/>
  <c r="R195" i="75"/>
  <c r="P195" i="75"/>
  <c r="O195" i="75"/>
  <c r="G195" i="75"/>
  <c r="R194" i="75"/>
  <c r="P194" i="75"/>
  <c r="O194" i="75"/>
  <c r="G194" i="75"/>
  <c r="L193" i="75"/>
  <c r="R191" i="75"/>
  <c r="P191" i="75"/>
  <c r="O191" i="75"/>
  <c r="M191" i="75"/>
  <c r="R190" i="75"/>
  <c r="P190" i="75"/>
  <c r="O190" i="75"/>
  <c r="M190" i="75"/>
  <c r="R189" i="75"/>
  <c r="P189" i="75"/>
  <c r="O189" i="75"/>
  <c r="M189" i="75"/>
  <c r="R188" i="75"/>
  <c r="P188" i="75"/>
  <c r="O188" i="75"/>
  <c r="R187" i="75"/>
  <c r="P187" i="75"/>
  <c r="O187" i="75"/>
  <c r="M187" i="75"/>
  <c r="L186" i="75"/>
  <c r="P185" i="75"/>
  <c r="O185" i="75"/>
  <c r="I185" i="75"/>
  <c r="P184" i="75"/>
  <c r="O184" i="75"/>
  <c r="I184" i="75"/>
  <c r="R181" i="75"/>
  <c r="P181" i="75"/>
  <c r="O181" i="75"/>
  <c r="H181" i="75"/>
  <c r="R180" i="75"/>
  <c r="P180" i="75"/>
  <c r="O180" i="75"/>
  <c r="H180" i="75"/>
  <c r="R179" i="75"/>
  <c r="P179" i="75"/>
  <c r="O179" i="75"/>
  <c r="H179" i="75"/>
  <c r="R178" i="75"/>
  <c r="P178" i="75"/>
  <c r="O178" i="75"/>
  <c r="H178" i="75"/>
  <c r="R177" i="75"/>
  <c r="P177" i="75"/>
  <c r="O177" i="75"/>
  <c r="H177" i="75"/>
  <c r="O168" i="75"/>
  <c r="P168" i="75" s="1"/>
  <c r="L164" i="75"/>
  <c r="I164" i="75"/>
  <c r="H164" i="75"/>
  <c r="G164" i="75"/>
  <c r="F164" i="75"/>
  <c r="N163" i="75"/>
  <c r="P161" i="75"/>
  <c r="O161" i="75"/>
  <c r="P160" i="75"/>
  <c r="O160" i="75"/>
  <c r="R157" i="75"/>
  <c r="Q157" i="75"/>
  <c r="P157" i="75"/>
  <c r="O157" i="75"/>
  <c r="H157" i="75"/>
  <c r="G157" i="75"/>
  <c r="R156" i="75"/>
  <c r="Q156" i="75"/>
  <c r="P156" i="75"/>
  <c r="O156" i="75"/>
  <c r="H156" i="75"/>
  <c r="G156" i="75"/>
  <c r="AE155" i="75"/>
  <c r="R155" i="75"/>
  <c r="Q155" i="75"/>
  <c r="P155" i="75"/>
  <c r="O155" i="75"/>
  <c r="H155" i="75"/>
  <c r="G155" i="75"/>
  <c r="R154" i="75"/>
  <c r="Q154" i="75"/>
  <c r="P154" i="75"/>
  <c r="O154" i="75"/>
  <c r="H154" i="75"/>
  <c r="G154" i="75"/>
  <c r="AF153" i="75" a="1"/>
  <c r="AF153" i="75" s="1"/>
  <c r="B236" i="75" s="1"/>
  <c r="AE153" i="75"/>
  <c r="R153" i="75"/>
  <c r="Q153" i="75"/>
  <c r="P153" i="75"/>
  <c r="O153" i="75"/>
  <c r="H153" i="75"/>
  <c r="G153" i="75"/>
  <c r="AF152" i="75" a="1"/>
  <c r="AF152" i="75" s="1"/>
  <c r="B235" i="75" s="1"/>
  <c r="AE152" i="75"/>
  <c r="R152" i="75"/>
  <c r="Q152" i="75"/>
  <c r="P152" i="75"/>
  <c r="O152" i="75"/>
  <c r="H152" i="75"/>
  <c r="G152" i="75"/>
  <c r="AF151" i="75" a="1"/>
  <c r="AF151" i="75" s="1"/>
  <c r="B234" i="75" s="1"/>
  <c r="AE151" i="75"/>
  <c r="R151" i="75"/>
  <c r="Q151" i="75"/>
  <c r="P151" i="75"/>
  <c r="O151" i="75"/>
  <c r="H151" i="75"/>
  <c r="G151" i="75"/>
  <c r="AF150" i="75" a="1"/>
  <c r="AF150" i="75" s="1"/>
  <c r="B233" i="75" s="1"/>
  <c r="AE150" i="75"/>
  <c r="R150" i="75"/>
  <c r="Q150" i="75"/>
  <c r="P150" i="75"/>
  <c r="O150" i="75"/>
  <c r="H150" i="75"/>
  <c r="G150" i="75"/>
  <c r="AF149" i="75" a="1"/>
  <c r="AF149" i="75" s="1"/>
  <c r="B232" i="75" s="1"/>
  <c r="AE149" i="75"/>
  <c r="R149" i="75"/>
  <c r="Q149" i="75"/>
  <c r="P149" i="75"/>
  <c r="O149" i="75"/>
  <c r="H149" i="75"/>
  <c r="G149" i="75"/>
  <c r="AF148" i="75" a="1"/>
  <c r="AF148" i="75" s="1"/>
  <c r="B231" i="75" s="1"/>
  <c r="AE148" i="75"/>
  <c r="R148" i="75"/>
  <c r="Q148" i="75"/>
  <c r="P148" i="75"/>
  <c r="O148" i="75"/>
  <c r="H148" i="75"/>
  <c r="G148" i="75"/>
  <c r="AF147" i="75" a="1"/>
  <c r="AF147" i="75" s="1"/>
  <c r="B230" i="75" s="1"/>
  <c r="AE147" i="75"/>
  <c r="R147" i="75"/>
  <c r="Q147" i="75"/>
  <c r="P147" i="75"/>
  <c r="O147" i="75"/>
  <c r="H147" i="75"/>
  <c r="G147" i="75"/>
  <c r="AF146" i="75" a="1"/>
  <c r="AF146" i="75" s="1"/>
  <c r="B229" i="75" s="1"/>
  <c r="AE146" i="75"/>
  <c r="R146" i="75"/>
  <c r="Q146" i="75"/>
  <c r="P146" i="75"/>
  <c r="O146" i="75"/>
  <c r="H146" i="75"/>
  <c r="G146" i="75"/>
  <c r="AF145" i="75" a="1"/>
  <c r="AF145" i="75" s="1"/>
  <c r="B228" i="75" s="1"/>
  <c r="AE145" i="75"/>
  <c r="R145" i="75"/>
  <c r="Q145" i="75"/>
  <c r="P145" i="75"/>
  <c r="O145" i="75"/>
  <c r="H145" i="75"/>
  <c r="G145" i="75"/>
  <c r="AF144" i="75" a="1"/>
  <c r="AF144" i="75" s="1"/>
  <c r="B227" i="75" s="1"/>
  <c r="AE144" i="75"/>
  <c r="R144" i="75"/>
  <c r="Q144" i="75"/>
  <c r="P144" i="75"/>
  <c r="O144" i="75"/>
  <c r="H144" i="75"/>
  <c r="AF143" i="75" a="1"/>
  <c r="AF143" i="75" s="1"/>
  <c r="B226" i="75" s="1"/>
  <c r="AE143" i="75"/>
  <c r="R143" i="75"/>
  <c r="Q143" i="75"/>
  <c r="P143" i="75"/>
  <c r="O143" i="75"/>
  <c r="H143" i="75"/>
  <c r="G143" i="75"/>
  <c r="AF142" i="75" a="1"/>
  <c r="AF142" i="75" s="1"/>
  <c r="B225" i="75" s="1"/>
  <c r="AE142" i="75"/>
  <c r="R142" i="75"/>
  <c r="Q142" i="75"/>
  <c r="O142" i="75"/>
  <c r="P142" i="75" s="1"/>
  <c r="H142" i="75"/>
  <c r="AF141" i="75" a="1"/>
  <c r="AF141" i="75" s="1"/>
  <c r="B224" i="75" s="1"/>
  <c r="AE141" i="75"/>
  <c r="R141" i="75"/>
  <c r="Q141" i="75"/>
  <c r="P141" i="75"/>
  <c r="O141" i="75"/>
  <c r="H141" i="75"/>
  <c r="AF140" i="75" a="1"/>
  <c r="AF140" i="75" s="1"/>
  <c r="B223" i="75" s="1"/>
  <c r="AE140" i="75"/>
  <c r="R140" i="75"/>
  <c r="Q140" i="75"/>
  <c r="O140" i="75"/>
  <c r="P140" i="75" s="1"/>
  <c r="H140" i="75"/>
  <c r="AF139" i="75" a="1"/>
  <c r="AF139" i="75" s="1"/>
  <c r="B222" i="75" s="1"/>
  <c r="AE139" i="75"/>
  <c r="R139" i="75"/>
  <c r="Q139" i="75"/>
  <c r="P139" i="75"/>
  <c r="O139" i="75"/>
  <c r="H139" i="75"/>
  <c r="R138" i="75"/>
  <c r="Q138" i="75"/>
  <c r="P138" i="75"/>
  <c r="O138" i="75"/>
  <c r="H138" i="75"/>
  <c r="H137" i="75"/>
  <c r="R135" i="75"/>
  <c r="Q135" i="75"/>
  <c r="P135" i="75"/>
  <c r="B98" i="75" s="1"/>
  <c r="O135" i="75"/>
  <c r="R134" i="75"/>
  <c r="Q134" i="75"/>
  <c r="P134" i="75"/>
  <c r="O134" i="75"/>
  <c r="R133" i="75"/>
  <c r="Q133" i="75"/>
  <c r="P133" i="75"/>
  <c r="O133" i="75"/>
  <c r="R132" i="75"/>
  <c r="Q132" i="75"/>
  <c r="P132" i="75"/>
  <c r="O132" i="75"/>
  <c r="R129" i="75"/>
  <c r="P129" i="75"/>
  <c r="R128" i="75"/>
  <c r="P128" i="75"/>
  <c r="R127" i="75"/>
  <c r="P127" i="75"/>
  <c r="R126" i="75"/>
  <c r="P126" i="75"/>
  <c r="P125" i="75"/>
  <c r="M124" i="75"/>
  <c r="P124" i="75" s="1"/>
  <c r="B84" i="75" s="1"/>
  <c r="AA121" i="75"/>
  <c r="Z121" i="75"/>
  <c r="AA120" i="75"/>
  <c r="Z120" i="75"/>
  <c r="P120" i="75"/>
  <c r="O120" i="75"/>
  <c r="H120" i="75"/>
  <c r="G120" i="75"/>
  <c r="AA119" i="75"/>
  <c r="Z119" i="75"/>
  <c r="P119" i="75"/>
  <c r="O119" i="75"/>
  <c r="H119" i="75"/>
  <c r="G119" i="75"/>
  <c r="AA118" i="75"/>
  <c r="Z118" i="75"/>
  <c r="P118" i="75"/>
  <c r="O118" i="75"/>
  <c r="H118" i="75"/>
  <c r="G118" i="75"/>
  <c r="AA117" i="75"/>
  <c r="Z117" i="75"/>
  <c r="P117" i="75"/>
  <c r="O117" i="75"/>
  <c r="H117" i="75"/>
  <c r="G117" i="75"/>
  <c r="AA116" i="75"/>
  <c r="Z116" i="75"/>
  <c r="P116" i="75"/>
  <c r="O116" i="75"/>
  <c r="H116" i="75"/>
  <c r="G116" i="75"/>
  <c r="AA115" i="75"/>
  <c r="Z115" i="75"/>
  <c r="P115" i="75"/>
  <c r="O115" i="75"/>
  <c r="H115" i="75"/>
  <c r="G115" i="75"/>
  <c r="AA114" i="75"/>
  <c r="Z114" i="75"/>
  <c r="P114" i="75"/>
  <c r="O114" i="75"/>
  <c r="H114" i="75"/>
  <c r="G114" i="75"/>
  <c r="AA113" i="75"/>
  <c r="Z113" i="75"/>
  <c r="P113" i="75"/>
  <c r="O113" i="75"/>
  <c r="H113" i="75"/>
  <c r="G113" i="75"/>
  <c r="AA112" i="75"/>
  <c r="Z112" i="75"/>
  <c r="P112" i="75"/>
  <c r="O112" i="75"/>
  <c r="H112" i="75"/>
  <c r="G112" i="75"/>
  <c r="P111" i="75"/>
  <c r="O111" i="75"/>
  <c r="H111" i="75"/>
  <c r="G111" i="75"/>
  <c r="P110" i="75"/>
  <c r="O110" i="75"/>
  <c r="H110" i="75"/>
  <c r="G110" i="75"/>
  <c r="P109" i="75"/>
  <c r="O109" i="75"/>
  <c r="H109" i="75"/>
  <c r="G109" i="75"/>
  <c r="P108" i="75"/>
  <c r="O108" i="75"/>
  <c r="H108" i="75"/>
  <c r="G108" i="75"/>
  <c r="P107" i="75"/>
  <c r="O107" i="75"/>
  <c r="H107" i="75"/>
  <c r="G107" i="75"/>
  <c r="P106" i="75"/>
  <c r="O106" i="75"/>
  <c r="H106" i="75"/>
  <c r="G106" i="75"/>
  <c r="P105" i="75"/>
  <c r="O105" i="75"/>
  <c r="H105" i="75"/>
  <c r="G105" i="75"/>
  <c r="P104" i="75"/>
  <c r="O104" i="75"/>
  <c r="H104" i="75"/>
  <c r="G104" i="75"/>
  <c r="P103" i="75"/>
  <c r="O103" i="75"/>
  <c r="H103" i="75"/>
  <c r="G103" i="75"/>
  <c r="P102" i="75"/>
  <c r="O102" i="75"/>
  <c r="H102" i="75"/>
  <c r="G102" i="75"/>
  <c r="P101" i="75"/>
  <c r="O101" i="75"/>
  <c r="H101" i="75"/>
  <c r="G101" i="75"/>
  <c r="R98" i="75"/>
  <c r="Q98" i="75"/>
  <c r="P98" i="75"/>
  <c r="O98" i="75"/>
  <c r="H98" i="75"/>
  <c r="R97" i="75"/>
  <c r="Q97" i="75"/>
  <c r="P97" i="75"/>
  <c r="O97" i="75"/>
  <c r="H97" i="75"/>
  <c r="R96" i="75"/>
  <c r="Q96" i="75"/>
  <c r="P96" i="75"/>
  <c r="O96" i="75"/>
  <c r="H96" i="75"/>
  <c r="R95" i="75"/>
  <c r="Q95" i="75"/>
  <c r="P95" i="75"/>
  <c r="O95" i="75"/>
  <c r="H95" i="75"/>
  <c r="R94" i="75"/>
  <c r="Q94" i="75"/>
  <c r="P94" i="75"/>
  <c r="O94" i="75"/>
  <c r="H94" i="75"/>
  <c r="R93" i="75"/>
  <c r="Q93" i="75"/>
  <c r="P93" i="75"/>
  <c r="O93" i="75"/>
  <c r="H93" i="75"/>
  <c r="R92" i="75"/>
  <c r="Q92" i="75"/>
  <c r="P92" i="75"/>
  <c r="O92" i="75"/>
  <c r="H92" i="75"/>
  <c r="R91" i="75"/>
  <c r="Q91" i="75"/>
  <c r="P91" i="75"/>
  <c r="O91" i="75"/>
  <c r="H91" i="75"/>
  <c r="R90" i="75"/>
  <c r="Q90" i="75"/>
  <c r="P90" i="75"/>
  <c r="O90" i="75"/>
  <c r="H90" i="75"/>
  <c r="R89" i="75"/>
  <c r="Q89" i="75"/>
  <c r="P89" i="75"/>
  <c r="O89" i="75"/>
  <c r="H89" i="75"/>
  <c r="R88" i="75"/>
  <c r="Q88" i="75"/>
  <c r="P88" i="75"/>
  <c r="O88" i="75"/>
  <c r="H88" i="75"/>
  <c r="R87" i="75"/>
  <c r="Q87" i="75"/>
  <c r="P87" i="75"/>
  <c r="O87" i="75"/>
  <c r="H87" i="75"/>
  <c r="AA86" i="75"/>
  <c r="R86" i="75"/>
  <c r="Q86" i="75"/>
  <c r="P86" i="75"/>
  <c r="O86" i="75"/>
  <c r="H86" i="75"/>
  <c r="AA85" i="75"/>
  <c r="R85" i="75"/>
  <c r="Q85" i="75"/>
  <c r="P85" i="75"/>
  <c r="O85" i="75"/>
  <c r="H85" i="75"/>
  <c r="AA84" i="75"/>
  <c r="R84" i="75"/>
  <c r="Q84" i="75"/>
  <c r="P84" i="75"/>
  <c r="O84" i="75"/>
  <c r="H84" i="75"/>
  <c r="AA83" i="75"/>
  <c r="R83" i="75"/>
  <c r="Q83" i="75"/>
  <c r="P83" i="75"/>
  <c r="O83" i="75"/>
  <c r="H83" i="75"/>
  <c r="AA82" i="75"/>
  <c r="R82" i="75"/>
  <c r="Q82" i="75"/>
  <c r="P82" i="75"/>
  <c r="O82" i="75"/>
  <c r="H82" i="75"/>
  <c r="R81" i="75"/>
  <c r="Q81" i="75"/>
  <c r="P81" i="75"/>
  <c r="O81" i="75"/>
  <c r="H81" i="75"/>
  <c r="R80" i="75"/>
  <c r="Q80" i="75"/>
  <c r="P80" i="75"/>
  <c r="O80" i="75"/>
  <c r="H80" i="75"/>
  <c r="R79" i="75"/>
  <c r="Q79" i="75"/>
  <c r="P79" i="75"/>
  <c r="O79" i="75"/>
  <c r="H79" i="75"/>
  <c r="L78" i="75"/>
  <c r="N77" i="75"/>
  <c r="O74" i="75"/>
  <c r="AF73" i="75"/>
  <c r="AE73" i="75" a="1"/>
  <c r="AE73" i="75" s="1"/>
  <c r="B313" i="75" s="1"/>
  <c r="AD73" i="75"/>
  <c r="AD73" i="75" a="1"/>
  <c r="P73" i="75"/>
  <c r="O73" i="75"/>
  <c r="AF72" i="75"/>
  <c r="AE72" i="75" a="1"/>
  <c r="AE72" i="75" s="1"/>
  <c r="B312" i="75" s="1"/>
  <c r="AD72" i="75"/>
  <c r="AD72" i="75" a="1"/>
  <c r="P72" i="75"/>
  <c r="O72" i="75"/>
  <c r="AF71" i="75"/>
  <c r="AE71" i="75" a="1"/>
  <c r="AE71" i="75" s="1"/>
  <c r="B311" i="75" s="1"/>
  <c r="AD71" i="75"/>
  <c r="AD71" i="75" a="1"/>
  <c r="N71" i="75"/>
  <c r="AF70" i="75"/>
  <c r="AE70" i="75" a="1"/>
  <c r="AE70" i="75" s="1"/>
  <c r="B310" i="75" s="1"/>
  <c r="AD70" i="75"/>
  <c r="AD70" i="75" a="1"/>
  <c r="AF69" i="75"/>
  <c r="AE69" i="75" a="1"/>
  <c r="AE69" i="75" s="1"/>
  <c r="B309" i="75" s="1"/>
  <c r="AD69" i="75"/>
  <c r="AD69" i="75" a="1"/>
  <c r="V69" i="75"/>
  <c r="P69" i="75"/>
  <c r="O69" i="75"/>
  <c r="AF68" i="75"/>
  <c r="AE68" i="75" a="1"/>
  <c r="AE68" i="75" s="1"/>
  <c r="B308" i="75" s="1"/>
  <c r="AD68" i="75"/>
  <c r="AD68" i="75" a="1"/>
  <c r="V68" i="75"/>
  <c r="P68" i="75"/>
  <c r="O68" i="75"/>
  <c r="AF67" i="75"/>
  <c r="AE67" i="75" a="1"/>
  <c r="AE67" i="75" s="1"/>
  <c r="B307" i="75" s="1"/>
  <c r="AD67" i="75"/>
  <c r="AD67" i="75" a="1"/>
  <c r="V67" i="75"/>
  <c r="P67" i="75"/>
  <c r="O67" i="75"/>
  <c r="AF66" i="75"/>
  <c r="AE66" i="75" a="1"/>
  <c r="AE66" i="75" s="1"/>
  <c r="B306" i="75" s="1"/>
  <c r="AD66" i="75"/>
  <c r="AD66" i="75" a="1"/>
  <c r="V66" i="75"/>
  <c r="P66" i="75"/>
  <c r="O66" i="75"/>
  <c r="AF65" i="75"/>
  <c r="AE65" i="75" a="1"/>
  <c r="AE65" i="75" s="1"/>
  <c r="B305" i="75" s="1"/>
  <c r="AD65" i="75"/>
  <c r="AD65" i="75" a="1"/>
  <c r="V65" i="75"/>
  <c r="P65" i="75"/>
  <c r="O65" i="75"/>
  <c r="AF64" i="75"/>
  <c r="AE64" i="75" a="1"/>
  <c r="AE64" i="75" s="1"/>
  <c r="B304" i="75" s="1"/>
  <c r="AD64" i="75"/>
  <c r="AD64" i="75" a="1"/>
  <c r="V64" i="75"/>
  <c r="P64" i="75"/>
  <c r="O64" i="75"/>
  <c r="AF63" i="75"/>
  <c r="AE63" i="75" a="1"/>
  <c r="AE63" i="75" s="1"/>
  <c r="B303" i="75" s="1"/>
  <c r="AD63" i="75"/>
  <c r="AD63" i="75" a="1"/>
  <c r="V63" i="75"/>
  <c r="P63" i="75"/>
  <c r="O63" i="75"/>
  <c r="AF62" i="75"/>
  <c r="AE62" i="75" a="1"/>
  <c r="AE62" i="75" s="1"/>
  <c r="B302" i="75" s="1"/>
  <c r="AD62" i="75"/>
  <c r="AD62" i="75" a="1"/>
  <c r="V62" i="75"/>
  <c r="P62" i="75"/>
  <c r="O62" i="75"/>
  <c r="AF61" i="75"/>
  <c r="AE61" i="75" a="1"/>
  <c r="AE61" i="75" s="1"/>
  <c r="B301" i="75" s="1"/>
  <c r="AD61" i="75"/>
  <c r="AD61" i="75" a="1"/>
  <c r="L61" i="75"/>
  <c r="AF60" i="75"/>
  <c r="AE60" i="75" a="1"/>
  <c r="AE60" i="75" s="1"/>
  <c r="B300" i="75" s="1"/>
  <c r="AD60" i="75"/>
  <c r="AD60" i="75" a="1"/>
  <c r="AF59" i="75"/>
  <c r="AE59" i="75" a="1"/>
  <c r="AE59" i="75" s="1"/>
  <c r="B299" i="75" s="1"/>
  <c r="AD59" i="75"/>
  <c r="AD59" i="75" a="1"/>
  <c r="V59" i="75"/>
  <c r="P59" i="75"/>
  <c r="O59" i="75"/>
  <c r="AF58" i="75"/>
  <c r="AE58" i="75" a="1"/>
  <c r="AE58" i="75" s="1"/>
  <c r="B298" i="75" s="1"/>
  <c r="AD58" i="75"/>
  <c r="AD58" i="75" a="1"/>
  <c r="V58" i="75"/>
  <c r="P58" i="75"/>
  <c r="O58" i="75"/>
  <c r="AF57" i="75"/>
  <c r="AE57" i="75" a="1"/>
  <c r="AE57" i="75" s="1"/>
  <c r="B297" i="75" s="1"/>
  <c r="AD57" i="75"/>
  <c r="AD57" i="75" a="1"/>
  <c r="V57" i="75"/>
  <c r="P57" i="75"/>
  <c r="O57" i="75"/>
  <c r="AJ56" i="75"/>
  <c r="AK56" i="75" s="1"/>
  <c r="AF56" i="75"/>
  <c r="AE56" i="75" a="1"/>
  <c r="AE56" i="75" s="1"/>
  <c r="B296" i="75" s="1"/>
  <c r="AD56" i="75"/>
  <c r="AD56" i="75" a="1"/>
  <c r="V56" i="75"/>
  <c r="P56" i="75"/>
  <c r="O56" i="75"/>
  <c r="AF55" i="75"/>
  <c r="AE55" i="75" a="1"/>
  <c r="AE55" i="75" s="1"/>
  <c r="B295" i="75" s="1"/>
  <c r="AD55" i="75"/>
  <c r="AD55" i="75" a="1"/>
  <c r="V55" i="75"/>
  <c r="P55" i="75"/>
  <c r="O55" i="75"/>
  <c r="AF54" i="75"/>
  <c r="AE54" i="75" a="1"/>
  <c r="AE54" i="75" s="1"/>
  <c r="B294" i="75" s="1"/>
  <c r="AD54" i="75"/>
  <c r="AD54" i="75" a="1"/>
  <c r="V54" i="75"/>
  <c r="P54" i="75"/>
  <c r="O54" i="75"/>
  <c r="AF53" i="75"/>
  <c r="AE53" i="75" a="1"/>
  <c r="AE53" i="75" s="1"/>
  <c r="B293" i="75" s="1"/>
  <c r="AD53" i="75"/>
  <c r="AD53" i="75" a="1"/>
  <c r="V53" i="75"/>
  <c r="P53" i="75"/>
  <c r="O53" i="75"/>
  <c r="AJ52" i="75"/>
  <c r="AK52" i="75" s="1"/>
  <c r="V52" i="75"/>
  <c r="P52" i="75"/>
  <c r="O52" i="75"/>
  <c r="AJ51" i="75"/>
  <c r="AK51" i="75" s="1"/>
  <c r="L51" i="75"/>
  <c r="AJ49" i="75"/>
  <c r="AK49" i="75" s="1"/>
  <c r="V49" i="75"/>
  <c r="P49" i="75"/>
  <c r="O49" i="75"/>
  <c r="AJ48" i="75"/>
  <c r="AK48" i="75" s="1"/>
  <c r="V48" i="75"/>
  <c r="P48" i="75"/>
  <c r="O48" i="75"/>
  <c r="V47" i="75"/>
  <c r="P47" i="75"/>
  <c r="O47" i="75"/>
  <c r="V46" i="75"/>
  <c r="P46" i="75"/>
  <c r="O46" i="75"/>
  <c r="AJ45" i="75"/>
  <c r="AK45" i="75" s="1"/>
  <c r="V45" i="75"/>
  <c r="P45" i="75"/>
  <c r="O45" i="75"/>
  <c r="V44" i="75"/>
  <c r="P44" i="75"/>
  <c r="O44" i="75"/>
  <c r="AJ43" i="75"/>
  <c r="AK43" i="75" s="1"/>
  <c r="V43" i="75"/>
  <c r="P43" i="75"/>
  <c r="O43" i="75"/>
  <c r="AJ42" i="75"/>
  <c r="AK42" i="75" s="1"/>
  <c r="V42" i="75"/>
  <c r="P42" i="75"/>
  <c r="O42" i="75"/>
  <c r="AA41" i="75"/>
  <c r="Z41" i="75" s="1"/>
  <c r="L41" i="75"/>
  <c r="AA40" i="75"/>
  <c r="Z40" i="75" s="1"/>
  <c r="W40" i="75"/>
  <c r="W40" i="75" a="1"/>
  <c r="U40" i="75"/>
  <c r="N40" i="75"/>
  <c r="AA39" i="75"/>
  <c r="Z39" i="75" s="1"/>
  <c r="AA38" i="75"/>
  <c r="Z38" i="75" s="1"/>
  <c r="V38" i="75"/>
  <c r="P38" i="75"/>
  <c r="B25" i="75" s="1"/>
  <c r="O38" i="75"/>
  <c r="AJ37" i="75"/>
  <c r="AK37" i="75" s="1"/>
  <c r="AA37" i="75"/>
  <c r="Z37" i="75" s="1"/>
  <c r="V37" i="75"/>
  <c r="P37" i="75"/>
  <c r="AJ31" i="75" s="1"/>
  <c r="AK31" i="75" s="1"/>
  <c r="O37" i="75"/>
  <c r="AJ36" i="75"/>
  <c r="AK36" i="75" s="1"/>
  <c r="AA36" i="75"/>
  <c r="Z36" i="75" s="1"/>
  <c r="V36" i="75"/>
  <c r="P36" i="75"/>
  <c r="B23" i="75" s="1"/>
  <c r="O36" i="75"/>
  <c r="AJ35" i="75"/>
  <c r="AK35" i="75" s="1"/>
  <c r="AA35" i="75"/>
  <c r="Z35" i="75" s="1"/>
  <c r="L35" i="75"/>
  <c r="AA34" i="75"/>
  <c r="Z34" i="75" s="1"/>
  <c r="AA33" i="75"/>
  <c r="Z33" i="75" s="1"/>
  <c r="P33" i="75"/>
  <c r="O33" i="75"/>
  <c r="AJ32" i="75"/>
  <c r="AK32" i="75" s="1"/>
  <c r="AA32" i="75"/>
  <c r="Z32" i="75" s="1"/>
  <c r="V32" i="75"/>
  <c r="P32" i="75"/>
  <c r="B21" i="75" s="1"/>
  <c r="O32" i="75"/>
  <c r="AF31" i="75"/>
  <c r="AD31" i="75"/>
  <c r="AA31" i="75"/>
  <c r="Z31" i="75" s="1"/>
  <c r="P31" i="75"/>
  <c r="AJ50" i="75" s="1"/>
  <c r="O31" i="75"/>
  <c r="AF30" i="75"/>
  <c r="AD30" i="75"/>
  <c r="AA30" i="75"/>
  <c r="Z30" i="75" s="1"/>
  <c r="L30" i="75"/>
  <c r="AJ29" i="75"/>
  <c r="AK29" i="75" s="1"/>
  <c r="AF29" i="75"/>
  <c r="AD29" i="75"/>
  <c r="AA29" i="75"/>
  <c r="Z29" i="75" s="1"/>
  <c r="AJ28" i="75"/>
  <c r="AK28" i="75" s="1"/>
  <c r="AF28" i="75"/>
  <c r="AD28" i="75"/>
  <c r="AA28" i="75"/>
  <c r="Z28" i="75" s="1"/>
  <c r="V28" i="75"/>
  <c r="P28" i="75"/>
  <c r="B19" i="75" s="1"/>
  <c r="O28" i="75"/>
  <c r="AJ27" i="75"/>
  <c r="AK27" i="75" s="1"/>
  <c r="AF27" i="75"/>
  <c r="AD27" i="75"/>
  <c r="AA27" i="75"/>
  <c r="Z27" i="75" s="1"/>
  <c r="V27" i="75"/>
  <c r="P27" i="75"/>
  <c r="B18" i="75" s="1"/>
  <c r="O27" i="75"/>
  <c r="AF26" i="75"/>
  <c r="AD26" i="75"/>
  <c r="AA26" i="75"/>
  <c r="Z26" i="75" s="1"/>
  <c r="V26" i="75"/>
  <c r="P26" i="75"/>
  <c r="AJ26" i="75" s="1"/>
  <c r="AK26" i="75" s="1"/>
  <c r="O26" i="75"/>
  <c r="AJ25" i="75"/>
  <c r="AK25" i="75" s="1"/>
  <c r="AF25" i="75"/>
  <c r="AD25" i="75"/>
  <c r="AA25" i="75"/>
  <c r="Z25" i="75" s="1"/>
  <c r="L25" i="75"/>
  <c r="AF24" i="75"/>
  <c r="AD24" i="75"/>
  <c r="AA24" i="75"/>
  <c r="Z24" i="75" s="1"/>
  <c r="AJ23" i="75"/>
  <c r="AK23" i="75" s="1"/>
  <c r="AF23" i="75"/>
  <c r="AD23" i="75"/>
  <c r="AA23" i="75"/>
  <c r="Z23" i="75" s="1"/>
  <c r="N23" i="75"/>
  <c r="AJ22" i="75"/>
  <c r="AK22" i="75" s="1"/>
  <c r="AF22" i="75"/>
  <c r="AD22" i="75"/>
  <c r="AA22" i="75"/>
  <c r="Z22" i="75" s="1"/>
  <c r="AJ21" i="75"/>
  <c r="AK21" i="75" s="1"/>
  <c r="AF21" i="75"/>
  <c r="AD21" i="75"/>
  <c r="AA21" i="75"/>
  <c r="N21" i="75"/>
  <c r="AJ20" i="75"/>
  <c r="AK20" i="75" s="1"/>
  <c r="AF20" i="75"/>
  <c r="AD20" i="75"/>
  <c r="AA20" i="75"/>
  <c r="N20" i="75"/>
  <c r="AF19" i="75"/>
  <c r="AD19" i="75"/>
  <c r="AA19" i="75"/>
  <c r="N19" i="75"/>
  <c r="AF18" i="75"/>
  <c r="AD18" i="75"/>
  <c r="AA18" i="75"/>
  <c r="N18" i="75"/>
  <c r="AJ17" i="75"/>
  <c r="AK17" i="75" s="1"/>
  <c r="AF17" i="75"/>
  <c r="AD17" i="75"/>
  <c r="AA17" i="75"/>
  <c r="N17" i="75"/>
  <c r="AF16" i="75"/>
  <c r="AD16" i="75"/>
  <c r="AA16" i="75"/>
  <c r="N16" i="75"/>
  <c r="AF15" i="75"/>
  <c r="AD15" i="75"/>
  <c r="AA15" i="75"/>
  <c r="AF14" i="75"/>
  <c r="AD14" i="75"/>
  <c r="AA14" i="75"/>
  <c r="AF13" i="75"/>
  <c r="AD13" i="75"/>
  <c r="AA13" i="75"/>
  <c r="AJ12" i="75"/>
  <c r="AK12" i="75" s="1"/>
  <c r="AA12" i="75"/>
  <c r="N12" i="75"/>
  <c r="AJ11" i="75"/>
  <c r="AK11" i="75" s="1"/>
  <c r="AA11" i="75"/>
  <c r="N11" i="75"/>
  <c r="AJ10" i="75"/>
  <c r="AK10" i="75" s="1"/>
  <c r="AA10" i="75"/>
  <c r="N10" i="75"/>
  <c r="AA9" i="75"/>
  <c r="N9" i="75"/>
  <c r="N7" i="75" s="1"/>
  <c r="AJ8" i="75"/>
  <c r="AK8" i="75" s="1"/>
  <c r="AA8" i="75"/>
  <c r="N8" i="75"/>
  <c r="G8" i="75"/>
  <c r="D8" i="75"/>
  <c r="AJ7" i="75"/>
  <c r="AK7" i="75" s="1"/>
  <c r="AA7" i="75"/>
  <c r="D7" i="75"/>
  <c r="AA6" i="75"/>
  <c r="AJ5" i="75"/>
  <c r="AK5" i="75" s="1"/>
  <c r="AA5" i="75"/>
  <c r="N5" i="75"/>
  <c r="AA4" i="75"/>
  <c r="N4" i="75"/>
  <c r="AJ3" i="75"/>
  <c r="AK3" i="75" s="1"/>
  <c r="AA3" i="75"/>
  <c r="AJ2" i="75"/>
  <c r="AK2" i="75" s="1"/>
  <c r="AA2" i="75"/>
  <c r="E316" i="74"/>
  <c r="E315" i="74"/>
  <c r="E314" i="74"/>
  <c r="E313" i="74"/>
  <c r="E312" i="74"/>
  <c r="E311" i="74"/>
  <c r="E310" i="74"/>
  <c r="E309" i="74"/>
  <c r="E308" i="74"/>
  <c r="E307" i="74"/>
  <c r="E306" i="74"/>
  <c r="E305" i="74"/>
  <c r="E304" i="74"/>
  <c r="E303" i="74"/>
  <c r="E302" i="74"/>
  <c r="E301" i="74"/>
  <c r="E300" i="74"/>
  <c r="E299" i="74"/>
  <c r="E298" i="74"/>
  <c r="E297" i="74"/>
  <c r="E296" i="74"/>
  <c r="E295" i="74"/>
  <c r="E294" i="74"/>
  <c r="E293" i="74"/>
  <c r="E292" i="74"/>
  <c r="E291" i="74"/>
  <c r="E290" i="74"/>
  <c r="E289" i="74"/>
  <c r="E288" i="74"/>
  <c r="E287" i="74"/>
  <c r="E286" i="74"/>
  <c r="E285" i="74"/>
  <c r="E284" i="74"/>
  <c r="E283" i="74"/>
  <c r="E282" i="74"/>
  <c r="E281" i="74"/>
  <c r="F244" i="74" a="1"/>
  <c r="F244" i="74" s="1"/>
  <c r="B365" i="74" s="1"/>
  <c r="H238" i="74"/>
  <c r="H237" i="74"/>
  <c r="H236" i="74"/>
  <c r="H234" i="74"/>
  <c r="F234" i="74"/>
  <c r="P218" i="74"/>
  <c r="M218" i="74"/>
  <c r="R215" i="74"/>
  <c r="Q215" i="74"/>
  <c r="P215" i="74"/>
  <c r="O215" i="74"/>
  <c r="H215" i="74"/>
  <c r="G215" i="74"/>
  <c r="R214" i="74"/>
  <c r="Q214" i="74"/>
  <c r="P214" i="74"/>
  <c r="O214" i="74"/>
  <c r="H214" i="74"/>
  <c r="G214" i="74"/>
  <c r="R213" i="74"/>
  <c r="Q213" i="74"/>
  <c r="P213" i="74"/>
  <c r="O213" i="74"/>
  <c r="H213" i="74"/>
  <c r="G213" i="74"/>
  <c r="R212" i="74"/>
  <c r="Q212" i="74"/>
  <c r="P212" i="74"/>
  <c r="O212" i="74"/>
  <c r="H212" i="74"/>
  <c r="G212" i="74"/>
  <c r="R211" i="74"/>
  <c r="Q211" i="74"/>
  <c r="P211" i="74"/>
  <c r="O211" i="74"/>
  <c r="H211" i="74"/>
  <c r="G211" i="74"/>
  <c r="R210" i="74"/>
  <c r="Q210" i="74"/>
  <c r="P210" i="74"/>
  <c r="O210" i="74"/>
  <c r="H210" i="74"/>
  <c r="G210" i="74"/>
  <c r="R209" i="74"/>
  <c r="Q209" i="74"/>
  <c r="P209" i="74"/>
  <c r="O209" i="74"/>
  <c r="H209" i="74"/>
  <c r="G209" i="74"/>
  <c r="R208" i="74"/>
  <c r="Q208" i="74"/>
  <c r="P208" i="74"/>
  <c r="O208" i="74"/>
  <c r="H208" i="74"/>
  <c r="G208" i="74"/>
  <c r="R207" i="74"/>
  <c r="Q207" i="74"/>
  <c r="P207" i="74"/>
  <c r="O207" i="74"/>
  <c r="H207" i="74"/>
  <c r="G207" i="74"/>
  <c r="R206" i="74"/>
  <c r="Q206" i="74"/>
  <c r="P206" i="74"/>
  <c r="O206" i="74"/>
  <c r="H206" i="74"/>
  <c r="G206" i="74"/>
  <c r="R203" i="74"/>
  <c r="P203" i="74"/>
  <c r="O203" i="74"/>
  <c r="G203" i="74"/>
  <c r="R202" i="74"/>
  <c r="P202" i="74"/>
  <c r="O202" i="74"/>
  <c r="G202" i="74"/>
  <c r="R201" i="74"/>
  <c r="P201" i="74"/>
  <c r="O201" i="74"/>
  <c r="G201" i="74"/>
  <c r="R200" i="74"/>
  <c r="P200" i="74"/>
  <c r="O200" i="74"/>
  <c r="G200" i="74"/>
  <c r="R199" i="74"/>
  <c r="P199" i="74"/>
  <c r="O199" i="74"/>
  <c r="G199" i="74"/>
  <c r="R198" i="74"/>
  <c r="P198" i="74"/>
  <c r="O198" i="74"/>
  <c r="G198" i="74"/>
  <c r="R197" i="74"/>
  <c r="P197" i="74"/>
  <c r="O197" i="74"/>
  <c r="G197" i="74"/>
  <c r="R196" i="74"/>
  <c r="P196" i="74"/>
  <c r="O196" i="74"/>
  <c r="G196" i="74"/>
  <c r="R195" i="74"/>
  <c r="P195" i="74"/>
  <c r="O195" i="74"/>
  <c r="G195" i="74"/>
  <c r="R194" i="74"/>
  <c r="P194" i="74"/>
  <c r="O194" i="74"/>
  <c r="G194" i="74"/>
  <c r="L193" i="74"/>
  <c r="R191" i="74"/>
  <c r="P191" i="74"/>
  <c r="O191" i="74"/>
  <c r="M191" i="74"/>
  <c r="R190" i="74"/>
  <c r="P190" i="74"/>
  <c r="O190" i="74"/>
  <c r="M190" i="74"/>
  <c r="R189" i="74"/>
  <c r="P189" i="74"/>
  <c r="O189" i="74"/>
  <c r="M189" i="74"/>
  <c r="R188" i="74"/>
  <c r="P188" i="74"/>
  <c r="O188" i="74"/>
  <c r="R187" i="74"/>
  <c r="P187" i="74"/>
  <c r="O187" i="74"/>
  <c r="M187" i="74"/>
  <c r="L186" i="74"/>
  <c r="P185" i="74"/>
  <c r="O185" i="74"/>
  <c r="I185" i="74"/>
  <c r="P184" i="74"/>
  <c r="O184" i="74"/>
  <c r="I184" i="74"/>
  <c r="R181" i="74"/>
  <c r="P181" i="74"/>
  <c r="O181" i="74"/>
  <c r="H181" i="74"/>
  <c r="R180" i="74"/>
  <c r="P180" i="74"/>
  <c r="O180" i="74"/>
  <c r="H180" i="74"/>
  <c r="R179" i="74"/>
  <c r="P179" i="74"/>
  <c r="O179" i="74"/>
  <c r="H179" i="74"/>
  <c r="R178" i="74"/>
  <c r="P178" i="74"/>
  <c r="O178" i="74"/>
  <c r="H178" i="74"/>
  <c r="R177" i="74"/>
  <c r="P177" i="74"/>
  <c r="O177" i="74"/>
  <c r="H177" i="74"/>
  <c r="O167" i="74"/>
  <c r="P167" i="74" s="1"/>
  <c r="Y54" i="74" s="1"/>
  <c r="AA54" i="74" s="1" a="1"/>
  <c r="AA54" i="74" s="1"/>
  <c r="O166" i="74"/>
  <c r="P166" i="74" s="1"/>
  <c r="L164" i="74"/>
  <c r="I164" i="74"/>
  <c r="H164" i="74"/>
  <c r="G164" i="74"/>
  <c r="F164" i="74"/>
  <c r="O174" i="74" s="1"/>
  <c r="P174" i="74" s="1"/>
  <c r="N163" i="74"/>
  <c r="P161" i="74"/>
  <c r="O161" i="74"/>
  <c r="P160" i="74"/>
  <c r="O160" i="74"/>
  <c r="R157" i="74"/>
  <c r="Q157" i="74"/>
  <c r="P157" i="74"/>
  <c r="O157" i="74"/>
  <c r="H157" i="74"/>
  <c r="G157" i="74"/>
  <c r="R156" i="74"/>
  <c r="Q156" i="74"/>
  <c r="P156" i="74"/>
  <c r="O156" i="74"/>
  <c r="H156" i="74"/>
  <c r="G156" i="74"/>
  <c r="AE155" i="74"/>
  <c r="R155" i="74"/>
  <c r="Q155" i="74"/>
  <c r="P155" i="74"/>
  <c r="O155" i="74"/>
  <c r="H155" i="74"/>
  <c r="G155" i="74"/>
  <c r="R154" i="74"/>
  <c r="Q154" i="74"/>
  <c r="P154" i="74"/>
  <c r="O154" i="74"/>
  <c r="H154" i="74"/>
  <c r="G154" i="74"/>
  <c r="AF153" i="74"/>
  <c r="AF153" i="74" a="1"/>
  <c r="AE153" i="74"/>
  <c r="R153" i="74"/>
  <c r="Q153" i="74"/>
  <c r="P153" i="74"/>
  <c r="O153" i="74"/>
  <c r="H153" i="74"/>
  <c r="G153" i="74"/>
  <c r="AF152" i="74"/>
  <c r="AF152" i="74" a="1"/>
  <c r="AE152" i="74"/>
  <c r="R152" i="74"/>
  <c r="Q152" i="74"/>
  <c r="P152" i="74"/>
  <c r="O152" i="74"/>
  <c r="H152" i="74"/>
  <c r="G152" i="74"/>
  <c r="AF151" i="74"/>
  <c r="AF151" i="74" a="1"/>
  <c r="AE151" i="74"/>
  <c r="R151" i="74"/>
  <c r="Q151" i="74"/>
  <c r="P151" i="74"/>
  <c r="O151" i="74"/>
  <c r="H151" i="74"/>
  <c r="G151" i="74"/>
  <c r="AF150" i="74"/>
  <c r="AF150" i="74" a="1"/>
  <c r="AE150" i="74"/>
  <c r="R150" i="74"/>
  <c r="Q150" i="74"/>
  <c r="P150" i="74"/>
  <c r="O150" i="74"/>
  <c r="H150" i="74"/>
  <c r="G150" i="74"/>
  <c r="AF149" i="74"/>
  <c r="AF149" i="74" a="1"/>
  <c r="AE149" i="74"/>
  <c r="R149" i="74"/>
  <c r="Q149" i="74"/>
  <c r="P149" i="74"/>
  <c r="O149" i="74"/>
  <c r="H149" i="74"/>
  <c r="G149" i="74"/>
  <c r="AF148" i="74"/>
  <c r="AF148" i="74" a="1"/>
  <c r="AE148" i="74"/>
  <c r="R148" i="74"/>
  <c r="Q148" i="74"/>
  <c r="P148" i="74"/>
  <c r="O148" i="74"/>
  <c r="H148" i="74"/>
  <c r="G148" i="74"/>
  <c r="AF147" i="74"/>
  <c r="AF147" i="74" a="1"/>
  <c r="AE147" i="74"/>
  <c r="R147" i="74"/>
  <c r="Q147" i="74"/>
  <c r="P147" i="74"/>
  <c r="O147" i="74"/>
  <c r="H147" i="74"/>
  <c r="G147" i="74"/>
  <c r="AF146" i="74"/>
  <c r="AF146" i="74" a="1"/>
  <c r="AE146" i="74"/>
  <c r="R146" i="74"/>
  <c r="Q146" i="74"/>
  <c r="P146" i="74"/>
  <c r="O146" i="74"/>
  <c r="H146" i="74"/>
  <c r="G146" i="74"/>
  <c r="AF145" i="74"/>
  <c r="AF145" i="74" a="1"/>
  <c r="AE145" i="74"/>
  <c r="R145" i="74"/>
  <c r="Q145" i="74"/>
  <c r="P145" i="74"/>
  <c r="O145" i="74"/>
  <c r="H145" i="74"/>
  <c r="G145" i="74"/>
  <c r="AF144" i="74"/>
  <c r="AF144" i="74" a="1"/>
  <c r="AE144" i="74"/>
  <c r="R144" i="74"/>
  <c r="Q144" i="74"/>
  <c r="P144" i="74"/>
  <c r="O144" i="74"/>
  <c r="H144" i="74"/>
  <c r="AF143" i="74"/>
  <c r="AF143" i="74" a="1"/>
  <c r="AE143" i="74"/>
  <c r="R143" i="74"/>
  <c r="Q143" i="74"/>
  <c r="P143" i="74"/>
  <c r="O143" i="74"/>
  <c r="H143" i="74"/>
  <c r="G143" i="74"/>
  <c r="AF142" i="74"/>
  <c r="AF142" i="74" a="1"/>
  <c r="AE142" i="74"/>
  <c r="R142" i="74"/>
  <c r="Q142" i="74"/>
  <c r="P142" i="74"/>
  <c r="O142" i="74"/>
  <c r="H142" i="74"/>
  <c r="AF141" i="74"/>
  <c r="AF141" i="74" a="1"/>
  <c r="AE141" i="74"/>
  <c r="R141" i="74"/>
  <c r="Q141" i="74"/>
  <c r="P141" i="74"/>
  <c r="O141" i="74"/>
  <c r="H141" i="74"/>
  <c r="AF140" i="74"/>
  <c r="AF140" i="74" a="1"/>
  <c r="AE140" i="74"/>
  <c r="R140" i="74"/>
  <c r="Q140" i="74"/>
  <c r="P140" i="74"/>
  <c r="O140" i="74"/>
  <c r="H140" i="74"/>
  <c r="AF139" i="74"/>
  <c r="AF139" i="74" a="1"/>
  <c r="AE139" i="74"/>
  <c r="R139" i="74"/>
  <c r="Q139" i="74"/>
  <c r="P139" i="74"/>
  <c r="O139" i="74"/>
  <c r="H139" i="74"/>
  <c r="AF138" i="74"/>
  <c r="AF138" i="74" a="1"/>
  <c r="AE138" i="74"/>
  <c r="R138" i="74"/>
  <c r="Q138" i="74"/>
  <c r="P138" i="74"/>
  <c r="O138" i="74"/>
  <c r="H138" i="74"/>
  <c r="AF137" i="74"/>
  <c r="AF137" i="74" a="1"/>
  <c r="AE137" i="74"/>
  <c r="H137" i="74"/>
  <c r="AF136" i="74"/>
  <c r="AF136" i="74" a="1"/>
  <c r="AE136" i="74"/>
  <c r="AF135" i="74"/>
  <c r="AF135" i="74" a="1"/>
  <c r="AE135" i="74"/>
  <c r="R135" i="74"/>
  <c r="Q135" i="74"/>
  <c r="P135" i="74"/>
  <c r="O135" i="74"/>
  <c r="R134" i="74"/>
  <c r="Q134" i="74"/>
  <c r="P134" i="74"/>
  <c r="O134" i="74"/>
  <c r="R133" i="74"/>
  <c r="Q133" i="74"/>
  <c r="P133" i="74"/>
  <c r="O133" i="74"/>
  <c r="R132" i="74"/>
  <c r="Q132" i="74"/>
  <c r="P132" i="74"/>
  <c r="O132" i="74"/>
  <c r="R129" i="74"/>
  <c r="P129" i="74"/>
  <c r="R128" i="74"/>
  <c r="P128" i="74"/>
  <c r="R127" i="74"/>
  <c r="P127" i="74"/>
  <c r="R126" i="74"/>
  <c r="P126" i="74"/>
  <c r="P125" i="74"/>
  <c r="M124" i="74"/>
  <c r="P124" i="74" s="1"/>
  <c r="B84" i="74" s="1"/>
  <c r="AA121" i="74"/>
  <c r="Z121" i="74"/>
  <c r="AA120" i="74"/>
  <c r="Z120" i="74"/>
  <c r="P120" i="74"/>
  <c r="O120" i="74"/>
  <c r="H120" i="74"/>
  <c r="G120" i="74"/>
  <c r="AA119" i="74"/>
  <c r="Z119" i="74"/>
  <c r="P119" i="74"/>
  <c r="O119" i="74"/>
  <c r="H119" i="74"/>
  <c r="G119" i="74"/>
  <c r="AA118" i="74"/>
  <c r="Z118" i="74"/>
  <c r="P118" i="74"/>
  <c r="O118" i="74"/>
  <c r="H118" i="74"/>
  <c r="G118" i="74"/>
  <c r="AA117" i="74"/>
  <c r="Z117" i="74"/>
  <c r="P117" i="74"/>
  <c r="O117" i="74"/>
  <c r="H117" i="74"/>
  <c r="G117" i="74"/>
  <c r="AA116" i="74"/>
  <c r="Z116" i="74"/>
  <c r="P116" i="74"/>
  <c r="O116" i="74"/>
  <c r="H116" i="74"/>
  <c r="G116" i="74"/>
  <c r="AA115" i="74"/>
  <c r="Z115" i="74"/>
  <c r="P115" i="74"/>
  <c r="O115" i="74"/>
  <c r="H115" i="74"/>
  <c r="G115" i="74"/>
  <c r="AA114" i="74"/>
  <c r="Z114" i="74"/>
  <c r="P114" i="74"/>
  <c r="O114" i="74"/>
  <c r="H114" i="74"/>
  <c r="G114" i="74"/>
  <c r="AA113" i="74"/>
  <c r="Z113" i="74"/>
  <c r="P113" i="74"/>
  <c r="O113" i="74"/>
  <c r="H113" i="74"/>
  <c r="G113" i="74"/>
  <c r="AA112" i="74"/>
  <c r="Z112" i="74"/>
  <c r="P112" i="74"/>
  <c r="O112" i="74"/>
  <c r="H112" i="74"/>
  <c r="G112" i="74"/>
  <c r="P111" i="74"/>
  <c r="O111" i="74"/>
  <c r="H111" i="74"/>
  <c r="G111" i="74"/>
  <c r="P110" i="74"/>
  <c r="O110" i="74"/>
  <c r="H110" i="74"/>
  <c r="G110" i="74"/>
  <c r="P109" i="74"/>
  <c r="O109" i="74"/>
  <c r="H109" i="74"/>
  <c r="G109" i="74"/>
  <c r="P108" i="74"/>
  <c r="O108" i="74"/>
  <c r="H108" i="74"/>
  <c r="G108" i="74"/>
  <c r="P107" i="74"/>
  <c r="O107" i="74"/>
  <c r="H107" i="74"/>
  <c r="G107" i="74"/>
  <c r="P106" i="74"/>
  <c r="O106" i="74"/>
  <c r="H106" i="74"/>
  <c r="G106" i="74"/>
  <c r="P105" i="74"/>
  <c r="O105" i="74"/>
  <c r="H105" i="74"/>
  <c r="G105" i="74"/>
  <c r="P104" i="74"/>
  <c r="O104" i="74"/>
  <c r="H104" i="74"/>
  <c r="G104" i="74"/>
  <c r="P103" i="74"/>
  <c r="O103" i="74"/>
  <c r="H103" i="74"/>
  <c r="G103" i="74"/>
  <c r="P102" i="74"/>
  <c r="O102" i="74"/>
  <c r="H102" i="74"/>
  <c r="G102" i="74"/>
  <c r="P101" i="74"/>
  <c r="O101" i="74"/>
  <c r="H101" i="74"/>
  <c r="G101" i="74"/>
  <c r="R98" i="74"/>
  <c r="Q98" i="74"/>
  <c r="P98" i="74"/>
  <c r="O98" i="74"/>
  <c r="H98" i="74"/>
  <c r="R97" i="74"/>
  <c r="Q97" i="74"/>
  <c r="P97" i="74"/>
  <c r="O97" i="74"/>
  <c r="H97" i="74"/>
  <c r="R96" i="74"/>
  <c r="Q96" i="74"/>
  <c r="P96" i="74"/>
  <c r="O96" i="74"/>
  <c r="H96" i="74"/>
  <c r="R95" i="74"/>
  <c r="Q95" i="74"/>
  <c r="P95" i="74"/>
  <c r="O95" i="74"/>
  <c r="H95" i="74"/>
  <c r="R94" i="74"/>
  <c r="Q94" i="74"/>
  <c r="P94" i="74"/>
  <c r="O94" i="74"/>
  <c r="H94" i="74"/>
  <c r="R93" i="74"/>
  <c r="Q93" i="74"/>
  <c r="P93" i="74"/>
  <c r="O93" i="74"/>
  <c r="H93" i="74"/>
  <c r="R92" i="74"/>
  <c r="Q92" i="74"/>
  <c r="P92" i="74"/>
  <c r="O92" i="74"/>
  <c r="H92" i="74"/>
  <c r="R91" i="74"/>
  <c r="Q91" i="74"/>
  <c r="P91" i="74"/>
  <c r="O91" i="74"/>
  <c r="H91" i="74"/>
  <c r="R90" i="74"/>
  <c r="Q90" i="74"/>
  <c r="P90" i="74"/>
  <c r="O90" i="74"/>
  <c r="H90" i="74"/>
  <c r="R89" i="74"/>
  <c r="Q89" i="74"/>
  <c r="P89" i="74"/>
  <c r="O89" i="74"/>
  <c r="H89" i="74"/>
  <c r="R88" i="74"/>
  <c r="Q88" i="74"/>
  <c r="P88" i="74"/>
  <c r="O88" i="74"/>
  <c r="H88" i="74"/>
  <c r="R87" i="74"/>
  <c r="Q87" i="74"/>
  <c r="P87" i="74"/>
  <c r="O87" i="74"/>
  <c r="H87" i="74"/>
  <c r="AA86" i="74"/>
  <c r="R86" i="74"/>
  <c r="Q86" i="74"/>
  <c r="P86" i="74"/>
  <c r="O86" i="74"/>
  <c r="H86" i="74"/>
  <c r="AA85" i="74"/>
  <c r="R85" i="74"/>
  <c r="Q85" i="74"/>
  <c r="P85" i="74"/>
  <c r="O85" i="74"/>
  <c r="H85" i="74"/>
  <c r="AA84" i="74"/>
  <c r="R84" i="74"/>
  <c r="Q84" i="74"/>
  <c r="P84" i="74"/>
  <c r="O84" i="74"/>
  <c r="H84" i="74"/>
  <c r="AA83" i="74"/>
  <c r="R83" i="74"/>
  <c r="Q83" i="74"/>
  <c r="P83" i="74"/>
  <c r="O83" i="74"/>
  <c r="H83" i="74"/>
  <c r="AA82" i="74"/>
  <c r="R82" i="74"/>
  <c r="Q82" i="74"/>
  <c r="P82" i="74"/>
  <c r="O82" i="74"/>
  <c r="H82" i="74"/>
  <c r="R81" i="74"/>
  <c r="Q81" i="74"/>
  <c r="P81" i="74"/>
  <c r="O81" i="74"/>
  <c r="H81" i="74"/>
  <c r="R80" i="74"/>
  <c r="Q80" i="74"/>
  <c r="P80" i="74"/>
  <c r="O80" i="74"/>
  <c r="H80" i="74"/>
  <c r="R79" i="74"/>
  <c r="Q79" i="74"/>
  <c r="P79" i="74"/>
  <c r="O79" i="74"/>
  <c r="H79" i="74"/>
  <c r="L78" i="74"/>
  <c r="N77" i="74"/>
  <c r="O74" i="74"/>
  <c r="AF73" i="74"/>
  <c r="AE73" i="74" a="1"/>
  <c r="AE73" i="74" s="1"/>
  <c r="B313" i="74" s="1"/>
  <c r="AD73" i="74"/>
  <c r="AD73" i="74" a="1"/>
  <c r="P73" i="74"/>
  <c r="O73" i="74"/>
  <c r="AF72" i="74"/>
  <c r="AE72" i="74" a="1"/>
  <c r="AE72" i="74" s="1"/>
  <c r="B312" i="74" s="1"/>
  <c r="AD72" i="74"/>
  <c r="AD72" i="74" a="1"/>
  <c r="P72" i="74"/>
  <c r="O72" i="74"/>
  <c r="AF71" i="74"/>
  <c r="AE71" i="74" a="1"/>
  <c r="AE71" i="74" s="1"/>
  <c r="B311" i="74" s="1"/>
  <c r="AD71" i="74"/>
  <c r="AD71" i="74" a="1"/>
  <c r="N71" i="74"/>
  <c r="AF70" i="74"/>
  <c r="AE70" i="74" a="1"/>
  <c r="AE70" i="74" s="1"/>
  <c r="B310" i="74" s="1"/>
  <c r="AD70" i="74"/>
  <c r="AD70" i="74" a="1"/>
  <c r="AF69" i="74"/>
  <c r="AE69" i="74" a="1"/>
  <c r="AE69" i="74" s="1"/>
  <c r="B309" i="74" s="1"/>
  <c r="AD69" i="74"/>
  <c r="AD69" i="74" a="1"/>
  <c r="V69" i="74"/>
  <c r="P69" i="74"/>
  <c r="O69" i="74"/>
  <c r="AF68" i="74"/>
  <c r="AE68" i="74" a="1"/>
  <c r="AE68" i="74" s="1"/>
  <c r="B308" i="74" s="1"/>
  <c r="AD68" i="74"/>
  <c r="AD68" i="74" a="1"/>
  <c r="V68" i="74"/>
  <c r="P68" i="74"/>
  <c r="O68" i="74"/>
  <c r="AF67" i="74"/>
  <c r="AE67" i="74" a="1"/>
  <c r="AE67" i="74" s="1"/>
  <c r="B307" i="74" s="1"/>
  <c r="AD67" i="74"/>
  <c r="AD67" i="74" a="1"/>
  <c r="V67" i="74"/>
  <c r="P67" i="74"/>
  <c r="O67" i="74"/>
  <c r="AF66" i="74"/>
  <c r="AE66" i="74" a="1"/>
  <c r="AE66" i="74" s="1"/>
  <c r="B306" i="74" s="1"/>
  <c r="AD66" i="74"/>
  <c r="AD66" i="74" a="1"/>
  <c r="V66" i="74"/>
  <c r="P66" i="74"/>
  <c r="O66" i="74"/>
  <c r="AF65" i="74"/>
  <c r="AE65" i="74" a="1"/>
  <c r="AE65" i="74" s="1"/>
  <c r="B305" i="74" s="1"/>
  <c r="AD65" i="74"/>
  <c r="AD65" i="74" a="1"/>
  <c r="V65" i="74"/>
  <c r="P65" i="74"/>
  <c r="O65" i="74"/>
  <c r="AF64" i="74"/>
  <c r="AE64" i="74" a="1"/>
  <c r="AE64" i="74" s="1"/>
  <c r="B304" i="74" s="1"/>
  <c r="AD64" i="74"/>
  <c r="AD64" i="74" a="1"/>
  <c r="V64" i="74"/>
  <c r="P64" i="74"/>
  <c r="O64" i="74"/>
  <c r="AF63" i="74"/>
  <c r="AE63" i="74" a="1"/>
  <c r="AE63" i="74" s="1"/>
  <c r="B303" i="74" s="1"/>
  <c r="AD63" i="74"/>
  <c r="AD63" i="74" a="1"/>
  <c r="V63" i="74"/>
  <c r="P63" i="74"/>
  <c r="O63" i="74"/>
  <c r="AF62" i="74"/>
  <c r="AE62" i="74" a="1"/>
  <c r="AE62" i="74" s="1"/>
  <c r="B302" i="74" s="1"/>
  <c r="AD62" i="74"/>
  <c r="AD62" i="74" a="1"/>
  <c r="V62" i="74"/>
  <c r="P62" i="74"/>
  <c r="O62" i="74"/>
  <c r="AF61" i="74"/>
  <c r="AE61" i="74" a="1"/>
  <c r="AE61" i="74" s="1"/>
  <c r="B301" i="74" s="1"/>
  <c r="AD61" i="74"/>
  <c r="AD61" i="74" a="1"/>
  <c r="L61" i="74"/>
  <c r="AF60" i="74"/>
  <c r="AE60" i="74" a="1"/>
  <c r="AE60" i="74" s="1"/>
  <c r="B300" i="74" s="1"/>
  <c r="AD60" i="74"/>
  <c r="AD60" i="74" a="1"/>
  <c r="AF59" i="74"/>
  <c r="AE59" i="74" a="1"/>
  <c r="AE59" i="74" s="1"/>
  <c r="B299" i="74" s="1"/>
  <c r="AD59" i="74"/>
  <c r="AD59" i="74" a="1"/>
  <c r="V59" i="74"/>
  <c r="P59" i="74"/>
  <c r="O59" i="74"/>
  <c r="AF58" i="74"/>
  <c r="AE58" i="74" a="1"/>
  <c r="AE58" i="74" s="1"/>
  <c r="B298" i="74" s="1"/>
  <c r="AD58" i="74"/>
  <c r="AD58" i="74" a="1"/>
  <c r="V58" i="74"/>
  <c r="P58" i="74"/>
  <c r="O58" i="74"/>
  <c r="AF57" i="74"/>
  <c r="AE57" i="74" a="1"/>
  <c r="AE57" i="74" s="1"/>
  <c r="B297" i="74" s="1"/>
  <c r="AD57" i="74"/>
  <c r="AD57" i="74" a="1"/>
  <c r="V57" i="74"/>
  <c r="P57" i="74"/>
  <c r="O57" i="74"/>
  <c r="AJ56" i="74"/>
  <c r="AK56" i="74" s="1"/>
  <c r="AF56" i="74"/>
  <c r="AE56" i="74" a="1"/>
  <c r="AE56" i="74" s="1"/>
  <c r="B296" i="74" s="1"/>
  <c r="AD56" i="74"/>
  <c r="AD56" i="74" a="1"/>
  <c r="V56" i="74"/>
  <c r="P56" i="74"/>
  <c r="O56" i="74"/>
  <c r="AF55" i="74"/>
  <c r="AE55" i="74" a="1"/>
  <c r="AE55" i="74" s="1"/>
  <c r="B295" i="74" s="1"/>
  <c r="AD55" i="74"/>
  <c r="AD55" i="74" a="1"/>
  <c r="V55" i="74"/>
  <c r="P55" i="74"/>
  <c r="O55" i="74"/>
  <c r="V54" i="74"/>
  <c r="P54" i="74"/>
  <c r="O54" i="74"/>
  <c r="V53" i="74"/>
  <c r="P53" i="74"/>
  <c r="O53" i="74"/>
  <c r="AJ52" i="74"/>
  <c r="AK52" i="74" s="1"/>
  <c r="V52" i="74"/>
  <c r="P52" i="74"/>
  <c r="O52" i="74"/>
  <c r="AJ51" i="74"/>
  <c r="AK51" i="74" s="1"/>
  <c r="L51" i="74"/>
  <c r="AJ49" i="74"/>
  <c r="AK49" i="74" s="1"/>
  <c r="V49" i="74"/>
  <c r="P49" i="74"/>
  <c r="O49" i="74"/>
  <c r="AJ48" i="74"/>
  <c r="AK48" i="74" s="1"/>
  <c r="V48" i="74"/>
  <c r="P48" i="74"/>
  <c r="O48" i="74"/>
  <c r="V47" i="74"/>
  <c r="P47" i="74"/>
  <c r="O47" i="74"/>
  <c r="V46" i="74"/>
  <c r="P46" i="74"/>
  <c r="O46" i="74"/>
  <c r="AJ45" i="74"/>
  <c r="AK45" i="74" s="1"/>
  <c r="V45" i="74"/>
  <c r="P45" i="74"/>
  <c r="O45" i="74"/>
  <c r="V44" i="74"/>
  <c r="P44" i="74"/>
  <c r="O44" i="74"/>
  <c r="AJ43" i="74"/>
  <c r="AK43" i="74" s="1"/>
  <c r="V43" i="74"/>
  <c r="P43" i="74"/>
  <c r="O43" i="74"/>
  <c r="AJ42" i="74"/>
  <c r="AK42" i="74" s="1"/>
  <c r="V42" i="74"/>
  <c r="P42" i="74"/>
  <c r="O42" i="74"/>
  <c r="AA41" i="74"/>
  <c r="Z41" i="74" s="1"/>
  <c r="L41" i="74"/>
  <c r="AA40" i="74"/>
  <c r="Z40" i="74" s="1"/>
  <c r="W40" i="74"/>
  <c r="W40" i="74" a="1"/>
  <c r="U40" i="74"/>
  <c r="N40" i="74"/>
  <c r="AA39" i="74"/>
  <c r="Z39" i="74" s="1"/>
  <c r="AJ38" i="74"/>
  <c r="AK38" i="74" s="1"/>
  <c r="AA38" i="74"/>
  <c r="Z38" i="74" s="1"/>
  <c r="V38" i="74"/>
  <c r="P38" i="74"/>
  <c r="B25" i="74" s="1"/>
  <c r="O38" i="74"/>
  <c r="AJ37" i="74"/>
  <c r="AK37" i="74" s="1"/>
  <c r="AA37" i="74"/>
  <c r="Z37" i="74" s="1"/>
  <c r="V37" i="74"/>
  <c r="P37" i="74"/>
  <c r="B24" i="74" s="1"/>
  <c r="O37" i="74"/>
  <c r="AJ36" i="74"/>
  <c r="AK36" i="74" s="1"/>
  <c r="AA36" i="74"/>
  <c r="Z36" i="74" s="1"/>
  <c r="V36" i="74"/>
  <c r="P36" i="74"/>
  <c r="B23" i="74" s="1"/>
  <c r="O36" i="74"/>
  <c r="AJ35" i="74"/>
  <c r="AK35" i="74" s="1"/>
  <c r="AA35" i="74"/>
  <c r="Z35" i="74" s="1"/>
  <c r="L35" i="74"/>
  <c r="AA34" i="74"/>
  <c r="Z34" i="74" s="1"/>
  <c r="AA33" i="74"/>
  <c r="Z33" i="74" s="1"/>
  <c r="P33" i="74"/>
  <c r="O33" i="74"/>
  <c r="AJ32" i="74"/>
  <c r="AK32" i="74" s="1"/>
  <c r="AA32" i="74"/>
  <c r="Z32" i="74" s="1"/>
  <c r="V32" i="74"/>
  <c r="P32" i="74"/>
  <c r="B21" i="74" s="1"/>
  <c r="O32" i="74"/>
  <c r="AF31" i="74"/>
  <c r="AD31" i="74"/>
  <c r="AA31" i="74"/>
  <c r="Z31" i="74" s="1"/>
  <c r="P31" i="74"/>
  <c r="AJ50" i="74" s="1"/>
  <c r="O31" i="74"/>
  <c r="AF30" i="74"/>
  <c r="AD30" i="74"/>
  <c r="AA30" i="74"/>
  <c r="Z30" i="74" s="1"/>
  <c r="L30" i="74"/>
  <c r="AJ29" i="74"/>
  <c r="AK29" i="74" s="1"/>
  <c r="AF29" i="74"/>
  <c r="AD29" i="74"/>
  <c r="AA29" i="74"/>
  <c r="Z29" i="74" s="1"/>
  <c r="AJ28" i="74"/>
  <c r="AK28" i="74" s="1"/>
  <c r="AF28" i="74"/>
  <c r="AD28" i="74"/>
  <c r="AA28" i="74"/>
  <c r="Z28" i="74" s="1"/>
  <c r="V28" i="74"/>
  <c r="P28" i="74"/>
  <c r="B19" i="74" s="1"/>
  <c r="O28" i="74"/>
  <c r="AJ27" i="74"/>
  <c r="AK27" i="74" s="1"/>
  <c r="AF27" i="74"/>
  <c r="AD27" i="74"/>
  <c r="AA27" i="74"/>
  <c r="Z27" i="74" s="1"/>
  <c r="V27" i="74"/>
  <c r="P27" i="74"/>
  <c r="AJ58" i="74" s="1"/>
  <c r="AK58" i="74" s="1"/>
  <c r="O27" i="74"/>
  <c r="AF26" i="74"/>
  <c r="AD26" i="74"/>
  <c r="AA26" i="74"/>
  <c r="Z26" i="74" s="1"/>
  <c r="V26" i="74"/>
  <c r="P26" i="74"/>
  <c r="AJ26" i="74" s="1"/>
  <c r="AK26" i="74" s="1"/>
  <c r="O26" i="74"/>
  <c r="AJ25" i="74"/>
  <c r="AK25" i="74" s="1"/>
  <c r="AF25" i="74"/>
  <c r="AD25" i="74"/>
  <c r="AA25" i="74"/>
  <c r="Z25" i="74" s="1"/>
  <c r="L25" i="74"/>
  <c r="AF24" i="74"/>
  <c r="AD24" i="74"/>
  <c r="AA24" i="74"/>
  <c r="Z24" i="74" s="1"/>
  <c r="AJ23" i="74"/>
  <c r="AK23" i="74" s="1"/>
  <c r="AF23" i="74"/>
  <c r="AD23" i="74"/>
  <c r="AA23" i="74"/>
  <c r="Z23" i="74" s="1"/>
  <c r="N23" i="74"/>
  <c r="AJ22" i="74"/>
  <c r="AK22" i="74" s="1"/>
  <c r="AF22" i="74"/>
  <c r="AD22" i="74"/>
  <c r="AA22" i="74"/>
  <c r="Z22" i="74" s="1"/>
  <c r="AJ21" i="74"/>
  <c r="AK21" i="74" s="1"/>
  <c r="AF21" i="74"/>
  <c r="AD21" i="74"/>
  <c r="AA21" i="74"/>
  <c r="N21" i="74"/>
  <c r="AJ20" i="74"/>
  <c r="AK20" i="74" s="1"/>
  <c r="AF20" i="74"/>
  <c r="AD20" i="74"/>
  <c r="AA20" i="74"/>
  <c r="N20" i="74"/>
  <c r="AF19" i="74"/>
  <c r="AD19" i="74"/>
  <c r="AA19" i="74"/>
  <c r="N19" i="74"/>
  <c r="AF18" i="74"/>
  <c r="AD18" i="74"/>
  <c r="AA18" i="74"/>
  <c r="N18" i="74"/>
  <c r="AJ17" i="74"/>
  <c r="AK17" i="74" s="1"/>
  <c r="AF17" i="74"/>
  <c r="AD17" i="74"/>
  <c r="AA17" i="74"/>
  <c r="N17" i="74"/>
  <c r="AF16" i="74"/>
  <c r="AD16" i="74"/>
  <c r="AA16" i="74"/>
  <c r="N16" i="74"/>
  <c r="AF15" i="74"/>
  <c r="AD15" i="74"/>
  <c r="AA15" i="74"/>
  <c r="AF14" i="74"/>
  <c r="AD14" i="74"/>
  <c r="AA14" i="74"/>
  <c r="AF13" i="74"/>
  <c r="AD13" i="74"/>
  <c r="AA13" i="74"/>
  <c r="AJ12" i="74"/>
  <c r="AK12" i="74" s="1"/>
  <c r="AF12" i="74"/>
  <c r="AD12" i="74"/>
  <c r="AA12" i="74"/>
  <c r="N12" i="74"/>
  <c r="AJ11" i="74"/>
  <c r="AK11" i="74" s="1"/>
  <c r="AF11" i="74"/>
  <c r="AD11" i="74"/>
  <c r="AA11" i="74"/>
  <c r="N11" i="74"/>
  <c r="AF10" i="74"/>
  <c r="AD10" i="74"/>
  <c r="AA10" i="74"/>
  <c r="N10" i="74"/>
  <c r="AF9" i="74"/>
  <c r="AD9" i="74"/>
  <c r="AA9" i="74"/>
  <c r="N9" i="74"/>
  <c r="AJ8" i="74"/>
  <c r="AK8" i="74" s="1"/>
  <c r="AF8" i="74"/>
  <c r="AD8" i="74"/>
  <c r="AA8" i="74"/>
  <c r="N8" i="74"/>
  <c r="G8" i="74"/>
  <c r="D8" i="74"/>
  <c r="AJ7" i="74"/>
  <c r="AK7" i="74" s="1"/>
  <c r="AF7" i="74"/>
  <c r="AD7" i="74"/>
  <c r="AA7" i="74"/>
  <c r="N7" i="74"/>
  <c r="O12" i="74" s="1"/>
  <c r="D7" i="74"/>
  <c r="AA6" i="74"/>
  <c r="AJ5" i="74"/>
  <c r="AK5" i="74" s="1"/>
  <c r="AA5" i="74"/>
  <c r="N5" i="74"/>
  <c r="AA4" i="74"/>
  <c r="N4" i="74"/>
  <c r="AJ3" i="74"/>
  <c r="AK3" i="74" s="1"/>
  <c r="AA3" i="74"/>
  <c r="AJ2" i="74"/>
  <c r="AK2" i="74" s="1"/>
  <c r="AA2" i="74"/>
  <c r="E316" i="73"/>
  <c r="E315" i="73"/>
  <c r="E314" i="73"/>
  <c r="E313" i="73"/>
  <c r="E312" i="73"/>
  <c r="E311" i="73"/>
  <c r="E310" i="73"/>
  <c r="E309" i="73"/>
  <c r="E308" i="73"/>
  <c r="E307" i="73"/>
  <c r="E306" i="73"/>
  <c r="E305" i="73"/>
  <c r="E304" i="73"/>
  <c r="E303" i="73"/>
  <c r="E302" i="73"/>
  <c r="E301" i="73"/>
  <c r="E300" i="73"/>
  <c r="E299" i="73"/>
  <c r="E298" i="73"/>
  <c r="E297" i="73"/>
  <c r="E296" i="73"/>
  <c r="E295" i="73"/>
  <c r="E294" i="73"/>
  <c r="E293" i="73"/>
  <c r="E292" i="73"/>
  <c r="E291" i="73"/>
  <c r="E290" i="73"/>
  <c r="E289" i="73"/>
  <c r="E288" i="73"/>
  <c r="E287" i="73"/>
  <c r="E286" i="73"/>
  <c r="E285" i="73"/>
  <c r="E284" i="73"/>
  <c r="E283" i="73"/>
  <c r="E282" i="73"/>
  <c r="E281" i="73"/>
  <c r="H238" i="73"/>
  <c r="H237" i="73"/>
  <c r="H236" i="73"/>
  <c r="H234" i="73"/>
  <c r="F234" i="73"/>
  <c r="P218" i="73"/>
  <c r="M218" i="73"/>
  <c r="R215" i="73"/>
  <c r="Q215" i="73"/>
  <c r="P215" i="73"/>
  <c r="O215" i="73"/>
  <c r="H215" i="73"/>
  <c r="G215" i="73"/>
  <c r="R214" i="73"/>
  <c r="Q214" i="73"/>
  <c r="P214" i="73"/>
  <c r="O214" i="73"/>
  <c r="H214" i="73"/>
  <c r="G214" i="73"/>
  <c r="R213" i="73"/>
  <c r="Q213" i="73"/>
  <c r="P213" i="73"/>
  <c r="O213" i="73"/>
  <c r="H213" i="73"/>
  <c r="G213" i="73"/>
  <c r="R212" i="73"/>
  <c r="Q212" i="73"/>
  <c r="P212" i="73"/>
  <c r="O212" i="73"/>
  <c r="H212" i="73"/>
  <c r="G212" i="73"/>
  <c r="R211" i="73"/>
  <c r="Q211" i="73"/>
  <c r="P211" i="73"/>
  <c r="O211" i="73"/>
  <c r="H211" i="73"/>
  <c r="G211" i="73"/>
  <c r="R210" i="73"/>
  <c r="Q210" i="73"/>
  <c r="P210" i="73"/>
  <c r="O210" i="73"/>
  <c r="H210" i="73"/>
  <c r="G210" i="73"/>
  <c r="R209" i="73"/>
  <c r="Q209" i="73"/>
  <c r="P209" i="73"/>
  <c r="O209" i="73"/>
  <c r="H209" i="73"/>
  <c r="G209" i="73"/>
  <c r="R208" i="73"/>
  <c r="Q208" i="73"/>
  <c r="P208" i="73"/>
  <c r="O208" i="73"/>
  <c r="H208" i="73"/>
  <c r="G208" i="73"/>
  <c r="R207" i="73"/>
  <c r="Q207" i="73"/>
  <c r="P207" i="73"/>
  <c r="O207" i="73"/>
  <c r="H207" i="73"/>
  <c r="G207" i="73"/>
  <c r="R206" i="73"/>
  <c r="Q206" i="73"/>
  <c r="P206" i="73"/>
  <c r="O206" i="73"/>
  <c r="H206" i="73"/>
  <c r="G206" i="73"/>
  <c r="R203" i="73"/>
  <c r="P203" i="73"/>
  <c r="O203" i="73"/>
  <c r="G203" i="73"/>
  <c r="R202" i="73"/>
  <c r="P202" i="73"/>
  <c r="O202" i="73"/>
  <c r="G202" i="73"/>
  <c r="R201" i="73"/>
  <c r="P201" i="73"/>
  <c r="O201" i="73"/>
  <c r="G201" i="73"/>
  <c r="R200" i="73"/>
  <c r="P200" i="73"/>
  <c r="O200" i="73"/>
  <c r="G200" i="73"/>
  <c r="R199" i="73"/>
  <c r="P199" i="73"/>
  <c r="O199" i="73"/>
  <c r="G199" i="73"/>
  <c r="R198" i="73"/>
  <c r="P198" i="73"/>
  <c r="O198" i="73"/>
  <c r="G198" i="73"/>
  <c r="R197" i="73"/>
  <c r="P197" i="73"/>
  <c r="O197" i="73"/>
  <c r="G197" i="73"/>
  <c r="R196" i="73"/>
  <c r="P196" i="73"/>
  <c r="O196" i="73"/>
  <c r="G196" i="73"/>
  <c r="R195" i="73"/>
  <c r="P195" i="73"/>
  <c r="O195" i="73"/>
  <c r="G195" i="73"/>
  <c r="R194" i="73"/>
  <c r="P194" i="73"/>
  <c r="O194" i="73"/>
  <c r="G194" i="73"/>
  <c r="L193" i="73"/>
  <c r="R191" i="73"/>
  <c r="P191" i="73"/>
  <c r="O191" i="73"/>
  <c r="M191" i="73"/>
  <c r="R190" i="73"/>
  <c r="P190" i="73"/>
  <c r="O190" i="73"/>
  <c r="M190" i="73"/>
  <c r="R189" i="73"/>
  <c r="P189" i="73"/>
  <c r="O189" i="73"/>
  <c r="M189" i="73"/>
  <c r="R188" i="73"/>
  <c r="P188" i="73"/>
  <c r="O188" i="73"/>
  <c r="R187" i="73"/>
  <c r="P187" i="73"/>
  <c r="O187" i="73"/>
  <c r="M187" i="73"/>
  <c r="L186" i="73"/>
  <c r="P185" i="73"/>
  <c r="O185" i="73"/>
  <c r="I185" i="73"/>
  <c r="P184" i="73"/>
  <c r="O184" i="73"/>
  <c r="I184" i="73"/>
  <c r="R181" i="73"/>
  <c r="P181" i="73"/>
  <c r="O181" i="73"/>
  <c r="H181" i="73"/>
  <c r="R180" i="73"/>
  <c r="P180" i="73"/>
  <c r="O180" i="73"/>
  <c r="H180" i="73"/>
  <c r="R179" i="73"/>
  <c r="P179" i="73"/>
  <c r="O179" i="73"/>
  <c r="H179" i="73"/>
  <c r="R178" i="73"/>
  <c r="P178" i="73"/>
  <c r="O178" i="73"/>
  <c r="H178" i="73"/>
  <c r="R177" i="73"/>
  <c r="P177" i="73"/>
  <c r="O177" i="73"/>
  <c r="H177" i="73"/>
  <c r="L164" i="73"/>
  <c r="I164" i="73"/>
  <c r="H164" i="73"/>
  <c r="G164" i="73"/>
  <c r="F164" i="73"/>
  <c r="N163" i="73"/>
  <c r="P161" i="73"/>
  <c r="O161" i="73"/>
  <c r="P160" i="73"/>
  <c r="O160" i="73"/>
  <c r="R157" i="73"/>
  <c r="Q157" i="73"/>
  <c r="P157" i="73"/>
  <c r="O157" i="73"/>
  <c r="H157" i="73"/>
  <c r="G157" i="73"/>
  <c r="R156" i="73"/>
  <c r="Q156" i="73"/>
  <c r="P156" i="73"/>
  <c r="O156" i="73"/>
  <c r="H156" i="73"/>
  <c r="G156" i="73"/>
  <c r="AE155" i="73"/>
  <c r="R155" i="73"/>
  <c r="Q155" i="73"/>
  <c r="P155" i="73"/>
  <c r="O155" i="73"/>
  <c r="H155" i="73"/>
  <c r="G155" i="73"/>
  <c r="R154" i="73"/>
  <c r="Q154" i="73"/>
  <c r="P154" i="73"/>
  <c r="O154" i="73"/>
  <c r="H154" i="73"/>
  <c r="G154" i="73"/>
  <c r="AF153" i="73"/>
  <c r="AF153" i="73" a="1"/>
  <c r="AE153" i="73"/>
  <c r="R153" i="73"/>
  <c r="Q153" i="73"/>
  <c r="P153" i="73"/>
  <c r="O153" i="73"/>
  <c r="H153" i="73"/>
  <c r="G153" i="73"/>
  <c r="AF152" i="73"/>
  <c r="AF152" i="73" a="1"/>
  <c r="AE152" i="73"/>
  <c r="R152" i="73"/>
  <c r="Q152" i="73"/>
  <c r="P152" i="73"/>
  <c r="O152" i="73"/>
  <c r="H152" i="73"/>
  <c r="G152" i="73"/>
  <c r="AF151" i="73"/>
  <c r="AF151" i="73" a="1"/>
  <c r="AE151" i="73"/>
  <c r="R151" i="73"/>
  <c r="Q151" i="73"/>
  <c r="P151" i="73"/>
  <c r="O151" i="73"/>
  <c r="H151" i="73"/>
  <c r="G151" i="73"/>
  <c r="AF150" i="73"/>
  <c r="AF150" i="73" a="1"/>
  <c r="AE150" i="73"/>
  <c r="R150" i="73"/>
  <c r="Q150" i="73"/>
  <c r="P150" i="73"/>
  <c r="O150" i="73"/>
  <c r="H150" i="73"/>
  <c r="G150" i="73"/>
  <c r="AF149" i="73"/>
  <c r="AF149" i="73" a="1"/>
  <c r="AE149" i="73"/>
  <c r="R149" i="73"/>
  <c r="Q149" i="73"/>
  <c r="P149" i="73"/>
  <c r="O149" i="73"/>
  <c r="H149" i="73"/>
  <c r="G149" i="73"/>
  <c r="AF148" i="73"/>
  <c r="AF148" i="73" a="1"/>
  <c r="AE148" i="73"/>
  <c r="R148" i="73"/>
  <c r="Q148" i="73"/>
  <c r="P148" i="73"/>
  <c r="O148" i="73"/>
  <c r="H148" i="73"/>
  <c r="G148" i="73"/>
  <c r="AF147" i="73"/>
  <c r="AF147" i="73" a="1"/>
  <c r="AE147" i="73"/>
  <c r="R147" i="73"/>
  <c r="Q147" i="73"/>
  <c r="P147" i="73"/>
  <c r="O147" i="73"/>
  <c r="H147" i="73"/>
  <c r="G147" i="73"/>
  <c r="AF146" i="73"/>
  <c r="AF146" i="73" a="1"/>
  <c r="AE146" i="73"/>
  <c r="R146" i="73"/>
  <c r="Q146" i="73"/>
  <c r="P146" i="73"/>
  <c r="O146" i="73"/>
  <c r="H146" i="73"/>
  <c r="G146" i="73"/>
  <c r="AF145" i="73"/>
  <c r="AF145" i="73" a="1"/>
  <c r="AE145" i="73"/>
  <c r="R145" i="73"/>
  <c r="Q145" i="73"/>
  <c r="P145" i="73"/>
  <c r="O145" i="73"/>
  <c r="H145" i="73"/>
  <c r="G145" i="73"/>
  <c r="AF144" i="73"/>
  <c r="AF144" i="73" a="1"/>
  <c r="AE144" i="73"/>
  <c r="R144" i="73"/>
  <c r="Q144" i="73"/>
  <c r="P144" i="73"/>
  <c r="O144" i="73"/>
  <c r="H144" i="73"/>
  <c r="AF143" i="73"/>
  <c r="AF143" i="73" a="1"/>
  <c r="AE143" i="73"/>
  <c r="R143" i="73"/>
  <c r="Q143" i="73"/>
  <c r="P143" i="73"/>
  <c r="O143" i="73"/>
  <c r="H143" i="73"/>
  <c r="G143" i="73"/>
  <c r="AF142" i="73"/>
  <c r="AF142" i="73" a="1"/>
  <c r="AE142" i="73"/>
  <c r="R142" i="73"/>
  <c r="Q142" i="73"/>
  <c r="P142" i="73"/>
  <c r="O142" i="73"/>
  <c r="H142" i="73"/>
  <c r="AF141" i="73"/>
  <c r="AF141" i="73" a="1"/>
  <c r="AE141" i="73"/>
  <c r="R141" i="73"/>
  <c r="Q141" i="73"/>
  <c r="P141" i="73"/>
  <c r="O141" i="73"/>
  <c r="H141" i="73"/>
  <c r="AF140" i="73"/>
  <c r="AF140" i="73" a="1"/>
  <c r="AE140" i="73"/>
  <c r="R140" i="73"/>
  <c r="Q140" i="73"/>
  <c r="P140" i="73"/>
  <c r="O140" i="73"/>
  <c r="H140" i="73"/>
  <c r="AF139" i="73"/>
  <c r="AF139" i="73" a="1"/>
  <c r="AE139" i="73"/>
  <c r="R139" i="73"/>
  <c r="Q139" i="73"/>
  <c r="P139" i="73"/>
  <c r="O139" i="73"/>
  <c r="H139" i="73"/>
  <c r="R138" i="73"/>
  <c r="Q138" i="73"/>
  <c r="P138" i="73"/>
  <c r="O138" i="73"/>
  <c r="H138" i="73"/>
  <c r="H137" i="73"/>
  <c r="R135" i="73"/>
  <c r="Q135" i="73"/>
  <c r="P135" i="73"/>
  <c r="B98" i="73" s="1"/>
  <c r="O135" i="73"/>
  <c r="R134" i="73"/>
  <c r="Q134" i="73"/>
  <c r="P134" i="73"/>
  <c r="O134" i="73"/>
  <c r="R133" i="73"/>
  <c r="Q133" i="73"/>
  <c r="P133" i="73"/>
  <c r="O133" i="73"/>
  <c r="R132" i="73"/>
  <c r="Q132" i="73"/>
  <c r="P132" i="73"/>
  <c r="O132" i="73"/>
  <c r="P129" i="73"/>
  <c r="P128" i="73"/>
  <c r="P127" i="73"/>
  <c r="R126" i="73"/>
  <c r="P126" i="73"/>
  <c r="P125" i="73"/>
  <c r="M124" i="73"/>
  <c r="P124" i="73" s="1"/>
  <c r="B84" i="73" s="1"/>
  <c r="AA121" i="73"/>
  <c r="Z121" i="73"/>
  <c r="AA120" i="73"/>
  <c r="Z120" i="73"/>
  <c r="P120" i="73"/>
  <c r="O120" i="73"/>
  <c r="H120" i="73"/>
  <c r="G120" i="73"/>
  <c r="AA119" i="73"/>
  <c r="Z119" i="73"/>
  <c r="P119" i="73"/>
  <c r="O119" i="73"/>
  <c r="H119" i="73"/>
  <c r="G119" i="73"/>
  <c r="AA118" i="73"/>
  <c r="Z118" i="73"/>
  <c r="P118" i="73"/>
  <c r="O118" i="73"/>
  <c r="H118" i="73"/>
  <c r="G118" i="73"/>
  <c r="AA117" i="73"/>
  <c r="Z117" i="73"/>
  <c r="P117" i="73"/>
  <c r="O117" i="73"/>
  <c r="H117" i="73"/>
  <c r="G117" i="73"/>
  <c r="AA116" i="73"/>
  <c r="Z116" i="73"/>
  <c r="P116" i="73"/>
  <c r="O116" i="73"/>
  <c r="H116" i="73"/>
  <c r="G116" i="73"/>
  <c r="AA115" i="73"/>
  <c r="Z115" i="73"/>
  <c r="P115" i="73"/>
  <c r="O115" i="73"/>
  <c r="H115" i="73"/>
  <c r="G115" i="73"/>
  <c r="AA114" i="73"/>
  <c r="Z114" i="73"/>
  <c r="P114" i="73"/>
  <c r="O114" i="73"/>
  <c r="H114" i="73"/>
  <c r="G114" i="73"/>
  <c r="AA113" i="73"/>
  <c r="Z113" i="73"/>
  <c r="P113" i="73"/>
  <c r="O113" i="73"/>
  <c r="H113" i="73"/>
  <c r="G113" i="73"/>
  <c r="AA112" i="73"/>
  <c r="Z112" i="73"/>
  <c r="P112" i="73"/>
  <c r="O112" i="73"/>
  <c r="H112" i="73"/>
  <c r="G112" i="73"/>
  <c r="P111" i="73"/>
  <c r="O111" i="73"/>
  <c r="H111" i="73"/>
  <c r="G111" i="73"/>
  <c r="P110" i="73"/>
  <c r="O110" i="73"/>
  <c r="H110" i="73"/>
  <c r="G110" i="73"/>
  <c r="P109" i="73"/>
  <c r="O109" i="73"/>
  <c r="H109" i="73"/>
  <c r="G109" i="73"/>
  <c r="P108" i="73"/>
  <c r="O108" i="73"/>
  <c r="H108" i="73"/>
  <c r="G108" i="73"/>
  <c r="P107" i="73"/>
  <c r="O107" i="73"/>
  <c r="H107" i="73"/>
  <c r="G107" i="73"/>
  <c r="P106" i="73"/>
  <c r="O106" i="73"/>
  <c r="H106" i="73"/>
  <c r="G106" i="73"/>
  <c r="P105" i="73"/>
  <c r="O105" i="73"/>
  <c r="H105" i="73"/>
  <c r="G105" i="73"/>
  <c r="P104" i="73"/>
  <c r="O104" i="73"/>
  <c r="H104" i="73"/>
  <c r="G104" i="73"/>
  <c r="P103" i="73"/>
  <c r="O103" i="73"/>
  <c r="H103" i="73"/>
  <c r="G103" i="73"/>
  <c r="P102" i="73"/>
  <c r="O102" i="73"/>
  <c r="H102" i="73"/>
  <c r="G102" i="73"/>
  <c r="P101" i="73"/>
  <c r="O101" i="73"/>
  <c r="H101" i="73"/>
  <c r="G101" i="73"/>
  <c r="R98" i="73"/>
  <c r="Q98" i="73"/>
  <c r="P98" i="73"/>
  <c r="O98" i="73"/>
  <c r="H98" i="73"/>
  <c r="R97" i="73"/>
  <c r="Q97" i="73"/>
  <c r="P97" i="73"/>
  <c r="O97" i="73"/>
  <c r="H97" i="73"/>
  <c r="R96" i="73"/>
  <c r="Q96" i="73"/>
  <c r="P96" i="73"/>
  <c r="O96" i="73"/>
  <c r="H96" i="73"/>
  <c r="R95" i="73"/>
  <c r="Q95" i="73"/>
  <c r="P95" i="73"/>
  <c r="O95" i="73"/>
  <c r="H95" i="73"/>
  <c r="R94" i="73"/>
  <c r="Q94" i="73"/>
  <c r="P94" i="73"/>
  <c r="O94" i="73"/>
  <c r="H94" i="73"/>
  <c r="R93" i="73"/>
  <c r="Q93" i="73"/>
  <c r="P93" i="73"/>
  <c r="O93" i="73"/>
  <c r="H93" i="73"/>
  <c r="R92" i="73"/>
  <c r="Q92" i="73"/>
  <c r="P92" i="73"/>
  <c r="O92" i="73"/>
  <c r="H92" i="73"/>
  <c r="R91" i="73"/>
  <c r="Q91" i="73"/>
  <c r="P91" i="73"/>
  <c r="O91" i="73"/>
  <c r="H91" i="73"/>
  <c r="R90" i="73"/>
  <c r="Q90" i="73"/>
  <c r="P90" i="73"/>
  <c r="O90" i="73"/>
  <c r="H90" i="73"/>
  <c r="R89" i="73"/>
  <c r="Q89" i="73"/>
  <c r="P89" i="73"/>
  <c r="O89" i="73"/>
  <c r="H89" i="73"/>
  <c r="R88" i="73"/>
  <c r="Q88" i="73"/>
  <c r="P88" i="73"/>
  <c r="O88" i="73"/>
  <c r="H88" i="73"/>
  <c r="R87" i="73"/>
  <c r="Q87" i="73"/>
  <c r="P87" i="73"/>
  <c r="O87" i="73"/>
  <c r="H87" i="73"/>
  <c r="AA86" i="73"/>
  <c r="R86" i="73"/>
  <c r="Q86" i="73"/>
  <c r="P86" i="73"/>
  <c r="O86" i="73"/>
  <c r="H86" i="73"/>
  <c r="AA85" i="73"/>
  <c r="R85" i="73"/>
  <c r="Q85" i="73"/>
  <c r="P85" i="73"/>
  <c r="O85" i="73"/>
  <c r="H85" i="73"/>
  <c r="AA84" i="73"/>
  <c r="R84" i="73"/>
  <c r="Q84" i="73"/>
  <c r="P84" i="73"/>
  <c r="O84" i="73"/>
  <c r="H84" i="73"/>
  <c r="AA83" i="73"/>
  <c r="R83" i="73"/>
  <c r="Q83" i="73"/>
  <c r="P83" i="73"/>
  <c r="O83" i="73"/>
  <c r="H83" i="73"/>
  <c r="AA82" i="73"/>
  <c r="R82" i="73"/>
  <c r="Q82" i="73"/>
  <c r="P82" i="73"/>
  <c r="O82" i="73"/>
  <c r="H82" i="73"/>
  <c r="R81" i="73"/>
  <c r="Q81" i="73"/>
  <c r="P81" i="73"/>
  <c r="O81" i="73"/>
  <c r="H81" i="73"/>
  <c r="R80" i="73"/>
  <c r="Q80" i="73"/>
  <c r="O80" i="73"/>
  <c r="P80" i="73" s="1"/>
  <c r="H80" i="73"/>
  <c r="R79" i="73"/>
  <c r="Q79" i="73"/>
  <c r="P79" i="73"/>
  <c r="O79" i="73"/>
  <c r="H79" i="73"/>
  <c r="L78" i="73"/>
  <c r="N77" i="73"/>
  <c r="O74" i="73"/>
  <c r="AF73" i="73"/>
  <c r="AE73" i="73" a="1"/>
  <c r="AE73" i="73" s="1"/>
  <c r="B313" i="73" s="1"/>
  <c r="AD73" i="73"/>
  <c r="AD73" i="73" a="1"/>
  <c r="P73" i="73"/>
  <c r="O73" i="73"/>
  <c r="AF72" i="73"/>
  <c r="AE72" i="73" a="1"/>
  <c r="AE72" i="73" s="1"/>
  <c r="B312" i="73" s="1"/>
  <c r="AD72" i="73"/>
  <c r="AD72" i="73" a="1"/>
  <c r="P72" i="73"/>
  <c r="O72" i="73"/>
  <c r="AF71" i="73"/>
  <c r="AE71" i="73" a="1"/>
  <c r="AE71" i="73" s="1"/>
  <c r="B311" i="73" s="1"/>
  <c r="AD71" i="73"/>
  <c r="AD71" i="73" a="1"/>
  <c r="N71" i="73"/>
  <c r="AF70" i="73"/>
  <c r="AE70" i="73" a="1"/>
  <c r="AE70" i="73" s="1"/>
  <c r="B310" i="73" s="1"/>
  <c r="AD70" i="73"/>
  <c r="AD70" i="73" a="1"/>
  <c r="AF69" i="73"/>
  <c r="AE69" i="73" a="1"/>
  <c r="AE69" i="73" s="1"/>
  <c r="B309" i="73" s="1"/>
  <c r="AD69" i="73"/>
  <c r="AD69" i="73" a="1"/>
  <c r="V69" i="73"/>
  <c r="P69" i="73"/>
  <c r="O69" i="73"/>
  <c r="AF68" i="73"/>
  <c r="AE68" i="73" a="1"/>
  <c r="AE68" i="73" s="1"/>
  <c r="B308" i="73" s="1"/>
  <c r="AD68" i="73"/>
  <c r="AD68" i="73" a="1"/>
  <c r="V68" i="73"/>
  <c r="P68" i="73"/>
  <c r="O68" i="73"/>
  <c r="AF67" i="73"/>
  <c r="AE67" i="73" a="1"/>
  <c r="AE67" i="73" s="1"/>
  <c r="B307" i="73" s="1"/>
  <c r="AD67" i="73"/>
  <c r="AD67" i="73" a="1"/>
  <c r="V67" i="73"/>
  <c r="P67" i="73"/>
  <c r="O67" i="73"/>
  <c r="AF66" i="73"/>
  <c r="AE66" i="73" a="1"/>
  <c r="AE66" i="73" s="1"/>
  <c r="B306" i="73" s="1"/>
  <c r="AD66" i="73"/>
  <c r="AD66" i="73" a="1"/>
  <c r="V66" i="73"/>
  <c r="P66" i="73"/>
  <c r="O66" i="73"/>
  <c r="AF65" i="73"/>
  <c r="AE65" i="73" a="1"/>
  <c r="AE65" i="73" s="1"/>
  <c r="B305" i="73" s="1"/>
  <c r="AD65" i="73"/>
  <c r="AD65" i="73" a="1"/>
  <c r="V65" i="73"/>
  <c r="P65" i="73"/>
  <c r="O65" i="73"/>
  <c r="AF64" i="73"/>
  <c r="AE64" i="73" a="1"/>
  <c r="AE64" i="73" s="1"/>
  <c r="B304" i="73" s="1"/>
  <c r="AD64" i="73"/>
  <c r="AD64" i="73" a="1"/>
  <c r="V64" i="73"/>
  <c r="P64" i="73"/>
  <c r="O64" i="73"/>
  <c r="AF63" i="73"/>
  <c r="AE63" i="73" a="1"/>
  <c r="AE63" i="73" s="1"/>
  <c r="B303" i="73" s="1"/>
  <c r="AD63" i="73"/>
  <c r="AD63" i="73" a="1"/>
  <c r="V63" i="73"/>
  <c r="P63" i="73"/>
  <c r="O63" i="73"/>
  <c r="AF62" i="73"/>
  <c r="AE62" i="73" a="1"/>
  <c r="AE62" i="73" s="1"/>
  <c r="B302" i="73" s="1"/>
  <c r="AD62" i="73"/>
  <c r="AD62" i="73" a="1"/>
  <c r="V62" i="73"/>
  <c r="P62" i="73"/>
  <c r="O62" i="73"/>
  <c r="AF61" i="73"/>
  <c r="AE61" i="73" a="1"/>
  <c r="AE61" i="73" s="1"/>
  <c r="B301" i="73" s="1"/>
  <c r="AD61" i="73"/>
  <c r="AD61" i="73" a="1"/>
  <c r="L61" i="73"/>
  <c r="AF60" i="73"/>
  <c r="AE60" i="73" a="1"/>
  <c r="AE60" i="73" s="1"/>
  <c r="B300" i="73" s="1"/>
  <c r="AD60" i="73"/>
  <c r="AD60" i="73" a="1"/>
  <c r="AF59" i="73"/>
  <c r="AE59" i="73" a="1"/>
  <c r="AE59" i="73" s="1"/>
  <c r="B299" i="73" s="1"/>
  <c r="AD59" i="73"/>
  <c r="AD59" i="73" a="1"/>
  <c r="V59" i="73"/>
  <c r="P59" i="73"/>
  <c r="O59" i="73"/>
  <c r="AF58" i="73"/>
  <c r="AE58" i="73" a="1"/>
  <c r="AE58" i="73" s="1"/>
  <c r="B298" i="73" s="1"/>
  <c r="AD58" i="73"/>
  <c r="AD58" i="73" a="1"/>
  <c r="V58" i="73"/>
  <c r="P58" i="73"/>
  <c r="O58" i="73"/>
  <c r="AF57" i="73"/>
  <c r="AE57" i="73" a="1"/>
  <c r="AE57" i="73" s="1"/>
  <c r="B297" i="73" s="1"/>
  <c r="AD57" i="73"/>
  <c r="AD57" i="73" a="1"/>
  <c r="V57" i="73"/>
  <c r="P57" i="73"/>
  <c r="O57" i="73"/>
  <c r="AJ56" i="73"/>
  <c r="AK56" i="73" s="1"/>
  <c r="AF56" i="73"/>
  <c r="AE56" i="73" a="1"/>
  <c r="AE56" i="73" s="1"/>
  <c r="B296" i="73" s="1"/>
  <c r="AD56" i="73"/>
  <c r="AD56" i="73" a="1"/>
  <c r="V56" i="73"/>
  <c r="P56" i="73"/>
  <c r="O56" i="73"/>
  <c r="AF55" i="73"/>
  <c r="AE55" i="73" a="1"/>
  <c r="AE55" i="73" s="1"/>
  <c r="B295" i="73" s="1"/>
  <c r="AD55" i="73"/>
  <c r="AD55" i="73" a="1"/>
  <c r="V55" i="73"/>
  <c r="P55" i="73"/>
  <c r="O55" i="73"/>
  <c r="AF54" i="73"/>
  <c r="AE54" i="73" a="1"/>
  <c r="AE54" i="73" s="1"/>
  <c r="B294" i="73" s="1"/>
  <c r="AD54" i="73"/>
  <c r="AD54" i="73" a="1"/>
  <c r="V54" i="73"/>
  <c r="P54" i="73"/>
  <c r="O54" i="73"/>
  <c r="AF53" i="73"/>
  <c r="AE53" i="73" a="1"/>
  <c r="AE53" i="73" s="1"/>
  <c r="B293" i="73" s="1"/>
  <c r="AD53" i="73"/>
  <c r="AD53" i="73" a="1"/>
  <c r="V53" i="73"/>
  <c r="P53" i="73"/>
  <c r="O53" i="73"/>
  <c r="AJ52" i="73"/>
  <c r="AK52" i="73" s="1"/>
  <c r="V52" i="73"/>
  <c r="P52" i="73"/>
  <c r="O52" i="73"/>
  <c r="AJ51" i="73"/>
  <c r="AK51" i="73" s="1"/>
  <c r="L51" i="73"/>
  <c r="AJ49" i="73"/>
  <c r="AK49" i="73" s="1"/>
  <c r="V49" i="73"/>
  <c r="P49" i="73"/>
  <c r="O49" i="73"/>
  <c r="AJ48" i="73"/>
  <c r="AK48" i="73" s="1"/>
  <c r="V48" i="73"/>
  <c r="P48" i="73"/>
  <c r="O48" i="73"/>
  <c r="V47" i="73"/>
  <c r="P47" i="73"/>
  <c r="O47" i="73"/>
  <c r="V46" i="73"/>
  <c r="P46" i="73"/>
  <c r="O46" i="73"/>
  <c r="AJ45" i="73"/>
  <c r="AK45" i="73" s="1"/>
  <c r="V45" i="73"/>
  <c r="P45" i="73"/>
  <c r="O45" i="73"/>
  <c r="V44" i="73"/>
  <c r="P44" i="73"/>
  <c r="O44" i="73"/>
  <c r="AJ43" i="73"/>
  <c r="AK43" i="73" s="1"/>
  <c r="V43" i="73"/>
  <c r="P43" i="73"/>
  <c r="O43" i="73"/>
  <c r="V42" i="73"/>
  <c r="P42" i="73"/>
  <c r="O42" i="73"/>
  <c r="AA41" i="73"/>
  <c r="Z41" i="73" s="1"/>
  <c r="L41" i="73"/>
  <c r="AA40" i="73"/>
  <c r="Z40" i="73" s="1"/>
  <c r="W40" i="73"/>
  <c r="W40" i="73" a="1"/>
  <c r="U40" i="73"/>
  <c r="N40" i="73"/>
  <c r="AA39" i="73"/>
  <c r="Z39" i="73" s="1"/>
  <c r="AJ38" i="73"/>
  <c r="AK38" i="73" s="1"/>
  <c r="AA38" i="73"/>
  <c r="Z38" i="73" s="1"/>
  <c r="V38" i="73"/>
  <c r="O38" i="73"/>
  <c r="M38" i="73"/>
  <c r="P38" i="73" s="1"/>
  <c r="AJ37" i="73"/>
  <c r="AK37" i="73" s="1"/>
  <c r="AA37" i="73"/>
  <c r="Z37" i="73" s="1"/>
  <c r="V37" i="73"/>
  <c r="P37" i="73"/>
  <c r="AJ31" i="73" s="1"/>
  <c r="AK31" i="73" s="1"/>
  <c r="O37" i="73"/>
  <c r="M37" i="73"/>
  <c r="AJ36" i="73"/>
  <c r="AK36" i="73" s="1"/>
  <c r="AA36" i="73"/>
  <c r="Z36" i="73" s="1"/>
  <c r="V36" i="73"/>
  <c r="P36" i="73"/>
  <c r="F244" i="73" s="1" a="1"/>
  <c r="F244" i="73" s="1"/>
  <c r="B365" i="73" s="1"/>
  <c r="O36" i="73"/>
  <c r="M36" i="73"/>
  <c r="AJ35" i="73"/>
  <c r="AK35" i="73" s="1"/>
  <c r="AA35" i="73"/>
  <c r="Z35" i="73" s="1"/>
  <c r="L35" i="73"/>
  <c r="AA34" i="73"/>
  <c r="Z34" i="73" s="1"/>
  <c r="AA33" i="73"/>
  <c r="Z33" i="73" s="1"/>
  <c r="P33" i="73"/>
  <c r="AJ47" i="73" s="1"/>
  <c r="O33" i="73"/>
  <c r="M33" i="73"/>
  <c r="AJ32" i="73"/>
  <c r="AK32" i="73" s="1"/>
  <c r="AA32" i="73"/>
  <c r="Z32" i="73" s="1"/>
  <c r="V32" i="73"/>
  <c r="O32" i="73"/>
  <c r="M32" i="73"/>
  <c r="P32" i="73" s="1"/>
  <c r="AF31" i="73"/>
  <c r="AD31" i="73"/>
  <c r="B144" i="73" s="1"/>
  <c r="AA31" i="73"/>
  <c r="Z31" i="73" s="1"/>
  <c r="O31" i="73"/>
  <c r="M31" i="73"/>
  <c r="P31" i="73" s="1"/>
  <c r="AF30" i="73"/>
  <c r="AD30" i="73"/>
  <c r="B143" i="73" s="1"/>
  <c r="AA30" i="73"/>
  <c r="Z30" i="73" s="1"/>
  <c r="L30" i="73"/>
  <c r="AJ29" i="73"/>
  <c r="AK29" i="73" s="1"/>
  <c r="AF29" i="73"/>
  <c r="AD29" i="73"/>
  <c r="B142" i="73" s="1"/>
  <c r="AA29" i="73"/>
  <c r="Z29" i="73" s="1"/>
  <c r="AJ28" i="73"/>
  <c r="AK28" i="73" s="1"/>
  <c r="AF28" i="73"/>
  <c r="AD28" i="73"/>
  <c r="B141" i="73" s="1"/>
  <c r="AA28" i="73"/>
  <c r="Z28" i="73" s="1"/>
  <c r="V28" i="73"/>
  <c r="O28" i="73"/>
  <c r="M28" i="73"/>
  <c r="P28" i="73" s="1"/>
  <c r="AJ27" i="73"/>
  <c r="AK27" i="73" s="1"/>
  <c r="AF27" i="73"/>
  <c r="AD27" i="73"/>
  <c r="B140" i="73" s="1"/>
  <c r="AA27" i="73"/>
  <c r="Z27" i="73" s="1"/>
  <c r="V27" i="73"/>
  <c r="O27" i="73"/>
  <c r="M27" i="73"/>
  <c r="P27" i="73" s="1"/>
  <c r="AF26" i="73"/>
  <c r="AD26" i="73"/>
  <c r="B139" i="73" s="1"/>
  <c r="AA26" i="73"/>
  <c r="Z26" i="73" s="1"/>
  <c r="V26" i="73"/>
  <c r="O26" i="73"/>
  <c r="M26" i="73"/>
  <c r="P26" i="73" s="1"/>
  <c r="AJ25" i="73"/>
  <c r="AK25" i="73" s="1"/>
  <c r="AF25" i="73"/>
  <c r="AD25" i="73"/>
  <c r="B138" i="73" s="1"/>
  <c r="AA25" i="73"/>
  <c r="Z25" i="73" s="1"/>
  <c r="L25" i="73"/>
  <c r="AF24" i="73"/>
  <c r="AD24" i="73"/>
  <c r="B137" i="73" s="1"/>
  <c r="AA24" i="73"/>
  <c r="Z24" i="73" s="1"/>
  <c r="AJ23" i="73"/>
  <c r="AK23" i="73" s="1"/>
  <c r="AF23" i="73"/>
  <c r="AD23" i="73"/>
  <c r="B136" i="73" s="1"/>
  <c r="AA23" i="73"/>
  <c r="Z23" i="73" s="1"/>
  <c r="N23" i="73"/>
  <c r="AJ22" i="73"/>
  <c r="AK22" i="73" s="1"/>
  <c r="AF22" i="73"/>
  <c r="AD22" i="73"/>
  <c r="B135" i="73" s="1"/>
  <c r="AA22" i="73"/>
  <c r="Z22" i="73" s="1"/>
  <c r="AJ21" i="73"/>
  <c r="AK21" i="73" s="1"/>
  <c r="AF21" i="73"/>
  <c r="AD21" i="73"/>
  <c r="B134" i="73" s="1"/>
  <c r="AA21" i="73"/>
  <c r="N21" i="73"/>
  <c r="AJ20" i="73"/>
  <c r="AK20" i="73" s="1"/>
  <c r="AF20" i="73"/>
  <c r="AD20" i="73"/>
  <c r="B133" i="73" s="1"/>
  <c r="AA20" i="73"/>
  <c r="N20" i="73"/>
  <c r="AF19" i="73"/>
  <c r="AD19" i="73"/>
  <c r="B132" i="73" s="1"/>
  <c r="AA19" i="73"/>
  <c r="N19" i="73"/>
  <c r="AF18" i="73"/>
  <c r="AD18" i="73"/>
  <c r="B131" i="73" s="1"/>
  <c r="AA18" i="73"/>
  <c r="N18" i="73"/>
  <c r="AF17" i="73"/>
  <c r="AD17" i="73"/>
  <c r="B130" i="73" s="1"/>
  <c r="AA17" i="73"/>
  <c r="N17" i="73"/>
  <c r="AF16" i="73"/>
  <c r="AD16" i="73"/>
  <c r="B129" i="73" s="1"/>
  <c r="AA16" i="73"/>
  <c r="N16" i="73"/>
  <c r="AF15" i="73"/>
  <c r="AD15" i="73"/>
  <c r="B128" i="73" s="1"/>
  <c r="AA15" i="73"/>
  <c r="AF14" i="73"/>
  <c r="AD14" i="73"/>
  <c r="B127" i="73" s="1"/>
  <c r="AA14" i="73"/>
  <c r="AF13" i="73"/>
  <c r="AD13" i="73"/>
  <c r="B126" i="73" s="1"/>
  <c r="AA13" i="73"/>
  <c r="AJ12" i="73"/>
  <c r="AK12" i="73" s="1"/>
  <c r="AF12" i="73"/>
  <c r="AD12" i="73"/>
  <c r="B125" i="73" s="1"/>
  <c r="AA12" i="73"/>
  <c r="N12" i="73"/>
  <c r="AJ11" i="73"/>
  <c r="AK11" i="73" s="1"/>
  <c r="AF11" i="73"/>
  <c r="AD11" i="73"/>
  <c r="B124" i="73" s="1"/>
  <c r="AA11" i="73"/>
  <c r="N11" i="73"/>
  <c r="AF10" i="73"/>
  <c r="AD10" i="73"/>
  <c r="B123" i="73" s="1"/>
  <c r="AA10" i="73"/>
  <c r="N10" i="73"/>
  <c r="AF9" i="73"/>
  <c r="AD9" i="73"/>
  <c r="B122" i="73" s="1"/>
  <c r="AA9" i="73"/>
  <c r="N9" i="73"/>
  <c r="N7" i="73" s="1"/>
  <c r="AJ8" i="73"/>
  <c r="AK8" i="73" s="1"/>
  <c r="AF8" i="73"/>
  <c r="AD8" i="73"/>
  <c r="B121" i="73" s="1"/>
  <c r="AA8" i="73"/>
  <c r="N8" i="73"/>
  <c r="G8" i="73"/>
  <c r="D8" i="73"/>
  <c r="AJ7" i="73"/>
  <c r="AK7" i="73" s="1"/>
  <c r="AF7" i="73"/>
  <c r="AD7" i="73"/>
  <c r="B120" i="73" s="1"/>
  <c r="AA7" i="73"/>
  <c r="D7" i="73"/>
  <c r="AF6" i="73"/>
  <c r="AD6" i="73"/>
  <c r="B119" i="73" s="1"/>
  <c r="AA6" i="73"/>
  <c r="AJ5" i="73"/>
  <c r="AK5" i="73" s="1"/>
  <c r="AA5" i="73"/>
  <c r="N5" i="73"/>
  <c r="AA4" i="73"/>
  <c r="N4" i="73"/>
  <c r="AJ3" i="73"/>
  <c r="AK3" i="73" s="1"/>
  <c r="AA3" i="73"/>
  <c r="AJ2" i="73"/>
  <c r="AK2" i="73" s="1"/>
  <c r="AA2" i="73"/>
  <c r="B365" i="29"/>
  <c r="B364" i="29"/>
  <c r="B363" i="29"/>
  <c r="B362" i="29"/>
  <c r="B361" i="29"/>
  <c r="B360" i="29"/>
  <c r="B359" i="29"/>
  <c r="B358" i="29"/>
  <c r="B357" i="29"/>
  <c r="B354" i="29"/>
  <c r="B343" i="29"/>
  <c r="B342" i="29"/>
  <c r="B341" i="29"/>
  <c r="B340" i="29"/>
  <c r="B339" i="29"/>
  <c r="B338" i="29"/>
  <c r="B337" i="29"/>
  <c r="B336" i="29"/>
  <c r="B335" i="29"/>
  <c r="B334" i="29"/>
  <c r="B333" i="29"/>
  <c r="B332" i="29"/>
  <c r="B331" i="29"/>
  <c r="B330" i="29"/>
  <c r="B329" i="29"/>
  <c r="B328" i="29"/>
  <c r="B327" i="29"/>
  <c r="B326" i="29"/>
  <c r="B325" i="29"/>
  <c r="B324" i="29"/>
  <c r="B323" i="29"/>
  <c r="B322" i="29"/>
  <c r="B321" i="29"/>
  <c r="B320" i="29"/>
  <c r="B319" i="29"/>
  <c r="B318" i="29"/>
  <c r="B317" i="29"/>
  <c r="E316" i="29"/>
  <c r="B316" i="29"/>
  <c r="E315" i="29"/>
  <c r="E314" i="29"/>
  <c r="E313" i="29"/>
  <c r="E312" i="29"/>
  <c r="E311" i="29"/>
  <c r="E310" i="29"/>
  <c r="E309" i="29"/>
  <c r="E308" i="29"/>
  <c r="E307" i="29"/>
  <c r="E306" i="29"/>
  <c r="E305" i="29"/>
  <c r="E304" i="29"/>
  <c r="E303" i="29"/>
  <c r="E302" i="29"/>
  <c r="E301" i="29"/>
  <c r="E300" i="29"/>
  <c r="E299" i="29"/>
  <c r="E298" i="29"/>
  <c r="E297" i="29"/>
  <c r="E296" i="29"/>
  <c r="E295" i="29"/>
  <c r="E294" i="29"/>
  <c r="E293" i="29"/>
  <c r="E292" i="29"/>
  <c r="E291" i="29"/>
  <c r="E290" i="29"/>
  <c r="E289" i="29"/>
  <c r="E288" i="29"/>
  <c r="E287" i="29"/>
  <c r="E286" i="29"/>
  <c r="E285" i="29"/>
  <c r="E284" i="29"/>
  <c r="E283" i="29"/>
  <c r="B283" i="29"/>
  <c r="E282" i="29"/>
  <c r="B282" i="29"/>
  <c r="E281" i="29"/>
  <c r="B281" i="29"/>
  <c r="B280" i="29"/>
  <c r="B279" i="29"/>
  <c r="B278" i="29"/>
  <c r="B277" i="29"/>
  <c r="B276" i="29"/>
  <c r="B275" i="29"/>
  <c r="B274" i="29"/>
  <c r="B273" i="29"/>
  <c r="B272" i="29"/>
  <c r="B271" i="29"/>
  <c r="B270" i="29"/>
  <c r="B269" i="29"/>
  <c r="B268" i="29"/>
  <c r="B267" i="29"/>
  <c r="B266" i="29"/>
  <c r="B265" i="29"/>
  <c r="B264" i="29"/>
  <c r="B263" i="29"/>
  <c r="B262" i="29"/>
  <c r="B261" i="29"/>
  <c r="B260" i="29"/>
  <c r="B259" i="29"/>
  <c r="B258" i="29"/>
  <c r="B257" i="29"/>
  <c r="B256" i="29"/>
  <c r="F244" i="29"/>
  <c r="F244" i="29" a="1"/>
  <c r="H238" i="29"/>
  <c r="H237" i="29"/>
  <c r="H236" i="29"/>
  <c r="B236" i="29"/>
  <c r="B235" i="29"/>
  <c r="H234" i="29"/>
  <c r="F234" i="29"/>
  <c r="B234" i="29"/>
  <c r="B233" i="29"/>
  <c r="B232" i="29"/>
  <c r="B231" i="29"/>
  <c r="B230" i="29"/>
  <c r="B229" i="29"/>
  <c r="B228" i="29"/>
  <c r="B227" i="29"/>
  <c r="B226" i="29"/>
  <c r="B225" i="29"/>
  <c r="B224" i="29"/>
  <c r="B223" i="29"/>
  <c r="B222" i="29"/>
  <c r="B221" i="29"/>
  <c r="B220" i="29"/>
  <c r="B219" i="29"/>
  <c r="P218" i="29"/>
  <c r="M218" i="29"/>
  <c r="B218" i="29"/>
  <c r="B216" i="29"/>
  <c r="R215" i="29"/>
  <c r="Q215" i="29"/>
  <c r="P215" i="29"/>
  <c r="O215" i="29"/>
  <c r="H215" i="29"/>
  <c r="G215" i="29"/>
  <c r="B215" i="29"/>
  <c r="R214" i="29"/>
  <c r="Q214" i="29"/>
  <c r="P214" i="29"/>
  <c r="O214" i="29"/>
  <c r="H214" i="29"/>
  <c r="G214" i="29"/>
  <c r="B214" i="29"/>
  <c r="R213" i="29"/>
  <c r="Q213" i="29"/>
  <c r="P213" i="29"/>
  <c r="O213" i="29"/>
  <c r="H213" i="29"/>
  <c r="G213" i="29"/>
  <c r="B213" i="29"/>
  <c r="R212" i="29"/>
  <c r="Q212" i="29"/>
  <c r="P212" i="29"/>
  <c r="O212" i="29"/>
  <c r="H212" i="29"/>
  <c r="G212" i="29"/>
  <c r="B212" i="29"/>
  <c r="R211" i="29"/>
  <c r="Q211" i="29"/>
  <c r="P211" i="29"/>
  <c r="O211" i="29"/>
  <c r="H211" i="29"/>
  <c r="G211" i="29"/>
  <c r="B211" i="29"/>
  <c r="R210" i="29"/>
  <c r="Q210" i="29"/>
  <c r="P210" i="29"/>
  <c r="O210" i="29"/>
  <c r="H210" i="29"/>
  <c r="G210" i="29"/>
  <c r="B210" i="29"/>
  <c r="R209" i="29"/>
  <c r="Q209" i="29"/>
  <c r="P209" i="29"/>
  <c r="O209" i="29"/>
  <c r="H209" i="29"/>
  <c r="G209" i="29"/>
  <c r="B209" i="29"/>
  <c r="R208" i="29"/>
  <c r="Q208" i="29"/>
  <c r="P208" i="29"/>
  <c r="O208" i="29"/>
  <c r="H208" i="29"/>
  <c r="G208" i="29"/>
  <c r="B208" i="29"/>
  <c r="R207" i="29"/>
  <c r="Q207" i="29"/>
  <c r="P207" i="29"/>
  <c r="O207" i="29"/>
  <c r="H207" i="29"/>
  <c r="G207" i="29"/>
  <c r="B207" i="29"/>
  <c r="R206" i="29"/>
  <c r="Q206" i="29"/>
  <c r="P206" i="29"/>
  <c r="O206" i="29"/>
  <c r="H206" i="29"/>
  <c r="G206" i="29"/>
  <c r="B206" i="29"/>
  <c r="B205" i="29"/>
  <c r="B204" i="29"/>
  <c r="R203" i="29"/>
  <c r="P203" i="29"/>
  <c r="O203" i="29"/>
  <c r="G203" i="29"/>
  <c r="B203" i="29"/>
  <c r="R202" i="29"/>
  <c r="P202" i="29"/>
  <c r="O202" i="29"/>
  <c r="G202" i="29"/>
  <c r="B202" i="29"/>
  <c r="R201" i="29"/>
  <c r="P201" i="29"/>
  <c r="O201" i="29"/>
  <c r="G201" i="29"/>
  <c r="B201" i="29"/>
  <c r="R200" i="29"/>
  <c r="P200" i="29"/>
  <c r="O200" i="29"/>
  <c r="G200" i="29"/>
  <c r="B200" i="29"/>
  <c r="R199" i="29"/>
  <c r="P199" i="29"/>
  <c r="O199" i="29"/>
  <c r="G199" i="29"/>
  <c r="B199" i="29"/>
  <c r="R198" i="29"/>
  <c r="P198" i="29"/>
  <c r="O198" i="29"/>
  <c r="G198" i="29"/>
  <c r="B198" i="29"/>
  <c r="R197" i="29"/>
  <c r="P197" i="29"/>
  <c r="O197" i="29"/>
  <c r="G197" i="29"/>
  <c r="R196" i="29"/>
  <c r="P196" i="29"/>
  <c r="O196" i="29"/>
  <c r="G196" i="29"/>
  <c r="B196" i="29"/>
  <c r="R195" i="29"/>
  <c r="P195" i="29"/>
  <c r="O195" i="29"/>
  <c r="G195" i="29"/>
  <c r="B195" i="29"/>
  <c r="R194" i="29"/>
  <c r="P194" i="29"/>
  <c r="O194" i="29"/>
  <c r="G194" i="29"/>
  <c r="B194" i="29"/>
  <c r="L193" i="29"/>
  <c r="B193" i="29"/>
  <c r="B192" i="29"/>
  <c r="R191" i="29"/>
  <c r="P191" i="29"/>
  <c r="O191" i="29"/>
  <c r="M191" i="29"/>
  <c r="B191" i="29"/>
  <c r="R190" i="29"/>
  <c r="P190" i="29"/>
  <c r="O190" i="29"/>
  <c r="M190" i="29"/>
  <c r="B190" i="29"/>
  <c r="R189" i="29"/>
  <c r="P189" i="29"/>
  <c r="O189" i="29"/>
  <c r="M189" i="29"/>
  <c r="B189" i="29"/>
  <c r="R188" i="29"/>
  <c r="P188" i="29"/>
  <c r="O188" i="29"/>
  <c r="B188" i="29"/>
  <c r="R187" i="29"/>
  <c r="P187" i="29"/>
  <c r="O187" i="29"/>
  <c r="M187" i="29"/>
  <c r="B187" i="29"/>
  <c r="L186" i="29"/>
  <c r="B186" i="29"/>
  <c r="P185" i="29"/>
  <c r="O185" i="29"/>
  <c r="I185" i="29"/>
  <c r="B185" i="29"/>
  <c r="P184" i="29"/>
  <c r="O184" i="29"/>
  <c r="I184" i="29"/>
  <c r="B184" i="29"/>
  <c r="B183" i="29"/>
  <c r="B182" i="29"/>
  <c r="R181" i="29"/>
  <c r="P181" i="29"/>
  <c r="O181" i="29"/>
  <c r="H181" i="29"/>
  <c r="B181" i="29"/>
  <c r="R180" i="29"/>
  <c r="P180" i="29"/>
  <c r="O180" i="29"/>
  <c r="H180" i="29"/>
  <c r="B180" i="29"/>
  <c r="R179" i="29"/>
  <c r="P179" i="29"/>
  <c r="O179" i="29"/>
  <c r="H179" i="29"/>
  <c r="B179" i="29"/>
  <c r="R178" i="29"/>
  <c r="P178" i="29"/>
  <c r="O178" i="29"/>
  <c r="H178" i="29"/>
  <c r="B178" i="29"/>
  <c r="R177" i="29"/>
  <c r="P177" i="29"/>
  <c r="O177" i="29"/>
  <c r="H177" i="29"/>
  <c r="B174" i="29"/>
  <c r="B173" i="29"/>
  <c r="B172" i="29"/>
  <c r="B171" i="29"/>
  <c r="B170" i="29"/>
  <c r="B169" i="29"/>
  <c r="B168" i="29"/>
  <c r="B167" i="29"/>
  <c r="B166" i="29"/>
  <c r="B165" i="29"/>
  <c r="L164" i="29"/>
  <c r="I164" i="29"/>
  <c r="H164" i="29"/>
  <c r="O168" i="29" s="1"/>
  <c r="P168" i="29" s="1"/>
  <c r="G164" i="29"/>
  <c r="F164" i="29"/>
  <c r="B164" i="29"/>
  <c r="N163" i="29"/>
  <c r="B163" i="29"/>
  <c r="B162" i="29"/>
  <c r="P161" i="29"/>
  <c r="O161" i="29"/>
  <c r="B161" i="29"/>
  <c r="P160" i="29"/>
  <c r="O160" i="29"/>
  <c r="B160" i="29"/>
  <c r="B159" i="29"/>
  <c r="B158" i="29"/>
  <c r="R157" i="29"/>
  <c r="Q157" i="29"/>
  <c r="P157" i="29"/>
  <c r="O157" i="29"/>
  <c r="H157" i="29"/>
  <c r="G157" i="29"/>
  <c r="B157" i="29"/>
  <c r="R156" i="29"/>
  <c r="Q156" i="29"/>
  <c r="P156" i="29"/>
  <c r="O156" i="29"/>
  <c r="H156" i="29"/>
  <c r="G156" i="29"/>
  <c r="B156" i="29"/>
  <c r="AE155" i="29"/>
  <c r="R155" i="29"/>
  <c r="Q155" i="29"/>
  <c r="P155" i="29"/>
  <c r="O155" i="29"/>
  <c r="H155" i="29"/>
  <c r="G155" i="29"/>
  <c r="B155" i="29"/>
  <c r="R154" i="29"/>
  <c r="Q154" i="29"/>
  <c r="P154" i="29"/>
  <c r="O154" i="29"/>
  <c r="H154" i="29"/>
  <c r="G154" i="29"/>
  <c r="B154" i="29"/>
  <c r="AF153" i="29"/>
  <c r="AF153" i="29" a="1"/>
  <c r="AE153" i="29"/>
  <c r="R153" i="29"/>
  <c r="Q153" i="29"/>
  <c r="P153" i="29"/>
  <c r="O153" i="29"/>
  <c r="H153" i="29"/>
  <c r="G153" i="29"/>
  <c r="B153" i="29"/>
  <c r="AF152" i="29"/>
  <c r="AF152" i="29" a="1"/>
  <c r="AE152" i="29"/>
  <c r="R152" i="29"/>
  <c r="Q152" i="29"/>
  <c r="P152" i="29"/>
  <c r="O152" i="29"/>
  <c r="H152" i="29"/>
  <c r="G152" i="29"/>
  <c r="B152" i="29"/>
  <c r="AF151" i="29"/>
  <c r="AF151" i="29" a="1"/>
  <c r="AE151" i="29"/>
  <c r="R151" i="29"/>
  <c r="Q151" i="29"/>
  <c r="P151" i="29"/>
  <c r="O151" i="29"/>
  <c r="H151" i="29"/>
  <c r="G151" i="29"/>
  <c r="B151" i="29"/>
  <c r="AF150" i="29"/>
  <c r="AF150" i="29" a="1"/>
  <c r="AE150" i="29"/>
  <c r="R150" i="29"/>
  <c r="Q150" i="29"/>
  <c r="P150" i="29"/>
  <c r="O150" i="29"/>
  <c r="H150" i="29"/>
  <c r="G150" i="29"/>
  <c r="B150" i="29"/>
  <c r="AF149" i="29"/>
  <c r="AF149" i="29" a="1"/>
  <c r="AE149" i="29"/>
  <c r="R149" i="29"/>
  <c r="Q149" i="29"/>
  <c r="P149" i="29"/>
  <c r="O149" i="29"/>
  <c r="H149" i="29"/>
  <c r="G149" i="29"/>
  <c r="B149" i="29"/>
  <c r="AF148" i="29"/>
  <c r="AF148" i="29" a="1"/>
  <c r="AE148" i="29"/>
  <c r="R148" i="29"/>
  <c r="Q148" i="29"/>
  <c r="P148" i="29"/>
  <c r="O148" i="29"/>
  <c r="H148" i="29"/>
  <c r="G148" i="29"/>
  <c r="B148" i="29"/>
  <c r="AF147" i="29"/>
  <c r="AF147" i="29" a="1"/>
  <c r="AE147" i="29"/>
  <c r="R147" i="29"/>
  <c r="Q147" i="29"/>
  <c r="P147" i="29"/>
  <c r="O147" i="29"/>
  <c r="H147" i="29"/>
  <c r="G147" i="29"/>
  <c r="B147" i="29"/>
  <c r="AF146" i="29"/>
  <c r="AF146" i="29" a="1"/>
  <c r="AE146" i="29"/>
  <c r="R146" i="29"/>
  <c r="Q146" i="29"/>
  <c r="P146" i="29"/>
  <c r="O146" i="29"/>
  <c r="H146" i="29"/>
  <c r="G146" i="29"/>
  <c r="B146" i="29"/>
  <c r="AF145" i="29"/>
  <c r="AF145" i="29" a="1"/>
  <c r="AE145" i="29"/>
  <c r="R145" i="29"/>
  <c r="Q145" i="29"/>
  <c r="P145" i="29"/>
  <c r="O145" i="29"/>
  <c r="H145" i="29"/>
  <c r="G145" i="29"/>
  <c r="AF144" i="29"/>
  <c r="AF144" i="29" a="1"/>
  <c r="AE144" i="29"/>
  <c r="R144" i="29"/>
  <c r="Q144" i="29"/>
  <c r="P144" i="29"/>
  <c r="O144" i="29"/>
  <c r="H144" i="29"/>
  <c r="B144" i="29"/>
  <c r="AF143" i="29"/>
  <c r="AF143" i="29" a="1"/>
  <c r="AE143" i="29"/>
  <c r="R143" i="29"/>
  <c r="Q143" i="29"/>
  <c r="P143" i="29"/>
  <c r="O143" i="29"/>
  <c r="H143" i="29"/>
  <c r="G143" i="29"/>
  <c r="B143" i="29"/>
  <c r="AF142" i="29"/>
  <c r="AF142" i="29" a="1"/>
  <c r="AE142" i="29"/>
  <c r="R142" i="29"/>
  <c r="Q142" i="29"/>
  <c r="P142" i="29"/>
  <c r="O142" i="29"/>
  <c r="H142" i="29"/>
  <c r="B142" i="29"/>
  <c r="AF141" i="29"/>
  <c r="AF141" i="29" a="1"/>
  <c r="AE141" i="29"/>
  <c r="R141" i="29"/>
  <c r="Q141" i="29"/>
  <c r="P141" i="29"/>
  <c r="O141" i="29"/>
  <c r="H141" i="29"/>
  <c r="B141" i="29"/>
  <c r="AF140" i="29"/>
  <c r="AF140" i="29" a="1"/>
  <c r="AE140" i="29"/>
  <c r="R140" i="29"/>
  <c r="Q140" i="29"/>
  <c r="P140" i="29"/>
  <c r="O140" i="29"/>
  <c r="H140" i="29"/>
  <c r="B140" i="29"/>
  <c r="AF139" i="29"/>
  <c r="AF139" i="29" a="1"/>
  <c r="AE139" i="29"/>
  <c r="R139" i="29"/>
  <c r="Q139" i="29"/>
  <c r="P139" i="29"/>
  <c r="O139" i="29"/>
  <c r="H139" i="29"/>
  <c r="B139" i="29"/>
  <c r="AF138" i="29"/>
  <c r="AF138" i="29" a="1"/>
  <c r="AE138" i="29"/>
  <c r="R138" i="29"/>
  <c r="Q138" i="29"/>
  <c r="P138" i="29"/>
  <c r="O138" i="29"/>
  <c r="H138" i="29"/>
  <c r="B138" i="29"/>
  <c r="AF137" i="29"/>
  <c r="AF137" i="29" a="1"/>
  <c r="AE137" i="29"/>
  <c r="H137" i="29"/>
  <c r="B137" i="29"/>
  <c r="AF136" i="29"/>
  <c r="AF136" i="29" a="1"/>
  <c r="AE136" i="29"/>
  <c r="B136" i="29"/>
  <c r="AF135" i="29"/>
  <c r="AF135" i="29" a="1"/>
  <c r="AE135" i="29"/>
  <c r="R135" i="29"/>
  <c r="Q135" i="29"/>
  <c r="P135" i="29"/>
  <c r="O135" i="29"/>
  <c r="B135" i="29"/>
  <c r="R134" i="29"/>
  <c r="Q134" i="29"/>
  <c r="P134" i="29"/>
  <c r="O134" i="29"/>
  <c r="B134" i="29"/>
  <c r="R133" i="29"/>
  <c r="Q133" i="29"/>
  <c r="P133" i="29"/>
  <c r="O133" i="29"/>
  <c r="B133" i="29"/>
  <c r="R132" i="29"/>
  <c r="Q132" i="29"/>
  <c r="P132" i="29"/>
  <c r="O132" i="29"/>
  <c r="B132" i="29"/>
  <c r="B131" i="29"/>
  <c r="B130" i="29"/>
  <c r="R129" i="29"/>
  <c r="P129" i="29"/>
  <c r="B129" i="29"/>
  <c r="R128" i="29"/>
  <c r="P128" i="29"/>
  <c r="B128" i="29"/>
  <c r="R127" i="29"/>
  <c r="P127" i="29"/>
  <c r="B127" i="29"/>
  <c r="R126" i="29"/>
  <c r="P126" i="29"/>
  <c r="B126" i="29"/>
  <c r="P125" i="29"/>
  <c r="B125" i="29"/>
  <c r="M124" i="29"/>
  <c r="P124" i="29" s="1"/>
  <c r="B84" i="29" s="1"/>
  <c r="B124" i="29"/>
  <c r="B123" i="29"/>
  <c r="B122" i="29"/>
  <c r="AA121" i="29"/>
  <c r="Z121" i="29"/>
  <c r="B121" i="29"/>
  <c r="AA120" i="29"/>
  <c r="Z120" i="29"/>
  <c r="P120" i="29"/>
  <c r="O120" i="29"/>
  <c r="H120" i="29"/>
  <c r="G120" i="29"/>
  <c r="B120" i="29"/>
  <c r="AA119" i="29"/>
  <c r="Z119" i="29"/>
  <c r="P119" i="29"/>
  <c r="O119" i="29"/>
  <c r="H119" i="29"/>
  <c r="G119" i="29"/>
  <c r="B119" i="29"/>
  <c r="AA118" i="29"/>
  <c r="Z118" i="29"/>
  <c r="P118" i="29"/>
  <c r="O118" i="29"/>
  <c r="H118" i="29"/>
  <c r="G118" i="29"/>
  <c r="B118" i="29"/>
  <c r="AA117" i="29"/>
  <c r="Z117" i="29"/>
  <c r="P117" i="29"/>
  <c r="O117" i="29"/>
  <c r="H117" i="29"/>
  <c r="G117" i="29"/>
  <c r="B117" i="29"/>
  <c r="AA116" i="29"/>
  <c r="Z116" i="29"/>
  <c r="P116" i="29"/>
  <c r="O116" i="29"/>
  <c r="H116" i="29"/>
  <c r="G116" i="29"/>
  <c r="B116" i="29"/>
  <c r="AA115" i="29"/>
  <c r="Z115" i="29"/>
  <c r="P115" i="29"/>
  <c r="O115" i="29"/>
  <c r="H115" i="29"/>
  <c r="G115" i="29"/>
  <c r="AA114" i="29"/>
  <c r="Z114" i="29"/>
  <c r="P114" i="29"/>
  <c r="O114" i="29"/>
  <c r="H114" i="29"/>
  <c r="G114" i="29"/>
  <c r="B114" i="29"/>
  <c r="AA113" i="29"/>
  <c r="Z113" i="29"/>
  <c r="P113" i="29"/>
  <c r="O113" i="29"/>
  <c r="H113" i="29"/>
  <c r="G113" i="29"/>
  <c r="B113" i="29"/>
  <c r="AA112" i="29"/>
  <c r="Z112" i="29"/>
  <c r="P112" i="29"/>
  <c r="O112" i="29"/>
  <c r="H112" i="29"/>
  <c r="G112" i="29"/>
  <c r="B112" i="29"/>
  <c r="P111" i="29"/>
  <c r="O111" i="29"/>
  <c r="H111" i="29"/>
  <c r="G111" i="29"/>
  <c r="B111" i="29"/>
  <c r="P110" i="29"/>
  <c r="O110" i="29"/>
  <c r="H110" i="29"/>
  <c r="G110" i="29"/>
  <c r="B110" i="29"/>
  <c r="P109" i="29"/>
  <c r="O109" i="29"/>
  <c r="H109" i="29"/>
  <c r="G109" i="29"/>
  <c r="B109" i="29"/>
  <c r="P108" i="29"/>
  <c r="O108" i="29"/>
  <c r="H108" i="29"/>
  <c r="G108" i="29"/>
  <c r="B108" i="29"/>
  <c r="P107" i="29"/>
  <c r="O107" i="29"/>
  <c r="H107" i="29"/>
  <c r="G107" i="29"/>
  <c r="B107" i="29"/>
  <c r="P106" i="29"/>
  <c r="O106" i="29"/>
  <c r="H106" i="29"/>
  <c r="G106" i="29"/>
  <c r="B106" i="29"/>
  <c r="P105" i="29"/>
  <c r="O105" i="29"/>
  <c r="H105" i="29"/>
  <c r="G105" i="29"/>
  <c r="B105" i="29"/>
  <c r="P104" i="29"/>
  <c r="O104" i="29"/>
  <c r="H104" i="29"/>
  <c r="G104" i="29"/>
  <c r="B104" i="29"/>
  <c r="P103" i="29"/>
  <c r="O103" i="29"/>
  <c r="H103" i="29"/>
  <c r="G103" i="29"/>
  <c r="B103" i="29"/>
  <c r="P102" i="29"/>
  <c r="O102" i="29"/>
  <c r="H102" i="29"/>
  <c r="G102" i="29"/>
  <c r="B102" i="29"/>
  <c r="P101" i="29"/>
  <c r="O101" i="29"/>
  <c r="H101" i="29"/>
  <c r="G101" i="29"/>
  <c r="B101" i="29"/>
  <c r="B100" i="29"/>
  <c r="B99" i="29"/>
  <c r="R98" i="29"/>
  <c r="Q98" i="29"/>
  <c r="P98" i="29"/>
  <c r="O98" i="29"/>
  <c r="H98" i="29"/>
  <c r="B98" i="29"/>
  <c r="R97" i="29"/>
  <c r="Q97" i="29"/>
  <c r="P97" i="29"/>
  <c r="O97" i="29"/>
  <c r="H97" i="29"/>
  <c r="B97" i="29"/>
  <c r="R96" i="29"/>
  <c r="Q96" i="29"/>
  <c r="P96" i="29"/>
  <c r="O96" i="29"/>
  <c r="H96" i="29"/>
  <c r="B96" i="29"/>
  <c r="R95" i="29"/>
  <c r="Q95" i="29"/>
  <c r="P95" i="29"/>
  <c r="O95" i="29"/>
  <c r="H95" i="29"/>
  <c r="B95" i="29"/>
  <c r="R94" i="29"/>
  <c r="Q94" i="29"/>
  <c r="P94" i="29"/>
  <c r="O94" i="29"/>
  <c r="H94" i="29"/>
  <c r="B94" i="29"/>
  <c r="R93" i="29"/>
  <c r="Q93" i="29"/>
  <c r="P93" i="29"/>
  <c r="O93" i="29"/>
  <c r="H93" i="29"/>
  <c r="R92" i="29"/>
  <c r="Q92" i="29"/>
  <c r="P92" i="29"/>
  <c r="O92" i="29"/>
  <c r="H92" i="29"/>
  <c r="B92" i="29"/>
  <c r="R91" i="29"/>
  <c r="Q91" i="29"/>
  <c r="P91" i="29"/>
  <c r="O91" i="29"/>
  <c r="H91" i="29"/>
  <c r="B91" i="29"/>
  <c r="R90" i="29"/>
  <c r="Q90" i="29"/>
  <c r="P90" i="29"/>
  <c r="O90" i="29"/>
  <c r="H90" i="29"/>
  <c r="B90" i="29"/>
  <c r="R89" i="29"/>
  <c r="Q89" i="29"/>
  <c r="P89" i="29"/>
  <c r="O89" i="29"/>
  <c r="H89" i="29"/>
  <c r="R88" i="29"/>
  <c r="Q88" i="29"/>
  <c r="P88" i="29"/>
  <c r="O88" i="29"/>
  <c r="H88" i="29"/>
  <c r="B88" i="29"/>
  <c r="R87" i="29"/>
  <c r="Q87" i="29"/>
  <c r="P87" i="29"/>
  <c r="O87" i="29"/>
  <c r="H87" i="29"/>
  <c r="B87" i="29"/>
  <c r="AA86" i="29"/>
  <c r="R86" i="29"/>
  <c r="Q86" i="29"/>
  <c r="P86" i="29"/>
  <c r="O86" i="29"/>
  <c r="H86" i="29"/>
  <c r="B86" i="29"/>
  <c r="AA85" i="29"/>
  <c r="R85" i="29"/>
  <c r="Q85" i="29"/>
  <c r="P85" i="29"/>
  <c r="O85" i="29"/>
  <c r="H85" i="29"/>
  <c r="B85" i="29"/>
  <c r="AA84" i="29"/>
  <c r="R84" i="29"/>
  <c r="Q84" i="29"/>
  <c r="P84" i="29"/>
  <c r="O84" i="29"/>
  <c r="H84" i="29"/>
  <c r="AA83" i="29"/>
  <c r="R83" i="29"/>
  <c r="Q83" i="29"/>
  <c r="P83" i="29"/>
  <c r="O83" i="29"/>
  <c r="H83" i="29"/>
  <c r="B83" i="29"/>
  <c r="AA82" i="29"/>
  <c r="R82" i="29"/>
  <c r="Q82" i="29"/>
  <c r="P82" i="29"/>
  <c r="O82" i="29"/>
  <c r="H82" i="29"/>
  <c r="B82" i="29"/>
  <c r="R81" i="29"/>
  <c r="Q81" i="29"/>
  <c r="P81" i="29"/>
  <c r="O81" i="29"/>
  <c r="H81" i="29"/>
  <c r="B81" i="29"/>
  <c r="R80" i="29"/>
  <c r="Q80" i="29"/>
  <c r="P80" i="29"/>
  <c r="O80" i="29"/>
  <c r="H80" i="29"/>
  <c r="B80" i="29"/>
  <c r="R79" i="29"/>
  <c r="Q79" i="29"/>
  <c r="P79" i="29"/>
  <c r="O79" i="29"/>
  <c r="H79" i="29"/>
  <c r="B79" i="29"/>
  <c r="L78" i="29"/>
  <c r="B78" i="29"/>
  <c r="N77" i="29"/>
  <c r="B77" i="29"/>
  <c r="B76" i="29"/>
  <c r="B75" i="29"/>
  <c r="P74" i="29"/>
  <c r="O74" i="29"/>
  <c r="M74" i="29"/>
  <c r="B74" i="29"/>
  <c r="AF73" i="29"/>
  <c r="AE73" i="29" a="1"/>
  <c r="AE73" i="29" s="1"/>
  <c r="B313" i="29" s="1"/>
  <c r="AD73" i="29"/>
  <c r="AD73" i="29" a="1"/>
  <c r="P73" i="29"/>
  <c r="O73" i="29"/>
  <c r="B73" i="29"/>
  <c r="AF72" i="29"/>
  <c r="AE72" i="29" a="1"/>
  <c r="AE72" i="29" s="1"/>
  <c r="B312" i="29" s="1"/>
  <c r="AD72" i="29"/>
  <c r="AD72" i="29" a="1"/>
  <c r="P72" i="29"/>
  <c r="O72" i="29"/>
  <c r="B72" i="29"/>
  <c r="AF71" i="29"/>
  <c r="AE71" i="29" a="1"/>
  <c r="AE71" i="29" s="1"/>
  <c r="B311" i="29" s="1"/>
  <c r="AD71" i="29"/>
  <c r="AD71" i="29" a="1"/>
  <c r="N71" i="29"/>
  <c r="B71" i="29"/>
  <c r="AF70" i="29"/>
  <c r="AE70" i="29" a="1"/>
  <c r="AE70" i="29" s="1"/>
  <c r="B310" i="29" s="1"/>
  <c r="AD70" i="29"/>
  <c r="AD70" i="29" a="1"/>
  <c r="B70" i="29"/>
  <c r="AF69" i="29"/>
  <c r="AE69" i="29" a="1"/>
  <c r="AE69" i="29" s="1"/>
  <c r="B309" i="29" s="1"/>
  <c r="AD69" i="29"/>
  <c r="AD69" i="29" a="1"/>
  <c r="V69" i="29"/>
  <c r="P69" i="29"/>
  <c r="O69" i="29"/>
  <c r="B69" i="29"/>
  <c r="AF68" i="29"/>
  <c r="AE68" i="29" a="1"/>
  <c r="AE68" i="29" s="1"/>
  <c r="B308" i="29" s="1"/>
  <c r="AD68" i="29"/>
  <c r="AD68" i="29" a="1"/>
  <c r="V68" i="29"/>
  <c r="P68" i="29"/>
  <c r="O68" i="29"/>
  <c r="B68" i="29"/>
  <c r="AF67" i="29"/>
  <c r="AE67" i="29" a="1"/>
  <c r="AE67" i="29" s="1"/>
  <c r="B307" i="29" s="1"/>
  <c r="AD67" i="29"/>
  <c r="AD67" i="29" a="1"/>
  <c r="V67" i="29"/>
  <c r="P67" i="29"/>
  <c r="O67" i="29"/>
  <c r="B67" i="29"/>
  <c r="AF66" i="29"/>
  <c r="AE66" i="29" a="1"/>
  <c r="AE66" i="29" s="1"/>
  <c r="B306" i="29" s="1"/>
  <c r="AD66" i="29"/>
  <c r="AD66" i="29" a="1"/>
  <c r="V66" i="29"/>
  <c r="P66" i="29"/>
  <c r="O66" i="29"/>
  <c r="B66" i="29"/>
  <c r="AF65" i="29"/>
  <c r="AE65" i="29" a="1"/>
  <c r="AE65" i="29" s="1"/>
  <c r="B305" i="29" s="1"/>
  <c r="AD65" i="29"/>
  <c r="AD65" i="29" a="1"/>
  <c r="V65" i="29"/>
  <c r="P65" i="29"/>
  <c r="O65" i="29"/>
  <c r="B65" i="29"/>
  <c r="AF64" i="29"/>
  <c r="AE64" i="29" a="1"/>
  <c r="AE64" i="29" s="1"/>
  <c r="B304" i="29" s="1"/>
  <c r="AD64" i="29"/>
  <c r="AD64" i="29" a="1"/>
  <c r="V64" i="29"/>
  <c r="P64" i="29"/>
  <c r="O64" i="29"/>
  <c r="B64" i="29"/>
  <c r="AF63" i="29"/>
  <c r="AE63" i="29" a="1"/>
  <c r="AE63" i="29" s="1"/>
  <c r="B303" i="29" s="1"/>
  <c r="AD63" i="29"/>
  <c r="AD63" i="29" a="1"/>
  <c r="V63" i="29"/>
  <c r="P63" i="29"/>
  <c r="O63" i="29"/>
  <c r="B63" i="29"/>
  <c r="AF62" i="29"/>
  <c r="AE62" i="29" a="1"/>
  <c r="AE62" i="29" s="1"/>
  <c r="B302" i="29" s="1"/>
  <c r="AD62" i="29"/>
  <c r="AD62" i="29" a="1"/>
  <c r="V62" i="29"/>
  <c r="P62" i="29"/>
  <c r="O62" i="29"/>
  <c r="B62" i="29"/>
  <c r="AF61" i="29"/>
  <c r="AE61" i="29" a="1"/>
  <c r="AE61" i="29" s="1"/>
  <c r="B301" i="29" s="1"/>
  <c r="AD61" i="29"/>
  <c r="AD61" i="29" a="1"/>
  <c r="L61" i="29"/>
  <c r="B61" i="29"/>
  <c r="AF60" i="29"/>
  <c r="AE60" i="29" a="1"/>
  <c r="AE60" i="29" s="1"/>
  <c r="B300" i="29" s="1"/>
  <c r="AD60" i="29"/>
  <c r="AD60" i="29" a="1"/>
  <c r="B60" i="29"/>
  <c r="AF59" i="29"/>
  <c r="AE59" i="29" a="1"/>
  <c r="AE59" i="29" s="1"/>
  <c r="B299" i="29" s="1"/>
  <c r="AD59" i="29"/>
  <c r="AD59" i="29" a="1"/>
  <c r="V59" i="29"/>
  <c r="P59" i="29"/>
  <c r="O59" i="29"/>
  <c r="AJ58" i="29"/>
  <c r="AK58" i="29" s="1"/>
  <c r="AF58" i="29"/>
  <c r="AE58" i="29" a="1"/>
  <c r="AE58" i="29" s="1"/>
  <c r="B298" i="29" s="1"/>
  <c r="AD58" i="29"/>
  <c r="AD58" i="29" a="1"/>
  <c r="V58" i="29"/>
  <c r="P58" i="29"/>
  <c r="O58" i="29"/>
  <c r="AJ57" i="29"/>
  <c r="AK57" i="29" s="1"/>
  <c r="AF57" i="29"/>
  <c r="AE57" i="29" a="1"/>
  <c r="AE57" i="29" s="1"/>
  <c r="B297" i="29" s="1"/>
  <c r="AD57" i="29"/>
  <c r="AD57" i="29" a="1"/>
  <c r="V57" i="29"/>
  <c r="P57" i="29"/>
  <c r="O57" i="29"/>
  <c r="AJ56" i="29"/>
  <c r="AK56" i="29" s="1"/>
  <c r="AF56" i="29"/>
  <c r="AE56" i="29" a="1"/>
  <c r="AE56" i="29" s="1"/>
  <c r="B296" i="29" s="1"/>
  <c r="AD56" i="29"/>
  <c r="AD56" i="29" a="1"/>
  <c r="V56" i="29"/>
  <c r="P56" i="29"/>
  <c r="O56" i="29"/>
  <c r="AF55" i="29"/>
  <c r="AE55" i="29" a="1"/>
  <c r="AE55" i="29" s="1"/>
  <c r="B295" i="29" s="1"/>
  <c r="AD55" i="29"/>
  <c r="AD55" i="29" a="1"/>
  <c r="V55" i="29"/>
  <c r="P55" i="29"/>
  <c r="O55" i="29"/>
  <c r="B55" i="29"/>
  <c r="AF54" i="29"/>
  <c r="AE54" i="29" a="1"/>
  <c r="AE54" i="29" s="1"/>
  <c r="B294" i="29" s="1"/>
  <c r="AD54" i="29"/>
  <c r="AD54" i="29" a="1"/>
  <c r="V54" i="29"/>
  <c r="P54" i="29"/>
  <c r="O54" i="29"/>
  <c r="B54" i="29"/>
  <c r="AF53" i="29"/>
  <c r="AE53" i="29" a="1"/>
  <c r="AE53" i="29" s="1"/>
  <c r="B293" i="29" s="1"/>
  <c r="AD53" i="29"/>
  <c r="AD53" i="29" a="1"/>
  <c r="V53" i="29"/>
  <c r="P53" i="29"/>
  <c r="O53" i="29"/>
  <c r="AJ52" i="29"/>
  <c r="AK52" i="29" s="1"/>
  <c r="AF52" i="29"/>
  <c r="AE52" i="29" a="1"/>
  <c r="AE52" i="29" s="1"/>
  <c r="B292" i="29" s="1"/>
  <c r="AD52" i="29"/>
  <c r="AD52" i="29" a="1"/>
  <c r="V52" i="29"/>
  <c r="P52" i="29"/>
  <c r="O52" i="29"/>
  <c r="B52" i="29"/>
  <c r="AJ51" i="29"/>
  <c r="AK51" i="29" s="1"/>
  <c r="AF51" i="29"/>
  <c r="AE51" i="29" a="1"/>
  <c r="AE51" i="29" s="1"/>
  <c r="B291" i="29" s="1"/>
  <c r="AD51" i="29"/>
  <c r="AD51" i="29" a="1"/>
  <c r="L51" i="29"/>
  <c r="B51" i="29"/>
  <c r="AJ50" i="29"/>
  <c r="AF50" i="29"/>
  <c r="AE50" i="29" a="1"/>
  <c r="AE50" i="29" s="1"/>
  <c r="B290" i="29" s="1"/>
  <c r="AD50" i="29"/>
  <c r="AD50" i="29" a="1"/>
  <c r="AJ49" i="29"/>
  <c r="AK49" i="29" s="1"/>
  <c r="AF49" i="29"/>
  <c r="AE49" i="29" a="1"/>
  <c r="AE49" i="29" s="1"/>
  <c r="B289" i="29" s="1"/>
  <c r="AD49" i="29"/>
  <c r="AD49" i="29" a="1"/>
  <c r="V49" i="29"/>
  <c r="P49" i="29"/>
  <c r="O49" i="29"/>
  <c r="B49" i="29"/>
  <c r="AJ48" i="29"/>
  <c r="AK48" i="29" s="1"/>
  <c r="AF48" i="29"/>
  <c r="AE48" i="29" a="1"/>
  <c r="AE48" i="29" s="1"/>
  <c r="B288" i="29" s="1"/>
  <c r="AD48" i="29"/>
  <c r="AD48" i="29" a="1"/>
  <c r="V48" i="29"/>
  <c r="P48" i="29"/>
  <c r="O48" i="29"/>
  <c r="B48" i="29"/>
  <c r="AJ47" i="29"/>
  <c r="AF47" i="29"/>
  <c r="AE47" i="29" a="1"/>
  <c r="AE47" i="29" s="1"/>
  <c r="B287" i="29" s="1"/>
  <c r="AD47" i="29"/>
  <c r="AD47" i="29" a="1"/>
  <c r="V47" i="29"/>
  <c r="P47" i="29"/>
  <c r="O47" i="29"/>
  <c r="B47" i="29"/>
  <c r="AF46" i="29"/>
  <c r="AE46" i="29" a="1"/>
  <c r="AE46" i="29" s="1"/>
  <c r="B286" i="29" s="1"/>
  <c r="AD46" i="29"/>
  <c r="AD46" i="29" a="1"/>
  <c r="V46" i="29"/>
  <c r="P46" i="29"/>
  <c r="O46" i="29"/>
  <c r="B46" i="29"/>
  <c r="AJ45" i="29"/>
  <c r="AK45" i="29" s="1"/>
  <c r="V45" i="29"/>
  <c r="P45" i="29"/>
  <c r="O45" i="29"/>
  <c r="B45" i="29"/>
  <c r="V44" i="29"/>
  <c r="P44" i="29"/>
  <c r="O44" i="29"/>
  <c r="B44" i="29"/>
  <c r="AJ43" i="29"/>
  <c r="AK43" i="29" s="1"/>
  <c r="V43" i="29"/>
  <c r="P43" i="29"/>
  <c r="O43" i="29"/>
  <c r="B43" i="29"/>
  <c r="AJ42" i="29"/>
  <c r="AK42" i="29" s="1"/>
  <c r="V42" i="29"/>
  <c r="P42" i="29"/>
  <c r="O42" i="29"/>
  <c r="B42" i="29"/>
  <c r="AA41" i="29"/>
  <c r="Z41" i="29" s="1"/>
  <c r="T41" i="29"/>
  <c r="L41" i="29"/>
  <c r="B41" i="29"/>
  <c r="AA40" i="29"/>
  <c r="Z40" i="29" s="1"/>
  <c r="W40" i="29"/>
  <c r="W40" i="29" a="1"/>
  <c r="U40" i="29"/>
  <c r="T40" i="29"/>
  <c r="N40" i="29"/>
  <c r="B40" i="29"/>
  <c r="AA39" i="29"/>
  <c r="Z39" i="29" s="1"/>
  <c r="B39" i="29"/>
  <c r="AJ38" i="29"/>
  <c r="AK38" i="29" s="1"/>
  <c r="AA38" i="29"/>
  <c r="Z38" i="29" s="1"/>
  <c r="V38" i="29"/>
  <c r="P38" i="29"/>
  <c r="O38" i="29"/>
  <c r="M38" i="29"/>
  <c r="B38" i="29"/>
  <c r="AJ37" i="29"/>
  <c r="AK37" i="29" s="1"/>
  <c r="AA37" i="29"/>
  <c r="Z37" i="29" s="1"/>
  <c r="V37" i="29"/>
  <c r="P37" i="29"/>
  <c r="O37" i="29"/>
  <c r="M37" i="29"/>
  <c r="B37" i="29"/>
  <c r="AJ36" i="29"/>
  <c r="AK36" i="29" s="1"/>
  <c r="AA36" i="29"/>
  <c r="Z36" i="29" s="1"/>
  <c r="V36" i="29"/>
  <c r="P36" i="29"/>
  <c r="O36" i="29"/>
  <c r="M36" i="29"/>
  <c r="B36" i="29"/>
  <c r="AJ35" i="29"/>
  <c r="AK35" i="29" s="1"/>
  <c r="AA35" i="29"/>
  <c r="Z35" i="29" s="1"/>
  <c r="L35" i="29"/>
  <c r="B35" i="29"/>
  <c r="AA34" i="29"/>
  <c r="Z34" i="29" s="1"/>
  <c r="B34" i="29"/>
  <c r="AA33" i="29"/>
  <c r="Z33" i="29" s="1"/>
  <c r="P33" i="29"/>
  <c r="O33" i="29"/>
  <c r="M33" i="29"/>
  <c r="B33" i="29"/>
  <c r="AJ32" i="29"/>
  <c r="AK32" i="29" s="1"/>
  <c r="AA32" i="29"/>
  <c r="Z32" i="29" s="1"/>
  <c r="V32" i="29"/>
  <c r="P32" i="29"/>
  <c r="O32" i="29"/>
  <c r="M32" i="29"/>
  <c r="B32" i="29"/>
  <c r="AJ31" i="29"/>
  <c r="AK31" i="29" s="1"/>
  <c r="AF31" i="29"/>
  <c r="AD31" i="29"/>
  <c r="AA31" i="29"/>
  <c r="Z31" i="29" s="1"/>
  <c r="P31" i="29"/>
  <c r="O31" i="29"/>
  <c r="M31" i="29"/>
  <c r="B31" i="29"/>
  <c r="AF30" i="29"/>
  <c r="AD30" i="29"/>
  <c r="AA30" i="29"/>
  <c r="Z30" i="29" s="1"/>
  <c r="L30" i="29"/>
  <c r="B30" i="29"/>
  <c r="AJ29" i="29"/>
  <c r="AK29" i="29" s="1"/>
  <c r="AF29" i="29"/>
  <c r="AD29" i="29"/>
  <c r="AA29" i="29"/>
  <c r="Z29" i="29" s="1"/>
  <c r="B29" i="29"/>
  <c r="AJ28" i="29"/>
  <c r="AK28" i="29" s="1"/>
  <c r="AF28" i="29"/>
  <c r="AD28" i="29"/>
  <c r="AA28" i="29"/>
  <c r="Z28" i="29" s="1"/>
  <c r="V28" i="29"/>
  <c r="P28" i="29"/>
  <c r="O28" i="29"/>
  <c r="M28" i="29"/>
  <c r="B28" i="29"/>
  <c r="AJ27" i="29"/>
  <c r="AK27" i="29" s="1"/>
  <c r="AF27" i="29"/>
  <c r="AD27" i="29"/>
  <c r="AA27" i="29"/>
  <c r="Z27" i="29" s="1"/>
  <c r="V27" i="29"/>
  <c r="P27" i="29"/>
  <c r="O27" i="29"/>
  <c r="M27" i="29"/>
  <c r="B27" i="29"/>
  <c r="AJ26" i="29"/>
  <c r="AK26" i="29" s="1"/>
  <c r="AF26" i="29"/>
  <c r="AD26" i="29"/>
  <c r="AA26" i="29"/>
  <c r="Z26" i="29" s="1"/>
  <c r="V26" i="29"/>
  <c r="P26" i="29"/>
  <c r="O26" i="29"/>
  <c r="M26" i="29"/>
  <c r="B26" i="29"/>
  <c r="AJ25" i="29"/>
  <c r="AK25" i="29" s="1"/>
  <c r="AF25" i="29"/>
  <c r="AD25" i="29"/>
  <c r="AA25" i="29"/>
  <c r="Z25" i="29" s="1"/>
  <c r="L25" i="29"/>
  <c r="B25" i="29"/>
  <c r="AF24" i="29"/>
  <c r="AD24" i="29"/>
  <c r="AA24" i="29"/>
  <c r="Z24" i="29" s="1"/>
  <c r="B24" i="29"/>
  <c r="AJ23" i="29"/>
  <c r="AK23" i="29" s="1"/>
  <c r="AF23" i="29"/>
  <c r="AD23" i="29"/>
  <c r="AA23" i="29"/>
  <c r="Z23" i="29" s="1"/>
  <c r="N23" i="29"/>
  <c r="B23" i="29"/>
  <c r="AJ22" i="29"/>
  <c r="AK22" i="29" s="1"/>
  <c r="AF22" i="29"/>
  <c r="AD22" i="29"/>
  <c r="AA22" i="29"/>
  <c r="Z22" i="29" s="1"/>
  <c r="AJ21" i="29"/>
  <c r="AK21" i="29" s="1"/>
  <c r="AF21" i="29"/>
  <c r="AD21" i="29"/>
  <c r="AA21" i="29"/>
  <c r="N21" i="29"/>
  <c r="B21" i="29"/>
  <c r="AJ20" i="29"/>
  <c r="AK20" i="29" s="1"/>
  <c r="AF20" i="29"/>
  <c r="AD20" i="29"/>
  <c r="AA20" i="29"/>
  <c r="N20" i="29"/>
  <c r="AF19" i="29"/>
  <c r="AD19" i="29"/>
  <c r="AA19" i="29"/>
  <c r="N19" i="29"/>
  <c r="B19" i="29"/>
  <c r="AF18" i="29"/>
  <c r="AD18" i="29"/>
  <c r="AA18" i="29"/>
  <c r="N18" i="29"/>
  <c r="B18" i="29"/>
  <c r="AJ17" i="29"/>
  <c r="AK17" i="29" s="1"/>
  <c r="AF17" i="29"/>
  <c r="AD17" i="29"/>
  <c r="AA17" i="29"/>
  <c r="N17" i="29"/>
  <c r="B17" i="29"/>
  <c r="AF16" i="29"/>
  <c r="AD16" i="29"/>
  <c r="AA16" i="29"/>
  <c r="N16" i="29"/>
  <c r="B16" i="29"/>
  <c r="AF15" i="29"/>
  <c r="AD15" i="29"/>
  <c r="AA15" i="29"/>
  <c r="B15" i="29"/>
  <c r="AF14" i="29"/>
  <c r="AD14" i="29"/>
  <c r="AA14" i="29"/>
  <c r="B14" i="29"/>
  <c r="AF13" i="29"/>
  <c r="AD13" i="29"/>
  <c r="AA13" i="29"/>
  <c r="AJ12" i="29"/>
  <c r="AK12" i="29" s="1"/>
  <c r="AF12" i="29"/>
  <c r="AD12" i="29"/>
  <c r="AA12" i="29"/>
  <c r="O12" i="29"/>
  <c r="N12" i="29"/>
  <c r="B12" i="29"/>
  <c r="B13" i="29" s="1"/>
  <c r="AJ11" i="29"/>
  <c r="AK11" i="29" s="1"/>
  <c r="AF11" i="29"/>
  <c r="AD11" i="29"/>
  <c r="AA11" i="29"/>
  <c r="O11" i="29"/>
  <c r="N11" i="29"/>
  <c r="B11" i="29"/>
  <c r="AJ10" i="29"/>
  <c r="AK10" i="29" s="1"/>
  <c r="AF10" i="29"/>
  <c r="AD10" i="29"/>
  <c r="AA10" i="29"/>
  <c r="O10" i="29"/>
  <c r="N10" i="29"/>
  <c r="AF9" i="29"/>
  <c r="AD9" i="29"/>
  <c r="AA9" i="29"/>
  <c r="O9" i="29"/>
  <c r="N9" i="29"/>
  <c r="B9" i="29"/>
  <c r="B10" i="29" s="1"/>
  <c r="AJ8" i="29"/>
  <c r="AK8" i="29" s="1"/>
  <c r="AF8" i="29"/>
  <c r="AD8" i="29"/>
  <c r="AA8" i="29"/>
  <c r="O8" i="29"/>
  <c r="N8" i="29"/>
  <c r="G8" i="29"/>
  <c r="D8" i="29"/>
  <c r="B8" i="29"/>
  <c r="AJ7" i="29"/>
  <c r="AK7" i="29" s="1"/>
  <c r="AF7" i="29"/>
  <c r="AD7" i="29"/>
  <c r="AA7" i="29"/>
  <c r="N7" i="29"/>
  <c r="D7" i="29"/>
  <c r="B7" i="29"/>
  <c r="AF6" i="29"/>
  <c r="AD6" i="29"/>
  <c r="AA6" i="29"/>
  <c r="B6" i="29"/>
  <c r="AJ5" i="29"/>
  <c r="AK5" i="29" s="1"/>
  <c r="AF5" i="29"/>
  <c r="AD5" i="29"/>
  <c r="AA5" i="29"/>
  <c r="N5" i="29"/>
  <c r="B5" i="29"/>
  <c r="AF4" i="29"/>
  <c r="AD4" i="29"/>
  <c r="AA4" i="29"/>
  <c r="N4" i="29"/>
  <c r="AJ3" i="29"/>
  <c r="AK3" i="29" s="1"/>
  <c r="AF3" i="29"/>
  <c r="AD3" i="29"/>
  <c r="AA3" i="29"/>
  <c r="AJ2" i="29"/>
  <c r="AK2" i="29" s="1"/>
  <c r="AA2" i="29"/>
  <c r="B2" i="29"/>
  <c r="A38" i="69"/>
  <c r="A37" i="69"/>
  <c r="A36" i="69"/>
  <c r="A35" i="69"/>
  <c r="A34" i="69"/>
  <c r="A33" i="69"/>
  <c r="A32" i="69"/>
  <c r="A31" i="69"/>
  <c r="A30" i="69"/>
  <c r="K29" i="69"/>
  <c r="A29" i="69"/>
  <c r="K28" i="69"/>
  <c r="A28" i="69"/>
  <c r="A27" i="69"/>
  <c r="A26" i="69"/>
  <c r="A25" i="69"/>
  <c r="A24" i="69"/>
  <c r="A23" i="69"/>
  <c r="A22" i="69"/>
  <c r="A21" i="69"/>
  <c r="N20" i="69"/>
  <c r="A20" i="69"/>
  <c r="A19" i="69"/>
  <c r="A18" i="69"/>
  <c r="N17" i="69"/>
  <c r="A17" i="69"/>
  <c r="A16" i="69"/>
  <c r="N15" i="69"/>
  <c r="A15" i="69"/>
  <c r="A14" i="69"/>
  <c r="A13" i="69"/>
  <c r="A12" i="69"/>
  <c r="A11" i="69"/>
  <c r="A10" i="69"/>
  <c r="A9" i="69"/>
  <c r="A8" i="69"/>
  <c r="A7" i="69"/>
  <c r="A6" i="69"/>
  <c r="A5" i="69"/>
  <c r="A4" i="69"/>
  <c r="A3" i="69"/>
  <c r="D2" i="69" a="1"/>
  <c r="D2" i="69" s="1"/>
  <c r="C2" i="69" a="1"/>
  <c r="C2" i="69" s="1"/>
  <c r="B2" i="69" a="1"/>
  <c r="B2" i="69" s="1"/>
  <c r="I12" i="68"/>
  <c r="N12" i="68" s="1"/>
  <c r="S12" i="68" s="1"/>
  <c r="B10" i="68" a="1"/>
  <c r="B10" i="68" s="1"/>
  <c r="B9" i="68" a="1"/>
  <c r="B9" i="68" s="1"/>
  <c r="B8" i="68" a="1"/>
  <c r="B8" i="68" s="1"/>
  <c r="B7" i="68" a="1"/>
  <c r="B7" i="68" s="1"/>
  <c r="B5" i="68" a="1"/>
  <c r="B5" i="68" s="1"/>
  <c r="B4" i="68" a="1"/>
  <c r="B4" i="68" s="1"/>
  <c r="B3" i="68" a="1"/>
  <c r="B3" i="68" s="1"/>
  <c r="B2" i="68" a="1"/>
  <c r="B2" i="68" s="1"/>
  <c r="B1" i="68" a="1"/>
  <c r="B1" i="68" s="1"/>
  <c r="B50" i="104"/>
  <c r="B59" i="104"/>
  <c r="P220" i="104"/>
  <c r="P75" i="104"/>
  <c r="B247" i="104"/>
  <c r="B248" i="104"/>
  <c r="B58" i="104"/>
  <c r="B88" i="73" l="1"/>
  <c r="B86" i="73"/>
  <c r="R129" i="73"/>
  <c r="R128" i="73"/>
  <c r="R127" i="73"/>
  <c r="AA96" i="104" a="1"/>
  <c r="AA96" i="104" s="1"/>
  <c r="AA95" i="104" a="1"/>
  <c r="AA95" i="104" s="1"/>
  <c r="AA94" i="104" a="1"/>
  <c r="AA94" i="104" s="1"/>
  <c r="AA93" i="104" a="1"/>
  <c r="AA93" i="104" s="1"/>
  <c r="AA92" i="104" a="1"/>
  <c r="AA92" i="104" s="1"/>
  <c r="AK16" i="104"/>
  <c r="AA101" i="104" a="1"/>
  <c r="AA101" i="104" s="1"/>
  <c r="AA100" i="104" a="1"/>
  <c r="AA100" i="104" s="1"/>
  <c r="AA99" i="104" a="1"/>
  <c r="AA99" i="104" s="1"/>
  <c r="AA98" i="104" a="1"/>
  <c r="AA98" i="104" s="1"/>
  <c r="AA97" i="104" a="1"/>
  <c r="AA97" i="104" s="1"/>
  <c r="AK18" i="104"/>
  <c r="AA111" i="104" a="1"/>
  <c r="AA111" i="104" s="1"/>
  <c r="AA110" i="104" a="1"/>
  <c r="AA110" i="104" s="1"/>
  <c r="AA109" i="104" a="1"/>
  <c r="AA109" i="104" s="1"/>
  <c r="AA108" i="104" a="1"/>
  <c r="AA108" i="104" s="1"/>
  <c r="AA107" i="104" a="1"/>
  <c r="AA107" i="104" s="1"/>
  <c r="AK54" i="104"/>
  <c r="P187" i="104"/>
  <c r="AJ13" i="104" s="1"/>
  <c r="P190" i="104"/>
  <c r="AJ40" i="104" s="1"/>
  <c r="AA48" i="104" a="1"/>
  <c r="AA48" i="104" s="1"/>
  <c r="AA47" i="104" a="1"/>
  <c r="AA47" i="104" s="1"/>
  <c r="AA46" i="104" a="1"/>
  <c r="AA46" i="104" s="1"/>
  <c r="AA45" i="104" a="1"/>
  <c r="AA45" i="104" s="1"/>
  <c r="AA44" i="104" a="1"/>
  <c r="AA44" i="104" s="1"/>
  <c r="AK4" i="104"/>
  <c r="AA53" i="104" a="1"/>
  <c r="AA53" i="104" s="1"/>
  <c r="AA52" i="104" a="1"/>
  <c r="AA52" i="104" s="1"/>
  <c r="AA51" i="104" a="1"/>
  <c r="AA51" i="104" s="1"/>
  <c r="AA50" i="104" a="1"/>
  <c r="AA50" i="104" s="1"/>
  <c r="AA49" i="104" a="1"/>
  <c r="AA49" i="104" s="1"/>
  <c r="AK6" i="104"/>
  <c r="Y54" i="104"/>
  <c r="AJ9" i="104"/>
  <c r="AA59" i="104" a="1"/>
  <c r="AA59" i="104" s="1"/>
  <c r="AA58" i="104" a="1"/>
  <c r="AA58" i="104" s="1"/>
  <c r="AA57" i="104" a="1"/>
  <c r="AA57" i="104" s="1"/>
  <c r="AA56" i="104" a="1"/>
  <c r="AA56" i="104" s="1"/>
  <c r="AA55" i="104" a="1"/>
  <c r="AA55" i="104" s="1"/>
  <c r="AK19" i="104"/>
  <c r="AA64" i="104" a="1"/>
  <c r="AA64" i="104" s="1"/>
  <c r="AA63" i="104" a="1"/>
  <c r="AA63" i="104" s="1"/>
  <c r="AA62" i="104" a="1"/>
  <c r="AA62" i="104" s="1"/>
  <c r="AA61" i="104" a="1"/>
  <c r="AA61" i="104" s="1"/>
  <c r="AA60" i="104" a="1"/>
  <c r="AA60" i="104" s="1"/>
  <c r="AK30" i="104"/>
  <c r="AA69" i="104" a="1"/>
  <c r="AA69" i="104" s="1"/>
  <c r="AA68" i="104" a="1"/>
  <c r="AA68" i="104" s="1"/>
  <c r="AA67" i="104" a="1"/>
  <c r="AA67" i="104" s="1"/>
  <c r="AA66" i="104" a="1"/>
  <c r="AA66" i="104" s="1"/>
  <c r="AA65" i="104" a="1"/>
  <c r="AA65" i="104" s="1"/>
  <c r="AK33" i="104"/>
  <c r="AA74" i="104" a="1"/>
  <c r="AA74" i="104" s="1"/>
  <c r="AA73" i="104" a="1"/>
  <c r="AA73" i="104" s="1"/>
  <c r="AA72" i="104" a="1"/>
  <c r="AA72" i="104" s="1"/>
  <c r="AA71" i="104" a="1"/>
  <c r="AA71" i="104" s="1"/>
  <c r="AA70" i="104" a="1"/>
  <c r="AA70" i="104" s="1"/>
  <c r="AK34" i="104"/>
  <c r="AA79" i="104" a="1"/>
  <c r="AA79" i="104" s="1"/>
  <c r="AA78" i="104" a="1"/>
  <c r="AA78" i="104" s="1"/>
  <c r="AA77" i="104" a="1"/>
  <c r="AA77" i="104" s="1"/>
  <c r="AA76" i="104" a="1"/>
  <c r="AA76" i="104" s="1"/>
  <c r="AA75" i="104" a="1"/>
  <c r="AA75" i="104" s="1"/>
  <c r="AK39" i="104"/>
  <c r="Y80" i="104"/>
  <c r="AA80" i="104" s="1" a="1"/>
  <c r="AA80" i="104" s="1"/>
  <c r="AJ41" i="104"/>
  <c r="V33" i="104"/>
  <c r="Y81" i="104"/>
  <c r="AA81" i="104" s="1" a="1"/>
  <c r="AA81" i="104" s="1"/>
  <c r="AJ55" i="104"/>
  <c r="V31" i="104"/>
  <c r="AD134" i="104" a="1"/>
  <c r="AD134" i="104" s="1"/>
  <c r="B197" i="104" s="1"/>
  <c r="AC134" i="104" a="1"/>
  <c r="AC134" i="104" s="1"/>
  <c r="AJ57" i="104"/>
  <c r="AK57" i="104" s="1"/>
  <c r="B55" i="104"/>
  <c r="B54" i="104"/>
  <c r="B356" i="104"/>
  <c r="AJ15" i="104"/>
  <c r="AK15" i="104" s="1"/>
  <c r="B57" i="104"/>
  <c r="B56" i="104"/>
  <c r="AF2" i="104"/>
  <c r="B145" i="104" s="1"/>
  <c r="AD2" i="104"/>
  <c r="B115" i="104" s="1"/>
  <c r="B107" i="91"/>
  <c r="B112" i="91"/>
  <c r="B109" i="91"/>
  <c r="P84" i="91"/>
  <c r="P89" i="91"/>
  <c r="P149" i="91"/>
  <c r="P150" i="91"/>
  <c r="P194" i="91"/>
  <c r="AA112" i="91" s="1"/>
  <c r="P201" i="91"/>
  <c r="AA119" i="91" s="1"/>
  <c r="P214" i="91"/>
  <c r="O170" i="74"/>
  <c r="P170" i="74" s="1"/>
  <c r="O172" i="78"/>
  <c r="P172" i="78" s="1"/>
  <c r="O174" i="76"/>
  <c r="P174" i="76" s="1"/>
  <c r="O170" i="79"/>
  <c r="P170" i="79" s="1"/>
  <c r="O167" i="80"/>
  <c r="P167" i="80" s="1"/>
  <c r="Y54" i="80" s="1"/>
  <c r="O166" i="84"/>
  <c r="P166" i="84" s="1"/>
  <c r="O174" i="75"/>
  <c r="P174" i="75" s="1"/>
  <c r="O171" i="79"/>
  <c r="P171" i="79" s="1"/>
  <c r="O166" i="80"/>
  <c r="P166" i="80" s="1"/>
  <c r="O165" i="81"/>
  <c r="P165" i="81" s="1"/>
  <c r="O166" i="102"/>
  <c r="P166" i="102" s="1"/>
  <c r="O170" i="73"/>
  <c r="P170" i="73" s="1"/>
  <c r="O170" i="78"/>
  <c r="P170" i="78" s="1"/>
  <c r="O171" i="81"/>
  <c r="P171" i="81" s="1"/>
  <c r="O170" i="89"/>
  <c r="P170" i="89" s="1"/>
  <c r="AJ33" i="89" s="1"/>
  <c r="O167" i="29"/>
  <c r="P167" i="29" s="1"/>
  <c r="Y54" i="29" s="1"/>
  <c r="AA54" i="29" s="1" a="1"/>
  <c r="AA54" i="29" s="1"/>
  <c r="O174" i="29"/>
  <c r="P174" i="29" s="1"/>
  <c r="O173" i="96"/>
  <c r="P173" i="96" s="1"/>
  <c r="O165" i="29"/>
  <c r="P165" i="29" s="1"/>
  <c r="O167" i="75"/>
  <c r="P167" i="75" s="1"/>
  <c r="Y54" i="75" s="1"/>
  <c r="AA54" i="75" s="1" a="1"/>
  <c r="AA54" i="75" s="1"/>
  <c r="O174" i="77"/>
  <c r="P174" i="77" s="1"/>
  <c r="V31" i="77" s="1"/>
  <c r="B20" i="77" s="1"/>
  <c r="O168" i="74"/>
  <c r="P168" i="74" s="1"/>
  <c r="O169" i="75"/>
  <c r="P169" i="75" s="1"/>
  <c r="O169" i="74"/>
  <c r="P169" i="74" s="1"/>
  <c r="O169" i="34"/>
  <c r="P169" i="34" s="1"/>
  <c r="O167" i="82"/>
  <c r="P167" i="82" s="1"/>
  <c r="Y54" i="82" s="1"/>
  <c r="AA54" i="82" s="1" a="1"/>
  <c r="AA54" i="82" s="1"/>
  <c r="O173" i="103"/>
  <c r="P173" i="103" s="1"/>
  <c r="V33" i="103" s="1"/>
  <c r="Y81" i="74"/>
  <c r="AA81" i="74" s="1" a="1"/>
  <c r="AA81" i="74" s="1"/>
  <c r="V31" i="74"/>
  <c r="AK50" i="74" s="1"/>
  <c r="Y81" i="76"/>
  <c r="AA81" i="76" s="1" a="1"/>
  <c r="AA81" i="76" s="1"/>
  <c r="V31" i="76"/>
  <c r="AK50" i="76" s="1"/>
  <c r="V31" i="75"/>
  <c r="Y81" i="75"/>
  <c r="AA81" i="75" s="1" a="1"/>
  <c r="AA81" i="75" s="1"/>
  <c r="Y81" i="29"/>
  <c r="AA81" i="29" s="1" a="1"/>
  <c r="AA81" i="29" s="1"/>
  <c r="V31" i="29"/>
  <c r="B20" i="29" s="1"/>
  <c r="Y81" i="77"/>
  <c r="AA81" i="77" s="1" a="1"/>
  <c r="AA81" i="77" s="1"/>
  <c r="O172" i="34"/>
  <c r="P172" i="34" s="1"/>
  <c r="O171" i="29"/>
  <c r="P171" i="29" s="1"/>
  <c r="O171" i="73"/>
  <c r="P171" i="73" s="1"/>
  <c r="O170" i="75"/>
  <c r="P170" i="75" s="1"/>
  <c r="O167" i="76"/>
  <c r="P167" i="76" s="1"/>
  <c r="Y54" i="76" s="1"/>
  <c r="AA54" i="76" s="1" a="1"/>
  <c r="AA54" i="76" s="1"/>
  <c r="O167" i="77"/>
  <c r="P167" i="77" s="1"/>
  <c r="Y54" i="77" s="1"/>
  <c r="O165" i="78"/>
  <c r="P165" i="78" s="1"/>
  <c r="O173" i="78"/>
  <c r="P173" i="78" s="1"/>
  <c r="O172" i="92"/>
  <c r="P172" i="92" s="1"/>
  <c r="AK50" i="29"/>
  <c r="O166" i="29"/>
  <c r="P166" i="29" s="1"/>
  <c r="O171" i="74"/>
  <c r="P171" i="74" s="1"/>
  <c r="O165" i="34"/>
  <c r="P165" i="34" s="1"/>
  <c r="O173" i="34"/>
  <c r="P173" i="34" s="1"/>
  <c r="O172" i="79"/>
  <c r="P172" i="79" s="1"/>
  <c r="O173" i="89"/>
  <c r="P173" i="89" s="1"/>
  <c r="O172" i="73"/>
  <c r="P172" i="73" s="1"/>
  <c r="O171" i="75"/>
  <c r="P171" i="75" s="1"/>
  <c r="O168" i="76"/>
  <c r="P168" i="76" s="1"/>
  <c r="O168" i="77"/>
  <c r="P168" i="77" s="1"/>
  <c r="O166" i="78"/>
  <c r="P166" i="78" s="1"/>
  <c r="O174" i="78"/>
  <c r="P174" i="78" s="1"/>
  <c r="O172" i="29"/>
  <c r="P172" i="29" s="1"/>
  <c r="O172" i="74"/>
  <c r="P172" i="74" s="1"/>
  <c r="O166" i="34"/>
  <c r="P166" i="34" s="1"/>
  <c r="AJ6" i="34" s="1"/>
  <c r="O174" i="34"/>
  <c r="P174" i="34" s="1"/>
  <c r="V31" i="34" s="1"/>
  <c r="O165" i="79"/>
  <c r="P165" i="79" s="1"/>
  <c r="O173" i="79"/>
  <c r="P173" i="79" s="1"/>
  <c r="O173" i="82"/>
  <c r="P173" i="82" s="1"/>
  <c r="O166" i="89"/>
  <c r="P166" i="89" s="1"/>
  <c r="O165" i="73"/>
  <c r="P165" i="73" s="1"/>
  <c r="AJ4" i="73" s="1"/>
  <c r="AA45" i="73" s="1" a="1"/>
  <c r="AA45" i="73" s="1"/>
  <c r="O173" i="73"/>
  <c r="P173" i="73" s="1"/>
  <c r="O172" i="75"/>
  <c r="P172" i="75" s="1"/>
  <c r="O169" i="76"/>
  <c r="P169" i="76" s="1"/>
  <c r="O169" i="77"/>
  <c r="P169" i="77" s="1"/>
  <c r="O167" i="78"/>
  <c r="P167" i="78" s="1"/>
  <c r="Y54" i="78" s="1"/>
  <c r="AA54" i="78" s="1" a="1"/>
  <c r="AA54" i="78" s="1"/>
  <c r="O169" i="81"/>
  <c r="P169" i="81" s="1"/>
  <c r="O169" i="88"/>
  <c r="P169" i="88" s="1"/>
  <c r="O167" i="89"/>
  <c r="P167" i="89" s="1"/>
  <c r="Y54" i="89" s="1"/>
  <c r="AA54" i="89" s="1" a="1"/>
  <c r="AA54" i="89" s="1"/>
  <c r="O165" i="74"/>
  <c r="P165" i="74" s="1"/>
  <c r="O173" i="74"/>
  <c r="P173" i="74" s="1"/>
  <c r="AJ41" i="74" s="1"/>
  <c r="O167" i="34"/>
  <c r="P167" i="34" s="1"/>
  <c r="Y54" i="34" s="1"/>
  <c r="O166" i="79"/>
  <c r="P166" i="79" s="1"/>
  <c r="O174" i="79"/>
  <c r="P174" i="79" s="1"/>
  <c r="O166" i="81"/>
  <c r="P166" i="81" s="1"/>
  <c r="O167" i="90"/>
  <c r="P167" i="90" s="1"/>
  <c r="Y54" i="90" s="1"/>
  <c r="AA54" i="90" s="1" a="1"/>
  <c r="AA54" i="90" s="1"/>
  <c r="O170" i="95"/>
  <c r="P170" i="95" s="1"/>
  <c r="O173" i="29"/>
  <c r="P173" i="29" s="1"/>
  <c r="O166" i="73"/>
  <c r="P166" i="73" s="1"/>
  <c r="O174" i="73"/>
  <c r="P174" i="73" s="1"/>
  <c r="O165" i="75"/>
  <c r="P165" i="75" s="1"/>
  <c r="O173" i="75"/>
  <c r="P173" i="75" s="1"/>
  <c r="O170" i="76"/>
  <c r="P170" i="76" s="1"/>
  <c r="O170" i="77"/>
  <c r="P170" i="77" s="1"/>
  <c r="O168" i="78"/>
  <c r="P168" i="78" s="1"/>
  <c r="O165" i="82"/>
  <c r="P165" i="82" s="1"/>
  <c r="O171" i="83"/>
  <c r="P171" i="83" s="1"/>
  <c r="AJ34" i="83" s="1"/>
  <c r="AA72" i="83" s="1" a="1"/>
  <c r="AA72" i="83" s="1"/>
  <c r="O167" i="101"/>
  <c r="P167" i="101" s="1"/>
  <c r="Y54" i="101" s="1"/>
  <c r="O166" i="82"/>
  <c r="P166" i="82" s="1"/>
  <c r="O165" i="101"/>
  <c r="P165" i="101" s="1"/>
  <c r="O167" i="73"/>
  <c r="P167" i="73" s="1"/>
  <c r="Y54" i="73" s="1"/>
  <c r="O166" i="75"/>
  <c r="P166" i="75" s="1"/>
  <c r="O171" i="76"/>
  <c r="P171" i="76" s="1"/>
  <c r="O171" i="77"/>
  <c r="P171" i="77" s="1"/>
  <c r="O165" i="88"/>
  <c r="P165" i="88" s="1"/>
  <c r="O166" i="90"/>
  <c r="P166" i="90" s="1"/>
  <c r="O171" i="93"/>
  <c r="P171" i="93" s="1"/>
  <c r="O168" i="79"/>
  <c r="P168" i="79" s="1"/>
  <c r="O167" i="81"/>
  <c r="P167" i="81" s="1"/>
  <c r="Y54" i="81" s="1"/>
  <c r="AA54" i="81" s="1" a="1"/>
  <c r="AA54" i="81" s="1"/>
  <c r="O170" i="90"/>
  <c r="P170" i="90" s="1"/>
  <c r="O168" i="73"/>
  <c r="P168" i="73" s="1"/>
  <c r="O172" i="76"/>
  <c r="P172" i="76" s="1"/>
  <c r="O172" i="77"/>
  <c r="P172" i="77" s="1"/>
  <c r="O170" i="96"/>
  <c r="P170" i="96" s="1"/>
  <c r="AK50" i="75"/>
  <c r="O170" i="34"/>
  <c r="P170" i="34" s="1"/>
  <c r="O169" i="79"/>
  <c r="P169" i="79" s="1"/>
  <c r="O173" i="76"/>
  <c r="P173" i="76" s="1"/>
  <c r="O173" i="77"/>
  <c r="P173" i="77" s="1"/>
  <c r="O171" i="78"/>
  <c r="P171" i="78" s="1"/>
  <c r="O167" i="85"/>
  <c r="P167" i="85" s="1"/>
  <c r="Y54" i="85" s="1"/>
  <c r="O172" i="96"/>
  <c r="P172" i="96" s="1"/>
  <c r="O166" i="99"/>
  <c r="P166" i="99" s="1"/>
  <c r="O169" i="29"/>
  <c r="P169" i="29" s="1"/>
  <c r="O169" i="73"/>
  <c r="P169" i="73" s="1"/>
  <c r="O165" i="76"/>
  <c r="P165" i="76" s="1"/>
  <c r="O165" i="77"/>
  <c r="P165" i="77" s="1"/>
  <c r="AJ4" i="77" s="1"/>
  <c r="AA48" i="77" s="1" a="1"/>
  <c r="AA48" i="77" s="1"/>
  <c r="O170" i="29"/>
  <c r="P170" i="29" s="1"/>
  <c r="AJ33" i="29" s="1"/>
  <c r="AK33" i="29" s="1"/>
  <c r="O166" i="76"/>
  <c r="P166" i="76" s="1"/>
  <c r="O166" i="77"/>
  <c r="P166" i="77" s="1"/>
  <c r="O173" i="97"/>
  <c r="P173" i="97" s="1"/>
  <c r="V33" i="97" s="1"/>
  <c r="O171" i="94"/>
  <c r="P171" i="94" s="1"/>
  <c r="T41" i="91"/>
  <c r="T40" i="91"/>
  <c r="P177" i="83"/>
  <c r="AA82" i="83" s="1"/>
  <c r="M74" i="95"/>
  <c r="AJ10" i="103"/>
  <c r="AK10" i="103" s="1"/>
  <c r="M74" i="86"/>
  <c r="B24" i="85"/>
  <c r="B25" i="80"/>
  <c r="AJ31" i="79"/>
  <c r="AK31" i="79" s="1"/>
  <c r="AJ26" i="79"/>
  <c r="AK26" i="79" s="1"/>
  <c r="AJ50" i="79"/>
  <c r="M74" i="79"/>
  <c r="P74" i="79" s="1"/>
  <c r="AJ42" i="79"/>
  <c r="AK42" i="79" s="1"/>
  <c r="AJ58" i="79"/>
  <c r="B55" i="34"/>
  <c r="B54" i="34"/>
  <c r="AJ57" i="34"/>
  <c r="AK57" i="34" s="1"/>
  <c r="F244" i="34" a="1"/>
  <c r="F244" i="34" s="1"/>
  <c r="B365" i="34" s="1"/>
  <c r="AJ26" i="34"/>
  <c r="AK26" i="34" s="1"/>
  <c r="B19" i="34"/>
  <c r="B23" i="34"/>
  <c r="B55" i="78"/>
  <c r="B54" i="78"/>
  <c r="AJ57" i="78"/>
  <c r="AK57" i="78" s="1"/>
  <c r="AJ26" i="78"/>
  <c r="AK26" i="78" s="1"/>
  <c r="AJ50" i="78"/>
  <c r="B18" i="78"/>
  <c r="B19" i="78"/>
  <c r="AJ42" i="78"/>
  <c r="AK42" i="78" s="1"/>
  <c r="AJ17" i="78"/>
  <c r="AJ47" i="78"/>
  <c r="B24" i="78"/>
  <c r="B23" i="77"/>
  <c r="B24" i="77"/>
  <c r="M74" i="77"/>
  <c r="P74" i="77" s="1"/>
  <c r="AJ58" i="77"/>
  <c r="AJ50" i="77"/>
  <c r="B19" i="76"/>
  <c r="M74" i="76"/>
  <c r="P74" i="76" s="1"/>
  <c r="B24" i="76"/>
  <c r="AJ26" i="76"/>
  <c r="AK26" i="76" s="1"/>
  <c r="M74" i="75"/>
  <c r="P74" i="75" s="1"/>
  <c r="AJ58" i="75"/>
  <c r="B17" i="75"/>
  <c r="AJ47" i="75"/>
  <c r="B20" i="75"/>
  <c r="AJ38" i="75"/>
  <c r="AK38" i="75" s="1"/>
  <c r="B24" i="75"/>
  <c r="AJ47" i="74"/>
  <c r="AJ10" i="74"/>
  <c r="AK10" i="74" s="1"/>
  <c r="B18" i="74"/>
  <c r="B17" i="74"/>
  <c r="AJ31" i="74"/>
  <c r="AK31" i="74" s="1"/>
  <c r="B20" i="74"/>
  <c r="M74" i="74"/>
  <c r="P74" i="74" s="1"/>
  <c r="B18" i="73"/>
  <c r="AJ58" i="73"/>
  <c r="AK58" i="73" s="1"/>
  <c r="AJ50" i="73"/>
  <c r="B25" i="73"/>
  <c r="AJ10" i="73"/>
  <c r="AK10" i="73" s="1"/>
  <c r="B19" i="73"/>
  <c r="AJ42" i="73"/>
  <c r="AK42" i="73" s="1"/>
  <c r="M74" i="73"/>
  <c r="P74" i="73" s="1"/>
  <c r="B17" i="73"/>
  <c r="AJ26" i="73"/>
  <c r="AK26" i="73" s="1"/>
  <c r="AJ17" i="73"/>
  <c r="B21" i="73"/>
  <c r="B23" i="73"/>
  <c r="B24" i="73"/>
  <c r="O10" i="34"/>
  <c r="O11" i="34"/>
  <c r="M187" i="92"/>
  <c r="P180" i="92"/>
  <c r="AA85" i="92" s="1"/>
  <c r="B43" i="79"/>
  <c r="B30" i="94"/>
  <c r="AJ32" i="94"/>
  <c r="AK32" i="94" s="1"/>
  <c r="B41" i="94"/>
  <c r="AJ56" i="94"/>
  <c r="AK56" i="94" s="1"/>
  <c r="B45" i="94"/>
  <c r="AJ27" i="94"/>
  <c r="AK27" i="94" s="1"/>
  <c r="B48" i="94"/>
  <c r="AJ49" i="94"/>
  <c r="AK49" i="94" s="1"/>
  <c r="B36" i="94"/>
  <c r="AJ20" i="94"/>
  <c r="AK20" i="94" s="1"/>
  <c r="B39" i="94"/>
  <c r="AJ48" i="94"/>
  <c r="AK48" i="94" s="1"/>
  <c r="AJ36" i="94"/>
  <c r="AK36" i="94" s="1"/>
  <c r="B46" i="94"/>
  <c r="AE155" i="94"/>
  <c r="B99" i="94"/>
  <c r="L193" i="94"/>
  <c r="L186" i="94"/>
  <c r="AJ37" i="94"/>
  <c r="AK37" i="94" s="1"/>
  <c r="B32" i="94"/>
  <c r="B101" i="94"/>
  <c r="U40" i="94"/>
  <c r="T41" i="94"/>
  <c r="T40" i="94"/>
  <c r="N9" i="94" s="1"/>
  <c r="B26" i="94"/>
  <c r="P200" i="94"/>
  <c r="AA118" i="94" s="1"/>
  <c r="P92" i="94"/>
  <c r="P208" i="94"/>
  <c r="P96" i="94"/>
  <c r="P155" i="94"/>
  <c r="AA151" i="94" s="1"/>
  <c r="P201" i="94"/>
  <c r="AA119" i="94" s="1"/>
  <c r="P83" i="94"/>
  <c r="P194" i="94"/>
  <c r="AA112" i="94" s="1"/>
  <c r="P90" i="94"/>
  <c r="P202" i="94"/>
  <c r="AA120" i="94" s="1"/>
  <c r="B88" i="94"/>
  <c r="P207" i="94"/>
  <c r="W40" i="94" s="1" a="1"/>
  <c r="W40" i="94" s="1"/>
  <c r="P177" i="94"/>
  <c r="AA82" i="94" s="1"/>
  <c r="P181" i="94"/>
  <c r="AA86" i="94" s="1"/>
  <c r="B31" i="88"/>
  <c r="B35" i="96"/>
  <c r="P213" i="103"/>
  <c r="P212" i="103"/>
  <c r="P138" i="103"/>
  <c r="P141" i="103"/>
  <c r="P80" i="103"/>
  <c r="AA3" i="103" s="1"/>
  <c r="P84" i="103"/>
  <c r="AA7" i="103" s="1"/>
  <c r="M187" i="103"/>
  <c r="M189" i="103"/>
  <c r="P82" i="103"/>
  <c r="AA5" i="103" s="1"/>
  <c r="P79" i="103"/>
  <c r="AA2" i="103" s="1"/>
  <c r="AE155" i="103"/>
  <c r="B99" i="103"/>
  <c r="AJ8" i="103"/>
  <c r="AK8" i="103" s="1"/>
  <c r="B35" i="103"/>
  <c r="B27" i="103"/>
  <c r="AJ11" i="103"/>
  <c r="AK11" i="103" s="1"/>
  <c r="L193" i="103"/>
  <c r="L186" i="103"/>
  <c r="R187" i="103"/>
  <c r="AJ36" i="103"/>
  <c r="AK36" i="103" s="1"/>
  <c r="B46" i="103"/>
  <c r="AJ43" i="103"/>
  <c r="AK43" i="103" s="1"/>
  <c r="B33" i="103"/>
  <c r="P194" i="103"/>
  <c r="AA112" i="103" s="1"/>
  <c r="P135" i="103"/>
  <c r="B98" i="103" s="1"/>
  <c r="P195" i="103"/>
  <c r="AA113" i="103" s="1"/>
  <c r="P81" i="103"/>
  <c r="AA4" i="103" s="1"/>
  <c r="P177" i="103"/>
  <c r="AA82" i="103" s="1"/>
  <c r="P181" i="103"/>
  <c r="AA86" i="103" s="1"/>
  <c r="P139" i="103"/>
  <c r="P203" i="103"/>
  <c r="AA121" i="103" s="1"/>
  <c r="P196" i="103"/>
  <c r="AA114" i="103" s="1"/>
  <c r="P215" i="103"/>
  <c r="B31" i="103"/>
  <c r="P201" i="103"/>
  <c r="AA119" i="103" s="1"/>
  <c r="N7" i="103"/>
  <c r="O11" i="103" s="1"/>
  <c r="B17" i="103"/>
  <c r="P28" i="103"/>
  <c r="M74" i="103" s="1"/>
  <c r="O167" i="103"/>
  <c r="P167" i="103" s="1"/>
  <c r="Y54" i="103" s="1"/>
  <c r="AK26" i="103"/>
  <c r="AA135" i="103"/>
  <c r="AA125" i="103"/>
  <c r="AJ53" i="103"/>
  <c r="AJ44" i="103"/>
  <c r="AA147" i="103"/>
  <c r="AA141" i="103"/>
  <c r="AA139" i="103"/>
  <c r="AJ14" i="103"/>
  <c r="O9" i="103"/>
  <c r="O8" i="103"/>
  <c r="O10" i="103"/>
  <c r="B21" i="103"/>
  <c r="AJ17" i="103"/>
  <c r="W40" i="103" a="1"/>
  <c r="W40" i="103" s="1"/>
  <c r="B18" i="103"/>
  <c r="AJ58" i="103"/>
  <c r="AK58" i="103" s="1"/>
  <c r="B38" i="103"/>
  <c r="AJ29" i="103"/>
  <c r="AK29" i="103" s="1"/>
  <c r="AJ31" i="103"/>
  <c r="AK31" i="103" s="1"/>
  <c r="B24" i="103"/>
  <c r="AA151" i="103"/>
  <c r="R191" i="103"/>
  <c r="P191" i="103" s="1"/>
  <c r="AJ54" i="103" s="1"/>
  <c r="N16" i="103"/>
  <c r="N5" i="103" s="1"/>
  <c r="U40" i="103"/>
  <c r="B101" i="103"/>
  <c r="O12" i="103"/>
  <c r="B47" i="103"/>
  <c r="AJ45" i="103"/>
  <c r="AK45" i="103" s="1"/>
  <c r="B107" i="103"/>
  <c r="O166" i="103"/>
  <c r="P166" i="103" s="1"/>
  <c r="AJ6" i="103" s="1"/>
  <c r="O171" i="103"/>
  <c r="P171" i="103" s="1"/>
  <c r="AJ34" i="103" s="1"/>
  <c r="O165" i="103"/>
  <c r="P165" i="103" s="1"/>
  <c r="AJ4" i="103" s="1"/>
  <c r="O170" i="103"/>
  <c r="P170" i="103" s="1"/>
  <c r="AJ33" i="103" s="1"/>
  <c r="O169" i="103"/>
  <c r="P169" i="103" s="1"/>
  <c r="AJ30" i="103" s="1"/>
  <c r="O174" i="103"/>
  <c r="P174" i="103" s="1"/>
  <c r="AJ55" i="103" s="1"/>
  <c r="O168" i="103"/>
  <c r="P168" i="103" s="1"/>
  <c r="AJ19" i="103" s="1"/>
  <c r="O172" i="103"/>
  <c r="P172" i="103" s="1"/>
  <c r="AJ39" i="103" s="1"/>
  <c r="AJ12" i="103"/>
  <c r="AK12" i="103" s="1"/>
  <c r="AA145" i="103"/>
  <c r="P36" i="103"/>
  <c r="Y80" i="103"/>
  <c r="AA80" i="103" s="1" a="1"/>
  <c r="AA80" i="103" s="1"/>
  <c r="P199" i="103"/>
  <c r="AA117" i="103" s="1"/>
  <c r="AJ20" i="103"/>
  <c r="AK20" i="103" s="1"/>
  <c r="B36" i="103"/>
  <c r="B48" i="103"/>
  <c r="AJ49" i="103"/>
  <c r="AK49" i="103" s="1"/>
  <c r="R190" i="103"/>
  <c r="P190" i="103" s="1"/>
  <c r="AJ40" i="103" s="1"/>
  <c r="P31" i="103"/>
  <c r="P33" i="103"/>
  <c r="AJ22" i="103"/>
  <c r="AK22" i="103" s="1"/>
  <c r="B44" i="103"/>
  <c r="AA140" i="103"/>
  <c r="AJ41" i="103"/>
  <c r="AA130" i="103"/>
  <c r="R189" i="103"/>
  <c r="P189" i="103" s="1"/>
  <c r="AJ18" i="103" s="1"/>
  <c r="AJ51" i="103"/>
  <c r="AK51" i="103" s="1"/>
  <c r="B49" i="103"/>
  <c r="AJ21" i="103"/>
  <c r="AK21" i="103" s="1"/>
  <c r="B111" i="103"/>
  <c r="B104" i="103"/>
  <c r="B113" i="103"/>
  <c r="B106" i="103"/>
  <c r="B108" i="103"/>
  <c r="B110" i="103"/>
  <c r="B103" i="103"/>
  <c r="B105" i="103"/>
  <c r="B109" i="103"/>
  <c r="B32" i="103"/>
  <c r="AJ37" i="103"/>
  <c r="AK37" i="103" s="1"/>
  <c r="B40" i="103"/>
  <c r="AJ52" i="103"/>
  <c r="AK52" i="103" s="1"/>
  <c r="R129" i="103"/>
  <c r="R127" i="103"/>
  <c r="B86" i="103"/>
  <c r="B88" i="103"/>
  <c r="R128" i="103"/>
  <c r="AA131" i="103"/>
  <c r="AA148" i="103"/>
  <c r="P187" i="103"/>
  <c r="AJ13" i="103" s="1"/>
  <c r="B39" i="103"/>
  <c r="AA134" i="103"/>
  <c r="AA144" i="103"/>
  <c r="AA136" i="103"/>
  <c r="AA150" i="103"/>
  <c r="AA126" i="103"/>
  <c r="AA128" i="103"/>
  <c r="AA138" i="103"/>
  <c r="AA153" i="103"/>
  <c r="R188" i="103"/>
  <c r="P188" i="103" s="1"/>
  <c r="AJ16" i="103" s="1"/>
  <c r="AA123" i="103"/>
  <c r="AA132" i="103"/>
  <c r="AA143" i="103"/>
  <c r="AA146" i="103"/>
  <c r="B344" i="103"/>
  <c r="B349" i="103" s="1"/>
  <c r="AA149" i="103"/>
  <c r="B345" i="103"/>
  <c r="B350" i="103" s="1"/>
  <c r="AA152" i="103"/>
  <c r="B346" i="103"/>
  <c r="B351" i="103" s="1"/>
  <c r="AA124" i="103"/>
  <c r="AA137" i="103"/>
  <c r="B347" i="103"/>
  <c r="B352" i="103" s="1"/>
  <c r="B348" i="103"/>
  <c r="B353" i="103" s="1"/>
  <c r="AA127" i="103"/>
  <c r="AA129" i="103"/>
  <c r="AA142" i="103"/>
  <c r="T41" i="102"/>
  <c r="U40" i="102"/>
  <c r="T40" i="102"/>
  <c r="N9" i="102" s="1"/>
  <c r="N7" i="102" s="1"/>
  <c r="B101" i="102"/>
  <c r="P138" i="102"/>
  <c r="P140" i="102"/>
  <c r="P80" i="102"/>
  <c r="P90" i="102"/>
  <c r="P84" i="102"/>
  <c r="P87" i="102"/>
  <c r="P98" i="102"/>
  <c r="P88" i="102"/>
  <c r="M187" i="102"/>
  <c r="P92" i="102"/>
  <c r="M189" i="102"/>
  <c r="P79" i="102"/>
  <c r="AA2" i="102" s="1"/>
  <c r="AC2" i="102" s="1" a="1"/>
  <c r="P96" i="102"/>
  <c r="AJ28" i="102"/>
  <c r="AK28" i="102" s="1"/>
  <c r="AJ37" i="102"/>
  <c r="AK37" i="102" s="1"/>
  <c r="B32" i="102"/>
  <c r="P194" i="102"/>
  <c r="AA112" i="102" s="1"/>
  <c r="P214" i="102"/>
  <c r="B18" i="102"/>
  <c r="P207" i="102"/>
  <c r="AJ43" i="102"/>
  <c r="AK43" i="102" s="1"/>
  <c r="P83" i="102"/>
  <c r="P139" i="102"/>
  <c r="P203" i="102"/>
  <c r="AA121" i="102" s="1"/>
  <c r="AJ32" i="102"/>
  <c r="AK32" i="102" s="1"/>
  <c r="L186" i="102"/>
  <c r="B51" i="102"/>
  <c r="R190" i="102"/>
  <c r="P190" i="102"/>
  <c r="AJ40" i="102" s="1"/>
  <c r="P81" i="102"/>
  <c r="W40" i="102" a="1"/>
  <c r="W40" i="102" s="1"/>
  <c r="AJ56" i="102"/>
  <c r="AK56" i="102" s="1"/>
  <c r="B21" i="102"/>
  <c r="AJ17" i="102"/>
  <c r="AK17" i="102" s="1"/>
  <c r="P36" i="102"/>
  <c r="B23" i="102" s="1"/>
  <c r="B25" i="102"/>
  <c r="AJ6" i="102"/>
  <c r="AA53" i="102" s="1" a="1"/>
  <c r="AA53" i="102" s="1"/>
  <c r="AJ53" i="102"/>
  <c r="AJ14" i="102"/>
  <c r="AJ44" i="102"/>
  <c r="AK44" i="102" s="1"/>
  <c r="O167" i="102"/>
  <c r="P167" i="102" s="1"/>
  <c r="Y54" i="102" s="1"/>
  <c r="O173" i="102"/>
  <c r="P173" i="102" s="1"/>
  <c r="AJ41" i="102" s="1"/>
  <c r="AA130" i="102"/>
  <c r="AA139" i="102"/>
  <c r="AJ42" i="102"/>
  <c r="AK42" i="102" s="1"/>
  <c r="B19" i="102"/>
  <c r="B38" i="102"/>
  <c r="AJ29" i="102"/>
  <c r="AK29" i="102" s="1"/>
  <c r="AA145" i="102"/>
  <c r="AA151" i="102"/>
  <c r="B28" i="102"/>
  <c r="AJ12" i="102"/>
  <c r="AK12" i="102" s="1"/>
  <c r="B31" i="102"/>
  <c r="AJ31" i="102"/>
  <c r="AK31" i="102" s="1"/>
  <c r="B24" i="102"/>
  <c r="B47" i="102"/>
  <c r="AJ45" i="102"/>
  <c r="AK45" i="102" s="1"/>
  <c r="AJ51" i="102"/>
  <c r="AK51" i="102" s="1"/>
  <c r="B49" i="102"/>
  <c r="P74" i="102"/>
  <c r="AA135" i="102"/>
  <c r="B40" i="102"/>
  <c r="AJ52" i="102"/>
  <c r="AK52" i="102" s="1"/>
  <c r="AJ26" i="102"/>
  <c r="AK26" i="102" s="1"/>
  <c r="B17" i="102"/>
  <c r="B34" i="102"/>
  <c r="AJ5" i="102"/>
  <c r="B43" i="102"/>
  <c r="B45" i="102"/>
  <c r="AJ27" i="102"/>
  <c r="AK27" i="102" s="1"/>
  <c r="AA125" i="102"/>
  <c r="AJ50" i="102"/>
  <c r="AJ9" i="102"/>
  <c r="AA140" i="102"/>
  <c r="AA126" i="102"/>
  <c r="AA147" i="102"/>
  <c r="AA141" i="102"/>
  <c r="AA144" i="102"/>
  <c r="AA134" i="102"/>
  <c r="AA131" i="102"/>
  <c r="P154" i="102"/>
  <c r="AA150" i="102" s="1"/>
  <c r="B35" i="102"/>
  <c r="AJ11" i="102"/>
  <c r="AK11" i="102" s="1"/>
  <c r="B27" i="102"/>
  <c r="B46" i="102"/>
  <c r="AJ36" i="102"/>
  <c r="AK36" i="102" s="1"/>
  <c r="AJ38" i="102"/>
  <c r="AK38" i="102" s="1"/>
  <c r="AJ25" i="102"/>
  <c r="AK25" i="102" s="1"/>
  <c r="B111" i="102"/>
  <c r="B104" i="102"/>
  <c r="B113" i="102"/>
  <c r="B106" i="102"/>
  <c r="B108" i="102"/>
  <c r="B110" i="102"/>
  <c r="B103" i="102"/>
  <c r="B112" i="102"/>
  <c r="B105" i="102"/>
  <c r="B107" i="102"/>
  <c r="B109" i="102"/>
  <c r="B114" i="102"/>
  <c r="AJ23" i="102"/>
  <c r="AK23" i="102" s="1"/>
  <c r="AA148" i="102"/>
  <c r="O172" i="102"/>
  <c r="P172" i="102" s="1"/>
  <c r="AJ39" i="102" s="1"/>
  <c r="P187" i="102"/>
  <c r="AJ13" i="102" s="1"/>
  <c r="O168" i="102"/>
  <c r="P168" i="102" s="1"/>
  <c r="AJ19" i="102" s="1"/>
  <c r="B44" i="102"/>
  <c r="R128" i="102"/>
  <c r="AA136" i="102"/>
  <c r="O174" i="102"/>
  <c r="P174" i="102" s="1"/>
  <c r="AJ55" i="102" s="1"/>
  <c r="R191" i="102"/>
  <c r="P191" i="102" s="1"/>
  <c r="AJ54" i="102" s="1"/>
  <c r="AA128" i="102"/>
  <c r="AA138" i="102"/>
  <c r="AA153" i="102"/>
  <c r="O169" i="102"/>
  <c r="P169" i="102" s="1"/>
  <c r="AJ30" i="102" s="1"/>
  <c r="R188" i="102"/>
  <c r="P188" i="102" s="1"/>
  <c r="AJ16" i="102" s="1"/>
  <c r="AA123" i="102"/>
  <c r="AA132" i="102"/>
  <c r="B42" i="102"/>
  <c r="B88" i="102"/>
  <c r="AA143" i="102"/>
  <c r="AA146" i="102"/>
  <c r="O170" i="102"/>
  <c r="P170" i="102" s="1"/>
  <c r="AJ33" i="102" s="1"/>
  <c r="B344" i="102"/>
  <c r="B349" i="102" s="1"/>
  <c r="B86" i="102"/>
  <c r="AA149" i="102"/>
  <c r="O165" i="102"/>
  <c r="P165" i="102" s="1"/>
  <c r="AJ4" i="102" s="1"/>
  <c r="B345" i="102"/>
  <c r="B350" i="102" s="1"/>
  <c r="AA152" i="102"/>
  <c r="R189" i="102"/>
  <c r="B346" i="102"/>
  <c r="B351" i="102" s="1"/>
  <c r="AA124" i="102"/>
  <c r="AA137" i="102"/>
  <c r="O171" i="102"/>
  <c r="P171" i="102" s="1"/>
  <c r="AJ34" i="102" s="1"/>
  <c r="B347" i="102"/>
  <c r="B352" i="102" s="1"/>
  <c r="R127" i="102"/>
  <c r="B348" i="102"/>
  <c r="B353" i="102" s="1"/>
  <c r="AA127" i="102"/>
  <c r="AA129" i="102"/>
  <c r="AA142" i="102"/>
  <c r="P206" i="101"/>
  <c r="P195" i="101"/>
  <c r="AA113" i="101" s="1"/>
  <c r="P197" i="101"/>
  <c r="AA115" i="101" s="1"/>
  <c r="P178" i="101"/>
  <c r="AA83" i="101" s="1"/>
  <c r="P133" i="101"/>
  <c r="B96" i="101" s="1"/>
  <c r="P85" i="101"/>
  <c r="AA8" i="101" s="1"/>
  <c r="P82" i="101"/>
  <c r="AA5" i="101" s="1"/>
  <c r="M187" i="101"/>
  <c r="M189" i="101"/>
  <c r="P80" i="101"/>
  <c r="AA3" i="101" s="1"/>
  <c r="AJ28" i="101"/>
  <c r="AK28" i="101" s="1"/>
  <c r="B29" i="101"/>
  <c r="B45" i="101"/>
  <c r="P88" i="101"/>
  <c r="P95" i="101"/>
  <c r="P201" i="101"/>
  <c r="AA119" i="101" s="1"/>
  <c r="B35" i="101"/>
  <c r="R190" i="101"/>
  <c r="P214" i="101"/>
  <c r="P194" i="101"/>
  <c r="AA112" i="101" s="1"/>
  <c r="P198" i="101"/>
  <c r="AA116" i="101" s="1"/>
  <c r="T40" i="101"/>
  <c r="N9" i="101" s="1"/>
  <c r="P89" i="101"/>
  <c r="U40" i="101"/>
  <c r="P93" i="101"/>
  <c r="P207" i="101"/>
  <c r="W40" i="101" s="1" a="1"/>
  <c r="W40" i="101" s="1"/>
  <c r="B101" i="101"/>
  <c r="L186" i="101"/>
  <c r="P97" i="101"/>
  <c r="P177" i="101"/>
  <c r="AA82" i="101" s="1"/>
  <c r="P203" i="101"/>
  <c r="AA121" i="101" s="1"/>
  <c r="P87" i="101"/>
  <c r="P94" i="101"/>
  <c r="P139" i="101"/>
  <c r="P208" i="101"/>
  <c r="B25" i="101"/>
  <c r="AJ10" i="101"/>
  <c r="AK10" i="101" s="1"/>
  <c r="AJ58" i="101"/>
  <c r="AK58" i="101" s="1"/>
  <c r="B18" i="101"/>
  <c r="N16" i="101"/>
  <c r="N5" i="101" s="1"/>
  <c r="B21" i="101"/>
  <c r="P74" i="101"/>
  <c r="O171" i="101"/>
  <c r="P171" i="101" s="1"/>
  <c r="O166" i="101"/>
  <c r="P166" i="101" s="1"/>
  <c r="AJ6" i="101" s="1"/>
  <c r="B38" i="101"/>
  <c r="AJ29" i="101"/>
  <c r="AK29" i="101" s="1"/>
  <c r="AJ9" i="101"/>
  <c r="AA54" i="101" s="1" a="1"/>
  <c r="AA54" i="101" s="1"/>
  <c r="AA149" i="101"/>
  <c r="AA140" i="101"/>
  <c r="AA128" i="101"/>
  <c r="AA126" i="101"/>
  <c r="AJ4" i="101"/>
  <c r="AJ53" i="101"/>
  <c r="AJ44" i="101"/>
  <c r="AA139" i="101"/>
  <c r="AA151" i="101"/>
  <c r="AJ14" i="101"/>
  <c r="AA130" i="101"/>
  <c r="AA135" i="101"/>
  <c r="AA125" i="101"/>
  <c r="AJ34" i="101"/>
  <c r="AJ57" i="101"/>
  <c r="AK57" i="101" s="1"/>
  <c r="B54" i="101"/>
  <c r="B55" i="101"/>
  <c r="B47" i="101"/>
  <c r="AJ45" i="101"/>
  <c r="AK45" i="101" s="1"/>
  <c r="AJ50" i="101"/>
  <c r="B30" i="101"/>
  <c r="AJ32" i="101"/>
  <c r="AK32" i="101" s="1"/>
  <c r="AJ26" i="101"/>
  <c r="AK26" i="101" s="1"/>
  <c r="B17" i="101"/>
  <c r="AJ51" i="101"/>
  <c r="AK51" i="101" s="1"/>
  <c r="B49" i="101"/>
  <c r="AJ38" i="101"/>
  <c r="AK38" i="101" s="1"/>
  <c r="AJ11" i="101"/>
  <c r="AK11" i="101" s="1"/>
  <c r="B27" i="101"/>
  <c r="B28" i="101"/>
  <c r="AJ12" i="101"/>
  <c r="AK12" i="101" s="1"/>
  <c r="AJ25" i="101"/>
  <c r="AK25" i="101" s="1"/>
  <c r="B111" i="101"/>
  <c r="B104" i="101"/>
  <c r="B113" i="101"/>
  <c r="B106" i="101"/>
  <c r="B108" i="101"/>
  <c r="B110" i="101"/>
  <c r="B103" i="101"/>
  <c r="B112" i="101"/>
  <c r="B105" i="101"/>
  <c r="B114" i="101"/>
  <c r="B109" i="101"/>
  <c r="F244" i="101" a="1"/>
  <c r="F244" i="101" s="1"/>
  <c r="B365" i="101" s="1"/>
  <c r="B34" i="101"/>
  <c r="AJ5" i="101"/>
  <c r="B40" i="101"/>
  <c r="AJ52" i="101"/>
  <c r="AK52" i="101" s="1"/>
  <c r="AJ42" i="101"/>
  <c r="AK42" i="101" s="1"/>
  <c r="B19" i="101"/>
  <c r="AJ47" i="101"/>
  <c r="P190" i="101"/>
  <c r="AJ40" i="101" s="1"/>
  <c r="AA145" i="101"/>
  <c r="B26" i="101"/>
  <c r="B43" i="101"/>
  <c r="B107" i="101"/>
  <c r="R189" i="101"/>
  <c r="P189" i="101" s="1"/>
  <c r="AJ18" i="101" s="1"/>
  <c r="R188" i="101"/>
  <c r="P188" i="101" s="1"/>
  <c r="AJ16" i="101" s="1"/>
  <c r="R191" i="101"/>
  <c r="R187" i="101"/>
  <c r="AA148" i="101"/>
  <c r="O172" i="101"/>
  <c r="P172" i="101" s="1"/>
  <c r="AJ39" i="101" s="1"/>
  <c r="AA131" i="101"/>
  <c r="O173" i="101"/>
  <c r="P173" i="101" s="1"/>
  <c r="AJ41" i="101" s="1"/>
  <c r="AJ43" i="101"/>
  <c r="AK43" i="101" s="1"/>
  <c r="AJ49" i="101"/>
  <c r="AK49" i="101" s="1"/>
  <c r="AA134" i="101"/>
  <c r="AA144" i="101"/>
  <c r="O168" i="101"/>
  <c r="P168" i="101" s="1"/>
  <c r="AJ19" i="101" s="1"/>
  <c r="AA141" i="101"/>
  <c r="AA147" i="101"/>
  <c r="B44" i="101"/>
  <c r="R128" i="101"/>
  <c r="AA136" i="101"/>
  <c r="AA150" i="101"/>
  <c r="O174" i="101"/>
  <c r="P174" i="101" s="1"/>
  <c r="AA138" i="101"/>
  <c r="AA153" i="101"/>
  <c r="O169" i="101"/>
  <c r="P169" i="101" s="1"/>
  <c r="AJ30" i="101" s="1"/>
  <c r="B36" i="101"/>
  <c r="AJ37" i="101"/>
  <c r="AK37" i="101" s="1"/>
  <c r="AA123" i="101"/>
  <c r="AA132" i="101"/>
  <c r="AA143" i="101"/>
  <c r="AA146" i="101"/>
  <c r="O170" i="101"/>
  <c r="P170" i="101" s="1"/>
  <c r="AJ33" i="101" s="1"/>
  <c r="B344" i="101"/>
  <c r="B349" i="101" s="1"/>
  <c r="B345" i="101"/>
  <c r="B350" i="101" s="1"/>
  <c r="AA152" i="101"/>
  <c r="B346" i="101"/>
  <c r="B351" i="101" s="1"/>
  <c r="AA124" i="101"/>
  <c r="AA137" i="101"/>
  <c r="B347" i="101"/>
  <c r="B352" i="101" s="1"/>
  <c r="R127" i="101"/>
  <c r="B348" i="101"/>
  <c r="B353" i="101" s="1"/>
  <c r="AA127" i="101"/>
  <c r="AA129" i="101"/>
  <c r="AA142" i="101"/>
  <c r="P80" i="100"/>
  <c r="M187" i="100"/>
  <c r="M189" i="100"/>
  <c r="AJ56" i="100"/>
  <c r="AK56" i="100" s="1"/>
  <c r="B41" i="100"/>
  <c r="AE155" i="100"/>
  <c r="B99" i="100"/>
  <c r="B45" i="100"/>
  <c r="AJ27" i="100"/>
  <c r="AK27" i="100" s="1"/>
  <c r="AJ22" i="100"/>
  <c r="AK22" i="100" s="1"/>
  <c r="B44" i="100"/>
  <c r="B29" i="100"/>
  <c r="AJ28" i="100"/>
  <c r="AK28" i="100" s="1"/>
  <c r="AJ42" i="100"/>
  <c r="AK42" i="100" s="1"/>
  <c r="M74" i="100"/>
  <c r="P74" i="100" s="1"/>
  <c r="AJ7" i="100"/>
  <c r="B52" i="100"/>
  <c r="B51" i="100"/>
  <c r="P202" i="100"/>
  <c r="AA120" i="100" s="1"/>
  <c r="P94" i="100"/>
  <c r="P98" i="100"/>
  <c r="P195" i="100"/>
  <c r="AA113" i="100" s="1"/>
  <c r="P207" i="100"/>
  <c r="P81" i="100"/>
  <c r="P199" i="100"/>
  <c r="AA117" i="100" s="1"/>
  <c r="AJ36" i="100"/>
  <c r="AK36" i="100" s="1"/>
  <c r="B39" i="100"/>
  <c r="P88" i="100"/>
  <c r="P210" i="100"/>
  <c r="B19" i="100"/>
  <c r="P200" i="100"/>
  <c r="AA118" i="100" s="1"/>
  <c r="R187" i="100"/>
  <c r="P187" i="100" s="1"/>
  <c r="AJ13" i="100" s="1"/>
  <c r="L193" i="100"/>
  <c r="P83" i="100"/>
  <c r="F244" i="100" s="1" a="1"/>
  <c r="F244" i="100" s="1"/>
  <c r="B365" i="100" s="1"/>
  <c r="P86" i="100"/>
  <c r="B25" i="100"/>
  <c r="AJ10" i="100"/>
  <c r="AK10" i="100" s="1"/>
  <c r="P26" i="100"/>
  <c r="AJ26" i="100" s="1"/>
  <c r="AK26" i="100" s="1"/>
  <c r="P31" i="100"/>
  <c r="B21" i="100"/>
  <c r="B18" i="100"/>
  <c r="N16" i="100"/>
  <c r="N5" i="100" s="1"/>
  <c r="O171" i="100"/>
  <c r="P171" i="100" s="1"/>
  <c r="AJ34" i="100" s="1"/>
  <c r="AJ44" i="100"/>
  <c r="AK44" i="100" s="1"/>
  <c r="O166" i="100"/>
  <c r="P166" i="100" s="1"/>
  <c r="AJ6" i="100" s="1"/>
  <c r="AE156" i="100"/>
  <c r="AA131" i="100"/>
  <c r="AJ53" i="100"/>
  <c r="O167" i="100"/>
  <c r="P167" i="100" s="1"/>
  <c r="Y54" i="100" s="1"/>
  <c r="AA54" i="100" s="1" a="1"/>
  <c r="AA54" i="100" s="1"/>
  <c r="O172" i="100"/>
  <c r="P172" i="100" s="1"/>
  <c r="O173" i="100"/>
  <c r="P173" i="100" s="1"/>
  <c r="AA145" i="100"/>
  <c r="AJ11" i="100"/>
  <c r="AK11" i="100" s="1"/>
  <c r="B27" i="100"/>
  <c r="AC2" i="100" a="1"/>
  <c r="P135" i="100"/>
  <c r="B98" i="100" s="1"/>
  <c r="AJ35" i="100"/>
  <c r="AK35" i="100" s="1"/>
  <c r="B31" i="100"/>
  <c r="AJ50" i="100"/>
  <c r="B28" i="100"/>
  <c r="AJ12" i="100"/>
  <c r="AK12" i="100" s="1"/>
  <c r="B40" i="100"/>
  <c r="AJ52" i="100"/>
  <c r="AK52" i="100" s="1"/>
  <c r="P139" i="100"/>
  <c r="AJ23" i="100"/>
  <c r="AK23" i="100" s="1"/>
  <c r="B38" i="100"/>
  <c r="AJ29" i="100"/>
  <c r="AK29" i="100" s="1"/>
  <c r="AJ41" i="100"/>
  <c r="AA138" i="100"/>
  <c r="AA128" i="100"/>
  <c r="AA126" i="100"/>
  <c r="AJ39" i="100"/>
  <c r="AA134" i="100"/>
  <c r="AA151" i="100"/>
  <c r="AA139" i="100"/>
  <c r="AA135" i="100"/>
  <c r="AA130" i="100"/>
  <c r="AA125" i="100"/>
  <c r="AJ14" i="100"/>
  <c r="P144" i="100"/>
  <c r="B23" i="100"/>
  <c r="AJ38" i="100"/>
  <c r="AK38" i="100" s="1"/>
  <c r="AJ51" i="100"/>
  <c r="AK51" i="100" s="1"/>
  <c r="B49" i="100"/>
  <c r="AA148" i="100"/>
  <c r="W40" i="100" a="1"/>
  <c r="W40" i="100" s="1"/>
  <c r="U40" i="100"/>
  <c r="T40" i="100"/>
  <c r="N9" i="100" s="1"/>
  <c r="N7" i="100" s="1"/>
  <c r="O10" i="100" s="1"/>
  <c r="B101" i="100"/>
  <c r="T41" i="100"/>
  <c r="AJ45" i="100"/>
  <c r="AK45" i="100" s="1"/>
  <c r="P178" i="100"/>
  <c r="AA83" i="100" s="1"/>
  <c r="AJ31" i="100"/>
  <c r="AK31" i="100" s="1"/>
  <c r="B24" i="100"/>
  <c r="AJ25" i="100"/>
  <c r="AK25" i="100" s="1"/>
  <c r="B111" i="100"/>
  <c r="B104" i="100"/>
  <c r="B113" i="100"/>
  <c r="B106" i="100"/>
  <c r="B108" i="100"/>
  <c r="B110" i="100"/>
  <c r="B103" i="100"/>
  <c r="B112" i="100"/>
  <c r="B105" i="100"/>
  <c r="B107" i="100"/>
  <c r="AJ32" i="100"/>
  <c r="AK32" i="100" s="1"/>
  <c r="AJ2" i="100"/>
  <c r="AK2" i="100" s="1"/>
  <c r="B26" i="100"/>
  <c r="B114" i="100"/>
  <c r="R189" i="100"/>
  <c r="R188" i="100"/>
  <c r="P188" i="100" s="1"/>
  <c r="AJ16" i="100" s="1"/>
  <c r="R191" i="100"/>
  <c r="R190" i="100"/>
  <c r="P190" i="100" s="1"/>
  <c r="AJ40" i="100" s="1"/>
  <c r="AJ3" i="100"/>
  <c r="AK3" i="100" s="1"/>
  <c r="B42" i="100"/>
  <c r="P191" i="100"/>
  <c r="AJ54" i="100" s="1"/>
  <c r="AJ43" i="100"/>
  <c r="AK43" i="100" s="1"/>
  <c r="AJ49" i="100"/>
  <c r="AK49" i="100" s="1"/>
  <c r="AA144" i="100"/>
  <c r="O168" i="100"/>
  <c r="P168" i="100" s="1"/>
  <c r="AJ19" i="100" s="1"/>
  <c r="AA141" i="100"/>
  <c r="AA147" i="100"/>
  <c r="R128" i="100"/>
  <c r="AA136" i="100"/>
  <c r="AA150" i="100"/>
  <c r="O174" i="100"/>
  <c r="P174" i="100" s="1"/>
  <c r="AJ55" i="100" s="1"/>
  <c r="AA153" i="100"/>
  <c r="O169" i="100"/>
  <c r="P169" i="100" s="1"/>
  <c r="AJ30" i="100" s="1"/>
  <c r="B36" i="100"/>
  <c r="AJ37" i="100"/>
  <c r="AK37" i="100" s="1"/>
  <c r="AA123" i="100"/>
  <c r="AA132" i="100"/>
  <c r="AA143" i="100"/>
  <c r="AA146" i="100"/>
  <c r="O170" i="100"/>
  <c r="P170" i="100" s="1"/>
  <c r="AJ33" i="100" s="1"/>
  <c r="B344" i="100"/>
  <c r="B349" i="100" s="1"/>
  <c r="AA140" i="100"/>
  <c r="AA149" i="100"/>
  <c r="O165" i="100"/>
  <c r="P165" i="100" s="1"/>
  <c r="AJ4" i="100" s="1"/>
  <c r="B345" i="100"/>
  <c r="B350" i="100" s="1"/>
  <c r="AA152" i="100"/>
  <c r="B346" i="100"/>
  <c r="B351" i="100" s="1"/>
  <c r="AA124" i="100"/>
  <c r="AA137" i="100"/>
  <c r="B347" i="100"/>
  <c r="B352" i="100" s="1"/>
  <c r="R127" i="100"/>
  <c r="B348" i="100"/>
  <c r="B353" i="100" s="1"/>
  <c r="AA127" i="100"/>
  <c r="AA129" i="100"/>
  <c r="AA142" i="100"/>
  <c r="P195" i="99"/>
  <c r="AA113" i="99" s="1"/>
  <c r="P79" i="99"/>
  <c r="AA2" i="99" s="1"/>
  <c r="M187" i="99"/>
  <c r="M189" i="99"/>
  <c r="P138" i="99"/>
  <c r="B51" i="99"/>
  <c r="B52" i="99"/>
  <c r="AJ7" i="99"/>
  <c r="B42" i="99"/>
  <c r="AJ3" i="99"/>
  <c r="AK3" i="99" s="1"/>
  <c r="B41" i="99"/>
  <c r="AJ56" i="99"/>
  <c r="AK56" i="99" s="1"/>
  <c r="B39" i="99"/>
  <c r="AJ48" i="99"/>
  <c r="AK48" i="99" s="1"/>
  <c r="AJ42" i="99"/>
  <c r="AK42" i="99" s="1"/>
  <c r="M74" i="99"/>
  <c r="AJ28" i="99"/>
  <c r="AK28" i="99" s="1"/>
  <c r="B29" i="99"/>
  <c r="B18" i="99"/>
  <c r="P214" i="99"/>
  <c r="B26" i="99"/>
  <c r="P90" i="99"/>
  <c r="P194" i="99"/>
  <c r="AA112" i="99" s="1"/>
  <c r="P198" i="99"/>
  <c r="AA116" i="99" s="1"/>
  <c r="P81" i="99"/>
  <c r="AA4" i="99" s="1"/>
  <c r="P87" i="99"/>
  <c r="P94" i="99"/>
  <c r="P207" i="99"/>
  <c r="W40" i="99" s="1" a="1"/>
  <c r="W40" i="99" s="1"/>
  <c r="N7" i="99"/>
  <c r="O11" i="99" s="1"/>
  <c r="P139" i="99"/>
  <c r="P177" i="99"/>
  <c r="AA82" i="99" s="1"/>
  <c r="P199" i="99"/>
  <c r="AA117" i="99" s="1"/>
  <c r="P91" i="99"/>
  <c r="P98" i="99"/>
  <c r="P203" i="99"/>
  <c r="AA121" i="99" s="1"/>
  <c r="L186" i="99"/>
  <c r="P95" i="99"/>
  <c r="P208" i="99"/>
  <c r="P92" i="99"/>
  <c r="R190" i="99"/>
  <c r="AJ17" i="99"/>
  <c r="AK17" i="99" s="1"/>
  <c r="B21" i="99"/>
  <c r="B25" i="99"/>
  <c r="AJ10" i="99"/>
  <c r="AK10" i="99" s="1"/>
  <c r="N16" i="99"/>
  <c r="N5" i="99" s="1"/>
  <c r="B19" i="99"/>
  <c r="O171" i="99"/>
  <c r="P171" i="99" s="1"/>
  <c r="O172" i="99"/>
  <c r="P172" i="99" s="1"/>
  <c r="AJ39" i="99" s="1"/>
  <c r="O167" i="99"/>
  <c r="P167" i="99" s="1"/>
  <c r="Y54" i="99" s="1"/>
  <c r="AJ51" i="99"/>
  <c r="AK51" i="99" s="1"/>
  <c r="B49" i="99"/>
  <c r="AA140" i="99"/>
  <c r="AA128" i="99"/>
  <c r="AA126" i="99"/>
  <c r="AJ53" i="99"/>
  <c r="AJ44" i="99"/>
  <c r="AJ6" i="99"/>
  <c r="AA130" i="99"/>
  <c r="AA135" i="99"/>
  <c r="AA125" i="99"/>
  <c r="AJ14" i="99"/>
  <c r="AJ34" i="99"/>
  <c r="AA139" i="99"/>
  <c r="AA151" i="99"/>
  <c r="AJ11" i="99"/>
  <c r="AK11" i="99" s="1"/>
  <c r="B27" i="99"/>
  <c r="O9" i="99"/>
  <c r="B28" i="99"/>
  <c r="AJ12" i="99"/>
  <c r="AK12" i="99" s="1"/>
  <c r="O12" i="99"/>
  <c r="AJ47" i="99"/>
  <c r="O10" i="99"/>
  <c r="AJ26" i="99"/>
  <c r="AK26" i="99" s="1"/>
  <c r="B17" i="99"/>
  <c r="B34" i="99"/>
  <c r="AJ5" i="99"/>
  <c r="B38" i="99"/>
  <c r="AJ29" i="99"/>
  <c r="AK29" i="99" s="1"/>
  <c r="AJ25" i="99"/>
  <c r="AK25" i="99" s="1"/>
  <c r="B111" i="99"/>
  <c r="B104" i="99"/>
  <c r="B113" i="99"/>
  <c r="B106" i="99"/>
  <c r="B108" i="99"/>
  <c r="B110" i="99"/>
  <c r="B103" i="99"/>
  <c r="B112" i="99"/>
  <c r="B105" i="99"/>
  <c r="B114" i="99"/>
  <c r="B109" i="99"/>
  <c r="B40" i="99"/>
  <c r="AJ52" i="99"/>
  <c r="AK52" i="99" s="1"/>
  <c r="P190" i="99"/>
  <c r="AJ40" i="99" s="1"/>
  <c r="B31" i="99"/>
  <c r="AJ50" i="99"/>
  <c r="B46" i="99"/>
  <c r="B107" i="99"/>
  <c r="O8" i="99"/>
  <c r="B24" i="99"/>
  <c r="B30" i="99"/>
  <c r="AJ32" i="99"/>
  <c r="AK32" i="99" s="1"/>
  <c r="B47" i="99"/>
  <c r="AJ45" i="99"/>
  <c r="AK45" i="99" s="1"/>
  <c r="P80" i="99"/>
  <c r="AA3" i="99" s="1"/>
  <c r="R189" i="99"/>
  <c r="P189" i="99" s="1"/>
  <c r="AJ18" i="99" s="1"/>
  <c r="R188" i="99"/>
  <c r="P188" i="99" s="1"/>
  <c r="AJ16" i="99" s="1"/>
  <c r="R191" i="99"/>
  <c r="P191" i="99" s="1"/>
  <c r="AJ54" i="99" s="1"/>
  <c r="R187" i="99"/>
  <c r="P187" i="99" s="1"/>
  <c r="AJ13" i="99" s="1"/>
  <c r="P74" i="99"/>
  <c r="AA145" i="99"/>
  <c r="AJ38" i="99"/>
  <c r="AK38" i="99" s="1"/>
  <c r="P84" i="99"/>
  <c r="AA7" i="99" s="1"/>
  <c r="AA148" i="99"/>
  <c r="AA131" i="99"/>
  <c r="O173" i="99"/>
  <c r="P173" i="99" s="1"/>
  <c r="AJ41" i="99" s="1"/>
  <c r="AJ43" i="99"/>
  <c r="AK43" i="99" s="1"/>
  <c r="AJ49" i="99"/>
  <c r="AK49" i="99" s="1"/>
  <c r="AA134" i="99"/>
  <c r="AA144" i="99"/>
  <c r="O168" i="99"/>
  <c r="P168" i="99" s="1"/>
  <c r="AJ19" i="99" s="1"/>
  <c r="AA141" i="99"/>
  <c r="AA147" i="99"/>
  <c r="B44" i="99"/>
  <c r="R128" i="99"/>
  <c r="AA136" i="99"/>
  <c r="AA150" i="99"/>
  <c r="O174" i="99"/>
  <c r="P174" i="99" s="1"/>
  <c r="AA138" i="99"/>
  <c r="AA153" i="99"/>
  <c r="O169" i="99"/>
  <c r="P169" i="99" s="1"/>
  <c r="AJ30" i="99" s="1"/>
  <c r="B36" i="99"/>
  <c r="AJ37" i="99"/>
  <c r="AK37" i="99" s="1"/>
  <c r="AA123" i="99"/>
  <c r="AA132" i="99"/>
  <c r="AA143" i="99"/>
  <c r="AA146" i="99"/>
  <c r="O170" i="99"/>
  <c r="P170" i="99" s="1"/>
  <c r="AJ33" i="99" s="1"/>
  <c r="B344" i="99"/>
  <c r="B349" i="99" s="1"/>
  <c r="AA149" i="99"/>
  <c r="O165" i="99"/>
  <c r="P165" i="99" s="1"/>
  <c r="AJ4" i="99" s="1"/>
  <c r="B345" i="99"/>
  <c r="B350" i="99" s="1"/>
  <c r="AA152" i="99"/>
  <c r="B346" i="99"/>
  <c r="B351" i="99" s="1"/>
  <c r="AA124" i="99"/>
  <c r="AA137" i="99"/>
  <c r="B347" i="99"/>
  <c r="B352" i="99" s="1"/>
  <c r="R127" i="99"/>
  <c r="B348" i="99"/>
  <c r="B353" i="99" s="1"/>
  <c r="AA127" i="99"/>
  <c r="AA129" i="99"/>
  <c r="AA142" i="99"/>
  <c r="B348" i="34"/>
  <c r="B353" i="34" s="1"/>
  <c r="P140" i="97"/>
  <c r="P139" i="97"/>
  <c r="P96" i="97"/>
  <c r="P90" i="97"/>
  <c r="P80" i="97"/>
  <c r="AA3" i="97" s="1"/>
  <c r="P98" i="97"/>
  <c r="M187" i="97"/>
  <c r="P84" i="97"/>
  <c r="M189" i="97"/>
  <c r="P88" i="97"/>
  <c r="P92" i="97"/>
  <c r="N7" i="97"/>
  <c r="O10" i="97" s="1"/>
  <c r="B52" i="97"/>
  <c r="AJ7" i="97"/>
  <c r="B51" i="97"/>
  <c r="L193" i="97"/>
  <c r="L186" i="97"/>
  <c r="AJ8" i="97"/>
  <c r="AK8" i="97" s="1"/>
  <c r="B35" i="97"/>
  <c r="B48" i="97"/>
  <c r="AJ49" i="97"/>
  <c r="AK49" i="97" s="1"/>
  <c r="B25" i="97"/>
  <c r="AJ10" i="97"/>
  <c r="AK10" i="97" s="1"/>
  <c r="AJ37" i="97"/>
  <c r="AK37" i="97" s="1"/>
  <c r="B32" i="97"/>
  <c r="B114" i="97"/>
  <c r="P195" i="97"/>
  <c r="AA113" i="97" s="1"/>
  <c r="P207" i="97"/>
  <c r="O8" i="97"/>
  <c r="P177" i="97"/>
  <c r="AA82" i="97" s="1"/>
  <c r="P83" i="97"/>
  <c r="AA6" i="97" s="1"/>
  <c r="P150" i="97"/>
  <c r="P196" i="97"/>
  <c r="AA114" i="97" s="1"/>
  <c r="P215" i="97"/>
  <c r="P144" i="97"/>
  <c r="P197" i="97"/>
  <c r="AA115" i="97" s="1"/>
  <c r="P81" i="97"/>
  <c r="AA4" i="97" s="1"/>
  <c r="P201" i="97"/>
  <c r="AA119" i="97" s="1"/>
  <c r="R190" i="97"/>
  <c r="AJ17" i="97"/>
  <c r="AK17" i="97" s="1"/>
  <c r="B21" i="97"/>
  <c r="B18" i="97"/>
  <c r="AJ58" i="97"/>
  <c r="AK58" i="97" s="1"/>
  <c r="N16" i="97"/>
  <c r="N5" i="97" s="1"/>
  <c r="P26" i="97"/>
  <c r="P31" i="97"/>
  <c r="AJ50" i="97" s="1"/>
  <c r="P36" i="97"/>
  <c r="B23" i="97" s="1"/>
  <c r="AA135" i="97"/>
  <c r="AA139" i="97"/>
  <c r="AJ57" i="97"/>
  <c r="AK57" i="97" s="1"/>
  <c r="B54" i="97"/>
  <c r="B55" i="97"/>
  <c r="B43" i="97"/>
  <c r="W40" i="97" a="1"/>
  <c r="W40" i="97" s="1"/>
  <c r="R187" i="97"/>
  <c r="AJ11" i="97"/>
  <c r="AK11" i="97" s="1"/>
  <c r="B27" i="97"/>
  <c r="O12" i="97"/>
  <c r="B22" i="97"/>
  <c r="AJ14" i="97"/>
  <c r="B37" i="97"/>
  <c r="AJ23" i="97"/>
  <c r="AK23" i="97" s="1"/>
  <c r="Y80" i="97"/>
  <c r="AA80" i="97" s="1" a="1"/>
  <c r="AA80" i="97" s="1"/>
  <c r="AA145" i="97"/>
  <c r="O11" i="97"/>
  <c r="B46" i="97"/>
  <c r="AJ36" i="97"/>
  <c r="AK36" i="97" s="1"/>
  <c r="AA125" i="97"/>
  <c r="AA130" i="97"/>
  <c r="O166" i="97"/>
  <c r="P166" i="97" s="1"/>
  <c r="AJ6" i="97" s="1"/>
  <c r="O171" i="97"/>
  <c r="P171" i="97" s="1"/>
  <c r="AJ34" i="97" s="1"/>
  <c r="O165" i="97"/>
  <c r="P165" i="97" s="1"/>
  <c r="AJ4" i="97" s="1"/>
  <c r="O170" i="97"/>
  <c r="P170" i="97" s="1"/>
  <c r="AJ33" i="97" s="1"/>
  <c r="O169" i="97"/>
  <c r="P169" i="97" s="1"/>
  <c r="AJ30" i="97" s="1"/>
  <c r="O174" i="97"/>
  <c r="P174" i="97" s="1"/>
  <c r="AJ55" i="97" s="1"/>
  <c r="O168" i="97"/>
  <c r="P168" i="97" s="1"/>
  <c r="AJ19" i="97" s="1"/>
  <c r="O172" i="97"/>
  <c r="P172" i="97" s="1"/>
  <c r="AJ39" i="97" s="1"/>
  <c r="B26" i="97"/>
  <c r="AJ42" i="97"/>
  <c r="AK42" i="97" s="1"/>
  <c r="B19" i="97"/>
  <c r="AJ3" i="97"/>
  <c r="AK3" i="97" s="1"/>
  <c r="B42" i="97"/>
  <c r="AJ41" i="97"/>
  <c r="AA126" i="97"/>
  <c r="AA144" i="97"/>
  <c r="AA134" i="97"/>
  <c r="AA131" i="97"/>
  <c r="AA147" i="97"/>
  <c r="AA151" i="97"/>
  <c r="AJ32" i="97"/>
  <c r="AK32" i="97" s="1"/>
  <c r="O9" i="97"/>
  <c r="AJ53" i="97"/>
  <c r="P190" i="97"/>
  <c r="AJ26" i="97"/>
  <c r="AK26" i="97" s="1"/>
  <c r="B17" i="97"/>
  <c r="AJ44" i="97"/>
  <c r="AJ25" i="97"/>
  <c r="AK25" i="97" s="1"/>
  <c r="B111" i="97"/>
  <c r="B104" i="97"/>
  <c r="B113" i="97"/>
  <c r="B106" i="97"/>
  <c r="B108" i="97"/>
  <c r="B110" i="97"/>
  <c r="B103" i="97"/>
  <c r="B105" i="97"/>
  <c r="B107" i="97"/>
  <c r="B109" i="97"/>
  <c r="R129" i="97"/>
  <c r="R127" i="97"/>
  <c r="B86" i="97"/>
  <c r="B88" i="97"/>
  <c r="R128" i="97"/>
  <c r="AK47" i="97"/>
  <c r="AJ31" i="97"/>
  <c r="AK31" i="97" s="1"/>
  <c r="B24" i="97"/>
  <c r="B38" i="97"/>
  <c r="AJ29" i="97"/>
  <c r="AK29" i="97" s="1"/>
  <c r="B40" i="97"/>
  <c r="AJ52" i="97"/>
  <c r="AK52" i="97" s="1"/>
  <c r="AJ40" i="97"/>
  <c r="B34" i="97"/>
  <c r="AJ5" i="97"/>
  <c r="AA141" i="97"/>
  <c r="O167" i="97"/>
  <c r="P167" i="97" s="1"/>
  <c r="Y54" i="97" s="1"/>
  <c r="AA54" i="97" s="1" a="1"/>
  <c r="AA54" i="97" s="1"/>
  <c r="F244" i="97" a="1"/>
  <c r="F244" i="97" s="1"/>
  <c r="B365" i="97" s="1"/>
  <c r="P154" i="97"/>
  <c r="AA150" i="97" s="1"/>
  <c r="B47" i="97"/>
  <c r="AJ45" i="97"/>
  <c r="AK45" i="97" s="1"/>
  <c r="AJ51" i="97"/>
  <c r="AK51" i="97" s="1"/>
  <c r="B49" i="97"/>
  <c r="AA148" i="97"/>
  <c r="B44" i="97"/>
  <c r="AA136" i="97"/>
  <c r="R191" i="97"/>
  <c r="P191" i="97" s="1"/>
  <c r="AJ54" i="97" s="1"/>
  <c r="AA128" i="97"/>
  <c r="AA138" i="97"/>
  <c r="AA153" i="97"/>
  <c r="R188" i="97"/>
  <c r="P188" i="97" s="1"/>
  <c r="AJ16" i="97" s="1"/>
  <c r="B36" i="97"/>
  <c r="AA123" i="97"/>
  <c r="AA132" i="97"/>
  <c r="AA143" i="97"/>
  <c r="AA146" i="97"/>
  <c r="B344" i="97"/>
  <c r="B349" i="97" s="1"/>
  <c r="AA140" i="97"/>
  <c r="AA149" i="97"/>
  <c r="B345" i="97"/>
  <c r="B350" i="97" s="1"/>
  <c r="AA152" i="97"/>
  <c r="R189" i="97"/>
  <c r="P189" i="97" s="1"/>
  <c r="AJ18" i="97" s="1"/>
  <c r="B346" i="97"/>
  <c r="B351" i="97" s="1"/>
  <c r="AA124" i="97"/>
  <c r="AA137" i="97"/>
  <c r="B347" i="97"/>
  <c r="B352" i="97" s="1"/>
  <c r="B348" i="97"/>
  <c r="B353" i="97" s="1"/>
  <c r="AA127" i="97"/>
  <c r="AA129" i="97"/>
  <c r="AA142" i="97"/>
  <c r="P206" i="96"/>
  <c r="W40" i="96" s="1" a="1"/>
  <c r="W40" i="96" s="1"/>
  <c r="P138" i="96"/>
  <c r="P79" i="96"/>
  <c r="AA2" i="96" s="1"/>
  <c r="AC2" i="96" s="1" a="1"/>
  <c r="O8" i="74"/>
  <c r="O9" i="74"/>
  <c r="O11" i="77"/>
  <c r="O12" i="77"/>
  <c r="O9" i="77"/>
  <c r="N7" i="78"/>
  <c r="O9" i="34"/>
  <c r="O8" i="79"/>
  <c r="O12" i="79"/>
  <c r="O10" i="79"/>
  <c r="O12" i="34"/>
  <c r="O8" i="34"/>
  <c r="O12" i="78"/>
  <c r="O10" i="78"/>
  <c r="O8" i="78"/>
  <c r="O10" i="77"/>
  <c r="O8" i="77"/>
  <c r="O11" i="76"/>
  <c r="O8" i="76"/>
  <c r="O10" i="76"/>
  <c r="O12" i="76"/>
  <c r="O9" i="76"/>
  <c r="O11" i="75"/>
  <c r="O10" i="75"/>
  <c r="O8" i="75"/>
  <c r="O12" i="75"/>
  <c r="O9" i="75"/>
  <c r="O10" i="74"/>
  <c r="O11" i="74"/>
  <c r="O10" i="73"/>
  <c r="O8" i="73"/>
  <c r="O12" i="73"/>
  <c r="O11" i="73"/>
  <c r="O9" i="73"/>
  <c r="N9" i="96"/>
  <c r="AJ3" i="96"/>
  <c r="AK3" i="96" s="1"/>
  <c r="B42" i="96"/>
  <c r="B45" i="96"/>
  <c r="AJ27" i="96"/>
  <c r="AK27" i="96" s="1"/>
  <c r="B36" i="96"/>
  <c r="AJ20" i="96"/>
  <c r="AK20" i="96" s="1"/>
  <c r="B39" i="96"/>
  <c r="AJ48" i="96"/>
  <c r="AK48" i="96" s="1"/>
  <c r="B43" i="96"/>
  <c r="AJ21" i="96"/>
  <c r="AK21" i="96" s="1"/>
  <c r="AJ42" i="96"/>
  <c r="AK42" i="96" s="1"/>
  <c r="M74" i="96"/>
  <c r="P74" i="96" s="1"/>
  <c r="AJ57" i="96" s="1"/>
  <c r="AK57" i="96" s="1"/>
  <c r="B46" i="96"/>
  <c r="AJ36" i="96"/>
  <c r="AK36" i="96" s="1"/>
  <c r="AE155" i="96"/>
  <c r="B99" i="96"/>
  <c r="B25" i="96"/>
  <c r="AJ10" i="96"/>
  <c r="AK10" i="96" s="1"/>
  <c r="L193" i="96"/>
  <c r="L186" i="96"/>
  <c r="P96" i="96"/>
  <c r="P155" i="96"/>
  <c r="P201" i="96"/>
  <c r="AA119" i="96" s="1"/>
  <c r="P86" i="96"/>
  <c r="B19" i="96"/>
  <c r="R190" i="96"/>
  <c r="P194" i="96"/>
  <c r="AA112" i="96" s="1"/>
  <c r="P90" i="96"/>
  <c r="P156" i="96"/>
  <c r="P202" i="96"/>
  <c r="AA120" i="96" s="1"/>
  <c r="N7" i="96"/>
  <c r="O11" i="96" s="1"/>
  <c r="B38" i="96"/>
  <c r="P87" i="96"/>
  <c r="P94" i="96"/>
  <c r="P207" i="96"/>
  <c r="P199" i="96"/>
  <c r="AA117" i="96" s="1"/>
  <c r="P81" i="96"/>
  <c r="P177" i="96"/>
  <c r="AA82" i="96" s="1"/>
  <c r="P203" i="96"/>
  <c r="AA121" i="96" s="1"/>
  <c r="B37" i="96"/>
  <c r="P157" i="96"/>
  <c r="P88" i="96"/>
  <c r="P196" i="96"/>
  <c r="AA114" i="96" s="1"/>
  <c r="N16" i="96"/>
  <c r="N5" i="96" s="1"/>
  <c r="B18" i="96"/>
  <c r="B21" i="96"/>
  <c r="AA148" i="96"/>
  <c r="AA125" i="96"/>
  <c r="AA139" i="96"/>
  <c r="AA151" i="96"/>
  <c r="AJ14" i="96"/>
  <c r="AA135" i="96"/>
  <c r="O171" i="96"/>
  <c r="P171" i="96" s="1"/>
  <c r="AJ34" i="96" s="1"/>
  <c r="AA71" i="96" s="1" a="1"/>
  <c r="AA71" i="96" s="1"/>
  <c r="O166" i="96"/>
  <c r="P166" i="96" s="1"/>
  <c r="AJ6" i="96" s="1"/>
  <c r="O165" i="96"/>
  <c r="P165" i="96" s="1"/>
  <c r="AJ4" i="96" s="1"/>
  <c r="O167" i="96"/>
  <c r="P167" i="96" s="1"/>
  <c r="Y54" i="96" s="1"/>
  <c r="B40" i="96"/>
  <c r="AJ52" i="96"/>
  <c r="AK52" i="96" s="1"/>
  <c r="AJ25" i="96"/>
  <c r="AK25" i="96" s="1"/>
  <c r="B111" i="96"/>
  <c r="B104" i="96"/>
  <c r="B113" i="96"/>
  <c r="B106" i="96"/>
  <c r="B108" i="96"/>
  <c r="B110" i="96"/>
  <c r="B103" i="96"/>
  <c r="B112" i="96"/>
  <c r="B105" i="96"/>
  <c r="B114" i="96"/>
  <c r="B107" i="96"/>
  <c r="B109" i="96"/>
  <c r="B30" i="96"/>
  <c r="AJ32" i="96"/>
  <c r="AK32" i="96" s="1"/>
  <c r="V33" i="96"/>
  <c r="B22" i="96" s="1"/>
  <c r="Y80" i="96"/>
  <c r="AA80" i="96" s="1" a="1"/>
  <c r="AA80" i="96" s="1"/>
  <c r="AJ50" i="96"/>
  <c r="U40" i="96"/>
  <c r="B101" i="96"/>
  <c r="AK58" i="96"/>
  <c r="AJ11" i="96"/>
  <c r="AK11" i="96" s="1"/>
  <c r="B27" i="96"/>
  <c r="AJ33" i="96"/>
  <c r="AA149" i="96"/>
  <c r="AA140" i="96"/>
  <c r="AJ41" i="96"/>
  <c r="AJ39" i="96"/>
  <c r="AJ53" i="96"/>
  <c r="AJ44" i="96"/>
  <c r="AJ51" i="96"/>
  <c r="AK51" i="96" s="1"/>
  <c r="B49" i="96"/>
  <c r="P36" i="96"/>
  <c r="F244" i="96" s="1" a="1"/>
  <c r="F244" i="96" s="1"/>
  <c r="B365" i="96" s="1"/>
  <c r="AA145" i="96"/>
  <c r="B17" i="96"/>
  <c r="P190" i="96"/>
  <c r="AJ40" i="96" s="1"/>
  <c r="AK17" i="96"/>
  <c r="AA131" i="96"/>
  <c r="AJ31" i="96"/>
  <c r="AK31" i="96" s="1"/>
  <c r="B24" i="96"/>
  <c r="B33" i="96"/>
  <c r="AJ43" i="96"/>
  <c r="AK43" i="96" s="1"/>
  <c r="AJ22" i="96"/>
  <c r="AK22" i="96" s="1"/>
  <c r="B44" i="96"/>
  <c r="AA130" i="96"/>
  <c r="P154" i="96"/>
  <c r="R187" i="96"/>
  <c r="P187" i="96" s="1"/>
  <c r="AJ13" i="96" s="1"/>
  <c r="AJ49" i="96"/>
  <c r="AK49" i="96" s="1"/>
  <c r="AA134" i="96"/>
  <c r="AA144" i="96"/>
  <c r="O168" i="96"/>
  <c r="P168" i="96" s="1"/>
  <c r="AJ19" i="96" s="1"/>
  <c r="AA141" i="96"/>
  <c r="AA147" i="96"/>
  <c r="AA136" i="96"/>
  <c r="AA150" i="96"/>
  <c r="O174" i="96"/>
  <c r="P174" i="96" s="1"/>
  <c r="R191" i="96"/>
  <c r="P191" i="96" s="1"/>
  <c r="AJ54" i="96" s="1"/>
  <c r="AA126" i="96"/>
  <c r="AA128" i="96"/>
  <c r="AA138" i="96"/>
  <c r="AA153" i="96"/>
  <c r="O169" i="96"/>
  <c r="P169" i="96" s="1"/>
  <c r="AJ30" i="96" s="1"/>
  <c r="R188" i="96"/>
  <c r="P188" i="96" s="1"/>
  <c r="AJ16" i="96" s="1"/>
  <c r="AJ37" i="96"/>
  <c r="AK37" i="96" s="1"/>
  <c r="AA123" i="96"/>
  <c r="AA132" i="96"/>
  <c r="AA143" i="96"/>
  <c r="AA146" i="96"/>
  <c r="B344" i="96"/>
  <c r="B349" i="96" s="1"/>
  <c r="B345" i="96"/>
  <c r="B350" i="96" s="1"/>
  <c r="AA152" i="96"/>
  <c r="R189" i="96"/>
  <c r="P189" i="96" s="1"/>
  <c r="AJ18" i="96" s="1"/>
  <c r="B346" i="96"/>
  <c r="B351" i="96" s="1"/>
  <c r="AA124" i="96"/>
  <c r="AA137" i="96"/>
  <c r="B347" i="96"/>
  <c r="B352" i="96" s="1"/>
  <c r="R127" i="96"/>
  <c r="B348" i="96"/>
  <c r="B353" i="96" s="1"/>
  <c r="AA127" i="96"/>
  <c r="AA129" i="96"/>
  <c r="AA142" i="96"/>
  <c r="P141" i="95"/>
  <c r="P139" i="95"/>
  <c r="P142" i="95"/>
  <c r="P82" i="95"/>
  <c r="AA5" i="95" s="1"/>
  <c r="M189" i="95"/>
  <c r="AJ37" i="95"/>
  <c r="AK37" i="95" s="1"/>
  <c r="B32" i="95"/>
  <c r="AJ36" i="95"/>
  <c r="AK36" i="95" s="1"/>
  <c r="B46" i="95"/>
  <c r="AJ58" i="95"/>
  <c r="AK58" i="95" s="1"/>
  <c r="B18" i="95"/>
  <c r="B35" i="95"/>
  <c r="AJ8" i="95"/>
  <c r="AK8" i="95" s="1"/>
  <c r="B42" i="95"/>
  <c r="AJ3" i="95"/>
  <c r="AK3" i="95" s="1"/>
  <c r="AJ56" i="95"/>
  <c r="AK56" i="95" s="1"/>
  <c r="B41" i="95"/>
  <c r="B36" i="95"/>
  <c r="AJ20" i="95"/>
  <c r="AK20" i="95" s="1"/>
  <c r="B45" i="95"/>
  <c r="P92" i="95"/>
  <c r="P96" i="95"/>
  <c r="P86" i="95"/>
  <c r="P93" i="95"/>
  <c r="P202" i="95"/>
  <c r="AA120" i="95" s="1"/>
  <c r="P83" i="95"/>
  <c r="AA6" i="95" s="1"/>
  <c r="P97" i="95"/>
  <c r="P207" i="95"/>
  <c r="P90" i="95"/>
  <c r="P203" i="95"/>
  <c r="AA121" i="95" s="1"/>
  <c r="L186" i="95"/>
  <c r="P81" i="95"/>
  <c r="P98" i="95"/>
  <c r="AJ28" i="95"/>
  <c r="AK28" i="95" s="1"/>
  <c r="N7" i="95"/>
  <c r="O11" i="95" s="1"/>
  <c r="P95" i="95"/>
  <c r="W40" i="95" a="1"/>
  <c r="W40" i="95" s="1"/>
  <c r="AJ10" i="95"/>
  <c r="AK10" i="95" s="1"/>
  <c r="B25" i="95"/>
  <c r="AJ17" i="95"/>
  <c r="AK17" i="95" s="1"/>
  <c r="B21" i="95"/>
  <c r="B19" i="95"/>
  <c r="N16" i="95"/>
  <c r="N5" i="95" s="1"/>
  <c r="O171" i="95"/>
  <c r="P171" i="95" s="1"/>
  <c r="AJ34" i="95" s="1"/>
  <c r="O169" i="95"/>
  <c r="P169" i="95" s="1"/>
  <c r="AJ30" i="95" s="1"/>
  <c r="O165" i="95"/>
  <c r="P165" i="95" s="1"/>
  <c r="AJ4" i="95" s="1"/>
  <c r="O166" i="95"/>
  <c r="P166" i="95" s="1"/>
  <c r="AJ6" i="95" s="1"/>
  <c r="B38" i="95"/>
  <c r="AJ29" i="95"/>
  <c r="AK29" i="95" s="1"/>
  <c r="AJ51" i="95"/>
  <c r="AK51" i="95" s="1"/>
  <c r="B49" i="95"/>
  <c r="AJ9" i="95"/>
  <c r="AJ33" i="95"/>
  <c r="AA140" i="95"/>
  <c r="AA126" i="95"/>
  <c r="AJ53" i="95"/>
  <c r="AJ44" i="95"/>
  <c r="AA139" i="95"/>
  <c r="AJ14" i="95"/>
  <c r="AA130" i="95"/>
  <c r="AA151" i="95"/>
  <c r="AA135" i="95"/>
  <c r="AA125" i="95"/>
  <c r="AA145" i="95"/>
  <c r="R187" i="95"/>
  <c r="P84" i="95"/>
  <c r="AA7" i="95" s="1"/>
  <c r="AJ38" i="95"/>
  <c r="AK38" i="95" s="1"/>
  <c r="B28" i="95"/>
  <c r="AJ12" i="95"/>
  <c r="AK12" i="95" s="1"/>
  <c r="AJ26" i="95"/>
  <c r="AK26" i="95" s="1"/>
  <c r="B17" i="95"/>
  <c r="AJ47" i="95"/>
  <c r="B34" i="95"/>
  <c r="AJ5" i="95"/>
  <c r="AJ25" i="95"/>
  <c r="AK25" i="95" s="1"/>
  <c r="B111" i="95"/>
  <c r="B104" i="95"/>
  <c r="B113" i="95"/>
  <c r="B106" i="95"/>
  <c r="B108" i="95"/>
  <c r="B110" i="95"/>
  <c r="B103" i="95"/>
  <c r="B112" i="95"/>
  <c r="B105" i="95"/>
  <c r="B114" i="95"/>
  <c r="B109" i="95"/>
  <c r="P154" i="95"/>
  <c r="AA150" i="95" s="1"/>
  <c r="B40" i="95"/>
  <c r="AJ52" i="95"/>
  <c r="AK52" i="95" s="1"/>
  <c r="B24" i="95"/>
  <c r="B31" i="95"/>
  <c r="B43" i="95"/>
  <c r="P190" i="95"/>
  <c r="AJ40" i="95" s="1"/>
  <c r="R190" i="95"/>
  <c r="AJ50" i="95"/>
  <c r="AJ11" i="95"/>
  <c r="AK11" i="95" s="1"/>
  <c r="B27" i="95"/>
  <c r="B47" i="95"/>
  <c r="AJ45" i="95"/>
  <c r="AK45" i="95" s="1"/>
  <c r="P80" i="95"/>
  <c r="AA3" i="95" s="1"/>
  <c r="R189" i="95"/>
  <c r="P189" i="95" s="1"/>
  <c r="AJ18" i="95" s="1"/>
  <c r="B30" i="95"/>
  <c r="AJ32" i="95"/>
  <c r="AK32" i="95" s="1"/>
  <c r="P74" i="95"/>
  <c r="AA148" i="95"/>
  <c r="O172" i="95"/>
  <c r="P172" i="95" s="1"/>
  <c r="AJ39" i="95" s="1"/>
  <c r="P187" i="95"/>
  <c r="AJ13" i="95" s="1"/>
  <c r="AA131" i="95"/>
  <c r="O173" i="95"/>
  <c r="P173" i="95" s="1"/>
  <c r="AJ41" i="95" s="1"/>
  <c r="AJ43" i="95"/>
  <c r="AK43" i="95" s="1"/>
  <c r="AJ49" i="95"/>
  <c r="AK49" i="95" s="1"/>
  <c r="AA134" i="95"/>
  <c r="AA144" i="95"/>
  <c r="O168" i="95"/>
  <c r="P168" i="95" s="1"/>
  <c r="AJ19" i="95" s="1"/>
  <c r="AA141" i="95"/>
  <c r="AA147" i="95"/>
  <c r="B44" i="95"/>
  <c r="R128" i="95"/>
  <c r="AA136" i="95"/>
  <c r="O174" i="95"/>
  <c r="P174" i="95" s="1"/>
  <c r="R191" i="95"/>
  <c r="AA128" i="95"/>
  <c r="AA138" i="95"/>
  <c r="AA153" i="95"/>
  <c r="R188" i="95"/>
  <c r="P188" i="95" s="1"/>
  <c r="AJ16" i="95" s="1"/>
  <c r="AA123" i="95"/>
  <c r="AA132" i="95"/>
  <c r="AA143" i="95"/>
  <c r="AA146" i="95"/>
  <c r="B344" i="95"/>
  <c r="B349" i="95" s="1"/>
  <c r="AA149" i="95"/>
  <c r="B345" i="95"/>
  <c r="B350" i="95" s="1"/>
  <c r="AA152" i="95"/>
  <c r="B346" i="95"/>
  <c r="B351" i="95" s="1"/>
  <c r="AA124" i="95"/>
  <c r="AA137" i="95"/>
  <c r="B347" i="95"/>
  <c r="B352" i="95" s="1"/>
  <c r="R127" i="95"/>
  <c r="B348" i="95"/>
  <c r="B353" i="95" s="1"/>
  <c r="AA127" i="95"/>
  <c r="AA129" i="95"/>
  <c r="AA142" i="95"/>
  <c r="P79" i="94"/>
  <c r="AA2" i="94" s="1"/>
  <c r="P140" i="94"/>
  <c r="P139" i="94"/>
  <c r="N7" i="94"/>
  <c r="O11" i="94" s="1"/>
  <c r="AJ38" i="94"/>
  <c r="AK38" i="94" s="1"/>
  <c r="N16" i="94"/>
  <c r="N5" i="94" s="1"/>
  <c r="B21" i="94"/>
  <c r="B25" i="94"/>
  <c r="B18" i="94"/>
  <c r="P28" i="94"/>
  <c r="M74" i="94" s="1"/>
  <c r="O166" i="94"/>
  <c r="P166" i="94" s="1"/>
  <c r="AJ6" i="94" s="1"/>
  <c r="O170" i="94"/>
  <c r="P170" i="94" s="1"/>
  <c r="AJ33" i="94" s="1"/>
  <c r="O173" i="94"/>
  <c r="P173" i="94" s="1"/>
  <c r="AJ41" i="94" s="1"/>
  <c r="O169" i="94"/>
  <c r="P169" i="94" s="1"/>
  <c r="AJ30" i="94" s="1"/>
  <c r="O165" i="94"/>
  <c r="P165" i="94" s="1"/>
  <c r="AJ4" i="94" s="1"/>
  <c r="AJ9" i="94"/>
  <c r="AA126" i="94"/>
  <c r="AA134" i="94"/>
  <c r="AJ53" i="94"/>
  <c r="AJ44" i="94"/>
  <c r="AA139" i="94"/>
  <c r="AA130" i="94"/>
  <c r="AJ34" i="94"/>
  <c r="AJ14" i="94"/>
  <c r="AA135" i="94"/>
  <c r="AA125" i="94"/>
  <c r="AJ51" i="94"/>
  <c r="AK51" i="94" s="1"/>
  <c r="B49" i="94"/>
  <c r="B38" i="94"/>
  <c r="AJ29" i="94"/>
  <c r="AK29" i="94" s="1"/>
  <c r="B37" i="94"/>
  <c r="B28" i="94"/>
  <c r="AJ12" i="94"/>
  <c r="AK12" i="94" s="1"/>
  <c r="AJ26" i="94"/>
  <c r="AK26" i="94" s="1"/>
  <c r="B17" i="94"/>
  <c r="B47" i="94"/>
  <c r="AJ45" i="94"/>
  <c r="AK45" i="94" s="1"/>
  <c r="AA145" i="94"/>
  <c r="B19" i="94"/>
  <c r="AJ47" i="94"/>
  <c r="B34" i="94"/>
  <c r="AJ5" i="94"/>
  <c r="P80" i="94"/>
  <c r="P74" i="94"/>
  <c r="AJ50" i="94"/>
  <c r="B40" i="94"/>
  <c r="AJ52" i="94"/>
  <c r="AK52" i="94" s="1"/>
  <c r="B24" i="94"/>
  <c r="P84" i="94"/>
  <c r="AJ21" i="94"/>
  <c r="AK21" i="94" s="1"/>
  <c r="AJ8" i="94"/>
  <c r="AK8" i="94" s="1"/>
  <c r="B35" i="94"/>
  <c r="P154" i="94"/>
  <c r="O12" i="94"/>
  <c r="AJ3" i="94"/>
  <c r="AK3" i="94" s="1"/>
  <c r="B42" i="94"/>
  <c r="AJ11" i="94"/>
  <c r="AK11" i="94" s="1"/>
  <c r="B27" i="94"/>
  <c r="R190" i="94"/>
  <c r="P190" i="94" s="1"/>
  <c r="AJ40" i="94" s="1"/>
  <c r="AJ25" i="94"/>
  <c r="AK25" i="94" s="1"/>
  <c r="B111" i="94"/>
  <c r="B104" i="94"/>
  <c r="B113" i="94"/>
  <c r="B106" i="94"/>
  <c r="B108" i="94"/>
  <c r="B110" i="94"/>
  <c r="B103" i="94"/>
  <c r="B112" i="94"/>
  <c r="B105" i="94"/>
  <c r="B114" i="94"/>
  <c r="B109" i="94"/>
  <c r="R189" i="94"/>
  <c r="P189" i="94" s="1"/>
  <c r="AJ18" i="94" s="1"/>
  <c r="AA148" i="94"/>
  <c r="O172" i="94"/>
  <c r="P172" i="94" s="1"/>
  <c r="AJ39" i="94" s="1"/>
  <c r="AA131" i="94"/>
  <c r="R187" i="94"/>
  <c r="P191" i="94"/>
  <c r="AJ54" i="94" s="1"/>
  <c r="AA144" i="94"/>
  <c r="O168" i="94"/>
  <c r="P168" i="94" s="1"/>
  <c r="AJ19" i="94" s="1"/>
  <c r="AA141" i="94"/>
  <c r="AA147" i="94"/>
  <c r="R128" i="94"/>
  <c r="AA136" i="94"/>
  <c r="AA150" i="94"/>
  <c r="O174" i="94"/>
  <c r="P174" i="94" s="1"/>
  <c r="AJ55" i="94" s="1"/>
  <c r="R191" i="94"/>
  <c r="AA128" i="94"/>
  <c r="AA138" i="94"/>
  <c r="AA153" i="94"/>
  <c r="R188" i="94"/>
  <c r="P188" i="94" s="1"/>
  <c r="AJ16" i="94" s="1"/>
  <c r="AA123" i="94"/>
  <c r="AA132" i="94"/>
  <c r="AA143" i="94"/>
  <c r="AA146" i="94"/>
  <c r="B344" i="94"/>
  <c r="B349" i="94" s="1"/>
  <c r="AA140" i="94"/>
  <c r="AA149" i="94"/>
  <c r="B345" i="94"/>
  <c r="B350" i="94" s="1"/>
  <c r="AA152" i="94"/>
  <c r="B346" i="94"/>
  <c r="B351" i="94" s="1"/>
  <c r="AA124" i="94"/>
  <c r="AA137" i="94"/>
  <c r="B347" i="94"/>
  <c r="B352" i="94" s="1"/>
  <c r="R127" i="94"/>
  <c r="B348" i="94"/>
  <c r="B353" i="94" s="1"/>
  <c r="AA127" i="94"/>
  <c r="AA129" i="94"/>
  <c r="AA142" i="94"/>
  <c r="P140" i="93"/>
  <c r="P138" i="93"/>
  <c r="AJ8" i="93"/>
  <c r="AK8" i="93" s="1"/>
  <c r="B35" i="93"/>
  <c r="B101" i="93"/>
  <c r="U40" i="93"/>
  <c r="N9" i="93"/>
  <c r="B45" i="93"/>
  <c r="AJ27" i="93"/>
  <c r="AK27" i="93" s="1"/>
  <c r="AJ42" i="93"/>
  <c r="AK42" i="93" s="1"/>
  <c r="B19" i="93"/>
  <c r="M74" i="93"/>
  <c r="P74" i="93" s="1"/>
  <c r="B33" i="93"/>
  <c r="AJ43" i="93"/>
  <c r="AK43" i="93" s="1"/>
  <c r="AJ56" i="93"/>
  <c r="AK56" i="93" s="1"/>
  <c r="B88" i="93"/>
  <c r="P202" i="93"/>
  <c r="AA120" i="93" s="1"/>
  <c r="P177" i="93"/>
  <c r="AA82" i="93" s="1"/>
  <c r="P195" i="93"/>
  <c r="AA113" i="93" s="1"/>
  <c r="P207" i="93"/>
  <c r="R127" i="93"/>
  <c r="B86" i="93"/>
  <c r="P203" i="93"/>
  <c r="AA121" i="93" s="1"/>
  <c r="L186" i="93"/>
  <c r="R128" i="93"/>
  <c r="P83" i="93"/>
  <c r="P208" i="93"/>
  <c r="B29" i="93"/>
  <c r="P179" i="93"/>
  <c r="AA84" i="93" s="1"/>
  <c r="N7" i="93"/>
  <c r="O10" i="93" s="1"/>
  <c r="P201" i="93"/>
  <c r="AA119" i="93" s="1"/>
  <c r="P26" i="93"/>
  <c r="B17" i="93" s="1"/>
  <c r="P32" i="93"/>
  <c r="B21" i="93" s="1"/>
  <c r="N16" i="93"/>
  <c r="N5" i="93" s="1"/>
  <c r="P27" i="93"/>
  <c r="AJ44" i="93"/>
  <c r="AK44" i="93" s="1"/>
  <c r="AJ14" i="93"/>
  <c r="AJ34" i="93"/>
  <c r="AA73" i="93" s="1" a="1"/>
  <c r="AA73" i="93" s="1"/>
  <c r="AA135" i="93"/>
  <c r="AA131" i="93"/>
  <c r="AA144" i="93"/>
  <c r="AJ53" i="93"/>
  <c r="O169" i="93"/>
  <c r="P169" i="93" s="1"/>
  <c r="AJ30" i="93" s="1"/>
  <c r="AA125" i="93"/>
  <c r="AJ40" i="93"/>
  <c r="AA105" i="93" s="1" a="1"/>
  <c r="AA105" i="93" s="1"/>
  <c r="O165" i="93"/>
  <c r="P165" i="93" s="1"/>
  <c r="AJ4" i="93" s="1"/>
  <c r="AE156" i="93"/>
  <c r="O166" i="93"/>
  <c r="P166" i="93" s="1"/>
  <c r="AJ6" i="93" s="1"/>
  <c r="O167" i="93"/>
  <c r="P167" i="93" s="1"/>
  <c r="Y54" i="93" s="1"/>
  <c r="AA54" i="93" s="1" a="1"/>
  <c r="AA54" i="93" s="1"/>
  <c r="O168" i="93"/>
  <c r="P168" i="93" s="1"/>
  <c r="AJ19" i="93" s="1"/>
  <c r="O170" i="93"/>
  <c r="P170" i="93" s="1"/>
  <c r="AA139" i="93"/>
  <c r="AA134" i="93"/>
  <c r="O173" i="93"/>
  <c r="P173" i="93" s="1"/>
  <c r="V33" i="93" s="1"/>
  <c r="B43" i="93"/>
  <c r="P154" i="93"/>
  <c r="B23" i="93"/>
  <c r="AJ38" i="93"/>
  <c r="AK38" i="93" s="1"/>
  <c r="AJ11" i="93"/>
  <c r="AK11" i="93" s="1"/>
  <c r="B27" i="93"/>
  <c r="B47" i="93"/>
  <c r="AJ45" i="93"/>
  <c r="AK45" i="93" s="1"/>
  <c r="F244" i="93" a="1"/>
  <c r="F244" i="93" s="1"/>
  <c r="B365" i="93" s="1"/>
  <c r="AA130" i="93"/>
  <c r="B32" i="93"/>
  <c r="AJ37" i="93"/>
  <c r="AK37" i="93" s="1"/>
  <c r="AJ51" i="93"/>
  <c r="AK51" i="93" s="1"/>
  <c r="B49" i="93"/>
  <c r="B37" i="93"/>
  <c r="AJ23" i="93"/>
  <c r="AK23" i="93" s="1"/>
  <c r="R189" i="93"/>
  <c r="P189" i="93" s="1"/>
  <c r="AJ18" i="93" s="1"/>
  <c r="R188" i="93"/>
  <c r="P188" i="93" s="1"/>
  <c r="AJ16" i="93" s="1"/>
  <c r="R191" i="93"/>
  <c r="P191" i="93" s="1"/>
  <c r="AJ54" i="93" s="1"/>
  <c r="AC2" i="93" a="1"/>
  <c r="AC2" i="93" s="1"/>
  <c r="B28" i="93"/>
  <c r="P147" i="93"/>
  <c r="AJ32" i="93"/>
  <c r="AK32" i="93" s="1"/>
  <c r="P37" i="93"/>
  <c r="B52" i="93"/>
  <c r="B51" i="93"/>
  <c r="W40" i="93" a="1"/>
  <c r="W40" i="93" s="1"/>
  <c r="B46" i="93"/>
  <c r="AJ36" i="93"/>
  <c r="AK36" i="93" s="1"/>
  <c r="AA151" i="93"/>
  <c r="B31" i="93"/>
  <c r="B38" i="93"/>
  <c r="R187" i="93"/>
  <c r="P187" i="93" s="1"/>
  <c r="AJ13" i="93" s="1"/>
  <c r="B40" i="93"/>
  <c r="AJ52" i="93"/>
  <c r="AK52" i="93" s="1"/>
  <c r="AA145" i="93"/>
  <c r="AJ25" i="93"/>
  <c r="AK25" i="93" s="1"/>
  <c r="B111" i="93"/>
  <c r="B104" i="93"/>
  <c r="B113" i="93"/>
  <c r="B106" i="93"/>
  <c r="B108" i="93"/>
  <c r="B110" i="93"/>
  <c r="B103" i="93"/>
  <c r="B112" i="93"/>
  <c r="B107" i="93"/>
  <c r="B109" i="93"/>
  <c r="B25" i="93"/>
  <c r="AJ10" i="93"/>
  <c r="AK10" i="93" s="1"/>
  <c r="AJ9" i="93"/>
  <c r="AJ33" i="93"/>
  <c r="AA140" i="93"/>
  <c r="AA128" i="93"/>
  <c r="AA126" i="93"/>
  <c r="AA148" i="93"/>
  <c r="O172" i="93"/>
  <c r="P172" i="93" s="1"/>
  <c r="AJ39" i="93" s="1"/>
  <c r="AA141" i="93"/>
  <c r="AA147" i="93"/>
  <c r="B44" i="93"/>
  <c r="AA136" i="93"/>
  <c r="AA150" i="93"/>
  <c r="O174" i="93"/>
  <c r="P174" i="93" s="1"/>
  <c r="AA138" i="93"/>
  <c r="AA153" i="93"/>
  <c r="B36" i="93"/>
  <c r="AA123" i="93"/>
  <c r="AA132" i="93"/>
  <c r="AA143" i="93"/>
  <c r="AA146" i="93"/>
  <c r="B344" i="93"/>
  <c r="B349" i="93" s="1"/>
  <c r="AA149" i="93"/>
  <c r="B345" i="93"/>
  <c r="B350" i="93" s="1"/>
  <c r="AA152" i="93"/>
  <c r="B346" i="93"/>
  <c r="B351" i="93" s="1"/>
  <c r="AA124" i="93"/>
  <c r="AA137" i="93"/>
  <c r="B347" i="93"/>
  <c r="B352" i="93" s="1"/>
  <c r="B348" i="93"/>
  <c r="B353" i="93" s="1"/>
  <c r="AA127" i="93"/>
  <c r="AA129" i="93"/>
  <c r="AA142" i="93"/>
  <c r="P178" i="92"/>
  <c r="AA83" i="92" s="1"/>
  <c r="P179" i="92"/>
  <c r="AA84" i="92" s="1"/>
  <c r="B29" i="92"/>
  <c r="AJ28" i="92"/>
  <c r="AK28" i="92" s="1"/>
  <c r="B51" i="92"/>
  <c r="AJ7" i="92"/>
  <c r="B52" i="92"/>
  <c r="AE155" i="92"/>
  <c r="B99" i="92"/>
  <c r="B33" i="92"/>
  <c r="AJ43" i="92"/>
  <c r="AK43" i="92" s="1"/>
  <c r="B37" i="92"/>
  <c r="AJ23" i="92"/>
  <c r="AK23" i="92" s="1"/>
  <c r="B35" i="92"/>
  <c r="AJ8" i="92"/>
  <c r="AK8" i="92" s="1"/>
  <c r="P198" i="92"/>
  <c r="AA116" i="92" s="1"/>
  <c r="P194" i="92"/>
  <c r="AA112" i="92" s="1"/>
  <c r="P202" i="92"/>
  <c r="AA120" i="92" s="1"/>
  <c r="P82" i="92"/>
  <c r="AA5" i="92" s="1"/>
  <c r="P92" i="92"/>
  <c r="AJ10" i="92"/>
  <c r="AK10" i="92" s="1"/>
  <c r="P207" i="92"/>
  <c r="AJ52" i="92"/>
  <c r="AK52" i="92" s="1"/>
  <c r="P177" i="92"/>
  <c r="AA82" i="92" s="1"/>
  <c r="P181" i="92"/>
  <c r="AA86" i="92" s="1"/>
  <c r="P203" i="92"/>
  <c r="AA121" i="92" s="1"/>
  <c r="P210" i="92"/>
  <c r="L186" i="92"/>
  <c r="P80" i="92"/>
  <c r="AA3" i="92" s="1"/>
  <c r="P83" i="92"/>
  <c r="P190" i="92"/>
  <c r="P213" i="92"/>
  <c r="AJ5" i="92"/>
  <c r="AK5" i="92" s="1"/>
  <c r="B39" i="92"/>
  <c r="P90" i="92"/>
  <c r="B103" i="92"/>
  <c r="R191" i="92"/>
  <c r="P208" i="92"/>
  <c r="AJ45" i="92"/>
  <c r="AK45" i="92" s="1"/>
  <c r="P197" i="92"/>
  <c r="AA115" i="92" s="1"/>
  <c r="P79" i="92"/>
  <c r="AA2" i="92" s="1"/>
  <c r="AJ58" i="92"/>
  <c r="B18" i="92"/>
  <c r="N16" i="92"/>
  <c r="N5" i="92" s="1"/>
  <c r="B21" i="92"/>
  <c r="P36" i="92"/>
  <c r="B23" i="92" s="1"/>
  <c r="O173" i="92"/>
  <c r="P173" i="92" s="1"/>
  <c r="P191" i="92"/>
  <c r="AJ54" i="92" s="1"/>
  <c r="O167" i="92"/>
  <c r="P167" i="92" s="1"/>
  <c r="Y54" i="92" s="1"/>
  <c r="AA139" i="92"/>
  <c r="B46" i="92"/>
  <c r="AJ36" i="92"/>
  <c r="AK36" i="92" s="1"/>
  <c r="B30" i="92"/>
  <c r="AJ32" i="92"/>
  <c r="AK32" i="92" s="1"/>
  <c r="AA131" i="92"/>
  <c r="AJ14" i="92"/>
  <c r="AA130" i="92"/>
  <c r="AJ53" i="92"/>
  <c r="AJ44" i="92"/>
  <c r="AA136" i="92"/>
  <c r="AA125" i="92"/>
  <c r="AJ39" i="92"/>
  <c r="AA151" i="92"/>
  <c r="AA141" i="92"/>
  <c r="AA147" i="92"/>
  <c r="AJ40" i="92"/>
  <c r="AA135" i="92"/>
  <c r="AJ31" i="92"/>
  <c r="AK31" i="92" s="1"/>
  <c r="B24" i="92"/>
  <c r="B38" i="92"/>
  <c r="AJ29" i="92"/>
  <c r="AK29" i="92" s="1"/>
  <c r="B45" i="92"/>
  <c r="AJ27" i="92"/>
  <c r="AK27" i="92" s="1"/>
  <c r="AJ26" i="92"/>
  <c r="AK26" i="92" s="1"/>
  <c r="B17" i="92"/>
  <c r="B31" i="92"/>
  <c r="AJ35" i="92"/>
  <c r="AK35" i="92" s="1"/>
  <c r="B48" i="92"/>
  <c r="AJ49" i="92"/>
  <c r="AK49" i="92" s="1"/>
  <c r="AJ11" i="92"/>
  <c r="AK11" i="92" s="1"/>
  <c r="B27" i="92"/>
  <c r="AJ20" i="92"/>
  <c r="AK20" i="92" s="1"/>
  <c r="B36" i="92"/>
  <c r="P139" i="92"/>
  <c r="P153" i="92"/>
  <c r="AA149" i="92" s="1"/>
  <c r="R189" i="92"/>
  <c r="R188" i="92"/>
  <c r="P188" i="92" s="1"/>
  <c r="AJ51" i="92"/>
  <c r="AK51" i="92" s="1"/>
  <c r="B49" i="92"/>
  <c r="AJ25" i="92"/>
  <c r="AK25" i="92" s="1"/>
  <c r="B111" i="92"/>
  <c r="B104" i="92"/>
  <c r="B113" i="92"/>
  <c r="B106" i="92"/>
  <c r="B108" i="92"/>
  <c r="B110" i="92"/>
  <c r="AA145" i="92"/>
  <c r="AJ3" i="92"/>
  <c r="AK3" i="92" s="1"/>
  <c r="B42" i="92"/>
  <c r="W40" i="92" a="1"/>
  <c r="W40" i="92" s="1"/>
  <c r="U40" i="92"/>
  <c r="N9" i="92"/>
  <c r="N7" i="92" s="1"/>
  <c r="B101" i="92"/>
  <c r="P189" i="92"/>
  <c r="AJ18" i="92" s="1"/>
  <c r="AJ21" i="92"/>
  <c r="AK21" i="92" s="1"/>
  <c r="AJ42" i="92"/>
  <c r="AK42" i="92" s="1"/>
  <c r="B19" i="92"/>
  <c r="B41" i="92"/>
  <c r="B107" i="92"/>
  <c r="AJ16" i="92"/>
  <c r="AA140" i="92"/>
  <c r="AJ41" i="92"/>
  <c r="AA153" i="92"/>
  <c r="AA138" i="92"/>
  <c r="AA128" i="92"/>
  <c r="AA126" i="92"/>
  <c r="AA144" i="92"/>
  <c r="O166" i="92"/>
  <c r="P166" i="92" s="1"/>
  <c r="AJ6" i="92" s="1"/>
  <c r="O171" i="92"/>
  <c r="P171" i="92" s="1"/>
  <c r="AJ34" i="92" s="1"/>
  <c r="O165" i="92"/>
  <c r="P165" i="92" s="1"/>
  <c r="AJ4" i="92" s="1"/>
  <c r="O170" i="92"/>
  <c r="P170" i="92" s="1"/>
  <c r="AJ33" i="92" s="1"/>
  <c r="O169" i="92"/>
  <c r="P169" i="92" s="1"/>
  <c r="AJ30" i="92" s="1"/>
  <c r="O168" i="92"/>
  <c r="P168" i="92" s="1"/>
  <c r="AJ19" i="92" s="1"/>
  <c r="O174" i="92"/>
  <c r="P174" i="92" s="1"/>
  <c r="AJ55" i="92" s="1"/>
  <c r="P74" i="92"/>
  <c r="R129" i="92"/>
  <c r="R127" i="92"/>
  <c r="B86" i="92"/>
  <c r="B88" i="92"/>
  <c r="B114" i="92"/>
  <c r="P138" i="92"/>
  <c r="AA134" i="92" s="1"/>
  <c r="AA148" i="92"/>
  <c r="R187" i="92"/>
  <c r="B105" i="92"/>
  <c r="AA150" i="92"/>
  <c r="AA123" i="92"/>
  <c r="AA132" i="92"/>
  <c r="AA143" i="92"/>
  <c r="AA146" i="92"/>
  <c r="B344" i="92"/>
  <c r="B349" i="92" s="1"/>
  <c r="B345" i="92"/>
  <c r="B350" i="92" s="1"/>
  <c r="AA152" i="92"/>
  <c r="B346" i="92"/>
  <c r="B351" i="92" s="1"/>
  <c r="AA124" i="92"/>
  <c r="AA137" i="92"/>
  <c r="B347" i="92"/>
  <c r="B352" i="92" s="1"/>
  <c r="B348" i="92"/>
  <c r="B353" i="92" s="1"/>
  <c r="AA127" i="92"/>
  <c r="AA129" i="92"/>
  <c r="AA142" i="92"/>
  <c r="P146" i="91"/>
  <c r="P148" i="91"/>
  <c r="P178" i="91"/>
  <c r="AA83" i="91" s="1"/>
  <c r="P144" i="91"/>
  <c r="P142" i="91"/>
  <c r="P155" i="91"/>
  <c r="P179" i="91"/>
  <c r="AA84" i="91" s="1"/>
  <c r="P138" i="91"/>
  <c r="P88" i="91"/>
  <c r="P85" i="91"/>
  <c r="M187" i="91"/>
  <c r="M189" i="91"/>
  <c r="P93" i="91"/>
  <c r="P97" i="91"/>
  <c r="AJ27" i="91"/>
  <c r="AK27" i="91" s="1"/>
  <c r="B45" i="91"/>
  <c r="AE155" i="91"/>
  <c r="B99" i="91"/>
  <c r="B101" i="91"/>
  <c r="AJ37" i="91"/>
  <c r="AK37" i="91" s="1"/>
  <c r="B32" i="91"/>
  <c r="B18" i="91"/>
  <c r="AJ58" i="91"/>
  <c r="AK58" i="91" s="1"/>
  <c r="B51" i="91"/>
  <c r="AJ7" i="91"/>
  <c r="B52" i="91"/>
  <c r="B33" i="91"/>
  <c r="AJ43" i="91"/>
  <c r="AK43" i="91" s="1"/>
  <c r="B39" i="91"/>
  <c r="AJ48" i="91"/>
  <c r="AK48" i="91" s="1"/>
  <c r="B26" i="91"/>
  <c r="P141" i="91"/>
  <c r="P156" i="91"/>
  <c r="M74" i="91"/>
  <c r="P74" i="91" s="1"/>
  <c r="P195" i="91"/>
  <c r="AA113" i="91" s="1"/>
  <c r="P203" i="91"/>
  <c r="AA121" i="91" s="1"/>
  <c r="B31" i="91"/>
  <c r="P82" i="91"/>
  <c r="P177" i="91"/>
  <c r="AA82" i="91" s="1"/>
  <c r="P181" i="91"/>
  <c r="AA86" i="91" s="1"/>
  <c r="P210" i="91"/>
  <c r="P86" i="91"/>
  <c r="R187" i="91"/>
  <c r="P187" i="91" s="1"/>
  <c r="AJ13" i="91" s="1"/>
  <c r="AJ45" i="91"/>
  <c r="AK45" i="91" s="1"/>
  <c r="AJ12" i="91"/>
  <c r="AK12" i="91" s="1"/>
  <c r="B103" i="91"/>
  <c r="L193" i="91"/>
  <c r="B21" i="91"/>
  <c r="O172" i="91"/>
  <c r="P172" i="91" s="1"/>
  <c r="AJ39" i="91" s="1"/>
  <c r="AJ26" i="91"/>
  <c r="AK26" i="91" s="1"/>
  <c r="B17" i="91"/>
  <c r="B38" i="91"/>
  <c r="AJ29" i="91"/>
  <c r="AK29" i="91" s="1"/>
  <c r="AA148" i="91"/>
  <c r="AA136" i="91"/>
  <c r="AA144" i="91"/>
  <c r="AA125" i="91"/>
  <c r="AA151" i="91"/>
  <c r="AA147" i="91"/>
  <c r="AA131" i="91"/>
  <c r="AJ44" i="91"/>
  <c r="AA139" i="91"/>
  <c r="AA141" i="91"/>
  <c r="AA130" i="91"/>
  <c r="AJ53" i="91"/>
  <c r="AJ14" i="91"/>
  <c r="AA134" i="91"/>
  <c r="AA150" i="91"/>
  <c r="AJ51" i="91"/>
  <c r="AK51" i="91" s="1"/>
  <c r="B49" i="91"/>
  <c r="AJ31" i="91"/>
  <c r="AK31" i="91" s="1"/>
  <c r="B24" i="91"/>
  <c r="AJ50" i="91"/>
  <c r="AJ38" i="91"/>
  <c r="AK38" i="91" s="1"/>
  <c r="B48" i="91"/>
  <c r="O167" i="91"/>
  <c r="P167" i="91" s="1"/>
  <c r="Y54" i="91" s="1"/>
  <c r="AA54" i="91" s="1" a="1"/>
  <c r="AA54" i="91" s="1"/>
  <c r="AJ36" i="91"/>
  <c r="AK36" i="91" s="1"/>
  <c r="AJ23" i="91"/>
  <c r="AK23" i="91" s="1"/>
  <c r="B43" i="91"/>
  <c r="O168" i="91"/>
  <c r="P168" i="91" s="1"/>
  <c r="AJ19" i="91" s="1"/>
  <c r="AJ20" i="91"/>
  <c r="AK20" i="91" s="1"/>
  <c r="B36" i="91"/>
  <c r="AJ11" i="91"/>
  <c r="AK11" i="91" s="1"/>
  <c r="B27" i="91"/>
  <c r="AA145" i="91"/>
  <c r="W40" i="91" a="1"/>
  <c r="W40" i="91" s="1"/>
  <c r="U40" i="91"/>
  <c r="N9" i="91"/>
  <c r="N7" i="91" s="1"/>
  <c r="AJ42" i="91"/>
  <c r="AK42" i="91" s="1"/>
  <c r="B19" i="91"/>
  <c r="R189" i="91"/>
  <c r="R188" i="91"/>
  <c r="P188" i="91" s="1"/>
  <c r="AJ16" i="91" s="1"/>
  <c r="R191" i="91"/>
  <c r="P191" i="91" s="1"/>
  <c r="AJ54" i="91" s="1"/>
  <c r="AJ5" i="91"/>
  <c r="R190" i="91"/>
  <c r="P190" i="91" s="1"/>
  <c r="AJ40" i="91" s="1"/>
  <c r="B30" i="91"/>
  <c r="AJ3" i="91"/>
  <c r="AK3" i="91" s="1"/>
  <c r="B42" i="91"/>
  <c r="AJ25" i="91"/>
  <c r="AK25" i="91" s="1"/>
  <c r="B111" i="91"/>
  <c r="B104" i="91"/>
  <c r="B113" i="91"/>
  <c r="B106" i="91"/>
  <c r="B108" i="91"/>
  <c r="B110" i="91"/>
  <c r="B105" i="91"/>
  <c r="B114" i="91"/>
  <c r="AA138" i="91"/>
  <c r="AA128" i="91"/>
  <c r="AA126" i="91"/>
  <c r="P189" i="91"/>
  <c r="AJ18" i="91" s="1"/>
  <c r="O166" i="91"/>
  <c r="P166" i="91" s="1"/>
  <c r="AJ6" i="91" s="1"/>
  <c r="O171" i="91"/>
  <c r="P171" i="91" s="1"/>
  <c r="AJ34" i="91" s="1"/>
  <c r="O165" i="91"/>
  <c r="P165" i="91" s="1"/>
  <c r="AJ4" i="91" s="1"/>
  <c r="O170" i="91"/>
  <c r="P170" i="91" s="1"/>
  <c r="AJ33" i="91" s="1"/>
  <c r="O169" i="91"/>
  <c r="P169" i="91" s="1"/>
  <c r="AJ30" i="91" s="1"/>
  <c r="O174" i="91"/>
  <c r="P174" i="91" s="1"/>
  <c r="O173" i="91"/>
  <c r="P173" i="91" s="1"/>
  <c r="B41" i="91"/>
  <c r="R129" i="91"/>
  <c r="R127" i="91"/>
  <c r="B86" i="91"/>
  <c r="B88" i="91"/>
  <c r="P139" i="91"/>
  <c r="AA135" i="91" s="1"/>
  <c r="N16" i="91"/>
  <c r="N5" i="91" s="1"/>
  <c r="AA153" i="91"/>
  <c r="AA123" i="91"/>
  <c r="AA132" i="91"/>
  <c r="AA143" i="91"/>
  <c r="AA146" i="91"/>
  <c r="B344" i="91"/>
  <c r="B349" i="91" s="1"/>
  <c r="AA140" i="91"/>
  <c r="AA149" i="91"/>
  <c r="B345" i="91"/>
  <c r="B350" i="91" s="1"/>
  <c r="AA152" i="91"/>
  <c r="B346" i="91"/>
  <c r="B351" i="91" s="1"/>
  <c r="AA124" i="91"/>
  <c r="AA137" i="91"/>
  <c r="B347" i="91"/>
  <c r="B352" i="91" s="1"/>
  <c r="B348" i="91"/>
  <c r="B353" i="91" s="1"/>
  <c r="AA127" i="91"/>
  <c r="AA129" i="91"/>
  <c r="AA142" i="91"/>
  <c r="P206" i="90"/>
  <c r="P144" i="90"/>
  <c r="P142" i="90"/>
  <c r="P140" i="90"/>
  <c r="M191" i="90"/>
  <c r="M187" i="90"/>
  <c r="P79" i="90"/>
  <c r="AA2" i="90" s="1"/>
  <c r="AJ10" i="90"/>
  <c r="AK10" i="90" s="1"/>
  <c r="B25" i="90"/>
  <c r="B35" i="90"/>
  <c r="AJ8" i="90"/>
  <c r="AK8" i="90" s="1"/>
  <c r="AJ56" i="90"/>
  <c r="AK56" i="90" s="1"/>
  <c r="B41" i="90"/>
  <c r="B101" i="90"/>
  <c r="U40" i="90"/>
  <c r="N9" i="90"/>
  <c r="B39" i="90"/>
  <c r="AJ48" i="90"/>
  <c r="AK48" i="90" s="1"/>
  <c r="B29" i="90"/>
  <c r="AJ28" i="90"/>
  <c r="AK28" i="90" s="1"/>
  <c r="P89" i="90"/>
  <c r="P194" i="90"/>
  <c r="AA112" i="90" s="1"/>
  <c r="P214" i="90"/>
  <c r="P86" i="90"/>
  <c r="P96" i="90"/>
  <c r="P28" i="90"/>
  <c r="M74" i="90" s="1"/>
  <c r="AA151" i="90"/>
  <c r="P90" i="90"/>
  <c r="P199" i="90"/>
  <c r="AA117" i="90" s="1"/>
  <c r="B42" i="90"/>
  <c r="L186" i="90"/>
  <c r="P81" i="90"/>
  <c r="AA4" i="90" s="1"/>
  <c r="P94" i="90"/>
  <c r="P91" i="90"/>
  <c r="P98" i="90"/>
  <c r="P139" i="90"/>
  <c r="AA135" i="90" s="1"/>
  <c r="B44" i="90"/>
  <c r="P208" i="90"/>
  <c r="R190" i="90"/>
  <c r="AJ58" i="90"/>
  <c r="AK58" i="90" s="1"/>
  <c r="B18" i="90"/>
  <c r="AJ17" i="90"/>
  <c r="B21" i="90"/>
  <c r="B24" i="90"/>
  <c r="AA130" i="90"/>
  <c r="AA125" i="90"/>
  <c r="AJ14" i="90"/>
  <c r="O171" i="90"/>
  <c r="P171" i="90" s="1"/>
  <c r="AJ34" i="90" s="1"/>
  <c r="O165" i="90"/>
  <c r="P165" i="90" s="1"/>
  <c r="AJ4" i="90" s="1"/>
  <c r="T12" i="68"/>
  <c r="X12" i="68"/>
  <c r="E2" i="69"/>
  <c r="D3" i="69" a="1"/>
  <c r="D3" i="69" s="1"/>
  <c r="J12" i="68"/>
  <c r="O12" i="68"/>
  <c r="B3" i="69" a="1"/>
  <c r="B3" i="69" s="1"/>
  <c r="C3" i="69" a="1"/>
  <c r="C3" i="69" s="1"/>
  <c r="B38" i="90"/>
  <c r="AJ29" i="90"/>
  <c r="AK29" i="90" s="1"/>
  <c r="B28" i="90"/>
  <c r="AJ12" i="90"/>
  <c r="AK12" i="90" s="1"/>
  <c r="AJ33" i="90"/>
  <c r="AA140" i="90"/>
  <c r="AA128" i="90"/>
  <c r="AA126" i="90"/>
  <c r="AJ39" i="90"/>
  <c r="AA136" i="90"/>
  <c r="AJ53" i="90"/>
  <c r="AJ44" i="90"/>
  <c r="AJ6" i="90"/>
  <c r="AA139" i="90"/>
  <c r="AJ25" i="90"/>
  <c r="AK25" i="90" s="1"/>
  <c r="B111" i="90"/>
  <c r="B104" i="90"/>
  <c r="B113" i="90"/>
  <c r="B106" i="90"/>
  <c r="B108" i="90"/>
  <c r="B110" i="90"/>
  <c r="B103" i="90"/>
  <c r="B112" i="90"/>
  <c r="B107" i="90"/>
  <c r="B105" i="90"/>
  <c r="B114" i="90"/>
  <c r="B109" i="90"/>
  <c r="N7" i="90"/>
  <c r="AJ47" i="90"/>
  <c r="B40" i="90"/>
  <c r="AJ52" i="90"/>
  <c r="AK52" i="90" s="1"/>
  <c r="AA145" i="90"/>
  <c r="B19" i="90"/>
  <c r="AJ26" i="90"/>
  <c r="AK26" i="90" s="1"/>
  <c r="B17" i="90"/>
  <c r="B31" i="90"/>
  <c r="B46" i="90"/>
  <c r="B47" i="90"/>
  <c r="AJ45" i="90"/>
  <c r="AK45" i="90" s="1"/>
  <c r="AJ51" i="90"/>
  <c r="AK51" i="90" s="1"/>
  <c r="B49" i="90"/>
  <c r="AJ50" i="90"/>
  <c r="B30" i="90"/>
  <c r="AJ32" i="90"/>
  <c r="AK32" i="90" s="1"/>
  <c r="P74" i="90"/>
  <c r="P154" i="90"/>
  <c r="P190" i="90"/>
  <c r="AJ40" i="90" s="1"/>
  <c r="R189" i="90"/>
  <c r="P189" i="90" s="1"/>
  <c r="AJ18" i="90" s="1"/>
  <c r="R188" i="90"/>
  <c r="P188" i="90" s="1"/>
  <c r="AJ16" i="90" s="1"/>
  <c r="R191" i="90"/>
  <c r="R187" i="90"/>
  <c r="AJ11" i="90"/>
  <c r="AK11" i="90" s="1"/>
  <c r="B27" i="90"/>
  <c r="W40" i="90" a="1"/>
  <c r="W40" i="90" s="1"/>
  <c r="AJ38" i="90"/>
  <c r="AK38" i="90" s="1"/>
  <c r="AA148" i="90"/>
  <c r="P187" i="90"/>
  <c r="AJ13" i="90" s="1"/>
  <c r="AA131" i="90"/>
  <c r="O173" i="90"/>
  <c r="P173" i="90" s="1"/>
  <c r="AJ43" i="90"/>
  <c r="AK43" i="90" s="1"/>
  <c r="AJ49" i="90"/>
  <c r="AK49" i="90" s="1"/>
  <c r="AA134" i="90"/>
  <c r="AA144" i="90"/>
  <c r="O168" i="90"/>
  <c r="P168" i="90" s="1"/>
  <c r="AJ19" i="90" s="1"/>
  <c r="AJ27" i="90"/>
  <c r="AK27" i="90" s="1"/>
  <c r="AA141" i="90"/>
  <c r="AA147" i="90"/>
  <c r="AA150" i="90"/>
  <c r="O174" i="90"/>
  <c r="P174" i="90" s="1"/>
  <c r="AJ55" i="90" s="1"/>
  <c r="AA138" i="90"/>
  <c r="AA153" i="90"/>
  <c r="O169" i="90"/>
  <c r="P169" i="90" s="1"/>
  <c r="AJ30" i="90" s="1"/>
  <c r="B36" i="90"/>
  <c r="AJ37" i="90"/>
  <c r="AK37" i="90" s="1"/>
  <c r="AA123" i="90"/>
  <c r="AA132" i="90"/>
  <c r="AA143" i="90"/>
  <c r="AA146" i="90"/>
  <c r="B344" i="90"/>
  <c r="B349" i="90" s="1"/>
  <c r="AA149" i="90"/>
  <c r="B345" i="90"/>
  <c r="B350" i="90" s="1"/>
  <c r="AA152" i="90"/>
  <c r="B346" i="90"/>
  <c r="B351" i="90" s="1"/>
  <c r="AA124" i="90"/>
  <c r="AA137" i="90"/>
  <c r="B347" i="90"/>
  <c r="B352" i="90" s="1"/>
  <c r="R127" i="90"/>
  <c r="B348" i="90"/>
  <c r="B353" i="90" s="1"/>
  <c r="AA127" i="90"/>
  <c r="AA129" i="90"/>
  <c r="AA142" i="90"/>
  <c r="P80" i="89"/>
  <c r="AA3" i="89" s="1"/>
  <c r="AE156" i="89" s="1"/>
  <c r="M187" i="89"/>
  <c r="M189" i="89"/>
  <c r="P138" i="89"/>
  <c r="B52" i="89"/>
  <c r="B51" i="89"/>
  <c r="AJ7" i="89"/>
  <c r="B35" i="89"/>
  <c r="AJ8" i="89"/>
  <c r="AK8" i="89" s="1"/>
  <c r="AJ35" i="89"/>
  <c r="AK35" i="89" s="1"/>
  <c r="B31" i="89"/>
  <c r="B36" i="89"/>
  <c r="AJ20" i="89"/>
  <c r="AK20" i="89" s="1"/>
  <c r="B45" i="89"/>
  <c r="AJ27" i="89"/>
  <c r="AK27" i="89" s="1"/>
  <c r="B39" i="89"/>
  <c r="AJ48" i="89"/>
  <c r="AK48" i="89" s="1"/>
  <c r="AE155" i="89"/>
  <c r="B99" i="89"/>
  <c r="U40" i="89"/>
  <c r="N9" i="89"/>
  <c r="B101" i="89"/>
  <c r="B29" i="89"/>
  <c r="AJ28" i="89"/>
  <c r="AK28" i="89" s="1"/>
  <c r="P189" i="89"/>
  <c r="P201" i="89"/>
  <c r="AA119" i="89" s="1"/>
  <c r="P211" i="89"/>
  <c r="M74" i="89"/>
  <c r="N7" i="89"/>
  <c r="O11" i="89" s="1"/>
  <c r="B37" i="89"/>
  <c r="P214" i="89"/>
  <c r="W40" i="89" s="1" a="1"/>
  <c r="W40" i="89" s="1"/>
  <c r="P96" i="89"/>
  <c r="F244" i="89" s="1" a="1"/>
  <c r="F244" i="89" s="1"/>
  <c r="B365" i="89" s="1"/>
  <c r="AJ5" i="89"/>
  <c r="AK5" i="89" s="1"/>
  <c r="P207" i="89"/>
  <c r="L186" i="89"/>
  <c r="P203" i="89"/>
  <c r="AA121" i="89" s="1"/>
  <c r="P83" i="89"/>
  <c r="R190" i="89"/>
  <c r="P196" i="89"/>
  <c r="AA114" i="89" s="1"/>
  <c r="P87" i="89"/>
  <c r="P94" i="89"/>
  <c r="P155" i="89"/>
  <c r="AA151" i="89" s="1"/>
  <c r="P208" i="89"/>
  <c r="L193" i="89"/>
  <c r="AJ58" i="89"/>
  <c r="AK58" i="89" s="1"/>
  <c r="B18" i="89"/>
  <c r="P74" i="89"/>
  <c r="AJ57" i="89" s="1"/>
  <c r="AK57" i="89" s="1"/>
  <c r="B25" i="89"/>
  <c r="B19" i="89"/>
  <c r="AA135" i="89"/>
  <c r="AA139" i="89"/>
  <c r="AJ14" i="89"/>
  <c r="O171" i="89"/>
  <c r="P171" i="89" s="1"/>
  <c r="AJ34" i="89" s="1"/>
  <c r="AA72" i="89" s="1" a="1"/>
  <c r="AA72" i="89" s="1"/>
  <c r="O172" i="89"/>
  <c r="P172" i="89" s="1"/>
  <c r="O165" i="89"/>
  <c r="P165" i="89" s="1"/>
  <c r="AJ4" i="89" s="1"/>
  <c r="AJ31" i="89"/>
  <c r="AK31" i="89" s="1"/>
  <c r="B24" i="89"/>
  <c r="AJ47" i="89"/>
  <c r="B30" i="89"/>
  <c r="AJ32" i="89"/>
  <c r="AK32" i="89" s="1"/>
  <c r="AJ26" i="89"/>
  <c r="AK26" i="89" s="1"/>
  <c r="B17" i="89"/>
  <c r="AA145" i="89"/>
  <c r="B46" i="89"/>
  <c r="AJ36" i="89"/>
  <c r="AK36" i="89" s="1"/>
  <c r="P190" i="89"/>
  <c r="AJ40" i="89" s="1"/>
  <c r="AJ25" i="89"/>
  <c r="AK25" i="89" s="1"/>
  <c r="B111" i="89"/>
  <c r="B104" i="89"/>
  <c r="B113" i="89"/>
  <c r="B106" i="89"/>
  <c r="B108" i="89"/>
  <c r="B110" i="89"/>
  <c r="B103" i="89"/>
  <c r="B112" i="89"/>
  <c r="B105" i="89"/>
  <c r="B114" i="89"/>
  <c r="B107" i="89"/>
  <c r="B109" i="89"/>
  <c r="AA125" i="89"/>
  <c r="AJ50" i="89"/>
  <c r="AA130" i="89"/>
  <c r="P154" i="89"/>
  <c r="AA150" i="89" s="1"/>
  <c r="AJ11" i="89"/>
  <c r="AK11" i="89" s="1"/>
  <c r="B27" i="89"/>
  <c r="B38" i="89"/>
  <c r="AJ29" i="89"/>
  <c r="AK29" i="89" s="1"/>
  <c r="B40" i="89"/>
  <c r="AJ52" i="89"/>
  <c r="AK52" i="89" s="1"/>
  <c r="B28" i="89"/>
  <c r="AJ12" i="89"/>
  <c r="AK12" i="89" s="1"/>
  <c r="B23" i="89"/>
  <c r="AJ38" i="89"/>
  <c r="AK38" i="89" s="1"/>
  <c r="B47" i="89"/>
  <c r="AJ45" i="89"/>
  <c r="AK45" i="89" s="1"/>
  <c r="AJ51" i="89"/>
  <c r="AK51" i="89" s="1"/>
  <c r="B49" i="89"/>
  <c r="V33" i="89"/>
  <c r="B22" i="89" s="1"/>
  <c r="Y80" i="89"/>
  <c r="AJ9" i="89"/>
  <c r="AJ18" i="89"/>
  <c r="AA140" i="89"/>
  <c r="AJ41" i="89"/>
  <c r="AJ39" i="89"/>
  <c r="AJ53" i="89"/>
  <c r="AJ44" i="89"/>
  <c r="AJ6" i="89"/>
  <c r="AA148" i="89"/>
  <c r="P187" i="89"/>
  <c r="AJ13" i="89" s="1"/>
  <c r="AA131" i="89"/>
  <c r="R187" i="89"/>
  <c r="AJ43" i="89"/>
  <c r="AK43" i="89" s="1"/>
  <c r="AJ49" i="89"/>
  <c r="AK49" i="89" s="1"/>
  <c r="AA134" i="89"/>
  <c r="AA144" i="89"/>
  <c r="O168" i="89"/>
  <c r="P168" i="89" s="1"/>
  <c r="AJ19" i="89" s="1"/>
  <c r="AJ17" i="89"/>
  <c r="AA141" i="89"/>
  <c r="AA147" i="89"/>
  <c r="B44" i="89"/>
  <c r="AA136" i="89"/>
  <c r="O174" i="89"/>
  <c r="P174" i="89" s="1"/>
  <c r="AJ55" i="89" s="1"/>
  <c r="R191" i="89"/>
  <c r="AA126" i="89"/>
  <c r="AA128" i="89"/>
  <c r="AA138" i="89"/>
  <c r="AA153" i="89"/>
  <c r="O169" i="89"/>
  <c r="P169" i="89" s="1"/>
  <c r="AJ30" i="89" s="1"/>
  <c r="R188" i="89"/>
  <c r="P188" i="89" s="1"/>
  <c r="AJ16" i="89" s="1"/>
  <c r="AJ37" i="89"/>
  <c r="AK37" i="89" s="1"/>
  <c r="AA123" i="89"/>
  <c r="AA132" i="89"/>
  <c r="AA143" i="89"/>
  <c r="AA146" i="89"/>
  <c r="B344" i="89"/>
  <c r="B349" i="89" s="1"/>
  <c r="AA149" i="89"/>
  <c r="B345" i="89"/>
  <c r="B350" i="89" s="1"/>
  <c r="AA152" i="89"/>
  <c r="B346" i="89"/>
  <c r="B351" i="89" s="1"/>
  <c r="AA124" i="89"/>
  <c r="AA137" i="89"/>
  <c r="B347" i="89"/>
  <c r="B352" i="89" s="1"/>
  <c r="R127" i="89"/>
  <c r="B348" i="89"/>
  <c r="B353" i="89" s="1"/>
  <c r="AA127" i="89"/>
  <c r="AA129" i="89"/>
  <c r="AA142" i="89"/>
  <c r="M190" i="85"/>
  <c r="O165" i="85"/>
  <c r="P165" i="85" s="1"/>
  <c r="P139" i="88"/>
  <c r="P142" i="88"/>
  <c r="P140" i="88"/>
  <c r="P81" i="88"/>
  <c r="AA4" i="88" s="1"/>
  <c r="P82" i="88"/>
  <c r="AA5" i="88" s="1"/>
  <c r="B44" i="88"/>
  <c r="AJ22" i="88"/>
  <c r="AK22" i="88" s="1"/>
  <c r="M74" i="88"/>
  <c r="P74" i="88" s="1"/>
  <c r="AJ48" i="88"/>
  <c r="AK48" i="88" s="1"/>
  <c r="B39" i="88"/>
  <c r="AJ37" i="88"/>
  <c r="AK37" i="88" s="1"/>
  <c r="B32" i="88"/>
  <c r="AJ7" i="88"/>
  <c r="B52" i="88"/>
  <c r="B51" i="88"/>
  <c r="B25" i="88"/>
  <c r="P194" i="88"/>
  <c r="AA112" i="88" s="1"/>
  <c r="AJ56" i="88"/>
  <c r="AK56" i="88" s="1"/>
  <c r="P199" i="88"/>
  <c r="AA117" i="88" s="1"/>
  <c r="P96" i="88"/>
  <c r="P177" i="88"/>
  <c r="AA82" i="88" s="1"/>
  <c r="P181" i="88"/>
  <c r="AA86" i="88" s="1"/>
  <c r="P203" i="88"/>
  <c r="AA121" i="88" s="1"/>
  <c r="P157" i="88"/>
  <c r="L186" i="88"/>
  <c r="P207" i="88"/>
  <c r="P92" i="88"/>
  <c r="P190" i="88"/>
  <c r="P208" i="88"/>
  <c r="AJ5" i="88"/>
  <c r="P90" i="88"/>
  <c r="W40" i="88" a="1"/>
  <c r="W40" i="88" s="1"/>
  <c r="AJ32" i="88"/>
  <c r="AK32" i="88" s="1"/>
  <c r="B35" i="88"/>
  <c r="B17" i="88"/>
  <c r="B21" i="88"/>
  <c r="B18" i="88"/>
  <c r="AJ40" i="88"/>
  <c r="AA106" i="88" s="1" a="1"/>
  <c r="AA106" i="88" s="1"/>
  <c r="AJ14" i="88"/>
  <c r="AA145" i="88"/>
  <c r="AK58" i="88"/>
  <c r="AA135" i="88"/>
  <c r="AA130" i="88"/>
  <c r="O166" i="88"/>
  <c r="P166" i="88" s="1"/>
  <c r="AJ6" i="88" s="1"/>
  <c r="AJ11" i="88"/>
  <c r="AK11" i="88" s="1"/>
  <c r="B27" i="88"/>
  <c r="N7" i="88"/>
  <c r="O10" i="88" s="1"/>
  <c r="AJ47" i="88"/>
  <c r="B89" i="88"/>
  <c r="AJ30" i="88"/>
  <c r="AJ9" i="88"/>
  <c r="AA149" i="88"/>
  <c r="AA140" i="88"/>
  <c r="AA126" i="88"/>
  <c r="AJ4" i="88"/>
  <c r="AA134" i="88"/>
  <c r="AJ53" i="88"/>
  <c r="AJ44" i="88"/>
  <c r="AA139" i="88"/>
  <c r="N16" i="88"/>
  <c r="N5" i="88" s="1"/>
  <c r="B33" i="88"/>
  <c r="AJ43" i="88"/>
  <c r="AK43" i="88" s="1"/>
  <c r="AJ20" i="88"/>
  <c r="AK20" i="88" s="1"/>
  <c r="B36" i="88"/>
  <c r="AJ51" i="88"/>
  <c r="AK51" i="88" s="1"/>
  <c r="B49" i="88"/>
  <c r="AA125" i="88"/>
  <c r="AJ50" i="88"/>
  <c r="B43" i="88"/>
  <c r="B47" i="88"/>
  <c r="AJ45" i="88"/>
  <c r="AK45" i="88" s="1"/>
  <c r="P84" i="88"/>
  <c r="AA151" i="88"/>
  <c r="AK17" i="88"/>
  <c r="P154" i="88"/>
  <c r="B48" i="88"/>
  <c r="AJ49" i="88"/>
  <c r="AK49" i="88" s="1"/>
  <c r="B24" i="88"/>
  <c r="B28" i="88"/>
  <c r="B111" i="88"/>
  <c r="B104" i="88"/>
  <c r="B113" i="88"/>
  <c r="B106" i="88"/>
  <c r="B108" i="88"/>
  <c r="B110" i="88"/>
  <c r="B103" i="88"/>
  <c r="B112" i="88"/>
  <c r="B105" i="88"/>
  <c r="B114" i="88"/>
  <c r="B109" i="88"/>
  <c r="AJ42" i="88"/>
  <c r="AK42" i="88" s="1"/>
  <c r="B19" i="88"/>
  <c r="AJ38" i="88"/>
  <c r="AK38" i="88" s="1"/>
  <c r="B42" i="88"/>
  <c r="AA148" i="88"/>
  <c r="O172" i="88"/>
  <c r="P172" i="88" s="1"/>
  <c r="AJ39" i="88" s="1"/>
  <c r="P187" i="88"/>
  <c r="AJ13" i="88" s="1"/>
  <c r="AA131" i="88"/>
  <c r="O173" i="88"/>
  <c r="P173" i="88" s="1"/>
  <c r="AJ41" i="88" s="1"/>
  <c r="R187" i="88"/>
  <c r="AA144" i="88"/>
  <c r="O168" i="88"/>
  <c r="P168" i="88" s="1"/>
  <c r="AJ19" i="88" s="1"/>
  <c r="AJ27" i="88"/>
  <c r="AK27" i="88" s="1"/>
  <c r="AA141" i="88"/>
  <c r="AA147" i="88"/>
  <c r="AA136" i="88"/>
  <c r="AA150" i="88"/>
  <c r="O174" i="88"/>
  <c r="P174" i="88" s="1"/>
  <c r="R191" i="88"/>
  <c r="P191" i="88" s="1"/>
  <c r="AJ54" i="88" s="1"/>
  <c r="AA128" i="88"/>
  <c r="AA138" i="88"/>
  <c r="AA153" i="88"/>
  <c r="R188" i="88"/>
  <c r="P188" i="88" s="1"/>
  <c r="AJ16" i="88" s="1"/>
  <c r="AA123" i="88"/>
  <c r="AA132" i="88"/>
  <c r="AA143" i="88"/>
  <c r="AA146" i="88"/>
  <c r="O170" i="88"/>
  <c r="P170" i="88" s="1"/>
  <c r="AJ33" i="88" s="1"/>
  <c r="B344" i="88"/>
  <c r="B349" i="88" s="1"/>
  <c r="B345" i="88"/>
  <c r="B350" i="88" s="1"/>
  <c r="AA152" i="88"/>
  <c r="R189" i="88"/>
  <c r="P189" i="88" s="1"/>
  <c r="AJ18" i="88" s="1"/>
  <c r="B346" i="88"/>
  <c r="B351" i="88" s="1"/>
  <c r="AA124" i="88"/>
  <c r="AA137" i="88"/>
  <c r="O171" i="88"/>
  <c r="P171" i="88" s="1"/>
  <c r="AJ34" i="88" s="1"/>
  <c r="B347" i="88"/>
  <c r="B352" i="88" s="1"/>
  <c r="R127" i="88"/>
  <c r="B348" i="88"/>
  <c r="B353" i="88" s="1"/>
  <c r="AA127" i="88"/>
  <c r="AA129" i="88"/>
  <c r="AA142" i="88"/>
  <c r="P181" i="86"/>
  <c r="AA86" i="86" s="1"/>
  <c r="P178" i="86"/>
  <c r="AA83" i="86" s="1"/>
  <c r="P179" i="86"/>
  <c r="AA84" i="86" s="1"/>
  <c r="P180" i="86"/>
  <c r="AA85" i="86" s="1"/>
  <c r="P135" i="86"/>
  <c r="B98" i="86" s="1"/>
  <c r="P149" i="86"/>
  <c r="P147" i="86"/>
  <c r="AA143" i="86" s="1"/>
  <c r="P145" i="86"/>
  <c r="P153" i="86"/>
  <c r="P133" i="86"/>
  <c r="B96" i="86" s="1"/>
  <c r="P148" i="86"/>
  <c r="P143" i="86"/>
  <c r="P138" i="86"/>
  <c r="P134" i="86"/>
  <c r="B97" i="86" s="1"/>
  <c r="M187" i="86"/>
  <c r="P89" i="86"/>
  <c r="P87" i="86"/>
  <c r="P95" i="86"/>
  <c r="L193" i="86"/>
  <c r="L186" i="86"/>
  <c r="B33" i="86"/>
  <c r="AJ43" i="86"/>
  <c r="AK43" i="86" s="1"/>
  <c r="AJ37" i="86"/>
  <c r="AK37" i="86" s="1"/>
  <c r="B32" i="86"/>
  <c r="B40" i="86"/>
  <c r="AJ52" i="86"/>
  <c r="AK52" i="86" s="1"/>
  <c r="B52" i="86"/>
  <c r="B51" i="86"/>
  <c r="AJ7" i="86"/>
  <c r="AE155" i="86"/>
  <c r="B99" i="86"/>
  <c r="P86" i="86"/>
  <c r="P177" i="86"/>
  <c r="AA82" i="86" s="1"/>
  <c r="P203" i="86"/>
  <c r="AA121" i="86" s="1"/>
  <c r="P210" i="86"/>
  <c r="AJ2" i="86"/>
  <c r="AK2" i="86" s="1"/>
  <c r="P90" i="86"/>
  <c r="P196" i="86"/>
  <c r="AA114" i="86" s="1"/>
  <c r="P83" i="86"/>
  <c r="P94" i="86"/>
  <c r="P98" i="86"/>
  <c r="P151" i="86"/>
  <c r="AJ14" i="86"/>
  <c r="R128" i="86"/>
  <c r="AJ56" i="86"/>
  <c r="AK56" i="86" s="1"/>
  <c r="P92" i="86"/>
  <c r="F244" i="86" s="1" a="1"/>
  <c r="F244" i="86" s="1"/>
  <c r="B365" i="86" s="1"/>
  <c r="P194" i="86"/>
  <c r="AA112" i="86" s="1"/>
  <c r="P74" i="86"/>
  <c r="B55" i="86" s="1"/>
  <c r="P26" i="86"/>
  <c r="AJ26" i="86" s="1"/>
  <c r="AK26" i="86" s="1"/>
  <c r="P31" i="86"/>
  <c r="AJ38" i="86"/>
  <c r="AK38" i="86" s="1"/>
  <c r="N16" i="86"/>
  <c r="N5" i="86" s="1"/>
  <c r="AA151" i="86"/>
  <c r="AA125" i="86"/>
  <c r="AA135" i="86"/>
  <c r="AA130" i="86"/>
  <c r="O167" i="86"/>
  <c r="P167" i="86" s="1"/>
  <c r="Y54" i="86" s="1"/>
  <c r="AA54" i="86" s="1" a="1"/>
  <c r="AA54" i="86" s="1"/>
  <c r="O168" i="86"/>
  <c r="P168" i="86" s="1"/>
  <c r="AJ19" i="86" s="1"/>
  <c r="O172" i="86"/>
  <c r="P172" i="86" s="1"/>
  <c r="AA148" i="86"/>
  <c r="AC2" i="86" a="1"/>
  <c r="O166" i="86"/>
  <c r="P166" i="86" s="1"/>
  <c r="AJ6" i="86" s="1"/>
  <c r="O174" i="86"/>
  <c r="P174" i="86" s="1"/>
  <c r="V31" i="86" s="1"/>
  <c r="B20" i="86" s="1"/>
  <c r="AJ57" i="86"/>
  <c r="AK57" i="86" s="1"/>
  <c r="B54" i="86"/>
  <c r="AJ20" i="86"/>
  <c r="AK20" i="86" s="1"/>
  <c r="B36" i="86"/>
  <c r="AJ3" i="86"/>
  <c r="AK3" i="86" s="1"/>
  <c r="B42" i="86"/>
  <c r="AJ25" i="86"/>
  <c r="AK25" i="86" s="1"/>
  <c r="B111" i="86"/>
  <c r="B104" i="86"/>
  <c r="B113" i="86"/>
  <c r="B106" i="86"/>
  <c r="B108" i="86"/>
  <c r="B110" i="86"/>
  <c r="B103" i="86"/>
  <c r="B112" i="86"/>
  <c r="B105" i="86"/>
  <c r="B114" i="86"/>
  <c r="B107" i="86"/>
  <c r="R191" i="86"/>
  <c r="P191" i="86" s="1"/>
  <c r="AJ54" i="86" s="1"/>
  <c r="R187" i="86"/>
  <c r="P187" i="86" s="1"/>
  <c r="AJ13" i="86" s="1"/>
  <c r="B18" i="86"/>
  <c r="AK58" i="86"/>
  <c r="B38" i="86"/>
  <c r="AJ29" i="86"/>
  <c r="AK29" i="86" s="1"/>
  <c r="AA145" i="86"/>
  <c r="W40" i="86" a="1"/>
  <c r="W40" i="86" s="1"/>
  <c r="U40" i="86"/>
  <c r="N9" i="86"/>
  <c r="N7" i="86" s="1"/>
  <c r="O11" i="86" s="1"/>
  <c r="B101" i="86"/>
  <c r="AJ51" i="86"/>
  <c r="AK51" i="86" s="1"/>
  <c r="B49" i="86"/>
  <c r="B28" i="86"/>
  <c r="AJ12" i="86"/>
  <c r="AK12" i="86" s="1"/>
  <c r="AJ42" i="86"/>
  <c r="AK42" i="86" s="1"/>
  <c r="B19" i="86"/>
  <c r="AJ31" i="86"/>
  <c r="AK31" i="86" s="1"/>
  <c r="B24" i="86"/>
  <c r="AJ47" i="86"/>
  <c r="B31" i="86"/>
  <c r="AE156" i="86"/>
  <c r="B109" i="86"/>
  <c r="P195" i="86"/>
  <c r="AA113" i="86" s="1"/>
  <c r="B17" i="86"/>
  <c r="AJ50" i="86"/>
  <c r="B30" i="86"/>
  <c r="AJ32" i="86"/>
  <c r="AK32" i="86" s="1"/>
  <c r="P154" i="86"/>
  <c r="AA150" i="86" s="1"/>
  <c r="B21" i="86"/>
  <c r="AK17" i="86"/>
  <c r="B34" i="86"/>
  <c r="AJ5" i="86"/>
  <c r="B25" i="86"/>
  <c r="AJ10" i="86"/>
  <c r="AK10" i="86" s="1"/>
  <c r="V33" i="86"/>
  <c r="B22" i="86" s="1"/>
  <c r="Y80" i="86"/>
  <c r="AA80" i="86" s="1" a="1"/>
  <c r="AA80" i="86" s="1"/>
  <c r="R190" i="86"/>
  <c r="P190" i="86" s="1"/>
  <c r="AJ40" i="86" s="1"/>
  <c r="AJ28" i="86"/>
  <c r="AK28" i="86" s="1"/>
  <c r="R189" i="86"/>
  <c r="P189" i="86" s="1"/>
  <c r="AJ18" i="86" s="1"/>
  <c r="AJ11" i="86"/>
  <c r="AK11" i="86" s="1"/>
  <c r="B27" i="86"/>
  <c r="B48" i="86"/>
  <c r="AJ49" i="86"/>
  <c r="AK49" i="86" s="1"/>
  <c r="AJ53" i="86"/>
  <c r="AJ44" i="86"/>
  <c r="AA139" i="86"/>
  <c r="AA131" i="86"/>
  <c r="AA134" i="86"/>
  <c r="AA144" i="86"/>
  <c r="AJ27" i="86"/>
  <c r="AK27" i="86" s="1"/>
  <c r="AA141" i="86"/>
  <c r="AA147" i="86"/>
  <c r="AA136" i="86"/>
  <c r="AJ39" i="86"/>
  <c r="AA126" i="86"/>
  <c r="AA128" i="86"/>
  <c r="AA138" i="86"/>
  <c r="AA153" i="86"/>
  <c r="O169" i="86"/>
  <c r="P169" i="86" s="1"/>
  <c r="AJ30" i="86" s="1"/>
  <c r="R188" i="86"/>
  <c r="P188" i="86" s="1"/>
  <c r="AJ41" i="86"/>
  <c r="AA123" i="86"/>
  <c r="AA132" i="86"/>
  <c r="B88" i="86"/>
  <c r="AA146" i="86"/>
  <c r="O170" i="86"/>
  <c r="P170" i="86" s="1"/>
  <c r="AJ33" i="86" s="1"/>
  <c r="B344" i="86"/>
  <c r="B349" i="86" s="1"/>
  <c r="B86" i="86"/>
  <c r="AA140" i="86"/>
  <c r="AA149" i="86"/>
  <c r="O165" i="86"/>
  <c r="P165" i="86" s="1"/>
  <c r="AJ4" i="86" s="1"/>
  <c r="B345" i="86"/>
  <c r="B350" i="86" s="1"/>
  <c r="AA152" i="86"/>
  <c r="B346" i="86"/>
  <c r="B351" i="86" s="1"/>
  <c r="AA124" i="86"/>
  <c r="AA137" i="86"/>
  <c r="O171" i="86"/>
  <c r="P171" i="86" s="1"/>
  <c r="AJ34" i="86" s="1"/>
  <c r="B347" i="86"/>
  <c r="B352" i="86" s="1"/>
  <c r="AJ16" i="86"/>
  <c r="AJ55" i="86"/>
  <c r="R127" i="86"/>
  <c r="B348" i="86"/>
  <c r="B353" i="86" s="1"/>
  <c r="AA127" i="86"/>
  <c r="AA129" i="86"/>
  <c r="AA142" i="86"/>
  <c r="P138" i="85"/>
  <c r="P82" i="85"/>
  <c r="AA5" i="85" s="1"/>
  <c r="B51" i="85"/>
  <c r="AJ7" i="85"/>
  <c r="B52" i="85"/>
  <c r="B31" i="85"/>
  <c r="AJ35" i="85"/>
  <c r="AK35" i="85" s="1"/>
  <c r="AJ56" i="85"/>
  <c r="AK56" i="85" s="1"/>
  <c r="B41" i="85"/>
  <c r="AJ3" i="85"/>
  <c r="AK3" i="85" s="1"/>
  <c r="B42" i="85"/>
  <c r="B36" i="85"/>
  <c r="AJ20" i="85"/>
  <c r="AK20" i="85" s="1"/>
  <c r="B39" i="85"/>
  <c r="AJ48" i="85"/>
  <c r="AK48" i="85" s="1"/>
  <c r="B37" i="85"/>
  <c r="AJ23" i="85"/>
  <c r="AK23" i="85" s="1"/>
  <c r="P197" i="85"/>
  <c r="AA115" i="85" s="1"/>
  <c r="P90" i="85"/>
  <c r="P155" i="85"/>
  <c r="P201" i="85"/>
  <c r="AA119" i="85" s="1"/>
  <c r="B88" i="85"/>
  <c r="B99" i="85"/>
  <c r="P91" i="85"/>
  <c r="P202" i="85"/>
  <c r="AA120" i="85" s="1"/>
  <c r="P95" i="85"/>
  <c r="P135" i="85"/>
  <c r="B98" i="85" s="1"/>
  <c r="P207" i="85"/>
  <c r="L186" i="85"/>
  <c r="B86" i="85"/>
  <c r="P203" i="85"/>
  <c r="AA121" i="85" s="1"/>
  <c r="P89" i="85"/>
  <c r="F244" i="85" s="1" a="1"/>
  <c r="F244" i="85" s="1"/>
  <c r="B365" i="85" s="1"/>
  <c r="P157" i="85"/>
  <c r="L193" i="85"/>
  <c r="P83" i="85"/>
  <c r="AA6" i="85" s="1"/>
  <c r="P86" i="85"/>
  <c r="AJ42" i="85"/>
  <c r="AK42" i="85" s="1"/>
  <c r="P74" i="85"/>
  <c r="AJ10" i="85"/>
  <c r="AK10" i="85" s="1"/>
  <c r="B19" i="85"/>
  <c r="AA130" i="85"/>
  <c r="AA125" i="85"/>
  <c r="O171" i="85"/>
  <c r="P171" i="85" s="1"/>
  <c r="AJ34" i="85" s="1"/>
  <c r="O172" i="85"/>
  <c r="P172" i="85" s="1"/>
  <c r="AJ39" i="85" s="1"/>
  <c r="O166" i="85"/>
  <c r="P166" i="85" s="1"/>
  <c r="AJ6" i="85" s="1"/>
  <c r="N7" i="85"/>
  <c r="O12" i="85" s="1"/>
  <c r="AJ22" i="85"/>
  <c r="AK22" i="85" s="1"/>
  <c r="B44" i="85"/>
  <c r="B46" i="85"/>
  <c r="AJ36" i="85"/>
  <c r="AK36" i="85" s="1"/>
  <c r="AA151" i="85"/>
  <c r="B23" i="85"/>
  <c r="AJ38" i="85"/>
  <c r="AK38" i="85" s="1"/>
  <c r="B40" i="85"/>
  <c r="AJ52" i="85"/>
  <c r="AK52" i="85" s="1"/>
  <c r="B33" i="85"/>
  <c r="AJ43" i="85"/>
  <c r="AK43" i="85" s="1"/>
  <c r="AJ26" i="85"/>
  <c r="AK26" i="85" s="1"/>
  <c r="B17" i="85"/>
  <c r="AJ14" i="85"/>
  <c r="B18" i="85"/>
  <c r="B28" i="85"/>
  <c r="B43" i="85"/>
  <c r="B47" i="85"/>
  <c r="AJ45" i="85"/>
  <c r="AK45" i="85" s="1"/>
  <c r="AJ51" i="85"/>
  <c r="AK51" i="85" s="1"/>
  <c r="B49" i="85"/>
  <c r="AJ57" i="85"/>
  <c r="AK57" i="85" s="1"/>
  <c r="B54" i="85"/>
  <c r="B55" i="85"/>
  <c r="AA139" i="85"/>
  <c r="P33" i="85"/>
  <c r="B30" i="85"/>
  <c r="AJ32" i="85"/>
  <c r="AK32" i="85" s="1"/>
  <c r="AJ9" i="85"/>
  <c r="AA54" i="85" s="1" a="1"/>
  <c r="AA54" i="85" s="1"/>
  <c r="AA149" i="85"/>
  <c r="AA140" i="85"/>
  <c r="AA126" i="85"/>
  <c r="AJ4" i="85"/>
  <c r="AJ53" i="85"/>
  <c r="AJ44" i="85"/>
  <c r="W40" i="85" a="1"/>
  <c r="W40" i="85" s="1"/>
  <c r="U40" i="85"/>
  <c r="B101" i="85"/>
  <c r="P190" i="85"/>
  <c r="AJ40" i="85" s="1"/>
  <c r="B111" i="85"/>
  <c r="B104" i="85"/>
  <c r="B113" i="85"/>
  <c r="B106" i="85"/>
  <c r="B108" i="85"/>
  <c r="B110" i="85"/>
  <c r="B103" i="85"/>
  <c r="B112" i="85"/>
  <c r="B105" i="85"/>
  <c r="B114" i="85"/>
  <c r="B107" i="85"/>
  <c r="B109" i="85"/>
  <c r="AJ50" i="85"/>
  <c r="P187" i="85"/>
  <c r="AJ13" i="85" s="1"/>
  <c r="R189" i="85"/>
  <c r="P189" i="85" s="1"/>
  <c r="AJ18" i="85" s="1"/>
  <c r="R188" i="85"/>
  <c r="P188" i="85" s="1"/>
  <c r="AJ16" i="85" s="1"/>
  <c r="R191" i="85"/>
  <c r="R187" i="85"/>
  <c r="AJ11" i="85"/>
  <c r="AK11" i="85" s="1"/>
  <c r="B27" i="85"/>
  <c r="AA145" i="85"/>
  <c r="AA135" i="85"/>
  <c r="AA148" i="85"/>
  <c r="AA131" i="85"/>
  <c r="O173" i="85"/>
  <c r="P173" i="85" s="1"/>
  <c r="AJ41" i="85" s="1"/>
  <c r="AJ49" i="85"/>
  <c r="AK49" i="85" s="1"/>
  <c r="AA134" i="85"/>
  <c r="AA144" i="85"/>
  <c r="O168" i="85"/>
  <c r="P168" i="85" s="1"/>
  <c r="AJ19" i="85" s="1"/>
  <c r="AJ17" i="85"/>
  <c r="AA141" i="85"/>
  <c r="AA147" i="85"/>
  <c r="R128" i="85"/>
  <c r="AA136" i="85"/>
  <c r="AA150" i="85"/>
  <c r="O174" i="85"/>
  <c r="P174" i="85" s="1"/>
  <c r="AA128" i="85"/>
  <c r="AA138" i="85"/>
  <c r="AA153" i="85"/>
  <c r="O169" i="85"/>
  <c r="P169" i="85" s="1"/>
  <c r="AJ30" i="85" s="1"/>
  <c r="AJ37" i="85"/>
  <c r="AK37" i="85" s="1"/>
  <c r="AA123" i="85"/>
  <c r="AA132" i="85"/>
  <c r="AA143" i="85"/>
  <c r="AA146" i="85"/>
  <c r="O170" i="85"/>
  <c r="P170" i="85" s="1"/>
  <c r="AJ33" i="85" s="1"/>
  <c r="B344" i="85"/>
  <c r="B349" i="85" s="1"/>
  <c r="B345" i="85"/>
  <c r="B350" i="85" s="1"/>
  <c r="AA152" i="85"/>
  <c r="B346" i="85"/>
  <c r="B351" i="85" s="1"/>
  <c r="AA124" i="85"/>
  <c r="AA137" i="85"/>
  <c r="B347" i="85"/>
  <c r="B352" i="85" s="1"/>
  <c r="R127" i="85"/>
  <c r="B348" i="85"/>
  <c r="B353" i="85" s="1"/>
  <c r="AA127" i="85"/>
  <c r="AA129" i="85"/>
  <c r="AA142" i="85"/>
  <c r="P147" i="84"/>
  <c r="P140" i="84"/>
  <c r="P148" i="84"/>
  <c r="P134" i="84"/>
  <c r="B97" i="84" s="1"/>
  <c r="P146" i="84"/>
  <c r="AA143" i="84"/>
  <c r="P141" i="84"/>
  <c r="M187" i="84"/>
  <c r="M189" i="84"/>
  <c r="P84" i="84"/>
  <c r="AA7" i="84" s="1"/>
  <c r="P82" i="84"/>
  <c r="AA5" i="84" s="1"/>
  <c r="AJ37" i="84"/>
  <c r="AK37" i="84" s="1"/>
  <c r="B32" i="84"/>
  <c r="AJ23" i="84"/>
  <c r="AK23" i="84" s="1"/>
  <c r="B37" i="84"/>
  <c r="AJ3" i="84"/>
  <c r="AK3" i="84" s="1"/>
  <c r="B42" i="84"/>
  <c r="P79" i="84"/>
  <c r="AA2" i="84" s="1"/>
  <c r="P92" i="84"/>
  <c r="P157" i="84"/>
  <c r="B45" i="84"/>
  <c r="P96" i="84"/>
  <c r="P179" i="84"/>
  <c r="AA84" i="84" s="1"/>
  <c r="P211" i="84"/>
  <c r="P93" i="84"/>
  <c r="P155" i="84"/>
  <c r="AA151" i="84" s="1"/>
  <c r="P202" i="84"/>
  <c r="AA120" i="84" s="1"/>
  <c r="P214" i="84"/>
  <c r="L186" i="84"/>
  <c r="P87" i="84"/>
  <c r="P94" i="84"/>
  <c r="P98" i="84"/>
  <c r="P207" i="84"/>
  <c r="B88" i="84"/>
  <c r="B99" i="84"/>
  <c r="P151" i="84"/>
  <c r="P203" i="84"/>
  <c r="AA121" i="84" s="1"/>
  <c r="P91" i="84"/>
  <c r="P177" i="84"/>
  <c r="AA82" i="84" s="1"/>
  <c r="B25" i="84"/>
  <c r="AJ26" i="84"/>
  <c r="AK26" i="84" s="1"/>
  <c r="F244" i="84" a="1"/>
  <c r="F244" i="84" s="1"/>
  <c r="B365" i="84" s="1"/>
  <c r="B18" i="84"/>
  <c r="O173" i="84"/>
  <c r="P173" i="84" s="1"/>
  <c r="AJ41" i="84" s="1"/>
  <c r="O165" i="84"/>
  <c r="P165" i="84" s="1"/>
  <c r="AJ4" i="84" s="1"/>
  <c r="O170" i="84"/>
  <c r="P170" i="84" s="1"/>
  <c r="AA145" i="84"/>
  <c r="O172" i="84"/>
  <c r="P172" i="84" s="1"/>
  <c r="AJ39" i="84" s="1"/>
  <c r="O171" i="84"/>
  <c r="P171" i="84" s="1"/>
  <c r="AJ34" i="84" s="1"/>
  <c r="O169" i="84"/>
  <c r="P169" i="84" s="1"/>
  <c r="AJ30" i="84" s="1"/>
  <c r="AK17" i="84"/>
  <c r="AJ42" i="84"/>
  <c r="AK42" i="84" s="1"/>
  <c r="B19" i="84"/>
  <c r="P74" i="84"/>
  <c r="P190" i="84"/>
  <c r="AJ40" i="84" s="1"/>
  <c r="AJ51" i="84"/>
  <c r="AK51" i="84" s="1"/>
  <c r="B49" i="84"/>
  <c r="B36" i="84"/>
  <c r="B38" i="84"/>
  <c r="AJ29" i="84"/>
  <c r="AK29" i="84" s="1"/>
  <c r="R189" i="84"/>
  <c r="P189" i="84" s="1"/>
  <c r="AJ18" i="84" s="1"/>
  <c r="R188" i="84"/>
  <c r="P188" i="84" s="1"/>
  <c r="R191" i="84"/>
  <c r="R187" i="84"/>
  <c r="P187" i="84" s="1"/>
  <c r="AJ13" i="84" s="1"/>
  <c r="R190" i="84"/>
  <c r="AJ45" i="84"/>
  <c r="AK45" i="84" s="1"/>
  <c r="B21" i="84"/>
  <c r="B30" i="84"/>
  <c r="AJ32" i="84"/>
  <c r="AK32" i="84" s="1"/>
  <c r="AJ56" i="84"/>
  <c r="AK56" i="84" s="1"/>
  <c r="B41" i="84"/>
  <c r="AJ50" i="84"/>
  <c r="AJ2" i="84"/>
  <c r="AK2" i="84" s="1"/>
  <c r="B26" i="84"/>
  <c r="B39" i="84"/>
  <c r="AJ16" i="84"/>
  <c r="AJ33" i="84"/>
  <c r="AA140" i="84"/>
  <c r="AA126" i="84"/>
  <c r="AJ53" i="84"/>
  <c r="AJ44" i="84"/>
  <c r="AJ6" i="84"/>
  <c r="AA135" i="84"/>
  <c r="AA130" i="84"/>
  <c r="AA125" i="84"/>
  <c r="AJ14" i="84"/>
  <c r="AA148" i="84"/>
  <c r="B43" i="84"/>
  <c r="AJ8" i="84"/>
  <c r="AK8" i="84" s="1"/>
  <c r="B35" i="84"/>
  <c r="AA146" i="84"/>
  <c r="AJ28" i="84"/>
  <c r="AK28" i="84" s="1"/>
  <c r="AJ11" i="84"/>
  <c r="AK11" i="84" s="1"/>
  <c r="B27" i="84"/>
  <c r="AJ35" i="84"/>
  <c r="AK35" i="84" s="1"/>
  <c r="B31" i="84"/>
  <c r="W40" i="84" a="1"/>
  <c r="W40" i="84" s="1"/>
  <c r="U40" i="84"/>
  <c r="N9" i="84"/>
  <c r="B101" i="84"/>
  <c r="AJ31" i="84"/>
  <c r="AK31" i="84" s="1"/>
  <c r="AJ5" i="84"/>
  <c r="B28" i="84"/>
  <c r="AJ12" i="84"/>
  <c r="AK12" i="84" s="1"/>
  <c r="B33" i="84"/>
  <c r="AJ43" i="84"/>
  <c r="AK43" i="84" s="1"/>
  <c r="AJ25" i="84"/>
  <c r="AK25" i="84" s="1"/>
  <c r="B111" i="84"/>
  <c r="B104" i="84"/>
  <c r="B113" i="84"/>
  <c r="B106" i="84"/>
  <c r="B108" i="84"/>
  <c r="B110" i="84"/>
  <c r="B103" i="84"/>
  <c r="B112" i="84"/>
  <c r="B105" i="84"/>
  <c r="B114" i="84"/>
  <c r="B107" i="84"/>
  <c r="B23" i="84"/>
  <c r="B40" i="84"/>
  <c r="AJ52" i="84"/>
  <c r="AK52" i="84" s="1"/>
  <c r="P135" i="84"/>
  <c r="B98" i="84" s="1"/>
  <c r="AA139" i="84"/>
  <c r="O167" i="84"/>
  <c r="P167" i="84" s="1"/>
  <c r="Y54" i="84" s="1"/>
  <c r="AA131" i="84"/>
  <c r="P191" i="84"/>
  <c r="AJ54" i="84" s="1"/>
  <c r="AJ49" i="84"/>
  <c r="AK49" i="84" s="1"/>
  <c r="AA134" i="84"/>
  <c r="AA144" i="84"/>
  <c r="O168" i="84"/>
  <c r="P168" i="84" s="1"/>
  <c r="AJ19" i="84" s="1"/>
  <c r="AA141" i="84"/>
  <c r="AA147" i="84"/>
  <c r="R128" i="84"/>
  <c r="AA136" i="84"/>
  <c r="AA150" i="84"/>
  <c r="O174" i="84"/>
  <c r="P174" i="84" s="1"/>
  <c r="AA128" i="84"/>
  <c r="AA138" i="84"/>
  <c r="AA153" i="84"/>
  <c r="AA123" i="84"/>
  <c r="AA132" i="84"/>
  <c r="B344" i="84"/>
  <c r="B349" i="84" s="1"/>
  <c r="AA149" i="84"/>
  <c r="B345" i="84"/>
  <c r="B350" i="84" s="1"/>
  <c r="AA152" i="84"/>
  <c r="B346" i="84"/>
  <c r="B351" i="84" s="1"/>
  <c r="AA124" i="84"/>
  <c r="AA137" i="84"/>
  <c r="B347" i="84"/>
  <c r="B352" i="84" s="1"/>
  <c r="R127" i="84"/>
  <c r="B348" i="84"/>
  <c r="B353" i="84" s="1"/>
  <c r="AA127" i="84"/>
  <c r="AA129" i="84"/>
  <c r="AA142" i="84"/>
  <c r="P84" i="83"/>
  <c r="AA7" i="83" s="1"/>
  <c r="P87" i="83"/>
  <c r="P95" i="83"/>
  <c r="P79" i="83"/>
  <c r="AA2" i="83" s="1"/>
  <c r="P89" i="83"/>
  <c r="M187" i="83"/>
  <c r="M189" i="83"/>
  <c r="P97" i="83"/>
  <c r="B110" i="80"/>
  <c r="B112" i="80"/>
  <c r="B113" i="80"/>
  <c r="B114" i="80"/>
  <c r="B103" i="80"/>
  <c r="B104" i="80"/>
  <c r="B105" i="80"/>
  <c r="B106" i="80"/>
  <c r="B107" i="80"/>
  <c r="B108" i="80"/>
  <c r="B108" i="81"/>
  <c r="B109" i="81"/>
  <c r="B110" i="81"/>
  <c r="B29" i="83"/>
  <c r="AJ28" i="83"/>
  <c r="AK28" i="83" s="1"/>
  <c r="B33" i="83"/>
  <c r="AJ43" i="83"/>
  <c r="AK43" i="83" s="1"/>
  <c r="B45" i="83"/>
  <c r="AJ27" i="83"/>
  <c r="AK27" i="83" s="1"/>
  <c r="B36" i="83"/>
  <c r="AJ20" i="83"/>
  <c r="AK20" i="83" s="1"/>
  <c r="AJ48" i="83"/>
  <c r="AK48" i="83" s="1"/>
  <c r="B39" i="83"/>
  <c r="B19" i="83"/>
  <c r="P88" i="83"/>
  <c r="P202" i="83"/>
  <c r="AA120" i="83" s="1"/>
  <c r="M74" i="83"/>
  <c r="P74" i="83" s="1"/>
  <c r="P92" i="83"/>
  <c r="P195" i="83"/>
  <c r="AA113" i="83" s="1"/>
  <c r="P135" i="83"/>
  <c r="B98" i="83" s="1"/>
  <c r="P207" i="83"/>
  <c r="P83" i="83"/>
  <c r="AA6" i="83" s="1"/>
  <c r="P86" i="83"/>
  <c r="P203" i="83"/>
  <c r="AA121" i="83" s="1"/>
  <c r="P96" i="83"/>
  <c r="L186" i="83"/>
  <c r="B35" i="83"/>
  <c r="P155" i="83"/>
  <c r="P81" i="83"/>
  <c r="AA4" i="83" s="1"/>
  <c r="P90" i="83"/>
  <c r="B28" i="83"/>
  <c r="B25" i="83"/>
  <c r="AJ10" i="83"/>
  <c r="AK10" i="83" s="1"/>
  <c r="N16" i="83"/>
  <c r="N5" i="83" s="1"/>
  <c r="AJ44" i="83"/>
  <c r="AK44" i="83" s="1"/>
  <c r="AA151" i="83"/>
  <c r="O170" i="83"/>
  <c r="P170" i="83" s="1"/>
  <c r="AJ33" i="83" s="1"/>
  <c r="AA131" i="83"/>
  <c r="O165" i="83"/>
  <c r="P165" i="83" s="1"/>
  <c r="AA145" i="83"/>
  <c r="O166" i="83"/>
  <c r="P166" i="83" s="1"/>
  <c r="AJ6" i="83" s="1"/>
  <c r="O167" i="83"/>
  <c r="P167" i="83" s="1"/>
  <c r="Y54" i="83" s="1"/>
  <c r="AA54" i="83" s="1" a="1"/>
  <c r="AA54" i="83" s="1"/>
  <c r="AJ14" i="83"/>
  <c r="AA125" i="83"/>
  <c r="AA139" i="83"/>
  <c r="O168" i="83"/>
  <c r="P168" i="83" s="1"/>
  <c r="AJ19" i="83" s="1"/>
  <c r="AJ53" i="83"/>
  <c r="O172" i="83"/>
  <c r="P172" i="83" s="1"/>
  <c r="AJ39" i="83" s="1"/>
  <c r="O173" i="83"/>
  <c r="P173" i="83" s="1"/>
  <c r="V33" i="83" s="1"/>
  <c r="B22" i="83" s="1"/>
  <c r="B38" i="83"/>
  <c r="AJ29" i="83"/>
  <c r="AK29" i="83" s="1"/>
  <c r="AJ51" i="83"/>
  <c r="AK51" i="83" s="1"/>
  <c r="B49" i="83"/>
  <c r="AJ26" i="83"/>
  <c r="AK26" i="83" s="1"/>
  <c r="B17" i="83"/>
  <c r="AJ11" i="83"/>
  <c r="AK11" i="83" s="1"/>
  <c r="B27" i="83"/>
  <c r="AJ50" i="83"/>
  <c r="B30" i="83"/>
  <c r="AJ32" i="83"/>
  <c r="AK32" i="83" s="1"/>
  <c r="R190" i="83"/>
  <c r="B37" i="83"/>
  <c r="B43" i="83"/>
  <c r="B47" i="83"/>
  <c r="AJ45" i="83"/>
  <c r="AK45" i="83" s="1"/>
  <c r="W40" i="83" a="1"/>
  <c r="W40" i="83" s="1"/>
  <c r="U40" i="83"/>
  <c r="N9" i="83"/>
  <c r="B101" i="83"/>
  <c r="AJ3" i="83"/>
  <c r="AK3" i="83" s="1"/>
  <c r="B46" i="83"/>
  <c r="B91" i="83"/>
  <c r="AJ4" i="83"/>
  <c r="AA144" i="83"/>
  <c r="AA134" i="83"/>
  <c r="AA130" i="83"/>
  <c r="AA135" i="83"/>
  <c r="B111" i="83"/>
  <c r="B104" i="83"/>
  <c r="B113" i="83"/>
  <c r="B106" i="83"/>
  <c r="B108" i="83"/>
  <c r="B110" i="83"/>
  <c r="B103" i="83"/>
  <c r="B112" i="83"/>
  <c r="B105" i="83"/>
  <c r="B109" i="83"/>
  <c r="R187" i="83"/>
  <c r="P187" i="83" s="1"/>
  <c r="AJ13" i="83" s="1"/>
  <c r="B18" i="83"/>
  <c r="AJ38" i="83"/>
  <c r="AK38" i="83" s="1"/>
  <c r="P188" i="83"/>
  <c r="AJ16" i="83" s="1"/>
  <c r="R189" i="83"/>
  <c r="P189" i="83" s="1"/>
  <c r="AJ18" i="83" s="1"/>
  <c r="R188" i="83"/>
  <c r="R191" i="83"/>
  <c r="P191" i="83" s="1"/>
  <c r="AJ54" i="83" s="1"/>
  <c r="B24" i="83"/>
  <c r="B40" i="83"/>
  <c r="AJ52" i="83"/>
  <c r="AK52" i="83" s="1"/>
  <c r="B114" i="83"/>
  <c r="B107" i="83"/>
  <c r="AJ21" i="83"/>
  <c r="AK21" i="83" s="1"/>
  <c r="P190" i="83"/>
  <c r="AJ40" i="83" s="1"/>
  <c r="AA148" i="83"/>
  <c r="AJ17" i="83"/>
  <c r="AA141" i="83"/>
  <c r="AA147" i="83"/>
  <c r="B44" i="83"/>
  <c r="R128" i="83"/>
  <c r="AA136" i="83"/>
  <c r="AA150" i="83"/>
  <c r="O174" i="83"/>
  <c r="P174" i="83" s="1"/>
  <c r="AJ55" i="83" s="1"/>
  <c r="AA126" i="83"/>
  <c r="AA128" i="83"/>
  <c r="AA138" i="83"/>
  <c r="AA153" i="83"/>
  <c r="O169" i="83"/>
  <c r="P169" i="83" s="1"/>
  <c r="AJ30" i="83" s="1"/>
  <c r="AJ37" i="83"/>
  <c r="AK37" i="83" s="1"/>
  <c r="AA123" i="83"/>
  <c r="AA132" i="83"/>
  <c r="AA143" i="83"/>
  <c r="AA146" i="83"/>
  <c r="B344" i="83"/>
  <c r="B349" i="83" s="1"/>
  <c r="AA140" i="83"/>
  <c r="AA149" i="83"/>
  <c r="B345" i="83"/>
  <c r="B350" i="83" s="1"/>
  <c r="AA152" i="83"/>
  <c r="B346" i="83"/>
  <c r="B351" i="83" s="1"/>
  <c r="AA124" i="83"/>
  <c r="AA137" i="83"/>
  <c r="B347" i="83"/>
  <c r="B352" i="83" s="1"/>
  <c r="R127" i="83"/>
  <c r="B348" i="83"/>
  <c r="B353" i="83" s="1"/>
  <c r="AA127" i="83"/>
  <c r="AA129" i="83"/>
  <c r="AA142" i="83"/>
  <c r="P142" i="82"/>
  <c r="P140" i="82"/>
  <c r="P148" i="82"/>
  <c r="P153" i="82"/>
  <c r="P143" i="82"/>
  <c r="P146" i="82"/>
  <c r="P154" i="82"/>
  <c r="P149" i="82"/>
  <c r="P95" i="82"/>
  <c r="P96" i="82"/>
  <c r="P90" i="82"/>
  <c r="P97" i="82"/>
  <c r="P80" i="82"/>
  <c r="AA3" i="82" s="1"/>
  <c r="AE156" i="82" s="1"/>
  <c r="M187" i="82"/>
  <c r="P84" i="82"/>
  <c r="P94" i="82"/>
  <c r="P98" i="82"/>
  <c r="M189" i="82"/>
  <c r="B35" i="82"/>
  <c r="AJ8" i="82"/>
  <c r="AK8" i="82" s="1"/>
  <c r="B52" i="82"/>
  <c r="B51" i="82"/>
  <c r="AJ7" i="82"/>
  <c r="AJ35" i="82"/>
  <c r="AK35" i="82" s="1"/>
  <c r="B31" i="82"/>
  <c r="B39" i="82"/>
  <c r="AJ48" i="82"/>
  <c r="AK48" i="82" s="1"/>
  <c r="L193" i="82"/>
  <c r="L186" i="82"/>
  <c r="P190" i="82"/>
  <c r="P88" i="82"/>
  <c r="P201" i="82"/>
  <c r="AA119" i="82" s="1"/>
  <c r="B18" i="82"/>
  <c r="B86" i="82"/>
  <c r="B26" i="82"/>
  <c r="R190" i="82"/>
  <c r="B101" i="82"/>
  <c r="P194" i="82"/>
  <c r="AA112" i="82" s="1"/>
  <c r="B33" i="82"/>
  <c r="P202" i="82"/>
  <c r="AA120" i="82" s="1"/>
  <c r="P214" i="82"/>
  <c r="P86" i="82"/>
  <c r="B25" i="82"/>
  <c r="P83" i="82"/>
  <c r="AJ5" i="82"/>
  <c r="AK5" i="82" s="1"/>
  <c r="P177" i="82"/>
  <c r="AA82" i="82" s="1"/>
  <c r="P203" i="82"/>
  <c r="AA121" i="82" s="1"/>
  <c r="N9" i="82"/>
  <c r="N7" i="82" s="1"/>
  <c r="P157" i="82"/>
  <c r="P87" i="82"/>
  <c r="AJ3" i="82"/>
  <c r="AK3" i="82" s="1"/>
  <c r="B88" i="82"/>
  <c r="B21" i="82"/>
  <c r="AJ17" i="82"/>
  <c r="P28" i="82"/>
  <c r="M74" i="82" s="1"/>
  <c r="P26" i="82"/>
  <c r="B17" i="82" s="1"/>
  <c r="AJ14" i="82"/>
  <c r="AA145" i="82"/>
  <c r="O170" i="82"/>
  <c r="P170" i="82" s="1"/>
  <c r="AJ33" i="82" s="1"/>
  <c r="AJ40" i="82"/>
  <c r="AK40" i="82" s="1"/>
  <c r="O171" i="82"/>
  <c r="P171" i="82" s="1"/>
  <c r="AJ34" i="82" s="1"/>
  <c r="AJ47" i="82"/>
  <c r="V33" i="82"/>
  <c r="B22" i="82" s="1"/>
  <c r="Y80" i="82"/>
  <c r="AA80" i="82" s="1" a="1"/>
  <c r="AA80" i="82" s="1"/>
  <c r="B19" i="82"/>
  <c r="B30" i="82"/>
  <c r="AJ32" i="82"/>
  <c r="AK32" i="82" s="1"/>
  <c r="B46" i="82"/>
  <c r="AJ36" i="82"/>
  <c r="AK36" i="82" s="1"/>
  <c r="AJ25" i="82"/>
  <c r="AK25" i="82" s="1"/>
  <c r="B111" i="82"/>
  <c r="B104" i="82"/>
  <c r="B113" i="82"/>
  <c r="B106" i="82"/>
  <c r="B108" i="82"/>
  <c r="B110" i="82"/>
  <c r="B103" i="82"/>
  <c r="B112" i="82"/>
  <c r="B105" i="82"/>
  <c r="B114" i="82"/>
  <c r="B107" i="82"/>
  <c r="B109" i="82"/>
  <c r="AJ50" i="82"/>
  <c r="AJ9" i="82"/>
  <c r="AA139" i="82"/>
  <c r="AJ41" i="82"/>
  <c r="AA126" i="82"/>
  <c r="AA130" i="82"/>
  <c r="AA125" i="82"/>
  <c r="AJ4" i="82"/>
  <c r="AJ53" i="82"/>
  <c r="AJ44" i="82"/>
  <c r="AJ6" i="82"/>
  <c r="AA135" i="82"/>
  <c r="AA151" i="82"/>
  <c r="AJ11" i="82"/>
  <c r="AK11" i="82" s="1"/>
  <c r="B27" i="82"/>
  <c r="B40" i="82"/>
  <c r="AJ52" i="82"/>
  <c r="AK52" i="82" s="1"/>
  <c r="B47" i="82"/>
  <c r="AJ45" i="82"/>
  <c r="AK45" i="82" s="1"/>
  <c r="AJ51" i="82"/>
  <c r="AK51" i="82" s="1"/>
  <c r="B49" i="82"/>
  <c r="P74" i="82"/>
  <c r="W40" i="82" a="1"/>
  <c r="W40" i="82" s="1"/>
  <c r="B38" i="82"/>
  <c r="AJ29" i="82"/>
  <c r="AK29" i="82" s="1"/>
  <c r="B45" i="82"/>
  <c r="AJ27" i="82"/>
  <c r="AK27" i="82" s="1"/>
  <c r="B23" i="82"/>
  <c r="AJ38" i="82"/>
  <c r="AK38" i="82" s="1"/>
  <c r="B43" i="82"/>
  <c r="B28" i="82"/>
  <c r="AJ12" i="82"/>
  <c r="AK12" i="82" s="1"/>
  <c r="AA148" i="82"/>
  <c r="O172" i="82"/>
  <c r="P172" i="82" s="1"/>
  <c r="AJ39" i="82" s="1"/>
  <c r="B24" i="82"/>
  <c r="AA131" i="82"/>
  <c r="R187" i="82"/>
  <c r="AJ49" i="82"/>
  <c r="AK49" i="82" s="1"/>
  <c r="AA134" i="82"/>
  <c r="AA144" i="82"/>
  <c r="O168" i="82"/>
  <c r="P168" i="82" s="1"/>
  <c r="AJ19" i="82" s="1"/>
  <c r="AA141" i="82"/>
  <c r="AA147" i="82"/>
  <c r="R128" i="82"/>
  <c r="AA136" i="82"/>
  <c r="AA150" i="82"/>
  <c r="O174" i="82"/>
  <c r="P174" i="82" s="1"/>
  <c r="R191" i="82"/>
  <c r="AA128" i="82"/>
  <c r="AA138" i="82"/>
  <c r="AA153" i="82"/>
  <c r="O169" i="82"/>
  <c r="P169" i="82" s="1"/>
  <c r="AJ30" i="82" s="1"/>
  <c r="R188" i="82"/>
  <c r="P188" i="82" s="1"/>
  <c r="AJ16" i="82" s="1"/>
  <c r="AJ37" i="82"/>
  <c r="AK37" i="82" s="1"/>
  <c r="AA123" i="82"/>
  <c r="AA132" i="82"/>
  <c r="AA143" i="82"/>
  <c r="AA146" i="82"/>
  <c r="B344" i="82"/>
  <c r="B349" i="82" s="1"/>
  <c r="AA140" i="82"/>
  <c r="AA149" i="82"/>
  <c r="B345" i="82"/>
  <c r="B350" i="82" s="1"/>
  <c r="AA152" i="82"/>
  <c r="R189" i="82"/>
  <c r="P189" i="82" s="1"/>
  <c r="AJ18" i="82" s="1"/>
  <c r="B346" i="82"/>
  <c r="B351" i="82" s="1"/>
  <c r="AA124" i="82"/>
  <c r="AA137" i="82"/>
  <c r="B347" i="82"/>
  <c r="B352" i="82" s="1"/>
  <c r="R127" i="82"/>
  <c r="B348" i="82"/>
  <c r="B353" i="82" s="1"/>
  <c r="AA127" i="82"/>
  <c r="AA129" i="82"/>
  <c r="AA142" i="82"/>
  <c r="P156" i="81"/>
  <c r="P207" i="81"/>
  <c r="P148" i="81"/>
  <c r="P212" i="81"/>
  <c r="P149" i="81"/>
  <c r="P87" i="81"/>
  <c r="P91" i="81"/>
  <c r="P145" i="81"/>
  <c r="P153" i="81"/>
  <c r="P177" i="81"/>
  <c r="AA82" i="81" s="1"/>
  <c r="P95" i="81"/>
  <c r="P209" i="81"/>
  <c r="P155" i="81"/>
  <c r="P80" i="81"/>
  <c r="AA3" i="81" s="1"/>
  <c r="P84" i="81"/>
  <c r="P139" i="81"/>
  <c r="P147" i="81"/>
  <c r="P206" i="81"/>
  <c r="P210" i="81"/>
  <c r="M191" i="81"/>
  <c r="P142" i="81"/>
  <c r="P181" i="81"/>
  <c r="AA86" i="81" s="1"/>
  <c r="P79" i="81"/>
  <c r="AA2" i="81" s="1"/>
  <c r="P150" i="81"/>
  <c r="M190" i="81"/>
  <c r="P198" i="81"/>
  <c r="AA116" i="81" s="1"/>
  <c r="P143" i="81"/>
  <c r="AA139" i="81" s="1"/>
  <c r="P157" i="81"/>
  <c r="P151" i="81"/>
  <c r="P178" i="81"/>
  <c r="AA83" i="81" s="1"/>
  <c r="P199" i="81"/>
  <c r="AA117" i="81" s="1"/>
  <c r="P215" i="81"/>
  <c r="P146" i="81"/>
  <c r="P89" i="81"/>
  <c r="P93" i="81"/>
  <c r="P97" i="81"/>
  <c r="P141" i="81"/>
  <c r="P179" i="81"/>
  <c r="AA84" i="81" s="1"/>
  <c r="P82" i="81"/>
  <c r="P144" i="81"/>
  <c r="P152" i="81"/>
  <c r="P180" i="81"/>
  <c r="AA85" i="81" s="1"/>
  <c r="AJ5" i="81"/>
  <c r="AK5" i="81" s="1"/>
  <c r="B34" i="81"/>
  <c r="AJ42" i="81"/>
  <c r="AK42" i="81" s="1"/>
  <c r="M74" i="81"/>
  <c r="P74" i="81" s="1"/>
  <c r="AJ57" i="81" s="1"/>
  <c r="AK57" i="81" s="1"/>
  <c r="B35" i="81"/>
  <c r="AJ8" i="81"/>
  <c r="AK8" i="81" s="1"/>
  <c r="AJ35" i="81"/>
  <c r="AK35" i="81" s="1"/>
  <c r="B31" i="81"/>
  <c r="AE155" i="81"/>
  <c r="B99" i="81"/>
  <c r="B51" i="81"/>
  <c r="B111" i="81"/>
  <c r="P195" i="81"/>
  <c r="AA113" i="81" s="1"/>
  <c r="B112" i="81"/>
  <c r="P86" i="81"/>
  <c r="B113" i="81"/>
  <c r="AJ28" i="81"/>
  <c r="AK28" i="81" s="1"/>
  <c r="P90" i="81"/>
  <c r="P94" i="81"/>
  <c r="P98" i="81"/>
  <c r="B114" i="81"/>
  <c r="U40" i="81"/>
  <c r="P201" i="81"/>
  <c r="AA119" i="81" s="1"/>
  <c r="L186" i="81"/>
  <c r="B26" i="81"/>
  <c r="B103" i="81"/>
  <c r="AJ10" i="81"/>
  <c r="AK10" i="81" s="1"/>
  <c r="R190" i="81"/>
  <c r="B104" i="81"/>
  <c r="B44" i="81"/>
  <c r="B105" i="81"/>
  <c r="P88" i="81"/>
  <c r="P92" i="81"/>
  <c r="P96" i="81"/>
  <c r="B86" i="81"/>
  <c r="B106" i="81"/>
  <c r="P203" i="81"/>
  <c r="AA121" i="81" s="1"/>
  <c r="B88" i="81"/>
  <c r="AJ58" i="81"/>
  <c r="AK58" i="81" s="1"/>
  <c r="B18" i="81"/>
  <c r="B19" i="81"/>
  <c r="P31" i="81"/>
  <c r="AJ50" i="81" s="1"/>
  <c r="B345" i="77"/>
  <c r="B350" i="77" s="1"/>
  <c r="AE156" i="74"/>
  <c r="AJ9" i="29"/>
  <c r="AA134" i="29"/>
  <c r="B348" i="29"/>
  <c r="B353" i="29" s="1"/>
  <c r="AJ34" i="29"/>
  <c r="AA70" i="29" s="1" a="1"/>
  <c r="AA70" i="29" s="1"/>
  <c r="AA145" i="29"/>
  <c r="AC2" i="29" a="1"/>
  <c r="AC2" i="29" s="1"/>
  <c r="AF2" i="29" s="1"/>
  <c r="B145" i="29" s="1"/>
  <c r="AJ53" i="29"/>
  <c r="AA127" i="29"/>
  <c r="AA142" i="29"/>
  <c r="AA148" i="29"/>
  <c r="AJ18" i="29"/>
  <c r="AA100" i="29" s="1" a="1"/>
  <c r="AA100" i="29" s="1"/>
  <c r="AA123" i="29"/>
  <c r="AA151" i="29"/>
  <c r="AA132" i="29"/>
  <c r="AA139" i="29"/>
  <c r="AJ30" i="29"/>
  <c r="AA61" i="29" s="1" a="1"/>
  <c r="AA61" i="29" s="1"/>
  <c r="AJ40" i="29"/>
  <c r="AA104" i="29" s="1" a="1"/>
  <c r="AA104" i="29" s="1"/>
  <c r="AA135" i="29"/>
  <c r="AJ55" i="29"/>
  <c r="AA128" i="29"/>
  <c r="AJ6" i="29"/>
  <c r="AA52" i="29" s="1" a="1"/>
  <c r="AA52" i="29" s="1"/>
  <c r="AJ16" i="29"/>
  <c r="AA94" i="29" s="1" a="1"/>
  <c r="AA94" i="29" s="1"/>
  <c r="AA124" i="29"/>
  <c r="AA144" i="29"/>
  <c r="AA147" i="29"/>
  <c r="AE156" i="29"/>
  <c r="AJ13" i="29"/>
  <c r="AA90" i="29" s="1" a="1"/>
  <c r="AA90" i="29" s="1"/>
  <c r="AA141" i="29"/>
  <c r="AA150" i="29"/>
  <c r="AJ19" i="29"/>
  <c r="AK19" i="29" s="1"/>
  <c r="AA153" i="29"/>
  <c r="AJ44" i="29"/>
  <c r="AA125" i="29"/>
  <c r="AA129" i="29"/>
  <c r="AA136" i="29"/>
  <c r="AA138" i="29"/>
  <c r="AJ41" i="29"/>
  <c r="B344" i="29"/>
  <c r="B349" i="29" s="1"/>
  <c r="AJ4" i="29"/>
  <c r="AA47" i="29" s="1" a="1"/>
  <c r="AA47" i="29" s="1"/>
  <c r="AA130" i="29"/>
  <c r="AA146" i="29"/>
  <c r="B345" i="29"/>
  <c r="B350" i="29" s="1"/>
  <c r="AJ14" i="29"/>
  <c r="AJ39" i="29"/>
  <c r="AA77" i="29" s="1" a="1"/>
  <c r="AA77" i="29" s="1"/>
  <c r="AJ54" i="29"/>
  <c r="AA110" i="29" s="1" a="1"/>
  <c r="AA110" i="29" s="1"/>
  <c r="AA143" i="29"/>
  <c r="AA149" i="29"/>
  <c r="B346" i="29"/>
  <c r="B351" i="29" s="1"/>
  <c r="AA126" i="29"/>
  <c r="AA131" i="29"/>
  <c r="AA140" i="29"/>
  <c r="AA152" i="29"/>
  <c r="B347" i="81"/>
  <c r="B352" i="81" s="1"/>
  <c r="AA130" i="81"/>
  <c r="B348" i="81"/>
  <c r="B353" i="81" s="1"/>
  <c r="AJ14" i="81"/>
  <c r="AA151" i="81"/>
  <c r="AJ34" i="81"/>
  <c r="AA72" i="81" s="1" a="1"/>
  <c r="AA72" i="81" s="1"/>
  <c r="AA135" i="81"/>
  <c r="B344" i="81"/>
  <c r="B349" i="81" s="1"/>
  <c r="AA125" i="81"/>
  <c r="B345" i="81"/>
  <c r="B350" i="81" s="1"/>
  <c r="B346" i="81"/>
  <c r="B351" i="81" s="1"/>
  <c r="B344" i="80"/>
  <c r="B349" i="80" s="1"/>
  <c r="B345" i="80"/>
  <c r="B350" i="80" s="1"/>
  <c r="B346" i="80"/>
  <c r="B351" i="80" s="1"/>
  <c r="B347" i="80"/>
  <c r="B352" i="80" s="1"/>
  <c r="B347" i="78"/>
  <c r="B352" i="78" s="1"/>
  <c r="AA135" i="78"/>
  <c r="AA141" i="78"/>
  <c r="AJ13" i="78"/>
  <c r="AK13" i="78" s="1"/>
  <c r="AJ41" i="78"/>
  <c r="AJ54" i="78"/>
  <c r="AA110" i="78" s="1" a="1"/>
  <c r="AA110" i="78" s="1"/>
  <c r="AA149" i="78"/>
  <c r="B346" i="78"/>
  <c r="B351" i="78" s="1"/>
  <c r="AA136" i="78"/>
  <c r="AA146" i="78"/>
  <c r="B348" i="78"/>
  <c r="B353" i="78" s="1"/>
  <c r="AA137" i="78"/>
  <c r="AJ14" i="78"/>
  <c r="AJ55" i="78"/>
  <c r="AA143" i="78"/>
  <c r="AA151" i="78"/>
  <c r="AJ39" i="78"/>
  <c r="AA79" i="78" s="1" a="1"/>
  <c r="AA79" i="78" s="1"/>
  <c r="AJ6" i="78"/>
  <c r="AA49" i="78" s="1" a="1"/>
  <c r="AA49" i="78" s="1"/>
  <c r="AJ18" i="78"/>
  <c r="AA99" i="78" s="1" a="1"/>
  <c r="AA99" i="78" s="1"/>
  <c r="AA148" i="78"/>
  <c r="AJ30" i="78"/>
  <c r="AA64" i="78" s="1" a="1"/>
  <c r="AA64" i="78" s="1"/>
  <c r="AA140" i="78"/>
  <c r="AA145" i="78"/>
  <c r="AA153" i="78"/>
  <c r="AA138" i="78"/>
  <c r="AJ9" i="78"/>
  <c r="AJ53" i="78"/>
  <c r="AA142" i="78"/>
  <c r="AA150" i="78"/>
  <c r="AJ19" i="78"/>
  <c r="AA55" i="78" s="1" a="1"/>
  <c r="AA55" i="78" s="1"/>
  <c r="AJ33" i="78"/>
  <c r="AA69" i="78" s="1" a="1"/>
  <c r="AA69" i="78" s="1"/>
  <c r="AJ16" i="78"/>
  <c r="AA93" i="78" s="1" a="1"/>
  <c r="AA93" i="78" s="1"/>
  <c r="AJ40" i="78"/>
  <c r="AA103" i="78" s="1" a="1"/>
  <c r="AA103" i="78" s="1"/>
  <c r="AJ44" i="78"/>
  <c r="AA134" i="78"/>
  <c r="AA147" i="78"/>
  <c r="AJ34" i="78"/>
  <c r="AA70" i="78" s="1" a="1"/>
  <c r="AA70" i="78" s="1"/>
  <c r="AA144" i="78"/>
  <c r="AA152" i="78"/>
  <c r="B344" i="78"/>
  <c r="B349" i="78" s="1"/>
  <c r="AJ4" i="78"/>
  <c r="AA47" i="78" s="1" a="1"/>
  <c r="AA47" i="78" s="1"/>
  <c r="AA139" i="78"/>
  <c r="AA149" i="77"/>
  <c r="AA139" i="77"/>
  <c r="AA134" i="77"/>
  <c r="AJ44" i="77"/>
  <c r="AJ40" i="77"/>
  <c r="AA103" i="77" s="1" a="1"/>
  <c r="AA103" i="77" s="1"/>
  <c r="AJ6" i="77"/>
  <c r="AA50" i="77" s="1" a="1"/>
  <c r="AA50" i="77" s="1"/>
  <c r="AA152" i="77"/>
  <c r="AA144" i="77"/>
  <c r="AA137" i="77"/>
  <c r="AJ13" i="77"/>
  <c r="AA89" i="77" s="1" a="1"/>
  <c r="AA89" i="77" s="1"/>
  <c r="AA147" i="77"/>
  <c r="AA143" i="77"/>
  <c r="AJ34" i="77"/>
  <c r="AA74" i="77" s="1" a="1"/>
  <c r="AA74" i="77" s="1"/>
  <c r="AA150" i="77"/>
  <c r="AA142" i="77"/>
  <c r="AJ54" i="77"/>
  <c r="AA107" i="77" s="1" a="1"/>
  <c r="AA107" i="77" s="1"/>
  <c r="AJ16" i="77"/>
  <c r="AK16" i="77" s="1"/>
  <c r="AA153" i="77"/>
  <c r="AA145" i="77"/>
  <c r="AA140" i="77"/>
  <c r="AA136" i="77"/>
  <c r="AJ39" i="77"/>
  <c r="AK39" i="77" s="1"/>
  <c r="AJ19" i="77"/>
  <c r="AA58" i="77" s="1" a="1"/>
  <c r="AA58" i="77" s="1"/>
  <c r="AA151" i="77"/>
  <c r="AA135" i="77"/>
  <c r="AJ9" i="77"/>
  <c r="AK9" i="77" s="1"/>
  <c r="AA148" i="77"/>
  <c r="AA138" i="77"/>
  <c r="AJ41" i="77"/>
  <c r="AJ18" i="77"/>
  <c r="AA97" i="77" s="1" a="1"/>
  <c r="AA97" i="77" s="1"/>
  <c r="B346" i="77"/>
  <c r="B351" i="77" s="1"/>
  <c r="AA141" i="77"/>
  <c r="AJ53" i="77"/>
  <c r="AJ30" i="77"/>
  <c r="AA61" i="77" s="1" a="1"/>
  <c r="AA61" i="77" s="1"/>
  <c r="B347" i="77"/>
  <c r="B352" i="77" s="1"/>
  <c r="AA146" i="77"/>
  <c r="AJ55" i="77"/>
  <c r="AJ33" i="77"/>
  <c r="AA69" i="77" s="1" a="1"/>
  <c r="AA69" i="77" s="1"/>
  <c r="AJ14" i="77"/>
  <c r="B348" i="77"/>
  <c r="B353" i="77" s="1"/>
  <c r="B344" i="77"/>
  <c r="B349" i="77" s="1"/>
  <c r="AA140" i="76"/>
  <c r="AA138" i="76"/>
  <c r="AA134" i="76"/>
  <c r="AA135" i="76"/>
  <c r="AJ18" i="76"/>
  <c r="AA99" i="76" s="1" a="1"/>
  <c r="AA99" i="76" s="1"/>
  <c r="AA152" i="76"/>
  <c r="AA145" i="76"/>
  <c r="AJ13" i="76"/>
  <c r="AA87" i="76" s="1" a="1"/>
  <c r="AA87" i="76" s="1"/>
  <c r="AA127" i="76"/>
  <c r="AJ54" i="76"/>
  <c r="AA110" i="76" s="1" a="1"/>
  <c r="AA110" i="76" s="1"/>
  <c r="AJ41" i="76"/>
  <c r="B348" i="76"/>
  <c r="B353" i="76" s="1"/>
  <c r="AA150" i="76"/>
  <c r="AA143" i="76"/>
  <c r="B347" i="76"/>
  <c r="B352" i="76" s="1"/>
  <c r="AJ34" i="76"/>
  <c r="AA71" i="76" s="1" a="1"/>
  <c r="AA71" i="76" s="1"/>
  <c r="AJ30" i="76"/>
  <c r="AA63" i="76" s="1" a="1"/>
  <c r="AA63" i="76" s="1"/>
  <c r="B346" i="76"/>
  <c r="B351" i="76" s="1"/>
  <c r="AA148" i="76"/>
  <c r="AJ16" i="76"/>
  <c r="AA92" i="76" s="1" a="1"/>
  <c r="AA92" i="76" s="1"/>
  <c r="B345" i="76"/>
  <c r="B350" i="76" s="1"/>
  <c r="AA141" i="76"/>
  <c r="AJ44" i="76"/>
  <c r="AJ40" i="76"/>
  <c r="AA103" i="76" s="1" a="1"/>
  <c r="AA103" i="76" s="1"/>
  <c r="AJ33" i="76"/>
  <c r="AA66" i="76" s="1" a="1"/>
  <c r="AA66" i="76" s="1"/>
  <c r="AJ19" i="76"/>
  <c r="AA56" i="76" s="1" a="1"/>
  <c r="AA56" i="76" s="1"/>
  <c r="AA144" i="76"/>
  <c r="B344" i="76"/>
  <c r="B349" i="76" s="1"/>
  <c r="AJ9" i="76"/>
  <c r="AA136" i="76"/>
  <c r="AJ55" i="76"/>
  <c r="AA153" i="76"/>
  <c r="AA146" i="76"/>
  <c r="AA139" i="76"/>
  <c r="AA137" i="76"/>
  <c r="AA151" i="76"/>
  <c r="AJ6" i="76"/>
  <c r="AA51" i="76" s="1" a="1"/>
  <c r="AA51" i="76" s="1"/>
  <c r="AA149" i="76"/>
  <c r="AA142" i="76"/>
  <c r="AJ53" i="76"/>
  <c r="AJ39" i="76"/>
  <c r="AA76" i="76" s="1" a="1"/>
  <c r="AA76" i="76" s="1"/>
  <c r="AJ14" i="76"/>
  <c r="AA147" i="76"/>
  <c r="AJ4" i="76"/>
  <c r="AA48" i="76" s="1" a="1"/>
  <c r="AA48" i="76" s="1"/>
  <c r="AJ55" i="75"/>
  <c r="AJ14" i="75"/>
  <c r="AA147" i="75"/>
  <c r="AA129" i="75"/>
  <c r="AA134" i="75"/>
  <c r="AJ13" i="75"/>
  <c r="AA90" i="75" s="1" a="1"/>
  <c r="AA90" i="75" s="1"/>
  <c r="AA123" i="75"/>
  <c r="AA142" i="75"/>
  <c r="AA131" i="75"/>
  <c r="AA144" i="75"/>
  <c r="AA152" i="75"/>
  <c r="AE156" i="75"/>
  <c r="AJ39" i="75"/>
  <c r="AA79" i="75" s="1" a="1"/>
  <c r="AA79" i="75" s="1"/>
  <c r="AA124" i="75"/>
  <c r="AJ30" i="75"/>
  <c r="AA61" i="75" s="1" a="1"/>
  <c r="AA61" i="75" s="1"/>
  <c r="AA125" i="75"/>
  <c r="AA139" i="75"/>
  <c r="AA149" i="75"/>
  <c r="AA135" i="75"/>
  <c r="AA130" i="75"/>
  <c r="AA136" i="75"/>
  <c r="AA141" i="75"/>
  <c r="AA146" i="75"/>
  <c r="AJ19" i="75"/>
  <c r="AK19" i="75" s="1"/>
  <c r="AJ54" i="75"/>
  <c r="AA111" i="75" s="1" a="1"/>
  <c r="AA111" i="75" s="1"/>
  <c r="AA126" i="75"/>
  <c r="AA132" i="75"/>
  <c r="AJ16" i="75"/>
  <c r="AA92" i="75" s="1" a="1"/>
  <c r="AA92" i="75" s="1"/>
  <c r="AA137" i="75"/>
  <c r="AA151" i="75"/>
  <c r="B344" i="75"/>
  <c r="B349" i="75" s="1"/>
  <c r="AJ4" i="75"/>
  <c r="AA46" i="75" s="1" a="1"/>
  <c r="AA46" i="75" s="1"/>
  <c r="AJ33" i="75"/>
  <c r="AA69" i="75" s="1" a="1"/>
  <c r="AA69" i="75" s="1"/>
  <c r="AA143" i="75"/>
  <c r="B345" i="75"/>
  <c r="B350" i="75" s="1"/>
  <c r="AJ40" i="75"/>
  <c r="AA106" i="75" s="1" a="1"/>
  <c r="AA106" i="75" s="1"/>
  <c r="AA127" i="75"/>
  <c r="AA148" i="75"/>
  <c r="B346" i="75"/>
  <c r="B351" i="75" s="1"/>
  <c r="AJ34" i="75"/>
  <c r="AA71" i="75" s="1" a="1"/>
  <c r="AA71" i="75" s="1"/>
  <c r="AJ44" i="75"/>
  <c r="B347" i="75"/>
  <c r="B352" i="75" s="1"/>
  <c r="AA145" i="75"/>
  <c r="AA153" i="75"/>
  <c r="B348" i="75"/>
  <c r="B353" i="75" s="1"/>
  <c r="AJ18" i="75"/>
  <c r="AA97" i="75" s="1" a="1"/>
  <c r="AA97" i="75" s="1"/>
  <c r="AJ9" i="75"/>
  <c r="AJ53" i="75"/>
  <c r="AA128" i="75"/>
  <c r="AA140" i="75"/>
  <c r="AJ6" i="75"/>
  <c r="AA52" i="75" s="1" a="1"/>
  <c r="AA52" i="75" s="1"/>
  <c r="AJ41" i="75"/>
  <c r="AA138" i="75"/>
  <c r="B348" i="74"/>
  <c r="B353" i="74" s="1"/>
  <c r="AA149" i="74"/>
  <c r="AA139" i="74"/>
  <c r="AA134" i="74"/>
  <c r="AA129" i="74"/>
  <c r="AJ53" i="74"/>
  <c r="AJ44" i="74"/>
  <c r="AA143" i="74"/>
  <c r="AA123" i="74"/>
  <c r="AJ55" i="74"/>
  <c r="AJ40" i="74"/>
  <c r="AA104" i="74" s="1" a="1"/>
  <c r="AA104" i="74" s="1"/>
  <c r="AJ6" i="74"/>
  <c r="AA49" i="74" s="1" a="1"/>
  <c r="AA49" i="74" s="1"/>
  <c r="AA125" i="74"/>
  <c r="AA152" i="74"/>
  <c r="AA144" i="74"/>
  <c r="AA137" i="74"/>
  <c r="AJ34" i="74"/>
  <c r="AA74" i="74" s="1" a="1"/>
  <c r="AA74" i="74" s="1"/>
  <c r="AJ14" i="74"/>
  <c r="AA128" i="74"/>
  <c r="AA147" i="74"/>
  <c r="AJ33" i="74"/>
  <c r="AK33" i="74" s="1"/>
  <c r="AA142" i="74"/>
  <c r="AA150" i="74"/>
  <c r="AA127" i="74"/>
  <c r="AJ13" i="74"/>
  <c r="AK13" i="74" s="1"/>
  <c r="AJ4" i="74"/>
  <c r="AA46" i="74" s="1" a="1"/>
  <c r="AA46" i="74" s="1"/>
  <c r="AA135" i="74"/>
  <c r="AA140" i="74"/>
  <c r="AA136" i="74"/>
  <c r="AA151" i="74"/>
  <c r="AA153" i="74"/>
  <c r="AA145" i="74"/>
  <c r="AA138" i="74"/>
  <c r="AA132" i="74"/>
  <c r="AA126" i="74"/>
  <c r="AJ54" i="74"/>
  <c r="AA108" i="74" s="1" a="1"/>
  <c r="AA108" i="74" s="1"/>
  <c r="AJ39" i="74"/>
  <c r="AA79" i="74" s="1" a="1"/>
  <c r="AA79" i="74" s="1"/>
  <c r="AA148" i="74"/>
  <c r="AJ30" i="74"/>
  <c r="AA64" i="74" s="1" a="1"/>
  <c r="AA64" i="74" s="1"/>
  <c r="AJ19" i="74"/>
  <c r="AA56" i="74" s="1" a="1"/>
  <c r="AA56" i="74" s="1"/>
  <c r="AJ16" i="74"/>
  <c r="AA93" i="74" s="1" a="1"/>
  <c r="AA93" i="74" s="1"/>
  <c r="AJ9" i="74"/>
  <c r="AA146" i="74"/>
  <c r="AA141" i="74"/>
  <c r="AA131" i="74"/>
  <c r="AA124" i="74"/>
  <c r="AA130" i="74"/>
  <c r="AJ18" i="74"/>
  <c r="AA100" i="74" s="1" a="1"/>
  <c r="AA100" i="74" s="1"/>
  <c r="AC2" i="74" a="1"/>
  <c r="AF4" i="74" s="1"/>
  <c r="B147" i="74" s="1"/>
  <c r="B344" i="74"/>
  <c r="B349" i="74" s="1"/>
  <c r="B345" i="74"/>
  <c r="B350" i="74" s="1"/>
  <c r="B346" i="74"/>
  <c r="B351" i="74" s="1"/>
  <c r="B347" i="74"/>
  <c r="B352" i="74" s="1"/>
  <c r="AA146" i="73"/>
  <c r="AA148" i="73"/>
  <c r="AA127" i="73"/>
  <c r="AJ54" i="73"/>
  <c r="AA108" i="73" s="1" a="1"/>
  <c r="AA108" i="73" s="1"/>
  <c r="AA151" i="73"/>
  <c r="AA137" i="73"/>
  <c r="AJ30" i="73"/>
  <c r="AA60" i="73" s="1" a="1"/>
  <c r="AA60" i="73" s="1"/>
  <c r="AJ6" i="73"/>
  <c r="AA51" i="73" s="1" a="1"/>
  <c r="AA51" i="73" s="1"/>
  <c r="AJ18" i="73"/>
  <c r="AK18" i="73" s="1"/>
  <c r="AJ39" i="73"/>
  <c r="AA78" i="73" s="1" a="1"/>
  <c r="AA78" i="73" s="1"/>
  <c r="AA126" i="73"/>
  <c r="AA132" i="73"/>
  <c r="AA143" i="73"/>
  <c r="B344" i="73"/>
  <c r="B349" i="73" s="1"/>
  <c r="AJ19" i="73"/>
  <c r="AA57" i="73" s="1" a="1"/>
  <c r="AA57" i="73" s="1"/>
  <c r="AA145" i="73"/>
  <c r="AA153" i="73"/>
  <c r="B345" i="73"/>
  <c r="B350" i="73" s="1"/>
  <c r="AJ16" i="73"/>
  <c r="AA92" i="73" s="1" a="1"/>
  <c r="AA92" i="73" s="1"/>
  <c r="AA128" i="73"/>
  <c r="AA140" i="73"/>
  <c r="B346" i="73"/>
  <c r="B351" i="73" s="1"/>
  <c r="AJ33" i="73"/>
  <c r="AA69" i="73" s="1" a="1"/>
  <c r="AA69" i="73" s="1"/>
  <c r="AA138" i="73"/>
  <c r="AA150" i="73"/>
  <c r="B347" i="73"/>
  <c r="B352" i="73" s="1"/>
  <c r="AJ40" i="73"/>
  <c r="AA103" i="73" s="1" a="1"/>
  <c r="AA103" i="73" s="1"/>
  <c r="AJ44" i="73"/>
  <c r="AA123" i="73"/>
  <c r="AA142" i="73"/>
  <c r="B348" i="73"/>
  <c r="B353" i="73" s="1"/>
  <c r="AJ34" i="73"/>
  <c r="AA71" i="73" s="1" a="1"/>
  <c r="AA71" i="73" s="1"/>
  <c r="AA129" i="73"/>
  <c r="AA134" i="73"/>
  <c r="AA147" i="73"/>
  <c r="AJ13" i="73"/>
  <c r="AA90" i="73" s="1" a="1"/>
  <c r="AA90" i="73" s="1"/>
  <c r="AJ53" i="73"/>
  <c r="AA130" i="73"/>
  <c r="AJ55" i="73"/>
  <c r="AA124" i="73"/>
  <c r="AA131" i="73"/>
  <c r="AA144" i="73"/>
  <c r="AA152" i="73"/>
  <c r="AJ41" i="73"/>
  <c r="AA125" i="73"/>
  <c r="AA139" i="73"/>
  <c r="AA149" i="73"/>
  <c r="AJ14" i="73"/>
  <c r="AA135" i="73"/>
  <c r="AA136" i="73"/>
  <c r="AA141" i="73"/>
  <c r="AA53" i="29" a="1"/>
  <c r="AA53" i="29" s="1"/>
  <c r="AA153" i="79"/>
  <c r="B348" i="79"/>
  <c r="B353" i="79" s="1"/>
  <c r="B347" i="79"/>
  <c r="B352" i="79" s="1"/>
  <c r="B346" i="79"/>
  <c r="B351" i="79" s="1"/>
  <c r="B345" i="79"/>
  <c r="B350" i="79" s="1"/>
  <c r="B344" i="79"/>
  <c r="B349" i="79" s="1"/>
  <c r="AJ4" i="34"/>
  <c r="AA44" i="34" s="1" a="1"/>
  <c r="AA44" i="34" s="1"/>
  <c r="B91" i="76"/>
  <c r="AJ39" i="34"/>
  <c r="AA75" i="34" s="1" a="1"/>
  <c r="AA75" i="34" s="1"/>
  <c r="B344" i="34"/>
  <c r="B349" i="34" s="1"/>
  <c r="B345" i="34"/>
  <c r="B350" i="34" s="1"/>
  <c r="B346" i="34"/>
  <c r="B351" i="34" s="1"/>
  <c r="B347" i="34"/>
  <c r="B352" i="34" s="1"/>
  <c r="M74" i="80"/>
  <c r="AJ13" i="79"/>
  <c r="AK13" i="79" s="1"/>
  <c r="AA127" i="78"/>
  <c r="AA131" i="78"/>
  <c r="AJ36" i="81"/>
  <c r="AK36" i="81" s="1"/>
  <c r="AJ25" i="81"/>
  <c r="AK25" i="81" s="1"/>
  <c r="AJ47" i="81"/>
  <c r="AJ32" i="81"/>
  <c r="AK32" i="81" s="1"/>
  <c r="AJ3" i="81"/>
  <c r="AK3" i="81" s="1"/>
  <c r="P190" i="81"/>
  <c r="AJ40" i="81" s="1"/>
  <c r="N7" i="81"/>
  <c r="O9" i="81" s="1"/>
  <c r="AJ26" i="81"/>
  <c r="AK26" i="81" s="1"/>
  <c r="AJ51" i="81"/>
  <c r="AK51" i="81" s="1"/>
  <c r="P154" i="81"/>
  <c r="AA150" i="81" s="1"/>
  <c r="W40" i="81" a="1"/>
  <c r="W40" i="81" s="1"/>
  <c r="AJ31" i="81"/>
  <c r="AK31" i="81" s="1"/>
  <c r="AJ29" i="81"/>
  <c r="AK29" i="81" s="1"/>
  <c r="AJ52" i="81"/>
  <c r="AK52" i="81" s="1"/>
  <c r="AJ45" i="81"/>
  <c r="AK45" i="81" s="1"/>
  <c r="AJ11" i="81"/>
  <c r="AK11" i="81" s="1"/>
  <c r="AJ23" i="81"/>
  <c r="AK23" i="81" s="1"/>
  <c r="AJ30" i="81"/>
  <c r="AJ9" i="81"/>
  <c r="AA140" i="81"/>
  <c r="AA126" i="81"/>
  <c r="AJ4" i="81"/>
  <c r="AA134" i="81"/>
  <c r="AJ53" i="81"/>
  <c r="AJ44" i="81"/>
  <c r="AJ6" i="81"/>
  <c r="AJ12" i="81"/>
  <c r="AK12" i="81" s="1"/>
  <c r="AJ38" i="81"/>
  <c r="AK38" i="81" s="1"/>
  <c r="AJ49" i="81"/>
  <c r="AK49" i="81" s="1"/>
  <c r="AA145" i="81"/>
  <c r="AA148" i="81"/>
  <c r="O172" i="81"/>
  <c r="P172" i="81" s="1"/>
  <c r="AJ39" i="81" s="1"/>
  <c r="AA131" i="81"/>
  <c r="O173" i="81"/>
  <c r="P173" i="81" s="1"/>
  <c r="R187" i="81"/>
  <c r="AJ43" i="81"/>
  <c r="AK43" i="81" s="1"/>
  <c r="AA144" i="81"/>
  <c r="O168" i="81"/>
  <c r="P168" i="81" s="1"/>
  <c r="AJ19" i="81" s="1"/>
  <c r="AJ17" i="81"/>
  <c r="AA141" i="81"/>
  <c r="AA147" i="81"/>
  <c r="AA136" i="81"/>
  <c r="O174" i="81"/>
  <c r="P174" i="81" s="1"/>
  <c r="AJ55" i="81" s="1"/>
  <c r="R191" i="81"/>
  <c r="AA128" i="81"/>
  <c r="AA138" i="81"/>
  <c r="AA153" i="81"/>
  <c r="R188" i="81"/>
  <c r="P188" i="81" s="1"/>
  <c r="AJ16" i="81" s="1"/>
  <c r="AJ37" i="81"/>
  <c r="AK37" i="81" s="1"/>
  <c r="AA123" i="81"/>
  <c r="AA132" i="81"/>
  <c r="AA143" i="81"/>
  <c r="AA146" i="81"/>
  <c r="O170" i="81"/>
  <c r="P170" i="81" s="1"/>
  <c r="AJ33" i="81" s="1"/>
  <c r="AA149" i="81"/>
  <c r="AA152" i="81"/>
  <c r="R189" i="81"/>
  <c r="P189" i="81" s="1"/>
  <c r="AJ18" i="81" s="1"/>
  <c r="AA124" i="81"/>
  <c r="AA137" i="81"/>
  <c r="R127" i="81"/>
  <c r="AA127" i="81"/>
  <c r="AA129" i="81"/>
  <c r="AA142" i="81"/>
  <c r="AC2" i="78" a="1"/>
  <c r="AF4" i="78" s="1"/>
  <c r="B147" i="78" s="1"/>
  <c r="AC2" i="75" a="1"/>
  <c r="AF8" i="75" s="1"/>
  <c r="B151" i="75" s="1"/>
  <c r="AC2" i="73" a="1"/>
  <c r="AE156" i="73"/>
  <c r="P177" i="80"/>
  <c r="AA82" i="80" s="1"/>
  <c r="P148" i="80"/>
  <c r="P139" i="80"/>
  <c r="P144" i="80"/>
  <c r="P149" i="80"/>
  <c r="AA145" i="80" s="1"/>
  <c r="P142" i="80"/>
  <c r="P155" i="80"/>
  <c r="P147" i="80"/>
  <c r="P93" i="80"/>
  <c r="M187" i="80"/>
  <c r="P87" i="80"/>
  <c r="M189" i="80"/>
  <c r="P189" i="80" s="1"/>
  <c r="AJ18" i="80" s="1"/>
  <c r="P85" i="80"/>
  <c r="P82" i="80"/>
  <c r="AA5" i="80" s="1"/>
  <c r="AJ8" i="80"/>
  <c r="AK8" i="80" s="1"/>
  <c r="AJ48" i="80"/>
  <c r="AK48" i="80" s="1"/>
  <c r="AE155" i="80"/>
  <c r="AJ36" i="80"/>
  <c r="AK36" i="80" s="1"/>
  <c r="AJ7" i="80"/>
  <c r="P201" i="80"/>
  <c r="AA119" i="80" s="1"/>
  <c r="P96" i="80"/>
  <c r="P156" i="80"/>
  <c r="P214" i="80"/>
  <c r="P90" i="80"/>
  <c r="P207" i="80"/>
  <c r="P181" i="80"/>
  <c r="AA86" i="80" s="1"/>
  <c r="P203" i="80"/>
  <c r="AA121" i="80" s="1"/>
  <c r="L186" i="80"/>
  <c r="P98" i="80"/>
  <c r="P88" i="80"/>
  <c r="P208" i="80"/>
  <c r="AJ58" i="80"/>
  <c r="AK58" i="80" s="1"/>
  <c r="AJ42" i="80"/>
  <c r="AK42" i="80" s="1"/>
  <c r="N16" i="80"/>
  <c r="N5" i="80" s="1"/>
  <c r="AJ14" i="80"/>
  <c r="AA151" i="80"/>
  <c r="O170" i="80"/>
  <c r="P170" i="80" s="1"/>
  <c r="AJ33" i="80" s="1"/>
  <c r="AA108" i="29" a="1"/>
  <c r="AA108" i="29" s="1"/>
  <c r="AJ51" i="80"/>
  <c r="AK51" i="80" s="1"/>
  <c r="AJ29" i="80"/>
  <c r="AK29" i="80" s="1"/>
  <c r="AJ11" i="80"/>
  <c r="AK11" i="80" s="1"/>
  <c r="AJ26" i="80"/>
  <c r="AK26" i="80" s="1"/>
  <c r="P84" i="80"/>
  <c r="AA125" i="80"/>
  <c r="AJ50" i="80"/>
  <c r="AJ3" i="80"/>
  <c r="AK3" i="80" s="1"/>
  <c r="AA130" i="80"/>
  <c r="AA135" i="80"/>
  <c r="AJ32" i="80"/>
  <c r="AK32" i="80" s="1"/>
  <c r="AJ38" i="80"/>
  <c r="AK38" i="80" s="1"/>
  <c r="AJ25" i="80"/>
  <c r="AK25" i="80" s="1"/>
  <c r="AJ12" i="80"/>
  <c r="AK12" i="80" s="1"/>
  <c r="N7" i="80"/>
  <c r="P154" i="80"/>
  <c r="AA150" i="80" s="1"/>
  <c r="P190" i="80"/>
  <c r="AJ40" i="80" s="1"/>
  <c r="AJ5" i="80"/>
  <c r="AJ52" i="80"/>
  <c r="AK52" i="80" s="1"/>
  <c r="R189" i="80"/>
  <c r="R188" i="80"/>
  <c r="P188" i="80" s="1"/>
  <c r="R191" i="80"/>
  <c r="R187" i="80"/>
  <c r="P187" i="80" s="1"/>
  <c r="AJ13" i="80" s="1"/>
  <c r="AJ16" i="80"/>
  <c r="AJ9" i="80"/>
  <c r="AA153" i="80"/>
  <c r="AA138" i="80"/>
  <c r="AA128" i="80"/>
  <c r="AA126" i="80"/>
  <c r="AJ53" i="80"/>
  <c r="AJ44" i="80"/>
  <c r="AJ6" i="80"/>
  <c r="AA139" i="80"/>
  <c r="AJ45" i="80"/>
  <c r="AK45" i="80" s="1"/>
  <c r="P80" i="80"/>
  <c r="AJ47" i="80"/>
  <c r="P74" i="80"/>
  <c r="AA148" i="80"/>
  <c r="O172" i="80"/>
  <c r="P172" i="80" s="1"/>
  <c r="AJ39" i="80" s="1"/>
  <c r="AA131" i="80"/>
  <c r="O173" i="80"/>
  <c r="P173" i="80" s="1"/>
  <c r="AJ43" i="80"/>
  <c r="AK43" i="80" s="1"/>
  <c r="AJ49" i="80"/>
  <c r="AK49" i="80" s="1"/>
  <c r="AA134" i="80"/>
  <c r="AA144" i="80"/>
  <c r="O168" i="80"/>
  <c r="P168" i="80" s="1"/>
  <c r="AJ19" i="80" s="1"/>
  <c r="AA141" i="80"/>
  <c r="AA147" i="80"/>
  <c r="AA136" i="80"/>
  <c r="O174" i="80"/>
  <c r="P174" i="80" s="1"/>
  <c r="AJ55" i="80" s="1"/>
  <c r="O169" i="80"/>
  <c r="P169" i="80" s="1"/>
  <c r="AJ30" i="80" s="1"/>
  <c r="AA123" i="80"/>
  <c r="AA132" i="80"/>
  <c r="AA143" i="80"/>
  <c r="AA146" i="80"/>
  <c r="AA140" i="80"/>
  <c r="AA149" i="80"/>
  <c r="O165" i="80"/>
  <c r="P165" i="80" s="1"/>
  <c r="AJ4" i="80" s="1"/>
  <c r="AA152" i="80"/>
  <c r="AA124" i="80"/>
  <c r="AA137" i="80"/>
  <c r="O171" i="80"/>
  <c r="P171" i="80" s="1"/>
  <c r="AJ34" i="80" s="1"/>
  <c r="R127" i="80"/>
  <c r="AA127" i="80"/>
  <c r="AA129" i="80"/>
  <c r="AA142" i="80"/>
  <c r="AE156" i="79"/>
  <c r="AA136" i="79"/>
  <c r="AJ41" i="79"/>
  <c r="AJ44" i="79"/>
  <c r="AJ55" i="79"/>
  <c r="AA127" i="79"/>
  <c r="AA146" i="79"/>
  <c r="AA148" i="79"/>
  <c r="AJ14" i="79"/>
  <c r="AJ33" i="79"/>
  <c r="AJ39" i="79"/>
  <c r="AA75" i="79" s="1" a="1"/>
  <c r="AA75" i="79" s="1"/>
  <c r="AA128" i="79"/>
  <c r="AA123" i="79"/>
  <c r="AA150" i="79"/>
  <c r="AJ4" i="79"/>
  <c r="AJ53" i="79"/>
  <c r="AA137" i="79"/>
  <c r="AA139" i="79"/>
  <c r="AJ9" i="79"/>
  <c r="AA129" i="79"/>
  <c r="AA141" i="79"/>
  <c r="AA143" i="79"/>
  <c r="AA152" i="79"/>
  <c r="AJ18" i="79"/>
  <c r="AJ34" i="79"/>
  <c r="AA124" i="79"/>
  <c r="AA145" i="79"/>
  <c r="M190" i="79"/>
  <c r="P190" i="79" s="1"/>
  <c r="AJ40" i="79" s="1"/>
  <c r="AA103" i="79" s="1" a="1"/>
  <c r="AA103" i="79" s="1"/>
  <c r="AA130" i="79"/>
  <c r="AA134" i="79"/>
  <c r="AJ30" i="79"/>
  <c r="AA131" i="79"/>
  <c r="AA147" i="79"/>
  <c r="AA125" i="79"/>
  <c r="AA149" i="79"/>
  <c r="AJ16" i="79"/>
  <c r="AK16" i="79" s="1"/>
  <c r="AA126" i="79"/>
  <c r="AA135" i="79"/>
  <c r="AA138" i="79"/>
  <c r="AA140" i="79"/>
  <c r="AA151" i="79"/>
  <c r="AJ19" i="79"/>
  <c r="AA132" i="79"/>
  <c r="AA142" i="79"/>
  <c r="AJ6" i="79"/>
  <c r="AK6" i="79" s="1"/>
  <c r="AA144" i="79"/>
  <c r="F244" i="79" a="1"/>
  <c r="F244" i="79" s="1"/>
  <c r="B365" i="79" s="1"/>
  <c r="AC2" i="79" a="1"/>
  <c r="AC2" i="79" s="1"/>
  <c r="M191" i="79"/>
  <c r="P191" i="79" s="1"/>
  <c r="AJ54" i="79" s="1"/>
  <c r="AA130" i="77"/>
  <c r="AA125" i="77"/>
  <c r="AA123" i="77"/>
  <c r="AA131" i="77"/>
  <c r="AE156" i="77"/>
  <c r="AE156" i="76"/>
  <c r="AC2" i="76" a="1"/>
  <c r="AA124" i="76"/>
  <c r="AA132" i="76"/>
  <c r="AA123" i="76"/>
  <c r="AA128" i="76"/>
  <c r="AA126" i="76"/>
  <c r="AA131" i="76"/>
  <c r="AA130" i="76"/>
  <c r="AA125" i="76"/>
  <c r="AA129" i="76"/>
  <c r="AC2" i="77" a="1"/>
  <c r="AE156" i="78"/>
  <c r="AA129" i="77"/>
  <c r="AA126" i="77"/>
  <c r="AA128" i="77"/>
  <c r="AC2" i="34" a="1"/>
  <c r="AE156" i="34"/>
  <c r="AA132" i="77"/>
  <c r="AA124" i="77"/>
  <c r="AA127" i="77"/>
  <c r="AK30" i="78"/>
  <c r="AK34" i="78"/>
  <c r="AA151" i="34"/>
  <c r="AA129" i="78"/>
  <c r="AA124" i="78"/>
  <c r="AA132" i="78"/>
  <c r="AA123" i="78"/>
  <c r="AA128" i="78"/>
  <c r="AA126" i="78"/>
  <c r="AA130" i="78"/>
  <c r="AA125" i="78"/>
  <c r="AJ34" i="34"/>
  <c r="AJ30" i="34"/>
  <c r="AJ16" i="34"/>
  <c r="AJ9" i="34"/>
  <c r="AJ18" i="34"/>
  <c r="AJ13" i="34"/>
  <c r="AJ33" i="34"/>
  <c r="AJ40" i="34"/>
  <c r="AA144" i="34"/>
  <c r="AJ44" i="34"/>
  <c r="AA125" i="34"/>
  <c r="AJ19" i="34"/>
  <c r="AJ14" i="34"/>
  <c r="AA139" i="34"/>
  <c r="AJ54" i="34"/>
  <c r="AA129" i="34"/>
  <c r="AA124" i="34"/>
  <c r="AA137" i="34"/>
  <c r="AA152" i="34"/>
  <c r="AA149" i="34"/>
  <c r="AA140" i="34"/>
  <c r="AA146" i="34"/>
  <c r="AA143" i="34"/>
  <c r="AA132" i="34"/>
  <c r="AJ41" i="34"/>
  <c r="AA128" i="34"/>
  <c r="AA126" i="34"/>
  <c r="AA153" i="34"/>
  <c r="AA138" i="34"/>
  <c r="AA136" i="34"/>
  <c r="AA150" i="34"/>
  <c r="AA147" i="34"/>
  <c r="AA141" i="34"/>
  <c r="AA134" i="34"/>
  <c r="AA145" i="34"/>
  <c r="AA142" i="34"/>
  <c r="AJ55" i="34"/>
  <c r="AA130" i="34"/>
  <c r="AA148" i="34"/>
  <c r="AA131" i="34"/>
  <c r="AA127" i="34"/>
  <c r="AJ53" i="34"/>
  <c r="AA123" i="34"/>
  <c r="AA135" i="34"/>
  <c r="B244" i="104"/>
  <c r="B238" i="104"/>
  <c r="B253" i="104"/>
  <c r="B243" i="104"/>
  <c r="B240" i="104"/>
  <c r="B250" i="104"/>
  <c r="B241" i="104"/>
  <c r="B242" i="104"/>
  <c r="B251" i="104"/>
  <c r="B237" i="104"/>
  <c r="AF14" i="86" l="1"/>
  <c r="B157" i="86" s="1"/>
  <c r="AD14" i="86"/>
  <c r="B127" i="86" s="1"/>
  <c r="AD3" i="73"/>
  <c r="B116" i="73" s="1"/>
  <c r="AF5" i="73"/>
  <c r="B148" i="73" s="1"/>
  <c r="AD5" i="73"/>
  <c r="B118" i="73" s="1"/>
  <c r="O11" i="78"/>
  <c r="O9" i="78"/>
  <c r="AA54" i="104" a="1"/>
  <c r="AA54" i="104" s="1"/>
  <c r="B177" i="104"/>
  <c r="AF134" i="104" a="1"/>
  <c r="AF134" i="104" s="1"/>
  <c r="B217" i="104" s="1"/>
  <c r="AE134" i="104"/>
  <c r="I137" i="104" s="1"/>
  <c r="B20" i="104"/>
  <c r="AK50" i="104"/>
  <c r="AK55" i="104"/>
  <c r="B22" i="104"/>
  <c r="AK47" i="104"/>
  <c r="AK41" i="104"/>
  <c r="AK9" i="104"/>
  <c r="AA106" i="104" a="1"/>
  <c r="AA106" i="104" s="1"/>
  <c r="AA105" i="104" a="1"/>
  <c r="AA105" i="104" s="1"/>
  <c r="AA104" i="104" a="1"/>
  <c r="AA104" i="104" s="1"/>
  <c r="AA103" i="104" a="1"/>
  <c r="AA103" i="104" s="1"/>
  <c r="AA102" i="104" a="1"/>
  <c r="AA102" i="104" s="1"/>
  <c r="AK40" i="104"/>
  <c r="AA91" i="104" a="1"/>
  <c r="AA91" i="104" s="1"/>
  <c r="AA90" i="104" a="1"/>
  <c r="AA90" i="104" s="1"/>
  <c r="AA89" i="104" a="1"/>
  <c r="AA89" i="104" s="1"/>
  <c r="AA88" i="104" a="1"/>
  <c r="AA88" i="104" s="1"/>
  <c r="AA87" i="104" a="1"/>
  <c r="AA87" i="104" s="1"/>
  <c r="AC44" i="104" s="1" a="1"/>
  <c r="AK13" i="104"/>
  <c r="F244" i="90" a="1"/>
  <c r="F244" i="90" s="1"/>
  <c r="B365" i="90" s="1"/>
  <c r="AC2" i="90" a="1"/>
  <c r="AF5" i="90"/>
  <c r="B148" i="90" s="1"/>
  <c r="AD5" i="90"/>
  <c r="B118" i="90" s="1"/>
  <c r="Y80" i="94"/>
  <c r="AA80" i="94" s="1" a="1"/>
  <c r="AA80" i="94" s="1"/>
  <c r="Y80" i="84"/>
  <c r="AA80" i="84" s="1" a="1"/>
  <c r="AA80" i="84" s="1"/>
  <c r="V33" i="84"/>
  <c r="AK47" i="84" s="1"/>
  <c r="B20" i="76"/>
  <c r="AK50" i="77"/>
  <c r="B20" i="34"/>
  <c r="AK50" i="34"/>
  <c r="Y81" i="79"/>
  <c r="AA81" i="79" s="1" a="1"/>
  <c r="AA81" i="79" s="1"/>
  <c r="V31" i="79"/>
  <c r="B20" i="79" s="1"/>
  <c r="V33" i="79"/>
  <c r="Y80" i="79"/>
  <c r="AA80" i="79" s="1" a="1"/>
  <c r="AA80" i="79" s="1"/>
  <c r="Y80" i="93"/>
  <c r="AK47" i="74"/>
  <c r="V33" i="74"/>
  <c r="B22" i="74" s="1"/>
  <c r="Y80" i="74"/>
  <c r="AA80" i="74" s="1" a="1"/>
  <c r="AA80" i="74" s="1"/>
  <c r="V33" i="34"/>
  <c r="Y80" i="34"/>
  <c r="AA80" i="34" s="1" a="1"/>
  <c r="AA80" i="34" s="1"/>
  <c r="AJ9" i="73"/>
  <c r="AA54" i="73" s="1" a="1"/>
  <c r="AA54" i="73" s="1"/>
  <c r="AK47" i="75"/>
  <c r="AA61" i="78" a="1"/>
  <c r="AA61" i="78" s="1"/>
  <c r="Y80" i="77"/>
  <c r="V33" i="77"/>
  <c r="Y80" i="76"/>
  <c r="AA80" i="76" s="1" a="1"/>
  <c r="AA80" i="76" s="1"/>
  <c r="V33" i="76"/>
  <c r="Y80" i="75"/>
  <c r="AA80" i="75" s="1" a="1"/>
  <c r="AA80" i="75" s="1"/>
  <c r="V33" i="75"/>
  <c r="B22" i="75" s="1"/>
  <c r="AJ9" i="86"/>
  <c r="AJ9" i="90"/>
  <c r="Y81" i="34"/>
  <c r="Y81" i="73"/>
  <c r="AA81" i="73" s="1" a="1"/>
  <c r="AA81" i="73" s="1"/>
  <c r="V31" i="73"/>
  <c r="B20" i="73" s="1"/>
  <c r="V31" i="78"/>
  <c r="B20" i="78" s="1"/>
  <c r="Y81" i="78"/>
  <c r="AA81" i="78" s="1" a="1"/>
  <c r="AA81" i="78" s="1"/>
  <c r="V33" i="94"/>
  <c r="B22" i="94" s="1"/>
  <c r="V33" i="78"/>
  <c r="B22" i="78" s="1"/>
  <c r="Y80" i="78"/>
  <c r="AA80" i="78" s="1" a="1"/>
  <c r="AA80" i="78" s="1"/>
  <c r="AJ41" i="93"/>
  <c r="AA80" i="93" s="1" a="1"/>
  <c r="AA80" i="93" s="1"/>
  <c r="V33" i="29"/>
  <c r="Y80" i="29"/>
  <c r="AA80" i="29" s="1" a="1"/>
  <c r="AA80" i="29" s="1"/>
  <c r="Y80" i="73"/>
  <c r="AA80" i="73" s="1" a="1"/>
  <c r="AA80" i="73" s="1"/>
  <c r="V33" i="73"/>
  <c r="F244" i="91" a="1"/>
  <c r="F244" i="91" s="1"/>
  <c r="B365" i="91" s="1"/>
  <c r="AA5" i="91"/>
  <c r="O9" i="102"/>
  <c r="O8" i="102"/>
  <c r="AJ42" i="90"/>
  <c r="AK42" i="90" s="1"/>
  <c r="F244" i="92" a="1"/>
  <c r="F244" i="92" s="1"/>
  <c r="B365" i="92" s="1"/>
  <c r="AJ26" i="93"/>
  <c r="AK26" i="93" s="1"/>
  <c r="AJ17" i="93"/>
  <c r="AJ42" i="94"/>
  <c r="AK42" i="94" s="1"/>
  <c r="AJ38" i="97"/>
  <c r="AK38" i="97" s="1"/>
  <c r="B55" i="100"/>
  <c r="AJ57" i="100"/>
  <c r="AK57" i="100" s="1"/>
  <c r="B54" i="100"/>
  <c r="AJ26" i="82"/>
  <c r="AK26" i="82" s="1"/>
  <c r="B54" i="80"/>
  <c r="B55" i="80"/>
  <c r="AK58" i="79"/>
  <c r="B55" i="79"/>
  <c r="B54" i="79"/>
  <c r="AJ57" i="79"/>
  <c r="AK57" i="79" s="1"/>
  <c r="AK4" i="78"/>
  <c r="AK17" i="78"/>
  <c r="AA95" i="78" a="1"/>
  <c r="AA95" i="78" s="1"/>
  <c r="AK58" i="77"/>
  <c r="B54" i="77"/>
  <c r="AJ57" i="77"/>
  <c r="AK57" i="77" s="1"/>
  <c r="B55" i="77"/>
  <c r="AJ57" i="76"/>
  <c r="AK57" i="76" s="1"/>
  <c r="B55" i="76"/>
  <c r="B54" i="76"/>
  <c r="AK58" i="75"/>
  <c r="AJ57" i="75"/>
  <c r="AK57" i="75" s="1"/>
  <c r="B55" i="75"/>
  <c r="B54" i="75"/>
  <c r="B55" i="74"/>
  <c r="B54" i="74"/>
  <c r="AJ57" i="74"/>
  <c r="AK57" i="74" s="1"/>
  <c r="AK17" i="73"/>
  <c r="B54" i="73"/>
  <c r="AJ57" i="73"/>
  <c r="AK57" i="73" s="1"/>
  <c r="B55" i="73"/>
  <c r="AA100" i="78" a="1"/>
  <c r="AA100" i="78" s="1"/>
  <c r="AE156" i="103"/>
  <c r="AA98" i="78" a="1"/>
  <c r="AA98" i="78" s="1"/>
  <c r="AC2" i="101" a="1"/>
  <c r="AF8" i="101" s="1"/>
  <c r="B151" i="101" s="1"/>
  <c r="AC2" i="103" a="1"/>
  <c r="AJ42" i="103"/>
  <c r="AK42" i="103" s="1"/>
  <c r="P74" i="103"/>
  <c r="B19" i="103"/>
  <c r="AJ9" i="103"/>
  <c r="AK9" i="103" s="1"/>
  <c r="AA91" i="103" a="1"/>
  <c r="AA91" i="103" s="1"/>
  <c r="AA89" i="103" a="1"/>
  <c r="AA89" i="103" s="1"/>
  <c r="AA87" i="103" a="1"/>
  <c r="AA87" i="103" s="1"/>
  <c r="AA90" i="103" a="1"/>
  <c r="AA90" i="103" s="1"/>
  <c r="AA88" i="103" a="1"/>
  <c r="AA88" i="103" s="1"/>
  <c r="AK13" i="103"/>
  <c r="AA95" i="103" a="1"/>
  <c r="AA95" i="103" s="1"/>
  <c r="AA93" i="103" a="1"/>
  <c r="AA93" i="103" s="1"/>
  <c r="AA96" i="103" a="1"/>
  <c r="AA96" i="103" s="1"/>
  <c r="AA94" i="103" a="1"/>
  <c r="AA94" i="103" s="1"/>
  <c r="AA92" i="103" a="1"/>
  <c r="AA92" i="103" s="1"/>
  <c r="AK16" i="103"/>
  <c r="AA108" i="103" a="1"/>
  <c r="AA108" i="103" s="1"/>
  <c r="AA110" i="103" a="1"/>
  <c r="AA110" i="103" s="1"/>
  <c r="AA107" i="103" a="1"/>
  <c r="AA107" i="103" s="1"/>
  <c r="AA109" i="103" a="1"/>
  <c r="AA109" i="103" s="1"/>
  <c r="AA111" i="103" a="1"/>
  <c r="AA111" i="103" s="1"/>
  <c r="AK54" i="103"/>
  <c r="AA77" i="103" a="1"/>
  <c r="AA77" i="103" s="1"/>
  <c r="AA75" i="103" a="1"/>
  <c r="AA75" i="103" s="1"/>
  <c r="AK39" i="103"/>
  <c r="AA78" i="103" a="1"/>
  <c r="AA78" i="103" s="1"/>
  <c r="AA76" i="103" a="1"/>
  <c r="AA76" i="103" s="1"/>
  <c r="AA79" i="103" a="1"/>
  <c r="AA79" i="103" s="1"/>
  <c r="AA58" i="103" a="1"/>
  <c r="AA58" i="103" s="1"/>
  <c r="AA55" i="103" a="1"/>
  <c r="AA55" i="103" s="1"/>
  <c r="AA56" i="103" a="1"/>
  <c r="AA56" i="103" s="1"/>
  <c r="AK19" i="103"/>
  <c r="AA59" i="103" a="1"/>
  <c r="AA59" i="103" s="1"/>
  <c r="AA57" i="103" a="1"/>
  <c r="AA57" i="103" s="1"/>
  <c r="AA44" i="103" a="1"/>
  <c r="AA44" i="103" s="1"/>
  <c r="AA45" i="103" a="1"/>
  <c r="AA45" i="103" s="1"/>
  <c r="AA46" i="103" a="1"/>
  <c r="AA46" i="103" s="1"/>
  <c r="AA48" i="103" a="1"/>
  <c r="AA48" i="103" s="1"/>
  <c r="AK4" i="103"/>
  <c r="AA47" i="103" a="1"/>
  <c r="AA47" i="103" s="1"/>
  <c r="AA64" i="103" a="1"/>
  <c r="AA64" i="103" s="1"/>
  <c r="AA61" i="103" a="1"/>
  <c r="AA61" i="103" s="1"/>
  <c r="AA62" i="103" a="1"/>
  <c r="AA62" i="103" s="1"/>
  <c r="AK30" i="103"/>
  <c r="AA60" i="103" a="1"/>
  <c r="AA60" i="103" s="1"/>
  <c r="AA63" i="103" a="1"/>
  <c r="AA63" i="103" s="1"/>
  <c r="AA103" i="103" a="1"/>
  <c r="AA103" i="103" s="1"/>
  <c r="AA105" i="103" a="1"/>
  <c r="AA105" i="103" s="1"/>
  <c r="AA102" i="103" a="1"/>
  <c r="AA102" i="103" s="1"/>
  <c r="AA106" i="103" a="1"/>
  <c r="AA106" i="103" s="1"/>
  <c r="AA104" i="103" a="1"/>
  <c r="AA104" i="103" s="1"/>
  <c r="AK40" i="103"/>
  <c r="AD134" i="103" a="1"/>
  <c r="AC134" i="103" a="1"/>
  <c r="AA101" i="103" a="1"/>
  <c r="AA101" i="103" s="1"/>
  <c r="AA97" i="103" a="1"/>
  <c r="AA97" i="103" s="1"/>
  <c r="AA100" i="103" a="1"/>
  <c r="AA100" i="103" s="1"/>
  <c r="AA98" i="103" a="1"/>
  <c r="AA98" i="103" s="1"/>
  <c r="AK18" i="103"/>
  <c r="AA99" i="103" a="1"/>
  <c r="AA99" i="103" s="1"/>
  <c r="AK44" i="103"/>
  <c r="B23" i="103"/>
  <c r="AJ38" i="103"/>
  <c r="AK38" i="103" s="1"/>
  <c r="AA67" i="103" a="1"/>
  <c r="AA67" i="103" s="1"/>
  <c r="AA68" i="103" a="1"/>
  <c r="AA68" i="103" s="1"/>
  <c r="AA65" i="103" a="1"/>
  <c r="AA65" i="103" s="1"/>
  <c r="AA69" i="103" a="1"/>
  <c r="AA69" i="103" s="1"/>
  <c r="AA66" i="103" a="1"/>
  <c r="AA66" i="103" s="1"/>
  <c r="AK33" i="103"/>
  <c r="AA52" i="103" a="1"/>
  <c r="AA52" i="103" s="1"/>
  <c r="AA49" i="103" a="1"/>
  <c r="AA49" i="103" s="1"/>
  <c r="AA53" i="103" a="1"/>
  <c r="AA53" i="103" s="1"/>
  <c r="AA50" i="103" a="1"/>
  <c r="AA50" i="103" s="1"/>
  <c r="AK6" i="103"/>
  <c r="AA51" i="103" a="1"/>
  <c r="AA51" i="103" s="1"/>
  <c r="AK53" i="103"/>
  <c r="F244" i="103" a="1"/>
  <c r="F244" i="103" s="1"/>
  <c r="B365" i="103" s="1"/>
  <c r="AJ47" i="103"/>
  <c r="B22" i="103"/>
  <c r="AJ50" i="103"/>
  <c r="Y81" i="103"/>
  <c r="AA81" i="103" s="1" a="1"/>
  <c r="AA81" i="103" s="1"/>
  <c r="V31" i="103"/>
  <c r="B20" i="103" s="1"/>
  <c r="AA72" i="103" a="1"/>
  <c r="AA72" i="103" s="1"/>
  <c r="AA70" i="103" a="1"/>
  <c r="AA70" i="103" s="1"/>
  <c r="AA73" i="103" a="1"/>
  <c r="AA73" i="103" s="1"/>
  <c r="AA74" i="103" a="1"/>
  <c r="AA74" i="103" s="1"/>
  <c r="AK34" i="103"/>
  <c r="AA71" i="103" a="1"/>
  <c r="AA71" i="103" s="1"/>
  <c r="AK14" i="103"/>
  <c r="AK55" i="103"/>
  <c r="AK17" i="103"/>
  <c r="AK41" i="103"/>
  <c r="AC2" i="102"/>
  <c r="AF2" i="102" s="1"/>
  <c r="B145" i="102" s="1"/>
  <c r="AF3" i="102"/>
  <c r="B146" i="102" s="1"/>
  <c r="AD3" i="102"/>
  <c r="B116" i="102" s="1"/>
  <c r="F244" i="102" a="1"/>
  <c r="F244" i="102" s="1"/>
  <c r="B365" i="102" s="1"/>
  <c r="AE156" i="102"/>
  <c r="P189" i="102"/>
  <c r="AJ18" i="102" s="1"/>
  <c r="AA97" i="102" s="1" a="1"/>
  <c r="AA97" i="102" s="1"/>
  <c r="AA49" i="102" a="1"/>
  <c r="AA49" i="102" s="1"/>
  <c r="AA52" i="102" a="1"/>
  <c r="AA52" i="102" s="1"/>
  <c r="O11" i="102"/>
  <c r="AK6" i="102"/>
  <c r="AA51" i="102" a="1"/>
  <c r="AA51" i="102" s="1"/>
  <c r="AA50" i="102" a="1"/>
  <c r="AA50" i="102" s="1"/>
  <c r="AK40" i="102"/>
  <c r="AA103" i="102" a="1"/>
  <c r="AA103" i="102" s="1"/>
  <c r="AA105" i="102" a="1"/>
  <c r="AA105" i="102" s="1"/>
  <c r="AA106" i="102" a="1"/>
  <c r="AA106" i="102" s="1"/>
  <c r="AA102" i="102" a="1"/>
  <c r="AA102" i="102" s="1"/>
  <c r="AA104" i="102" a="1"/>
  <c r="AA104" i="102" s="1"/>
  <c r="AA54" i="102" a="1"/>
  <c r="AA54" i="102" s="1"/>
  <c r="V33" i="102"/>
  <c r="Y80" i="102"/>
  <c r="AA80" i="102" s="1" a="1"/>
  <c r="AA80" i="102" s="1"/>
  <c r="AK14" i="102"/>
  <c r="AK53" i="102"/>
  <c r="AK16" i="102"/>
  <c r="AA95" i="102" a="1"/>
  <c r="AA95" i="102" s="1"/>
  <c r="AA93" i="102" a="1"/>
  <c r="AA93" i="102" s="1"/>
  <c r="AA96" i="102" a="1"/>
  <c r="AA96" i="102" s="1"/>
  <c r="AA94" i="102" a="1"/>
  <c r="AA94" i="102" s="1"/>
  <c r="AA92" i="102" a="1"/>
  <c r="AA92" i="102" s="1"/>
  <c r="AA64" i="102" a="1"/>
  <c r="AA64" i="102" s="1"/>
  <c r="AA61" i="102" a="1"/>
  <c r="AA61" i="102" s="1"/>
  <c r="AA62" i="102" a="1"/>
  <c r="AA62" i="102" s="1"/>
  <c r="AA63" i="102" a="1"/>
  <c r="AA63" i="102" s="1"/>
  <c r="AK30" i="102"/>
  <c r="AA60" i="102" a="1"/>
  <c r="AA60" i="102" s="1"/>
  <c r="AA44" i="102" a="1"/>
  <c r="AA44" i="102" s="1"/>
  <c r="AA45" i="102" a="1"/>
  <c r="AA45" i="102" s="1"/>
  <c r="AA46" i="102" a="1"/>
  <c r="AA46" i="102" s="1"/>
  <c r="AK4" i="102"/>
  <c r="AA48" i="102" a="1"/>
  <c r="AA48" i="102" s="1"/>
  <c r="AA47" i="102" a="1"/>
  <c r="AA47" i="102" s="1"/>
  <c r="AA108" i="102" a="1"/>
  <c r="AA108" i="102" s="1"/>
  <c r="AA110" i="102" a="1"/>
  <c r="AA110" i="102" s="1"/>
  <c r="AA107" i="102" a="1"/>
  <c r="AA107" i="102" s="1"/>
  <c r="AA109" i="102" a="1"/>
  <c r="AA109" i="102" s="1"/>
  <c r="AK54" i="102"/>
  <c r="AA111" i="102" a="1"/>
  <c r="AA111" i="102" s="1"/>
  <c r="AA67" i="102" a="1"/>
  <c r="AA67" i="102" s="1"/>
  <c r="AK33" i="102"/>
  <c r="AA68" i="102" a="1"/>
  <c r="AA68" i="102" s="1"/>
  <c r="AA65" i="102" a="1"/>
  <c r="AA65" i="102" s="1"/>
  <c r="AA69" i="102" a="1"/>
  <c r="AA69" i="102" s="1"/>
  <c r="AA66" i="102" a="1"/>
  <c r="AA66" i="102" s="1"/>
  <c r="AK13" i="102"/>
  <c r="AA91" i="102" a="1"/>
  <c r="AA91" i="102" s="1"/>
  <c r="AA89" i="102" a="1"/>
  <c r="AA89" i="102" s="1"/>
  <c r="AA87" i="102" a="1"/>
  <c r="AA87" i="102" s="1"/>
  <c r="AA90" i="102" a="1"/>
  <c r="AA90" i="102" s="1"/>
  <c r="AA88" i="102" a="1"/>
  <c r="AA88" i="102" s="1"/>
  <c r="AA77" i="102" a="1"/>
  <c r="AA77" i="102" s="1"/>
  <c r="AA79" i="102" a="1"/>
  <c r="AA79" i="102" s="1"/>
  <c r="AA76" i="102" a="1"/>
  <c r="AA76" i="102" s="1"/>
  <c r="AA75" i="102" a="1"/>
  <c r="AA75" i="102" s="1"/>
  <c r="AK39" i="102"/>
  <c r="AA78" i="102" a="1"/>
  <c r="AA78" i="102" s="1"/>
  <c r="AJ57" i="102"/>
  <c r="AK57" i="102" s="1"/>
  <c r="B54" i="102"/>
  <c r="B55" i="102"/>
  <c r="AK41" i="102"/>
  <c r="Y81" i="102"/>
  <c r="AA81" i="102" s="1" a="1"/>
  <c r="AA81" i="102" s="1"/>
  <c r="V31" i="102"/>
  <c r="B20" i="102" s="1"/>
  <c r="AK9" i="102"/>
  <c r="AA58" i="102" a="1"/>
  <c r="AA58" i="102" s="1"/>
  <c r="AA59" i="102" a="1"/>
  <c r="AA59" i="102" s="1"/>
  <c r="AA55" i="102" a="1"/>
  <c r="AA55" i="102" s="1"/>
  <c r="AA56" i="102" a="1"/>
  <c r="AA56" i="102" s="1"/>
  <c r="AK19" i="102"/>
  <c r="AA57" i="102" a="1"/>
  <c r="AA57" i="102" s="1"/>
  <c r="O10" i="102"/>
  <c r="O12" i="102"/>
  <c r="AD134" i="102" a="1"/>
  <c r="AC134" i="102" a="1"/>
  <c r="AK5" i="102"/>
  <c r="AA72" i="102" a="1"/>
  <c r="AA72" i="102" s="1"/>
  <c r="AA70" i="102" a="1"/>
  <c r="AA70" i="102" s="1"/>
  <c r="AA73" i="102" a="1"/>
  <c r="AA73" i="102" s="1"/>
  <c r="AA71" i="102" a="1"/>
  <c r="AA71" i="102" s="1"/>
  <c r="AA74" i="102" a="1"/>
  <c r="AA74" i="102" s="1"/>
  <c r="AK34" i="102"/>
  <c r="AK55" i="102"/>
  <c r="AA102" i="75" a="1"/>
  <c r="AA102" i="75" s="1"/>
  <c r="AC2" i="99" a="1"/>
  <c r="AC2" i="99" s="1"/>
  <c r="AA107" i="78" a="1"/>
  <c r="AA107" i="78" s="1"/>
  <c r="AE156" i="101"/>
  <c r="N7" i="101"/>
  <c r="AA105" i="76" a="1"/>
  <c r="AA105" i="76" s="1"/>
  <c r="AA64" i="101" a="1"/>
  <c r="AA64" i="101" s="1"/>
  <c r="AA61" i="101" a="1"/>
  <c r="AA61" i="101" s="1"/>
  <c r="AA62" i="101" a="1"/>
  <c r="AA62" i="101" s="1"/>
  <c r="AA60" i="101" a="1"/>
  <c r="AA60" i="101" s="1"/>
  <c r="AK30" i="101"/>
  <c r="AA63" i="101" a="1"/>
  <c r="AA63" i="101" s="1"/>
  <c r="AA103" i="101" a="1"/>
  <c r="AA103" i="101" s="1"/>
  <c r="AA105" i="101" a="1"/>
  <c r="AA105" i="101" s="1"/>
  <c r="AA102" i="101" a="1"/>
  <c r="AA102" i="101" s="1"/>
  <c r="AA106" i="101" a="1"/>
  <c r="AA106" i="101" s="1"/>
  <c r="AK40" i="101"/>
  <c r="AA104" i="101" a="1"/>
  <c r="AA104" i="101" s="1"/>
  <c r="AA77" i="101" a="1"/>
  <c r="AA77" i="101" s="1"/>
  <c r="AA79" i="101" a="1"/>
  <c r="AA79" i="101" s="1"/>
  <c r="AA76" i="101" a="1"/>
  <c r="AA76" i="101" s="1"/>
  <c r="AA75" i="101" a="1"/>
  <c r="AA75" i="101" s="1"/>
  <c r="AK39" i="101"/>
  <c r="AA78" i="101" a="1"/>
  <c r="AA78" i="101" s="1"/>
  <c r="AK16" i="101"/>
  <c r="AA95" i="101" a="1"/>
  <c r="AA95" i="101" s="1"/>
  <c r="AA93" i="101" a="1"/>
  <c r="AA93" i="101" s="1"/>
  <c r="AA96" i="101" a="1"/>
  <c r="AA96" i="101" s="1"/>
  <c r="AA94" i="101" a="1"/>
  <c r="AA94" i="101" s="1"/>
  <c r="AA92" i="101" a="1"/>
  <c r="AA92" i="101" s="1"/>
  <c r="AA67" i="101" a="1"/>
  <c r="AA67" i="101" s="1"/>
  <c r="AK33" i="101"/>
  <c r="AA68" i="101" a="1"/>
  <c r="AA68" i="101" s="1"/>
  <c r="AA65" i="101" a="1"/>
  <c r="AA65" i="101" s="1"/>
  <c r="AA69" i="101" a="1"/>
  <c r="AA69" i="101" s="1"/>
  <c r="AA66" i="101" a="1"/>
  <c r="AA66" i="101" s="1"/>
  <c r="AA101" i="101" a="1"/>
  <c r="AA101" i="101" s="1"/>
  <c r="AK18" i="101"/>
  <c r="AA97" i="101" a="1"/>
  <c r="AA97" i="101" s="1"/>
  <c r="AA100" i="101" a="1"/>
  <c r="AA100" i="101" s="1"/>
  <c r="AA99" i="101" a="1"/>
  <c r="AA99" i="101" s="1"/>
  <c r="AA98" i="101" a="1"/>
  <c r="AA98" i="101" s="1"/>
  <c r="AA58" i="101" a="1"/>
  <c r="AA58" i="101" s="1"/>
  <c r="AA59" i="101" a="1"/>
  <c r="AA59" i="101" s="1"/>
  <c r="AA55" i="101" a="1"/>
  <c r="AA55" i="101" s="1"/>
  <c r="AA56" i="101" a="1"/>
  <c r="AA56" i="101" s="1"/>
  <c r="AK19" i="101"/>
  <c r="AA57" i="101" a="1"/>
  <c r="AA57" i="101" s="1"/>
  <c r="V33" i="101"/>
  <c r="B22" i="101" s="1"/>
  <c r="Y80" i="101"/>
  <c r="AA80" i="101" s="1" a="1"/>
  <c r="AA80" i="101" s="1"/>
  <c r="P187" i="101"/>
  <c r="AJ13" i="101" s="1"/>
  <c r="AK14" i="101"/>
  <c r="Y81" i="101"/>
  <c r="AA81" i="101" s="1" a="1"/>
  <c r="AA81" i="101" s="1"/>
  <c r="V31" i="101"/>
  <c r="B20" i="101" s="1"/>
  <c r="AK41" i="101"/>
  <c r="AA52" i="101" a="1"/>
  <c r="AA52" i="101" s="1"/>
  <c r="AA49" i="101" a="1"/>
  <c r="AA49" i="101" s="1"/>
  <c r="AA53" i="101" a="1"/>
  <c r="AA53" i="101" s="1"/>
  <c r="AA50" i="101" a="1"/>
  <c r="AA50" i="101" s="1"/>
  <c r="AK6" i="101"/>
  <c r="AA51" i="101" a="1"/>
  <c r="AA51" i="101" s="1"/>
  <c r="AK9" i="101"/>
  <c r="AK5" i="101"/>
  <c r="AK50" i="101"/>
  <c r="AK44" i="101"/>
  <c r="AK53" i="101"/>
  <c r="AJ55" i="101"/>
  <c r="AA44" i="101" a="1"/>
  <c r="AA44" i="101" s="1"/>
  <c r="AA45" i="101" a="1"/>
  <c r="AA45" i="101" s="1"/>
  <c r="AA46" i="101" a="1"/>
  <c r="AA46" i="101" s="1"/>
  <c r="AK4" i="101"/>
  <c r="AA47" i="101" a="1"/>
  <c r="AA47" i="101" s="1"/>
  <c r="AA48" i="101" a="1"/>
  <c r="AA48" i="101" s="1"/>
  <c r="AD134" i="101" a="1"/>
  <c r="AD134" i="101" s="1"/>
  <c r="B197" i="101" s="1"/>
  <c r="AC134" i="101" a="1"/>
  <c r="AC134" i="101" s="1"/>
  <c r="AA72" i="101" a="1"/>
  <c r="AA72" i="101" s="1"/>
  <c r="AA70" i="101" a="1"/>
  <c r="AA70" i="101" s="1"/>
  <c r="AA73" i="101" a="1"/>
  <c r="AA73" i="101" s="1"/>
  <c r="AA71" i="101" a="1"/>
  <c r="AA71" i="101" s="1"/>
  <c r="AA74" i="101" a="1"/>
  <c r="AA74" i="101" s="1"/>
  <c r="AK34" i="101"/>
  <c r="P191" i="101"/>
  <c r="AJ54" i="101" s="1"/>
  <c r="AC2" i="100"/>
  <c r="AD2" i="100" s="1"/>
  <c r="B115" i="100" s="1"/>
  <c r="AD5" i="100"/>
  <c r="B118" i="100" s="1"/>
  <c r="AF4" i="100"/>
  <c r="B147" i="100" s="1"/>
  <c r="AD4" i="100"/>
  <c r="B117" i="100" s="1"/>
  <c r="AF3" i="100"/>
  <c r="B146" i="100" s="1"/>
  <c r="AD3" i="100"/>
  <c r="B116" i="100" s="1"/>
  <c r="AD6" i="100"/>
  <c r="B119" i="100" s="1"/>
  <c r="AF6" i="100"/>
  <c r="B149" i="100" s="1"/>
  <c r="AF5" i="100"/>
  <c r="B148" i="100" s="1"/>
  <c r="P189" i="100"/>
  <c r="AJ18" i="100" s="1"/>
  <c r="AA97" i="100" s="1" a="1"/>
  <c r="AA97" i="100" s="1"/>
  <c r="AK7" i="100"/>
  <c r="AJ9" i="100"/>
  <c r="AK9" i="100" s="1"/>
  <c r="B17" i="100"/>
  <c r="AA49" i="100" a="1"/>
  <c r="AA49" i="100" s="1"/>
  <c r="AA52" i="100" a="1"/>
  <c r="AA52" i="100" s="1"/>
  <c r="AA53" i="100" a="1"/>
  <c r="AA53" i="100" s="1"/>
  <c r="AA50" i="100" a="1"/>
  <c r="AA50" i="100" s="1"/>
  <c r="AK6" i="100"/>
  <c r="AA51" i="100" a="1"/>
  <c r="AA51" i="100" s="1"/>
  <c r="V33" i="100"/>
  <c r="Y80" i="100"/>
  <c r="AA80" i="100" s="1" a="1"/>
  <c r="AA80" i="100" s="1"/>
  <c r="AK53" i="100"/>
  <c r="AK55" i="100"/>
  <c r="AA44" i="100" a="1"/>
  <c r="AA44" i="100" s="1"/>
  <c r="AA45" i="100" a="1"/>
  <c r="AA45" i="100" s="1"/>
  <c r="AA46" i="100" a="1"/>
  <c r="AA46" i="100" s="1"/>
  <c r="AK4" i="100"/>
  <c r="AA48" i="100" a="1"/>
  <c r="AA48" i="100" s="1"/>
  <c r="AA47" i="100" a="1"/>
  <c r="AA47" i="100" s="1"/>
  <c r="AA108" i="100" a="1"/>
  <c r="AA108" i="100" s="1"/>
  <c r="AA110" i="100" a="1"/>
  <c r="AA110" i="100" s="1"/>
  <c r="AA107" i="100" a="1"/>
  <c r="AA107" i="100" s="1"/>
  <c r="AA109" i="100" a="1"/>
  <c r="AA109" i="100" s="1"/>
  <c r="AK54" i="100"/>
  <c r="AA111" i="100" a="1"/>
  <c r="AA111" i="100" s="1"/>
  <c r="AA103" i="100" a="1"/>
  <c r="AA103" i="100" s="1"/>
  <c r="AA105" i="100" a="1"/>
  <c r="AA105" i="100" s="1"/>
  <c r="AA102" i="100" a="1"/>
  <c r="AA102" i="100" s="1"/>
  <c r="AA104" i="100" a="1"/>
  <c r="AA104" i="100" s="1"/>
  <c r="AK40" i="100"/>
  <c r="AA106" i="100" a="1"/>
  <c r="AA106" i="100" s="1"/>
  <c r="AA64" i="100" a="1"/>
  <c r="AA64" i="100" s="1"/>
  <c r="AA61" i="100" a="1"/>
  <c r="AA61" i="100" s="1"/>
  <c r="AA62" i="100" a="1"/>
  <c r="AA62" i="100" s="1"/>
  <c r="AA63" i="100" a="1"/>
  <c r="AA63" i="100" s="1"/>
  <c r="AK30" i="100"/>
  <c r="AA60" i="100" a="1"/>
  <c r="AA60" i="100" s="1"/>
  <c r="AK16" i="100"/>
  <c r="AA95" i="100" a="1"/>
  <c r="AA95" i="100" s="1"/>
  <c r="AA93" i="100" a="1"/>
  <c r="AA93" i="100" s="1"/>
  <c r="AA96" i="100" a="1"/>
  <c r="AA96" i="100" s="1"/>
  <c r="AA92" i="100" a="1"/>
  <c r="AA92" i="100" s="1"/>
  <c r="AA94" i="100" a="1"/>
  <c r="AA94" i="100" s="1"/>
  <c r="AA67" i="100" a="1"/>
  <c r="AA67" i="100" s="1"/>
  <c r="AK33" i="100"/>
  <c r="AA68" i="100" a="1"/>
  <c r="AA68" i="100" s="1"/>
  <c r="AA65" i="100" a="1"/>
  <c r="AA65" i="100" s="1"/>
  <c r="AA69" i="100" a="1"/>
  <c r="AA69" i="100" s="1"/>
  <c r="AA66" i="100" a="1"/>
  <c r="AA66" i="100" s="1"/>
  <c r="O8" i="100"/>
  <c r="AA58" i="100" a="1"/>
  <c r="AA58" i="100" s="1"/>
  <c r="AA59" i="100" a="1"/>
  <c r="AA59" i="100" s="1"/>
  <c r="AA55" i="100" a="1"/>
  <c r="AA55" i="100" s="1"/>
  <c r="AA56" i="100" a="1"/>
  <c r="AA56" i="100" s="1"/>
  <c r="AK19" i="100"/>
  <c r="AA57" i="100" a="1"/>
  <c r="AA57" i="100" s="1"/>
  <c r="O11" i="100"/>
  <c r="AD134" i="100" a="1"/>
  <c r="AD134" i="100" s="1"/>
  <c r="B197" i="100" s="1"/>
  <c r="AC134" i="100" a="1"/>
  <c r="AC134" i="100" s="1"/>
  <c r="O12" i="100"/>
  <c r="AF2" i="100"/>
  <c r="B145" i="100" s="1"/>
  <c r="O9" i="100"/>
  <c r="AA77" i="100" a="1"/>
  <c r="AA77" i="100" s="1"/>
  <c r="AA79" i="100" a="1"/>
  <c r="AA79" i="100" s="1"/>
  <c r="AA76" i="100" a="1"/>
  <c r="AA76" i="100" s="1"/>
  <c r="AA75" i="100" a="1"/>
  <c r="AA75" i="100" s="1"/>
  <c r="AK39" i="100"/>
  <c r="AA78" i="100" a="1"/>
  <c r="AA78" i="100" s="1"/>
  <c r="AK14" i="100"/>
  <c r="Y81" i="100"/>
  <c r="AA81" i="100" s="1" a="1"/>
  <c r="AA81" i="100" s="1"/>
  <c r="V31" i="100"/>
  <c r="B20" i="100" s="1"/>
  <c r="AA72" i="100" a="1"/>
  <c r="AA72" i="100" s="1"/>
  <c r="AA70" i="100" a="1"/>
  <c r="AA70" i="100" s="1"/>
  <c r="AA73" i="100" a="1"/>
  <c r="AA73" i="100" s="1"/>
  <c r="AA71" i="100" a="1"/>
  <c r="AA71" i="100" s="1"/>
  <c r="AA74" i="100" a="1"/>
  <c r="AA74" i="100" s="1"/>
  <c r="AK34" i="100"/>
  <c r="AK41" i="100"/>
  <c r="AK13" i="100"/>
  <c r="AA91" i="100" a="1"/>
  <c r="AA91" i="100" s="1"/>
  <c r="AA89" i="100" a="1"/>
  <c r="AA89" i="100" s="1"/>
  <c r="AA87" i="100" a="1"/>
  <c r="AA87" i="100" s="1"/>
  <c r="AA88" i="100" a="1"/>
  <c r="AA88" i="100" s="1"/>
  <c r="AA90" i="100" a="1"/>
  <c r="AA90" i="100" s="1"/>
  <c r="AE156" i="99"/>
  <c r="F244" i="99" a="1"/>
  <c r="F244" i="99" s="1"/>
  <c r="B365" i="99" s="1"/>
  <c r="AJ9" i="99"/>
  <c r="AK9" i="99" s="1"/>
  <c r="AK7" i="99"/>
  <c r="AA101" i="99" a="1"/>
  <c r="AA101" i="99" s="1"/>
  <c r="AK18" i="99"/>
  <c r="AA97" i="99" a="1"/>
  <c r="AA97" i="99" s="1"/>
  <c r="AA100" i="99" a="1"/>
  <c r="AA100" i="99" s="1"/>
  <c r="AA99" i="99" a="1"/>
  <c r="AA99" i="99" s="1"/>
  <c r="AA98" i="99" a="1"/>
  <c r="AA98" i="99" s="1"/>
  <c r="AA108" i="99" a="1"/>
  <c r="AA108" i="99" s="1"/>
  <c r="AA110" i="99" a="1"/>
  <c r="AA110" i="99" s="1"/>
  <c r="AA107" i="99" a="1"/>
  <c r="AA107" i="99" s="1"/>
  <c r="AA109" i="99" a="1"/>
  <c r="AA109" i="99" s="1"/>
  <c r="AA111" i="99" a="1"/>
  <c r="AA111" i="99" s="1"/>
  <c r="AK54" i="99"/>
  <c r="AA64" i="99" a="1"/>
  <c r="AA64" i="99" s="1"/>
  <c r="AA61" i="99" a="1"/>
  <c r="AA61" i="99" s="1"/>
  <c r="AA62" i="99" a="1"/>
  <c r="AA62" i="99" s="1"/>
  <c r="AA60" i="99" a="1"/>
  <c r="AA60" i="99" s="1"/>
  <c r="AK30" i="99"/>
  <c r="AA63" i="99" a="1"/>
  <c r="AA63" i="99" s="1"/>
  <c r="AA44" i="99" a="1"/>
  <c r="AA44" i="99" s="1"/>
  <c r="AA45" i="99" a="1"/>
  <c r="AA45" i="99" s="1"/>
  <c r="AA46" i="99" a="1"/>
  <c r="AA46" i="99" s="1"/>
  <c r="AK4" i="99"/>
  <c r="AA47" i="99" a="1"/>
  <c r="AA47" i="99" s="1"/>
  <c r="AA48" i="99" a="1"/>
  <c r="AA48" i="99" s="1"/>
  <c r="AK13" i="99"/>
  <c r="AA91" i="99" a="1"/>
  <c r="AA91" i="99" s="1"/>
  <c r="AA89" i="99" a="1"/>
  <c r="AA89" i="99" s="1"/>
  <c r="AA87" i="99" a="1"/>
  <c r="AA87" i="99" s="1"/>
  <c r="AA90" i="99" a="1"/>
  <c r="AA90" i="99" s="1"/>
  <c r="AA88" i="99" a="1"/>
  <c r="AA88" i="99" s="1"/>
  <c r="AA103" i="99" a="1"/>
  <c r="AA103" i="99" s="1"/>
  <c r="AA105" i="99" a="1"/>
  <c r="AA105" i="99" s="1"/>
  <c r="AA102" i="99" a="1"/>
  <c r="AA102" i="99" s="1"/>
  <c r="AA106" i="99" a="1"/>
  <c r="AA106" i="99" s="1"/>
  <c r="AA104" i="99" a="1"/>
  <c r="AA104" i="99" s="1"/>
  <c r="AK40" i="99"/>
  <c r="AA58" i="99" a="1"/>
  <c r="AA58" i="99" s="1"/>
  <c r="AA59" i="99" a="1"/>
  <c r="AA59" i="99" s="1"/>
  <c r="AA55" i="99" a="1"/>
  <c r="AA55" i="99" s="1"/>
  <c r="AA56" i="99" a="1"/>
  <c r="AA56" i="99" s="1"/>
  <c r="AK19" i="99"/>
  <c r="AA57" i="99" a="1"/>
  <c r="AA57" i="99" s="1"/>
  <c r="AK16" i="99"/>
  <c r="AA95" i="99" a="1"/>
  <c r="AA95" i="99" s="1"/>
  <c r="AA93" i="99" a="1"/>
  <c r="AA93" i="99" s="1"/>
  <c r="AA96" i="99" a="1"/>
  <c r="AA96" i="99" s="1"/>
  <c r="AA94" i="99" a="1"/>
  <c r="AA94" i="99" s="1"/>
  <c r="AA92" i="99" a="1"/>
  <c r="AA92" i="99" s="1"/>
  <c r="AA72" i="99" a="1"/>
  <c r="AA72" i="99" s="1"/>
  <c r="AA70" i="99" a="1"/>
  <c r="AA70" i="99" s="1"/>
  <c r="AA73" i="99" a="1"/>
  <c r="AA73" i="99" s="1"/>
  <c r="AA71" i="99" a="1"/>
  <c r="AA71" i="99" s="1"/>
  <c r="AA74" i="99" a="1"/>
  <c r="AA74" i="99" s="1"/>
  <c r="AK34" i="99"/>
  <c r="AK41" i="99"/>
  <c r="V33" i="99"/>
  <c r="B22" i="99" s="1"/>
  <c r="Y80" i="99"/>
  <c r="AA80" i="99" s="1" a="1"/>
  <c r="AA80" i="99" s="1"/>
  <c r="AA67" i="99" a="1"/>
  <c r="AA67" i="99" s="1"/>
  <c r="AK33" i="99"/>
  <c r="AA68" i="99" a="1"/>
  <c r="AA68" i="99" s="1"/>
  <c r="AA65" i="99" a="1"/>
  <c r="AA65" i="99" s="1"/>
  <c r="AA69" i="99" a="1"/>
  <c r="AA69" i="99" s="1"/>
  <c r="AA66" i="99" a="1"/>
  <c r="AA66" i="99" s="1"/>
  <c r="Y81" i="99"/>
  <c r="AA81" i="99" s="1" a="1"/>
  <c r="AA81" i="99" s="1"/>
  <c r="V31" i="99"/>
  <c r="B20" i="99" s="1"/>
  <c r="AA52" i="99" a="1"/>
  <c r="AA52" i="99" s="1"/>
  <c r="AA49" i="99" a="1"/>
  <c r="AA49" i="99" s="1"/>
  <c r="AA53" i="99" a="1"/>
  <c r="AA53" i="99" s="1"/>
  <c r="AA50" i="99" a="1"/>
  <c r="AA50" i="99" s="1"/>
  <c r="AK6" i="99"/>
  <c r="AA51" i="99" a="1"/>
  <c r="AA51" i="99" s="1"/>
  <c r="AK44" i="99"/>
  <c r="AJ55" i="99"/>
  <c r="AJ57" i="99"/>
  <c r="AK57" i="99" s="1"/>
  <c r="B54" i="99"/>
  <c r="B55" i="99"/>
  <c r="AK53" i="99"/>
  <c r="AK14" i="99"/>
  <c r="AD134" i="99" a="1"/>
  <c r="AD134" i="99" s="1"/>
  <c r="B197" i="99" s="1"/>
  <c r="AC134" i="99" a="1"/>
  <c r="AC134" i="99" s="1"/>
  <c r="AA77" i="99" a="1"/>
  <c r="AA77" i="99" s="1"/>
  <c r="AA79" i="99" a="1"/>
  <c r="AA79" i="99" s="1"/>
  <c r="AA76" i="99" a="1"/>
  <c r="AA76" i="99" s="1"/>
  <c r="AA75" i="99" a="1"/>
  <c r="AA75" i="99" s="1"/>
  <c r="AK39" i="99"/>
  <c r="AA78" i="99" a="1"/>
  <c r="AA78" i="99" s="1"/>
  <c r="AK5" i="99"/>
  <c r="AC2" i="89" a="1"/>
  <c r="AC2" i="89" s="1"/>
  <c r="AA97" i="78" a="1"/>
  <c r="AA97" i="78" s="1"/>
  <c r="AK18" i="78"/>
  <c r="AA101" i="78" a="1"/>
  <c r="AA101" i="78" s="1"/>
  <c r="AA70" i="93" a="1"/>
  <c r="AA70" i="93" s="1"/>
  <c r="AA72" i="93" a="1"/>
  <c r="AA72" i="93" s="1"/>
  <c r="AC2" i="95" a="1"/>
  <c r="AF6" i="95" s="1"/>
  <c r="B149" i="95" s="1"/>
  <c r="AA91" i="79" a="1"/>
  <c r="AA91" i="79" s="1"/>
  <c r="AA87" i="79" a="1"/>
  <c r="AA87" i="79" s="1"/>
  <c r="AA60" i="78" a="1"/>
  <c r="AA60" i="78" s="1"/>
  <c r="AA72" i="78" a="1"/>
  <c r="AA72" i="78" s="1"/>
  <c r="AA109" i="78" a="1"/>
  <c r="AA109" i="78" s="1"/>
  <c r="AA108" i="78" a="1"/>
  <c r="AA108" i="78" s="1"/>
  <c r="AA74" i="78" a="1"/>
  <c r="AA74" i="78" s="1"/>
  <c r="AA111" i="78" a="1"/>
  <c r="AA111" i="78" s="1"/>
  <c r="AA71" i="78" a="1"/>
  <c r="AA71" i="78" s="1"/>
  <c r="AA44" i="78" a="1"/>
  <c r="AA44" i="78" s="1"/>
  <c r="AA48" i="78" a="1"/>
  <c r="AA48" i="78" s="1"/>
  <c r="AA62" i="78" a="1"/>
  <c r="AA62" i="78" s="1"/>
  <c r="AE156" i="97"/>
  <c r="AC2" i="97" a="1"/>
  <c r="AK7" i="97"/>
  <c r="AA101" i="77" a="1"/>
  <c r="AA101" i="77" s="1"/>
  <c r="AA67" i="29" a="1"/>
  <c r="AA67" i="29" s="1"/>
  <c r="AK16" i="97"/>
  <c r="AA95" i="97" a="1"/>
  <c r="AA95" i="97" s="1"/>
  <c r="AA93" i="97" a="1"/>
  <c r="AA93" i="97" s="1"/>
  <c r="AA96" i="97" a="1"/>
  <c r="AA96" i="97" s="1"/>
  <c r="AA94" i="97" a="1"/>
  <c r="AA94" i="97" s="1"/>
  <c r="AA92" i="97" a="1"/>
  <c r="AA92" i="97" s="1"/>
  <c r="AA72" i="97" a="1"/>
  <c r="AA72" i="97" s="1"/>
  <c r="AA70" i="97" a="1"/>
  <c r="AA70" i="97" s="1"/>
  <c r="AA73" i="97" a="1"/>
  <c r="AA73" i="97" s="1"/>
  <c r="AA74" i="97" a="1"/>
  <c r="AA74" i="97" s="1"/>
  <c r="AK34" i="97"/>
  <c r="AA71" i="97" a="1"/>
  <c r="AA71" i="97" s="1"/>
  <c r="AA101" i="97" a="1"/>
  <c r="AA101" i="97" s="1"/>
  <c r="AK18" i="97"/>
  <c r="AA97" i="97" a="1"/>
  <c r="AA97" i="97" s="1"/>
  <c r="AA100" i="97" a="1"/>
  <c r="AA100" i="97" s="1"/>
  <c r="AA98" i="97" a="1"/>
  <c r="AA98" i="97" s="1"/>
  <c r="AA99" i="97" a="1"/>
  <c r="AA99" i="97" s="1"/>
  <c r="AA52" i="97" a="1"/>
  <c r="AA52" i="97" s="1"/>
  <c r="AA49" i="97" a="1"/>
  <c r="AA49" i="97" s="1"/>
  <c r="AA53" i="97" a="1"/>
  <c r="AA53" i="97" s="1"/>
  <c r="AA50" i="97" a="1"/>
  <c r="AA50" i="97" s="1"/>
  <c r="AK6" i="97"/>
  <c r="AA51" i="97" a="1"/>
  <c r="AA51" i="97" s="1"/>
  <c r="AA108" i="97" a="1"/>
  <c r="AA108" i="97" s="1"/>
  <c r="AA110" i="97" a="1"/>
  <c r="AA110" i="97" s="1"/>
  <c r="AA107" i="97" a="1"/>
  <c r="AA107" i="97" s="1"/>
  <c r="AK54" i="97"/>
  <c r="AA109" i="97" a="1"/>
  <c r="AA109" i="97" s="1"/>
  <c r="AA111" i="97" a="1"/>
  <c r="AA111" i="97" s="1"/>
  <c r="AA103" i="97" a="1"/>
  <c r="AA103" i="97" s="1"/>
  <c r="AA105" i="97" a="1"/>
  <c r="AA105" i="97" s="1"/>
  <c r="AA102" i="97" a="1"/>
  <c r="AA102" i="97" s="1"/>
  <c r="AA104" i="97" a="1"/>
  <c r="AA104" i="97" s="1"/>
  <c r="AK40" i="97"/>
  <c r="AA106" i="97" a="1"/>
  <c r="AA106" i="97" s="1"/>
  <c r="P187" i="97"/>
  <c r="AJ13" i="97" s="1"/>
  <c r="AK55" i="97"/>
  <c r="AA64" i="97" a="1"/>
  <c r="AA64" i="97" s="1"/>
  <c r="AA61" i="97" a="1"/>
  <c r="AA61" i="97" s="1"/>
  <c r="AA62" i="97" a="1"/>
  <c r="AA62" i="97" s="1"/>
  <c r="AA63" i="97" a="1"/>
  <c r="AA63" i="97" s="1"/>
  <c r="AK30" i="97"/>
  <c r="AA60" i="97" a="1"/>
  <c r="AA60" i="97" s="1"/>
  <c r="AD134" i="97" a="1"/>
  <c r="AC134" i="97" a="1"/>
  <c r="AA77" i="97" a="1"/>
  <c r="AA77" i="97" s="1"/>
  <c r="AA79" i="97" a="1"/>
  <c r="AA79" i="97" s="1"/>
  <c r="AA76" i="97" a="1"/>
  <c r="AA76" i="97" s="1"/>
  <c r="AA75" i="97" a="1"/>
  <c r="AA75" i="97" s="1"/>
  <c r="AK39" i="97"/>
  <c r="AA78" i="97" a="1"/>
  <c r="AA78" i="97" s="1"/>
  <c r="AA58" i="97" a="1"/>
  <c r="AA58" i="97" s="1"/>
  <c r="AA59" i="97" a="1"/>
  <c r="AA59" i="97" s="1"/>
  <c r="AA55" i="97" a="1"/>
  <c r="AA55" i="97" s="1"/>
  <c r="AA56" i="97" a="1"/>
  <c r="AA56" i="97" s="1"/>
  <c r="AK19" i="97"/>
  <c r="AA57" i="97" a="1"/>
  <c r="AA57" i="97" s="1"/>
  <c r="AK44" i="97"/>
  <c r="AK41" i="97"/>
  <c r="AA44" i="97" a="1"/>
  <c r="AA44" i="97" s="1"/>
  <c r="AA45" i="97" a="1"/>
  <c r="AA45" i="97" s="1"/>
  <c r="AA46" i="97" a="1"/>
  <c r="AA46" i="97" s="1"/>
  <c r="AK4" i="97"/>
  <c r="AA48" i="97" a="1"/>
  <c r="AA48" i="97" s="1"/>
  <c r="AA47" i="97" a="1"/>
  <c r="AA47" i="97" s="1"/>
  <c r="Y81" i="97"/>
  <c r="AA81" i="97" s="1" a="1"/>
  <c r="AA81" i="97" s="1"/>
  <c r="V31" i="97"/>
  <c r="AK53" i="97"/>
  <c r="AA67" i="97" a="1"/>
  <c r="AA67" i="97" s="1"/>
  <c r="AK33" i="97"/>
  <c r="AA68" i="97" a="1"/>
  <c r="AA68" i="97" s="1"/>
  <c r="AA65" i="97" a="1"/>
  <c r="AA65" i="97" s="1"/>
  <c r="AA69" i="97" a="1"/>
  <c r="AA69" i="97" s="1"/>
  <c r="AA66" i="97" a="1"/>
  <c r="AA66" i="97" s="1"/>
  <c r="AK5" i="97"/>
  <c r="AJ9" i="97"/>
  <c r="AK14" i="97"/>
  <c r="AF6" i="96"/>
  <c r="B149" i="96" s="1"/>
  <c r="AD6" i="96"/>
  <c r="B119" i="96" s="1"/>
  <c r="AF5" i="96"/>
  <c r="B148" i="96" s="1"/>
  <c r="AD5" i="96"/>
  <c r="B118" i="96" s="1"/>
  <c r="AC2" i="96"/>
  <c r="AD2" i="96" s="1"/>
  <c r="B115" i="96" s="1"/>
  <c r="AF4" i="96"/>
  <c r="B147" i="96" s="1"/>
  <c r="AD4" i="96"/>
  <c r="B117" i="96" s="1"/>
  <c r="AF3" i="96"/>
  <c r="B146" i="96" s="1"/>
  <c r="AD3" i="96"/>
  <c r="B116" i="96" s="1"/>
  <c r="AE156" i="96"/>
  <c r="AA73" i="76" a="1"/>
  <c r="AA73" i="76" s="1"/>
  <c r="AA92" i="77" a="1"/>
  <c r="AA92" i="77" s="1"/>
  <c r="AA88" i="79" a="1"/>
  <c r="AA88" i="79" s="1"/>
  <c r="AA89" i="79" a="1"/>
  <c r="AA89" i="79" s="1"/>
  <c r="AK39" i="79"/>
  <c r="O10" i="94"/>
  <c r="O8" i="89"/>
  <c r="O9" i="89"/>
  <c r="O8" i="94"/>
  <c r="AA77" i="79" a="1"/>
  <c r="AA77" i="79" s="1"/>
  <c r="AA93" i="79" a="1"/>
  <c r="AA93" i="79" s="1"/>
  <c r="AA76" i="78" a="1"/>
  <c r="AA76" i="78" s="1"/>
  <c r="AA105" i="78" a="1"/>
  <c r="AA105" i="78" s="1"/>
  <c r="AA104" i="78" a="1"/>
  <c r="AA104" i="78" s="1"/>
  <c r="AA102" i="78" a="1"/>
  <c r="AA102" i="78" s="1"/>
  <c r="AA106" i="78" a="1"/>
  <c r="AA106" i="78" s="1"/>
  <c r="AA78" i="78" a="1"/>
  <c r="AA78" i="78" s="1"/>
  <c r="AA77" i="78" a="1"/>
  <c r="AA77" i="78" s="1"/>
  <c r="AK39" i="78"/>
  <c r="O10" i="96"/>
  <c r="B55" i="96"/>
  <c r="B54" i="96"/>
  <c r="O12" i="96"/>
  <c r="O8" i="96"/>
  <c r="O9" i="96"/>
  <c r="AA72" i="96" a="1"/>
  <c r="AA72" i="96" s="1"/>
  <c r="AK34" i="96"/>
  <c r="AA74" i="96" a="1"/>
  <c r="AA74" i="96" s="1"/>
  <c r="AA73" i="96" a="1"/>
  <c r="AA73" i="96" s="1"/>
  <c r="AA70" i="96" a="1"/>
  <c r="AA70" i="96" s="1"/>
  <c r="AK6" i="96"/>
  <c r="AA51" i="96" a="1"/>
  <c r="AA51" i="96" s="1"/>
  <c r="AA53" i="96" a="1"/>
  <c r="AA53" i="96" s="1"/>
  <c r="AA52" i="96" a="1"/>
  <c r="AA52" i="96" s="1"/>
  <c r="AA49" i="96" a="1"/>
  <c r="AA49" i="96" s="1"/>
  <c r="AA50" i="96" a="1"/>
  <c r="AA50" i="96" s="1"/>
  <c r="AJ9" i="96"/>
  <c r="AA54" i="96" s="1" a="1"/>
  <c r="AA54" i="96" s="1"/>
  <c r="AK14" i="96"/>
  <c r="AK33" i="77"/>
  <c r="AA65" i="77" a="1"/>
  <c r="AA65" i="77" s="1"/>
  <c r="AA51" i="29" a="1"/>
  <c r="AA51" i="29" s="1"/>
  <c r="AA51" i="77" a="1"/>
  <c r="AA51" i="77" s="1"/>
  <c r="AA49" i="77" a="1"/>
  <c r="AA49" i="77" s="1"/>
  <c r="AA101" i="96" a="1"/>
  <c r="AA101" i="96" s="1"/>
  <c r="AK18" i="96"/>
  <c r="AA97" i="96" a="1"/>
  <c r="AA97" i="96" s="1"/>
  <c r="AA100" i="96" a="1"/>
  <c r="AA100" i="96" s="1"/>
  <c r="AA99" i="96" a="1"/>
  <c r="AA99" i="96" s="1"/>
  <c r="AA98" i="96" a="1"/>
  <c r="AA98" i="96" s="1"/>
  <c r="AK16" i="96"/>
  <c r="AA95" i="96" a="1"/>
  <c r="AA95" i="96" s="1"/>
  <c r="AA93" i="96" a="1"/>
  <c r="AA93" i="96" s="1"/>
  <c r="AA92" i="96" a="1"/>
  <c r="AA92" i="96" s="1"/>
  <c r="AA94" i="96" a="1"/>
  <c r="AA94" i="96" s="1"/>
  <c r="AA96" i="96" a="1"/>
  <c r="AA96" i="96" s="1"/>
  <c r="AA64" i="96" a="1"/>
  <c r="AA64" i="96" s="1"/>
  <c r="AA61" i="96" a="1"/>
  <c r="AA61" i="96" s="1"/>
  <c r="AA62" i="96" a="1"/>
  <c r="AA62" i="96" s="1"/>
  <c r="AA60" i="96" a="1"/>
  <c r="AA60" i="96" s="1"/>
  <c r="AA63" i="96" a="1"/>
  <c r="AA63" i="96" s="1"/>
  <c r="AK30" i="96"/>
  <c r="AA58" i="96" a="1"/>
  <c r="AA58" i="96" s="1"/>
  <c r="AA55" i="96" a="1"/>
  <c r="AA55" i="96" s="1"/>
  <c r="AA56" i="96" a="1"/>
  <c r="AA56" i="96" s="1"/>
  <c r="AK19" i="96"/>
  <c r="AA57" i="96" a="1"/>
  <c r="AA57" i="96" s="1"/>
  <c r="AA59" i="96" a="1"/>
  <c r="AA59" i="96" s="1"/>
  <c r="AK13" i="96"/>
  <c r="AA91" i="96" a="1"/>
  <c r="AA91" i="96" s="1"/>
  <c r="AA89" i="96" a="1"/>
  <c r="AA89" i="96" s="1"/>
  <c r="AA87" i="96" a="1"/>
  <c r="AA87" i="96" s="1"/>
  <c r="AA88" i="96" a="1"/>
  <c r="AA88" i="96" s="1"/>
  <c r="AA90" i="96" a="1"/>
  <c r="AA90" i="96" s="1"/>
  <c r="AD134" i="96" a="1"/>
  <c r="AC134" i="96" a="1"/>
  <c r="AK44" i="96"/>
  <c r="AA108" i="96" a="1"/>
  <c r="AA108" i="96" s="1"/>
  <c r="AA110" i="96" a="1"/>
  <c r="AA110" i="96" s="1"/>
  <c r="AA107" i="96" a="1"/>
  <c r="AA107" i="96" s="1"/>
  <c r="AA109" i="96" a="1"/>
  <c r="AA109" i="96" s="1"/>
  <c r="AA111" i="96" a="1"/>
  <c r="AA111" i="96" s="1"/>
  <c r="AK54" i="96"/>
  <c r="AA44" i="96" a="1"/>
  <c r="AA44" i="96" s="1"/>
  <c r="AA45" i="96" a="1"/>
  <c r="AA45" i="96" s="1"/>
  <c r="AA46" i="96" a="1"/>
  <c r="AA46" i="96" s="1"/>
  <c r="AA47" i="96" a="1"/>
  <c r="AA47" i="96" s="1"/>
  <c r="AA48" i="96" a="1"/>
  <c r="AA48" i="96" s="1"/>
  <c r="AK4" i="96"/>
  <c r="AA77" i="96" a="1"/>
  <c r="AA77" i="96" s="1"/>
  <c r="AA75" i="96" a="1"/>
  <c r="AA75" i="96" s="1"/>
  <c r="AK39" i="96"/>
  <c r="AA78" i="96" a="1"/>
  <c r="AA78" i="96" s="1"/>
  <c r="AA76" i="96" a="1"/>
  <c r="AA76" i="96" s="1"/>
  <c r="AA79" i="96" a="1"/>
  <c r="AA79" i="96" s="1"/>
  <c r="AK41" i="96"/>
  <c r="AA103" i="96" a="1"/>
  <c r="AA103" i="96" s="1"/>
  <c r="AA105" i="96" a="1"/>
  <c r="AA105" i="96" s="1"/>
  <c r="AA102" i="96" a="1"/>
  <c r="AA102" i="96" s="1"/>
  <c r="AA104" i="96" a="1"/>
  <c r="AA104" i="96" s="1"/>
  <c r="AK40" i="96"/>
  <c r="AA106" i="96" a="1"/>
  <c r="AA106" i="96" s="1"/>
  <c r="AK53" i="96"/>
  <c r="AA67" i="96" a="1"/>
  <c r="AA67" i="96" s="1"/>
  <c r="AK33" i="96"/>
  <c r="AA68" i="96" a="1"/>
  <c r="AA68" i="96" s="1"/>
  <c r="AA65" i="96" a="1"/>
  <c r="AA65" i="96" s="1"/>
  <c r="AA69" i="96" a="1"/>
  <c r="AA69" i="96" s="1"/>
  <c r="AA66" i="96" a="1"/>
  <c r="AA66" i="96" s="1"/>
  <c r="Y81" i="96"/>
  <c r="V31" i="96"/>
  <c r="B20" i="96" s="1"/>
  <c r="AK47" i="96"/>
  <c r="AJ55" i="96"/>
  <c r="B23" i="96"/>
  <c r="AJ38" i="96"/>
  <c r="AK38" i="96" s="1"/>
  <c r="AE156" i="95"/>
  <c r="O12" i="95"/>
  <c r="F244" i="95" a="1"/>
  <c r="F244" i="95" s="1"/>
  <c r="B365" i="95" s="1"/>
  <c r="O8" i="95"/>
  <c r="O9" i="95"/>
  <c r="O10" i="95"/>
  <c r="AA110" i="74" a="1"/>
  <c r="AA110" i="74" s="1"/>
  <c r="AA111" i="29" a="1"/>
  <c r="AA111" i="29" s="1"/>
  <c r="AA107" i="29" a="1"/>
  <c r="AA107" i="29" s="1"/>
  <c r="AK54" i="75"/>
  <c r="AA77" i="95" a="1"/>
  <c r="AA77" i="95" s="1"/>
  <c r="AA79" i="95" a="1"/>
  <c r="AA79" i="95" s="1"/>
  <c r="AA76" i="95" a="1"/>
  <c r="AA76" i="95" s="1"/>
  <c r="AA75" i="95" a="1"/>
  <c r="AA75" i="95" s="1"/>
  <c r="AK39" i="95"/>
  <c r="AA78" i="95" a="1"/>
  <c r="AA78" i="95" s="1"/>
  <c r="AA101" i="95" a="1"/>
  <c r="AA101" i="95" s="1"/>
  <c r="AK18" i="95"/>
  <c r="AA97" i="95" a="1"/>
  <c r="AA97" i="95" s="1"/>
  <c r="AA100" i="95" a="1"/>
  <c r="AA100" i="95" s="1"/>
  <c r="AA99" i="95" a="1"/>
  <c r="AA99" i="95" s="1"/>
  <c r="AA98" i="95" a="1"/>
  <c r="AA98" i="95" s="1"/>
  <c r="AA58" i="95" a="1"/>
  <c r="AA58" i="95" s="1"/>
  <c r="AA59" i="95" a="1"/>
  <c r="AA59" i="95" s="1"/>
  <c r="AA55" i="95" a="1"/>
  <c r="AA55" i="95" s="1"/>
  <c r="AA56" i="95" a="1"/>
  <c r="AA56" i="95" s="1"/>
  <c r="AK19" i="95"/>
  <c r="AA57" i="95" a="1"/>
  <c r="AA57" i="95" s="1"/>
  <c r="AA103" i="95" a="1"/>
  <c r="AA103" i="95" s="1"/>
  <c r="AA105" i="95" a="1"/>
  <c r="AA105" i="95" s="1"/>
  <c r="AA102" i="95" a="1"/>
  <c r="AA102" i="95" s="1"/>
  <c r="AA106" i="95" a="1"/>
  <c r="AA106" i="95" s="1"/>
  <c r="AK40" i="95"/>
  <c r="AA104" i="95" a="1"/>
  <c r="AA104" i="95" s="1"/>
  <c r="AK41" i="95"/>
  <c r="AK14" i="95"/>
  <c r="AK13" i="95"/>
  <c r="AA91" i="95" a="1"/>
  <c r="AA91" i="95" s="1"/>
  <c r="AA89" i="95" a="1"/>
  <c r="AA89" i="95" s="1"/>
  <c r="AA87" i="95" a="1"/>
  <c r="AA87" i="95" s="1"/>
  <c r="AA90" i="95" a="1"/>
  <c r="AA90" i="95" s="1"/>
  <c r="AA88" i="95" a="1"/>
  <c r="AA88" i="95" s="1"/>
  <c r="P191" i="95"/>
  <c r="AJ54" i="95" s="1"/>
  <c r="AA72" i="95" a="1"/>
  <c r="AA72" i="95" s="1"/>
  <c r="AA70" i="95" a="1"/>
  <c r="AA70" i="95" s="1"/>
  <c r="AA73" i="95" a="1"/>
  <c r="AA73" i="95" s="1"/>
  <c r="AA71" i="95" a="1"/>
  <c r="AA71" i="95" s="1"/>
  <c r="AA74" i="95" a="1"/>
  <c r="AA74" i="95" s="1"/>
  <c r="AK34" i="95"/>
  <c r="AA67" i="95" a="1"/>
  <c r="AA67" i="95" s="1"/>
  <c r="AK33" i="95"/>
  <c r="AA68" i="95" a="1"/>
  <c r="AA68" i="95" s="1"/>
  <c r="AA65" i="95" a="1"/>
  <c r="AA65" i="95" s="1"/>
  <c r="AA69" i="95" a="1"/>
  <c r="AA69" i="95" s="1"/>
  <c r="AA66" i="95" a="1"/>
  <c r="AA66" i="95" s="1"/>
  <c r="V33" i="95"/>
  <c r="B22" i="95" s="1"/>
  <c r="Y80" i="95"/>
  <c r="AA80" i="95" s="1" a="1"/>
  <c r="AA80" i="95" s="1"/>
  <c r="AK9" i="95"/>
  <c r="AK16" i="95"/>
  <c r="AA95" i="95" a="1"/>
  <c r="AA95" i="95" s="1"/>
  <c r="AA93" i="95" a="1"/>
  <c r="AA93" i="95" s="1"/>
  <c r="AA96" i="95" a="1"/>
  <c r="AA96" i="95" s="1"/>
  <c r="AA94" i="95" a="1"/>
  <c r="AA94" i="95" s="1"/>
  <c r="AA92" i="95" a="1"/>
  <c r="AA92" i="95" s="1"/>
  <c r="Y81" i="95"/>
  <c r="AA81" i="95" s="1" a="1"/>
  <c r="AA81" i="95" s="1"/>
  <c r="V31" i="95"/>
  <c r="B20" i="95" s="1"/>
  <c r="AJ55" i="95"/>
  <c r="AD134" i="95" a="1"/>
  <c r="AC134" i="95" a="1"/>
  <c r="AA52" i="95" a="1"/>
  <c r="AA52" i="95" s="1"/>
  <c r="AA49" i="95" a="1"/>
  <c r="AA49" i="95" s="1"/>
  <c r="AA53" i="95" a="1"/>
  <c r="AA53" i="95" s="1"/>
  <c r="AA50" i="95" a="1"/>
  <c r="AA50" i="95" s="1"/>
  <c r="AK6" i="95"/>
  <c r="AA51" i="95" a="1"/>
  <c r="AA51" i="95" s="1"/>
  <c r="AK44" i="95"/>
  <c r="AA64" i="95" a="1"/>
  <c r="AA64" i="95" s="1"/>
  <c r="AA61" i="95" a="1"/>
  <c r="AA61" i="95" s="1"/>
  <c r="AA62" i="95" a="1"/>
  <c r="AA62" i="95" s="1"/>
  <c r="AA60" i="95" a="1"/>
  <c r="AA60" i="95" s="1"/>
  <c r="AK30" i="95"/>
  <c r="AA63" i="95" a="1"/>
  <c r="AA63" i="95" s="1"/>
  <c r="AK53" i="95"/>
  <c r="AA44" i="95" a="1"/>
  <c r="AA44" i="95" s="1"/>
  <c r="AA45" i="95" a="1"/>
  <c r="AA45" i="95" s="1"/>
  <c r="AA46" i="95" a="1"/>
  <c r="AA46" i="95" s="1"/>
  <c r="AK4" i="95"/>
  <c r="AA47" i="95" a="1"/>
  <c r="AA47" i="95" s="1"/>
  <c r="AA48" i="95" a="1"/>
  <c r="AA48" i="95" s="1"/>
  <c r="AJ57" i="95"/>
  <c r="AK57" i="95" s="1"/>
  <c r="B54" i="95"/>
  <c r="B55" i="95"/>
  <c r="AK5" i="95"/>
  <c r="F244" i="94" a="1"/>
  <c r="F244" i="94" s="1"/>
  <c r="B365" i="94" s="1"/>
  <c r="AA3" i="94"/>
  <c r="O9" i="94"/>
  <c r="AK47" i="94"/>
  <c r="AA87" i="77" a="1"/>
  <c r="AA87" i="77" s="1"/>
  <c r="AA62" i="76" a="1"/>
  <c r="AA62" i="76" s="1"/>
  <c r="AA60" i="76" a="1"/>
  <c r="AA60" i="76" s="1"/>
  <c r="AA76" i="73" a="1"/>
  <c r="AA76" i="73" s="1"/>
  <c r="AK30" i="76"/>
  <c r="AA88" i="77" a="1"/>
  <c r="AA88" i="77" s="1"/>
  <c r="AA61" i="76" a="1"/>
  <c r="AA61" i="76" s="1"/>
  <c r="AA79" i="73" a="1"/>
  <c r="AA79" i="73" s="1"/>
  <c r="AK13" i="77"/>
  <c r="AA90" i="77" a="1"/>
  <c r="AA90" i="77" s="1"/>
  <c r="AA108" i="94" a="1"/>
  <c r="AA108" i="94" s="1"/>
  <c r="AA110" i="94" a="1"/>
  <c r="AA110" i="94" s="1"/>
  <c r="AA107" i="94" a="1"/>
  <c r="AA107" i="94" s="1"/>
  <c r="AA109" i="94" a="1"/>
  <c r="AA109" i="94" s="1"/>
  <c r="AA111" i="94" a="1"/>
  <c r="AA111" i="94" s="1"/>
  <c r="AK54" i="94"/>
  <c r="AA103" i="94" a="1"/>
  <c r="AA103" i="94" s="1"/>
  <c r="AA105" i="94" a="1"/>
  <c r="AA105" i="94" s="1"/>
  <c r="AA102" i="94" a="1"/>
  <c r="AA102" i="94" s="1"/>
  <c r="AA106" i="94" a="1"/>
  <c r="AA106" i="94" s="1"/>
  <c r="AA104" i="94" a="1"/>
  <c r="AA104" i="94" s="1"/>
  <c r="AK40" i="94"/>
  <c r="AA101" i="94" a="1"/>
  <c r="AA101" i="94" s="1"/>
  <c r="AK18" i="94"/>
  <c r="AA97" i="94" a="1"/>
  <c r="AA97" i="94" s="1"/>
  <c r="AA100" i="94" a="1"/>
  <c r="AA100" i="94" s="1"/>
  <c r="AA99" i="94" a="1"/>
  <c r="AA99" i="94" s="1"/>
  <c r="AA98" i="94" a="1"/>
  <c r="AA98" i="94" s="1"/>
  <c r="AA77" i="94" a="1"/>
  <c r="AA77" i="94" s="1"/>
  <c r="AA79" i="94" a="1"/>
  <c r="AA79" i="94" s="1"/>
  <c r="AA76" i="94" a="1"/>
  <c r="AA76" i="94" s="1"/>
  <c r="AA75" i="94" a="1"/>
  <c r="AA75" i="94" s="1"/>
  <c r="AK39" i="94"/>
  <c r="AA78" i="94" a="1"/>
  <c r="AA78" i="94" s="1"/>
  <c r="AA58" i="94" a="1"/>
  <c r="AA58" i="94" s="1"/>
  <c r="AA59" i="94" a="1"/>
  <c r="AA59" i="94" s="1"/>
  <c r="AA55" i="94" a="1"/>
  <c r="AA55" i="94" s="1"/>
  <c r="AA56" i="94" a="1"/>
  <c r="AA56" i="94" s="1"/>
  <c r="AK19" i="94"/>
  <c r="AA57" i="94" a="1"/>
  <c r="AA57" i="94" s="1"/>
  <c r="AK16" i="94"/>
  <c r="AA95" i="94" a="1"/>
  <c r="AA95" i="94" s="1"/>
  <c r="AA93" i="94" a="1"/>
  <c r="AA93" i="94" s="1"/>
  <c r="AA96" i="94" a="1"/>
  <c r="AA96" i="94" s="1"/>
  <c r="AA94" i="94" a="1"/>
  <c r="AA94" i="94" s="1"/>
  <c r="AA92" i="94" a="1"/>
  <c r="AA92" i="94" s="1"/>
  <c r="P187" i="94"/>
  <c r="AJ13" i="94" s="1"/>
  <c r="AA44" i="94" a="1"/>
  <c r="AA44" i="94" s="1"/>
  <c r="AA45" i="94" a="1"/>
  <c r="AA45" i="94" s="1"/>
  <c r="AA46" i="94" a="1"/>
  <c r="AA46" i="94" s="1"/>
  <c r="AK4" i="94"/>
  <c r="AA47" i="94" a="1"/>
  <c r="AA47" i="94" s="1"/>
  <c r="AA48" i="94" a="1"/>
  <c r="AA48" i="94" s="1"/>
  <c r="AK41" i="94"/>
  <c r="AK14" i="94"/>
  <c r="AA72" i="94" a="1"/>
  <c r="AA72" i="94" s="1"/>
  <c r="AA70" i="94" a="1"/>
  <c r="AA70" i="94" s="1"/>
  <c r="AA73" i="94" a="1"/>
  <c r="AA73" i="94" s="1"/>
  <c r="AA71" i="94" a="1"/>
  <c r="AA71" i="94" s="1"/>
  <c r="AA74" i="94" a="1"/>
  <c r="AA74" i="94" s="1"/>
  <c r="AK34" i="94"/>
  <c r="Y81" i="94"/>
  <c r="AA81" i="94" s="1" a="1"/>
  <c r="AA81" i="94" s="1"/>
  <c r="V31" i="94"/>
  <c r="B20" i="94" s="1"/>
  <c r="AA67" i="94" a="1"/>
  <c r="AA67" i="94" s="1"/>
  <c r="AK33" i="94"/>
  <c r="AA68" i="94" a="1"/>
  <c r="AA68" i="94" s="1"/>
  <c r="AA65" i="94" a="1"/>
  <c r="AA65" i="94" s="1"/>
  <c r="AA69" i="94" a="1"/>
  <c r="AA69" i="94" s="1"/>
  <c r="AA66" i="94" a="1"/>
  <c r="AA66" i="94" s="1"/>
  <c r="AJ57" i="94"/>
  <c r="AK57" i="94" s="1"/>
  <c r="B54" i="94"/>
  <c r="B55" i="94"/>
  <c r="AK9" i="94"/>
  <c r="AA52" i="94" a="1"/>
  <c r="AA52" i="94" s="1"/>
  <c r="AA49" i="94" a="1"/>
  <c r="AA49" i="94" s="1"/>
  <c r="AA53" i="94" a="1"/>
  <c r="AA53" i="94" s="1"/>
  <c r="AA50" i="94" a="1"/>
  <c r="AA50" i="94" s="1"/>
  <c r="AK6" i="94"/>
  <c r="AA51" i="94" a="1"/>
  <c r="AA51" i="94" s="1"/>
  <c r="AK55" i="94"/>
  <c r="AK5" i="94"/>
  <c r="AK44" i="94"/>
  <c r="AA64" i="94" a="1"/>
  <c r="AA64" i="94" s="1"/>
  <c r="AA61" i="94" a="1"/>
  <c r="AA61" i="94" s="1"/>
  <c r="AA62" i="94" a="1"/>
  <c r="AA62" i="94" s="1"/>
  <c r="AA60" i="94" a="1"/>
  <c r="AA60" i="94" s="1"/>
  <c r="AK30" i="94"/>
  <c r="AA63" i="94" a="1"/>
  <c r="AA63" i="94" s="1"/>
  <c r="AK53" i="94"/>
  <c r="AD134" i="94" a="1"/>
  <c r="AD134" i="94" s="1"/>
  <c r="B197" i="94" s="1"/>
  <c r="AC134" i="94" a="1"/>
  <c r="AC134" i="94" s="1"/>
  <c r="AJ57" i="93"/>
  <c r="AK57" i="93" s="1"/>
  <c r="B54" i="93"/>
  <c r="B55" i="93"/>
  <c r="AA103" i="93" a="1"/>
  <c r="AA103" i="93" s="1"/>
  <c r="O8" i="93"/>
  <c r="O12" i="93"/>
  <c r="O9" i="93"/>
  <c r="O11" i="93"/>
  <c r="AC134" i="93" a="1"/>
  <c r="AJ58" i="93"/>
  <c r="B18" i="93"/>
  <c r="AK34" i="93"/>
  <c r="AA71" i="93" a="1"/>
  <c r="AA71" i="93" s="1"/>
  <c r="AA59" i="93" a="1"/>
  <c r="AA59" i="93" s="1"/>
  <c r="AA55" i="93" a="1"/>
  <c r="AA55" i="93" s="1"/>
  <c r="AA58" i="93" a="1"/>
  <c r="AA58" i="93" s="1"/>
  <c r="AA57" i="93" a="1"/>
  <c r="AA57" i="93" s="1"/>
  <c r="AK19" i="93"/>
  <c r="AA56" i="93" a="1"/>
  <c r="AA56" i="93" s="1"/>
  <c r="AA49" i="93" a="1"/>
  <c r="AA49" i="93" s="1"/>
  <c r="AA53" i="93" a="1"/>
  <c r="AA53" i="93" s="1"/>
  <c r="AA50" i="93" a="1"/>
  <c r="AA50" i="93" s="1"/>
  <c r="AA51" i="93" a="1"/>
  <c r="AA51" i="93" s="1"/>
  <c r="AK6" i="93"/>
  <c r="AA52" i="93" a="1"/>
  <c r="AA52" i="93" s="1"/>
  <c r="B22" i="93"/>
  <c r="AK47" i="93"/>
  <c r="AK40" i="93"/>
  <c r="AD134" i="93" a="1"/>
  <c r="AA104" i="93" a="1"/>
  <c r="AA104" i="93" s="1"/>
  <c r="AK53" i="93"/>
  <c r="AA74" i="93" a="1"/>
  <c r="AA74" i="93" s="1"/>
  <c r="AA102" i="93" a="1"/>
  <c r="AA102" i="93" s="1"/>
  <c r="AK14" i="93"/>
  <c r="AA106" i="93" a="1"/>
  <c r="AA106" i="93" s="1"/>
  <c r="AA44" i="29" a="1"/>
  <c r="AA44" i="29" s="1"/>
  <c r="AA58" i="29" a="1"/>
  <c r="AA58" i="29" s="1"/>
  <c r="AA53" i="77" a="1"/>
  <c r="AA53" i="77" s="1"/>
  <c r="AK6" i="77"/>
  <c r="AA52" i="77" a="1"/>
  <c r="AA52" i="77" s="1"/>
  <c r="AA68" i="77" a="1"/>
  <c r="AA68" i="77" s="1"/>
  <c r="AA50" i="29" a="1"/>
  <c r="AA50" i="29" s="1"/>
  <c r="AA66" i="77" a="1"/>
  <c r="AA66" i="77" s="1"/>
  <c r="AA108" i="93" a="1"/>
  <c r="AA108" i="93" s="1"/>
  <c r="AA110" i="93" a="1"/>
  <c r="AA110" i="93" s="1"/>
  <c r="AA107" i="93" a="1"/>
  <c r="AA107" i="93" s="1"/>
  <c r="AA109" i="93" a="1"/>
  <c r="AA109" i="93" s="1"/>
  <c r="AK54" i="93"/>
  <c r="AA111" i="93" a="1"/>
  <c r="AA111" i="93" s="1"/>
  <c r="AA101" i="93" a="1"/>
  <c r="AA101" i="93" s="1"/>
  <c r="AK18" i="93"/>
  <c r="AA97" i="93" a="1"/>
  <c r="AA97" i="93" s="1"/>
  <c r="AA100" i="93" a="1"/>
  <c r="AA100" i="93" s="1"/>
  <c r="AA98" i="93" a="1"/>
  <c r="AA98" i="93" s="1"/>
  <c r="AA99" i="93" a="1"/>
  <c r="AA99" i="93" s="1"/>
  <c r="AA77" i="93" a="1"/>
  <c r="AA77" i="93" s="1"/>
  <c r="AA79" i="93" a="1"/>
  <c r="AA79" i="93" s="1"/>
  <c r="AA76" i="93" a="1"/>
  <c r="AA76" i="93" s="1"/>
  <c r="AA75" i="93" a="1"/>
  <c r="AA75" i="93" s="1"/>
  <c r="AK39" i="93"/>
  <c r="AA78" i="93" a="1"/>
  <c r="AA78" i="93" s="1"/>
  <c r="AK13" i="93"/>
  <c r="AA91" i="93" a="1"/>
  <c r="AA91" i="93" s="1"/>
  <c r="AA89" i="93" a="1"/>
  <c r="AA89" i="93" s="1"/>
  <c r="AA87" i="93" a="1"/>
  <c r="AA87" i="93" s="1"/>
  <c r="AA90" i="93" a="1"/>
  <c r="AA90" i="93" s="1"/>
  <c r="AA88" i="93" a="1"/>
  <c r="AA88" i="93" s="1"/>
  <c r="AF2" i="93"/>
  <c r="B145" i="93" s="1"/>
  <c r="AD2" i="93"/>
  <c r="B115" i="93" s="1"/>
  <c r="AK41" i="93"/>
  <c r="AJ31" i="93"/>
  <c r="AK31" i="93" s="1"/>
  <c r="B24" i="93"/>
  <c r="AK33" i="93"/>
  <c r="AA68" i="93" a="1"/>
  <c r="AA68" i="93" s="1"/>
  <c r="AA65" i="93" a="1"/>
  <c r="AA65" i="93" s="1"/>
  <c r="AA66" i="93" a="1"/>
  <c r="AA66" i="93" s="1"/>
  <c r="AA69" i="93" a="1"/>
  <c r="AA69" i="93" s="1"/>
  <c r="AA67" i="93" a="1"/>
  <c r="AA67" i="93" s="1"/>
  <c r="Y81" i="93"/>
  <c r="AA81" i="93" s="1" a="1"/>
  <c r="AA81" i="93" s="1"/>
  <c r="V31" i="93"/>
  <c r="AJ55" i="93"/>
  <c r="AK9" i="93"/>
  <c r="AA64" i="93" a="1"/>
  <c r="AA64" i="93" s="1"/>
  <c r="AA61" i="93" a="1"/>
  <c r="AA61" i="93" s="1"/>
  <c r="AA62" i="93" a="1"/>
  <c r="AA62" i="93" s="1"/>
  <c r="AA63" i="93" a="1"/>
  <c r="AA63" i="93" s="1"/>
  <c r="AK30" i="93"/>
  <c r="AA60" i="93" a="1"/>
  <c r="AA60" i="93" s="1"/>
  <c r="AK16" i="93"/>
  <c r="AA95" i="93" a="1"/>
  <c r="AA95" i="93" s="1"/>
  <c r="AA93" i="93" a="1"/>
  <c r="AA93" i="93" s="1"/>
  <c r="AA96" i="93" a="1"/>
  <c r="AA96" i="93" s="1"/>
  <c r="AA94" i="93" a="1"/>
  <c r="AA94" i="93" s="1"/>
  <c r="AA92" i="93" a="1"/>
  <c r="AA92" i="93" s="1"/>
  <c r="AA44" i="93" a="1"/>
  <c r="AA44" i="93" s="1"/>
  <c r="AA45" i="93" a="1"/>
  <c r="AA45" i="93" s="1"/>
  <c r="AA46" i="93" a="1"/>
  <c r="AA46" i="93" s="1"/>
  <c r="AK4" i="93"/>
  <c r="AA48" i="93" a="1"/>
  <c r="AA48" i="93" s="1"/>
  <c r="AA47" i="93" a="1"/>
  <c r="AA47" i="93" s="1"/>
  <c r="AK17" i="93"/>
  <c r="AE156" i="90"/>
  <c r="AA6" i="92"/>
  <c r="AC2" i="92" s="1" a="1"/>
  <c r="AJ38" i="92"/>
  <c r="AK38" i="92" s="1"/>
  <c r="AK7" i="92"/>
  <c r="AJ9" i="92"/>
  <c r="AK9" i="92" s="1"/>
  <c r="AK58" i="92"/>
  <c r="V33" i="92"/>
  <c r="Y80" i="92"/>
  <c r="AA80" i="92" s="1" a="1"/>
  <c r="AA80" i="92" s="1"/>
  <c r="AA94" i="75" a="1"/>
  <c r="AA94" i="75" s="1"/>
  <c r="AA96" i="75" a="1"/>
  <c r="AA96" i="75" s="1"/>
  <c r="AA88" i="76" a="1"/>
  <c r="AA88" i="76" s="1"/>
  <c r="O12" i="92"/>
  <c r="O10" i="92"/>
  <c r="O8" i="92"/>
  <c r="O11" i="92"/>
  <c r="AA64" i="92" a="1"/>
  <c r="AA64" i="92" s="1"/>
  <c r="AA61" i="92" a="1"/>
  <c r="AA61" i="92" s="1"/>
  <c r="AK30" i="92"/>
  <c r="AA62" i="92" a="1"/>
  <c r="AA62" i="92" s="1"/>
  <c r="AA60" i="92" a="1"/>
  <c r="AA60" i="92" s="1"/>
  <c r="AA63" i="92" a="1"/>
  <c r="AA63" i="92" s="1"/>
  <c r="AA44" i="92" a="1"/>
  <c r="AA44" i="92" s="1"/>
  <c r="AA45" i="92" a="1"/>
  <c r="AA45" i="92" s="1"/>
  <c r="AK4" i="92"/>
  <c r="AA48" i="92" a="1"/>
  <c r="AA48" i="92" s="1"/>
  <c r="AA46" i="92" a="1"/>
  <c r="AA46" i="92" s="1"/>
  <c r="AA47" i="92" a="1"/>
  <c r="AA47" i="92" s="1"/>
  <c r="AD134" i="92" a="1"/>
  <c r="AC134" i="92" a="1"/>
  <c r="AA52" i="92" a="1"/>
  <c r="AA52" i="92" s="1"/>
  <c r="AA49" i="92" a="1"/>
  <c r="AA49" i="92" s="1"/>
  <c r="AA53" i="92" a="1"/>
  <c r="AA53" i="92" s="1"/>
  <c r="AA50" i="92" a="1"/>
  <c r="AA50" i="92" s="1"/>
  <c r="AK6" i="92"/>
  <c r="AA51" i="92" a="1"/>
  <c r="AA51" i="92" s="1"/>
  <c r="AA101" i="92" a="1"/>
  <c r="AA101" i="92" s="1"/>
  <c r="AK18" i="92"/>
  <c r="AA97" i="92" a="1"/>
  <c r="AA97" i="92" s="1"/>
  <c r="AA100" i="92" a="1"/>
  <c r="AA100" i="92" s="1"/>
  <c r="AA98" i="92" a="1"/>
  <c r="AA98" i="92" s="1"/>
  <c r="AA99" i="92" a="1"/>
  <c r="AA99" i="92" s="1"/>
  <c r="AA58" i="92" a="1"/>
  <c r="AA58" i="92" s="1"/>
  <c r="AA59" i="92" a="1"/>
  <c r="AA59" i="92" s="1"/>
  <c r="AA57" i="92" a="1"/>
  <c r="AA57" i="92" s="1"/>
  <c r="AA55" i="92" a="1"/>
  <c r="AA55" i="92" s="1"/>
  <c r="AK19" i="92"/>
  <c r="AA56" i="92" a="1"/>
  <c r="AA56" i="92" s="1"/>
  <c r="AK44" i="92"/>
  <c r="AA72" i="92" a="1"/>
  <c r="AA72" i="92" s="1"/>
  <c r="AA70" i="92" a="1"/>
  <c r="AA70" i="92" s="1"/>
  <c r="AA73" i="92" a="1"/>
  <c r="AA73" i="92" s="1"/>
  <c r="AA74" i="92" a="1"/>
  <c r="AA74" i="92" s="1"/>
  <c r="AA71" i="92" a="1"/>
  <c r="AA71" i="92" s="1"/>
  <c r="AK34" i="92"/>
  <c r="AK53" i="92"/>
  <c r="AJ57" i="92"/>
  <c r="AK57" i="92" s="1"/>
  <c r="B54" i="92"/>
  <c r="B55" i="92"/>
  <c r="AK41" i="92"/>
  <c r="P187" i="92"/>
  <c r="AJ13" i="92" s="1"/>
  <c r="AA108" i="92" a="1"/>
  <c r="AA108" i="92" s="1"/>
  <c r="AA110" i="92" a="1"/>
  <c r="AA110" i="92" s="1"/>
  <c r="AA107" i="92" a="1"/>
  <c r="AA107" i="92" s="1"/>
  <c r="AK54" i="92"/>
  <c r="AA109" i="92" a="1"/>
  <c r="AA109" i="92" s="1"/>
  <c r="AA111" i="92" a="1"/>
  <c r="AA111" i="92" s="1"/>
  <c r="Y81" i="92"/>
  <c r="AA81" i="92" s="1" a="1"/>
  <c r="AA81" i="92" s="1"/>
  <c r="V31" i="92"/>
  <c r="AA67" i="92" a="1"/>
  <c r="AA67" i="92" s="1"/>
  <c r="AK33" i="92"/>
  <c r="AA68" i="92" a="1"/>
  <c r="AA68" i="92" s="1"/>
  <c r="AA65" i="92" a="1"/>
  <c r="AA65" i="92" s="1"/>
  <c r="AA66" i="92" a="1"/>
  <c r="AA66" i="92" s="1"/>
  <c r="AA69" i="92" a="1"/>
  <c r="AA69" i="92" s="1"/>
  <c r="O9" i="92"/>
  <c r="AA77" i="92" a="1"/>
  <c r="AA77" i="92" s="1"/>
  <c r="AA79" i="92" a="1"/>
  <c r="AA79" i="92" s="1"/>
  <c r="AA76" i="92" a="1"/>
  <c r="AA76" i="92" s="1"/>
  <c r="AA75" i="92" a="1"/>
  <c r="AA75" i="92" s="1"/>
  <c r="AK39" i="92"/>
  <c r="AA78" i="92" a="1"/>
  <c r="AA78" i="92" s="1"/>
  <c r="AK14" i="92"/>
  <c r="AK16" i="92"/>
  <c r="AA95" i="92" a="1"/>
  <c r="AA95" i="92" s="1"/>
  <c r="AA93" i="92" a="1"/>
  <c r="AA93" i="92" s="1"/>
  <c r="AA92" i="92" a="1"/>
  <c r="AA92" i="92" s="1"/>
  <c r="AA94" i="92" a="1"/>
  <c r="AA94" i="92" s="1"/>
  <c r="AA96" i="92" a="1"/>
  <c r="AA96" i="92" s="1"/>
  <c r="AK55" i="92"/>
  <c r="AA103" i="92" a="1"/>
  <c r="AA103" i="92" s="1"/>
  <c r="AA105" i="92" a="1"/>
  <c r="AA105" i="92" s="1"/>
  <c r="AA104" i="92" a="1"/>
  <c r="AA104" i="92" s="1"/>
  <c r="AA106" i="92" a="1"/>
  <c r="AA106" i="92" s="1"/>
  <c r="AK40" i="92"/>
  <c r="AA102" i="92" a="1"/>
  <c r="AA102" i="92" s="1"/>
  <c r="B55" i="91"/>
  <c r="AJ57" i="91"/>
  <c r="AK57" i="91" s="1"/>
  <c r="B54" i="91"/>
  <c r="AK7" i="91"/>
  <c r="AJ9" i="91"/>
  <c r="AK9" i="91" s="1"/>
  <c r="AA102" i="88" a="1"/>
  <c r="AA102" i="88" s="1"/>
  <c r="AA103" i="29" a="1"/>
  <c r="AA103" i="29" s="1"/>
  <c r="AA55" i="29" a="1"/>
  <c r="AA55" i="29" s="1"/>
  <c r="AA106" i="29" a="1"/>
  <c r="AA106" i="29" s="1"/>
  <c r="AA59" i="29" a="1"/>
  <c r="AA59" i="29" s="1"/>
  <c r="AA108" i="91" a="1"/>
  <c r="AA108" i="91" s="1"/>
  <c r="AA110" i="91" a="1"/>
  <c r="AA110" i="91" s="1"/>
  <c r="AA107" i="91" a="1"/>
  <c r="AA107" i="91" s="1"/>
  <c r="AA111" i="91" a="1"/>
  <c r="AA111" i="91" s="1"/>
  <c r="AK54" i="91"/>
  <c r="AA109" i="91" a="1"/>
  <c r="AA109" i="91" s="1"/>
  <c r="AK16" i="91"/>
  <c r="AA93" i="91" a="1"/>
  <c r="AA93" i="91" s="1"/>
  <c r="AA95" i="91" a="1"/>
  <c r="AA95" i="91" s="1"/>
  <c r="AA92" i="91" a="1"/>
  <c r="AA92" i="91" s="1"/>
  <c r="AA94" i="91" a="1"/>
  <c r="AA94" i="91" s="1"/>
  <c r="AA96" i="91" a="1"/>
  <c r="AA96" i="91" s="1"/>
  <c r="AA64" i="91" a="1"/>
  <c r="AA64" i="91" s="1"/>
  <c r="AA61" i="91" a="1"/>
  <c r="AA61" i="91" s="1"/>
  <c r="AA62" i="91" a="1"/>
  <c r="AA62" i="91" s="1"/>
  <c r="AK30" i="91"/>
  <c r="AA60" i="91" a="1"/>
  <c r="AA60" i="91" s="1"/>
  <c r="AA63" i="91" a="1"/>
  <c r="AA63" i="91" s="1"/>
  <c r="O10" i="91"/>
  <c r="O8" i="91"/>
  <c r="O12" i="91"/>
  <c r="O11" i="91"/>
  <c r="AA72" i="91" a="1"/>
  <c r="AA72" i="91" s="1"/>
  <c r="AA70" i="91" a="1"/>
  <c r="AA70" i="91" s="1"/>
  <c r="AA73" i="91" a="1"/>
  <c r="AA73" i="91" s="1"/>
  <c r="AA74" i="91" a="1"/>
  <c r="AA74" i="91" s="1"/>
  <c r="AA71" i="91" a="1"/>
  <c r="AA71" i="91" s="1"/>
  <c r="AK34" i="91"/>
  <c r="AA52" i="91" a="1"/>
  <c r="AA52" i="91" s="1"/>
  <c r="AA49" i="91" a="1"/>
  <c r="AA49" i="91" s="1"/>
  <c r="AA53" i="91" a="1"/>
  <c r="AA53" i="91" s="1"/>
  <c r="AA50" i="91" a="1"/>
  <c r="AA50" i="91" s="1"/>
  <c r="AK6" i="91"/>
  <c r="AA51" i="91" a="1"/>
  <c r="AA51" i="91" s="1"/>
  <c r="AK53" i="91"/>
  <c r="V33" i="91"/>
  <c r="Y80" i="91"/>
  <c r="AJ41" i="91"/>
  <c r="AK13" i="91"/>
  <c r="AA88" i="91" a="1"/>
  <c r="AA88" i="91" s="1"/>
  <c r="AA90" i="91" a="1"/>
  <c r="AA90" i="91" s="1"/>
  <c r="AA87" i="91" a="1"/>
  <c r="AA87" i="91" s="1"/>
  <c r="AA89" i="91" a="1"/>
  <c r="AA89" i="91" s="1"/>
  <c r="AA91" i="91" a="1"/>
  <c r="AA91" i="91" s="1"/>
  <c r="Y81" i="91"/>
  <c r="AA81" i="91" s="1" a="1"/>
  <c r="AA81" i="91" s="1"/>
  <c r="V31" i="91"/>
  <c r="B20" i="91" s="1"/>
  <c r="AJ55" i="91"/>
  <c r="AK44" i="91"/>
  <c r="AK5" i="91"/>
  <c r="AA44" i="91" a="1"/>
  <c r="AA44" i="91" s="1"/>
  <c r="AA45" i="91" a="1"/>
  <c r="AA45" i="91" s="1"/>
  <c r="AK4" i="91"/>
  <c r="AA46" i="91" a="1"/>
  <c r="AA46" i="91" s="1"/>
  <c r="AA47" i="91" a="1"/>
  <c r="AA47" i="91" s="1"/>
  <c r="AA48" i="91" a="1"/>
  <c r="AA48" i="91" s="1"/>
  <c r="AA101" i="91" a="1"/>
  <c r="AA101" i="91" s="1"/>
  <c r="AK18" i="91"/>
  <c r="AA98" i="91" a="1"/>
  <c r="AA98" i="91" s="1"/>
  <c r="AA97" i="91" a="1"/>
  <c r="AA97" i="91" s="1"/>
  <c r="AA100" i="91" a="1"/>
  <c r="AA100" i="91" s="1"/>
  <c r="AA99" i="91" a="1"/>
  <c r="AA99" i="91" s="1"/>
  <c r="AA58" i="91" a="1"/>
  <c r="AA58" i="91" s="1"/>
  <c r="AA59" i="91" a="1"/>
  <c r="AA59" i="91" s="1"/>
  <c r="AA55" i="91" a="1"/>
  <c r="AA55" i="91" s="1"/>
  <c r="AK19" i="91"/>
  <c r="AA56" i="91" a="1"/>
  <c r="AA56" i="91" s="1"/>
  <c r="AA57" i="91" a="1"/>
  <c r="AA57" i="91" s="1"/>
  <c r="AA77" i="91" a="1"/>
  <c r="AA77" i="91" s="1"/>
  <c r="AA79" i="91" a="1"/>
  <c r="AA79" i="91" s="1"/>
  <c r="AA76" i="91" a="1"/>
  <c r="AA76" i="91" s="1"/>
  <c r="AA78" i="91" a="1"/>
  <c r="AA78" i="91" s="1"/>
  <c r="AK39" i="91"/>
  <c r="AA75" i="91" a="1"/>
  <c r="AA75" i="91" s="1"/>
  <c r="AA67" i="91" a="1"/>
  <c r="AA67" i="91" s="1"/>
  <c r="AK33" i="91"/>
  <c r="AA68" i="91" a="1"/>
  <c r="AA68" i="91" s="1"/>
  <c r="AA69" i="91" a="1"/>
  <c r="AA69" i="91" s="1"/>
  <c r="AA65" i="91" a="1"/>
  <c r="AA65" i="91" s="1"/>
  <c r="AA66" i="91" a="1"/>
  <c r="AA66" i="91" s="1"/>
  <c r="O9" i="91"/>
  <c r="AD134" i="91" a="1"/>
  <c r="AC134" i="91" a="1"/>
  <c r="AA103" i="91" a="1"/>
  <c r="AA103" i="91" s="1"/>
  <c r="AA105" i="91" a="1"/>
  <c r="AA105" i="91" s="1"/>
  <c r="AA102" i="91" a="1"/>
  <c r="AA102" i="91" s="1"/>
  <c r="AA106" i="91" a="1"/>
  <c r="AA106" i="91" s="1"/>
  <c r="AK40" i="91"/>
  <c r="AA104" i="91" a="1"/>
  <c r="AA104" i="91" s="1"/>
  <c r="AK14" i="91"/>
  <c r="AC2" i="90"/>
  <c r="AD2" i="90" s="1"/>
  <c r="B115" i="90" s="1"/>
  <c r="AF3" i="90"/>
  <c r="B146" i="90" s="1"/>
  <c r="AD3" i="90"/>
  <c r="B116" i="90" s="1"/>
  <c r="AF4" i="90"/>
  <c r="B147" i="90" s="1"/>
  <c r="AD4" i="90"/>
  <c r="B117" i="90" s="1"/>
  <c r="AK17" i="90"/>
  <c r="AA72" i="90" a="1"/>
  <c r="AA72" i="90" s="1"/>
  <c r="AA70" i="90" a="1"/>
  <c r="AA70" i="90" s="1"/>
  <c r="AA73" i="90" a="1"/>
  <c r="AA73" i="90" s="1"/>
  <c r="AA71" i="90" a="1"/>
  <c r="AA71" i="90" s="1"/>
  <c r="AA74" i="90" a="1"/>
  <c r="AA74" i="90" s="1"/>
  <c r="AK34" i="90"/>
  <c r="AK14" i="90"/>
  <c r="AA96" i="78" a="1"/>
  <c r="AA96" i="78" s="1"/>
  <c r="AA51" i="78" a="1"/>
  <c r="AA51" i="78" s="1"/>
  <c r="AA98" i="73" a="1"/>
  <c r="AA98" i="73" s="1"/>
  <c r="AA104" i="75" a="1"/>
  <c r="AA104" i="75" s="1"/>
  <c r="AA70" i="76" a="1"/>
  <c r="AA70" i="76" s="1"/>
  <c r="AK18" i="74"/>
  <c r="AK16" i="78"/>
  <c r="AA72" i="76" a="1"/>
  <c r="AA72" i="76" s="1"/>
  <c r="AK40" i="75"/>
  <c r="AA74" i="76" a="1"/>
  <c r="AA74" i="76" s="1"/>
  <c r="AK6" i="78"/>
  <c r="AA87" i="78" a="1"/>
  <c r="AA87" i="78" s="1"/>
  <c r="AK19" i="77"/>
  <c r="AA70" i="74" a="1"/>
  <c r="AA70" i="74" s="1"/>
  <c r="AA90" i="78" a="1"/>
  <c r="AA90" i="78" s="1"/>
  <c r="AA50" i="78" a="1"/>
  <c r="AA50" i="78" s="1"/>
  <c r="AA91" i="78" a="1"/>
  <c r="AA91" i="78" s="1"/>
  <c r="AA57" i="77" a="1"/>
  <c r="AA57" i="77" s="1"/>
  <c r="AA56" i="77" a="1"/>
  <c r="AA56" i="77" s="1"/>
  <c r="AA91" i="75" a="1"/>
  <c r="AA91" i="75" s="1"/>
  <c r="AK30" i="73"/>
  <c r="AA89" i="78" a="1"/>
  <c r="AA89" i="78" s="1"/>
  <c r="AK34" i="74"/>
  <c r="AA89" i="75" a="1"/>
  <c r="AA89" i="75" s="1"/>
  <c r="AA61" i="73" a="1"/>
  <c r="AA61" i="73" s="1"/>
  <c r="AA71" i="74" a="1"/>
  <c r="AA71" i="74" s="1"/>
  <c r="AA53" i="78" a="1"/>
  <c r="AA53" i="78" s="1"/>
  <c r="AA55" i="77" a="1"/>
  <c r="AA55" i="77" s="1"/>
  <c r="AA92" i="78" a="1"/>
  <c r="AA92" i="78" s="1"/>
  <c r="AA87" i="75" a="1"/>
  <c r="AA87" i="75" s="1"/>
  <c r="AA64" i="73" a="1"/>
  <c r="AA64" i="73" s="1"/>
  <c r="AA88" i="75" a="1"/>
  <c r="AA88" i="75" s="1"/>
  <c r="AA63" i="73" a="1"/>
  <c r="AA63" i="73" s="1"/>
  <c r="AA73" i="74" a="1"/>
  <c r="AA73" i="74" s="1"/>
  <c r="AA94" i="78" a="1"/>
  <c r="AA94" i="78" s="1"/>
  <c r="AA77" i="34" a="1"/>
  <c r="AA77" i="34" s="1"/>
  <c r="AC134" i="75" a="1"/>
  <c r="B181" i="75" s="1"/>
  <c r="AA77" i="73" a="1"/>
  <c r="AA77" i="73" s="1"/>
  <c r="AK40" i="88"/>
  <c r="AA105" i="88" a="1"/>
  <c r="AA105" i="88" s="1"/>
  <c r="Q12" i="68"/>
  <c r="R12" i="68" s="1"/>
  <c r="P12" i="68"/>
  <c r="AA53" i="75" a="1"/>
  <c r="AA53" i="75" s="1"/>
  <c r="AC2" i="83" a="1"/>
  <c r="AD11" i="83" s="1"/>
  <c r="B124" i="83" s="1"/>
  <c r="AA79" i="34" a="1"/>
  <c r="AA79" i="34" s="1"/>
  <c r="AA76" i="34" a="1"/>
  <c r="AA76" i="34" s="1"/>
  <c r="AD134" i="76" a="1"/>
  <c r="AD134" i="76" s="1"/>
  <c r="B197" i="76" s="1"/>
  <c r="L12" i="68"/>
  <c r="M12" i="68" s="1"/>
  <c r="K12" i="68"/>
  <c r="AA78" i="34" a="1"/>
  <c r="AA78" i="34" s="1"/>
  <c r="AK39" i="34"/>
  <c r="AC12" i="68"/>
  <c r="Y12" i="68"/>
  <c r="E3" i="69"/>
  <c r="V12" i="68"/>
  <c r="U12" i="68"/>
  <c r="AE156" i="84"/>
  <c r="AA110" i="77" a="1"/>
  <c r="AA110" i="77" s="1"/>
  <c r="AK33" i="73"/>
  <c r="AK40" i="76"/>
  <c r="AA96" i="77" a="1"/>
  <c r="AA96" i="77" s="1"/>
  <c r="AA95" i="77" a="1"/>
  <c r="AA95" i="77" s="1"/>
  <c r="AA68" i="73" a="1"/>
  <c r="AA68" i="73" s="1"/>
  <c r="AK13" i="76"/>
  <c r="AA67" i="73" a="1"/>
  <c r="AA67" i="73" s="1"/>
  <c r="AA75" i="73" a="1"/>
  <c r="AA75" i="73" s="1"/>
  <c r="AA102" i="76" a="1"/>
  <c r="AA102" i="76" s="1"/>
  <c r="AA106" i="76" a="1"/>
  <c r="AA106" i="76" s="1"/>
  <c r="AA62" i="74" a="1"/>
  <c r="AA62" i="74" s="1"/>
  <c r="AK4" i="77"/>
  <c r="AA90" i="76" a="1"/>
  <c r="AA90" i="76" s="1"/>
  <c r="AA45" i="77" a="1"/>
  <c r="AA45" i="77" s="1"/>
  <c r="AA94" i="77" a="1"/>
  <c r="AA94" i="77" s="1"/>
  <c r="AA89" i="76" a="1"/>
  <c r="AA89" i="76" s="1"/>
  <c r="AK54" i="77"/>
  <c r="AA47" i="77" a="1"/>
  <c r="AA47" i="77" s="1"/>
  <c r="AA93" i="75" a="1"/>
  <c r="AA93" i="75" s="1"/>
  <c r="AA47" i="73" a="1"/>
  <c r="AA47" i="73" s="1"/>
  <c r="AA63" i="74" a="1"/>
  <c r="AA63" i="74" s="1"/>
  <c r="AA56" i="29" a="1"/>
  <c r="AA56" i="29" s="1"/>
  <c r="AA95" i="75" a="1"/>
  <c r="AA95" i="75" s="1"/>
  <c r="AA111" i="77" a="1"/>
  <c r="AA111" i="77" s="1"/>
  <c r="AA46" i="73" a="1"/>
  <c r="AA46" i="73" s="1"/>
  <c r="AK30" i="74"/>
  <c r="AA46" i="77" a="1"/>
  <c r="AA46" i="77" s="1"/>
  <c r="AA92" i="74" a="1"/>
  <c r="AA92" i="74" s="1"/>
  <c r="AK4" i="73"/>
  <c r="AA64" i="90" a="1"/>
  <c r="AA64" i="90" s="1"/>
  <c r="AA61" i="90" a="1"/>
  <c r="AA61" i="90" s="1"/>
  <c r="AA62" i="90" a="1"/>
  <c r="AA62" i="90" s="1"/>
  <c r="AA60" i="90" a="1"/>
  <c r="AA60" i="90" s="1"/>
  <c r="AK30" i="90"/>
  <c r="AA63" i="90" a="1"/>
  <c r="AA63" i="90" s="1"/>
  <c r="AK13" i="90"/>
  <c r="AA91" i="90" a="1"/>
  <c r="AA91" i="90" s="1"/>
  <c r="AA89" i="90" a="1"/>
  <c r="AA89" i="90" s="1"/>
  <c r="AA87" i="90" a="1"/>
  <c r="AA87" i="90" s="1"/>
  <c r="AA90" i="90" a="1"/>
  <c r="AA90" i="90" s="1"/>
  <c r="AA88" i="90" a="1"/>
  <c r="AA88" i="90" s="1"/>
  <c r="AA101" i="90" a="1"/>
  <c r="AA101" i="90" s="1"/>
  <c r="AK18" i="90"/>
  <c r="AA97" i="90" a="1"/>
  <c r="AA97" i="90" s="1"/>
  <c r="AA100" i="90" a="1"/>
  <c r="AA100" i="90" s="1"/>
  <c r="AA99" i="90" a="1"/>
  <c r="AA99" i="90" s="1"/>
  <c r="AA98" i="90" a="1"/>
  <c r="AA98" i="90" s="1"/>
  <c r="AK55" i="90"/>
  <c r="AK16" i="90"/>
  <c r="AA95" i="90" a="1"/>
  <c r="AA95" i="90" s="1"/>
  <c r="AA93" i="90" a="1"/>
  <c r="AA93" i="90" s="1"/>
  <c r="AA96" i="90" a="1"/>
  <c r="AA96" i="90" s="1"/>
  <c r="AA94" i="90" a="1"/>
  <c r="AA94" i="90" s="1"/>
  <c r="AA92" i="90" a="1"/>
  <c r="AA92" i="90" s="1"/>
  <c r="AA52" i="90" a="1"/>
  <c r="AA52" i="90" s="1"/>
  <c r="AA49" i="90" a="1"/>
  <c r="AA49" i="90" s="1"/>
  <c r="AA53" i="90" a="1"/>
  <c r="AA53" i="90" s="1"/>
  <c r="AA50" i="90" a="1"/>
  <c r="AA50" i="90" s="1"/>
  <c r="AK6" i="90"/>
  <c r="AA51" i="90" a="1"/>
  <c r="AA51" i="90" s="1"/>
  <c r="P191" i="90"/>
  <c r="AJ54" i="90" s="1"/>
  <c r="AK44" i="90"/>
  <c r="O11" i="90"/>
  <c r="O8" i="90"/>
  <c r="O10" i="90"/>
  <c r="O12" i="90"/>
  <c r="AK9" i="90"/>
  <c r="V33" i="90"/>
  <c r="B22" i="90" s="1"/>
  <c r="Y80" i="90"/>
  <c r="AA104" i="90" a="1"/>
  <c r="AA104" i="90" s="1"/>
  <c r="AA103" i="90" a="1"/>
  <c r="AA103" i="90" s="1"/>
  <c r="AA105" i="90" a="1"/>
  <c r="AA105" i="90" s="1"/>
  <c r="AA102" i="90" a="1"/>
  <c r="AA102" i="90" s="1"/>
  <c r="AA106" i="90" a="1"/>
  <c r="AA106" i="90" s="1"/>
  <c r="AK40" i="90"/>
  <c r="AK53" i="90"/>
  <c r="AA67" i="90" a="1"/>
  <c r="AA67" i="90" s="1"/>
  <c r="AK33" i="90"/>
  <c r="AA68" i="90" a="1"/>
  <c r="AA68" i="90" s="1"/>
  <c r="AA65" i="90" a="1"/>
  <c r="AA65" i="90" s="1"/>
  <c r="AA69" i="90" a="1"/>
  <c r="AA69" i="90" s="1"/>
  <c r="AA66" i="90" a="1"/>
  <c r="AA66" i="90" s="1"/>
  <c r="AA44" i="90" a="1"/>
  <c r="AA44" i="90" s="1"/>
  <c r="AA45" i="90" a="1"/>
  <c r="AA45" i="90" s="1"/>
  <c r="AA46" i="90" a="1"/>
  <c r="AA46" i="90" s="1"/>
  <c r="AK4" i="90"/>
  <c r="AA47" i="90" a="1"/>
  <c r="AA47" i="90" s="1"/>
  <c r="AA48" i="90" a="1"/>
  <c r="AA48" i="90" s="1"/>
  <c r="AA58" i="90" a="1"/>
  <c r="AA58" i="90" s="1"/>
  <c r="AA59" i="90" a="1"/>
  <c r="AA59" i="90" s="1"/>
  <c r="AA55" i="90" a="1"/>
  <c r="AA55" i="90" s="1"/>
  <c r="AA56" i="90" a="1"/>
  <c r="AA56" i="90" s="1"/>
  <c r="AK19" i="90"/>
  <c r="AA57" i="90" a="1"/>
  <c r="AA57" i="90" s="1"/>
  <c r="AJ57" i="90"/>
  <c r="AK57" i="90" s="1"/>
  <c r="B54" i="90"/>
  <c r="B55" i="90"/>
  <c r="O9" i="90"/>
  <c r="Y81" i="90"/>
  <c r="AA81" i="90" s="1" a="1"/>
  <c r="AA81" i="90" s="1"/>
  <c r="V31" i="90"/>
  <c r="B20" i="90" s="1"/>
  <c r="AA77" i="90" a="1"/>
  <c r="AA77" i="90" s="1"/>
  <c r="AA79" i="90" a="1"/>
  <c r="AA79" i="90" s="1"/>
  <c r="AA76" i="90" a="1"/>
  <c r="AA76" i="90" s="1"/>
  <c r="AA75" i="90" a="1"/>
  <c r="AA75" i="90" s="1"/>
  <c r="AK39" i="90"/>
  <c r="AA78" i="90" a="1"/>
  <c r="AA78" i="90" s="1"/>
  <c r="AD134" i="90" a="1"/>
  <c r="AC134" i="90" a="1"/>
  <c r="AJ41" i="90"/>
  <c r="AA80" i="89" a="1"/>
  <c r="AA80" i="89" s="1"/>
  <c r="B55" i="89"/>
  <c r="O12" i="89"/>
  <c r="AK7" i="89"/>
  <c r="O10" i="89"/>
  <c r="B54" i="89"/>
  <c r="AA74" i="89" a="1"/>
  <c r="AA74" i="89" s="1"/>
  <c r="AA73" i="89" a="1"/>
  <c r="AA73" i="89" s="1"/>
  <c r="AK34" i="89"/>
  <c r="AA71" i="89" a="1"/>
  <c r="AA71" i="89" s="1"/>
  <c r="AA70" i="89" a="1"/>
  <c r="AA70" i="89" s="1"/>
  <c r="AK14" i="89"/>
  <c r="AA89" i="74" a="1"/>
  <c r="AA89" i="74" s="1"/>
  <c r="AA94" i="74" a="1"/>
  <c r="AA94" i="74" s="1"/>
  <c r="AA99" i="75" a="1"/>
  <c r="AA99" i="75" s="1"/>
  <c r="AA88" i="74" a="1"/>
  <c r="AA88" i="74" s="1"/>
  <c r="AA107" i="76" a="1"/>
  <c r="AA107" i="76" s="1"/>
  <c r="AK18" i="75"/>
  <c r="AK54" i="76"/>
  <c r="AA109" i="76" a="1"/>
  <c r="AA109" i="76" s="1"/>
  <c r="AA44" i="73" a="1"/>
  <c r="AA44" i="73" s="1"/>
  <c r="AA103" i="88" a="1"/>
  <c r="AA103" i="88" s="1"/>
  <c r="AK16" i="74"/>
  <c r="AA100" i="73" a="1"/>
  <c r="AA100" i="73" s="1"/>
  <c r="AA60" i="74" a="1"/>
  <c r="AA60" i="74" s="1"/>
  <c r="AA58" i="76" a="1"/>
  <c r="AA58" i="76" s="1"/>
  <c r="AA101" i="73" a="1"/>
  <c r="AA101" i="73" s="1"/>
  <c r="AA50" i="73" a="1"/>
  <c r="AA50" i="73" s="1"/>
  <c r="AA95" i="74" a="1"/>
  <c r="AA95" i="74" s="1"/>
  <c r="AA99" i="73" a="1"/>
  <c r="AA99" i="73" s="1"/>
  <c r="AA64" i="89" a="1"/>
  <c r="AA64" i="89" s="1"/>
  <c r="AA61" i="89" a="1"/>
  <c r="AA61" i="89" s="1"/>
  <c r="AA62" i="89" a="1"/>
  <c r="AA62" i="89" s="1"/>
  <c r="AA60" i="89" a="1"/>
  <c r="AA60" i="89" s="1"/>
  <c r="AA63" i="89" a="1"/>
  <c r="AA63" i="89" s="1"/>
  <c r="AK30" i="89"/>
  <c r="AK16" i="89"/>
  <c r="AA95" i="89" a="1"/>
  <c r="AA95" i="89" s="1"/>
  <c r="AA93" i="89" a="1"/>
  <c r="AA93" i="89" s="1"/>
  <c r="AA96" i="89" a="1"/>
  <c r="AA96" i="89" s="1"/>
  <c r="AA94" i="89" a="1"/>
  <c r="AA94" i="89" s="1"/>
  <c r="AA92" i="89" a="1"/>
  <c r="AA92" i="89" s="1"/>
  <c r="AK13" i="89"/>
  <c r="AA91" i="89" a="1"/>
  <c r="AA91" i="89" s="1"/>
  <c r="AA89" i="89" a="1"/>
  <c r="AA89" i="89" s="1"/>
  <c r="AA87" i="89" a="1"/>
  <c r="AA87" i="89" s="1"/>
  <c r="AA90" i="89" a="1"/>
  <c r="AA90" i="89" s="1"/>
  <c r="AA88" i="89" a="1"/>
  <c r="AA88" i="89" s="1"/>
  <c r="AA58" i="89" a="1"/>
  <c r="AA58" i="89" s="1"/>
  <c r="AA59" i="89" a="1"/>
  <c r="AA59" i="89" s="1"/>
  <c r="AA55" i="89" a="1"/>
  <c r="AA55" i="89" s="1"/>
  <c r="AA56" i="89" a="1"/>
  <c r="AA56" i="89" s="1"/>
  <c r="AK19" i="89"/>
  <c r="AA57" i="89" a="1"/>
  <c r="AA57" i="89" s="1"/>
  <c r="AA44" i="89" a="1"/>
  <c r="AA44" i="89" s="1"/>
  <c r="AA45" i="89" a="1"/>
  <c r="AA45" i="89" s="1"/>
  <c r="AA46" i="89" a="1"/>
  <c r="AA46" i="89" s="1"/>
  <c r="AK4" i="89"/>
  <c r="AA47" i="89" a="1"/>
  <c r="AA47" i="89" s="1"/>
  <c r="AA48" i="89" a="1"/>
  <c r="AA48" i="89" s="1"/>
  <c r="AK53" i="89"/>
  <c r="AD134" i="89" a="1"/>
  <c r="AD134" i="89" s="1"/>
  <c r="B197" i="89" s="1"/>
  <c r="AC134" i="89" a="1"/>
  <c r="AC134" i="89" s="1"/>
  <c r="AA77" i="89" a="1"/>
  <c r="AA77" i="89" s="1"/>
  <c r="AA79" i="89" a="1"/>
  <c r="AA79" i="89" s="1"/>
  <c r="AA76" i="89" a="1"/>
  <c r="AA76" i="89" s="1"/>
  <c r="AA75" i="89" a="1"/>
  <c r="AA75" i="89" s="1"/>
  <c r="AK39" i="89"/>
  <c r="AA78" i="89" a="1"/>
  <c r="AA78" i="89" s="1"/>
  <c r="AK41" i="89"/>
  <c r="AK47" i="89"/>
  <c r="P191" i="89"/>
  <c r="AJ54" i="89" s="1"/>
  <c r="AK17" i="89"/>
  <c r="AA101" i="89" a="1"/>
  <c r="AA101" i="89" s="1"/>
  <c r="AK18" i="89"/>
  <c r="AA97" i="89" a="1"/>
  <c r="AA97" i="89" s="1"/>
  <c r="AA100" i="89" a="1"/>
  <c r="AA100" i="89" s="1"/>
  <c r="AA99" i="89" a="1"/>
  <c r="AA99" i="89" s="1"/>
  <c r="AA98" i="89" a="1"/>
  <c r="AA98" i="89" s="1"/>
  <c r="AA67" i="89" a="1"/>
  <c r="AA67" i="89" s="1"/>
  <c r="AK33" i="89"/>
  <c r="AA68" i="89" a="1"/>
  <c r="AA68" i="89" s="1"/>
  <c r="AA65" i="89" a="1"/>
  <c r="AA65" i="89" s="1"/>
  <c r="AA69" i="89" a="1"/>
  <c r="AA69" i="89" s="1"/>
  <c r="AA66" i="89" a="1"/>
  <c r="AA66" i="89" s="1"/>
  <c r="AA103" i="89" a="1"/>
  <c r="AA103" i="89" s="1"/>
  <c r="AA105" i="89" a="1"/>
  <c r="AA105" i="89" s="1"/>
  <c r="AA102" i="89" a="1"/>
  <c r="AA102" i="89" s="1"/>
  <c r="AA104" i="89" a="1"/>
  <c r="AA104" i="89" s="1"/>
  <c r="AK40" i="89"/>
  <c r="AA106" i="89" a="1"/>
  <c r="AA106" i="89" s="1"/>
  <c r="Y81" i="89"/>
  <c r="AA81" i="89" s="1" a="1"/>
  <c r="AA81" i="89" s="1"/>
  <c r="V31" i="89"/>
  <c r="B20" i="89" s="1"/>
  <c r="AA52" i="89" a="1"/>
  <c r="AA52" i="89" s="1"/>
  <c r="AA49" i="89" a="1"/>
  <c r="AA49" i="89" s="1"/>
  <c r="AA53" i="89" a="1"/>
  <c r="AA53" i="89" s="1"/>
  <c r="AA50" i="89" a="1"/>
  <c r="AA50" i="89" s="1"/>
  <c r="AK6" i="89"/>
  <c r="AA51" i="89" a="1"/>
  <c r="AA51" i="89" s="1"/>
  <c r="AK55" i="89"/>
  <c r="AK9" i="89"/>
  <c r="AK44" i="89"/>
  <c r="AC2" i="88" a="1"/>
  <c r="AC2" i="88" s="1"/>
  <c r="AE156" i="88"/>
  <c r="AJ57" i="88"/>
  <c r="AK57" i="88" s="1"/>
  <c r="B54" i="88"/>
  <c r="B55" i="88"/>
  <c r="AK5" i="88"/>
  <c r="AK7" i="88"/>
  <c r="O11" i="88"/>
  <c r="F244" i="88" a="1"/>
  <c r="F244" i="88" s="1"/>
  <c r="B365" i="88" s="1"/>
  <c r="O12" i="88"/>
  <c r="O8" i="88"/>
  <c r="AA104" i="88" a="1"/>
  <c r="AA104" i="88" s="1"/>
  <c r="AA51" i="88" a="1"/>
  <c r="AA51" i="88" s="1"/>
  <c r="AA50" i="88" a="1"/>
  <c r="AA50" i="88" s="1"/>
  <c r="AK6" i="88"/>
  <c r="AA52" i="88" a="1"/>
  <c r="AA52" i="88" s="1"/>
  <c r="AA49" i="88" a="1"/>
  <c r="AA49" i="88" s="1"/>
  <c r="AA53" i="88" a="1"/>
  <c r="AA53" i="88" s="1"/>
  <c r="AK14" i="88"/>
  <c r="AA108" i="77" a="1"/>
  <c r="AA108" i="77" s="1"/>
  <c r="AA97" i="74" a="1"/>
  <c r="AA97" i="74" s="1"/>
  <c r="AA99" i="74" a="1"/>
  <c r="AA99" i="74" s="1"/>
  <c r="AA95" i="88" a="1"/>
  <c r="AA95" i="88" s="1"/>
  <c r="AA93" i="88" a="1"/>
  <c r="AA93" i="88" s="1"/>
  <c r="AA96" i="88" a="1"/>
  <c r="AA96" i="88" s="1"/>
  <c r="AA94" i="88" a="1"/>
  <c r="AA94" i="88" s="1"/>
  <c r="AA92" i="88" a="1"/>
  <c r="AA92" i="88" s="1"/>
  <c r="AK16" i="88"/>
  <c r="AA101" i="88" a="1"/>
  <c r="AA101" i="88" s="1"/>
  <c r="AK18" i="88"/>
  <c r="AA97" i="88" a="1"/>
  <c r="AA97" i="88" s="1"/>
  <c r="AA100" i="88" a="1"/>
  <c r="AA100" i="88" s="1"/>
  <c r="AA99" i="88" a="1"/>
  <c r="AA99" i="88" s="1"/>
  <c r="AA98" i="88" a="1"/>
  <c r="AA98" i="88" s="1"/>
  <c r="AA67" i="88" a="1"/>
  <c r="AA67" i="88" s="1"/>
  <c r="AK33" i="88"/>
  <c r="AA68" i="88" a="1"/>
  <c r="AA68" i="88" s="1"/>
  <c r="AA65" i="88" a="1"/>
  <c r="AA65" i="88" s="1"/>
  <c r="AA69" i="88" a="1"/>
  <c r="AA69" i="88" s="1"/>
  <c r="AA66" i="88" a="1"/>
  <c r="AA66" i="88" s="1"/>
  <c r="AK41" i="88"/>
  <c r="AA58" i="88" a="1"/>
  <c r="AA58" i="88" s="1"/>
  <c r="AA55" i="88" a="1"/>
  <c r="AA55" i="88" s="1"/>
  <c r="AA56" i="88" a="1"/>
  <c r="AA56" i="88" s="1"/>
  <c r="AA57" i="88" a="1"/>
  <c r="AA57" i="88" s="1"/>
  <c r="AA59" i="88" a="1"/>
  <c r="AA59" i="88" s="1"/>
  <c r="AK19" i="88"/>
  <c r="AD134" i="88" a="1"/>
  <c r="AC134" i="88" a="1"/>
  <c r="AA44" i="88" a="1"/>
  <c r="AA44" i="88" s="1"/>
  <c r="AA45" i="88" a="1"/>
  <c r="AA45" i="88" s="1"/>
  <c r="AA47" i="88" a="1"/>
  <c r="AA47" i="88" s="1"/>
  <c r="AA48" i="88" a="1"/>
  <c r="AA48" i="88" s="1"/>
  <c r="AA46" i="88" a="1"/>
  <c r="AA46" i="88" s="1"/>
  <c r="AK4" i="88"/>
  <c r="V33" i="88"/>
  <c r="B22" i="88" s="1"/>
  <c r="Y80" i="88"/>
  <c r="AA80" i="88" s="1" a="1"/>
  <c r="AA80" i="88" s="1"/>
  <c r="AA77" i="88" a="1"/>
  <c r="AA77" i="88" s="1"/>
  <c r="AA79" i="88" a="1"/>
  <c r="AA79" i="88" s="1"/>
  <c r="AA76" i="88" a="1"/>
  <c r="AA76" i="88" s="1"/>
  <c r="AA75" i="88" a="1"/>
  <c r="AA75" i="88" s="1"/>
  <c r="AK39" i="88"/>
  <c r="AA78" i="88" a="1"/>
  <c r="AA78" i="88" s="1"/>
  <c r="AA91" i="88" a="1"/>
  <c r="AA91" i="88" s="1"/>
  <c r="AA89" i="88" a="1"/>
  <c r="AA89" i="88" s="1"/>
  <c r="AA87" i="88" a="1"/>
  <c r="AA87" i="88" s="1"/>
  <c r="AA90" i="88" a="1"/>
  <c r="AA90" i="88" s="1"/>
  <c r="AA88" i="88" a="1"/>
  <c r="AA88" i="88" s="1"/>
  <c r="AK13" i="88"/>
  <c r="AA72" i="88" a="1"/>
  <c r="AA72" i="88" s="1"/>
  <c r="AA70" i="88" a="1"/>
  <c r="AA70" i="88" s="1"/>
  <c r="AA73" i="88" a="1"/>
  <c r="AA73" i="88" s="1"/>
  <c r="AA71" i="88" a="1"/>
  <c r="AA71" i="88" s="1"/>
  <c r="AA74" i="88" a="1"/>
  <c r="AA74" i="88" s="1"/>
  <c r="AK34" i="88"/>
  <c r="AK9" i="88"/>
  <c r="O9" i="88"/>
  <c r="AA108" i="88" a="1"/>
  <c r="AA108" i="88" s="1"/>
  <c r="AA110" i="88" a="1"/>
  <c r="AA110" i="88" s="1"/>
  <c r="AA107" i="88" a="1"/>
  <c r="AA107" i="88" s="1"/>
  <c r="AA109" i="88" a="1"/>
  <c r="AA109" i="88" s="1"/>
  <c r="AA111" i="88" a="1"/>
  <c r="AA111" i="88" s="1"/>
  <c r="AK54" i="88"/>
  <c r="Y81" i="88"/>
  <c r="AA81" i="88" s="1" a="1"/>
  <c r="AA81" i="88" s="1"/>
  <c r="V31" i="88"/>
  <c r="B20" i="88" s="1"/>
  <c r="AJ55" i="88"/>
  <c r="AA64" i="88" a="1"/>
  <c r="AA64" i="88" s="1"/>
  <c r="AA61" i="88" a="1"/>
  <c r="AA61" i="88" s="1"/>
  <c r="AA62" i="88" a="1"/>
  <c r="AA62" i="88" s="1"/>
  <c r="AA60" i="88" a="1"/>
  <c r="AA60" i="88" s="1"/>
  <c r="AA63" i="88" a="1"/>
  <c r="AA63" i="88" s="1"/>
  <c r="AK30" i="88"/>
  <c r="AK44" i="88"/>
  <c r="AK53" i="88"/>
  <c r="AA75" i="77" a="1"/>
  <c r="AA75" i="77" s="1"/>
  <c r="AA79" i="77" a="1"/>
  <c r="AA79" i="77" s="1"/>
  <c r="AA88" i="73" a="1"/>
  <c r="AA88" i="73" s="1"/>
  <c r="AA49" i="73" a="1"/>
  <c r="AA49" i="73" s="1"/>
  <c r="AA100" i="75" a="1"/>
  <c r="AA100" i="75" s="1"/>
  <c r="AA50" i="75" a="1"/>
  <c r="AA50" i="75" s="1"/>
  <c r="AA52" i="73" a="1"/>
  <c r="AA52" i="73" s="1"/>
  <c r="AA78" i="77" a="1"/>
  <c r="AA78" i="77" s="1"/>
  <c r="AK6" i="73"/>
  <c r="AA70" i="75" a="1"/>
  <c r="AA70" i="75" s="1"/>
  <c r="AA67" i="77" a="1"/>
  <c r="AA67" i="77" s="1"/>
  <c r="AK33" i="75"/>
  <c r="AA67" i="75" a="1"/>
  <c r="AA67" i="75" s="1"/>
  <c r="AA65" i="73" a="1"/>
  <c r="AA65" i="73" s="1"/>
  <c r="AA66" i="75" a="1"/>
  <c r="AA66" i="75" s="1"/>
  <c r="AA78" i="29" a="1"/>
  <c r="AA78" i="29" s="1"/>
  <c r="AA52" i="74" a="1"/>
  <c r="AA52" i="74" s="1"/>
  <c r="AA77" i="77" a="1"/>
  <c r="AA77" i="77" s="1"/>
  <c r="AK39" i="29"/>
  <c r="AA101" i="74" a="1"/>
  <c r="AA101" i="74" s="1"/>
  <c r="AA91" i="74" a="1"/>
  <c r="AA91" i="74" s="1"/>
  <c r="AA48" i="29" a="1"/>
  <c r="AA48" i="29" s="1"/>
  <c r="AA95" i="76" a="1"/>
  <c r="AA95" i="76" s="1"/>
  <c r="AA87" i="74" a="1"/>
  <c r="AA87" i="74" s="1"/>
  <c r="AA105" i="75" a="1"/>
  <c r="AA105" i="75" s="1"/>
  <c r="AK16" i="76"/>
  <c r="AA51" i="74" a="1"/>
  <c r="AA51" i="74" s="1"/>
  <c r="AA94" i="76" a="1"/>
  <c r="AA94" i="76" s="1"/>
  <c r="AK4" i="29"/>
  <c r="AA55" i="75" a="1"/>
  <c r="AA55" i="75" s="1"/>
  <c r="AA96" i="76" a="1"/>
  <c r="AA96" i="76" s="1"/>
  <c r="AA108" i="76" a="1"/>
  <c r="AA108" i="76" s="1"/>
  <c r="AA89" i="73" a="1"/>
  <c r="AA89" i="73" s="1"/>
  <c r="AA56" i="75" a="1"/>
  <c r="AA56" i="75" s="1"/>
  <c r="AA76" i="77" a="1"/>
  <c r="AA76" i="77" s="1"/>
  <c r="AA93" i="76" a="1"/>
  <c r="AA93" i="76" s="1"/>
  <c r="AK19" i="76"/>
  <c r="AA91" i="73" a="1"/>
  <c r="AA91" i="73" s="1"/>
  <c r="AA59" i="76" a="1"/>
  <c r="AA59" i="76" s="1"/>
  <c r="AA55" i="76" a="1"/>
  <c r="AA55" i="76" s="1"/>
  <c r="AA65" i="75" a="1"/>
  <c r="AA65" i="75" s="1"/>
  <c r="AC2" i="86"/>
  <c r="AD2" i="86" s="1"/>
  <c r="B115" i="86" s="1"/>
  <c r="AF12" i="86"/>
  <c r="B155" i="86" s="1"/>
  <c r="AD12" i="86"/>
  <c r="B125" i="86" s="1"/>
  <c r="AF5" i="86"/>
  <c r="B148" i="86" s="1"/>
  <c r="AF8" i="86"/>
  <c r="B151" i="86" s="1"/>
  <c r="AD5" i="86"/>
  <c r="B118" i="86" s="1"/>
  <c r="AD8" i="86"/>
  <c r="B121" i="86" s="1"/>
  <c r="AF11" i="86"/>
  <c r="B154" i="86" s="1"/>
  <c r="AF4" i="86"/>
  <c r="B147" i="86" s="1"/>
  <c r="AD11" i="86"/>
  <c r="B124" i="86" s="1"/>
  <c r="AD4" i="86"/>
  <c r="B117" i="86" s="1"/>
  <c r="AF7" i="86"/>
  <c r="B150" i="86" s="1"/>
  <c r="AF3" i="86"/>
  <c r="B146" i="86" s="1"/>
  <c r="AF10" i="86"/>
  <c r="B153" i="86" s="1"/>
  <c r="AD7" i="86"/>
  <c r="B120" i="86" s="1"/>
  <c r="AD3" i="86"/>
  <c r="B116" i="86" s="1"/>
  <c r="AD10" i="86"/>
  <c r="B123" i="86" s="1"/>
  <c r="AF13" i="86"/>
  <c r="B156" i="86" s="1"/>
  <c r="AF9" i="86"/>
  <c r="B152" i="86" s="1"/>
  <c r="AF6" i="86"/>
  <c r="B149" i="86" s="1"/>
  <c r="AD13" i="86"/>
  <c r="B126" i="86" s="1"/>
  <c r="AD9" i="86"/>
  <c r="B122" i="86" s="1"/>
  <c r="AD6" i="86"/>
  <c r="B119" i="86" s="1"/>
  <c r="AK7" i="86"/>
  <c r="AK47" i="86"/>
  <c r="AK14" i="86"/>
  <c r="Y81" i="86"/>
  <c r="AA81" i="86" s="1" a="1"/>
  <c r="AA81" i="86" s="1"/>
  <c r="AK50" i="86"/>
  <c r="AA76" i="74" a="1"/>
  <c r="AA76" i="74" s="1"/>
  <c r="AA99" i="29" a="1"/>
  <c r="AA99" i="29" s="1"/>
  <c r="AA102" i="73" a="1"/>
  <c r="AA102" i="73" s="1"/>
  <c r="AK13" i="73"/>
  <c r="AK13" i="86"/>
  <c r="AA91" i="86" a="1"/>
  <c r="AA91" i="86" s="1"/>
  <c r="AA89" i="86" a="1"/>
  <c r="AA89" i="86" s="1"/>
  <c r="AA87" i="86" a="1"/>
  <c r="AA87" i="86" s="1"/>
  <c r="AA90" i="86" a="1"/>
  <c r="AA90" i="86" s="1"/>
  <c r="AA88" i="86" a="1"/>
  <c r="AA88" i="86" s="1"/>
  <c r="AA108" i="86" a="1"/>
  <c r="AA108" i="86" s="1"/>
  <c r="AA110" i="86" a="1"/>
  <c r="AA110" i="86" s="1"/>
  <c r="AA107" i="86" a="1"/>
  <c r="AA107" i="86" s="1"/>
  <c r="AA109" i="86" a="1"/>
  <c r="AA109" i="86" s="1"/>
  <c r="AA111" i="86" a="1"/>
  <c r="AA111" i="86" s="1"/>
  <c r="AK54" i="86"/>
  <c r="AA101" i="86" a="1"/>
  <c r="AA101" i="86" s="1"/>
  <c r="AK18" i="86"/>
  <c r="AA97" i="86" a="1"/>
  <c r="AA97" i="86" s="1"/>
  <c r="AA100" i="86" a="1"/>
  <c r="AA100" i="86" s="1"/>
  <c r="AA99" i="86" a="1"/>
  <c r="AA99" i="86" s="1"/>
  <c r="AA98" i="86" a="1"/>
  <c r="AA98" i="86" s="1"/>
  <c r="AA103" i="86" a="1"/>
  <c r="AA103" i="86" s="1"/>
  <c r="AA105" i="86" a="1"/>
  <c r="AA105" i="86" s="1"/>
  <c r="AA102" i="86" a="1"/>
  <c r="AA102" i="86" s="1"/>
  <c r="AA104" i="86" a="1"/>
  <c r="AA104" i="86" s="1"/>
  <c r="AK40" i="86"/>
  <c r="AA106" i="86" a="1"/>
  <c r="AA106" i="86" s="1"/>
  <c r="AK9" i="86"/>
  <c r="AA67" i="86" a="1"/>
  <c r="AA67" i="86" s="1"/>
  <c r="AK33" i="86"/>
  <c r="AA68" i="86" a="1"/>
  <c r="AA68" i="86" s="1"/>
  <c r="AA65" i="86" a="1"/>
  <c r="AA65" i="86" s="1"/>
  <c r="AA69" i="86" a="1"/>
  <c r="AA69" i="86" s="1"/>
  <c r="AA66" i="86" a="1"/>
  <c r="AA66" i="86" s="1"/>
  <c r="AK41" i="86"/>
  <c r="AA64" i="86" a="1"/>
  <c r="AA64" i="86" s="1"/>
  <c r="AA61" i="86" a="1"/>
  <c r="AA61" i="86" s="1"/>
  <c r="AA62" i="86" a="1"/>
  <c r="AA62" i="86" s="1"/>
  <c r="AA60" i="86" a="1"/>
  <c r="AA60" i="86" s="1"/>
  <c r="AA63" i="86" a="1"/>
  <c r="AA63" i="86" s="1"/>
  <c r="AK30" i="86"/>
  <c r="O10" i="86"/>
  <c r="O8" i="86"/>
  <c r="AD134" i="86" a="1"/>
  <c r="AC134" i="86" a="1"/>
  <c r="AK5" i="86"/>
  <c r="AA52" i="86" a="1"/>
  <c r="AA52" i="86" s="1"/>
  <c r="AA49" i="86" a="1"/>
  <c r="AA49" i="86" s="1"/>
  <c r="AA53" i="86" a="1"/>
  <c r="AA53" i="86" s="1"/>
  <c r="AA50" i="86" a="1"/>
  <c r="AA50" i="86" s="1"/>
  <c r="AK6" i="86"/>
  <c r="AA51" i="86" a="1"/>
  <c r="AA51" i="86" s="1"/>
  <c r="O9" i="86"/>
  <c r="O12" i="86"/>
  <c r="AK55" i="86"/>
  <c r="AA58" i="86" a="1"/>
  <c r="AA58" i="86" s="1"/>
  <c r="AA59" i="86" a="1"/>
  <c r="AA59" i="86" s="1"/>
  <c r="AA55" i="86" a="1"/>
  <c r="AA55" i="86" s="1"/>
  <c r="AA56" i="86" a="1"/>
  <c r="AA56" i="86" s="1"/>
  <c r="AK19" i="86"/>
  <c r="AA57" i="86" a="1"/>
  <c r="AA57" i="86" s="1"/>
  <c r="AK16" i="86"/>
  <c r="AA95" i="86" a="1"/>
  <c r="AA95" i="86" s="1"/>
  <c r="AA93" i="86" a="1"/>
  <c r="AA93" i="86" s="1"/>
  <c r="AA96" i="86" a="1"/>
  <c r="AA96" i="86" s="1"/>
  <c r="AA92" i="86" a="1"/>
  <c r="AA92" i="86" s="1"/>
  <c r="AA94" i="86" a="1"/>
  <c r="AA94" i="86" s="1"/>
  <c r="AA77" i="86" a="1"/>
  <c r="AA77" i="86" s="1"/>
  <c r="AA79" i="86" a="1"/>
  <c r="AA79" i="86" s="1"/>
  <c r="AA76" i="86" a="1"/>
  <c r="AA76" i="86" s="1"/>
  <c r="AA75" i="86" a="1"/>
  <c r="AA75" i="86" s="1"/>
  <c r="AK39" i="86"/>
  <c r="AA78" i="86" a="1"/>
  <c r="AA78" i="86" s="1"/>
  <c r="AK44" i="86"/>
  <c r="AK53" i="86"/>
  <c r="AA72" i="86" a="1"/>
  <c r="AA72" i="86" s="1"/>
  <c r="AA70" i="86" a="1"/>
  <c r="AA70" i="86" s="1"/>
  <c r="AA73" i="86" a="1"/>
  <c r="AA73" i="86" s="1"/>
  <c r="AA71" i="86" a="1"/>
  <c r="AA71" i="86" s="1"/>
  <c r="AA74" i="86" a="1"/>
  <c r="AA74" i="86" s="1"/>
  <c r="AK34" i="86"/>
  <c r="AA44" i="86" a="1"/>
  <c r="AA44" i="86" s="1"/>
  <c r="AA45" i="86" a="1"/>
  <c r="AA45" i="86" s="1"/>
  <c r="AA46" i="86" a="1"/>
  <c r="AA46" i="86" s="1"/>
  <c r="AK4" i="86"/>
  <c r="AA47" i="86" a="1"/>
  <c r="AA47" i="86" s="1"/>
  <c r="AA48" i="86" a="1"/>
  <c r="AA48" i="86" s="1"/>
  <c r="AE156" i="85"/>
  <c r="AC2" i="85" a="1"/>
  <c r="AD8" i="85" s="1"/>
  <c r="B121" i="85" s="1"/>
  <c r="AK7" i="85"/>
  <c r="O9" i="85"/>
  <c r="AA52" i="85" a="1"/>
  <c r="AA52" i="85" s="1"/>
  <c r="AA49" i="85" a="1"/>
  <c r="AA49" i="85" s="1"/>
  <c r="AA53" i="85" a="1"/>
  <c r="AA53" i="85" s="1"/>
  <c r="AA50" i="85" a="1"/>
  <c r="AA50" i="85" s="1"/>
  <c r="AK6" i="85"/>
  <c r="AA51" i="85" a="1"/>
  <c r="AA51" i="85" s="1"/>
  <c r="AA67" i="85" a="1"/>
  <c r="AA67" i="85" s="1"/>
  <c r="AK33" i="85"/>
  <c r="AA68" i="85" a="1"/>
  <c r="AA68" i="85" s="1"/>
  <c r="AA65" i="85" a="1"/>
  <c r="AA65" i="85" s="1"/>
  <c r="AA69" i="85" a="1"/>
  <c r="AA69" i="85" s="1"/>
  <c r="AA66" i="85" a="1"/>
  <c r="AA66" i="85" s="1"/>
  <c r="AA95" i="85" a="1"/>
  <c r="AA95" i="85" s="1"/>
  <c r="AA93" i="85" a="1"/>
  <c r="AA93" i="85" s="1"/>
  <c r="AA96" i="85" a="1"/>
  <c r="AA96" i="85" s="1"/>
  <c r="AA94" i="85" a="1"/>
  <c r="AA94" i="85" s="1"/>
  <c r="AA92" i="85" a="1"/>
  <c r="AA92" i="85" s="1"/>
  <c r="AK16" i="85"/>
  <c r="AA101" i="85" a="1"/>
  <c r="AA101" i="85" s="1"/>
  <c r="AK18" i="85"/>
  <c r="AA97" i="85" a="1"/>
  <c r="AA97" i="85" s="1"/>
  <c r="AA100" i="85" a="1"/>
  <c r="AA100" i="85" s="1"/>
  <c r="AA99" i="85" a="1"/>
  <c r="AA99" i="85" s="1"/>
  <c r="AA98" i="85" a="1"/>
  <c r="AA98" i="85" s="1"/>
  <c r="AA103" i="85" a="1"/>
  <c r="AA103" i="85" s="1"/>
  <c r="AA105" i="85" a="1"/>
  <c r="AA105" i="85" s="1"/>
  <c r="AA102" i="85" a="1"/>
  <c r="AA102" i="85" s="1"/>
  <c r="AA104" i="85" a="1"/>
  <c r="AA104" i="85" s="1"/>
  <c r="AK40" i="85"/>
  <c r="AA106" i="85" a="1"/>
  <c r="AA106" i="85" s="1"/>
  <c r="AK41" i="85"/>
  <c r="Y81" i="85"/>
  <c r="AA81" i="85" s="1" a="1"/>
  <c r="AA81" i="85" s="1"/>
  <c r="V31" i="85"/>
  <c r="B20" i="85" s="1"/>
  <c r="AK44" i="85"/>
  <c r="AJ47" i="85"/>
  <c r="AK53" i="85"/>
  <c r="AA44" i="85" a="1"/>
  <c r="AA44" i="85" s="1"/>
  <c r="AA45" i="85" a="1"/>
  <c r="AA45" i="85" s="1"/>
  <c r="AA46" i="85" a="1"/>
  <c r="AA46" i="85" s="1"/>
  <c r="AA47" i="85" a="1"/>
  <c r="AA47" i="85" s="1"/>
  <c r="AA48" i="85" a="1"/>
  <c r="AA48" i="85" s="1"/>
  <c r="AK4" i="85"/>
  <c r="AA77" i="85" a="1"/>
  <c r="AA77" i="85" s="1"/>
  <c r="AA75" i="85" a="1"/>
  <c r="AA75" i="85" s="1"/>
  <c r="AK39" i="85"/>
  <c r="AA78" i="85" a="1"/>
  <c r="AA78" i="85" s="1"/>
  <c r="AA76" i="85" a="1"/>
  <c r="AA76" i="85" s="1"/>
  <c r="AA79" i="85" a="1"/>
  <c r="AA79" i="85" s="1"/>
  <c r="AK17" i="85"/>
  <c r="AA58" i="85" a="1"/>
  <c r="AA58" i="85" s="1"/>
  <c r="AA55" i="85" a="1"/>
  <c r="AA55" i="85" s="1"/>
  <c r="AA56" i="85" a="1"/>
  <c r="AA56" i="85" s="1"/>
  <c r="AK19" i="85"/>
  <c r="AA57" i="85" a="1"/>
  <c r="AA57" i="85" s="1"/>
  <c r="AA59" i="85" a="1"/>
  <c r="AA59" i="85" s="1"/>
  <c r="AD134" i="85" a="1"/>
  <c r="AC134" i="85" a="1"/>
  <c r="AA72" i="85" a="1"/>
  <c r="AA72" i="85" s="1"/>
  <c r="AA70" i="85" a="1"/>
  <c r="AA70" i="85" s="1"/>
  <c r="AA73" i="85" a="1"/>
  <c r="AA73" i="85" s="1"/>
  <c r="AA71" i="85" a="1"/>
  <c r="AA71" i="85" s="1"/>
  <c r="AA74" i="85" a="1"/>
  <c r="AA74" i="85" s="1"/>
  <c r="AK34" i="85"/>
  <c r="O11" i="85"/>
  <c r="O10" i="85"/>
  <c r="O8" i="85"/>
  <c r="AK13" i="85"/>
  <c r="AA91" i="85" a="1"/>
  <c r="AA91" i="85" s="1"/>
  <c r="AA89" i="85" a="1"/>
  <c r="AA89" i="85" s="1"/>
  <c r="AA87" i="85" a="1"/>
  <c r="AA87" i="85" s="1"/>
  <c r="AA90" i="85" a="1"/>
  <c r="AA90" i="85" s="1"/>
  <c r="AA88" i="85" a="1"/>
  <c r="AA88" i="85" s="1"/>
  <c r="P191" i="85"/>
  <c r="AJ54" i="85" s="1"/>
  <c r="AK9" i="85"/>
  <c r="AA64" i="85" a="1"/>
  <c r="AA64" i="85" s="1"/>
  <c r="AA61" i="85" a="1"/>
  <c r="AA61" i="85" s="1"/>
  <c r="AA62" i="85" a="1"/>
  <c r="AA62" i="85" s="1"/>
  <c r="AA60" i="85" a="1"/>
  <c r="AA60" i="85" s="1"/>
  <c r="AA63" i="85" a="1"/>
  <c r="AA63" i="85" s="1"/>
  <c r="AK30" i="85"/>
  <c r="V33" i="85"/>
  <c r="B22" i="85" s="1"/>
  <c r="Y80" i="85"/>
  <c r="AA80" i="85" s="1" a="1"/>
  <c r="AA80" i="85" s="1"/>
  <c r="AJ55" i="85"/>
  <c r="AK14" i="85"/>
  <c r="AC2" i="84" a="1"/>
  <c r="AK41" i="84"/>
  <c r="AA58" i="84" a="1"/>
  <c r="AA58" i="84" s="1"/>
  <c r="AA59" i="84" a="1"/>
  <c r="AA59" i="84" s="1"/>
  <c r="AA55" i="84" a="1"/>
  <c r="AA55" i="84" s="1"/>
  <c r="AA56" i="84" a="1"/>
  <c r="AA56" i="84" s="1"/>
  <c r="AK19" i="84"/>
  <c r="AA57" i="84" a="1"/>
  <c r="AA57" i="84" s="1"/>
  <c r="AA108" i="84" a="1"/>
  <c r="AA108" i="84" s="1"/>
  <c r="AA110" i="84" a="1"/>
  <c r="AA110" i="84" s="1"/>
  <c r="AA107" i="84" a="1"/>
  <c r="AA107" i="84" s="1"/>
  <c r="AA109" i="84" a="1"/>
  <c r="AA109" i="84" s="1"/>
  <c r="AA111" i="84" a="1"/>
  <c r="AA111" i="84" s="1"/>
  <c r="AK54" i="84"/>
  <c r="N7" i="84"/>
  <c r="O9" i="84" s="1"/>
  <c r="AA91" i="84" a="1"/>
  <c r="AA91" i="84" s="1"/>
  <c r="AA89" i="84" a="1"/>
  <c r="AA89" i="84" s="1"/>
  <c r="AA87" i="84" a="1"/>
  <c r="AA87" i="84" s="1"/>
  <c r="AK13" i="84"/>
  <c r="AA90" i="84" a="1"/>
  <c r="AA90" i="84" s="1"/>
  <c r="AA88" i="84" a="1"/>
  <c r="AA88" i="84" s="1"/>
  <c r="AA67" i="84" a="1"/>
  <c r="AA67" i="84" s="1"/>
  <c r="AK33" i="84"/>
  <c r="AA68" i="84" a="1"/>
  <c r="AA68" i="84" s="1"/>
  <c r="AA69" i="84" a="1"/>
  <c r="AA69" i="84" s="1"/>
  <c r="AA66" i="84" a="1"/>
  <c r="AA66" i="84" s="1"/>
  <c r="AA65" i="84" a="1"/>
  <c r="AA65" i="84" s="1"/>
  <c r="AJ9" i="84"/>
  <c r="AA54" i="84" s="1" a="1"/>
  <c r="AA54" i="84" s="1"/>
  <c r="AA101" i="84" a="1"/>
  <c r="AA101" i="84" s="1"/>
  <c r="AK18" i="84"/>
  <c r="AA97" i="84" a="1"/>
  <c r="AA97" i="84" s="1"/>
  <c r="AA100" i="84" a="1"/>
  <c r="AA100" i="84" s="1"/>
  <c r="AA99" i="84" a="1"/>
  <c r="AA99" i="84" s="1"/>
  <c r="AA98" i="84" a="1"/>
  <c r="AA98" i="84" s="1"/>
  <c r="B22" i="84"/>
  <c r="AD134" i="84" a="1"/>
  <c r="AC134" i="84" a="1"/>
  <c r="AK14" i="84"/>
  <c r="AA72" i="84" a="1"/>
  <c r="AA72" i="84" s="1"/>
  <c r="AA70" i="84" a="1"/>
  <c r="AA70" i="84" s="1"/>
  <c r="AA73" i="84" a="1"/>
  <c r="AA73" i="84" s="1"/>
  <c r="AA71" i="84" a="1"/>
  <c r="AA71" i="84" s="1"/>
  <c r="AA74" i="84" a="1"/>
  <c r="AA74" i="84" s="1"/>
  <c r="AK34" i="84"/>
  <c r="AK16" i="84"/>
  <c r="AA95" i="84" a="1"/>
  <c r="AA95" i="84" s="1"/>
  <c r="AA93" i="84" a="1"/>
  <c r="AA93" i="84" s="1"/>
  <c r="AA96" i="84" a="1"/>
  <c r="AA96" i="84" s="1"/>
  <c r="AA92" i="84" a="1"/>
  <c r="AA92" i="84" s="1"/>
  <c r="AA94" i="84" a="1"/>
  <c r="AA94" i="84" s="1"/>
  <c r="Y81" i="84"/>
  <c r="AA81" i="84" s="1" a="1"/>
  <c r="AA81" i="84" s="1"/>
  <c r="V31" i="84"/>
  <c r="B20" i="84" s="1"/>
  <c r="AJ55" i="84"/>
  <c r="AA103" i="84" a="1"/>
  <c r="AA103" i="84" s="1"/>
  <c r="AA105" i="84" a="1"/>
  <c r="AA105" i="84" s="1"/>
  <c r="AA102" i="84" a="1"/>
  <c r="AA102" i="84" s="1"/>
  <c r="AA104" i="84" a="1"/>
  <c r="AA104" i="84" s="1"/>
  <c r="AK40" i="84"/>
  <c r="AA106" i="84" a="1"/>
  <c r="AA106" i="84" s="1"/>
  <c r="AA52" i="84" a="1"/>
  <c r="AA52" i="84" s="1"/>
  <c r="AA49" i="84" a="1"/>
  <c r="AA49" i="84" s="1"/>
  <c r="AA53" i="84" a="1"/>
  <c r="AA53" i="84" s="1"/>
  <c r="AA50" i="84" a="1"/>
  <c r="AA50" i="84" s="1"/>
  <c r="AK6" i="84"/>
  <c r="AA51" i="84" a="1"/>
  <c r="AA51" i="84" s="1"/>
  <c r="AA64" i="84" a="1"/>
  <c r="AA64" i="84" s="1"/>
  <c r="AA61" i="84" a="1"/>
  <c r="AA61" i="84" s="1"/>
  <c r="AA62" i="84" a="1"/>
  <c r="AA62" i="84" s="1"/>
  <c r="AA60" i="84" a="1"/>
  <c r="AA60" i="84" s="1"/>
  <c r="AA63" i="84" a="1"/>
  <c r="AA63" i="84" s="1"/>
  <c r="AK30" i="84"/>
  <c r="AA77" i="84" a="1"/>
  <c r="AA77" i="84" s="1"/>
  <c r="AA79" i="84" a="1"/>
  <c r="AA79" i="84" s="1"/>
  <c r="AA76" i="84" a="1"/>
  <c r="AA76" i="84" s="1"/>
  <c r="AA78" i="84" a="1"/>
  <c r="AA78" i="84" s="1"/>
  <c r="AA75" i="84" a="1"/>
  <c r="AA75" i="84" s="1"/>
  <c r="AK39" i="84"/>
  <c r="B54" i="84"/>
  <c r="B55" i="84"/>
  <c r="AJ57" i="84"/>
  <c r="AK57" i="84" s="1"/>
  <c r="AK44" i="84"/>
  <c r="AK53" i="84"/>
  <c r="AK5" i="84"/>
  <c r="AA45" i="84" a="1"/>
  <c r="AA45" i="84" s="1"/>
  <c r="AA46" i="84" a="1"/>
  <c r="AA46" i="84" s="1"/>
  <c r="AA47" i="84" a="1"/>
  <c r="AA47" i="84" s="1"/>
  <c r="AA44" i="84" a="1"/>
  <c r="AA44" i="84" s="1"/>
  <c r="AK4" i="84"/>
  <c r="AA48" i="84" a="1"/>
  <c r="AA48" i="84" s="1"/>
  <c r="AE156" i="83"/>
  <c r="F244" i="83" a="1"/>
  <c r="F244" i="83" s="1"/>
  <c r="B365" i="83" s="1"/>
  <c r="AA74" i="83" a="1"/>
  <c r="AA74" i="83" s="1"/>
  <c r="AA71" i="83" a="1"/>
  <c r="AA71" i="83" s="1"/>
  <c r="AJ57" i="83"/>
  <c r="AK57" i="83" s="1"/>
  <c r="B54" i="83"/>
  <c r="B55" i="83"/>
  <c r="AJ41" i="83"/>
  <c r="AK41" i="83" s="1"/>
  <c r="AJ9" i="83"/>
  <c r="AK9" i="83" s="1"/>
  <c r="Y80" i="83"/>
  <c r="AK34" i="83"/>
  <c r="AA73" i="83" a="1"/>
  <c r="AA73" i="83" s="1"/>
  <c r="AA70" i="83" a="1"/>
  <c r="AA70" i="83" s="1"/>
  <c r="AA57" i="83" a="1"/>
  <c r="AA57" i="83" s="1"/>
  <c r="AA56" i="83" a="1"/>
  <c r="AA56" i="83" s="1"/>
  <c r="AA58" i="83" a="1"/>
  <c r="AA58" i="83" s="1"/>
  <c r="AA59" i="83" a="1"/>
  <c r="AA59" i="83" s="1"/>
  <c r="AK19" i="83"/>
  <c r="AA55" i="83" a="1"/>
  <c r="AA55" i="83" s="1"/>
  <c r="AA51" i="83" a="1"/>
  <c r="AA51" i="83" s="1"/>
  <c r="AA52" i="83" a="1"/>
  <c r="AA52" i="83" s="1"/>
  <c r="AA49" i="83" a="1"/>
  <c r="AA49" i="83" s="1"/>
  <c r="AA53" i="83" a="1"/>
  <c r="AA53" i="83" s="1"/>
  <c r="AA50" i="83" a="1"/>
  <c r="AA50" i="83" s="1"/>
  <c r="AK6" i="83"/>
  <c r="AK14" i="83"/>
  <c r="AK47" i="83"/>
  <c r="AK53" i="83"/>
  <c r="AA77" i="76" a="1"/>
  <c r="AA77" i="76" s="1"/>
  <c r="AK41" i="76"/>
  <c r="AA102" i="29" a="1"/>
  <c r="AA102" i="29" s="1"/>
  <c r="AA65" i="29" a="1"/>
  <c r="AA65" i="29" s="1"/>
  <c r="AA66" i="29" a="1"/>
  <c r="AA66" i="29" s="1"/>
  <c r="AA47" i="76" a="1"/>
  <c r="AA47" i="76" s="1"/>
  <c r="AA44" i="74" a="1"/>
  <c r="AA44" i="74" s="1"/>
  <c r="AK4" i="74"/>
  <c r="AA69" i="76" a="1"/>
  <c r="AA69" i="76" s="1"/>
  <c r="AA59" i="74" a="1"/>
  <c r="AA59" i="74" s="1"/>
  <c r="AA55" i="74" a="1"/>
  <c r="AA55" i="74" s="1"/>
  <c r="AA68" i="76" a="1"/>
  <c r="AA68" i="76" s="1"/>
  <c r="AA77" i="75" a="1"/>
  <c r="AA77" i="75" s="1"/>
  <c r="AA76" i="75" a="1"/>
  <c r="AA76" i="75" s="1"/>
  <c r="AA64" i="77" a="1"/>
  <c r="AA64" i="77" s="1"/>
  <c r="AA106" i="77" a="1"/>
  <c r="AA106" i="77" s="1"/>
  <c r="AK30" i="77"/>
  <c r="AA65" i="76" a="1"/>
  <c r="AA65" i="76" s="1"/>
  <c r="AK33" i="76"/>
  <c r="AA67" i="76" a="1"/>
  <c r="AA67" i="76" s="1"/>
  <c r="AA48" i="74" a="1"/>
  <c r="AA48" i="74" s="1"/>
  <c r="AA47" i="74" a="1"/>
  <c r="AA47" i="74" s="1"/>
  <c r="AA62" i="77" a="1"/>
  <c r="AA62" i="77" s="1"/>
  <c r="AA75" i="76" a="1"/>
  <c r="AA75" i="76" s="1"/>
  <c r="AA79" i="76" a="1"/>
  <c r="AA79" i="76" s="1"/>
  <c r="AK39" i="76"/>
  <c r="AA63" i="77" a="1"/>
  <c r="AA63" i="77" s="1"/>
  <c r="AK40" i="29"/>
  <c r="AA108" i="83" a="1"/>
  <c r="AA108" i="83" s="1"/>
  <c r="AA110" i="83" a="1"/>
  <c r="AA110" i="83" s="1"/>
  <c r="AA107" i="83" a="1"/>
  <c r="AA107" i="83" s="1"/>
  <c r="AA109" i="83" a="1"/>
  <c r="AA109" i="83" s="1"/>
  <c r="AA111" i="83" a="1"/>
  <c r="AA111" i="83" s="1"/>
  <c r="AK54" i="83"/>
  <c r="AA95" i="83" a="1"/>
  <c r="AA95" i="83" s="1"/>
  <c r="AA93" i="83" a="1"/>
  <c r="AA93" i="83" s="1"/>
  <c r="AA96" i="83" a="1"/>
  <c r="AA96" i="83" s="1"/>
  <c r="AA94" i="83" a="1"/>
  <c r="AA94" i="83" s="1"/>
  <c r="AA92" i="83" a="1"/>
  <c r="AA92" i="83" s="1"/>
  <c r="AK16" i="83"/>
  <c r="AA64" i="83" a="1"/>
  <c r="AA64" i="83" s="1"/>
  <c r="AA61" i="83" a="1"/>
  <c r="AA61" i="83" s="1"/>
  <c r="AA62" i="83" a="1"/>
  <c r="AA62" i="83" s="1"/>
  <c r="AK30" i="83"/>
  <c r="AA60" i="83" a="1"/>
  <c r="AA60" i="83" s="1"/>
  <c r="AA63" i="83" a="1"/>
  <c r="AA63" i="83" s="1"/>
  <c r="AA103" i="83" a="1"/>
  <c r="AA103" i="83" s="1"/>
  <c r="AA105" i="83" a="1"/>
  <c r="AA105" i="83" s="1"/>
  <c r="AA102" i="83" a="1"/>
  <c r="AA102" i="83" s="1"/>
  <c r="AA106" i="83" a="1"/>
  <c r="AA106" i="83" s="1"/>
  <c r="AK40" i="83"/>
  <c r="AA104" i="83" a="1"/>
  <c r="AA104" i="83" s="1"/>
  <c r="N7" i="83"/>
  <c r="AA67" i="83" a="1"/>
  <c r="AA67" i="83" s="1"/>
  <c r="AK33" i="83"/>
  <c r="AA68" i="83" a="1"/>
  <c r="AA68" i="83" s="1"/>
  <c r="AA65" i="83" a="1"/>
  <c r="AA65" i="83" s="1"/>
  <c r="AA66" i="83" a="1"/>
  <c r="AA66" i="83" s="1"/>
  <c r="AA69" i="83" a="1"/>
  <c r="AA69" i="83" s="1"/>
  <c r="AK55" i="83"/>
  <c r="AK13" i="83"/>
  <c r="AA91" i="83" a="1"/>
  <c r="AA91" i="83" s="1"/>
  <c r="AA89" i="83" a="1"/>
  <c r="AA89" i="83" s="1"/>
  <c r="AA87" i="83" a="1"/>
  <c r="AA87" i="83" s="1"/>
  <c r="AA90" i="83" a="1"/>
  <c r="AA90" i="83" s="1"/>
  <c r="AA88" i="83" a="1"/>
  <c r="AA88" i="83" s="1"/>
  <c r="Y81" i="83"/>
  <c r="AA81" i="83" s="1" a="1"/>
  <c r="AA81" i="83" s="1"/>
  <c r="V31" i="83"/>
  <c r="B20" i="83" s="1"/>
  <c r="AD134" i="83" a="1"/>
  <c r="AD134" i="83" s="1"/>
  <c r="B197" i="83" s="1"/>
  <c r="AC134" i="83" a="1"/>
  <c r="AC134" i="83" s="1"/>
  <c r="AK17" i="83"/>
  <c r="AA101" i="83" a="1"/>
  <c r="AA101" i="83" s="1"/>
  <c r="AK18" i="83"/>
  <c r="AA97" i="83" a="1"/>
  <c r="AA97" i="83" s="1"/>
  <c r="AA100" i="83" a="1"/>
  <c r="AA100" i="83" s="1"/>
  <c r="AA98" i="83" a="1"/>
  <c r="AA98" i="83" s="1"/>
  <c r="AA99" i="83" a="1"/>
  <c r="AA99" i="83" s="1"/>
  <c r="AA44" i="83" a="1"/>
  <c r="AA44" i="83" s="1"/>
  <c r="AA45" i="83" a="1"/>
  <c r="AA45" i="83" s="1"/>
  <c r="AA46" i="83" a="1"/>
  <c r="AA46" i="83" s="1"/>
  <c r="AK4" i="83"/>
  <c r="AA48" i="83" a="1"/>
  <c r="AA48" i="83" s="1"/>
  <c r="AA47" i="83" a="1"/>
  <c r="AA47" i="83" s="1"/>
  <c r="AA77" i="83" a="1"/>
  <c r="AA77" i="83" s="1"/>
  <c r="AA79" i="83" a="1"/>
  <c r="AA79" i="83" s="1"/>
  <c r="AA76" i="83" a="1"/>
  <c r="AA76" i="83" s="1"/>
  <c r="AA75" i="83" a="1"/>
  <c r="AA75" i="83" s="1"/>
  <c r="AK39" i="83"/>
  <c r="AA78" i="83" a="1"/>
  <c r="AA78" i="83" s="1"/>
  <c r="AA91" i="29" a="1"/>
  <c r="AA91" i="29" s="1"/>
  <c r="AA89" i="29" a="1"/>
  <c r="AA89" i="29" s="1"/>
  <c r="AK13" i="29"/>
  <c r="AA97" i="29" a="1"/>
  <c r="AA97" i="29" s="1"/>
  <c r="AA88" i="29" a="1"/>
  <c r="AA88" i="29" s="1"/>
  <c r="AC134" i="29" a="1"/>
  <c r="AC134" i="29" s="1"/>
  <c r="AF134" i="29" s="1" a="1"/>
  <c r="AF134" i="29" s="1"/>
  <c r="B217" i="29" s="1"/>
  <c r="AA101" i="29" a="1"/>
  <c r="AA101" i="29" s="1"/>
  <c r="AA98" i="29" a="1"/>
  <c r="AA98" i="29" s="1"/>
  <c r="F244" i="82" a="1"/>
  <c r="F244" i="82" s="1"/>
  <c r="B365" i="82" s="1"/>
  <c r="AC2" i="82" a="1"/>
  <c r="O11" i="82"/>
  <c r="O12" i="82"/>
  <c r="O8" i="82"/>
  <c r="O9" i="82"/>
  <c r="O10" i="82"/>
  <c r="AJ42" i="82"/>
  <c r="AK42" i="82" s="1"/>
  <c r="AK7" i="82"/>
  <c r="AA103" i="82" a="1"/>
  <c r="AA103" i="82" s="1"/>
  <c r="AK17" i="82"/>
  <c r="AA102" i="82" a="1"/>
  <c r="AA102" i="82" s="1"/>
  <c r="AA106" i="82" a="1"/>
  <c r="AA106" i="82" s="1"/>
  <c r="AA104" i="82" a="1"/>
  <c r="AA104" i="82" s="1"/>
  <c r="AA105" i="82" a="1"/>
  <c r="AA105" i="82" s="1"/>
  <c r="AA71" i="82" a="1"/>
  <c r="AA71" i="82" s="1"/>
  <c r="AA74" i="82" a="1"/>
  <c r="AA74" i="82" s="1"/>
  <c r="AK34" i="82"/>
  <c r="AA72" i="82" a="1"/>
  <c r="AA72" i="82" s="1"/>
  <c r="AA70" i="82" a="1"/>
  <c r="AA70" i="82" s="1"/>
  <c r="AA73" i="82" a="1"/>
  <c r="AA73" i="82" s="1"/>
  <c r="AK14" i="82"/>
  <c r="AA72" i="29" a="1"/>
  <c r="AA72" i="29" s="1"/>
  <c r="AA103" i="74" a="1"/>
  <c r="AA103" i="74" s="1"/>
  <c r="AA48" i="75" a="1"/>
  <c r="AA48" i="75" s="1"/>
  <c r="AA78" i="75" a="1"/>
  <c r="AA78" i="75" s="1"/>
  <c r="AA102" i="74" a="1"/>
  <c r="AA102" i="74" s="1"/>
  <c r="AK4" i="76"/>
  <c r="AA105" i="77" a="1"/>
  <c r="AA105" i="77" s="1"/>
  <c r="AK40" i="74"/>
  <c r="AA105" i="74" a="1"/>
  <c r="AA105" i="74" s="1"/>
  <c r="AA71" i="29" a="1"/>
  <c r="AA71" i="29" s="1"/>
  <c r="AA75" i="75" a="1"/>
  <c r="AA75" i="75" s="1"/>
  <c r="AK4" i="75"/>
  <c r="AA45" i="76" a="1"/>
  <c r="AA45" i="76" s="1"/>
  <c r="AA104" i="77" a="1"/>
  <c r="AA104" i="77" s="1"/>
  <c r="AA44" i="76" a="1"/>
  <c r="AA44" i="76" s="1"/>
  <c r="AA73" i="29" a="1"/>
  <c r="AA73" i="29" s="1"/>
  <c r="AK40" i="77"/>
  <c r="AA44" i="75" a="1"/>
  <c r="AA44" i="75" s="1"/>
  <c r="AA57" i="74" a="1"/>
  <c r="AA57" i="74" s="1"/>
  <c r="AA45" i="75" a="1"/>
  <c r="AA45" i="75" s="1"/>
  <c r="AK34" i="29"/>
  <c r="AK40" i="73"/>
  <c r="AA105" i="73" a="1"/>
  <c r="AA105" i="73" s="1"/>
  <c r="AK19" i="74"/>
  <c r="AK16" i="82"/>
  <c r="AA95" i="82" a="1"/>
  <c r="AA95" i="82" s="1"/>
  <c r="AA93" i="82" a="1"/>
  <c r="AA93" i="82" s="1"/>
  <c r="AA96" i="82" a="1"/>
  <c r="AA96" i="82" s="1"/>
  <c r="AA94" i="82" a="1"/>
  <c r="AA94" i="82" s="1"/>
  <c r="AA92" i="82" a="1"/>
  <c r="AA92" i="82" s="1"/>
  <c r="AA64" i="82" a="1"/>
  <c r="AA64" i="82" s="1"/>
  <c r="AA61" i="82" a="1"/>
  <c r="AA61" i="82" s="1"/>
  <c r="AA62" i="82" a="1"/>
  <c r="AA62" i="82" s="1"/>
  <c r="AA60" i="82" a="1"/>
  <c r="AA60" i="82" s="1"/>
  <c r="AA63" i="82" a="1"/>
  <c r="AA63" i="82" s="1"/>
  <c r="AK30" i="82"/>
  <c r="AA77" i="82" a="1"/>
  <c r="AA77" i="82" s="1"/>
  <c r="AA79" i="82" a="1"/>
  <c r="AA79" i="82" s="1"/>
  <c r="AA76" i="82" a="1"/>
  <c r="AA76" i="82" s="1"/>
  <c r="AA75" i="82" a="1"/>
  <c r="AA75" i="82" s="1"/>
  <c r="AK39" i="82"/>
  <c r="AA78" i="82" a="1"/>
  <c r="AA78" i="82" s="1"/>
  <c r="AA101" i="82" a="1"/>
  <c r="AA101" i="82" s="1"/>
  <c r="AK18" i="82"/>
  <c r="AA97" i="82" a="1"/>
  <c r="AA97" i="82" s="1"/>
  <c r="AA100" i="82" a="1"/>
  <c r="AA100" i="82" s="1"/>
  <c r="AA99" i="82" a="1"/>
  <c r="AA99" i="82" s="1"/>
  <c r="AA98" i="82" a="1"/>
  <c r="AA98" i="82" s="1"/>
  <c r="AK41" i="82"/>
  <c r="AJ57" i="82"/>
  <c r="AK57" i="82" s="1"/>
  <c r="B54" i="82"/>
  <c r="B55" i="82"/>
  <c r="AD134" i="82" a="1"/>
  <c r="AD134" i="82" s="1"/>
  <c r="B197" i="82" s="1"/>
  <c r="AC134" i="82" a="1"/>
  <c r="AC134" i="82" s="1"/>
  <c r="AA67" i="82" a="1"/>
  <c r="AA67" i="82" s="1"/>
  <c r="AK33" i="82"/>
  <c r="AA68" i="82" a="1"/>
  <c r="AA68" i="82" s="1"/>
  <c r="AA65" i="82" a="1"/>
  <c r="AA65" i="82" s="1"/>
  <c r="AA69" i="82" a="1"/>
  <c r="AA69" i="82" s="1"/>
  <c r="AA66" i="82" a="1"/>
  <c r="AA66" i="82" s="1"/>
  <c r="AK47" i="82"/>
  <c r="P191" i="82"/>
  <c r="AJ54" i="82" s="1"/>
  <c r="AA52" i="82" a="1"/>
  <c r="AA52" i="82" s="1"/>
  <c r="AA49" i="82" a="1"/>
  <c r="AA49" i="82" s="1"/>
  <c r="AA53" i="82" a="1"/>
  <c r="AA53" i="82" s="1"/>
  <c r="AA50" i="82" a="1"/>
  <c r="AA50" i="82" s="1"/>
  <c r="AK6" i="82"/>
  <c r="AA51" i="82" a="1"/>
  <c r="AA51" i="82" s="1"/>
  <c r="AK9" i="82"/>
  <c r="AA58" i="82" a="1"/>
  <c r="AA58" i="82" s="1"/>
  <c r="AA59" i="82" a="1"/>
  <c r="AA59" i="82" s="1"/>
  <c r="AA55" i="82" a="1"/>
  <c r="AA55" i="82" s="1"/>
  <c r="AA56" i="82" a="1"/>
  <c r="AA56" i="82" s="1"/>
  <c r="AK19" i="82"/>
  <c r="AA57" i="82" a="1"/>
  <c r="AA57" i="82" s="1"/>
  <c r="AK44" i="82"/>
  <c r="Y81" i="82"/>
  <c r="AA81" i="82" s="1" a="1"/>
  <c r="AA81" i="82" s="1"/>
  <c r="V31" i="82"/>
  <c r="B20" i="82" s="1"/>
  <c r="AK53" i="82"/>
  <c r="AJ55" i="82"/>
  <c r="P187" i="82"/>
  <c r="AJ13" i="82" s="1"/>
  <c r="AA44" i="82" a="1"/>
  <c r="AA44" i="82" s="1"/>
  <c r="AA45" i="82" a="1"/>
  <c r="AA45" i="82" s="1"/>
  <c r="AA46" i="82" a="1"/>
  <c r="AA46" i="82" s="1"/>
  <c r="AK4" i="82"/>
  <c r="AA47" i="82" a="1"/>
  <c r="AA47" i="82" s="1"/>
  <c r="AA48" i="82" a="1"/>
  <c r="AA48" i="82" s="1"/>
  <c r="AE156" i="81"/>
  <c r="AC2" i="81" a="1"/>
  <c r="AC2" i="81" s="1"/>
  <c r="F244" i="81" a="1"/>
  <c r="F244" i="81" s="1"/>
  <c r="B365" i="81" s="1"/>
  <c r="AK34" i="81"/>
  <c r="B54" i="81"/>
  <c r="B55" i="81"/>
  <c r="AA74" i="81" a="1"/>
  <c r="AA74" i="81" s="1"/>
  <c r="AA71" i="81" a="1"/>
  <c r="AA71" i="81" s="1"/>
  <c r="AA73" i="81" a="1"/>
  <c r="AA73" i="81" s="1"/>
  <c r="AA70" i="81" a="1"/>
  <c r="AA70" i="81" s="1"/>
  <c r="AA46" i="78" a="1"/>
  <c r="AA46" i="78" s="1"/>
  <c r="AD134" i="78" a="1"/>
  <c r="B201" i="78" s="1"/>
  <c r="AC134" i="77" a="1"/>
  <c r="AC134" i="77" s="1"/>
  <c r="B177" i="77" s="1"/>
  <c r="AA73" i="77" a="1"/>
  <c r="AA73" i="77" s="1"/>
  <c r="AA70" i="77" a="1"/>
  <c r="AA70" i="77" s="1"/>
  <c r="AA100" i="76" a="1"/>
  <c r="AA100" i="76" s="1"/>
  <c r="AK6" i="76"/>
  <c r="AA53" i="76" a="1"/>
  <c r="AA53" i="76" s="1"/>
  <c r="AA97" i="76" a="1"/>
  <c r="AA97" i="76" s="1"/>
  <c r="AA50" i="76" a="1"/>
  <c r="AA50" i="76" s="1"/>
  <c r="AK18" i="76"/>
  <c r="AA49" i="76" a="1"/>
  <c r="AA49" i="76" s="1"/>
  <c r="AA101" i="76" a="1"/>
  <c r="AA101" i="76" s="1"/>
  <c r="AA52" i="76" a="1"/>
  <c r="AA52" i="76" s="1"/>
  <c r="AA98" i="76" a="1"/>
  <c r="AA98" i="76" s="1"/>
  <c r="AC134" i="76" a="1"/>
  <c r="B179" i="76" s="1"/>
  <c r="AA72" i="75" a="1"/>
  <c r="AA72" i="75" s="1"/>
  <c r="AA58" i="75" a="1"/>
  <c r="AA58" i="75" s="1"/>
  <c r="AA107" i="75" a="1"/>
  <c r="AA107" i="75" s="1"/>
  <c r="AA110" i="75" a="1"/>
  <c r="AA110" i="75" s="1"/>
  <c r="AA49" i="75" a="1"/>
  <c r="AA49" i="75" s="1"/>
  <c r="AA73" i="75" a="1"/>
  <c r="AA73" i="75" s="1"/>
  <c r="AA51" i="75" a="1"/>
  <c r="AA51" i="75" s="1"/>
  <c r="AA57" i="75" a="1"/>
  <c r="AA57" i="75" s="1"/>
  <c r="AD134" i="75" a="1"/>
  <c r="B200" i="75" s="1"/>
  <c r="AA109" i="75" a="1"/>
  <c r="AA109" i="75" s="1"/>
  <c r="AA74" i="75" a="1"/>
  <c r="AA74" i="75" s="1"/>
  <c r="AA69" i="74" a="1"/>
  <c r="AA69" i="74" s="1"/>
  <c r="AA65" i="74" a="1"/>
  <c r="AA65" i="74" s="1"/>
  <c r="AA68" i="74" a="1"/>
  <c r="AA68" i="74" s="1"/>
  <c r="AA67" i="74" a="1"/>
  <c r="AA67" i="74" s="1"/>
  <c r="AC134" i="74" a="1"/>
  <c r="AC134" i="74" s="1"/>
  <c r="B177" i="74" s="1"/>
  <c r="AA78" i="74" a="1"/>
  <c r="AA78" i="74" s="1"/>
  <c r="AA77" i="74" a="1"/>
  <c r="AA77" i="74" s="1"/>
  <c r="AA57" i="29" a="1"/>
  <c r="AA57" i="29" s="1"/>
  <c r="AA62" i="29" a="1"/>
  <c r="AA62" i="29" s="1"/>
  <c r="AK30" i="29"/>
  <c r="AA109" i="29" a="1"/>
  <c r="AA109" i="29" s="1"/>
  <c r="AA79" i="29" a="1"/>
  <c r="AA79" i="29" s="1"/>
  <c r="AA76" i="29" a="1"/>
  <c r="AA76" i="29" s="1"/>
  <c r="AK14" i="29"/>
  <c r="AA87" i="29" a="1"/>
  <c r="AA87" i="29" s="1"/>
  <c r="AK18" i="29"/>
  <c r="AK44" i="29"/>
  <c r="AA64" i="29" a="1"/>
  <c r="AA64" i="29" s="1"/>
  <c r="AA75" i="29" a="1"/>
  <c r="AA75" i="29" s="1"/>
  <c r="AD2" i="29"/>
  <c r="B115" i="29" s="1"/>
  <c r="AA45" i="29" a="1"/>
  <c r="AA45" i="29" s="1"/>
  <c r="AA46" i="29" a="1"/>
  <c r="AA46" i="29" s="1"/>
  <c r="AK53" i="29"/>
  <c r="AA95" i="29" a="1"/>
  <c r="AA95" i="29" s="1"/>
  <c r="AA60" i="29" a="1"/>
  <c r="AA60" i="29" s="1"/>
  <c r="AK16" i="29"/>
  <c r="AK41" i="29"/>
  <c r="AA49" i="29" a="1"/>
  <c r="AA49" i="29" s="1"/>
  <c r="AK6" i="29"/>
  <c r="AA92" i="29" a="1"/>
  <c r="AA92" i="29" s="1"/>
  <c r="AA74" i="29" a="1"/>
  <c r="AA74" i="29" s="1"/>
  <c r="AA63" i="29" a="1"/>
  <c r="AA63" i="29" s="1"/>
  <c r="AK55" i="29"/>
  <c r="AA93" i="29" a="1"/>
  <c r="AA93" i="29" s="1"/>
  <c r="AA96" i="29" a="1"/>
  <c r="AA96" i="29" s="1"/>
  <c r="AD134" i="29" a="1"/>
  <c r="AD134" i="29" s="1"/>
  <c r="B197" i="29" s="1"/>
  <c r="AK54" i="29"/>
  <c r="AA68" i="29" a="1"/>
  <c r="AA68" i="29" s="1"/>
  <c r="AA69" i="29" a="1"/>
  <c r="AA69" i="29" s="1"/>
  <c r="AA105" i="29" a="1"/>
  <c r="AA105" i="29" s="1"/>
  <c r="AK9" i="29"/>
  <c r="AA109" i="73" a="1"/>
  <c r="AA109" i="73" s="1"/>
  <c r="AA93" i="73" a="1"/>
  <c r="AA93" i="73" s="1"/>
  <c r="AA74" i="73" a="1"/>
  <c r="AA74" i="73" s="1"/>
  <c r="AA58" i="73" a="1"/>
  <c r="AA58" i="73" s="1"/>
  <c r="AA55" i="73" a="1"/>
  <c r="AA55" i="73" s="1"/>
  <c r="AA107" i="73" a="1"/>
  <c r="AA107" i="73" s="1"/>
  <c r="AK19" i="73"/>
  <c r="AA56" i="73" a="1"/>
  <c r="AA56" i="73" s="1"/>
  <c r="AA111" i="73" a="1"/>
  <c r="AA111" i="73" s="1"/>
  <c r="AK34" i="73"/>
  <c r="AA72" i="73" a="1"/>
  <c r="AA72" i="73" s="1"/>
  <c r="AA73" i="73" a="1"/>
  <c r="AA73" i="73" s="1"/>
  <c r="AA95" i="73" a="1"/>
  <c r="AA95" i="73" s="1"/>
  <c r="AC134" i="73" a="1"/>
  <c r="B178" i="73" s="1"/>
  <c r="AA106" i="73" a="1"/>
  <c r="AA106" i="73" s="1"/>
  <c r="AA94" i="73" a="1"/>
  <c r="AA94" i="73" s="1"/>
  <c r="AA110" i="73" a="1"/>
  <c r="AA110" i="73" s="1"/>
  <c r="AK16" i="73"/>
  <c r="AK14" i="81"/>
  <c r="AA76" i="79" a="1"/>
  <c r="AA76" i="79" s="1"/>
  <c r="AA50" i="79" a="1"/>
  <c r="AA50" i="79" s="1"/>
  <c r="AA105" i="79" a="1"/>
  <c r="AA105" i="79" s="1"/>
  <c r="AA48" i="34" a="1"/>
  <c r="AA48" i="34" s="1"/>
  <c r="AK4" i="34"/>
  <c r="AA45" i="34" a="1"/>
  <c r="AA45" i="34" s="1"/>
  <c r="AA47" i="34" a="1"/>
  <c r="AA47" i="34" s="1"/>
  <c r="AA46" i="34" a="1"/>
  <c r="AA46" i="34" s="1"/>
  <c r="AA68" i="78" a="1"/>
  <c r="AA68" i="78" s="1"/>
  <c r="AA66" i="78" a="1"/>
  <c r="AA66" i="78" s="1"/>
  <c r="AK14" i="78"/>
  <c r="AK53" i="78"/>
  <c r="AK9" i="78"/>
  <c r="AA45" i="78" a="1"/>
  <c r="AA45" i="78" s="1"/>
  <c r="AK55" i="78"/>
  <c r="AA57" i="78" a="1"/>
  <c r="AA57" i="78" s="1"/>
  <c r="AA67" i="78" a="1"/>
  <c r="AA67" i="78" s="1"/>
  <c r="AA56" i="78" a="1"/>
  <c r="AA56" i="78" s="1"/>
  <c r="AK54" i="78"/>
  <c r="AA73" i="78" a="1"/>
  <c r="AA73" i="78" s="1"/>
  <c r="AA63" i="78" a="1"/>
  <c r="AA63" i="78" s="1"/>
  <c r="AK41" i="78"/>
  <c r="AA88" i="78" a="1"/>
  <c r="AA88" i="78" s="1"/>
  <c r="AC134" i="78" a="1"/>
  <c r="B179" i="78" s="1"/>
  <c r="AK33" i="78"/>
  <c r="AK44" i="78"/>
  <c r="AA52" i="78" a="1"/>
  <c r="AA52" i="78" s="1"/>
  <c r="AA65" i="78" a="1"/>
  <c r="AA65" i="78" s="1"/>
  <c r="AA58" i="78" a="1"/>
  <c r="AA58" i="78" s="1"/>
  <c r="AA59" i="78" a="1"/>
  <c r="AA59" i="78" s="1"/>
  <c r="AK19" i="78"/>
  <c r="AK40" i="78"/>
  <c r="AA75" i="78" a="1"/>
  <c r="AA75" i="78" s="1"/>
  <c r="AD134" i="77" a="1"/>
  <c r="AD134" i="77" s="1"/>
  <c r="B197" i="77" s="1"/>
  <c r="AA100" i="77" a="1"/>
  <c r="AA100" i="77" s="1"/>
  <c r="AA71" i="77" a="1"/>
  <c r="AA71" i="77" s="1"/>
  <c r="AA99" i="77" a="1"/>
  <c r="AA99" i="77" s="1"/>
  <c r="AA54" i="77" a="1"/>
  <c r="AA54" i="77" s="1"/>
  <c r="AA91" i="77" a="1"/>
  <c r="AA91" i="77" s="1"/>
  <c r="AK14" i="77"/>
  <c r="AA59" i="77" a="1"/>
  <c r="AA59" i="77" s="1"/>
  <c r="AK18" i="77"/>
  <c r="AA72" i="77" a="1"/>
  <c r="AA72" i="77" s="1"/>
  <c r="AK55" i="77"/>
  <c r="AA102" i="77" a="1"/>
  <c r="AA102" i="77" s="1"/>
  <c r="AA98" i="77" a="1"/>
  <c r="AA98" i="77" s="1"/>
  <c r="AK44" i="77"/>
  <c r="AK41" i="77"/>
  <c r="AA60" i="77" a="1"/>
  <c r="AA60" i="77" s="1"/>
  <c r="AK34" i="77"/>
  <c r="AA80" i="77" a="1"/>
  <c r="AA80" i="77" s="1"/>
  <c r="AK53" i="77"/>
  <c r="AA93" i="77" a="1"/>
  <c r="AA93" i="77" s="1"/>
  <c r="AA44" i="77" a="1"/>
  <c r="AA44" i="77" s="1"/>
  <c r="AA109" i="77" a="1"/>
  <c r="AA109" i="77" s="1"/>
  <c r="AK34" i="76"/>
  <c r="AK55" i="76"/>
  <c r="AK9" i="76"/>
  <c r="AA46" i="76" a="1"/>
  <c r="AA46" i="76" s="1"/>
  <c r="AK14" i="76"/>
  <c r="AA57" i="76" a="1"/>
  <c r="AA57" i="76" s="1"/>
  <c r="AA111" i="76" a="1"/>
  <c r="AA111" i="76" s="1"/>
  <c r="AA78" i="76" a="1"/>
  <c r="AA78" i="76" s="1"/>
  <c r="AK53" i="76"/>
  <c r="AA104" i="76" a="1"/>
  <c r="AA104" i="76" s="1"/>
  <c r="AA91" i="76" a="1"/>
  <c r="AA91" i="76" s="1"/>
  <c r="AK44" i="76"/>
  <c r="AA64" i="76" a="1"/>
  <c r="AA64" i="76" s="1"/>
  <c r="AK53" i="75"/>
  <c r="AA47" i="75" a="1"/>
  <c r="AA47" i="75" s="1"/>
  <c r="AA64" i="75" a="1"/>
  <c r="AA64" i="75" s="1"/>
  <c r="AA101" i="75" a="1"/>
  <c r="AA101" i="75" s="1"/>
  <c r="AK39" i="75"/>
  <c r="AK16" i="75"/>
  <c r="AK9" i="75"/>
  <c r="AA60" i="75" a="1"/>
  <c r="AA60" i="75" s="1"/>
  <c r="AA63" i="75" a="1"/>
  <c r="AA63" i="75" s="1"/>
  <c r="AA62" i="75" a="1"/>
  <c r="AA62" i="75" s="1"/>
  <c r="AK44" i="75"/>
  <c r="AA108" i="75" a="1"/>
  <c r="AA108" i="75" s="1"/>
  <c r="AK34" i="75"/>
  <c r="AA59" i="75" a="1"/>
  <c r="AA59" i="75" s="1"/>
  <c r="AK30" i="75"/>
  <c r="AK13" i="75"/>
  <c r="B179" i="75"/>
  <c r="AA98" i="75" a="1"/>
  <c r="AA98" i="75" s="1"/>
  <c r="AK41" i="75"/>
  <c r="AA103" i="75" a="1"/>
  <c r="AA103" i="75" s="1"/>
  <c r="AK6" i="75"/>
  <c r="AK14" i="75"/>
  <c r="AA68" i="75" a="1"/>
  <c r="AA68" i="75" s="1"/>
  <c r="AK55" i="75"/>
  <c r="AA111" i="74" a="1"/>
  <c r="AA111" i="74" s="1"/>
  <c r="AD4" i="74"/>
  <c r="B117" i="74" s="1"/>
  <c r="AC2" i="74"/>
  <c r="AF2" i="74" s="1"/>
  <c r="B145" i="74" s="1"/>
  <c r="AF6" i="74"/>
  <c r="B149" i="74" s="1"/>
  <c r="AD5" i="74"/>
  <c r="B118" i="74" s="1"/>
  <c r="AF5" i="74"/>
  <c r="B148" i="74" s="1"/>
  <c r="AA50" i="74" a="1"/>
  <c r="AA50" i="74" s="1"/>
  <c r="AK6" i="74"/>
  <c r="AA53" i="74" a="1"/>
  <c r="AA53" i="74" s="1"/>
  <c r="AA109" i="74" a="1"/>
  <c r="AA109" i="74" s="1"/>
  <c r="AK9" i="74"/>
  <c r="AA106" i="74" a="1"/>
  <c r="AA106" i="74" s="1"/>
  <c r="AK54" i="74"/>
  <c r="AK41" i="74"/>
  <c r="AA45" i="74" a="1"/>
  <c r="AA45" i="74" s="1"/>
  <c r="AK55" i="74"/>
  <c r="AA107" i="74" a="1"/>
  <c r="AA107" i="74" s="1"/>
  <c r="AA96" i="74" a="1"/>
  <c r="AA96" i="74" s="1"/>
  <c r="AA90" i="74" a="1"/>
  <c r="AA90" i="74" s="1"/>
  <c r="AD6" i="74"/>
  <c r="B119" i="74" s="1"/>
  <c r="AA58" i="74" a="1"/>
  <c r="AA58" i="74" s="1"/>
  <c r="AA61" i="74" a="1"/>
  <c r="AA61" i="74" s="1"/>
  <c r="AK44" i="74"/>
  <c r="AK53" i="74"/>
  <c r="AA75" i="74" a="1"/>
  <c r="AA75" i="74" s="1"/>
  <c r="AK39" i="74"/>
  <c r="AA66" i="74" a="1"/>
  <c r="AA66" i="74" s="1"/>
  <c r="AD3" i="74"/>
  <c r="B116" i="74" s="1"/>
  <c r="AD134" i="74" a="1"/>
  <c r="AD134" i="74" s="1"/>
  <c r="B197" i="74" s="1"/>
  <c r="AF3" i="74"/>
  <c r="B146" i="74" s="1"/>
  <c r="AK14" i="74"/>
  <c r="AA98" i="74" a="1"/>
  <c r="AA98" i="74" s="1"/>
  <c r="AA72" i="74" a="1"/>
  <c r="AA72" i="74" s="1"/>
  <c r="AA59" i="73" a="1"/>
  <c r="AA59" i="73" s="1"/>
  <c r="AK9" i="73"/>
  <c r="AK44" i="73"/>
  <c r="AA104" i="73" a="1"/>
  <c r="AA104" i="73" s="1"/>
  <c r="AK39" i="73"/>
  <c r="AK55" i="73"/>
  <c r="AA97" i="73" a="1"/>
  <c r="AA97" i="73" s="1"/>
  <c r="AK41" i="73"/>
  <c r="AA66" i="73" a="1"/>
  <c r="AA66" i="73" s="1"/>
  <c r="AA53" i="73" a="1"/>
  <c r="AA53" i="73" s="1"/>
  <c r="AK53" i="73"/>
  <c r="AA62" i="73" a="1"/>
  <c r="AA62" i="73" s="1"/>
  <c r="AA87" i="73" a="1"/>
  <c r="AA87" i="73" s="1"/>
  <c r="AD134" i="73" a="1"/>
  <c r="AD134" i="73" s="1"/>
  <c r="B197" i="73" s="1"/>
  <c r="AA96" i="73" a="1"/>
  <c r="AA96" i="73" s="1"/>
  <c r="AK54" i="73"/>
  <c r="AK14" i="73"/>
  <c r="AA70" i="73" a="1"/>
  <c r="AA70" i="73" s="1"/>
  <c r="AA48" i="73" a="1"/>
  <c r="AA48" i="73" s="1"/>
  <c r="AA56" i="79" a="1"/>
  <c r="AA56" i="79" s="1"/>
  <c r="AA69" i="79" a="1"/>
  <c r="AA69" i="79" s="1"/>
  <c r="AA100" i="79" a="1"/>
  <c r="AA100" i="79" s="1"/>
  <c r="AA54" i="80" a="1"/>
  <c r="AA54" i="80" s="1"/>
  <c r="B199" i="76"/>
  <c r="B198" i="76"/>
  <c r="AA71" i="79" a="1"/>
  <c r="AA71" i="79" s="1"/>
  <c r="AA95" i="79" a="1"/>
  <c r="AA95" i="79" s="1"/>
  <c r="AA106" i="79" a="1"/>
  <c r="AA106" i="79" s="1"/>
  <c r="AA102" i="79" a="1"/>
  <c r="AA102" i="79" s="1"/>
  <c r="AA92" i="79" a="1"/>
  <c r="AA92" i="79" s="1"/>
  <c r="AK54" i="79"/>
  <c r="AA60" i="79" a="1"/>
  <c r="AA60" i="79" s="1"/>
  <c r="AA51" i="79" a="1"/>
  <c r="AA51" i="79" s="1"/>
  <c r="AK40" i="79"/>
  <c r="AA73" i="79" a="1"/>
  <c r="AA73" i="79" s="1"/>
  <c r="AA79" i="79" a="1"/>
  <c r="AA79" i="79" s="1"/>
  <c r="W40" i="80" a="1"/>
  <c r="W40" i="80" s="1"/>
  <c r="AK34" i="79"/>
  <c r="AK33" i="79"/>
  <c r="AA68" i="79" a="1"/>
  <c r="AA68" i="79" s="1"/>
  <c r="AA98" i="79" a="1"/>
  <c r="AA98" i="79" s="1"/>
  <c r="AK18" i="79"/>
  <c r="AA66" i="79" a="1"/>
  <c r="AA66" i="79" s="1"/>
  <c r="AA94" i="79" a="1"/>
  <c r="AA94" i="79" s="1"/>
  <c r="AA65" i="79" a="1"/>
  <c r="AA65" i="79" s="1"/>
  <c r="AA97" i="79" a="1"/>
  <c r="AA97" i="79" s="1"/>
  <c r="AA74" i="79" a="1"/>
  <c r="AA74" i="79" s="1"/>
  <c r="AA101" i="79" a="1"/>
  <c r="AA101" i="79" s="1"/>
  <c r="AA70" i="79" a="1"/>
  <c r="AA70" i="79" s="1"/>
  <c r="AA90" i="79" a="1"/>
  <c r="AA90" i="79" s="1"/>
  <c r="AA67" i="81" a="1"/>
  <c r="AA67" i="81" s="1"/>
  <c r="AK33" i="81"/>
  <c r="AA68" i="81" a="1"/>
  <c r="AA68" i="81" s="1"/>
  <c r="AA65" i="81" a="1"/>
  <c r="AA65" i="81" s="1"/>
  <c r="AA69" i="81" a="1"/>
  <c r="AA69" i="81" s="1"/>
  <c r="AA66" i="81" a="1"/>
  <c r="AA66" i="81" s="1"/>
  <c r="AA77" i="81" a="1"/>
  <c r="AA77" i="81" s="1"/>
  <c r="AA79" i="81" a="1"/>
  <c r="AA79" i="81" s="1"/>
  <c r="AA76" i="81" a="1"/>
  <c r="AA76" i="81" s="1"/>
  <c r="AA75" i="81" a="1"/>
  <c r="AA75" i="81" s="1"/>
  <c r="AK39" i="81"/>
  <c r="AA78" i="81" a="1"/>
  <c r="AA78" i="81" s="1"/>
  <c r="AA101" i="81" a="1"/>
  <c r="AA101" i="81" s="1"/>
  <c r="AK18" i="81"/>
  <c r="AA97" i="81" a="1"/>
  <c r="AA97" i="81" s="1"/>
  <c r="AA100" i="81" a="1"/>
  <c r="AA100" i="81" s="1"/>
  <c r="AA99" i="81" a="1"/>
  <c r="AA99" i="81" s="1"/>
  <c r="AA98" i="81" a="1"/>
  <c r="AA98" i="81" s="1"/>
  <c r="AK16" i="81"/>
  <c r="AA95" i="81" a="1"/>
  <c r="AA95" i="81" s="1"/>
  <c r="AA93" i="81" a="1"/>
  <c r="AA93" i="81" s="1"/>
  <c r="AA96" i="81" a="1"/>
  <c r="AA96" i="81" s="1"/>
  <c r="AA94" i="81" a="1"/>
  <c r="AA94" i="81" s="1"/>
  <c r="AA92" i="81" a="1"/>
  <c r="AA92" i="81" s="1"/>
  <c r="AK9" i="81"/>
  <c r="AK55" i="81"/>
  <c r="P191" i="81"/>
  <c r="AJ54" i="81" s="1"/>
  <c r="Y81" i="81"/>
  <c r="AA81" i="81" s="1" a="1"/>
  <c r="AA81" i="81" s="1"/>
  <c r="V31" i="81"/>
  <c r="B20" i="81" s="1"/>
  <c r="AD134" i="81" a="1"/>
  <c r="AD134" i="81" s="1"/>
  <c r="B197" i="81" s="1"/>
  <c r="AC134" i="81" a="1"/>
  <c r="AC134" i="81" s="1"/>
  <c r="B177" i="81" s="1"/>
  <c r="O11" i="81"/>
  <c r="O8" i="81"/>
  <c r="O10" i="81"/>
  <c r="O12" i="81"/>
  <c r="AK53" i="81"/>
  <c r="AA44" i="81" a="1"/>
  <c r="AA44" i="81" s="1"/>
  <c r="AA45" i="81" a="1"/>
  <c r="AA45" i="81" s="1"/>
  <c r="AA46" i="81" a="1"/>
  <c r="AA46" i="81" s="1"/>
  <c r="AK4" i="81"/>
  <c r="AA47" i="81" a="1"/>
  <c r="AA47" i="81" s="1"/>
  <c r="AA48" i="81" a="1"/>
  <c r="AA48" i="81" s="1"/>
  <c r="AA103" i="81" a="1"/>
  <c r="AA103" i="81" s="1"/>
  <c r="AA105" i="81" a="1"/>
  <c r="AA105" i="81" s="1"/>
  <c r="AA102" i="81" a="1"/>
  <c r="AA102" i="81" s="1"/>
  <c r="AA104" i="81" a="1"/>
  <c r="AA104" i="81" s="1"/>
  <c r="AK40" i="81"/>
  <c r="AA106" i="81" a="1"/>
  <c r="AA106" i="81" s="1"/>
  <c r="AA64" i="81" a="1"/>
  <c r="AA64" i="81" s="1"/>
  <c r="AA61" i="81" a="1"/>
  <c r="AA61" i="81" s="1"/>
  <c r="AA62" i="81" a="1"/>
  <c r="AA62" i="81" s="1"/>
  <c r="AA60" i="81" a="1"/>
  <c r="AA60" i="81" s="1"/>
  <c r="AA63" i="81" a="1"/>
  <c r="AA63" i="81" s="1"/>
  <c r="AK30" i="81"/>
  <c r="AA52" i="81" a="1"/>
  <c r="AA52" i="81" s="1"/>
  <c r="AA49" i="81" a="1"/>
  <c r="AA49" i="81" s="1"/>
  <c r="AA53" i="81" a="1"/>
  <c r="AA53" i="81" s="1"/>
  <c r="AA50" i="81" a="1"/>
  <c r="AA50" i="81" s="1"/>
  <c r="AK6" i="81"/>
  <c r="AA51" i="81" a="1"/>
  <c r="AA51" i="81" s="1"/>
  <c r="AA58" i="81" a="1"/>
  <c r="AA58" i="81" s="1"/>
  <c r="AA59" i="81" a="1"/>
  <c r="AA59" i="81" s="1"/>
  <c r="AA55" i="81" a="1"/>
  <c r="AA55" i="81" s="1"/>
  <c r="AA56" i="81" a="1"/>
  <c r="AA56" i="81" s="1"/>
  <c r="AK19" i="81"/>
  <c r="AA57" i="81" a="1"/>
  <c r="AA57" i="81" s="1"/>
  <c r="P187" i="81"/>
  <c r="AJ13" i="81" s="1"/>
  <c r="V33" i="81"/>
  <c r="B22" i="81" s="1"/>
  <c r="Y80" i="81"/>
  <c r="AK17" i="81"/>
  <c r="AJ41" i="81"/>
  <c r="AK44" i="81"/>
  <c r="AF5" i="78"/>
  <c r="B148" i="78" s="1"/>
  <c r="AD4" i="78"/>
  <c r="B117" i="78" s="1"/>
  <c r="AF3" i="78"/>
  <c r="B146" i="78" s="1"/>
  <c r="AC2" i="78"/>
  <c r="AD2" i="78" s="1"/>
  <c r="B115" i="78" s="1"/>
  <c r="AD5" i="78"/>
  <c r="B118" i="78" s="1"/>
  <c r="AD3" i="78"/>
  <c r="B116" i="78" s="1"/>
  <c r="AF11" i="75"/>
  <c r="B154" i="75" s="1"/>
  <c r="AD7" i="75"/>
  <c r="B120" i="75" s="1"/>
  <c r="AD9" i="75"/>
  <c r="B122" i="75" s="1"/>
  <c r="AF7" i="75"/>
  <c r="B150" i="75" s="1"/>
  <c r="AF9" i="75"/>
  <c r="B152" i="75" s="1"/>
  <c r="AC2" i="75"/>
  <c r="AF2" i="75" s="1"/>
  <c r="B145" i="75" s="1"/>
  <c r="AD5" i="75"/>
  <c r="B118" i="75" s="1"/>
  <c r="AD12" i="75"/>
  <c r="B125" i="75" s="1"/>
  <c r="AF12" i="75"/>
  <c r="B155" i="75" s="1"/>
  <c r="AD3" i="75"/>
  <c r="B116" i="75" s="1"/>
  <c r="AD8" i="75"/>
  <c r="B121" i="75" s="1"/>
  <c r="AF5" i="75"/>
  <c r="B148" i="75" s="1"/>
  <c r="AD4" i="75"/>
  <c r="B117" i="75" s="1"/>
  <c r="AF3" i="75"/>
  <c r="B146" i="75" s="1"/>
  <c r="AD10" i="75"/>
  <c r="B123" i="75" s="1"/>
  <c r="AF4" i="75"/>
  <c r="B147" i="75" s="1"/>
  <c r="AD6" i="75"/>
  <c r="B119" i="75" s="1"/>
  <c r="AD11" i="75"/>
  <c r="B124" i="75" s="1"/>
  <c r="AF10" i="75"/>
  <c r="B153" i="75" s="1"/>
  <c r="AF6" i="75"/>
  <c r="B149" i="75" s="1"/>
  <c r="AD4" i="73"/>
  <c r="B117" i="73" s="1"/>
  <c r="AF4" i="73"/>
  <c r="B147" i="73" s="1"/>
  <c r="AC2" i="73"/>
  <c r="AF2" i="73" s="1"/>
  <c r="B145" i="73" s="1"/>
  <c r="AF3" i="73"/>
  <c r="B146" i="73" s="1"/>
  <c r="AA4" i="80"/>
  <c r="AA3" i="80"/>
  <c r="F244" i="80" a="1"/>
  <c r="F244" i="80" s="1"/>
  <c r="B365" i="80" s="1"/>
  <c r="AK7" i="80"/>
  <c r="AK14" i="80"/>
  <c r="AK55" i="80"/>
  <c r="AK13" i="80"/>
  <c r="AA91" i="80" a="1"/>
  <c r="AA91" i="80" s="1"/>
  <c r="AA89" i="80" a="1"/>
  <c r="AA89" i="80" s="1"/>
  <c r="AA87" i="80" a="1"/>
  <c r="AA87" i="80" s="1"/>
  <c r="AA90" i="80" a="1"/>
  <c r="AA90" i="80" s="1"/>
  <c r="AA88" i="80" a="1"/>
  <c r="AA88" i="80" s="1"/>
  <c r="AA52" i="80" a="1"/>
  <c r="AA52" i="80" s="1"/>
  <c r="AA49" i="80" a="1"/>
  <c r="AA49" i="80" s="1"/>
  <c r="AA53" i="80" a="1"/>
  <c r="AA53" i="80" s="1"/>
  <c r="AA50" i="80" a="1"/>
  <c r="AA50" i="80" s="1"/>
  <c r="AK6" i="80"/>
  <c r="AA51" i="80" a="1"/>
  <c r="AA51" i="80" s="1"/>
  <c r="AK9" i="80"/>
  <c r="AA103" i="80" a="1"/>
  <c r="AA103" i="80" s="1"/>
  <c r="AA105" i="80" a="1"/>
  <c r="AA105" i="80" s="1"/>
  <c r="AA102" i="80" a="1"/>
  <c r="AA102" i="80" s="1"/>
  <c r="AA106" i="80" a="1"/>
  <c r="AA106" i="80" s="1"/>
  <c r="AK40" i="80"/>
  <c r="AA104" i="80" a="1"/>
  <c r="AA104" i="80" s="1"/>
  <c r="AA101" i="80" a="1"/>
  <c r="AA101" i="80" s="1"/>
  <c r="AK18" i="80"/>
  <c r="AA97" i="80" a="1"/>
  <c r="AA97" i="80" s="1"/>
  <c r="AA100" i="80" a="1"/>
  <c r="AA100" i="80" s="1"/>
  <c r="AA99" i="80" a="1"/>
  <c r="AA99" i="80" s="1"/>
  <c r="AA98" i="80" a="1"/>
  <c r="AA98" i="80" s="1"/>
  <c r="P191" i="80"/>
  <c r="AJ54" i="80" s="1"/>
  <c r="AA58" i="80" a="1"/>
  <c r="AA58" i="80" s="1"/>
  <c r="AA59" i="80" a="1"/>
  <c r="AA59" i="80" s="1"/>
  <c r="AA55" i="80" a="1"/>
  <c r="AA55" i="80" s="1"/>
  <c r="AA56" i="80" a="1"/>
  <c r="AA56" i="80" s="1"/>
  <c r="AK19" i="80"/>
  <c r="AA57" i="80" a="1"/>
  <c r="AA57" i="80" s="1"/>
  <c r="AA67" i="80" a="1"/>
  <c r="AA67" i="80" s="1"/>
  <c r="AK33" i="80"/>
  <c r="AA68" i="80" a="1"/>
  <c r="AA68" i="80" s="1"/>
  <c r="AA65" i="80" a="1"/>
  <c r="AA65" i="80" s="1"/>
  <c r="AA69" i="80" a="1"/>
  <c r="AA69" i="80" s="1"/>
  <c r="AA66" i="80" a="1"/>
  <c r="AA66" i="80" s="1"/>
  <c r="V33" i="80"/>
  <c r="B22" i="80" s="1"/>
  <c r="Y80" i="80"/>
  <c r="AA80" i="80" s="1" a="1"/>
  <c r="AA80" i="80" s="1"/>
  <c r="AK44" i="80"/>
  <c r="AK16" i="80"/>
  <c r="AA95" i="80" a="1"/>
  <c r="AA95" i="80" s="1"/>
  <c r="AA93" i="80" a="1"/>
  <c r="AA93" i="80" s="1"/>
  <c r="AA96" i="80" a="1"/>
  <c r="AA96" i="80" s="1"/>
  <c r="AA94" i="80" a="1"/>
  <c r="AA94" i="80" s="1"/>
  <c r="AA92" i="80" a="1"/>
  <c r="AA92" i="80" s="1"/>
  <c r="O11" i="80"/>
  <c r="O10" i="80"/>
  <c r="O12" i="80"/>
  <c r="O8" i="80"/>
  <c r="AK53" i="80"/>
  <c r="O9" i="80"/>
  <c r="AA44" i="80" a="1"/>
  <c r="AA44" i="80" s="1"/>
  <c r="AA45" i="80" a="1"/>
  <c r="AA45" i="80" s="1"/>
  <c r="AA46" i="80" a="1"/>
  <c r="AA46" i="80" s="1"/>
  <c r="AK4" i="80"/>
  <c r="AA47" i="80" a="1"/>
  <c r="AA47" i="80" s="1"/>
  <c r="AA48" i="80" a="1"/>
  <c r="AA48" i="80" s="1"/>
  <c r="AA64" i="80" a="1"/>
  <c r="AA64" i="80" s="1"/>
  <c r="AA61" i="80" a="1"/>
  <c r="AA61" i="80" s="1"/>
  <c r="AA62" i="80" a="1"/>
  <c r="AA62" i="80" s="1"/>
  <c r="AA60" i="80" a="1"/>
  <c r="AA60" i="80" s="1"/>
  <c r="AK30" i="80"/>
  <c r="AA63" i="80" a="1"/>
  <c r="AA63" i="80" s="1"/>
  <c r="AK5" i="80"/>
  <c r="AD134" i="80" a="1"/>
  <c r="AC134" i="80" a="1"/>
  <c r="AA72" i="80" a="1"/>
  <c r="AA72" i="80" s="1"/>
  <c r="AA70" i="80" a="1"/>
  <c r="AA70" i="80" s="1"/>
  <c r="AA73" i="80" a="1"/>
  <c r="AA73" i="80" s="1"/>
  <c r="AA71" i="80" a="1"/>
  <c r="AA71" i="80" s="1"/>
  <c r="AA74" i="80" a="1"/>
  <c r="AA74" i="80" s="1"/>
  <c r="AK34" i="80"/>
  <c r="Y81" i="80"/>
  <c r="AA81" i="80" s="1" a="1"/>
  <c r="AA81" i="80" s="1"/>
  <c r="V31" i="80"/>
  <c r="B20" i="80" s="1"/>
  <c r="AJ57" i="80"/>
  <c r="AK57" i="80" s="1"/>
  <c r="AA77" i="80" a="1"/>
  <c r="AA77" i="80" s="1"/>
  <c r="AA79" i="80" a="1"/>
  <c r="AA79" i="80" s="1"/>
  <c r="AA76" i="80" a="1"/>
  <c r="AA76" i="80" s="1"/>
  <c r="AA75" i="80" a="1"/>
  <c r="AA75" i="80" s="1"/>
  <c r="AK39" i="80"/>
  <c r="AA78" i="80" a="1"/>
  <c r="AA78" i="80" s="1"/>
  <c r="AJ41" i="80"/>
  <c r="AC134" i="79" a="1"/>
  <c r="AC134" i="79" s="1"/>
  <c r="B177" i="79" s="1"/>
  <c r="AA49" i="79" a="1"/>
  <c r="AA49" i="79" s="1"/>
  <c r="AA109" i="79" a="1"/>
  <c r="AA109" i="79" s="1"/>
  <c r="AA52" i="79" a="1"/>
  <c r="AA52" i="79" s="1"/>
  <c r="AA44" i="79" a="1"/>
  <c r="AA44" i="79" s="1"/>
  <c r="AA63" i="79" a="1"/>
  <c r="AA63" i="79" s="1"/>
  <c r="AA59" i="79" a="1"/>
  <c r="AA59" i="79" s="1"/>
  <c r="AA55" i="79" a="1"/>
  <c r="AA55" i="79" s="1"/>
  <c r="AA57" i="79" a="1"/>
  <c r="AA57" i="79" s="1"/>
  <c r="AK53" i="79"/>
  <c r="AK4" i="79"/>
  <c r="AA104" i="79" a="1"/>
  <c r="AA104" i="79" s="1"/>
  <c r="AA58" i="79" a="1"/>
  <c r="AA58" i="79" s="1"/>
  <c r="AK19" i="79"/>
  <c r="AA78" i="79" a="1"/>
  <c r="AA78" i="79" s="1"/>
  <c r="AA62" i="79" a="1"/>
  <c r="AA62" i="79" s="1"/>
  <c r="AA67" i="79" a="1"/>
  <c r="AA67" i="79" s="1"/>
  <c r="AA46" i="79" a="1"/>
  <c r="AA46" i="79" s="1"/>
  <c r="AD134" i="79" a="1"/>
  <c r="AD134" i="79" s="1"/>
  <c r="B197" i="79" s="1"/>
  <c r="AA72" i="79" a="1"/>
  <c r="AA72" i="79" s="1"/>
  <c r="AK14" i="79"/>
  <c r="AA108" i="79" a="1"/>
  <c r="AA108" i="79" s="1"/>
  <c r="AA107" i="79" a="1"/>
  <c r="AA107" i="79" s="1"/>
  <c r="AA99" i="79" a="1"/>
  <c r="AA99" i="79" s="1"/>
  <c r="AA64" i="79" a="1"/>
  <c r="AA64" i="79" s="1"/>
  <c r="AA47" i="79" a="1"/>
  <c r="AA47" i="79" s="1"/>
  <c r="AA48" i="79" a="1"/>
  <c r="AA48" i="79" s="1"/>
  <c r="AA96" i="79" a="1"/>
  <c r="AA96" i="79" s="1"/>
  <c r="AK55" i="79"/>
  <c r="AA61" i="79" a="1"/>
  <c r="AA61" i="79" s="1"/>
  <c r="AK44" i="79"/>
  <c r="AK9" i="79"/>
  <c r="AK41" i="79"/>
  <c r="AK30" i="79"/>
  <c r="AA45" i="79" a="1"/>
  <c r="AA45" i="79" s="1"/>
  <c r="AA110" i="79" a="1"/>
  <c r="AA110" i="79" s="1"/>
  <c r="AA53" i="79" a="1"/>
  <c r="AA53" i="79" s="1"/>
  <c r="AA111" i="79" a="1"/>
  <c r="AA111" i="79" s="1"/>
  <c r="AF2" i="79"/>
  <c r="B145" i="79" s="1"/>
  <c r="AD2" i="79"/>
  <c r="B115" i="79" s="1"/>
  <c r="AD6" i="76"/>
  <c r="B119" i="76" s="1"/>
  <c r="AF3" i="76"/>
  <c r="B146" i="76" s="1"/>
  <c r="AF5" i="76"/>
  <c r="B148" i="76" s="1"/>
  <c r="AF7" i="76"/>
  <c r="B150" i="76" s="1"/>
  <c r="AD5" i="76"/>
  <c r="B118" i="76" s="1"/>
  <c r="AD7" i="76"/>
  <c r="B120" i="76" s="1"/>
  <c r="AD3" i="76"/>
  <c r="B116" i="76" s="1"/>
  <c r="AC2" i="76"/>
  <c r="AD4" i="76"/>
  <c r="B117" i="76" s="1"/>
  <c r="AF4" i="76"/>
  <c r="B147" i="76" s="1"/>
  <c r="AF6" i="76"/>
  <c r="B149" i="76" s="1"/>
  <c r="AK33" i="34"/>
  <c r="AA65" i="34" a="1"/>
  <c r="AA65" i="34" s="1"/>
  <c r="AA69" i="34" a="1"/>
  <c r="AA69" i="34" s="1"/>
  <c r="AA67" i="34" a="1"/>
  <c r="AA67" i="34" s="1"/>
  <c r="AA66" i="34" a="1"/>
  <c r="AA66" i="34" s="1"/>
  <c r="AA68" i="34" a="1"/>
  <c r="AA68" i="34" s="1"/>
  <c r="AA91" i="34" a="1"/>
  <c r="AA91" i="34" s="1"/>
  <c r="AA89" i="34" a="1"/>
  <c r="AA89" i="34" s="1"/>
  <c r="AA87" i="34" a="1"/>
  <c r="AA87" i="34" s="1"/>
  <c r="AK13" i="34"/>
  <c r="AA88" i="34" a="1"/>
  <c r="AA88" i="34" s="1"/>
  <c r="AA90" i="34" a="1"/>
  <c r="AA90" i="34" s="1"/>
  <c r="AA102" i="34" a="1"/>
  <c r="AA102" i="34" s="1"/>
  <c r="AA105" i="34" a="1"/>
  <c r="AA105" i="34" s="1"/>
  <c r="AK40" i="34"/>
  <c r="AA104" i="34" a="1"/>
  <c r="AA104" i="34" s="1"/>
  <c r="AA106" i="34" a="1"/>
  <c r="AA106" i="34" s="1"/>
  <c r="AA103" i="34" a="1"/>
  <c r="AA103" i="34" s="1"/>
  <c r="AA101" i="34" a="1"/>
  <c r="AA101" i="34" s="1"/>
  <c r="AA97" i="34" a="1"/>
  <c r="AA97" i="34" s="1"/>
  <c r="AA100" i="34" a="1"/>
  <c r="AA100" i="34" s="1"/>
  <c r="AA99" i="34" a="1"/>
  <c r="AA99" i="34" s="1"/>
  <c r="AA98" i="34" a="1"/>
  <c r="AA98" i="34" s="1"/>
  <c r="AK18" i="34"/>
  <c r="AK14" i="34"/>
  <c r="AA54" i="34" a="1"/>
  <c r="AA54" i="34" s="1"/>
  <c r="AK9" i="34"/>
  <c r="AF3" i="77"/>
  <c r="B146" i="77" s="1"/>
  <c r="AD3" i="77"/>
  <c r="B116" i="77" s="1"/>
  <c r="AF7" i="77"/>
  <c r="B150" i="77" s="1"/>
  <c r="AD5" i="77"/>
  <c r="B118" i="77" s="1"/>
  <c r="AF4" i="77"/>
  <c r="B147" i="77" s="1"/>
  <c r="AC2" i="77"/>
  <c r="AF6" i="77"/>
  <c r="B149" i="77" s="1"/>
  <c r="AD6" i="77"/>
  <c r="B119" i="77" s="1"/>
  <c r="AD7" i="77"/>
  <c r="B120" i="77" s="1"/>
  <c r="AD4" i="77"/>
  <c r="B117" i="77" s="1"/>
  <c r="AF5" i="77"/>
  <c r="B148" i="77" s="1"/>
  <c r="AK53" i="34"/>
  <c r="AA95" i="34" a="1"/>
  <c r="AA95" i="34" s="1"/>
  <c r="AA93" i="34" a="1"/>
  <c r="AA93" i="34" s="1"/>
  <c r="AA92" i="34" a="1"/>
  <c r="AA92" i="34" s="1"/>
  <c r="AA94" i="34" a="1"/>
  <c r="AA94" i="34" s="1"/>
  <c r="AK16" i="34"/>
  <c r="AA96" i="34" a="1"/>
  <c r="AA96" i="34" s="1"/>
  <c r="AA110" i="34" a="1"/>
  <c r="AA110" i="34" s="1"/>
  <c r="AA107" i="34" a="1"/>
  <c r="AA107" i="34" s="1"/>
  <c r="AA109" i="34" a="1"/>
  <c r="AA109" i="34" s="1"/>
  <c r="AA108" i="34" a="1"/>
  <c r="AA108" i="34" s="1"/>
  <c r="AA111" i="34" a="1"/>
  <c r="AA111" i="34" s="1"/>
  <c r="AK54" i="34"/>
  <c r="AD134" i="34" a="1"/>
  <c r="AC134" i="34" a="1"/>
  <c r="AK41" i="34"/>
  <c r="AA64" i="34" a="1"/>
  <c r="AA64" i="34" s="1"/>
  <c r="AA61" i="34" a="1"/>
  <c r="AA61" i="34" s="1"/>
  <c r="AK30" i="34"/>
  <c r="AA62" i="34" a="1"/>
  <c r="AA62" i="34" s="1"/>
  <c r="AA60" i="34" a="1"/>
  <c r="AA60" i="34" s="1"/>
  <c r="AA63" i="34" a="1"/>
  <c r="AA63" i="34" s="1"/>
  <c r="AA70" i="34" a="1"/>
  <c r="AA70" i="34" s="1"/>
  <c r="AA71" i="34" a="1"/>
  <c r="AA71" i="34" s="1"/>
  <c r="AA74" i="34" a="1"/>
  <c r="AA74" i="34" s="1"/>
  <c r="AK34" i="34"/>
  <c r="AA72" i="34" a="1"/>
  <c r="AA72" i="34" s="1"/>
  <c r="AA73" i="34" a="1"/>
  <c r="AA73" i="34" s="1"/>
  <c r="AK44" i="34"/>
  <c r="AA81" i="34" a="1"/>
  <c r="AA81" i="34" s="1"/>
  <c r="AK55" i="34"/>
  <c r="AA49" i="34" a="1"/>
  <c r="AA49" i="34" s="1"/>
  <c r="AA53" i="34" a="1"/>
  <c r="AA53" i="34" s="1"/>
  <c r="AA52" i="34" a="1"/>
  <c r="AA52" i="34" s="1"/>
  <c r="AA51" i="34" a="1"/>
  <c r="AA51" i="34" s="1"/>
  <c r="AK6" i="34"/>
  <c r="AA50" i="34" a="1"/>
  <c r="AA50" i="34" s="1"/>
  <c r="AA56" i="34" a="1"/>
  <c r="AA56" i="34" s="1"/>
  <c r="AA58" i="34" a="1"/>
  <c r="AA58" i="34" s="1"/>
  <c r="AA55" i="34" a="1"/>
  <c r="AA55" i="34" s="1"/>
  <c r="AA57" i="34" a="1"/>
  <c r="AA57" i="34" s="1"/>
  <c r="AK19" i="34"/>
  <c r="AA59" i="34" a="1"/>
  <c r="AA59" i="34" s="1"/>
  <c r="AD18" i="34"/>
  <c r="B131" i="34" s="1"/>
  <c r="AF13" i="34"/>
  <c r="B156" i="34" s="1"/>
  <c r="AF21" i="34"/>
  <c r="B164" i="34" s="1"/>
  <c r="AD14" i="34"/>
  <c r="B127" i="34" s="1"/>
  <c r="AD21" i="34"/>
  <c r="B134" i="34" s="1"/>
  <c r="AF3" i="34"/>
  <c r="B146" i="34" s="1"/>
  <c r="AF16" i="34"/>
  <c r="B159" i="34" s="1"/>
  <c r="AF11" i="34"/>
  <c r="B154" i="34" s="1"/>
  <c r="AF9" i="34"/>
  <c r="B152" i="34" s="1"/>
  <c r="AD3" i="34"/>
  <c r="B116" i="34" s="1"/>
  <c r="AD16" i="34"/>
  <c r="B129" i="34" s="1"/>
  <c r="AD11" i="34"/>
  <c r="B124" i="34" s="1"/>
  <c r="AD9" i="34"/>
  <c r="B122" i="34" s="1"/>
  <c r="AF5" i="34"/>
  <c r="B148" i="34" s="1"/>
  <c r="AF7" i="34"/>
  <c r="B150" i="34" s="1"/>
  <c r="AD5" i="34"/>
  <c r="B118" i="34" s="1"/>
  <c r="AF18" i="34"/>
  <c r="B161" i="34" s="1"/>
  <c r="AD13" i="34"/>
  <c r="B126" i="34" s="1"/>
  <c r="AD7" i="34"/>
  <c r="B120" i="34" s="1"/>
  <c r="AF20" i="34"/>
  <c r="B163" i="34" s="1"/>
  <c r="AD20" i="34"/>
  <c r="B133" i="34" s="1"/>
  <c r="AD15" i="34"/>
  <c r="B128" i="34" s="1"/>
  <c r="AF12" i="34"/>
  <c r="B155" i="34" s="1"/>
  <c r="AF10" i="34"/>
  <c r="B153" i="34" s="1"/>
  <c r="AF8" i="34"/>
  <c r="B151" i="34" s="1"/>
  <c r="AF4" i="34"/>
  <c r="B147" i="34" s="1"/>
  <c r="AC2" i="34"/>
  <c r="AF17" i="34"/>
  <c r="B160" i="34" s="1"/>
  <c r="AD12" i="34"/>
  <c r="B125" i="34" s="1"/>
  <c r="AD10" i="34"/>
  <c r="B123" i="34" s="1"/>
  <c r="AD8" i="34"/>
  <c r="B121" i="34" s="1"/>
  <c r="AD4" i="34"/>
  <c r="B117" i="34" s="1"/>
  <c r="AD17" i="34"/>
  <c r="B130" i="34" s="1"/>
  <c r="AF6" i="34"/>
  <c r="B149" i="34" s="1"/>
  <c r="AD6" i="34"/>
  <c r="B119" i="34" s="1"/>
  <c r="AF19" i="34"/>
  <c r="B162" i="34" s="1"/>
  <c r="AF15" i="34"/>
  <c r="B158" i="34" s="1"/>
  <c r="AD19" i="34"/>
  <c r="B132" i="34" s="1"/>
  <c r="AF14" i="34"/>
  <c r="B157" i="34" s="1"/>
  <c r="B245" i="104"/>
  <c r="B239" i="104"/>
  <c r="P221" i="104"/>
  <c r="P219" i="104"/>
  <c r="B252" i="104"/>
  <c r="B249" i="104"/>
  <c r="B246" i="104"/>
  <c r="AF9" i="103" l="1"/>
  <c r="B152" i="103" s="1"/>
  <c r="AF10" i="103"/>
  <c r="B153" i="103" s="1"/>
  <c r="AD10" i="103"/>
  <c r="B123" i="103" s="1"/>
  <c r="AF50" i="104"/>
  <c r="B320" i="104" s="1"/>
  <c r="AE50" i="104" a="1"/>
  <c r="AE50" i="104" s="1"/>
  <c r="B290" i="104" s="1"/>
  <c r="AD50" i="104" a="1"/>
  <c r="AD50" i="104" s="1"/>
  <c r="B260" i="104" s="1"/>
  <c r="AF49" i="104"/>
  <c r="B319" i="104" s="1"/>
  <c r="AE49" i="104" a="1"/>
  <c r="AE49" i="104" s="1"/>
  <c r="B289" i="104" s="1"/>
  <c r="AD49" i="104" a="1"/>
  <c r="AD49" i="104" s="1"/>
  <c r="B259" i="104" s="1"/>
  <c r="AF48" i="104"/>
  <c r="B318" i="104" s="1"/>
  <c r="AE48" i="104" a="1"/>
  <c r="AE48" i="104" s="1"/>
  <c r="B288" i="104" s="1"/>
  <c r="AD48" i="104" a="1"/>
  <c r="AD48" i="104" s="1"/>
  <c r="B258" i="104" s="1"/>
  <c r="AF47" i="104"/>
  <c r="B317" i="104" s="1"/>
  <c r="AE47" i="104" a="1"/>
  <c r="AE47" i="104" s="1"/>
  <c r="B287" i="104" s="1"/>
  <c r="AD47" i="104" a="1"/>
  <c r="AD47" i="104" s="1"/>
  <c r="B257" i="104" s="1"/>
  <c r="AF46" i="104"/>
  <c r="B316" i="104" s="1"/>
  <c r="AE46" i="104" a="1"/>
  <c r="AE46" i="104" s="1"/>
  <c r="B286" i="104" s="1"/>
  <c r="AD46" i="104" a="1"/>
  <c r="AD46" i="104" s="1"/>
  <c r="B256" i="104" s="1"/>
  <c r="AF45" i="104"/>
  <c r="B315" i="104" s="1"/>
  <c r="AE45" i="104" a="1"/>
  <c r="AE45" i="104" s="1"/>
  <c r="B285" i="104" s="1"/>
  <c r="AD45" i="104" a="1"/>
  <c r="AD45" i="104" s="1"/>
  <c r="B255" i="104" s="1"/>
  <c r="AC44" i="104"/>
  <c r="B53" i="104"/>
  <c r="AJ24" i="104"/>
  <c r="AK24" i="104" s="1"/>
  <c r="B355" i="104"/>
  <c r="AJ46" i="104"/>
  <c r="AK46" i="104" s="1"/>
  <c r="B176" i="104"/>
  <c r="B175" i="104"/>
  <c r="AF8" i="90"/>
  <c r="B151" i="90" s="1"/>
  <c r="AD8" i="90"/>
  <c r="B121" i="90" s="1"/>
  <c r="AF7" i="90"/>
  <c r="B150" i="90" s="1"/>
  <c r="AD7" i="90"/>
  <c r="B120" i="90" s="1"/>
  <c r="AF6" i="90"/>
  <c r="B149" i="90" s="1"/>
  <c r="AD6" i="90"/>
  <c r="B119" i="90" s="1"/>
  <c r="AD6" i="95"/>
  <c r="B119" i="95" s="1"/>
  <c r="AK50" i="73"/>
  <c r="AD4" i="95"/>
  <c r="B117" i="95" s="1"/>
  <c r="AK47" i="78"/>
  <c r="AK47" i="34"/>
  <c r="B22" i="34"/>
  <c r="AK50" i="90"/>
  <c r="B22" i="73"/>
  <c r="AK47" i="73"/>
  <c r="B22" i="29"/>
  <c r="AK47" i="29"/>
  <c r="B22" i="76"/>
  <c r="AK47" i="76"/>
  <c r="AK47" i="79"/>
  <c r="B22" i="79"/>
  <c r="AK50" i="85"/>
  <c r="AK50" i="99"/>
  <c r="AD7" i="101"/>
  <c r="B120" i="101" s="1"/>
  <c r="B22" i="77"/>
  <c r="AK47" i="77"/>
  <c r="AF5" i="99"/>
  <c r="B148" i="99" s="1"/>
  <c r="AD5" i="101"/>
  <c r="B118" i="101" s="1"/>
  <c r="AK50" i="79"/>
  <c r="AD3" i="95"/>
  <c r="B116" i="95" s="1"/>
  <c r="AK18" i="100"/>
  <c r="AK50" i="78"/>
  <c r="AE156" i="91"/>
  <c r="AC2" i="91" a="1"/>
  <c r="B180" i="91"/>
  <c r="AF137" i="91" a="1"/>
  <c r="AF137" i="91" s="1"/>
  <c r="B220" i="91" s="1"/>
  <c r="B199" i="91"/>
  <c r="B200" i="91"/>
  <c r="B179" i="91"/>
  <c r="AF136" i="91" a="1"/>
  <c r="AF136" i="91" s="1"/>
  <c r="B219" i="91" s="1"/>
  <c r="AC134" i="91"/>
  <c r="B178" i="91"/>
  <c r="AF135" i="91" a="1"/>
  <c r="AF135" i="91" s="1"/>
  <c r="B218" i="91" s="1"/>
  <c r="AD134" i="91"/>
  <c r="B197" i="91" s="1"/>
  <c r="B198" i="91"/>
  <c r="AD2" i="102"/>
  <c r="B115" i="102" s="1"/>
  <c r="AF3" i="89"/>
  <c r="B146" i="89" s="1"/>
  <c r="AD4" i="89"/>
  <c r="B117" i="89" s="1"/>
  <c r="AF4" i="89"/>
  <c r="B147" i="89" s="1"/>
  <c r="AD5" i="89"/>
  <c r="B118" i="89" s="1"/>
  <c r="AD5" i="95"/>
  <c r="B118" i="95" s="1"/>
  <c r="AF3" i="95"/>
  <c r="B146" i="95" s="1"/>
  <c r="AD4" i="99"/>
  <c r="B117" i="99" s="1"/>
  <c r="AD5" i="99"/>
  <c r="B118" i="99" s="1"/>
  <c r="AD6" i="99"/>
  <c r="B119" i="99" s="1"/>
  <c r="AF6" i="99"/>
  <c r="B149" i="99" s="1"/>
  <c r="AA101" i="100" a="1"/>
  <c r="AA101" i="100" s="1"/>
  <c r="AF5" i="101"/>
  <c r="B148" i="101" s="1"/>
  <c r="AD9" i="101"/>
  <c r="B122" i="101" s="1"/>
  <c r="AF9" i="101"/>
  <c r="B152" i="101" s="1"/>
  <c r="AD6" i="101"/>
  <c r="B119" i="101" s="1"/>
  <c r="AF6" i="101"/>
  <c r="B149" i="101" s="1"/>
  <c r="AC2" i="101"/>
  <c r="AD2" i="101" s="1"/>
  <c r="B115" i="101" s="1"/>
  <c r="AD3" i="101"/>
  <c r="B116" i="101" s="1"/>
  <c r="AF3" i="101"/>
  <c r="B146" i="101" s="1"/>
  <c r="AF7" i="101"/>
  <c r="B150" i="101" s="1"/>
  <c r="AD4" i="101"/>
  <c r="B117" i="101" s="1"/>
  <c r="AF4" i="101"/>
  <c r="B147" i="101" s="1"/>
  <c r="AD8" i="101"/>
  <c r="B121" i="101" s="1"/>
  <c r="AE134" i="77"/>
  <c r="I137" i="77" s="1"/>
  <c r="AF134" i="77" a="1"/>
  <c r="AF134" i="77" s="1"/>
  <c r="B217" i="77" s="1"/>
  <c r="AF2" i="89"/>
  <c r="B145" i="89" s="1"/>
  <c r="AD2" i="89"/>
  <c r="B115" i="89" s="1"/>
  <c r="AF2" i="99"/>
  <c r="B145" i="99" s="1"/>
  <c r="AD2" i="99"/>
  <c r="B115" i="99" s="1"/>
  <c r="AD134" i="78"/>
  <c r="B197" i="78" s="1"/>
  <c r="AF7" i="99"/>
  <c r="B150" i="99" s="1"/>
  <c r="AD7" i="99"/>
  <c r="B120" i="99" s="1"/>
  <c r="AD3" i="99"/>
  <c r="B116" i="99" s="1"/>
  <c r="AF3" i="99"/>
  <c r="B146" i="99" s="1"/>
  <c r="AD3" i="89"/>
  <c r="B116" i="89" s="1"/>
  <c r="AF5" i="95"/>
  <c r="B148" i="95" s="1"/>
  <c r="AF4" i="99"/>
  <c r="B147" i="99" s="1"/>
  <c r="AC134" i="78"/>
  <c r="B177" i="78" s="1"/>
  <c r="AF5" i="89"/>
  <c r="B148" i="89" s="1"/>
  <c r="AC2" i="95"/>
  <c r="AD11" i="92"/>
  <c r="B124" i="92" s="1"/>
  <c r="AF11" i="92"/>
  <c r="B154" i="92" s="1"/>
  <c r="AK18" i="102"/>
  <c r="AA98" i="100" a="1"/>
  <c r="AA98" i="100" s="1"/>
  <c r="AF7" i="103"/>
  <c r="B150" i="103" s="1"/>
  <c r="AF3" i="103"/>
  <c r="B146" i="103" s="1"/>
  <c r="AD4" i="103"/>
  <c r="B117" i="103" s="1"/>
  <c r="AD5" i="103"/>
  <c r="B118" i="103" s="1"/>
  <c r="AF5" i="103"/>
  <c r="B148" i="103" s="1"/>
  <c r="AD6" i="103"/>
  <c r="B119" i="103" s="1"/>
  <c r="AF6" i="103"/>
  <c r="B149" i="103" s="1"/>
  <c r="AF4" i="103"/>
  <c r="B147" i="103" s="1"/>
  <c r="AC134" i="103"/>
  <c r="B177" i="103" s="1"/>
  <c r="B180" i="103"/>
  <c r="AF136" i="103" a="1"/>
  <c r="AF136" i="103" s="1"/>
  <c r="B219" i="103" s="1"/>
  <c r="B179" i="103"/>
  <c r="B178" i="103"/>
  <c r="AF137" i="103" a="1"/>
  <c r="AF137" i="103" s="1"/>
  <c r="B220" i="103" s="1"/>
  <c r="AF135" i="103" a="1"/>
  <c r="AF135" i="103" s="1"/>
  <c r="B218" i="103" s="1"/>
  <c r="AD3" i="103"/>
  <c r="B116" i="103" s="1"/>
  <c r="AD134" i="103"/>
  <c r="B197" i="103" s="1"/>
  <c r="B199" i="103"/>
  <c r="B198" i="103"/>
  <c r="B200" i="103"/>
  <c r="AD7" i="103"/>
  <c r="B120" i="103" s="1"/>
  <c r="AC2" i="103"/>
  <c r="AD8" i="103"/>
  <c r="B121" i="103" s="1"/>
  <c r="AF8" i="103"/>
  <c r="B151" i="103" s="1"/>
  <c r="AD9" i="103"/>
  <c r="B122" i="103" s="1"/>
  <c r="AA54" i="103" a="1"/>
  <c r="AA54" i="103" s="1"/>
  <c r="AC44" i="103" s="1" a="1"/>
  <c r="B55" i="103"/>
  <c r="AJ57" i="103"/>
  <c r="AK57" i="103" s="1"/>
  <c r="B54" i="103"/>
  <c r="AA101" i="102" a="1"/>
  <c r="AA101" i="102" s="1"/>
  <c r="AA99" i="100" a="1"/>
  <c r="AA99" i="100" s="1"/>
  <c r="AA100" i="100" a="1"/>
  <c r="AA100" i="100" s="1"/>
  <c r="AK50" i="103"/>
  <c r="AK47" i="103"/>
  <c r="AC134" i="102"/>
  <c r="B177" i="102" s="1"/>
  <c r="AF136" i="102" a="1"/>
  <c r="AF136" i="102" s="1"/>
  <c r="B219" i="102" s="1"/>
  <c r="AF135" i="102" a="1"/>
  <c r="AF135" i="102" s="1"/>
  <c r="B218" i="102" s="1"/>
  <c r="B179" i="102"/>
  <c r="B178" i="102"/>
  <c r="AD134" i="102"/>
  <c r="B197" i="102" s="1"/>
  <c r="B199" i="102"/>
  <c r="B198" i="102"/>
  <c r="AA99" i="102" a="1"/>
  <c r="AA99" i="102" s="1"/>
  <c r="AA98" i="102" a="1"/>
  <c r="AA98" i="102" s="1"/>
  <c r="AA100" i="102" a="1"/>
  <c r="AA100" i="102" s="1"/>
  <c r="AK50" i="102"/>
  <c r="AK47" i="102"/>
  <c r="B22" i="102"/>
  <c r="AF4" i="95"/>
  <c r="B147" i="95" s="1"/>
  <c r="AD2" i="75"/>
  <c r="B115" i="75" s="1"/>
  <c r="O11" i="101"/>
  <c r="O12" i="101"/>
  <c r="O8" i="101"/>
  <c r="O10" i="101"/>
  <c r="O9" i="101"/>
  <c r="AA108" i="101" a="1"/>
  <c r="AA108" i="101" s="1"/>
  <c r="AA110" i="101" a="1"/>
  <c r="AA110" i="101" s="1"/>
  <c r="AA107" i="101" a="1"/>
  <c r="AA107" i="101" s="1"/>
  <c r="AA109" i="101" a="1"/>
  <c r="AA109" i="101" s="1"/>
  <c r="AA111" i="101" a="1"/>
  <c r="AA111" i="101" s="1"/>
  <c r="AK54" i="101"/>
  <c r="B177" i="101"/>
  <c r="AF134" i="101" a="1"/>
  <c r="AF134" i="101" s="1"/>
  <c r="B217" i="101" s="1"/>
  <c r="AK47" i="101"/>
  <c r="AK55" i="101"/>
  <c r="AK13" i="101"/>
  <c r="AA91" i="101" a="1"/>
  <c r="AA91" i="101" s="1"/>
  <c r="AA89" i="101" a="1"/>
  <c r="AA89" i="101" s="1"/>
  <c r="AA87" i="101" a="1"/>
  <c r="AA87" i="101" s="1"/>
  <c r="AA90" i="101" a="1"/>
  <c r="AA90" i="101" s="1"/>
  <c r="AA88" i="101" a="1"/>
  <c r="AA88" i="101" s="1"/>
  <c r="B22" i="100"/>
  <c r="AK47" i="100"/>
  <c r="B177" i="100"/>
  <c r="AF134" i="100" a="1"/>
  <c r="AF134" i="100" s="1"/>
  <c r="B217" i="100" s="1"/>
  <c r="AE134" i="100"/>
  <c r="I137" i="100" s="1"/>
  <c r="AK50" i="100"/>
  <c r="AA54" i="99" a="1"/>
  <c r="AA54" i="99" s="1"/>
  <c r="AC44" i="99" s="1" a="1"/>
  <c r="AK47" i="99"/>
  <c r="AK55" i="99"/>
  <c r="B177" i="99"/>
  <c r="AF134" i="99" a="1"/>
  <c r="AF134" i="99" s="1"/>
  <c r="B217" i="99" s="1"/>
  <c r="B177" i="29"/>
  <c r="AE134" i="29"/>
  <c r="I137" i="29" s="1"/>
  <c r="B176" i="29" s="1"/>
  <c r="AF2" i="90"/>
  <c r="B145" i="90" s="1"/>
  <c r="AF11" i="83"/>
  <c r="B154" i="83" s="1"/>
  <c r="AD3" i="83"/>
  <c r="B116" i="83" s="1"/>
  <c r="AD12" i="83"/>
  <c r="B125" i="83" s="1"/>
  <c r="AF3" i="83"/>
  <c r="B146" i="83" s="1"/>
  <c r="AF8" i="83"/>
  <c r="B151" i="83" s="1"/>
  <c r="AD4" i="83"/>
  <c r="B117" i="83" s="1"/>
  <c r="AF12" i="83"/>
  <c r="B155" i="83" s="1"/>
  <c r="AD8" i="83"/>
  <c r="B121" i="83" s="1"/>
  <c r="AF4" i="83"/>
  <c r="B147" i="83" s="1"/>
  <c r="AD13" i="83"/>
  <c r="B126" i="83" s="1"/>
  <c r="AD5" i="83"/>
  <c r="B118" i="83" s="1"/>
  <c r="AD9" i="83"/>
  <c r="B122" i="83" s="1"/>
  <c r="AF5" i="83"/>
  <c r="B148" i="83" s="1"/>
  <c r="AF13" i="83"/>
  <c r="B156" i="83" s="1"/>
  <c r="AD6" i="83"/>
  <c r="B119" i="83" s="1"/>
  <c r="AF6" i="83"/>
  <c r="B149" i="83" s="1"/>
  <c r="AC2" i="83"/>
  <c r="AF2" i="83" s="1"/>
  <c r="B145" i="83" s="1"/>
  <c r="AF9" i="83"/>
  <c r="B152" i="83" s="1"/>
  <c r="AD7" i="83"/>
  <c r="B120" i="83" s="1"/>
  <c r="AF10" i="83"/>
  <c r="B153" i="83" s="1"/>
  <c r="AD10" i="83"/>
  <c r="B123" i="83" s="1"/>
  <c r="AF7" i="83"/>
  <c r="B150" i="83" s="1"/>
  <c r="AF137" i="78" a="1"/>
  <c r="AF137" i="78" s="1"/>
  <c r="B220" i="78" s="1"/>
  <c r="AF136" i="78" a="1"/>
  <c r="AF136" i="78" s="1"/>
  <c r="B219" i="78" s="1"/>
  <c r="B198" i="78"/>
  <c r="B199" i="78"/>
  <c r="AF135" i="76" a="1"/>
  <c r="AF135" i="76" s="1"/>
  <c r="B218" i="76" s="1"/>
  <c r="AF136" i="76" a="1"/>
  <c r="AF136" i="76" s="1"/>
  <c r="B219" i="76" s="1"/>
  <c r="AD134" i="75"/>
  <c r="B197" i="75" s="1"/>
  <c r="B178" i="75"/>
  <c r="AF135" i="75" a="1"/>
  <c r="AF135" i="75" s="1"/>
  <c r="B218" i="75" s="1"/>
  <c r="AC134" i="75"/>
  <c r="B177" i="75" s="1"/>
  <c r="B180" i="75"/>
  <c r="AF136" i="75" a="1"/>
  <c r="AF136" i="75" s="1"/>
  <c r="B219" i="75" s="1"/>
  <c r="AF138" i="75" a="1"/>
  <c r="AF138" i="75" s="1"/>
  <c r="B221" i="75" s="1"/>
  <c r="AF137" i="75" a="1"/>
  <c r="AF137" i="75" s="1"/>
  <c r="B220" i="75" s="1"/>
  <c r="AC134" i="97"/>
  <c r="B177" i="97" s="1"/>
  <c r="AF136" i="97" a="1"/>
  <c r="AF136" i="97" s="1"/>
  <c r="B219" i="97" s="1"/>
  <c r="AF135" i="97" a="1"/>
  <c r="AF135" i="97" s="1"/>
  <c r="B218" i="97" s="1"/>
  <c r="B179" i="97"/>
  <c r="B178" i="97"/>
  <c r="AD134" i="97"/>
  <c r="B197" i="97" s="1"/>
  <c r="B199" i="97"/>
  <c r="B198" i="97"/>
  <c r="AF7" i="97"/>
  <c r="B150" i="97" s="1"/>
  <c r="AD7" i="97"/>
  <c r="B120" i="97" s="1"/>
  <c r="AC2" i="97"/>
  <c r="AF3" i="97"/>
  <c r="B146" i="97" s="1"/>
  <c r="AD3" i="97"/>
  <c r="B116" i="97" s="1"/>
  <c r="AF6" i="97"/>
  <c r="B149" i="97" s="1"/>
  <c r="AD5" i="97"/>
  <c r="B118" i="97" s="1"/>
  <c r="AD6" i="97"/>
  <c r="B119" i="97" s="1"/>
  <c r="AF5" i="97"/>
  <c r="B148" i="97" s="1"/>
  <c r="AF4" i="97"/>
  <c r="B147" i="97" s="1"/>
  <c r="AD4" i="97"/>
  <c r="B117" i="97" s="1"/>
  <c r="AK9" i="97"/>
  <c r="AK13" i="97"/>
  <c r="AA91" i="97" a="1"/>
  <c r="AA91" i="97" s="1"/>
  <c r="AA89" i="97" a="1"/>
  <c r="AA89" i="97" s="1"/>
  <c r="AA87" i="97" a="1"/>
  <c r="AA87" i="97" s="1"/>
  <c r="AA90" i="97" a="1"/>
  <c r="AA90" i="97" s="1"/>
  <c r="AA88" i="97" a="1"/>
  <c r="AA88" i="97" s="1"/>
  <c r="B20" i="97"/>
  <c r="AK50" i="97"/>
  <c r="AF2" i="96"/>
  <c r="B145" i="96" s="1"/>
  <c r="AC134" i="96"/>
  <c r="B177" i="96" s="1"/>
  <c r="B178" i="96"/>
  <c r="AF135" i="96" a="1"/>
  <c r="AF135" i="96" s="1"/>
  <c r="B218" i="96" s="1"/>
  <c r="AD134" i="96"/>
  <c r="B197" i="96" s="1"/>
  <c r="B198" i="96"/>
  <c r="AK9" i="96"/>
  <c r="AA81" i="96" a="1"/>
  <c r="AA81" i="96" s="1"/>
  <c r="AC44" i="96" s="1" a="1"/>
  <c r="AK50" i="96"/>
  <c r="AK55" i="96"/>
  <c r="AC134" i="95"/>
  <c r="B177" i="95" s="1"/>
  <c r="B180" i="95"/>
  <c r="B179" i="95"/>
  <c r="AF138" i="95" a="1"/>
  <c r="AF138" i="95" s="1"/>
  <c r="B221" i="95" s="1"/>
  <c r="AF137" i="95" a="1"/>
  <c r="AF137" i="95" s="1"/>
  <c r="B220" i="95" s="1"/>
  <c r="B178" i="95"/>
  <c r="B181" i="95"/>
  <c r="AF136" i="95" a="1"/>
  <c r="AF136" i="95" s="1"/>
  <c r="B219" i="95" s="1"/>
  <c r="AF135" i="95" a="1"/>
  <c r="AF135" i="95" s="1"/>
  <c r="B218" i="95" s="1"/>
  <c r="AD134" i="95"/>
  <c r="B197" i="95" s="1"/>
  <c r="B200" i="95"/>
  <c r="B198" i="95"/>
  <c r="B201" i="95"/>
  <c r="B199" i="95"/>
  <c r="AK50" i="95"/>
  <c r="AK55" i="95"/>
  <c r="AA108" i="95" a="1"/>
  <c r="AA108" i="95" s="1"/>
  <c r="AA110" i="95" a="1"/>
  <c r="AA110" i="95" s="1"/>
  <c r="AA107" i="95" a="1"/>
  <c r="AA107" i="95" s="1"/>
  <c r="AA109" i="95" a="1"/>
  <c r="AA109" i="95" s="1"/>
  <c r="AA111" i="95" a="1"/>
  <c r="AA111" i="95" s="1"/>
  <c r="AK54" i="95"/>
  <c r="AK47" i="95"/>
  <c r="AC2" i="94" a="1"/>
  <c r="AE156" i="94"/>
  <c r="AK50" i="94"/>
  <c r="AK13" i="94"/>
  <c r="AA91" i="94" a="1"/>
  <c r="AA91" i="94" s="1"/>
  <c r="AA89" i="94" a="1"/>
  <c r="AA89" i="94" s="1"/>
  <c r="AA87" i="94" a="1"/>
  <c r="AA87" i="94" s="1"/>
  <c r="AA90" i="94" a="1"/>
  <c r="AA90" i="94" s="1"/>
  <c r="AA88" i="94" a="1"/>
  <c r="AA88" i="94" s="1"/>
  <c r="B177" i="94"/>
  <c r="AF134" i="94" a="1"/>
  <c r="AF134" i="94" s="1"/>
  <c r="B217" i="94" s="1"/>
  <c r="AE134" i="94"/>
  <c r="I137" i="94" s="1"/>
  <c r="AD134" i="93"/>
  <c r="B197" i="93" s="1"/>
  <c r="B200" i="93"/>
  <c r="B199" i="93"/>
  <c r="B198" i="93"/>
  <c r="AC134" i="93"/>
  <c r="AF137" i="93" a="1"/>
  <c r="AF137" i="93" s="1"/>
  <c r="B220" i="93" s="1"/>
  <c r="AF136" i="93" a="1"/>
  <c r="AF136" i="93" s="1"/>
  <c r="B219" i="93" s="1"/>
  <c r="AF135" i="93" a="1"/>
  <c r="AF135" i="93" s="1"/>
  <c r="B218" i="93" s="1"/>
  <c r="B180" i="93"/>
  <c r="B179" i="93"/>
  <c r="B178" i="93"/>
  <c r="AK58" i="93"/>
  <c r="AK55" i="93"/>
  <c r="AK50" i="93"/>
  <c r="B20" i="93"/>
  <c r="AC44" i="93" a="1"/>
  <c r="AC134" i="92"/>
  <c r="B177" i="92" s="1"/>
  <c r="B178" i="92"/>
  <c r="AF135" i="92" a="1"/>
  <c r="AF135" i="92" s="1"/>
  <c r="B218" i="92" s="1"/>
  <c r="AD134" i="92"/>
  <c r="B197" i="92" s="1"/>
  <c r="B198" i="92"/>
  <c r="AF8" i="92"/>
  <c r="B151" i="92" s="1"/>
  <c r="AD8" i="92"/>
  <c r="B121" i="92" s="1"/>
  <c r="AF7" i="92"/>
  <c r="B150" i="92" s="1"/>
  <c r="AD7" i="92"/>
  <c r="B120" i="92" s="1"/>
  <c r="AF10" i="92"/>
  <c r="B153" i="92" s="1"/>
  <c r="AD9" i="92"/>
  <c r="B122" i="92" s="1"/>
  <c r="AD10" i="92"/>
  <c r="B123" i="92" s="1"/>
  <c r="AF9" i="92"/>
  <c r="B152" i="92" s="1"/>
  <c r="AE156" i="92"/>
  <c r="AF6" i="92"/>
  <c r="B149" i="92" s="1"/>
  <c r="AD6" i="92"/>
  <c r="B119" i="92" s="1"/>
  <c r="AA54" i="92" a="1"/>
  <c r="AA54" i="92" s="1"/>
  <c r="AF5" i="92"/>
  <c r="B148" i="92" s="1"/>
  <c r="AD5" i="92"/>
  <c r="B118" i="92" s="1"/>
  <c r="AF4" i="92"/>
  <c r="B147" i="92" s="1"/>
  <c r="AD4" i="92"/>
  <c r="B117" i="92" s="1"/>
  <c r="AC2" i="92"/>
  <c r="AF3" i="92"/>
  <c r="B146" i="92" s="1"/>
  <c r="AD3" i="92"/>
  <c r="B116" i="92" s="1"/>
  <c r="AK47" i="92"/>
  <c r="B22" i="92"/>
  <c r="AK50" i="92"/>
  <c r="B20" i="92"/>
  <c r="AA91" i="92" a="1"/>
  <c r="AA91" i="92" s="1"/>
  <c r="AA89" i="92" a="1"/>
  <c r="AA89" i="92" s="1"/>
  <c r="AA87" i="92" a="1"/>
  <c r="AA87" i="92" s="1"/>
  <c r="AK13" i="92"/>
  <c r="AA88" i="92" a="1"/>
  <c r="AA88" i="92" s="1"/>
  <c r="AA90" i="92" a="1"/>
  <c r="AA90" i="92" s="1"/>
  <c r="AA80" i="91" a="1"/>
  <c r="AA80" i="91" s="1"/>
  <c r="AC44" i="91" s="1" a="1"/>
  <c r="B177" i="91"/>
  <c r="AF134" i="91" a="1"/>
  <c r="AF134" i="91" s="1"/>
  <c r="B217" i="91" s="1"/>
  <c r="AK41" i="91"/>
  <c r="AK47" i="91"/>
  <c r="B22" i="91"/>
  <c r="AK50" i="91"/>
  <c r="AK55" i="91"/>
  <c r="AC134" i="90"/>
  <c r="B177" i="90" s="1"/>
  <c r="B178" i="90"/>
  <c r="AF135" i="90" a="1"/>
  <c r="AF135" i="90" s="1"/>
  <c r="B218" i="90" s="1"/>
  <c r="AD134" i="90"/>
  <c r="B197" i="90" s="1"/>
  <c r="B198" i="90"/>
  <c r="AA80" i="90" a="1"/>
  <c r="AA80" i="90" s="1"/>
  <c r="AK47" i="90"/>
  <c r="AF135" i="78" a="1"/>
  <c r="AF135" i="78" s="1"/>
  <c r="B218" i="78" s="1"/>
  <c r="AF138" i="78" a="1"/>
  <c r="AF138" i="78" s="1"/>
  <c r="B221" i="78" s="1"/>
  <c r="I137" i="78"/>
  <c r="B176" i="78" s="1"/>
  <c r="AF2" i="78"/>
  <c r="B145" i="78" s="1"/>
  <c r="AD2" i="74"/>
  <c r="B115" i="74" s="1"/>
  <c r="AF2" i="86"/>
  <c r="B145" i="86" s="1"/>
  <c r="AC134" i="76"/>
  <c r="B177" i="76" s="1"/>
  <c r="AF134" i="74" a="1"/>
  <c r="AF134" i="74" s="1"/>
  <c r="B217" i="74" s="1"/>
  <c r="W12" i="68"/>
  <c r="C4" i="69" a="1"/>
  <c r="C4" i="69" s="1"/>
  <c r="C5" i="69" a="1"/>
  <c r="C5" i="69" s="1"/>
  <c r="D5" i="69" a="1"/>
  <c r="D5" i="69" s="1"/>
  <c r="D4" i="69" a="1"/>
  <c r="D4" i="69" s="1"/>
  <c r="B4" i="69" a="1"/>
  <c r="B4" i="69" s="1"/>
  <c r="B5" i="69" a="1"/>
  <c r="B5" i="69" s="1"/>
  <c r="AA12" i="68"/>
  <c r="AB12" i="68" s="1"/>
  <c r="Z12" i="68"/>
  <c r="AD12" i="68"/>
  <c r="AH12" i="68"/>
  <c r="AK41" i="90"/>
  <c r="AA108" i="90" a="1"/>
  <c r="AA108" i="90" s="1"/>
  <c r="AA110" i="90" a="1"/>
  <c r="AA110" i="90" s="1"/>
  <c r="AA107" i="90" a="1"/>
  <c r="AA107" i="90" s="1"/>
  <c r="AA109" i="90" a="1"/>
  <c r="AA109" i="90" s="1"/>
  <c r="AA111" i="90" a="1"/>
  <c r="AA111" i="90" s="1"/>
  <c r="AK54" i="90"/>
  <c r="AK50" i="89"/>
  <c r="AA108" i="89" a="1"/>
  <c r="AA108" i="89" s="1"/>
  <c r="AA110" i="89" a="1"/>
  <c r="AA110" i="89" s="1"/>
  <c r="AA107" i="89" a="1"/>
  <c r="AA107" i="89" s="1"/>
  <c r="AA109" i="89" a="1"/>
  <c r="AA109" i="89" s="1"/>
  <c r="AA111" i="89" a="1"/>
  <c r="AA111" i="89" s="1"/>
  <c r="AK54" i="89"/>
  <c r="B177" i="89"/>
  <c r="AF134" i="89" a="1"/>
  <c r="AF134" i="89" s="1"/>
  <c r="B217" i="89" s="1"/>
  <c r="AF2" i="88"/>
  <c r="B145" i="88" s="1"/>
  <c r="AD2" i="88"/>
  <c r="B115" i="88" s="1"/>
  <c r="AD3" i="88"/>
  <c r="B116" i="88" s="1"/>
  <c r="AF3" i="88"/>
  <c r="B146" i="88" s="1"/>
  <c r="AD4" i="88"/>
  <c r="B117" i="88" s="1"/>
  <c r="AF4" i="88"/>
  <c r="B147" i="88" s="1"/>
  <c r="AD5" i="88"/>
  <c r="B118" i="88" s="1"/>
  <c r="AF5" i="88"/>
  <c r="B148" i="88" s="1"/>
  <c r="AC134" i="88"/>
  <c r="B177" i="88" s="1"/>
  <c r="B178" i="88"/>
  <c r="AF136" i="88" a="1"/>
  <c r="AF136" i="88" s="1"/>
  <c r="B219" i="88" s="1"/>
  <c r="AF135" i="88" a="1"/>
  <c r="AF135" i="88" s="1"/>
  <c r="B218" i="88" s="1"/>
  <c r="B179" i="88"/>
  <c r="AD134" i="88"/>
  <c r="B197" i="88" s="1"/>
  <c r="B199" i="88"/>
  <c r="B198" i="88"/>
  <c r="AK47" i="88"/>
  <c r="AK50" i="88"/>
  <c r="AC44" i="88" a="1"/>
  <c r="AK55" i="88"/>
  <c r="B175" i="29"/>
  <c r="AC134" i="86"/>
  <c r="B177" i="86" s="1"/>
  <c r="AF136" i="86" a="1"/>
  <c r="AF136" i="86" s="1"/>
  <c r="B219" i="86" s="1"/>
  <c r="AF135" i="86" a="1"/>
  <c r="AF135" i="86" s="1"/>
  <c r="B218" i="86" s="1"/>
  <c r="B179" i="86"/>
  <c r="B178" i="86"/>
  <c r="AD134" i="86"/>
  <c r="B197" i="86" s="1"/>
  <c r="B199" i="86"/>
  <c r="B198" i="86"/>
  <c r="AC44" i="86" a="1"/>
  <c r="AF5" i="85"/>
  <c r="B148" i="85" s="1"/>
  <c r="AC134" i="85"/>
  <c r="B177" i="85" s="1"/>
  <c r="B178" i="85"/>
  <c r="AF135" i="85" a="1"/>
  <c r="AF135" i="85" s="1"/>
  <c r="B218" i="85" s="1"/>
  <c r="AD134" i="85"/>
  <c r="B197" i="85" s="1"/>
  <c r="B198" i="85"/>
  <c r="AD3" i="85"/>
  <c r="B116" i="85" s="1"/>
  <c r="AF3" i="85"/>
  <c r="B146" i="85" s="1"/>
  <c r="AD4" i="85"/>
  <c r="B117" i="85" s="1"/>
  <c r="AF4" i="85"/>
  <c r="B147" i="85" s="1"/>
  <c r="AC2" i="85"/>
  <c r="AF8" i="85"/>
  <c r="B151" i="85" s="1"/>
  <c r="AD9" i="85"/>
  <c r="B122" i="85" s="1"/>
  <c r="AF9" i="85"/>
  <c r="B152" i="85" s="1"/>
  <c r="AD10" i="85"/>
  <c r="B123" i="85" s="1"/>
  <c r="AD7" i="85"/>
  <c r="B120" i="85" s="1"/>
  <c r="AF10" i="85"/>
  <c r="B153" i="85" s="1"/>
  <c r="AF7" i="85"/>
  <c r="B150" i="85" s="1"/>
  <c r="AD5" i="85"/>
  <c r="B118" i="85" s="1"/>
  <c r="AD11" i="85"/>
  <c r="B124" i="85" s="1"/>
  <c r="AD6" i="85"/>
  <c r="B119" i="85" s="1"/>
  <c r="AF11" i="85"/>
  <c r="B154" i="85" s="1"/>
  <c r="AF6" i="85"/>
  <c r="B149" i="85" s="1"/>
  <c r="AK47" i="85"/>
  <c r="AK55" i="85"/>
  <c r="AA108" i="85" a="1"/>
  <c r="AA108" i="85" s="1"/>
  <c r="AA110" i="85" a="1"/>
  <c r="AA110" i="85" s="1"/>
  <c r="AA107" i="85" a="1"/>
  <c r="AA107" i="85" s="1"/>
  <c r="AA109" i="85" a="1"/>
  <c r="AA109" i="85" s="1"/>
  <c r="AA111" i="85" a="1"/>
  <c r="AA111" i="85" s="1"/>
  <c r="AK54" i="85"/>
  <c r="AC134" i="84"/>
  <c r="B177" i="84" s="1"/>
  <c r="B179" i="84"/>
  <c r="B180" i="84"/>
  <c r="AF137" i="84" a="1"/>
  <c r="AF137" i="84" s="1"/>
  <c r="B220" i="84" s="1"/>
  <c r="B178" i="84"/>
  <c r="AF136" i="84" a="1"/>
  <c r="AF136" i="84" s="1"/>
  <c r="B219" i="84" s="1"/>
  <c r="AF135" i="84" a="1"/>
  <c r="AF135" i="84" s="1"/>
  <c r="B218" i="84" s="1"/>
  <c r="AD134" i="84"/>
  <c r="B197" i="84" s="1"/>
  <c r="B198" i="84"/>
  <c r="B200" i="84"/>
  <c r="B199" i="84"/>
  <c r="AC2" i="84"/>
  <c r="AF6" i="84"/>
  <c r="B149" i="84" s="1"/>
  <c r="AD7" i="84"/>
  <c r="B120" i="84" s="1"/>
  <c r="AD6" i="84"/>
  <c r="B119" i="84" s="1"/>
  <c r="AF5" i="84"/>
  <c r="B148" i="84" s="1"/>
  <c r="AD5" i="84"/>
  <c r="B118" i="84" s="1"/>
  <c r="AF4" i="84"/>
  <c r="B147" i="84" s="1"/>
  <c r="AD4" i="84"/>
  <c r="B117" i="84" s="1"/>
  <c r="AF3" i="84"/>
  <c r="B146" i="84" s="1"/>
  <c r="AD3" i="84"/>
  <c r="B116" i="84" s="1"/>
  <c r="AF7" i="84"/>
  <c r="B150" i="84" s="1"/>
  <c r="AK9" i="84"/>
  <c r="AC44" i="84" a="1"/>
  <c r="AK55" i="84"/>
  <c r="AK50" i="84"/>
  <c r="O10" i="84"/>
  <c r="O12" i="84"/>
  <c r="O8" i="84"/>
  <c r="O11" i="84"/>
  <c r="AD2" i="83"/>
  <c r="B115" i="83" s="1"/>
  <c r="AA80" i="83" a="1"/>
  <c r="AA80" i="83" s="1"/>
  <c r="AC44" i="83" s="1" a="1"/>
  <c r="AK50" i="83"/>
  <c r="B177" i="83"/>
  <c r="AF134" i="83" a="1"/>
  <c r="AF134" i="83" s="1"/>
  <c r="B217" i="83" s="1"/>
  <c r="AE134" i="83"/>
  <c r="I137" i="83" s="1"/>
  <c r="O10" i="83"/>
  <c r="O12" i="83"/>
  <c r="O11" i="83"/>
  <c r="O8" i="83"/>
  <c r="O9" i="83"/>
  <c r="AC2" i="82"/>
  <c r="AF2" i="82" s="1"/>
  <c r="B145" i="82" s="1"/>
  <c r="AF3" i="82"/>
  <c r="B146" i="82" s="1"/>
  <c r="AD3" i="82"/>
  <c r="B116" i="82" s="1"/>
  <c r="AC44" i="29" a="1"/>
  <c r="AD45" i="29" s="1" a="1"/>
  <c r="AD45" i="29" s="1"/>
  <c r="B255" i="29" s="1"/>
  <c r="AC44" i="77" a="1"/>
  <c r="AD47" i="77" s="1" a="1"/>
  <c r="AD47" i="77" s="1"/>
  <c r="B257" i="77" s="1"/>
  <c r="B177" i="82"/>
  <c r="AF134" i="82" a="1"/>
  <c r="AF134" i="82" s="1"/>
  <c r="B217" i="82" s="1"/>
  <c r="AK55" i="82"/>
  <c r="AA108" i="82" a="1"/>
  <c r="AA108" i="82" s="1"/>
  <c r="AA110" i="82" a="1"/>
  <c r="AA110" i="82" s="1"/>
  <c r="AA107" i="82" a="1"/>
  <c r="AA107" i="82" s="1"/>
  <c r="AA109" i="82" a="1"/>
  <c r="AA109" i="82" s="1"/>
  <c r="AA111" i="82" a="1"/>
  <c r="AA111" i="82" s="1"/>
  <c r="AK54" i="82"/>
  <c r="AK13" i="82"/>
  <c r="AA91" i="82" a="1"/>
  <c r="AA91" i="82" s="1"/>
  <c r="AA89" i="82" a="1"/>
  <c r="AA89" i="82" s="1"/>
  <c r="AA87" i="82" a="1"/>
  <c r="AA87" i="82" s="1"/>
  <c r="AA90" i="82" a="1"/>
  <c r="AA90" i="82" s="1"/>
  <c r="AA88" i="82" a="1"/>
  <c r="AA88" i="82" s="1"/>
  <c r="AK50" i="82"/>
  <c r="AD5" i="81"/>
  <c r="B118" i="81" s="1"/>
  <c r="AF5" i="81"/>
  <c r="B148" i="81" s="1"/>
  <c r="AF6" i="81"/>
  <c r="B149" i="81" s="1"/>
  <c r="AD6" i="81"/>
  <c r="B119" i="81" s="1"/>
  <c r="AD4" i="81"/>
  <c r="B117" i="81" s="1"/>
  <c r="AF4" i="81"/>
  <c r="B147" i="81" s="1"/>
  <c r="AD3" i="81"/>
  <c r="B116" i="81" s="1"/>
  <c r="AF3" i="81"/>
  <c r="B146" i="81" s="1"/>
  <c r="AF2" i="81"/>
  <c r="B145" i="81" s="1"/>
  <c r="AD2" i="81"/>
  <c r="B115" i="81" s="1"/>
  <c r="AK47" i="81"/>
  <c r="AK50" i="81"/>
  <c r="AA80" i="81" a="1"/>
  <c r="AA80" i="81" s="1"/>
  <c r="B200" i="78"/>
  <c r="B180" i="78"/>
  <c r="B181" i="78"/>
  <c r="AC44" i="78" a="1"/>
  <c r="AD47" i="78" s="1" a="1"/>
  <c r="AD47" i="78" s="1"/>
  <c r="B257" i="78" s="1"/>
  <c r="B178" i="76"/>
  <c r="AC44" i="76" a="1"/>
  <c r="AD46" i="76" s="1" a="1"/>
  <c r="AD46" i="76" s="1"/>
  <c r="B256" i="76" s="1"/>
  <c r="B201" i="75"/>
  <c r="AC44" i="75" a="1"/>
  <c r="AD52" i="75" s="1" a="1"/>
  <c r="AD52" i="75" s="1"/>
  <c r="B262" i="75" s="1"/>
  <c r="B198" i="75"/>
  <c r="B199" i="75"/>
  <c r="AC44" i="74" a="1"/>
  <c r="AF45" i="74" s="1"/>
  <c r="B315" i="74" s="1"/>
  <c r="AF137" i="73" a="1"/>
  <c r="AF137" i="73" s="1"/>
  <c r="AF135" i="73" a="1"/>
  <c r="AF135" i="73" s="1"/>
  <c r="B218" i="73" s="1"/>
  <c r="AF136" i="73" a="1"/>
  <c r="AF136" i="73" s="1"/>
  <c r="B219" i="73" s="1"/>
  <c r="AF138" i="73" a="1"/>
  <c r="AF138" i="73" s="1"/>
  <c r="B221" i="73" s="1"/>
  <c r="AC134" i="73"/>
  <c r="B177" i="73" s="1"/>
  <c r="B179" i="73"/>
  <c r="B180" i="73"/>
  <c r="B181" i="73"/>
  <c r="AC44" i="73" a="1"/>
  <c r="AD51" i="73" s="1" a="1"/>
  <c r="AD51" i="73" s="1"/>
  <c r="B261" i="73" s="1"/>
  <c r="B178" i="78"/>
  <c r="AD2" i="73"/>
  <c r="B115" i="73" s="1"/>
  <c r="B201" i="73"/>
  <c r="B200" i="73"/>
  <c r="B198" i="73"/>
  <c r="B199" i="73"/>
  <c r="B199" i="34"/>
  <c r="B198" i="34"/>
  <c r="B178" i="80"/>
  <c r="B181" i="80"/>
  <c r="B180" i="80"/>
  <c r="B179" i="80"/>
  <c r="B176" i="77"/>
  <c r="B175" i="77"/>
  <c r="B201" i="80"/>
  <c r="B200" i="80"/>
  <c r="B199" i="80"/>
  <c r="B198" i="80"/>
  <c r="B179" i="34"/>
  <c r="B178" i="34"/>
  <c r="AA108" i="81" a="1"/>
  <c r="AA108" i="81" s="1"/>
  <c r="AA110" i="81" a="1"/>
  <c r="AA110" i="81" s="1"/>
  <c r="AA107" i="81" a="1"/>
  <c r="AA107" i="81" s="1"/>
  <c r="AA109" i="81" a="1"/>
  <c r="AA109" i="81" s="1"/>
  <c r="AA111" i="81" a="1"/>
  <c r="AA111" i="81" s="1"/>
  <c r="AK54" i="81"/>
  <c r="AK41" i="81"/>
  <c r="AK13" i="81"/>
  <c r="AA91" i="81" a="1"/>
  <c r="AA91" i="81" s="1"/>
  <c r="AA89" i="81" a="1"/>
  <c r="AA89" i="81" s="1"/>
  <c r="AA87" i="81" a="1"/>
  <c r="AA87" i="81" s="1"/>
  <c r="AA90" i="81" a="1"/>
  <c r="AA90" i="81" s="1"/>
  <c r="AA88" i="81" a="1"/>
  <c r="AA88" i="81" s="1"/>
  <c r="AF134" i="81" a="1"/>
  <c r="AF134" i="81" s="1"/>
  <c r="B217" i="81" s="1"/>
  <c r="AC44" i="34" a="1"/>
  <c r="AD56" i="34" s="1" a="1"/>
  <c r="AD56" i="34" s="1"/>
  <c r="B266" i="34" s="1"/>
  <c r="AE138" i="75"/>
  <c r="AE137" i="75"/>
  <c r="AC134" i="80"/>
  <c r="B177" i="80" s="1"/>
  <c r="AF138" i="80" a="1"/>
  <c r="AF138" i="80" s="1"/>
  <c r="B221" i="80" s="1"/>
  <c r="AF137" i="80" a="1"/>
  <c r="AF137" i="80" s="1"/>
  <c r="B220" i="80" s="1"/>
  <c r="AF136" i="80" a="1"/>
  <c r="AF136" i="80" s="1"/>
  <c r="B219" i="80" s="1"/>
  <c r="AF135" i="80" a="1"/>
  <c r="AF135" i="80" s="1"/>
  <c r="B218" i="80" s="1"/>
  <c r="AD134" i="80"/>
  <c r="B197" i="80" s="1"/>
  <c r="AE156" i="80"/>
  <c r="AC2" i="80" a="1"/>
  <c r="AK41" i="80"/>
  <c r="AA108" i="80" a="1"/>
  <c r="AA108" i="80" s="1"/>
  <c r="AA110" i="80" a="1"/>
  <c r="AA110" i="80" s="1"/>
  <c r="AA107" i="80" a="1"/>
  <c r="AA107" i="80" s="1"/>
  <c r="AA109" i="80" a="1"/>
  <c r="AA109" i="80" s="1"/>
  <c r="AA111" i="80" a="1"/>
  <c r="AA111" i="80" s="1"/>
  <c r="AK54" i="80"/>
  <c r="AK50" i="80"/>
  <c r="AK47" i="80"/>
  <c r="AF134" i="79" a="1"/>
  <c r="AF134" i="79" s="1"/>
  <c r="B217" i="79" s="1"/>
  <c r="AC44" i="79" a="1"/>
  <c r="AE54" i="79" s="1" a="1"/>
  <c r="AE54" i="79" s="1"/>
  <c r="B294" i="79" s="1"/>
  <c r="AF2" i="34"/>
  <c r="B145" i="34" s="1"/>
  <c r="AD2" i="34"/>
  <c r="B115" i="34" s="1"/>
  <c r="AF2" i="76"/>
  <c r="B145" i="76" s="1"/>
  <c r="AD2" i="76"/>
  <c r="B115" i="76" s="1"/>
  <c r="AF134" i="76" a="1"/>
  <c r="AF134" i="76" s="1"/>
  <c r="B217" i="76" s="1"/>
  <c r="I137" i="34"/>
  <c r="AF136" i="34" a="1"/>
  <c r="AF136" i="34" s="1"/>
  <c r="B219" i="34" s="1"/>
  <c r="AC134" i="34"/>
  <c r="B177" i="34" s="1"/>
  <c r="AF135" i="34" a="1"/>
  <c r="AF135" i="34" s="1"/>
  <c r="B218" i="34" s="1"/>
  <c r="AD134" i="34"/>
  <c r="B197" i="34" s="1"/>
  <c r="AD2" i="77"/>
  <c r="B115" i="77" s="1"/>
  <c r="AF2" i="77"/>
  <c r="B145" i="77" s="1"/>
  <c r="AF44" i="104" l="1"/>
  <c r="B314" i="104" s="1"/>
  <c r="AE44" i="104" a="1"/>
  <c r="AE44" i="104" s="1"/>
  <c r="B284" i="104" s="1"/>
  <c r="AD44" i="104" a="1"/>
  <c r="AD44" i="104" s="1"/>
  <c r="B254" i="104" s="1"/>
  <c r="AF57" i="103"/>
  <c r="B327" i="103" s="1"/>
  <c r="AE57" i="103" a="1"/>
  <c r="AE57" i="103" s="1"/>
  <c r="B297" i="103" s="1"/>
  <c r="AD57" i="103" a="1"/>
  <c r="AD57" i="103" s="1"/>
  <c r="B267" i="103" s="1"/>
  <c r="AC44" i="100" a="1"/>
  <c r="AE135" i="91"/>
  <c r="AE137" i="91"/>
  <c r="AE135" i="76"/>
  <c r="AF134" i="78" a="1"/>
  <c r="AF134" i="78" s="1"/>
  <c r="B217" i="78" s="1"/>
  <c r="AF2" i="101"/>
  <c r="B145" i="101" s="1"/>
  <c r="AE136" i="91"/>
  <c r="AF5" i="91"/>
  <c r="B148" i="91" s="1"/>
  <c r="AD5" i="91"/>
  <c r="B118" i="91" s="1"/>
  <c r="AF4" i="91"/>
  <c r="B147" i="91" s="1"/>
  <c r="AD4" i="91"/>
  <c r="B117" i="91" s="1"/>
  <c r="AC2" i="91"/>
  <c r="AF3" i="91"/>
  <c r="B146" i="91" s="1"/>
  <c r="AD3" i="91"/>
  <c r="B116" i="91" s="1"/>
  <c r="AF52" i="83"/>
  <c r="B322" i="83" s="1"/>
  <c r="AE52" i="83" a="1"/>
  <c r="AE52" i="83" s="1"/>
  <c r="B292" i="83" s="1"/>
  <c r="AD52" i="83" a="1"/>
  <c r="AD52" i="83" s="1"/>
  <c r="B262" i="83" s="1"/>
  <c r="AF134" i="90" a="1"/>
  <c r="AF134" i="90" s="1"/>
  <c r="B217" i="90" s="1"/>
  <c r="AF134" i="103" a="1"/>
  <c r="AF134" i="103" s="1"/>
  <c r="B217" i="103" s="1"/>
  <c r="AE136" i="78"/>
  <c r="AE137" i="78"/>
  <c r="AE135" i="75"/>
  <c r="AE138" i="78"/>
  <c r="B175" i="78"/>
  <c r="AE135" i="102"/>
  <c r="AF2" i="95"/>
  <c r="B145" i="95" s="1"/>
  <c r="AD2" i="95"/>
  <c r="B115" i="95" s="1"/>
  <c r="AC2" i="94"/>
  <c r="AF4" i="94"/>
  <c r="B147" i="94" s="1"/>
  <c r="AD4" i="94"/>
  <c r="B117" i="94" s="1"/>
  <c r="AF3" i="94"/>
  <c r="B146" i="94" s="1"/>
  <c r="AD3" i="94"/>
  <c r="B116" i="94" s="1"/>
  <c r="AF134" i="102" a="1"/>
  <c r="AF134" i="102" s="1"/>
  <c r="B217" i="102" s="1"/>
  <c r="AE136" i="75"/>
  <c r="AE136" i="76"/>
  <c r="AF134" i="75" a="1"/>
  <c r="AF134" i="75" s="1"/>
  <c r="B217" i="75" s="1"/>
  <c r="AE136" i="103"/>
  <c r="AE135" i="103"/>
  <c r="AF2" i="103"/>
  <c r="B145" i="103" s="1"/>
  <c r="AD2" i="103"/>
  <c r="B115" i="103" s="1"/>
  <c r="AE137" i="103"/>
  <c r="AF54" i="103"/>
  <c r="B324" i="103" s="1"/>
  <c r="AE54" i="103" a="1"/>
  <c r="AE54" i="103" s="1"/>
  <c r="B294" i="103" s="1"/>
  <c r="AF51" i="103"/>
  <c r="B321" i="103" s="1"/>
  <c r="AF47" i="103"/>
  <c r="B317" i="103" s="1"/>
  <c r="AD54" i="103" a="1"/>
  <c r="AD54" i="103" s="1"/>
  <c r="B264" i="103" s="1"/>
  <c r="AE51" i="103" a="1"/>
  <c r="AE51" i="103" s="1"/>
  <c r="B291" i="103" s="1"/>
  <c r="AE47" i="103" a="1"/>
  <c r="AE47" i="103" s="1"/>
  <c r="B287" i="103" s="1"/>
  <c r="AD51" i="103" a="1"/>
  <c r="AD51" i="103" s="1"/>
  <c r="B261" i="103" s="1"/>
  <c r="AD47" i="103" a="1"/>
  <c r="AD47" i="103" s="1"/>
  <c r="B257" i="103" s="1"/>
  <c r="AF50" i="103"/>
  <c r="B320" i="103" s="1"/>
  <c r="AF56" i="103"/>
  <c r="B326" i="103" s="1"/>
  <c r="AF53" i="103"/>
  <c r="B323" i="103" s="1"/>
  <c r="AE50" i="103" a="1"/>
  <c r="AE50" i="103" s="1"/>
  <c r="B290" i="103" s="1"/>
  <c r="AE56" i="103" a="1"/>
  <c r="AE56" i="103" s="1"/>
  <c r="B296" i="103" s="1"/>
  <c r="AE53" i="103" a="1"/>
  <c r="AE53" i="103" s="1"/>
  <c r="B293" i="103" s="1"/>
  <c r="AD50" i="103" a="1"/>
  <c r="AD50" i="103" s="1"/>
  <c r="B260" i="103" s="1"/>
  <c r="AD56" i="103" a="1"/>
  <c r="AD56" i="103" s="1"/>
  <c r="B266" i="103" s="1"/>
  <c r="AD53" i="103" a="1"/>
  <c r="AD53" i="103" s="1"/>
  <c r="B263" i="103" s="1"/>
  <c r="AF49" i="103"/>
  <c r="B319" i="103" s="1"/>
  <c r="AF46" i="103"/>
  <c r="B316" i="103" s="1"/>
  <c r="AE49" i="103" a="1"/>
  <c r="AE49" i="103" s="1"/>
  <c r="B289" i="103" s="1"/>
  <c r="AE46" i="103" a="1"/>
  <c r="AE46" i="103" s="1"/>
  <c r="B286" i="103" s="1"/>
  <c r="AD49" i="103" a="1"/>
  <c r="AD49" i="103" s="1"/>
  <c r="B259" i="103" s="1"/>
  <c r="AD46" i="103" a="1"/>
  <c r="AD46" i="103" s="1"/>
  <c r="B256" i="103" s="1"/>
  <c r="AF55" i="103"/>
  <c r="B325" i="103" s="1"/>
  <c r="AF52" i="103"/>
  <c r="B322" i="103" s="1"/>
  <c r="AE55" i="103" a="1"/>
  <c r="AE55" i="103" s="1"/>
  <c r="B295" i="103" s="1"/>
  <c r="AE52" i="103" a="1"/>
  <c r="AE52" i="103" s="1"/>
  <c r="B292" i="103" s="1"/>
  <c r="AE48" i="103" a="1"/>
  <c r="AE48" i="103" s="1"/>
  <c r="B288" i="103" s="1"/>
  <c r="AD55" i="103" a="1"/>
  <c r="AD55" i="103" s="1"/>
  <c r="B265" i="103" s="1"/>
  <c r="AD52" i="103" a="1"/>
  <c r="AD52" i="103" s="1"/>
  <c r="B262" i="103" s="1"/>
  <c r="AF48" i="103"/>
  <c r="B318" i="103" s="1"/>
  <c r="AD48" i="103" a="1"/>
  <c r="AD48" i="103" s="1"/>
  <c r="B258" i="103" s="1"/>
  <c r="AC44" i="102" a="1"/>
  <c r="AF46" i="102" s="1"/>
  <c r="B316" i="102" s="1"/>
  <c r="AF45" i="103"/>
  <c r="B315" i="103" s="1"/>
  <c r="AE45" i="103" a="1"/>
  <c r="AE45" i="103" s="1"/>
  <c r="B285" i="103" s="1"/>
  <c r="AD45" i="103" a="1"/>
  <c r="AD45" i="103" s="1"/>
  <c r="B255" i="103" s="1"/>
  <c r="AC44" i="103"/>
  <c r="AE136" i="102"/>
  <c r="AF134" i="93" a="1"/>
  <c r="AF134" i="93" s="1"/>
  <c r="B217" i="93" s="1"/>
  <c r="AE134" i="74"/>
  <c r="I137" i="74" s="1"/>
  <c r="AC44" i="101" a="1"/>
  <c r="AE134" i="101"/>
  <c r="I137" i="101" s="1"/>
  <c r="B175" i="101" s="1"/>
  <c r="AF47" i="100"/>
  <c r="B317" i="100" s="1"/>
  <c r="AE47" i="100" a="1"/>
  <c r="AE47" i="100" s="1"/>
  <c r="B287" i="100" s="1"/>
  <c r="AD47" i="100" a="1"/>
  <c r="AD47" i="100" s="1"/>
  <c r="B257" i="100" s="1"/>
  <c r="AE46" i="100" a="1"/>
  <c r="AE46" i="100" s="1"/>
  <c r="B286" i="100" s="1"/>
  <c r="AF46" i="100"/>
  <c r="B316" i="100" s="1"/>
  <c r="AD46" i="100" a="1"/>
  <c r="AD46" i="100" s="1"/>
  <c r="B256" i="100" s="1"/>
  <c r="B176" i="100"/>
  <c r="B175" i="100"/>
  <c r="AF45" i="100"/>
  <c r="B315" i="100" s="1"/>
  <c r="AE45" i="100" a="1"/>
  <c r="AE45" i="100" s="1"/>
  <c r="B285" i="100" s="1"/>
  <c r="AC44" i="100"/>
  <c r="AD45" i="100" a="1"/>
  <c r="AD45" i="100" s="1"/>
  <c r="B255" i="100" s="1"/>
  <c r="AE134" i="99"/>
  <c r="I137" i="99" s="1"/>
  <c r="B176" i="99" s="1"/>
  <c r="AF52" i="99"/>
  <c r="B322" i="99" s="1"/>
  <c r="AE52" i="99" a="1"/>
  <c r="AE52" i="99" s="1"/>
  <c r="B292" i="99" s="1"/>
  <c r="AF48" i="99"/>
  <c r="B318" i="99" s="1"/>
  <c r="AD52" i="99" a="1"/>
  <c r="AD52" i="99" s="1"/>
  <c r="B262" i="99" s="1"/>
  <c r="AE48" i="99" a="1"/>
  <c r="AE48" i="99" s="1"/>
  <c r="B288" i="99" s="1"/>
  <c r="AD49" i="99" a="1"/>
  <c r="AD49" i="99" s="1"/>
  <c r="B259" i="99" s="1"/>
  <c r="AD48" i="99" a="1"/>
  <c r="AD48" i="99" s="1"/>
  <c r="B258" i="99" s="1"/>
  <c r="AF51" i="99"/>
  <c r="B321" i="99" s="1"/>
  <c r="AE51" i="99" a="1"/>
  <c r="AE51" i="99" s="1"/>
  <c r="B291" i="99" s="1"/>
  <c r="AF47" i="99"/>
  <c r="B317" i="99" s="1"/>
  <c r="AD51" i="99" a="1"/>
  <c r="AD51" i="99" s="1"/>
  <c r="B261" i="99" s="1"/>
  <c r="AE47" i="99" a="1"/>
  <c r="AE47" i="99" s="1"/>
  <c r="B287" i="99" s="1"/>
  <c r="AD46" i="99" a="1"/>
  <c r="AD46" i="99" s="1"/>
  <c r="B256" i="99" s="1"/>
  <c r="AF50" i="99"/>
  <c r="B320" i="99" s="1"/>
  <c r="AD47" i="99" a="1"/>
  <c r="AD47" i="99" s="1"/>
  <c r="B257" i="99" s="1"/>
  <c r="AE50" i="99" a="1"/>
  <c r="AE50" i="99" s="1"/>
  <c r="B290" i="99" s="1"/>
  <c r="AD50" i="99" a="1"/>
  <c r="AD50" i="99" s="1"/>
  <c r="B260" i="99" s="1"/>
  <c r="AF49" i="99"/>
  <c r="B319" i="99" s="1"/>
  <c r="AF46" i="99"/>
  <c r="B316" i="99" s="1"/>
  <c r="AE49" i="99" a="1"/>
  <c r="AE49" i="99" s="1"/>
  <c r="B289" i="99" s="1"/>
  <c r="AE46" i="99" a="1"/>
  <c r="AE46" i="99" s="1"/>
  <c r="B286" i="99" s="1"/>
  <c r="AF45" i="99"/>
  <c r="B315" i="99" s="1"/>
  <c r="AE45" i="99" a="1"/>
  <c r="AE45" i="99" s="1"/>
  <c r="B285" i="99" s="1"/>
  <c r="AC44" i="99"/>
  <c r="AD45" i="99" a="1"/>
  <c r="AD45" i="99" s="1"/>
  <c r="B255" i="99" s="1"/>
  <c r="AF134" i="97" a="1"/>
  <c r="AF134" i="97" s="1"/>
  <c r="B217" i="97" s="1"/>
  <c r="B177" i="93"/>
  <c r="AE135" i="78"/>
  <c r="D7" i="69" a="1"/>
  <c r="D7" i="69" s="1"/>
  <c r="AF134" i="73" a="1"/>
  <c r="AF134" i="73" s="1"/>
  <c r="B217" i="73" s="1"/>
  <c r="AE136" i="73"/>
  <c r="AF134" i="92" a="1"/>
  <c r="AF134" i="92" s="1"/>
  <c r="B217" i="92" s="1"/>
  <c r="AE136" i="95"/>
  <c r="AF134" i="95" a="1"/>
  <c r="AF134" i="95" s="1"/>
  <c r="B217" i="95" s="1"/>
  <c r="AF134" i="96" a="1"/>
  <c r="AF134" i="96" s="1"/>
  <c r="B217" i="96" s="1"/>
  <c r="AE135" i="73"/>
  <c r="AE136" i="97"/>
  <c r="AE135" i="97"/>
  <c r="AF2" i="97"/>
  <c r="B145" i="97" s="1"/>
  <c r="AD2" i="97"/>
  <c r="B115" i="97" s="1"/>
  <c r="AC44" i="97" a="1"/>
  <c r="AF45" i="97" s="1"/>
  <c r="B315" i="97" s="1"/>
  <c r="AF52" i="96"/>
  <c r="B322" i="96" s="1"/>
  <c r="AE52" i="96" a="1"/>
  <c r="AE52" i="96" s="1"/>
  <c r="B292" i="96" s="1"/>
  <c r="AD52" i="96" a="1"/>
  <c r="AD52" i="96" s="1"/>
  <c r="B262" i="96" s="1"/>
  <c r="AE135" i="96"/>
  <c r="AE48" i="96" a="1"/>
  <c r="AE48" i="96" s="1"/>
  <c r="B288" i="96" s="1"/>
  <c r="AD48" i="96" a="1"/>
  <c r="AD48" i="96" s="1"/>
  <c r="B258" i="96" s="1"/>
  <c r="AF48" i="96"/>
  <c r="B318" i="96" s="1"/>
  <c r="AF51" i="96"/>
  <c r="B321" i="96" s="1"/>
  <c r="AE51" i="96" a="1"/>
  <c r="AE51" i="96" s="1"/>
  <c r="B291" i="96" s="1"/>
  <c r="AD51" i="96" a="1"/>
  <c r="AD51" i="96" s="1"/>
  <c r="B261" i="96" s="1"/>
  <c r="AF47" i="96"/>
  <c r="B317" i="96" s="1"/>
  <c r="AE47" i="96" a="1"/>
  <c r="AE47" i="96" s="1"/>
  <c r="B287" i="96" s="1"/>
  <c r="AF50" i="96"/>
  <c r="B320" i="96" s="1"/>
  <c r="AD47" i="96" a="1"/>
  <c r="AD47" i="96" s="1"/>
  <c r="B257" i="96" s="1"/>
  <c r="AE50" i="96" a="1"/>
  <c r="AE50" i="96" s="1"/>
  <c r="B290" i="96" s="1"/>
  <c r="AD50" i="96" a="1"/>
  <c r="AD50" i="96" s="1"/>
  <c r="B260" i="96" s="1"/>
  <c r="AF49" i="96"/>
  <c r="B319" i="96" s="1"/>
  <c r="AE49" i="96" a="1"/>
  <c r="AE49" i="96" s="1"/>
  <c r="B289" i="96" s="1"/>
  <c r="AF46" i="96"/>
  <c r="B316" i="96" s="1"/>
  <c r="AD49" i="96" a="1"/>
  <c r="AD49" i="96" s="1"/>
  <c r="B259" i="96" s="1"/>
  <c r="AE46" i="96" a="1"/>
  <c r="AE46" i="96" s="1"/>
  <c r="B286" i="96" s="1"/>
  <c r="AD46" i="96" a="1"/>
  <c r="AD46" i="96" s="1"/>
  <c r="B256" i="96" s="1"/>
  <c r="AF45" i="96"/>
  <c r="B315" i="96" s="1"/>
  <c r="AE45" i="96" a="1"/>
  <c r="AE45" i="96" s="1"/>
  <c r="B285" i="96" s="1"/>
  <c r="AC44" i="96"/>
  <c r="AD45" i="96" a="1"/>
  <c r="AD45" i="96" s="1"/>
  <c r="B255" i="96" s="1"/>
  <c r="AE138" i="95"/>
  <c r="AE137" i="95"/>
  <c r="AE135" i="95"/>
  <c r="AC44" i="95" a="1"/>
  <c r="AF2" i="94"/>
  <c r="B145" i="94" s="1"/>
  <c r="AD2" i="94"/>
  <c r="B115" i="94" s="1"/>
  <c r="AC44" i="94" a="1"/>
  <c r="B176" i="94"/>
  <c r="B175" i="94"/>
  <c r="AE137" i="93"/>
  <c r="AE136" i="93"/>
  <c r="AE135" i="93"/>
  <c r="AF48" i="93"/>
  <c r="B318" i="93" s="1"/>
  <c r="AE48" i="93" a="1"/>
  <c r="AE48" i="93" s="1"/>
  <c r="B288" i="93" s="1"/>
  <c r="AD48" i="93" a="1"/>
  <c r="AD48" i="93" s="1"/>
  <c r="B258" i="93" s="1"/>
  <c r="AF47" i="93"/>
  <c r="B317" i="93" s="1"/>
  <c r="AF50" i="93"/>
  <c r="B320" i="93" s="1"/>
  <c r="AE47" i="93" a="1"/>
  <c r="AE47" i="93" s="1"/>
  <c r="B287" i="93" s="1"/>
  <c r="AD46" i="93" a="1"/>
  <c r="AD46" i="93" s="1"/>
  <c r="B256" i="93" s="1"/>
  <c r="AE50" i="93" a="1"/>
  <c r="AE50" i="93" s="1"/>
  <c r="B290" i="93" s="1"/>
  <c r="AD47" i="93" a="1"/>
  <c r="AD47" i="93" s="1"/>
  <c r="B257" i="93" s="1"/>
  <c r="AD50" i="93" a="1"/>
  <c r="AD50" i="93" s="1"/>
  <c r="B260" i="93" s="1"/>
  <c r="AF49" i="93"/>
  <c r="B319" i="93" s="1"/>
  <c r="AF46" i="93"/>
  <c r="B316" i="93" s="1"/>
  <c r="AE49" i="93" a="1"/>
  <c r="AE49" i="93" s="1"/>
  <c r="B289" i="93" s="1"/>
  <c r="AE46" i="93" a="1"/>
  <c r="AE46" i="93" s="1"/>
  <c r="B286" i="93" s="1"/>
  <c r="AD49" i="93" a="1"/>
  <c r="AD49" i="93" s="1"/>
  <c r="B259" i="93" s="1"/>
  <c r="AF45" i="93"/>
  <c r="B315" i="93" s="1"/>
  <c r="AE45" i="93" a="1"/>
  <c r="AE45" i="93" s="1"/>
  <c r="B285" i="93" s="1"/>
  <c r="AC44" i="93"/>
  <c r="AD45" i="93" a="1"/>
  <c r="AD45" i="93" s="1"/>
  <c r="B255" i="93" s="1"/>
  <c r="AE135" i="92"/>
  <c r="AF2" i="92"/>
  <c r="B145" i="92" s="1"/>
  <c r="AD2" i="92"/>
  <c r="B115" i="92" s="1"/>
  <c r="AC44" i="92" a="1"/>
  <c r="E5" i="69"/>
  <c r="AE53" i="91" a="1"/>
  <c r="AE53" i="91" s="1"/>
  <c r="B293" i="91" s="1"/>
  <c r="AD53" i="91" a="1"/>
  <c r="AD53" i="91" s="1"/>
  <c r="B263" i="91" s="1"/>
  <c r="AF52" i="91"/>
  <c r="B322" i="91" s="1"/>
  <c r="AE52" i="91" a="1"/>
  <c r="AE52" i="91" s="1"/>
  <c r="B292" i="91" s="1"/>
  <c r="AD52" i="91" a="1"/>
  <c r="AD52" i="91" s="1"/>
  <c r="B262" i="91" s="1"/>
  <c r="AF51" i="91"/>
  <c r="B321" i="91" s="1"/>
  <c r="AE51" i="91" a="1"/>
  <c r="AE51" i="91" s="1"/>
  <c r="B291" i="91" s="1"/>
  <c r="AD51" i="91" a="1"/>
  <c r="AD51" i="91" s="1"/>
  <c r="B261" i="91" s="1"/>
  <c r="AF53" i="91"/>
  <c r="B323" i="91" s="1"/>
  <c r="AE134" i="91"/>
  <c r="I137" i="91" s="1"/>
  <c r="B176" i="91" s="1"/>
  <c r="AE49" i="91" a="1"/>
  <c r="AE49" i="91" s="1"/>
  <c r="B289" i="91" s="1"/>
  <c r="AD46" i="91" a="1"/>
  <c r="AD46" i="91" s="1"/>
  <c r="B256" i="91" s="1"/>
  <c r="AD49" i="91" a="1"/>
  <c r="AD49" i="91" s="1"/>
  <c r="B259" i="91" s="1"/>
  <c r="AF48" i="91"/>
  <c r="B318" i="91" s="1"/>
  <c r="AE48" i="91" a="1"/>
  <c r="AE48" i="91" s="1"/>
  <c r="B288" i="91" s="1"/>
  <c r="AD48" i="91" a="1"/>
  <c r="AD48" i="91" s="1"/>
  <c r="B258" i="91" s="1"/>
  <c r="AF47" i="91"/>
  <c r="B317" i="91" s="1"/>
  <c r="AE47" i="91" a="1"/>
  <c r="AE47" i="91" s="1"/>
  <c r="B287" i="91" s="1"/>
  <c r="AF50" i="91"/>
  <c r="B320" i="91" s="1"/>
  <c r="AD47" i="91" a="1"/>
  <c r="AD47" i="91" s="1"/>
  <c r="B257" i="91" s="1"/>
  <c r="AE50" i="91" a="1"/>
  <c r="AE50" i="91" s="1"/>
  <c r="B290" i="91" s="1"/>
  <c r="AD50" i="91" a="1"/>
  <c r="AD50" i="91" s="1"/>
  <c r="B260" i="91" s="1"/>
  <c r="AF46" i="91"/>
  <c r="B316" i="91" s="1"/>
  <c r="AF49" i="91"/>
  <c r="B319" i="91" s="1"/>
  <c r="AE46" i="91" a="1"/>
  <c r="AE46" i="91" s="1"/>
  <c r="B286" i="91" s="1"/>
  <c r="AF45" i="91"/>
  <c r="B315" i="91" s="1"/>
  <c r="AE45" i="91" a="1"/>
  <c r="AE45" i="91" s="1"/>
  <c r="B285" i="91" s="1"/>
  <c r="AC44" i="91"/>
  <c r="AD45" i="91" a="1"/>
  <c r="AD45" i="91" s="1"/>
  <c r="B255" i="91" s="1"/>
  <c r="AE135" i="90"/>
  <c r="AE134" i="90"/>
  <c r="D6" i="69" a="1"/>
  <c r="D6" i="69" s="1"/>
  <c r="B6" i="69" a="1"/>
  <c r="B6" i="69" s="1"/>
  <c r="C6" i="69" a="1"/>
  <c r="C6" i="69" s="1"/>
  <c r="AE12" i="68"/>
  <c r="AF12" i="68"/>
  <c r="AG12" i="68" s="1"/>
  <c r="AF134" i="84" a="1"/>
  <c r="AF134" i="84" s="1"/>
  <c r="B217" i="84" s="1"/>
  <c r="B220" i="73"/>
  <c r="AE137" i="73"/>
  <c r="AM12" i="68"/>
  <c r="AI12" i="68"/>
  <c r="E4" i="69"/>
  <c r="B7" i="69" a="1"/>
  <c r="B7" i="69" s="1"/>
  <c r="AC44" i="90" a="1"/>
  <c r="C7" i="69" a="1"/>
  <c r="C7" i="69" s="1"/>
  <c r="AE134" i="89"/>
  <c r="I137" i="89" s="1"/>
  <c r="B176" i="89" s="1"/>
  <c r="AC44" i="89" a="1"/>
  <c r="AF134" i="85" a="1"/>
  <c r="AF134" i="85" s="1"/>
  <c r="B217" i="85" s="1"/>
  <c r="AF134" i="88" a="1"/>
  <c r="AF134" i="88" s="1"/>
  <c r="B217" i="88" s="1"/>
  <c r="AE136" i="88"/>
  <c r="AE135" i="88"/>
  <c r="AF48" i="88"/>
  <c r="B318" i="88" s="1"/>
  <c r="AE48" i="88" a="1"/>
  <c r="AE48" i="88" s="1"/>
  <c r="B288" i="88" s="1"/>
  <c r="AD48" i="88" a="1"/>
  <c r="AD48" i="88" s="1"/>
  <c r="B258" i="88" s="1"/>
  <c r="AF51" i="88"/>
  <c r="B321" i="88" s="1"/>
  <c r="AE51" i="88" a="1"/>
  <c r="AE51" i="88" s="1"/>
  <c r="B291" i="88" s="1"/>
  <c r="AF47" i="88"/>
  <c r="B317" i="88" s="1"/>
  <c r="AD51" i="88" a="1"/>
  <c r="AD51" i="88" s="1"/>
  <c r="B261" i="88" s="1"/>
  <c r="AE47" i="88" a="1"/>
  <c r="AE47" i="88" s="1"/>
  <c r="B287" i="88" s="1"/>
  <c r="AF50" i="88"/>
  <c r="B320" i="88" s="1"/>
  <c r="AD47" i="88" a="1"/>
  <c r="AD47" i="88" s="1"/>
  <c r="B257" i="88" s="1"/>
  <c r="AE50" i="88" a="1"/>
  <c r="AE50" i="88" s="1"/>
  <c r="B290" i="88" s="1"/>
  <c r="AD50" i="88" a="1"/>
  <c r="AD50" i="88" s="1"/>
  <c r="B260" i="88" s="1"/>
  <c r="AF49" i="88"/>
  <c r="B319" i="88" s="1"/>
  <c r="AE49" i="88" a="1"/>
  <c r="AE49" i="88" s="1"/>
  <c r="B289" i="88" s="1"/>
  <c r="AF46" i="88"/>
  <c r="B316" i="88" s="1"/>
  <c r="AD49" i="88" a="1"/>
  <c r="AD49" i="88" s="1"/>
  <c r="B259" i="88" s="1"/>
  <c r="AE46" i="88" a="1"/>
  <c r="AE46" i="88" s="1"/>
  <c r="B286" i="88" s="1"/>
  <c r="AD46" i="88" a="1"/>
  <c r="AD46" i="88" s="1"/>
  <c r="B256" i="88" s="1"/>
  <c r="AF45" i="88"/>
  <c r="B315" i="88" s="1"/>
  <c r="AE45" i="88" a="1"/>
  <c r="AE45" i="88" s="1"/>
  <c r="B285" i="88" s="1"/>
  <c r="AC44" i="88"/>
  <c r="AD45" i="88" a="1"/>
  <c r="AD45" i="88" s="1"/>
  <c r="B255" i="88" s="1"/>
  <c r="AF134" i="86" a="1"/>
  <c r="AF134" i="86" s="1"/>
  <c r="B217" i="86" s="1"/>
  <c r="AE60" i="86" a="1"/>
  <c r="AE60" i="86" s="1"/>
  <c r="B300" i="86" s="1"/>
  <c r="AD60" i="86" a="1"/>
  <c r="AD60" i="86" s="1"/>
  <c r="B270" i="86" s="1"/>
  <c r="AF59" i="86"/>
  <c r="B329" i="86" s="1"/>
  <c r="AE59" i="86" a="1"/>
  <c r="AE59" i="86" s="1"/>
  <c r="B299" i="86" s="1"/>
  <c r="AD59" i="86" a="1"/>
  <c r="AD59" i="86" s="1"/>
  <c r="B269" i="86" s="1"/>
  <c r="AF58" i="86"/>
  <c r="B328" i="86" s="1"/>
  <c r="AE58" i="86" a="1"/>
  <c r="AE58" i="86" s="1"/>
  <c r="B298" i="86" s="1"/>
  <c r="AD58" i="86" a="1"/>
  <c r="AD58" i="86" s="1"/>
  <c r="B268" i="86" s="1"/>
  <c r="AF60" i="86"/>
  <c r="B330" i="86" s="1"/>
  <c r="AE136" i="86"/>
  <c r="AE135" i="86"/>
  <c r="AF50" i="86"/>
  <c r="B320" i="86" s="1"/>
  <c r="AD47" i="86" a="1"/>
  <c r="AD47" i="86" s="1"/>
  <c r="B257" i="86" s="1"/>
  <c r="AE50" i="86" a="1"/>
  <c r="AE50" i="86" s="1"/>
  <c r="B290" i="86" s="1"/>
  <c r="AF53" i="86"/>
  <c r="B323" i="86" s="1"/>
  <c r="AD50" i="86" a="1"/>
  <c r="AD50" i="86" s="1"/>
  <c r="B260" i="86" s="1"/>
  <c r="AF56" i="86"/>
  <c r="B326" i="86" s="1"/>
  <c r="AE53" i="86" a="1"/>
  <c r="AE53" i="86" s="1"/>
  <c r="B293" i="86" s="1"/>
  <c r="AF49" i="86"/>
  <c r="B319" i="86" s="1"/>
  <c r="AF46" i="86"/>
  <c r="B316" i="86" s="1"/>
  <c r="AE56" i="86" a="1"/>
  <c r="AE56" i="86" s="1"/>
  <c r="B296" i="86" s="1"/>
  <c r="AD53" i="86" a="1"/>
  <c r="AD53" i="86" s="1"/>
  <c r="B263" i="86" s="1"/>
  <c r="AE49" i="86" a="1"/>
  <c r="AE49" i="86" s="1"/>
  <c r="B289" i="86" s="1"/>
  <c r="AE46" i="86" a="1"/>
  <c r="AE46" i="86" s="1"/>
  <c r="B286" i="86" s="1"/>
  <c r="AD56" i="86" a="1"/>
  <c r="AD56" i="86" s="1"/>
  <c r="B266" i="86" s="1"/>
  <c r="AD49" i="86" a="1"/>
  <c r="AD49" i="86" s="1"/>
  <c r="B259" i="86" s="1"/>
  <c r="AD46" i="86" a="1"/>
  <c r="AD46" i="86" s="1"/>
  <c r="B256" i="86" s="1"/>
  <c r="AF55" i="86"/>
  <c r="B325" i="86" s="1"/>
  <c r="AF52" i="86"/>
  <c r="B322" i="86" s="1"/>
  <c r="AE55" i="86" a="1"/>
  <c r="AE55" i="86" s="1"/>
  <c r="B295" i="86" s="1"/>
  <c r="AE52" i="86" a="1"/>
  <c r="AE52" i="86" s="1"/>
  <c r="B292" i="86" s="1"/>
  <c r="AF48" i="86"/>
  <c r="B318" i="86" s="1"/>
  <c r="AD55" i="86" a="1"/>
  <c r="AD55" i="86" s="1"/>
  <c r="B265" i="86" s="1"/>
  <c r="AD52" i="86" a="1"/>
  <c r="AD52" i="86" s="1"/>
  <c r="B262" i="86" s="1"/>
  <c r="AE48" i="86" a="1"/>
  <c r="AE48" i="86" s="1"/>
  <c r="B288" i="86" s="1"/>
  <c r="AD48" i="86" a="1"/>
  <c r="AD48" i="86" s="1"/>
  <c r="B258" i="86" s="1"/>
  <c r="AF57" i="86"/>
  <c r="B327" i="86" s="1"/>
  <c r="AF54" i="86"/>
  <c r="B324" i="86" s="1"/>
  <c r="AF51" i="86"/>
  <c r="B321" i="86" s="1"/>
  <c r="AE54" i="86" a="1"/>
  <c r="AE54" i="86" s="1"/>
  <c r="B294" i="86" s="1"/>
  <c r="AD57" i="86" a="1"/>
  <c r="AD57" i="86" s="1"/>
  <c r="B267" i="86" s="1"/>
  <c r="AD54" i="86" a="1"/>
  <c r="AD54" i="86" s="1"/>
  <c r="B264" i="86" s="1"/>
  <c r="AD51" i="86" a="1"/>
  <c r="AD51" i="86" s="1"/>
  <c r="B261" i="86" s="1"/>
  <c r="AE47" i="86" a="1"/>
  <c r="AE47" i="86" s="1"/>
  <c r="B287" i="86" s="1"/>
  <c r="AE57" i="86" a="1"/>
  <c r="AE57" i="86" s="1"/>
  <c r="B297" i="86" s="1"/>
  <c r="AE51" i="86" a="1"/>
  <c r="AE51" i="86" s="1"/>
  <c r="B291" i="86" s="1"/>
  <c r="AF47" i="86"/>
  <c r="B317" i="86" s="1"/>
  <c r="AF45" i="86"/>
  <c r="B315" i="86" s="1"/>
  <c r="AE45" i="86" a="1"/>
  <c r="AE45" i="86" s="1"/>
  <c r="B285" i="86" s="1"/>
  <c r="AC44" i="86"/>
  <c r="AD45" i="86" a="1"/>
  <c r="AD45" i="86" s="1"/>
  <c r="B255" i="86" s="1"/>
  <c r="AE135" i="85"/>
  <c r="AD2" i="85"/>
  <c r="B115" i="85" s="1"/>
  <c r="AF2" i="85"/>
  <c r="B145" i="85" s="1"/>
  <c r="AC44" i="85" a="1"/>
  <c r="AE137" i="84"/>
  <c r="AE136" i="84"/>
  <c r="AE135" i="84"/>
  <c r="AD2" i="84"/>
  <c r="B115" i="84" s="1"/>
  <c r="AF2" i="84"/>
  <c r="B145" i="84" s="1"/>
  <c r="AE47" i="84" a="1"/>
  <c r="AE47" i="84" s="1"/>
  <c r="B287" i="84" s="1"/>
  <c r="AD47" i="84" a="1"/>
  <c r="AD47" i="84" s="1"/>
  <c r="B257" i="84" s="1"/>
  <c r="AF46" i="84"/>
  <c r="B316" i="84" s="1"/>
  <c r="AF49" i="84"/>
  <c r="B319" i="84" s="1"/>
  <c r="AE46" i="84" a="1"/>
  <c r="AE46" i="84" s="1"/>
  <c r="B286" i="84" s="1"/>
  <c r="AE49" i="84" a="1"/>
  <c r="AE49" i="84" s="1"/>
  <c r="B289" i="84" s="1"/>
  <c r="AD46" i="84" a="1"/>
  <c r="AD46" i="84" s="1"/>
  <c r="B256" i="84" s="1"/>
  <c r="AD49" i="84" a="1"/>
  <c r="AD49" i="84" s="1"/>
  <c r="B259" i="84" s="1"/>
  <c r="AF48" i="84"/>
  <c r="B318" i="84" s="1"/>
  <c r="AE48" i="84" a="1"/>
  <c r="AE48" i="84" s="1"/>
  <c r="B288" i="84" s="1"/>
  <c r="AD48" i="84" a="1"/>
  <c r="AD48" i="84" s="1"/>
  <c r="B258" i="84" s="1"/>
  <c r="AF47" i="84"/>
  <c r="B317" i="84" s="1"/>
  <c r="AF45" i="84"/>
  <c r="B315" i="84" s="1"/>
  <c r="AE45" i="84" a="1"/>
  <c r="AE45" i="84" s="1"/>
  <c r="B285" i="84" s="1"/>
  <c r="AC44" i="84"/>
  <c r="AD45" i="84" a="1"/>
  <c r="AD45" i="84" s="1"/>
  <c r="B255" i="84" s="1"/>
  <c r="AD2" i="82"/>
  <c r="B115" i="82" s="1"/>
  <c r="AF50" i="83"/>
  <c r="B320" i="83" s="1"/>
  <c r="AD47" i="83" a="1"/>
  <c r="AD47" i="83" s="1"/>
  <c r="B257" i="83" s="1"/>
  <c r="AE50" i="83" a="1"/>
  <c r="AE50" i="83" s="1"/>
  <c r="B290" i="83" s="1"/>
  <c r="AD51" i="83" a="1"/>
  <c r="AD51" i="83" s="1"/>
  <c r="B261" i="83" s="1"/>
  <c r="AF47" i="83"/>
  <c r="B317" i="83" s="1"/>
  <c r="AD50" i="83" a="1"/>
  <c r="AD50" i="83" s="1"/>
  <c r="B260" i="83" s="1"/>
  <c r="AE51" i="83" a="1"/>
  <c r="AE51" i="83" s="1"/>
  <c r="B291" i="83" s="1"/>
  <c r="AF49" i="83"/>
  <c r="B319" i="83" s="1"/>
  <c r="AF46" i="83"/>
  <c r="B316" i="83" s="1"/>
  <c r="AE49" i="83" a="1"/>
  <c r="AE49" i="83" s="1"/>
  <c r="B289" i="83" s="1"/>
  <c r="AE46" i="83" a="1"/>
  <c r="AE46" i="83" s="1"/>
  <c r="B286" i="83" s="1"/>
  <c r="AD49" i="83" a="1"/>
  <c r="AD49" i="83" s="1"/>
  <c r="B259" i="83" s="1"/>
  <c r="AD46" i="83" a="1"/>
  <c r="AD46" i="83" s="1"/>
  <c r="B256" i="83" s="1"/>
  <c r="AF48" i="83"/>
  <c r="B318" i="83" s="1"/>
  <c r="AE48" i="83" a="1"/>
  <c r="AE48" i="83" s="1"/>
  <c r="B288" i="83" s="1"/>
  <c r="AF51" i="83"/>
  <c r="B321" i="83" s="1"/>
  <c r="AD48" i="83" a="1"/>
  <c r="AD48" i="83" s="1"/>
  <c r="B258" i="83" s="1"/>
  <c r="AE47" i="83" a="1"/>
  <c r="AE47" i="83" s="1"/>
  <c r="B287" i="83" s="1"/>
  <c r="AD46" i="77" a="1"/>
  <c r="AD46" i="77" s="1"/>
  <c r="B256" i="77" s="1"/>
  <c r="AE46" i="77" a="1"/>
  <c r="AE46" i="77" s="1"/>
  <c r="B286" i="77" s="1"/>
  <c r="AF45" i="83"/>
  <c r="B315" i="83" s="1"/>
  <c r="AE45" i="83" a="1"/>
  <c r="AE45" i="83" s="1"/>
  <c r="B285" i="83" s="1"/>
  <c r="AC44" i="83"/>
  <c r="AD45" i="83" a="1"/>
  <c r="AD45" i="83" s="1"/>
  <c r="B255" i="83" s="1"/>
  <c r="B176" i="83"/>
  <c r="B175" i="83"/>
  <c r="AC44" i="29"/>
  <c r="AD44" i="29" s="1" a="1"/>
  <c r="AD44" i="29" s="1"/>
  <c r="B254" i="29" s="1"/>
  <c r="AF45" i="29"/>
  <c r="B315" i="29" s="1"/>
  <c r="AE134" i="82"/>
  <c r="I137" i="82" s="1"/>
  <c r="B176" i="82" s="1"/>
  <c r="AF48" i="77"/>
  <c r="B318" i="77" s="1"/>
  <c r="AE47" i="77" a="1"/>
  <c r="AE47" i="77" s="1"/>
  <c r="B287" i="77" s="1"/>
  <c r="AD45" i="77" a="1"/>
  <c r="AD45" i="77" s="1"/>
  <c r="B255" i="77" s="1"/>
  <c r="AF47" i="77"/>
  <c r="B317" i="77" s="1"/>
  <c r="AF46" i="77"/>
  <c r="B316" i="77" s="1"/>
  <c r="AC44" i="77"/>
  <c r="AE45" i="29" a="1"/>
  <c r="AE45" i="29" s="1"/>
  <c r="B285" i="29" s="1"/>
  <c r="AE45" i="77" a="1"/>
  <c r="AE45" i="77" s="1"/>
  <c r="B285" i="77" s="1"/>
  <c r="AF45" i="77"/>
  <c r="B315" i="77" s="1"/>
  <c r="AD48" i="77" a="1"/>
  <c r="AD48" i="77" s="1"/>
  <c r="B258" i="77" s="1"/>
  <c r="AE48" i="77" a="1"/>
  <c r="AE48" i="77" s="1"/>
  <c r="B288" i="77" s="1"/>
  <c r="AC44" i="82" a="1"/>
  <c r="AE134" i="81"/>
  <c r="I137" i="81" s="1"/>
  <c r="B176" i="81" s="1"/>
  <c r="AF48" i="78"/>
  <c r="B318" i="78" s="1"/>
  <c r="AE49" i="78" a="1"/>
  <c r="AE49" i="78" s="1"/>
  <c r="B289" i="78" s="1"/>
  <c r="AF47" i="78"/>
  <c r="B317" i="78" s="1"/>
  <c r="AC44" i="78"/>
  <c r="AF44" i="78" s="1"/>
  <c r="B314" i="78" s="1"/>
  <c r="AE48" i="78" a="1"/>
  <c r="AE48" i="78" s="1"/>
  <c r="B288" i="78" s="1"/>
  <c r="AF50" i="78"/>
  <c r="B320" i="78" s="1"/>
  <c r="AD55" i="78" a="1"/>
  <c r="AD55" i="78" s="1"/>
  <c r="B265" i="78" s="1"/>
  <c r="AD53" i="78" a="1"/>
  <c r="AD53" i="78" s="1"/>
  <c r="B263" i="78" s="1"/>
  <c r="AD50" i="78" a="1"/>
  <c r="AD50" i="78" s="1"/>
  <c r="B260" i="78" s="1"/>
  <c r="AE52" i="78" a="1"/>
  <c r="AE52" i="78" s="1"/>
  <c r="B292" i="78" s="1"/>
  <c r="AD48" i="78" a="1"/>
  <c r="AD48" i="78" s="1"/>
  <c r="B258" i="78" s="1"/>
  <c r="AE51" i="78" a="1"/>
  <c r="AE51" i="78" s="1"/>
  <c r="B291" i="78" s="1"/>
  <c r="AF53" i="78"/>
  <c r="B323" i="78" s="1"/>
  <c r="AF51" i="78"/>
  <c r="B321" i="78" s="1"/>
  <c r="AF46" i="78"/>
  <c r="B316" i="78" s="1"/>
  <c r="AF49" i="78"/>
  <c r="B319" i="78" s="1"/>
  <c r="AE50" i="78" a="1"/>
  <c r="AE50" i="78" s="1"/>
  <c r="B290" i="78" s="1"/>
  <c r="AE45" i="78" a="1"/>
  <c r="AE45" i="78" s="1"/>
  <c r="B285" i="78" s="1"/>
  <c r="AE47" i="78" a="1"/>
  <c r="AE47" i="78" s="1"/>
  <c r="B287" i="78" s="1"/>
  <c r="AD49" i="78" a="1"/>
  <c r="AD49" i="78" s="1"/>
  <c r="B259" i="78" s="1"/>
  <c r="AD45" i="78" a="1"/>
  <c r="AD45" i="78" s="1"/>
  <c r="B255" i="78" s="1"/>
  <c r="AE46" i="78" a="1"/>
  <c r="AE46" i="78" s="1"/>
  <c r="B286" i="78" s="1"/>
  <c r="AF45" i="78"/>
  <c r="B315" i="78" s="1"/>
  <c r="AF52" i="78"/>
  <c r="B322" i="78" s="1"/>
  <c r="AD54" i="78" a="1"/>
  <c r="AD54" i="78" s="1"/>
  <c r="B264" i="78" s="1"/>
  <c r="AE53" i="78" a="1"/>
  <c r="AE53" i="78" s="1"/>
  <c r="B293" i="78" s="1"/>
  <c r="AE55" i="78" a="1"/>
  <c r="AE55" i="78" s="1"/>
  <c r="B295" i="78" s="1"/>
  <c r="AD51" i="78" a="1"/>
  <c r="AD51" i="78" s="1"/>
  <c r="B261" i="78" s="1"/>
  <c r="AF54" i="78"/>
  <c r="B324" i="78" s="1"/>
  <c r="AE54" i="78" a="1"/>
  <c r="AE54" i="78" s="1"/>
  <c r="B294" i="78" s="1"/>
  <c r="AD52" i="78" a="1"/>
  <c r="AD52" i="78" s="1"/>
  <c r="B262" i="78" s="1"/>
  <c r="AD46" i="78" a="1"/>
  <c r="AD46" i="78" s="1"/>
  <c r="B256" i="78" s="1"/>
  <c r="AF55" i="78"/>
  <c r="B325" i="78" s="1"/>
  <c r="AF47" i="76"/>
  <c r="B317" i="76" s="1"/>
  <c r="AD45" i="76" a="1"/>
  <c r="AD45" i="76" s="1"/>
  <c r="B255" i="76" s="1"/>
  <c r="AF50" i="76"/>
  <c r="B320" i="76" s="1"/>
  <c r="AE50" i="76" a="1"/>
  <c r="AE50" i="76" s="1"/>
  <c r="B290" i="76" s="1"/>
  <c r="AE49" i="76" a="1"/>
  <c r="AE49" i="76" s="1"/>
  <c r="B289" i="76" s="1"/>
  <c r="AE46" i="76" a="1"/>
  <c r="AE46" i="76" s="1"/>
  <c r="B286" i="76" s="1"/>
  <c r="AC44" i="76"/>
  <c r="AE44" i="76" s="1" a="1"/>
  <c r="AE44" i="76" s="1"/>
  <c r="B284" i="76" s="1"/>
  <c r="AD47" i="76" a="1"/>
  <c r="AD47" i="76" s="1"/>
  <c r="B257" i="76" s="1"/>
  <c r="AD48" i="76" a="1"/>
  <c r="AD48" i="76" s="1"/>
  <c r="B258" i="76" s="1"/>
  <c r="AD50" i="76" a="1"/>
  <c r="AD50" i="76" s="1"/>
  <c r="B260" i="76" s="1"/>
  <c r="AE45" i="76" a="1"/>
  <c r="AE45" i="76" s="1"/>
  <c r="B285" i="76" s="1"/>
  <c r="AF45" i="76"/>
  <c r="B315" i="76" s="1"/>
  <c r="AD49" i="76" a="1"/>
  <c r="AD49" i="76" s="1"/>
  <c r="B259" i="76" s="1"/>
  <c r="AF48" i="76"/>
  <c r="B318" i="76" s="1"/>
  <c r="AE48" i="76" a="1"/>
  <c r="AE48" i="76" s="1"/>
  <c r="B288" i="76" s="1"/>
  <c r="AF49" i="76"/>
  <c r="B319" i="76" s="1"/>
  <c r="AF46" i="76"/>
  <c r="B316" i="76" s="1"/>
  <c r="AE47" i="76" a="1"/>
  <c r="AE47" i="76" s="1"/>
  <c r="B287" i="76" s="1"/>
  <c r="AD48" i="75" a="1"/>
  <c r="AD48" i="75" s="1"/>
  <c r="B258" i="75" s="1"/>
  <c r="AF49" i="75"/>
  <c r="B319" i="75" s="1"/>
  <c r="AF47" i="75"/>
  <c r="B317" i="75" s="1"/>
  <c r="AD51" i="75" a="1"/>
  <c r="AD51" i="75" s="1"/>
  <c r="B261" i="75" s="1"/>
  <c r="AD46" i="75" a="1"/>
  <c r="AD46" i="75" s="1"/>
  <c r="B256" i="75" s="1"/>
  <c r="AE50" i="75" a="1"/>
  <c r="AE50" i="75" s="1"/>
  <c r="B290" i="75" s="1"/>
  <c r="AE48" i="75" a="1"/>
  <c r="AE48" i="75" s="1"/>
  <c r="B288" i="75" s="1"/>
  <c r="AE49" i="75" a="1"/>
  <c r="AE49" i="75" s="1"/>
  <c r="B289" i="75" s="1"/>
  <c r="AE52" i="75" a="1"/>
  <c r="AE52" i="75" s="1"/>
  <c r="B292" i="75" s="1"/>
  <c r="AF52" i="75"/>
  <c r="B322" i="75" s="1"/>
  <c r="AE46" i="75" a="1"/>
  <c r="AE46" i="75" s="1"/>
  <c r="B286" i="75" s="1"/>
  <c r="AD47" i="75" a="1"/>
  <c r="AD47" i="75" s="1"/>
  <c r="B257" i="75" s="1"/>
  <c r="AF45" i="75"/>
  <c r="B315" i="75" s="1"/>
  <c r="AF50" i="75"/>
  <c r="B320" i="75" s="1"/>
  <c r="AE51" i="75" a="1"/>
  <c r="AE51" i="75" s="1"/>
  <c r="B291" i="75" s="1"/>
  <c r="AD45" i="75" a="1"/>
  <c r="AD45" i="75" s="1"/>
  <c r="B255" i="75" s="1"/>
  <c r="AF48" i="75"/>
  <c r="B318" i="75" s="1"/>
  <c r="AD49" i="75" a="1"/>
  <c r="AD49" i="75" s="1"/>
  <c r="B259" i="75" s="1"/>
  <c r="AE47" i="75" a="1"/>
  <c r="AE47" i="75" s="1"/>
  <c r="B287" i="75" s="1"/>
  <c r="AD50" i="75" a="1"/>
  <c r="AD50" i="75" s="1"/>
  <c r="B260" i="75" s="1"/>
  <c r="AF46" i="75"/>
  <c r="B316" i="75" s="1"/>
  <c r="AC44" i="75"/>
  <c r="AF44" i="75" s="1"/>
  <c r="B314" i="75" s="1"/>
  <c r="AF51" i="75"/>
  <c r="B321" i="75" s="1"/>
  <c r="AE45" i="75" a="1"/>
  <c r="AE45" i="75" s="1"/>
  <c r="B285" i="75" s="1"/>
  <c r="AE51" i="74" a="1"/>
  <c r="AE51" i="74" s="1"/>
  <c r="B291" i="74" s="1"/>
  <c r="AD47" i="74" a="1"/>
  <c r="AD47" i="74" s="1"/>
  <c r="B257" i="74" s="1"/>
  <c r="AD46" i="74" a="1"/>
  <c r="AD46" i="74" s="1"/>
  <c r="B256" i="74" s="1"/>
  <c r="AD45" i="74" a="1"/>
  <c r="AD45" i="74" s="1"/>
  <c r="B255" i="74" s="1"/>
  <c r="AF52" i="74"/>
  <c r="B322" i="74" s="1"/>
  <c r="AD49" i="74" a="1"/>
  <c r="AD49" i="74" s="1"/>
  <c r="B259" i="74" s="1"/>
  <c r="AD52" i="74" a="1"/>
  <c r="AD52" i="74" s="1"/>
  <c r="B262" i="74" s="1"/>
  <c r="AD51" i="74" a="1"/>
  <c r="AD51" i="74" s="1"/>
  <c r="B261" i="74" s="1"/>
  <c r="AD50" i="74" a="1"/>
  <c r="AD50" i="74" s="1"/>
  <c r="B260" i="74" s="1"/>
  <c r="AE46" i="74" a="1"/>
  <c r="AE46" i="74" s="1"/>
  <c r="B286" i="74" s="1"/>
  <c r="AE52" i="74" a="1"/>
  <c r="AE52" i="74" s="1"/>
  <c r="B292" i="74" s="1"/>
  <c r="AF54" i="74"/>
  <c r="B324" i="74" s="1"/>
  <c r="AF49" i="74"/>
  <c r="B319" i="74" s="1"/>
  <c r="AE49" i="74" a="1"/>
  <c r="AE49" i="74" s="1"/>
  <c r="B289" i="74" s="1"/>
  <c r="AF47" i="74"/>
  <c r="B317" i="74" s="1"/>
  <c r="AF51" i="74"/>
  <c r="B321" i="74" s="1"/>
  <c r="AC44" i="74"/>
  <c r="AF44" i="74" s="1"/>
  <c r="B314" i="74" s="1"/>
  <c r="AE53" i="74" a="1"/>
  <c r="AE53" i="74" s="1"/>
  <c r="B293" i="74" s="1"/>
  <c r="AE47" i="74" a="1"/>
  <c r="AE47" i="74" s="1"/>
  <c r="B287" i="74" s="1"/>
  <c r="AD48" i="74" a="1"/>
  <c r="AD48" i="74" s="1"/>
  <c r="B258" i="74" s="1"/>
  <c r="AE45" i="74" a="1"/>
  <c r="AE45" i="74" s="1"/>
  <c r="B285" i="74" s="1"/>
  <c r="AF46" i="74"/>
  <c r="B316" i="74" s="1"/>
  <c r="AF50" i="74"/>
  <c r="B320" i="74" s="1"/>
  <c r="AD53" i="74" a="1"/>
  <c r="AD53" i="74" s="1"/>
  <c r="B263" i="74" s="1"/>
  <c r="AE54" i="74" a="1"/>
  <c r="AE54" i="74" s="1"/>
  <c r="B294" i="74" s="1"/>
  <c r="AF48" i="74"/>
  <c r="B318" i="74" s="1"/>
  <c r="AE48" i="74" a="1"/>
  <c r="AE48" i="74" s="1"/>
  <c r="B288" i="74" s="1"/>
  <c r="AF53" i="74"/>
  <c r="B323" i="74" s="1"/>
  <c r="AE50" i="74" a="1"/>
  <c r="AE50" i="74" s="1"/>
  <c r="B290" i="74" s="1"/>
  <c r="AD54" i="74" a="1"/>
  <c r="AD54" i="74" s="1"/>
  <c r="B264" i="74" s="1"/>
  <c r="AE138" i="73"/>
  <c r="AE50" i="73" a="1"/>
  <c r="AE50" i="73" s="1"/>
  <c r="B290" i="73" s="1"/>
  <c r="AE45" i="73" a="1"/>
  <c r="AE45" i="73" s="1"/>
  <c r="B285" i="73" s="1"/>
  <c r="AF45" i="73"/>
  <c r="B315" i="73" s="1"/>
  <c r="AD46" i="73" a="1"/>
  <c r="AD46" i="73" s="1"/>
  <c r="B256" i="73" s="1"/>
  <c r="AD47" i="73" a="1"/>
  <c r="AD47" i="73" s="1"/>
  <c r="B257" i="73" s="1"/>
  <c r="AD52" i="73" a="1"/>
  <c r="AD52" i="73" s="1"/>
  <c r="B262" i="73" s="1"/>
  <c r="AE52" i="73" a="1"/>
  <c r="AE52" i="73" s="1"/>
  <c r="B292" i="73" s="1"/>
  <c r="AD49" i="73" a="1"/>
  <c r="AD49" i="73" s="1"/>
  <c r="B259" i="73" s="1"/>
  <c r="AF47" i="73"/>
  <c r="B317" i="73" s="1"/>
  <c r="AD50" i="73" a="1"/>
  <c r="AD50" i="73" s="1"/>
  <c r="B260" i="73" s="1"/>
  <c r="AF51" i="73"/>
  <c r="B321" i="73" s="1"/>
  <c r="AF49" i="73"/>
  <c r="B319" i="73" s="1"/>
  <c r="AE46" i="73" a="1"/>
  <c r="AE46" i="73" s="1"/>
  <c r="B286" i="73" s="1"/>
  <c r="AD45" i="73" a="1"/>
  <c r="AD45" i="73" s="1"/>
  <c r="B255" i="73" s="1"/>
  <c r="AE134" i="73"/>
  <c r="AE47" i="73" a="1"/>
  <c r="AE47" i="73" s="1"/>
  <c r="B287" i="73" s="1"/>
  <c r="AF46" i="73"/>
  <c r="B316" i="73" s="1"/>
  <c r="AF48" i="73"/>
  <c r="B318" i="73" s="1"/>
  <c r="AD48" i="73" a="1"/>
  <c r="AD48" i="73" s="1"/>
  <c r="B258" i="73" s="1"/>
  <c r="AF50" i="73"/>
  <c r="B320" i="73" s="1"/>
  <c r="AF52" i="73"/>
  <c r="B322" i="73" s="1"/>
  <c r="AE49" i="73" a="1"/>
  <c r="AE49" i="73" s="1"/>
  <c r="B289" i="73" s="1"/>
  <c r="AE51" i="73" a="1"/>
  <c r="AE51" i="73" s="1"/>
  <c r="B291" i="73" s="1"/>
  <c r="AE48" i="73" a="1"/>
  <c r="AE48" i="73" s="1"/>
  <c r="B288" i="73" s="1"/>
  <c r="AC44" i="73"/>
  <c r="B176" i="74"/>
  <c r="B175" i="74"/>
  <c r="B176" i="34"/>
  <c r="B175" i="34"/>
  <c r="AE137" i="80"/>
  <c r="AC44" i="81" a="1"/>
  <c r="AD49" i="34" a="1"/>
  <c r="AD49" i="34" s="1"/>
  <c r="B259" i="34" s="1"/>
  <c r="AD46" i="34" a="1"/>
  <c r="AD46" i="34" s="1"/>
  <c r="B256" i="34" s="1"/>
  <c r="AE53" i="34" a="1"/>
  <c r="AE53" i="34" s="1"/>
  <c r="B293" i="34" s="1"/>
  <c r="AF51" i="34"/>
  <c r="B321" i="34" s="1"/>
  <c r="AE49" i="34" a="1"/>
  <c r="AE49" i="34" s="1"/>
  <c r="B289" i="34" s="1"/>
  <c r="AE56" i="34" a="1"/>
  <c r="AE56" i="34" s="1"/>
  <c r="B296" i="34" s="1"/>
  <c r="AF53" i="34"/>
  <c r="B323" i="34" s="1"/>
  <c r="AE46" i="34" a="1"/>
  <c r="AE46" i="34" s="1"/>
  <c r="B286" i="34" s="1"/>
  <c r="AF49" i="34"/>
  <c r="B319" i="34" s="1"/>
  <c r="AF46" i="34"/>
  <c r="B316" i="34" s="1"/>
  <c r="AD50" i="34" a="1"/>
  <c r="AD50" i="34" s="1"/>
  <c r="B260" i="34" s="1"/>
  <c r="AE55" i="34" a="1"/>
  <c r="AE55" i="34" s="1"/>
  <c r="B295" i="34" s="1"/>
  <c r="AD54" i="34" a="1"/>
  <c r="AD54" i="34" s="1"/>
  <c r="B264" i="34" s="1"/>
  <c r="AD52" i="34" a="1"/>
  <c r="AD52" i="34" s="1"/>
  <c r="B262" i="34" s="1"/>
  <c r="AD53" i="34" a="1"/>
  <c r="AD53" i="34" s="1"/>
  <c r="B263" i="34" s="1"/>
  <c r="AC44" i="34"/>
  <c r="AD44" i="34" s="1" a="1"/>
  <c r="AD44" i="34" s="1"/>
  <c r="B254" i="34" s="1"/>
  <c r="AE50" i="34" a="1"/>
  <c r="AE50" i="34" s="1"/>
  <c r="B290" i="34" s="1"/>
  <c r="AE54" i="34" a="1"/>
  <c r="AE54" i="34" s="1"/>
  <c r="B294" i="34" s="1"/>
  <c r="AE45" i="34" a="1"/>
  <c r="AE45" i="34" s="1"/>
  <c r="B285" i="34" s="1"/>
  <c r="AD55" i="34" a="1"/>
  <c r="AD55" i="34" s="1"/>
  <c r="B265" i="34" s="1"/>
  <c r="AD48" i="34" a="1"/>
  <c r="AD48" i="34" s="1"/>
  <c r="B258" i="34" s="1"/>
  <c r="AE48" i="34" a="1"/>
  <c r="AE48" i="34" s="1"/>
  <c r="B288" i="34" s="1"/>
  <c r="AF50" i="34"/>
  <c r="B320" i="34" s="1"/>
  <c r="AF56" i="34"/>
  <c r="B326" i="34" s="1"/>
  <c r="AE52" i="34" a="1"/>
  <c r="AE52" i="34" s="1"/>
  <c r="B292" i="34" s="1"/>
  <c r="AD51" i="34" a="1"/>
  <c r="AD51" i="34" s="1"/>
  <c r="B261" i="34" s="1"/>
  <c r="AF55" i="34"/>
  <c r="B325" i="34" s="1"/>
  <c r="AF54" i="34"/>
  <c r="B324" i="34" s="1"/>
  <c r="AD47" i="34" a="1"/>
  <c r="AD47" i="34" s="1"/>
  <c r="B257" i="34" s="1"/>
  <c r="AD45" i="34" a="1"/>
  <c r="AD45" i="34" s="1"/>
  <c r="B255" i="34" s="1"/>
  <c r="AF52" i="34"/>
  <c r="B322" i="34" s="1"/>
  <c r="AE47" i="34" a="1"/>
  <c r="AE47" i="34" s="1"/>
  <c r="B287" i="34" s="1"/>
  <c r="AF48" i="34"/>
  <c r="B318" i="34" s="1"/>
  <c r="AF45" i="34"/>
  <c r="B315" i="34" s="1"/>
  <c r="AE51" i="34" a="1"/>
  <c r="AE51" i="34" s="1"/>
  <c r="B291" i="34" s="1"/>
  <c r="AF47" i="34"/>
  <c r="B317" i="34" s="1"/>
  <c r="AE134" i="78"/>
  <c r="AE134" i="76"/>
  <c r="I137" i="76" s="1"/>
  <c r="AE134" i="75"/>
  <c r="I137" i="75" s="1"/>
  <c r="AE138" i="80"/>
  <c r="AE136" i="80"/>
  <c r="AE135" i="80"/>
  <c r="AF134" i="80" a="1"/>
  <c r="AF134" i="80" s="1"/>
  <c r="B217" i="80" s="1"/>
  <c r="AC2" i="80"/>
  <c r="AF2" i="80" s="1"/>
  <c r="B145" i="80" s="1"/>
  <c r="AF5" i="80"/>
  <c r="B148" i="80" s="1"/>
  <c r="AD5" i="80"/>
  <c r="B118" i="80" s="1"/>
  <c r="AF4" i="80"/>
  <c r="B147" i="80" s="1"/>
  <c r="AD4" i="80"/>
  <c r="B117" i="80" s="1"/>
  <c r="AF3" i="80"/>
  <c r="B146" i="80" s="1"/>
  <c r="AD3" i="80"/>
  <c r="B116" i="80" s="1"/>
  <c r="AC44" i="80" a="1"/>
  <c r="AE134" i="79"/>
  <c r="AE45" i="79" a="1"/>
  <c r="AE45" i="79" s="1"/>
  <c r="B285" i="79" s="1"/>
  <c r="AF49" i="79"/>
  <c r="B319" i="79" s="1"/>
  <c r="AE46" i="79" a="1"/>
  <c r="AE46" i="79" s="1"/>
  <c r="B286" i="79" s="1"/>
  <c r="AD50" i="79" a="1"/>
  <c r="AD50" i="79" s="1"/>
  <c r="B260" i="79" s="1"/>
  <c r="AE52" i="79" a="1"/>
  <c r="AE52" i="79" s="1"/>
  <c r="B292" i="79" s="1"/>
  <c r="AC44" i="79"/>
  <c r="AF44" i="79" s="1"/>
  <c r="B314" i="79" s="1"/>
  <c r="AF56" i="79"/>
  <c r="B326" i="79" s="1"/>
  <c r="AE51" i="79" a="1"/>
  <c r="AE51" i="79" s="1"/>
  <c r="B291" i="79" s="1"/>
  <c r="AF55" i="79"/>
  <c r="B325" i="79" s="1"/>
  <c r="AD48" i="79" a="1"/>
  <c r="AD48" i="79" s="1"/>
  <c r="B258" i="79" s="1"/>
  <c r="AD55" i="79" a="1"/>
  <c r="AD55" i="79" s="1"/>
  <c r="B265" i="79" s="1"/>
  <c r="AF52" i="79"/>
  <c r="B322" i="79" s="1"/>
  <c r="AF45" i="79"/>
  <c r="B315" i="79" s="1"/>
  <c r="AF48" i="79"/>
  <c r="B318" i="79" s="1"/>
  <c r="AE50" i="79" a="1"/>
  <c r="AE50" i="79" s="1"/>
  <c r="B290" i="79" s="1"/>
  <c r="AD47" i="79" a="1"/>
  <c r="AD47" i="79" s="1"/>
  <c r="B257" i="79" s="1"/>
  <c r="AE47" i="79" a="1"/>
  <c r="AE47" i="79" s="1"/>
  <c r="B287" i="79" s="1"/>
  <c r="AD52" i="79" a="1"/>
  <c r="AD52" i="79" s="1"/>
  <c r="B262" i="79" s="1"/>
  <c r="AE48" i="79" a="1"/>
  <c r="AE48" i="79" s="1"/>
  <c r="B288" i="79" s="1"/>
  <c r="AD45" i="79" a="1"/>
  <c r="AD45" i="79" s="1"/>
  <c r="B255" i="79" s="1"/>
  <c r="AF54" i="79"/>
  <c r="B324" i="79" s="1"/>
  <c r="AD54" i="79" a="1"/>
  <c r="AD54" i="79" s="1"/>
  <c r="B264" i="79" s="1"/>
  <c r="AD53" i="79" a="1"/>
  <c r="AD53" i="79" s="1"/>
  <c r="B263" i="79" s="1"/>
  <c r="AD46" i="79" a="1"/>
  <c r="AD46" i="79" s="1"/>
  <c r="B256" i="79" s="1"/>
  <c r="AF51" i="79"/>
  <c r="B321" i="79" s="1"/>
  <c r="AF46" i="79"/>
  <c r="B316" i="79" s="1"/>
  <c r="AD56" i="79" a="1"/>
  <c r="AD56" i="79" s="1"/>
  <c r="B266" i="79" s="1"/>
  <c r="AE53" i="79" a="1"/>
  <c r="AE53" i="79" s="1"/>
  <c r="B293" i="79" s="1"/>
  <c r="AD49" i="79" a="1"/>
  <c r="AD49" i="79" s="1"/>
  <c r="B259" i="79" s="1"/>
  <c r="AE55" i="79" a="1"/>
  <c r="AE55" i="79" s="1"/>
  <c r="B295" i="79" s="1"/>
  <c r="AE49" i="79" a="1"/>
  <c r="AE49" i="79" s="1"/>
  <c r="B289" i="79" s="1"/>
  <c r="AF50" i="79"/>
  <c r="B320" i="79" s="1"/>
  <c r="AD51" i="79" a="1"/>
  <c r="AD51" i="79" s="1"/>
  <c r="B261" i="79" s="1"/>
  <c r="AF53" i="79"/>
  <c r="B323" i="79" s="1"/>
  <c r="AE56" i="79" a="1"/>
  <c r="AE56" i="79" s="1"/>
  <c r="B296" i="79" s="1"/>
  <c r="AF47" i="79"/>
  <c r="B317" i="79" s="1"/>
  <c r="AE135" i="34"/>
  <c r="AE136" i="34"/>
  <c r="AF134" i="34" a="1"/>
  <c r="AF134" i="34" s="1"/>
  <c r="B217" i="34" s="1"/>
  <c r="AF50" i="90" l="1"/>
  <c r="B320" i="90" s="1"/>
  <c r="AE50" i="90" a="1"/>
  <c r="AE50" i="90" s="1"/>
  <c r="B290" i="90" s="1"/>
  <c r="AD50" i="90" a="1"/>
  <c r="AD50" i="90" s="1"/>
  <c r="B260" i="90" s="1"/>
  <c r="AF45" i="90"/>
  <c r="B315" i="90" s="1"/>
  <c r="AF49" i="90"/>
  <c r="B319" i="90" s="1"/>
  <c r="AE49" i="90" a="1"/>
  <c r="AE49" i="90" s="1"/>
  <c r="B289" i="90" s="1"/>
  <c r="AD49" i="90" a="1"/>
  <c r="AD49" i="90" s="1"/>
  <c r="B259" i="90" s="1"/>
  <c r="AE134" i="84"/>
  <c r="I137" i="84" s="1"/>
  <c r="B175" i="84" s="1"/>
  <c r="AE134" i="103"/>
  <c r="I137" i="103" s="1"/>
  <c r="AE134" i="97"/>
  <c r="AD2" i="91"/>
  <c r="B115" i="91" s="1"/>
  <c r="AF2" i="91"/>
  <c r="B145" i="91" s="1"/>
  <c r="AE44" i="78" a="1"/>
  <c r="AE44" i="78" s="1"/>
  <c r="B284" i="78" s="1"/>
  <c r="B175" i="99"/>
  <c r="AE134" i="102"/>
  <c r="I137" i="102" s="1"/>
  <c r="B175" i="102" s="1"/>
  <c r="AF45" i="94"/>
  <c r="B315" i="94" s="1"/>
  <c r="AD47" i="94" a="1"/>
  <c r="AD47" i="94" s="1"/>
  <c r="B257" i="94" s="1"/>
  <c r="AF46" i="94"/>
  <c r="B316" i="94" s="1"/>
  <c r="AE46" i="94" a="1"/>
  <c r="AE46" i="94" s="1"/>
  <c r="B286" i="94" s="1"/>
  <c r="AF47" i="94"/>
  <c r="B317" i="94" s="1"/>
  <c r="AD46" i="94" a="1"/>
  <c r="AD46" i="94" s="1"/>
  <c r="B256" i="94" s="1"/>
  <c r="AF48" i="94"/>
  <c r="B318" i="94" s="1"/>
  <c r="AE48" i="94" a="1"/>
  <c r="AE48" i="94" s="1"/>
  <c r="B288" i="94" s="1"/>
  <c r="AD48" i="94" a="1"/>
  <c r="AD48" i="94" s="1"/>
  <c r="B258" i="94" s="1"/>
  <c r="AE47" i="94" a="1"/>
  <c r="AE47" i="94" s="1"/>
  <c r="B287" i="94" s="1"/>
  <c r="AE46" i="102" a="1"/>
  <c r="AE46" i="102" s="1"/>
  <c r="B286" i="102" s="1"/>
  <c r="AE134" i="93"/>
  <c r="I137" i="93" s="1"/>
  <c r="B176" i="93" s="1"/>
  <c r="AD45" i="102" a="1"/>
  <c r="AD45" i="102" s="1"/>
  <c r="B255" i="102" s="1"/>
  <c r="AE45" i="102" a="1"/>
  <c r="AE45" i="102" s="1"/>
  <c r="B285" i="102" s="1"/>
  <c r="AD46" i="102" a="1"/>
  <c r="AD46" i="102" s="1"/>
  <c r="B256" i="102" s="1"/>
  <c r="AC44" i="102"/>
  <c r="AF44" i="102" s="1"/>
  <c r="B314" i="102" s="1"/>
  <c r="AF45" i="102"/>
  <c r="B315" i="102" s="1"/>
  <c r="AD44" i="103" a="1"/>
  <c r="AD44" i="103" s="1"/>
  <c r="B254" i="103" s="1"/>
  <c r="AE44" i="103" a="1"/>
  <c r="AE44" i="103" s="1"/>
  <c r="B284" i="103" s="1"/>
  <c r="AF44" i="103"/>
  <c r="B314" i="103" s="1"/>
  <c r="AE134" i="95"/>
  <c r="I137" i="95" s="1"/>
  <c r="B176" i="95" s="1"/>
  <c r="AE134" i="92"/>
  <c r="I137" i="92" s="1"/>
  <c r="B176" i="92" s="1"/>
  <c r="AF46" i="101"/>
  <c r="B316" i="101" s="1"/>
  <c r="AE63" i="101" a="1"/>
  <c r="AE63" i="101" s="1"/>
  <c r="B303" i="101" s="1"/>
  <c r="AD63" i="101" a="1"/>
  <c r="AD63" i="101" s="1"/>
  <c r="B273" i="101" s="1"/>
  <c r="AF62" i="101"/>
  <c r="B332" i="101" s="1"/>
  <c r="AE62" i="101" a="1"/>
  <c r="AE62" i="101" s="1"/>
  <c r="B302" i="101" s="1"/>
  <c r="AD62" i="101" a="1"/>
  <c r="AD62" i="101" s="1"/>
  <c r="B272" i="101" s="1"/>
  <c r="AF63" i="101"/>
  <c r="B333" i="101" s="1"/>
  <c r="AE50" i="101" a="1"/>
  <c r="AE50" i="101" s="1"/>
  <c r="B290" i="101" s="1"/>
  <c r="AE47" i="101" a="1"/>
  <c r="AE47" i="101" s="1"/>
  <c r="B287" i="101" s="1"/>
  <c r="AF50" i="101"/>
  <c r="B320" i="101" s="1"/>
  <c r="AF47" i="101"/>
  <c r="B317" i="101" s="1"/>
  <c r="AD60" i="101" a="1"/>
  <c r="AD60" i="101" s="1"/>
  <c r="B270" i="101" s="1"/>
  <c r="AE61" i="101" a="1"/>
  <c r="AE61" i="101" s="1"/>
  <c r="B301" i="101" s="1"/>
  <c r="AD52" i="101" a="1"/>
  <c r="AD52" i="101" s="1"/>
  <c r="B262" i="101" s="1"/>
  <c r="AD55" i="101" a="1"/>
  <c r="AD55" i="101" s="1"/>
  <c r="B265" i="101" s="1"/>
  <c r="AF61" i="101"/>
  <c r="B331" i="101" s="1"/>
  <c r="AE55" i="101" a="1"/>
  <c r="AE55" i="101" s="1"/>
  <c r="B295" i="101" s="1"/>
  <c r="AD49" i="101" a="1"/>
  <c r="AD49" i="101" s="1"/>
  <c r="B259" i="101" s="1"/>
  <c r="AE49" i="101" a="1"/>
  <c r="AE49" i="101" s="1"/>
  <c r="B289" i="101" s="1"/>
  <c r="AD53" i="101" a="1"/>
  <c r="AD53" i="101" s="1"/>
  <c r="B263" i="101" s="1"/>
  <c r="AD51" i="101" a="1"/>
  <c r="AD51" i="101" s="1"/>
  <c r="B261" i="101" s="1"/>
  <c r="AD57" i="101" a="1"/>
  <c r="AD57" i="101" s="1"/>
  <c r="B267" i="101" s="1"/>
  <c r="AF59" i="101"/>
  <c r="B329" i="101" s="1"/>
  <c r="AD58" i="101" a="1"/>
  <c r="AD58" i="101" s="1"/>
  <c r="B268" i="101" s="1"/>
  <c r="AD56" i="101" a="1"/>
  <c r="AD56" i="101" s="1"/>
  <c r="B266" i="101" s="1"/>
  <c r="AD54" i="101" a="1"/>
  <c r="AD54" i="101" s="1"/>
  <c r="B264" i="101" s="1"/>
  <c r="AE52" i="101" a="1"/>
  <c r="AE52" i="101" s="1"/>
  <c r="B292" i="101" s="1"/>
  <c r="AE54" i="101" a="1"/>
  <c r="AE54" i="101" s="1"/>
  <c r="B294" i="101" s="1"/>
  <c r="AE60" i="101" a="1"/>
  <c r="AE60" i="101" s="1"/>
  <c r="B300" i="101" s="1"/>
  <c r="AE58" i="101" a="1"/>
  <c r="AE58" i="101" s="1"/>
  <c r="B298" i="101" s="1"/>
  <c r="AF49" i="101"/>
  <c r="B319" i="101" s="1"/>
  <c r="AF54" i="101"/>
  <c r="B324" i="101" s="1"/>
  <c r="AE51" i="101" a="1"/>
  <c r="AE51" i="101" s="1"/>
  <c r="B291" i="101" s="1"/>
  <c r="AE53" i="101" a="1"/>
  <c r="AE53" i="101" s="1"/>
  <c r="B293" i="101" s="1"/>
  <c r="AD45" i="101" a="1"/>
  <c r="AD45" i="101" s="1"/>
  <c r="B255" i="101" s="1"/>
  <c r="AD48" i="101" a="1"/>
  <c r="AD48" i="101" s="1"/>
  <c r="B258" i="101" s="1"/>
  <c r="AD46" i="101" a="1"/>
  <c r="AD46" i="101" s="1"/>
  <c r="B256" i="101" s="1"/>
  <c r="AE56" i="101" a="1"/>
  <c r="AE56" i="101" s="1"/>
  <c r="B296" i="101" s="1"/>
  <c r="AC44" i="101"/>
  <c r="AD44" i="101" s="1" a="1"/>
  <c r="AD44" i="101" s="1"/>
  <c r="B254" i="101" s="1"/>
  <c r="AF51" i="101"/>
  <c r="B321" i="101" s="1"/>
  <c r="AF52" i="101"/>
  <c r="B322" i="101" s="1"/>
  <c r="AD59" i="101" a="1"/>
  <c r="AD59" i="101" s="1"/>
  <c r="B269" i="101" s="1"/>
  <c r="AE45" i="101" a="1"/>
  <c r="AE45" i="101" s="1"/>
  <c r="B285" i="101" s="1"/>
  <c r="AF57" i="101"/>
  <c r="B327" i="101" s="1"/>
  <c r="AF55" i="101"/>
  <c r="B325" i="101" s="1"/>
  <c r="AD50" i="101" a="1"/>
  <c r="AD50" i="101" s="1"/>
  <c r="B260" i="101" s="1"/>
  <c r="AF45" i="101"/>
  <c r="B315" i="101" s="1"/>
  <c r="AE57" i="101" a="1"/>
  <c r="AE57" i="101" s="1"/>
  <c r="B297" i="101" s="1"/>
  <c r="AF58" i="101"/>
  <c r="B328" i="101" s="1"/>
  <c r="AF53" i="101"/>
  <c r="B323" i="101" s="1"/>
  <c r="B176" i="101"/>
  <c r="AE48" i="101" a="1"/>
  <c r="AE48" i="101" s="1"/>
  <c r="B288" i="101" s="1"/>
  <c r="AF60" i="101"/>
  <c r="B330" i="101" s="1"/>
  <c r="AF56" i="101"/>
  <c r="B326" i="101" s="1"/>
  <c r="AD61" i="101" a="1"/>
  <c r="AD61" i="101" s="1"/>
  <c r="B271" i="101" s="1"/>
  <c r="AE46" i="101" a="1"/>
  <c r="AE46" i="101" s="1"/>
  <c r="B286" i="101" s="1"/>
  <c r="AE59" i="101" a="1"/>
  <c r="AE59" i="101" s="1"/>
  <c r="B299" i="101" s="1"/>
  <c r="AD47" i="101" a="1"/>
  <c r="AD47" i="101" s="1"/>
  <c r="B257" i="101" s="1"/>
  <c r="AF48" i="101"/>
  <c r="B318" i="101" s="1"/>
  <c r="AD44" i="100" a="1"/>
  <c r="AD44" i="100" s="1"/>
  <c r="B254" i="100" s="1"/>
  <c r="AF44" i="100"/>
  <c r="B314" i="100" s="1"/>
  <c r="AE44" i="100" a="1"/>
  <c r="AE44" i="100" s="1"/>
  <c r="B284" i="100" s="1"/>
  <c r="AD44" i="99" a="1"/>
  <c r="AD44" i="99" s="1"/>
  <c r="B254" i="99" s="1"/>
  <c r="AE44" i="99" a="1"/>
  <c r="AE44" i="99" s="1"/>
  <c r="B284" i="99" s="1"/>
  <c r="AF44" i="99"/>
  <c r="B314" i="99" s="1"/>
  <c r="C8" i="69" a="1"/>
  <c r="C8" i="69" s="1"/>
  <c r="B8" i="69" a="1"/>
  <c r="B8" i="69" s="1"/>
  <c r="AE134" i="96"/>
  <c r="I137" i="96" s="1"/>
  <c r="B176" i="96" s="1"/>
  <c r="I137" i="97"/>
  <c r="B176" i="97" s="1"/>
  <c r="AD45" i="97" a="1"/>
  <c r="AD45" i="97" s="1"/>
  <c r="B255" i="97" s="1"/>
  <c r="AC44" i="97"/>
  <c r="AD44" i="97" s="1" a="1"/>
  <c r="AD44" i="97" s="1"/>
  <c r="B254" i="97" s="1"/>
  <c r="AE45" i="97" a="1"/>
  <c r="AE45" i="97" s="1"/>
  <c r="B285" i="97" s="1"/>
  <c r="AF47" i="97"/>
  <c r="B317" i="97" s="1"/>
  <c r="AE47" i="97" a="1"/>
  <c r="AE47" i="97" s="1"/>
  <c r="B287" i="97" s="1"/>
  <c r="AD47" i="97" a="1"/>
  <c r="AD47" i="97" s="1"/>
  <c r="B257" i="97" s="1"/>
  <c r="AD48" i="97" a="1"/>
  <c r="AD48" i="97" s="1"/>
  <c r="B258" i="97" s="1"/>
  <c r="AF49" i="97"/>
  <c r="B319" i="97" s="1"/>
  <c r="AE49" i="97" a="1"/>
  <c r="AE49" i="97" s="1"/>
  <c r="B289" i="97" s="1"/>
  <c r="AD49" i="97" a="1"/>
  <c r="AD49" i="97" s="1"/>
  <c r="B259" i="97" s="1"/>
  <c r="AF46" i="97"/>
  <c r="B316" i="97" s="1"/>
  <c r="AE46" i="97" a="1"/>
  <c r="AE46" i="97" s="1"/>
  <c r="B286" i="97" s="1"/>
  <c r="AD46" i="97" a="1"/>
  <c r="AD46" i="97" s="1"/>
  <c r="B256" i="97" s="1"/>
  <c r="AF48" i="97"/>
  <c r="B318" i="97" s="1"/>
  <c r="AE48" i="97" a="1"/>
  <c r="AE48" i="97" s="1"/>
  <c r="B288" i="97" s="1"/>
  <c r="AD44" i="96" a="1"/>
  <c r="AD44" i="96" s="1"/>
  <c r="B254" i="96" s="1"/>
  <c r="AF44" i="96"/>
  <c r="B314" i="96" s="1"/>
  <c r="AE44" i="96" a="1"/>
  <c r="AE44" i="96" s="1"/>
  <c r="B284" i="96" s="1"/>
  <c r="AF45" i="95"/>
  <c r="B315" i="95" s="1"/>
  <c r="AF53" i="95"/>
  <c r="B323" i="95" s="1"/>
  <c r="AE50" i="95" a="1"/>
  <c r="AE50" i="95" s="1"/>
  <c r="B290" i="95" s="1"/>
  <c r="AE53" i="95" a="1"/>
  <c r="AE53" i="95" s="1"/>
  <c r="B293" i="95" s="1"/>
  <c r="AD50" i="95" a="1"/>
  <c r="AD50" i="95" s="1"/>
  <c r="B260" i="95" s="1"/>
  <c r="AF49" i="95"/>
  <c r="B319" i="95" s="1"/>
  <c r="AF46" i="95"/>
  <c r="B316" i="95" s="1"/>
  <c r="AD53" i="95" a="1"/>
  <c r="AD53" i="95" s="1"/>
  <c r="B263" i="95" s="1"/>
  <c r="AE49" i="95" a="1"/>
  <c r="AE49" i="95" s="1"/>
  <c r="B289" i="95" s="1"/>
  <c r="AE46" i="95" a="1"/>
  <c r="AE46" i="95" s="1"/>
  <c r="B286" i="95" s="1"/>
  <c r="AD49" i="95" a="1"/>
  <c r="AD49" i="95" s="1"/>
  <c r="B259" i="95" s="1"/>
  <c r="AD46" i="95" a="1"/>
  <c r="AD46" i="95" s="1"/>
  <c r="B256" i="95" s="1"/>
  <c r="AD48" i="95" a="1"/>
  <c r="AD48" i="95" s="1"/>
  <c r="B258" i="95" s="1"/>
  <c r="AF52" i="95"/>
  <c r="B322" i="95" s="1"/>
  <c r="AE52" i="95" a="1"/>
  <c r="AE52" i="95" s="1"/>
  <c r="B292" i="95" s="1"/>
  <c r="AD52" i="95" a="1"/>
  <c r="AD52" i="95" s="1"/>
  <c r="B262" i="95" s="1"/>
  <c r="AF48" i="95"/>
  <c r="B318" i="95" s="1"/>
  <c r="AE48" i="95" a="1"/>
  <c r="AE48" i="95" s="1"/>
  <c r="B288" i="95" s="1"/>
  <c r="AF51" i="95"/>
  <c r="B321" i="95" s="1"/>
  <c r="AE51" i="95" a="1"/>
  <c r="AE51" i="95" s="1"/>
  <c r="B291" i="95" s="1"/>
  <c r="AD51" i="95" a="1"/>
  <c r="AD51" i="95" s="1"/>
  <c r="B261" i="95" s="1"/>
  <c r="AF47" i="95"/>
  <c r="B317" i="95" s="1"/>
  <c r="AE47" i="95" a="1"/>
  <c r="AE47" i="95" s="1"/>
  <c r="B287" i="95" s="1"/>
  <c r="AF50" i="95"/>
  <c r="B320" i="95" s="1"/>
  <c r="AD47" i="95" a="1"/>
  <c r="AD47" i="95" s="1"/>
  <c r="B257" i="95" s="1"/>
  <c r="AD45" i="95" a="1"/>
  <c r="AD45" i="95" s="1"/>
  <c r="B255" i="95" s="1"/>
  <c r="AC44" i="95"/>
  <c r="AD44" i="95" s="1" a="1"/>
  <c r="AD44" i="95" s="1"/>
  <c r="B254" i="95" s="1"/>
  <c r="AE45" i="95" a="1"/>
  <c r="AE45" i="95" s="1"/>
  <c r="B285" i="95" s="1"/>
  <c r="AD45" i="94" a="1"/>
  <c r="AD45" i="94" s="1"/>
  <c r="B255" i="94" s="1"/>
  <c r="AC44" i="94"/>
  <c r="AE44" i="94" s="1" a="1"/>
  <c r="AE44" i="94" s="1"/>
  <c r="B284" i="94" s="1"/>
  <c r="AE45" i="94" a="1"/>
  <c r="AE45" i="94" s="1"/>
  <c r="B285" i="94" s="1"/>
  <c r="AE54" i="92" a="1"/>
  <c r="AE54" i="92" s="1"/>
  <c r="B294" i="92" s="1"/>
  <c r="AD54" i="92" a="1"/>
  <c r="AD54" i="92" s="1"/>
  <c r="B264" i="92" s="1"/>
  <c r="AF53" i="92"/>
  <c r="B323" i="92" s="1"/>
  <c r="AE53" i="92" a="1"/>
  <c r="AE53" i="92" s="1"/>
  <c r="B293" i="92" s="1"/>
  <c r="AD53" i="92" a="1"/>
  <c r="AD53" i="92" s="1"/>
  <c r="B263" i="92" s="1"/>
  <c r="AF52" i="92"/>
  <c r="B322" i="92" s="1"/>
  <c r="AE52" i="92" a="1"/>
  <c r="AE52" i="92" s="1"/>
  <c r="B292" i="92" s="1"/>
  <c r="AD52" i="92" a="1"/>
  <c r="AD52" i="92" s="1"/>
  <c r="B262" i="92" s="1"/>
  <c r="AF54" i="92"/>
  <c r="B324" i="92" s="1"/>
  <c r="AF44" i="93"/>
  <c r="B314" i="93" s="1"/>
  <c r="AE44" i="93" a="1"/>
  <c r="AE44" i="93" s="1"/>
  <c r="B284" i="93" s="1"/>
  <c r="AD44" i="93" a="1"/>
  <c r="AD44" i="93" s="1"/>
  <c r="B254" i="93" s="1"/>
  <c r="I137" i="90"/>
  <c r="AF45" i="92"/>
  <c r="B315" i="92" s="1"/>
  <c r="AE49" i="92" a="1"/>
  <c r="AE49" i="92" s="1"/>
  <c r="B289" i="92" s="1"/>
  <c r="AD49" i="92" a="1"/>
  <c r="AD49" i="92" s="1"/>
  <c r="B259" i="92" s="1"/>
  <c r="AD46" i="92" a="1"/>
  <c r="AD46" i="92" s="1"/>
  <c r="B256" i="92" s="1"/>
  <c r="AF48" i="92"/>
  <c r="B318" i="92" s="1"/>
  <c r="AE48" i="92" a="1"/>
  <c r="AE48" i="92" s="1"/>
  <c r="B288" i="92" s="1"/>
  <c r="AD48" i="92" a="1"/>
  <c r="AD48" i="92" s="1"/>
  <c r="B258" i="92" s="1"/>
  <c r="AD47" i="92" a="1"/>
  <c r="AD47" i="92" s="1"/>
  <c r="B257" i="92" s="1"/>
  <c r="AD50" i="92" a="1"/>
  <c r="AD50" i="92" s="1"/>
  <c r="B260" i="92" s="1"/>
  <c r="AF51" i="92"/>
  <c r="B321" i="92" s="1"/>
  <c r="AE51" i="92" a="1"/>
  <c r="AE51" i="92" s="1"/>
  <c r="B291" i="92" s="1"/>
  <c r="AF47" i="92"/>
  <c r="B317" i="92" s="1"/>
  <c r="AE50" i="92" a="1"/>
  <c r="AE50" i="92" s="1"/>
  <c r="B290" i="92" s="1"/>
  <c r="AD51" i="92" a="1"/>
  <c r="AD51" i="92" s="1"/>
  <c r="B261" i="92" s="1"/>
  <c r="AE47" i="92" a="1"/>
  <c r="AE47" i="92" s="1"/>
  <c r="B287" i="92" s="1"/>
  <c r="AF50" i="92"/>
  <c r="B320" i="92" s="1"/>
  <c r="AF49" i="92"/>
  <c r="B319" i="92" s="1"/>
  <c r="AF46" i="92"/>
  <c r="B316" i="92" s="1"/>
  <c r="AE46" i="92" a="1"/>
  <c r="AE46" i="92" s="1"/>
  <c r="B286" i="92" s="1"/>
  <c r="AD45" i="92" a="1"/>
  <c r="AD45" i="92" s="1"/>
  <c r="B255" i="92" s="1"/>
  <c r="AC44" i="92"/>
  <c r="AD44" i="92" s="1" a="1"/>
  <c r="AD44" i="92" s="1"/>
  <c r="B254" i="92" s="1"/>
  <c r="AE45" i="92" a="1"/>
  <c r="AE45" i="92" s="1"/>
  <c r="B285" i="92" s="1"/>
  <c r="E6" i="69"/>
  <c r="B175" i="91"/>
  <c r="AF44" i="29"/>
  <c r="B314" i="29" s="1"/>
  <c r="AD45" i="90" a="1"/>
  <c r="AD45" i="90" s="1"/>
  <c r="B255" i="90" s="1"/>
  <c r="AE44" i="29" a="1"/>
  <c r="AE44" i="29" s="1"/>
  <c r="B284" i="29" s="1"/>
  <c r="AE45" i="90" a="1"/>
  <c r="AE45" i="90" s="1"/>
  <c r="B285" i="90" s="1"/>
  <c r="AD44" i="91" a="1"/>
  <c r="AD44" i="91" s="1"/>
  <c r="B254" i="91" s="1"/>
  <c r="AF44" i="91"/>
  <c r="B314" i="91" s="1"/>
  <c r="AE44" i="91" a="1"/>
  <c r="AE44" i="91" s="1"/>
  <c r="B284" i="91" s="1"/>
  <c r="AC44" i="90"/>
  <c r="AD44" i="90" s="1" a="1"/>
  <c r="AD44" i="90" s="1"/>
  <c r="B254" i="90" s="1"/>
  <c r="AF46" i="90"/>
  <c r="B316" i="90" s="1"/>
  <c r="AE46" i="90" a="1"/>
  <c r="AE46" i="90" s="1"/>
  <c r="B286" i="90" s="1"/>
  <c r="AD46" i="90" a="1"/>
  <c r="AD46" i="90" s="1"/>
  <c r="B256" i="90" s="1"/>
  <c r="AF48" i="90"/>
  <c r="B318" i="90" s="1"/>
  <c r="AE48" i="90" a="1"/>
  <c r="AE48" i="90" s="1"/>
  <c r="B288" i="90" s="1"/>
  <c r="AD48" i="90" a="1"/>
  <c r="AD48" i="90" s="1"/>
  <c r="B258" i="90" s="1"/>
  <c r="AF47" i="90"/>
  <c r="B317" i="90" s="1"/>
  <c r="AE47" i="90" a="1"/>
  <c r="AE47" i="90" s="1"/>
  <c r="B287" i="90" s="1"/>
  <c r="AD47" i="90" a="1"/>
  <c r="AD47" i="90" s="1"/>
  <c r="B257" i="90" s="1"/>
  <c r="AE44" i="79" a="1"/>
  <c r="AE44" i="79" s="1"/>
  <c r="B284" i="79" s="1"/>
  <c r="AD44" i="78" a="1"/>
  <c r="AD44" i="78" s="1"/>
  <c r="B254" i="78" s="1"/>
  <c r="E7" i="69"/>
  <c r="D8" i="69" a="1"/>
  <c r="D8" i="69" s="1"/>
  <c r="AK12" i="68"/>
  <c r="AL12" i="68" s="1"/>
  <c r="AJ12" i="68"/>
  <c r="AR12" i="68"/>
  <c r="AN12" i="68"/>
  <c r="B175" i="89"/>
  <c r="AF45" i="89"/>
  <c r="B315" i="89" s="1"/>
  <c r="AF48" i="89"/>
  <c r="B318" i="89" s="1"/>
  <c r="AE48" i="89" a="1"/>
  <c r="AE48" i="89" s="1"/>
  <c r="B288" i="89" s="1"/>
  <c r="AD48" i="89" a="1"/>
  <c r="AD48" i="89" s="1"/>
  <c r="B258" i="89" s="1"/>
  <c r="AF47" i="89"/>
  <c r="B317" i="89" s="1"/>
  <c r="AE47" i="89" a="1"/>
  <c r="AE47" i="89" s="1"/>
  <c r="B287" i="89" s="1"/>
  <c r="AD47" i="89" a="1"/>
  <c r="AD47" i="89" s="1"/>
  <c r="B257" i="89" s="1"/>
  <c r="AF46" i="89"/>
  <c r="B316" i="89" s="1"/>
  <c r="AE46" i="89" a="1"/>
  <c r="AE46" i="89" s="1"/>
  <c r="B286" i="89" s="1"/>
  <c r="AD46" i="89" a="1"/>
  <c r="AD46" i="89" s="1"/>
  <c r="B256" i="89" s="1"/>
  <c r="AD45" i="89" a="1"/>
  <c r="AD45" i="89" s="1"/>
  <c r="B255" i="89" s="1"/>
  <c r="AC44" i="89"/>
  <c r="AE44" i="89" s="1" a="1"/>
  <c r="AE44" i="89" s="1"/>
  <c r="B284" i="89" s="1"/>
  <c r="AE45" i="89" a="1"/>
  <c r="AE45" i="89" s="1"/>
  <c r="B285" i="89" s="1"/>
  <c r="AF48" i="85"/>
  <c r="B318" i="85" s="1"/>
  <c r="AE48" i="85" a="1"/>
  <c r="AE48" i="85" s="1"/>
  <c r="B288" i="85" s="1"/>
  <c r="AD48" i="85" a="1"/>
  <c r="AD48" i="85" s="1"/>
  <c r="B258" i="85" s="1"/>
  <c r="AE134" i="85"/>
  <c r="I137" i="85" s="1"/>
  <c r="B176" i="85" s="1"/>
  <c r="AE134" i="88"/>
  <c r="I137" i="88" s="1"/>
  <c r="B176" i="88" s="1"/>
  <c r="AE134" i="86"/>
  <c r="I137" i="86" s="1"/>
  <c r="AD44" i="88" a="1"/>
  <c r="AD44" i="88" s="1"/>
  <c r="B254" i="88" s="1"/>
  <c r="AE44" i="88" a="1"/>
  <c r="AE44" i="88" s="1"/>
  <c r="B284" i="88" s="1"/>
  <c r="AF44" i="88"/>
  <c r="B314" i="88" s="1"/>
  <c r="AF44" i="76"/>
  <c r="B314" i="76" s="1"/>
  <c r="AD44" i="86" a="1"/>
  <c r="AD44" i="86" s="1"/>
  <c r="B254" i="86" s="1"/>
  <c r="AF44" i="86"/>
  <c r="B314" i="86" s="1"/>
  <c r="AE44" i="86" a="1"/>
  <c r="AE44" i="86" s="1"/>
  <c r="B284" i="86" s="1"/>
  <c r="AE46" i="85" a="1"/>
  <c r="AE46" i="85" s="1"/>
  <c r="B286" i="85" s="1"/>
  <c r="AD46" i="85" a="1"/>
  <c r="AD46" i="85" s="1"/>
  <c r="B256" i="85" s="1"/>
  <c r="AF47" i="85"/>
  <c r="B317" i="85" s="1"/>
  <c r="AE47" i="85" a="1"/>
  <c r="AE47" i="85" s="1"/>
  <c r="B287" i="85" s="1"/>
  <c r="AD47" i="85" a="1"/>
  <c r="AD47" i="85" s="1"/>
  <c r="B257" i="85" s="1"/>
  <c r="AF46" i="85"/>
  <c r="B316" i="85" s="1"/>
  <c r="AF45" i="85"/>
  <c r="B315" i="85" s="1"/>
  <c r="AE45" i="85" a="1"/>
  <c r="AE45" i="85" s="1"/>
  <c r="B285" i="85" s="1"/>
  <c r="AC44" i="85"/>
  <c r="AD44" i="85" s="1" a="1"/>
  <c r="AD44" i="85" s="1"/>
  <c r="B254" i="85" s="1"/>
  <c r="AD45" i="85" a="1"/>
  <c r="AD45" i="85" s="1"/>
  <c r="B255" i="85" s="1"/>
  <c r="AD44" i="76" a="1"/>
  <c r="AD44" i="76" s="1"/>
  <c r="B254" i="76" s="1"/>
  <c r="AD44" i="84" a="1"/>
  <c r="AD44" i="84" s="1"/>
  <c r="B254" i="84" s="1"/>
  <c r="AF44" i="84"/>
  <c r="B314" i="84" s="1"/>
  <c r="AE44" i="84" a="1"/>
  <c r="AE44" i="84" s="1"/>
  <c r="B284" i="84" s="1"/>
  <c r="AD44" i="83" a="1"/>
  <c r="AD44" i="83" s="1"/>
  <c r="B254" i="83" s="1"/>
  <c r="AE44" i="83" a="1"/>
  <c r="AE44" i="83" s="1"/>
  <c r="B284" i="83" s="1"/>
  <c r="AF44" i="83"/>
  <c r="B314" i="83" s="1"/>
  <c r="B175" i="82"/>
  <c r="AF45" i="82"/>
  <c r="B315" i="82" s="1"/>
  <c r="AF48" i="82"/>
  <c r="B318" i="82" s="1"/>
  <c r="AE48" i="82" a="1"/>
  <c r="AE48" i="82" s="1"/>
  <c r="B288" i="82" s="1"/>
  <c r="AD48" i="82" a="1"/>
  <c r="AD48" i="82" s="1"/>
  <c r="B258" i="82" s="1"/>
  <c r="AF51" i="82"/>
  <c r="B321" i="82" s="1"/>
  <c r="AF46" i="82"/>
  <c r="B316" i="82" s="1"/>
  <c r="AE49" i="82" a="1"/>
  <c r="AE49" i="82" s="1"/>
  <c r="B289" i="82" s="1"/>
  <c r="AE51" i="82" a="1"/>
  <c r="AE51" i="82" s="1"/>
  <c r="B291" i="82" s="1"/>
  <c r="AF47" i="82"/>
  <c r="B317" i="82" s="1"/>
  <c r="AD51" i="82" a="1"/>
  <c r="AD51" i="82" s="1"/>
  <c r="B261" i="82" s="1"/>
  <c r="AE47" i="82" a="1"/>
  <c r="AE47" i="82" s="1"/>
  <c r="B287" i="82" s="1"/>
  <c r="AF50" i="82"/>
  <c r="B320" i="82" s="1"/>
  <c r="AD47" i="82" a="1"/>
  <c r="AD47" i="82" s="1"/>
  <c r="B257" i="82" s="1"/>
  <c r="AE50" i="82" a="1"/>
  <c r="AE50" i="82" s="1"/>
  <c r="B290" i="82" s="1"/>
  <c r="AF49" i="82"/>
  <c r="B319" i="82" s="1"/>
  <c r="AD50" i="82" a="1"/>
  <c r="AD50" i="82" s="1"/>
  <c r="B260" i="82" s="1"/>
  <c r="AD49" i="82" a="1"/>
  <c r="AD49" i="82" s="1"/>
  <c r="B259" i="82" s="1"/>
  <c r="AD46" i="82" a="1"/>
  <c r="AD46" i="82" s="1"/>
  <c r="B256" i="82" s="1"/>
  <c r="AE46" i="82" a="1"/>
  <c r="AE46" i="82" s="1"/>
  <c r="B286" i="82" s="1"/>
  <c r="AD45" i="82" a="1"/>
  <c r="AD45" i="82" s="1"/>
  <c r="B255" i="82" s="1"/>
  <c r="AC44" i="82"/>
  <c r="AD44" i="82" s="1" a="1"/>
  <c r="AD44" i="82" s="1"/>
  <c r="B254" i="82" s="1"/>
  <c r="AE45" i="82" a="1"/>
  <c r="AE45" i="82" s="1"/>
  <c r="B285" i="82" s="1"/>
  <c r="AF44" i="77"/>
  <c r="B314" i="77" s="1"/>
  <c r="AD44" i="77" a="1"/>
  <c r="AD44" i="77" s="1"/>
  <c r="B254" i="77" s="1"/>
  <c r="AE44" i="77" a="1"/>
  <c r="AE44" i="77" s="1"/>
  <c r="B284" i="77" s="1"/>
  <c r="AF50" i="81"/>
  <c r="B320" i="81" s="1"/>
  <c r="AE50" i="81" a="1"/>
  <c r="AE50" i="81" s="1"/>
  <c r="B290" i="81" s="1"/>
  <c r="AD50" i="81" a="1"/>
  <c r="AD50" i="81" s="1"/>
  <c r="B260" i="81" s="1"/>
  <c r="B175" i="81"/>
  <c r="AF45" i="81"/>
  <c r="B315" i="81" s="1"/>
  <c r="AD47" i="81" a="1"/>
  <c r="AD47" i="81" s="1"/>
  <c r="B257" i="81" s="1"/>
  <c r="AF47" i="81"/>
  <c r="B317" i="81" s="1"/>
  <c r="AF49" i="81"/>
  <c r="B319" i="81" s="1"/>
  <c r="AE49" i="81" a="1"/>
  <c r="AE49" i="81" s="1"/>
  <c r="B289" i="81" s="1"/>
  <c r="AD49" i="81" a="1"/>
  <c r="AD49" i="81" s="1"/>
  <c r="B259" i="81" s="1"/>
  <c r="AF46" i="81"/>
  <c r="B316" i="81" s="1"/>
  <c r="AE46" i="81" a="1"/>
  <c r="AE46" i="81" s="1"/>
  <c r="B286" i="81" s="1"/>
  <c r="AD46" i="81" a="1"/>
  <c r="AD46" i="81" s="1"/>
  <c r="B256" i="81" s="1"/>
  <c r="AF48" i="81"/>
  <c r="B318" i="81" s="1"/>
  <c r="AE48" i="81" a="1"/>
  <c r="AE48" i="81" s="1"/>
  <c r="B288" i="81" s="1"/>
  <c r="AD48" i="81" a="1"/>
  <c r="AD48" i="81" s="1"/>
  <c r="B258" i="81" s="1"/>
  <c r="AE47" i="81" a="1"/>
  <c r="AE47" i="81" s="1"/>
  <c r="B287" i="81" s="1"/>
  <c r="AD44" i="79" a="1"/>
  <c r="AD44" i="79" s="1"/>
  <c r="B254" i="79" s="1"/>
  <c r="AE44" i="34" a="1"/>
  <c r="AE44" i="34" s="1"/>
  <c r="B284" i="34" s="1"/>
  <c r="AF44" i="34"/>
  <c r="B314" i="34" s="1"/>
  <c r="AD44" i="75" a="1"/>
  <c r="AD44" i="75" s="1"/>
  <c r="B254" i="75" s="1"/>
  <c r="AE44" i="75" a="1"/>
  <c r="AE44" i="75" s="1"/>
  <c r="B284" i="75" s="1"/>
  <c r="AE44" i="74" a="1"/>
  <c r="AE44" i="74" s="1"/>
  <c r="B284" i="74" s="1"/>
  <c r="AD44" i="74" a="1"/>
  <c r="AD44" i="74" s="1"/>
  <c r="B254" i="74" s="1"/>
  <c r="I137" i="73"/>
  <c r="B176" i="73" s="1"/>
  <c r="AE44" i="73" a="1"/>
  <c r="AE44" i="73" s="1"/>
  <c r="B284" i="73" s="1"/>
  <c r="AF44" i="73"/>
  <c r="B314" i="73" s="1"/>
  <c r="AD44" i="73" a="1"/>
  <c r="AD44" i="73" s="1"/>
  <c r="B254" i="73" s="1"/>
  <c r="B176" i="75"/>
  <c r="B175" i="75"/>
  <c r="B176" i="76"/>
  <c r="B175" i="76"/>
  <c r="AD45" i="81" a="1"/>
  <c r="AD45" i="81" s="1"/>
  <c r="B255" i="81" s="1"/>
  <c r="AC44" i="81"/>
  <c r="AD44" i="81" s="1" a="1"/>
  <c r="AD44" i="81" s="1"/>
  <c r="B254" i="81" s="1"/>
  <c r="AE45" i="81" a="1"/>
  <c r="AE45" i="81" s="1"/>
  <c r="B285" i="81" s="1"/>
  <c r="AE134" i="34"/>
  <c r="AF52" i="80"/>
  <c r="AE52" i="80" a="1"/>
  <c r="AE52" i="80" s="1"/>
  <c r="B292" i="80" s="1"/>
  <c r="AD52" i="80" a="1"/>
  <c r="AD52" i="80" s="1"/>
  <c r="AD2" i="80"/>
  <c r="B115" i="80" s="1"/>
  <c r="AE134" i="80"/>
  <c r="I137" i="80" s="1"/>
  <c r="AF45" i="80"/>
  <c r="B315" i="80" s="1"/>
  <c r="AE48" i="80" a="1"/>
  <c r="AE48" i="80" s="1"/>
  <c r="B288" i="80" s="1"/>
  <c r="AD48" i="80" a="1"/>
  <c r="AD48" i="80" s="1"/>
  <c r="B258" i="80" s="1"/>
  <c r="AF51" i="80"/>
  <c r="B321" i="80" s="1"/>
  <c r="AE51" i="80" a="1"/>
  <c r="AE51" i="80" s="1"/>
  <c r="B291" i="80" s="1"/>
  <c r="AF47" i="80"/>
  <c r="B317" i="80" s="1"/>
  <c r="AD51" i="80" a="1"/>
  <c r="AD51" i="80" s="1"/>
  <c r="B261" i="80" s="1"/>
  <c r="AE47" i="80" a="1"/>
  <c r="AE47" i="80" s="1"/>
  <c r="B287" i="80" s="1"/>
  <c r="AF50" i="80"/>
  <c r="B320" i="80" s="1"/>
  <c r="AD47" i="80" a="1"/>
  <c r="AD47" i="80" s="1"/>
  <c r="B257" i="80" s="1"/>
  <c r="AE50" i="80" a="1"/>
  <c r="AE50" i="80" s="1"/>
  <c r="B290" i="80" s="1"/>
  <c r="AD50" i="80" a="1"/>
  <c r="AD50" i="80" s="1"/>
  <c r="B260" i="80" s="1"/>
  <c r="AF49" i="80"/>
  <c r="B319" i="80" s="1"/>
  <c r="AE49" i="80" a="1"/>
  <c r="AE49" i="80" s="1"/>
  <c r="B289" i="80" s="1"/>
  <c r="AF46" i="80"/>
  <c r="B316" i="80" s="1"/>
  <c r="AD49" i="80" a="1"/>
  <c r="AD49" i="80" s="1"/>
  <c r="B259" i="80" s="1"/>
  <c r="AE46" i="80" a="1"/>
  <c r="AE46" i="80" s="1"/>
  <c r="B286" i="80" s="1"/>
  <c r="AD46" i="80" a="1"/>
  <c r="AD46" i="80" s="1"/>
  <c r="B256" i="80" s="1"/>
  <c r="AF48" i="80"/>
  <c r="B318" i="80" s="1"/>
  <c r="AD45" i="80" a="1"/>
  <c r="AD45" i="80" s="1"/>
  <c r="B255" i="80" s="1"/>
  <c r="AC44" i="80"/>
  <c r="AD44" i="80" s="1" a="1"/>
  <c r="AD44" i="80" s="1"/>
  <c r="B254" i="80" s="1"/>
  <c r="AE45" i="80" a="1"/>
  <c r="AE45" i="80" s="1"/>
  <c r="B285" i="80" s="1"/>
  <c r="E8" i="69" l="1"/>
  <c r="B176" i="102"/>
  <c r="AE44" i="102" a="1"/>
  <c r="AE44" i="102" s="1"/>
  <c r="B284" i="102" s="1"/>
  <c r="AD44" i="102" a="1"/>
  <c r="AD44" i="102" s="1"/>
  <c r="B254" i="102" s="1"/>
  <c r="B176" i="103"/>
  <c r="B175" i="103"/>
  <c r="AF44" i="101"/>
  <c r="B314" i="101" s="1"/>
  <c r="AE44" i="101" a="1"/>
  <c r="AE44" i="101" s="1"/>
  <c r="B284" i="101" s="1"/>
  <c r="B175" i="92"/>
  <c r="AE44" i="97" a="1"/>
  <c r="AE44" i="97" s="1"/>
  <c r="B284" i="97" s="1"/>
  <c r="AD44" i="94" a="1"/>
  <c r="AD44" i="94" s="1"/>
  <c r="B254" i="94" s="1"/>
  <c r="AF44" i="97"/>
  <c r="B314" i="97" s="1"/>
  <c r="B175" i="97"/>
  <c r="B175" i="96"/>
  <c r="B175" i="95"/>
  <c r="AF44" i="95"/>
  <c r="B314" i="95" s="1"/>
  <c r="AE44" i="95" a="1"/>
  <c r="AE44" i="95" s="1"/>
  <c r="B284" i="95" s="1"/>
  <c r="AF44" i="94"/>
  <c r="B314" i="94" s="1"/>
  <c r="B175" i="93"/>
  <c r="B176" i="90"/>
  <c r="B175" i="90"/>
  <c r="AF44" i="92"/>
  <c r="B314" i="92" s="1"/>
  <c r="AE44" i="92" a="1"/>
  <c r="AE44" i="92" s="1"/>
  <c r="B284" i="92" s="1"/>
  <c r="AF44" i="90"/>
  <c r="B314" i="90" s="1"/>
  <c r="AE44" i="90" a="1"/>
  <c r="AE44" i="90" s="1"/>
  <c r="B284" i="90" s="1"/>
  <c r="AP12" i="68"/>
  <c r="AQ12" i="68" s="1"/>
  <c r="AO12" i="68"/>
  <c r="AW12" i="68"/>
  <c r="AS12" i="68"/>
  <c r="D9" i="69" a="1"/>
  <c r="D9" i="69" s="1"/>
  <c r="B9" i="69" a="1"/>
  <c r="B9" i="69" s="1"/>
  <c r="C9" i="69" a="1"/>
  <c r="C9" i="69" s="1"/>
  <c r="AD44" i="89" a="1"/>
  <c r="AD44" i="89" s="1"/>
  <c r="B254" i="89" s="1"/>
  <c r="AF44" i="89"/>
  <c r="B314" i="89" s="1"/>
  <c r="B175" i="85"/>
  <c r="B175" i="88"/>
  <c r="AE44" i="85" a="1"/>
  <c r="AE44" i="85" s="1"/>
  <c r="B284" i="85" s="1"/>
  <c r="B176" i="86"/>
  <c r="B175" i="86"/>
  <c r="AF44" i="85"/>
  <c r="B314" i="85" s="1"/>
  <c r="B176" i="84"/>
  <c r="AF44" i="82"/>
  <c r="B314" i="82" s="1"/>
  <c r="AE44" i="82" a="1"/>
  <c r="AE44" i="82" s="1"/>
  <c r="B284" i="82" s="1"/>
  <c r="AE44" i="81" a="1"/>
  <c r="AE44" i="81" s="1"/>
  <c r="B284" i="81" s="1"/>
  <c r="AF44" i="81"/>
  <c r="B314" i="81" s="1"/>
  <c r="B175" i="73"/>
  <c r="B176" i="80"/>
  <c r="B175" i="80"/>
  <c r="AF44" i="80"/>
  <c r="B314" i="80" s="1"/>
  <c r="AE44" i="80" a="1"/>
  <c r="AE44" i="80" s="1"/>
  <c r="B284" i="80" s="1"/>
  <c r="B59" i="80"/>
  <c r="B245" i="78"/>
  <c r="B249" i="74"/>
  <c r="B239" i="100"/>
  <c r="B253" i="89"/>
  <c r="B250" i="84"/>
  <c r="B240" i="79"/>
  <c r="B238" i="89"/>
  <c r="B252" i="101"/>
  <c r="B50" i="92"/>
  <c r="B59" i="74"/>
  <c r="B238" i="90"/>
  <c r="B247" i="102"/>
  <c r="P220" i="100"/>
  <c r="P221" i="74"/>
  <c r="C28" i="68" a="1"/>
  <c r="P219" i="97"/>
  <c r="B242" i="101"/>
  <c r="B59" i="99"/>
  <c r="B238" i="81"/>
  <c r="B237" i="73"/>
  <c r="B247" i="86"/>
  <c r="B240" i="97"/>
  <c r="B50" i="94"/>
  <c r="B242" i="90"/>
  <c r="B237" i="75"/>
  <c r="P220" i="73"/>
  <c r="B244" i="96"/>
  <c r="B247" i="85"/>
  <c r="B248" i="102"/>
  <c r="B50" i="73"/>
  <c r="B246" i="74"/>
  <c r="B238" i="88"/>
  <c r="B253" i="95"/>
  <c r="B245" i="101"/>
  <c r="B238" i="102"/>
  <c r="P75" i="81"/>
  <c r="B244" i="95"/>
  <c r="B244" i="101"/>
  <c r="B243" i="81"/>
  <c r="B251" i="100"/>
  <c r="P220" i="91"/>
  <c r="B50" i="83"/>
  <c r="B244" i="100"/>
  <c r="B59" i="97"/>
  <c r="B50" i="100"/>
  <c r="B249" i="96"/>
  <c r="B33" i="68" a="1"/>
  <c r="B250" i="100"/>
  <c r="B253" i="92"/>
  <c r="B238" i="91"/>
  <c r="B244" i="29"/>
  <c r="B239" i="73"/>
  <c r="P219" i="79"/>
  <c r="P219" i="84"/>
  <c r="B251" i="76"/>
  <c r="P221" i="95"/>
  <c r="B246" i="83"/>
  <c r="B247" i="96"/>
  <c r="P220" i="79"/>
  <c r="B28" i="68" a="1"/>
  <c r="B241" i="76"/>
  <c r="B250" i="102"/>
  <c r="B237" i="84"/>
  <c r="B246" i="80"/>
  <c r="B247" i="29"/>
  <c r="B237" i="100"/>
  <c r="B59" i="93"/>
  <c r="B59" i="102"/>
  <c r="B241" i="75"/>
  <c r="B244" i="74"/>
  <c r="C32" i="68" a="1"/>
  <c r="B249" i="75"/>
  <c r="B252" i="99"/>
  <c r="B238" i="97"/>
  <c r="B240" i="86"/>
  <c r="B50" i="78"/>
  <c r="B245" i="99"/>
  <c r="P221" i="78"/>
  <c r="B239" i="103"/>
  <c r="B58" i="75"/>
  <c r="B251" i="75"/>
  <c r="B248" i="94"/>
  <c r="B251" i="34"/>
  <c r="P75" i="88"/>
  <c r="B244" i="79"/>
  <c r="B248" i="85"/>
  <c r="B248" i="29"/>
  <c r="B244" i="90"/>
  <c r="B39" i="68" a="1"/>
  <c r="B249" i="101"/>
  <c r="B250" i="75"/>
  <c r="B239" i="95"/>
  <c r="B238" i="92"/>
  <c r="B249" i="99"/>
  <c r="P219" i="102"/>
  <c r="B59" i="75"/>
  <c r="B238" i="95"/>
  <c r="B252" i="97"/>
  <c r="B243" i="90"/>
  <c r="B253" i="93"/>
  <c r="B242" i="85"/>
  <c r="B238" i="76"/>
  <c r="B252" i="91"/>
  <c r="B241" i="99"/>
  <c r="B249" i="92"/>
  <c r="B250" i="74"/>
  <c r="B240" i="75"/>
  <c r="B237" i="92"/>
  <c r="B248" i="83"/>
  <c r="P220" i="90"/>
  <c r="B247" i="80"/>
  <c r="B243" i="88"/>
  <c r="B59" i="83"/>
  <c r="B50" i="81"/>
  <c r="B247" i="95"/>
  <c r="P220" i="97"/>
  <c r="B50" i="80"/>
  <c r="B240" i="76"/>
  <c r="P219" i="80"/>
  <c r="B237" i="99"/>
  <c r="B250" i="73"/>
  <c r="B238" i="85"/>
  <c r="B240" i="84"/>
  <c r="B252" i="94"/>
  <c r="B252" i="34"/>
  <c r="B59" i="88"/>
  <c r="B237" i="95"/>
  <c r="B239" i="94"/>
  <c r="B248" i="101"/>
  <c r="B50" i="29"/>
  <c r="B250" i="94"/>
  <c r="B242" i="102"/>
  <c r="P75" i="92"/>
  <c r="B50" i="101"/>
  <c r="B241" i="95"/>
  <c r="B251" i="93"/>
  <c r="P75" i="75"/>
  <c r="B252" i="90"/>
  <c r="B247" i="34"/>
  <c r="B243" i="76"/>
  <c r="C30" i="68" a="1"/>
  <c r="B237" i="93"/>
  <c r="B58" i="92"/>
  <c r="B240" i="85"/>
  <c r="P75" i="96"/>
  <c r="C25" i="68" a="1"/>
  <c r="B246" i="96"/>
  <c r="B250" i="29"/>
  <c r="C14" i="68" a="1"/>
  <c r="P75" i="89"/>
  <c r="B243" i="29"/>
  <c r="P221" i="90"/>
  <c r="B58" i="78"/>
  <c r="B242" i="93"/>
  <c r="B241" i="88"/>
  <c r="B242" i="84"/>
  <c r="P219" i="96"/>
  <c r="P221" i="88"/>
  <c r="B243" i="73"/>
  <c r="B239" i="85"/>
  <c r="B246" i="82"/>
  <c r="B58" i="73"/>
  <c r="B249" i="80"/>
  <c r="B245" i="77"/>
  <c r="B238" i="74"/>
  <c r="B251" i="96"/>
  <c r="C31" i="68" a="1"/>
  <c r="B239" i="76"/>
  <c r="B241" i="92"/>
  <c r="B58" i="86"/>
  <c r="B58" i="97"/>
  <c r="B237" i="76"/>
  <c r="B247" i="74"/>
  <c r="P75" i="94"/>
  <c r="B251" i="79"/>
  <c r="B241" i="103"/>
  <c r="B237" i="74"/>
  <c r="B252" i="74"/>
  <c r="B237" i="90"/>
  <c r="P220" i="82"/>
  <c r="B246" i="89"/>
  <c r="P75" i="74"/>
  <c r="B31" i="68" a="1"/>
  <c r="B246" i="77"/>
  <c r="B251" i="91"/>
  <c r="B35" i="68" a="1"/>
  <c r="P219" i="77"/>
  <c r="P221" i="100"/>
  <c r="P220" i="92"/>
  <c r="B246" i="102"/>
  <c r="B243" i="75"/>
  <c r="B250" i="85"/>
  <c r="B244" i="93"/>
  <c r="B251" i="29"/>
  <c r="B253" i="100"/>
  <c r="P220" i="101"/>
  <c r="B244" i="103"/>
  <c r="B241" i="102"/>
  <c r="P75" i="34"/>
  <c r="B242" i="81"/>
  <c r="B252" i="78"/>
  <c r="B250" i="89"/>
  <c r="B247" i="76"/>
  <c r="B243" i="82"/>
  <c r="B239" i="81"/>
  <c r="B250" i="86"/>
  <c r="B242" i="103"/>
  <c r="B245" i="102"/>
  <c r="B242" i="80"/>
  <c r="B253" i="81"/>
  <c r="P75" i="100"/>
  <c r="B246" i="81"/>
  <c r="B252" i="82"/>
  <c r="B58" i="88"/>
  <c r="P221" i="103"/>
  <c r="B252" i="80"/>
  <c r="B22" i="68" a="1"/>
  <c r="B239" i="101"/>
  <c r="B246" i="97"/>
  <c r="B241" i="97"/>
  <c r="B239" i="29"/>
  <c r="B249" i="78"/>
  <c r="B246" i="79"/>
  <c r="B240" i="90"/>
  <c r="P75" i="103"/>
  <c r="B247" i="83"/>
  <c r="P221" i="93"/>
  <c r="B252" i="103"/>
  <c r="B244" i="86"/>
  <c r="B253" i="80"/>
  <c r="B241" i="74"/>
  <c r="B50" i="89"/>
  <c r="B242" i="82"/>
  <c r="B252" i="84"/>
  <c r="P75" i="83"/>
  <c r="P75" i="79"/>
  <c r="B249" i="89"/>
  <c r="P221" i="75"/>
  <c r="B251" i="84"/>
  <c r="B245" i="29"/>
  <c r="B253" i="73"/>
  <c r="P219" i="94"/>
  <c r="B251" i="89"/>
  <c r="B240" i="100"/>
  <c r="B243" i="95"/>
  <c r="B50" i="74"/>
  <c r="P75" i="86"/>
  <c r="P219" i="73"/>
  <c r="B250" i="81"/>
  <c r="B248" i="93"/>
  <c r="B247" i="78"/>
  <c r="B241" i="80"/>
  <c r="B253" i="29"/>
  <c r="P75" i="99"/>
  <c r="B238" i="34"/>
  <c r="B243" i="86"/>
  <c r="B250" i="103"/>
  <c r="P220" i="83"/>
  <c r="B50" i="102"/>
  <c r="P220" i="103"/>
  <c r="B243" i="78"/>
  <c r="B253" i="97"/>
  <c r="C22" i="68" a="1"/>
  <c r="B58" i="90"/>
  <c r="P221" i="80"/>
  <c r="B249" i="77"/>
  <c r="B253" i="91"/>
  <c r="B252" i="95"/>
  <c r="B247" i="94"/>
  <c r="B252" i="88"/>
  <c r="B241" i="90"/>
  <c r="B238" i="101"/>
  <c r="B50" i="96"/>
  <c r="B252" i="77"/>
  <c r="B59" i="103"/>
  <c r="B240" i="96"/>
  <c r="B237" i="101"/>
  <c r="P220" i="95"/>
  <c r="B242" i="74"/>
  <c r="B58" i="101"/>
  <c r="B240" i="89"/>
  <c r="B239" i="84"/>
  <c r="P220" i="77"/>
  <c r="B240" i="91"/>
  <c r="B249" i="83"/>
  <c r="B238" i="93"/>
  <c r="B248" i="74"/>
  <c r="B245" i="100"/>
  <c r="B253" i="82"/>
  <c r="C44" i="68" a="1"/>
  <c r="B58" i="81"/>
  <c r="B19" i="68" a="1"/>
  <c r="B249" i="94"/>
  <c r="B58" i="93"/>
  <c r="B50" i="34"/>
  <c r="B243" i="83"/>
  <c r="B247" i="91"/>
  <c r="B243" i="80"/>
  <c r="B249" i="93"/>
  <c r="B242" i="75"/>
  <c r="B245" i="86"/>
  <c r="B253" i="88"/>
  <c r="B242" i="76"/>
  <c r="C38" i="68" a="1"/>
  <c r="B237" i="97"/>
  <c r="B237" i="89"/>
  <c r="B245" i="34"/>
  <c r="B249" i="34"/>
  <c r="B247" i="75"/>
  <c r="B245" i="74"/>
  <c r="B240" i="83"/>
  <c r="B241" i="77"/>
  <c r="P219" i="76"/>
  <c r="B251" i="80"/>
  <c r="B244" i="94"/>
  <c r="P221" i="101"/>
  <c r="P219" i="93"/>
  <c r="B239" i="88"/>
  <c r="B50" i="103"/>
  <c r="B26" i="68" a="1"/>
  <c r="B58" i="84"/>
  <c r="P221" i="77"/>
  <c r="B242" i="89"/>
  <c r="P75" i="76"/>
  <c r="B248" i="100"/>
  <c r="B241" i="82"/>
  <c r="B237" i="80"/>
  <c r="B241" i="94"/>
  <c r="P220" i="89"/>
  <c r="P220" i="76"/>
  <c r="B50" i="82"/>
  <c r="B242" i="99"/>
  <c r="B243" i="94"/>
  <c r="B249" i="97"/>
  <c r="P219" i="34"/>
  <c r="P219" i="82"/>
  <c r="B251" i="101"/>
  <c r="B237" i="86"/>
  <c r="B252" i="100"/>
  <c r="B59" i="89"/>
  <c r="B251" i="83"/>
  <c r="B247" i="103"/>
  <c r="B237" i="94"/>
  <c r="C16" i="68" a="1"/>
  <c r="P219" i="88"/>
  <c r="B30" i="68" a="1"/>
  <c r="B32" i="68" a="1"/>
  <c r="B248" i="99"/>
  <c r="B238" i="94"/>
  <c r="P221" i="79"/>
  <c r="B58" i="102"/>
  <c r="B243" i="74"/>
  <c r="P219" i="89"/>
  <c r="B58" i="94"/>
  <c r="C19" i="68" a="1"/>
  <c r="P219" i="78"/>
  <c r="B252" i="85"/>
  <c r="B239" i="80"/>
  <c r="B251" i="97"/>
  <c r="B239" i="82"/>
  <c r="P221" i="73"/>
  <c r="B252" i="83"/>
  <c r="C29" i="68" a="1"/>
  <c r="B246" i="94"/>
  <c r="B247" i="81"/>
  <c r="B37" i="68" a="1"/>
  <c r="P75" i="85"/>
  <c r="B238" i="79"/>
  <c r="B250" i="101"/>
  <c r="B27" i="68" a="1"/>
  <c r="B253" i="96"/>
  <c r="B58" i="82"/>
  <c r="B59" i="90"/>
  <c r="P221" i="76"/>
  <c r="B248" i="96"/>
  <c r="B58" i="89"/>
  <c r="B249" i="84"/>
  <c r="B251" i="78"/>
  <c r="B253" i="90"/>
  <c r="B253" i="102"/>
  <c r="B243" i="84"/>
  <c r="B25" i="68" a="1"/>
  <c r="B237" i="78"/>
  <c r="B58" i="34"/>
  <c r="B237" i="85"/>
  <c r="B246" i="29"/>
  <c r="B250" i="77"/>
  <c r="B239" i="83"/>
  <c r="B247" i="88"/>
  <c r="B238" i="78"/>
  <c r="B237" i="77"/>
  <c r="B59" i="81"/>
  <c r="B243" i="85"/>
  <c r="B241" i="91"/>
  <c r="C37" i="68" a="1"/>
  <c r="P219" i="74"/>
  <c r="C35" i="68" a="1"/>
  <c r="B36" i="68" a="1"/>
  <c r="B253" i="94"/>
  <c r="B244" i="92"/>
  <c r="B241" i="85"/>
  <c r="B251" i="74"/>
  <c r="P221" i="91"/>
  <c r="B242" i="34"/>
  <c r="B252" i="102"/>
  <c r="B243" i="99"/>
  <c r="B247" i="84"/>
  <c r="B238" i="75"/>
  <c r="B250" i="88"/>
  <c r="P220" i="94"/>
  <c r="B248" i="79"/>
  <c r="B239" i="102"/>
  <c r="P219" i="92"/>
  <c r="B238" i="103"/>
  <c r="B245" i="80"/>
  <c r="B240" i="73"/>
  <c r="B252" i="29"/>
  <c r="P221" i="82"/>
  <c r="B241" i="100"/>
  <c r="P221" i="85"/>
  <c r="B245" i="81"/>
  <c r="B243" i="34"/>
  <c r="B248" i="81"/>
  <c r="B245" i="97"/>
  <c r="P221" i="34"/>
  <c r="P220" i="74"/>
  <c r="B253" i="34"/>
  <c r="C41" i="68" a="1"/>
  <c r="B251" i="92"/>
  <c r="B242" i="83"/>
  <c r="B243" i="79"/>
  <c r="B240" i="99"/>
  <c r="B245" i="93"/>
  <c r="B241" i="81"/>
  <c r="B243" i="91"/>
  <c r="B241" i="34"/>
  <c r="B240" i="95"/>
  <c r="B250" i="76"/>
  <c r="B58" i="99"/>
  <c r="B245" i="90"/>
  <c r="B250" i="83"/>
  <c r="C42" i="68" a="1"/>
  <c r="B243" i="89"/>
  <c r="B250" i="92"/>
  <c r="B239" i="77"/>
  <c r="B59" i="91"/>
  <c r="P75" i="84"/>
  <c r="B237" i="91"/>
  <c r="B248" i="80"/>
  <c r="B251" i="82"/>
  <c r="B244" i="97"/>
  <c r="B250" i="95"/>
  <c r="B245" i="76"/>
  <c r="B240" i="81"/>
  <c r="B238" i="77"/>
  <c r="B250" i="82"/>
  <c r="C43" i="68" a="1"/>
  <c r="B244" i="89"/>
  <c r="B240" i="77"/>
  <c r="B44" i="68" a="1"/>
  <c r="P221" i="102"/>
  <c r="B248" i="95"/>
  <c r="B237" i="102"/>
  <c r="B237" i="88"/>
  <c r="B246" i="92"/>
  <c r="P219" i="90"/>
  <c r="C18" i="68" a="1"/>
  <c r="B241" i="79"/>
  <c r="B241" i="86"/>
  <c r="B244" i="84"/>
  <c r="P75" i="101"/>
  <c r="B239" i="90"/>
  <c r="B59" i="86"/>
  <c r="B246" i="93"/>
  <c r="B249" i="85"/>
  <c r="B248" i="75"/>
  <c r="B252" i="92"/>
  <c r="B58" i="103"/>
  <c r="B58" i="91"/>
  <c r="P220" i="86"/>
  <c r="B244" i="75"/>
  <c r="B252" i="75"/>
  <c r="B15" i="68" a="1"/>
  <c r="B253" i="86"/>
  <c r="B245" i="84"/>
  <c r="B247" i="99"/>
  <c r="B238" i="84"/>
  <c r="B243" i="102"/>
  <c r="P221" i="86"/>
  <c r="B239" i="74"/>
  <c r="B238" i="100"/>
  <c r="B241" i="78"/>
  <c r="P219" i="103"/>
  <c r="B248" i="82"/>
  <c r="C27" i="68" a="1"/>
  <c r="B238" i="29"/>
  <c r="B238" i="73"/>
  <c r="B59" i="73"/>
  <c r="B242" i="94"/>
  <c r="B248" i="86"/>
  <c r="B59" i="100"/>
  <c r="P221" i="94"/>
  <c r="B251" i="88"/>
  <c r="B244" i="91"/>
  <c r="B18" i="68" a="1"/>
  <c r="B253" i="84"/>
  <c r="B249" i="90"/>
  <c r="B246" i="78"/>
  <c r="C34" i="68" a="1"/>
  <c r="B248" i="76"/>
  <c r="B249" i="79"/>
  <c r="B50" i="97"/>
  <c r="B245" i="79"/>
  <c r="C21" i="68" a="1"/>
  <c r="B16" i="68" a="1"/>
  <c r="B237" i="29"/>
  <c r="P220" i="96"/>
  <c r="C17" i="68" a="1"/>
  <c r="B34" i="68" a="1"/>
  <c r="B50" i="77"/>
  <c r="B24" i="68" a="1"/>
  <c r="B250" i="99"/>
  <c r="B240" i="101"/>
  <c r="B237" i="83"/>
  <c r="B248" i="89"/>
  <c r="P75" i="77"/>
  <c r="B239" i="75"/>
  <c r="B59" i="92"/>
  <c r="B50" i="91"/>
  <c r="B253" i="79"/>
  <c r="B59" i="76"/>
  <c r="B244" i="85"/>
  <c r="B248" i="88"/>
  <c r="B246" i="100"/>
  <c r="B238" i="99"/>
  <c r="B251" i="102"/>
  <c r="B248" i="103"/>
  <c r="B242" i="92"/>
  <c r="C15" i="68" a="1"/>
  <c r="B237" i="79"/>
  <c r="P75" i="93"/>
  <c r="B58" i="76"/>
  <c r="P219" i="95"/>
  <c r="B252" i="81"/>
  <c r="B253" i="78"/>
  <c r="B246" i="95"/>
  <c r="B50" i="76"/>
  <c r="P219" i="99"/>
  <c r="P220" i="88"/>
  <c r="B248" i="92"/>
  <c r="P221" i="89"/>
  <c r="B59" i="96"/>
  <c r="P219" i="100"/>
  <c r="B239" i="34"/>
  <c r="C24" i="68" a="1"/>
  <c r="P221" i="99"/>
  <c r="B59" i="82"/>
  <c r="B239" i="92"/>
  <c r="B243" i="92"/>
  <c r="B241" i="101"/>
  <c r="C39" i="68" a="1"/>
  <c r="B240" i="78"/>
  <c r="B244" i="77"/>
  <c r="B250" i="91"/>
  <c r="B241" i="93"/>
  <c r="B246" i="90"/>
  <c r="B250" i="96"/>
  <c r="B253" i="77"/>
  <c r="B249" i="73"/>
  <c r="P75" i="90"/>
  <c r="B252" i="76"/>
  <c r="B246" i="73"/>
  <c r="B242" i="95"/>
  <c r="B240" i="82"/>
  <c r="B242" i="29"/>
  <c r="B239" i="99"/>
  <c r="P75" i="95"/>
  <c r="B247" i="79"/>
  <c r="B59" i="85"/>
  <c r="B239" i="78"/>
  <c r="P75" i="102"/>
  <c r="B246" i="88"/>
  <c r="B250" i="78"/>
  <c r="P75" i="78"/>
  <c r="B50" i="93"/>
  <c r="B239" i="79"/>
  <c r="B249" i="103"/>
  <c r="B246" i="101"/>
  <c r="B253" i="85"/>
  <c r="B248" i="84"/>
  <c r="B50" i="85"/>
  <c r="B245" i="94"/>
  <c r="B50" i="84"/>
  <c r="B244" i="102"/>
  <c r="P220" i="34"/>
  <c r="B252" i="96"/>
  <c r="B251" i="103"/>
  <c r="B246" i="85"/>
  <c r="P220" i="93"/>
  <c r="B245" i="96"/>
  <c r="B251" i="85"/>
  <c r="B251" i="90"/>
  <c r="B245" i="85"/>
  <c r="B252" i="93"/>
  <c r="B43" i="68" a="1"/>
  <c r="P75" i="97"/>
  <c r="B243" i="93"/>
  <c r="B244" i="76"/>
  <c r="B240" i="93"/>
  <c r="B253" i="74"/>
  <c r="B41" i="68" a="1"/>
  <c r="B248" i="77"/>
  <c r="P221" i="84"/>
  <c r="C36" i="68" a="1"/>
  <c r="B242" i="88"/>
  <c r="P221" i="92"/>
  <c r="B239" i="93"/>
  <c r="B251" i="77"/>
  <c r="B59" i="94"/>
  <c r="B247" i="100"/>
  <c r="B239" i="91"/>
  <c r="B250" i="79"/>
  <c r="B243" i="103"/>
  <c r="B251" i="81"/>
  <c r="B249" i="102"/>
  <c r="B246" i="91"/>
  <c r="B244" i="88"/>
  <c r="B237" i="82"/>
  <c r="B249" i="82"/>
  <c r="B248" i="73"/>
  <c r="B252" i="73"/>
  <c r="B251" i="73"/>
  <c r="B249" i="95"/>
  <c r="C26" i="68" a="1"/>
  <c r="B50" i="86"/>
  <c r="B243" i="97"/>
  <c r="P75" i="73"/>
  <c r="B248" i="34"/>
  <c r="P220" i="78"/>
  <c r="B249" i="100"/>
  <c r="B244" i="73"/>
  <c r="B58" i="95"/>
  <c r="P220" i="102"/>
  <c r="P219" i="101"/>
  <c r="B246" i="76"/>
  <c r="P221" i="96"/>
  <c r="C33" i="68" a="1"/>
  <c r="B245" i="92"/>
  <c r="B29" i="68" a="1"/>
  <c r="B14" i="68" a="1"/>
  <c r="B40" i="68" a="1"/>
  <c r="B50" i="90"/>
  <c r="B21" i="68" a="1"/>
  <c r="B59" i="34"/>
  <c r="B59" i="78"/>
  <c r="B253" i="99"/>
  <c r="P219" i="91"/>
  <c r="P221" i="83"/>
  <c r="B242" i="91"/>
  <c r="B240" i="103"/>
  <c r="B247" i="77"/>
  <c r="B58" i="79"/>
  <c r="B240" i="88"/>
  <c r="B252" i="89"/>
  <c r="B250" i="90"/>
  <c r="B249" i="86"/>
  <c r="B247" i="73"/>
  <c r="B244" i="82"/>
  <c r="B242" i="78"/>
  <c r="P220" i="84"/>
  <c r="B243" i="96"/>
  <c r="P220" i="99"/>
  <c r="B248" i="91"/>
  <c r="B251" i="99"/>
  <c r="B245" i="73"/>
  <c r="B58" i="80"/>
  <c r="B244" i="34"/>
  <c r="B50" i="95"/>
  <c r="B240" i="102"/>
  <c r="B242" i="97"/>
  <c r="B237" i="81"/>
  <c r="B238" i="96"/>
  <c r="B243" i="101"/>
  <c r="B59" i="29"/>
  <c r="B58" i="77"/>
  <c r="B246" i="86"/>
  <c r="B249" i="29"/>
  <c r="B245" i="103"/>
  <c r="B239" i="89"/>
  <c r="P219" i="29"/>
  <c r="B244" i="81"/>
  <c r="B245" i="95"/>
  <c r="P221" i="97"/>
  <c r="B59" i="84"/>
  <c r="B240" i="74"/>
  <c r="B238" i="80"/>
  <c r="P221" i="29"/>
  <c r="B59" i="77"/>
  <c r="B23" i="68" a="1"/>
  <c r="B250" i="93"/>
  <c r="B20" i="68" a="1"/>
  <c r="B240" i="80"/>
  <c r="B58" i="74"/>
  <c r="B252" i="79"/>
  <c r="B58" i="96"/>
  <c r="P75" i="80"/>
  <c r="B251" i="95"/>
  <c r="B242" i="79"/>
  <c r="P220" i="75"/>
  <c r="B245" i="83"/>
  <c r="B246" i="99"/>
  <c r="B253" i="103"/>
  <c r="B58" i="100"/>
  <c r="P219" i="81"/>
  <c r="B240" i="29"/>
  <c r="B247" i="101"/>
  <c r="B246" i="103"/>
  <c r="B253" i="75"/>
  <c r="B241" i="73"/>
  <c r="B239" i="97"/>
  <c r="P220" i="29"/>
  <c r="B245" i="89"/>
  <c r="P220" i="85"/>
  <c r="B243" i="77"/>
  <c r="B251" i="86"/>
  <c r="B247" i="82"/>
  <c r="B246" i="75"/>
  <c r="B243" i="100"/>
  <c r="B242" i="77"/>
  <c r="B253" i="101"/>
  <c r="B247" i="97"/>
  <c r="B17" i="68" a="1"/>
  <c r="B58" i="85"/>
  <c r="P221" i="81"/>
  <c r="B248" i="97"/>
  <c r="B245" i="91"/>
  <c r="P220" i="81"/>
  <c r="B58" i="29"/>
  <c r="P220" i="80"/>
  <c r="B241" i="83"/>
  <c r="B242" i="73"/>
  <c r="B42" i="68" a="1"/>
  <c r="B242" i="100"/>
  <c r="B242" i="96"/>
  <c r="B244" i="83"/>
  <c r="B252" i="86"/>
  <c r="B50" i="79"/>
  <c r="B251" i="94"/>
  <c r="B241" i="89"/>
  <c r="P219" i="83"/>
  <c r="B253" i="83"/>
  <c r="B59" i="101"/>
  <c r="B240" i="34"/>
  <c r="B248" i="90"/>
  <c r="B50" i="88"/>
  <c r="B246" i="84"/>
  <c r="B241" i="96"/>
  <c r="P219" i="86"/>
  <c r="B249" i="91"/>
  <c r="P219" i="85"/>
  <c r="C23" i="68" a="1"/>
  <c r="P75" i="29"/>
  <c r="B249" i="88"/>
  <c r="B247" i="92"/>
  <c r="B59" i="79"/>
  <c r="P75" i="91"/>
  <c r="B247" i="93"/>
  <c r="B241" i="29"/>
  <c r="B244" i="78"/>
  <c r="B237" i="103"/>
  <c r="B250" i="80"/>
  <c r="B237" i="34"/>
  <c r="B238" i="82"/>
  <c r="B250" i="97"/>
  <c r="B244" i="99"/>
  <c r="B59" i="95"/>
  <c r="B248" i="78"/>
  <c r="B240" i="92"/>
  <c r="C20" i="68" a="1"/>
  <c r="B244" i="80"/>
  <c r="B237" i="96"/>
  <c r="B247" i="90"/>
  <c r="B249" i="81"/>
  <c r="B245" i="82"/>
  <c r="B241" i="84"/>
  <c r="B50" i="99"/>
  <c r="P219" i="75"/>
  <c r="B239" i="96"/>
  <c r="B242" i="86"/>
  <c r="B238" i="86"/>
  <c r="B245" i="88"/>
  <c r="B239" i="86"/>
  <c r="B250" i="34"/>
  <c r="C40" i="68" a="1"/>
  <c r="B58" i="83"/>
  <c r="B240" i="94"/>
  <c r="B38" i="68" a="1"/>
  <c r="B253" i="76"/>
  <c r="B50" i="75"/>
  <c r="B247" i="89"/>
  <c r="B238" i="83"/>
  <c r="B246" i="34"/>
  <c r="B249" i="76"/>
  <c r="B245" i="75"/>
  <c r="P75" i="82"/>
  <c r="B57" i="85" l="1"/>
  <c r="B56" i="85"/>
  <c r="C38" i="68"/>
  <c r="B57" i="83"/>
  <c r="B56" i="83"/>
  <c r="C24" i="68"/>
  <c r="C41" i="68"/>
  <c r="B355" i="101"/>
  <c r="AJ46" i="101"/>
  <c r="AK46" i="101" s="1"/>
  <c r="B53" i="92"/>
  <c r="AJ24" i="92"/>
  <c r="AK24" i="92" s="1"/>
  <c r="B56" i="89"/>
  <c r="B57" i="89"/>
  <c r="B355" i="79"/>
  <c r="AJ46" i="79"/>
  <c r="AK46" i="79" s="1"/>
  <c r="B36" i="68"/>
  <c r="B56" i="90"/>
  <c r="B57" i="90"/>
  <c r="B21" i="68"/>
  <c r="C14" i="68"/>
  <c r="B18" i="68"/>
  <c r="C25" i="68"/>
  <c r="B57" i="102"/>
  <c r="B56" i="102"/>
  <c r="B356" i="80"/>
  <c r="AJ15" i="80"/>
  <c r="AK15" i="80" s="1"/>
  <c r="B56" i="75"/>
  <c r="B57" i="75"/>
  <c r="AJ15" i="93"/>
  <c r="AK15" i="93" s="1"/>
  <c r="B356" i="93"/>
  <c r="B356" i="73"/>
  <c r="AJ15" i="73"/>
  <c r="AK15" i="73" s="1"/>
  <c r="C20" i="68"/>
  <c r="AJ46" i="103"/>
  <c r="AK46" i="103" s="1"/>
  <c r="B355" i="103"/>
  <c r="B356" i="99"/>
  <c r="AJ15" i="99"/>
  <c r="AK15" i="99" s="1"/>
  <c r="B356" i="102"/>
  <c r="AJ15" i="102"/>
  <c r="AK15" i="102" s="1"/>
  <c r="AJ24" i="34"/>
  <c r="AK24" i="34" s="1"/>
  <c r="B53" i="34"/>
  <c r="C39" i="68"/>
  <c r="B57" i="86"/>
  <c r="B56" i="86"/>
  <c r="B356" i="91"/>
  <c r="AJ15" i="91"/>
  <c r="AK15" i="91" s="1"/>
  <c r="C19" i="68"/>
  <c r="B356" i="83"/>
  <c r="AJ15" i="83"/>
  <c r="AK15" i="83" s="1"/>
  <c r="AJ15" i="29"/>
  <c r="AK15" i="29" s="1"/>
  <c r="B356" i="29"/>
  <c r="B19" i="68"/>
  <c r="AJ15" i="76"/>
  <c r="AK15" i="76" s="1"/>
  <c r="B356" i="76"/>
  <c r="B56" i="95"/>
  <c r="B57" i="95"/>
  <c r="B53" i="29"/>
  <c r="AJ24" i="29"/>
  <c r="AK24" i="29" s="1"/>
  <c r="C22" i="68"/>
  <c r="AJ24" i="78"/>
  <c r="AK24" i="78" s="1"/>
  <c r="B53" i="78"/>
  <c r="B40" i="68"/>
  <c r="AJ46" i="82"/>
  <c r="AK46" i="82" s="1"/>
  <c r="B355" i="82"/>
  <c r="AJ24" i="90"/>
  <c r="AK24" i="90" s="1"/>
  <c r="B53" i="90"/>
  <c r="AJ46" i="95"/>
  <c r="AK46" i="95" s="1"/>
  <c r="B355" i="95"/>
  <c r="B356" i="89"/>
  <c r="AJ15" i="89"/>
  <c r="AK15" i="89" s="1"/>
  <c r="C36" i="68"/>
  <c r="B53" i="73"/>
  <c r="AJ24" i="73"/>
  <c r="AK24" i="73" s="1"/>
  <c r="B57" i="80"/>
  <c r="B56" i="80"/>
  <c r="B57" i="81"/>
  <c r="B56" i="81"/>
  <c r="AJ15" i="101"/>
  <c r="AK15" i="101" s="1"/>
  <c r="B356" i="101"/>
  <c r="C37" i="68"/>
  <c r="AJ46" i="92"/>
  <c r="AK46" i="92" s="1"/>
  <c r="B355" i="92"/>
  <c r="AJ15" i="96"/>
  <c r="AK15" i="96" s="1"/>
  <c r="B356" i="96"/>
  <c r="B41" i="68"/>
  <c r="C42" i="68"/>
  <c r="B355" i="102"/>
  <c r="AJ46" i="102"/>
  <c r="AK46" i="102" s="1"/>
  <c r="B53" i="101"/>
  <c r="AJ24" i="101"/>
  <c r="AK24" i="101" s="1"/>
  <c r="B355" i="76"/>
  <c r="AJ46" i="76"/>
  <c r="AK46" i="76" s="1"/>
  <c r="B56" i="101"/>
  <c r="B57" i="101"/>
  <c r="AJ24" i="79"/>
  <c r="AK24" i="79" s="1"/>
  <c r="B53" i="79"/>
  <c r="AJ46" i="75"/>
  <c r="AK46" i="75" s="1"/>
  <c r="B355" i="75"/>
  <c r="C16" i="68"/>
  <c r="C33" i="68"/>
  <c r="B57" i="91"/>
  <c r="B56" i="91"/>
  <c r="AJ15" i="34"/>
  <c r="AK15" i="34" s="1"/>
  <c r="B356" i="34"/>
  <c r="B37" i="68"/>
  <c r="B57" i="77"/>
  <c r="B56" i="77"/>
  <c r="C15" i="68"/>
  <c r="EJ9" i="68" s="1" a="1"/>
  <c r="EJ9" i="68" s="1"/>
  <c r="AJ24" i="74"/>
  <c r="AK24" i="74" s="1"/>
  <c r="B53" i="74"/>
  <c r="B355" i="91"/>
  <c r="AJ46" i="91"/>
  <c r="AK46" i="91" s="1"/>
  <c r="B20" i="68"/>
  <c r="B53" i="103"/>
  <c r="AJ24" i="103"/>
  <c r="AK24" i="103" s="1"/>
  <c r="B57" i="78"/>
  <c r="B56" i="78"/>
  <c r="B356" i="88"/>
  <c r="AJ15" i="88"/>
  <c r="AK15" i="88" s="1"/>
  <c r="AJ24" i="95"/>
  <c r="AK24" i="95" s="1"/>
  <c r="B53" i="95"/>
  <c r="B56" i="79"/>
  <c r="B57" i="79"/>
  <c r="AJ46" i="83"/>
  <c r="AK46" i="83" s="1"/>
  <c r="B355" i="83"/>
  <c r="AJ24" i="86"/>
  <c r="AK24" i="86" s="1"/>
  <c r="B53" i="86"/>
  <c r="C32" i="68"/>
  <c r="B53" i="85"/>
  <c r="AJ24" i="85"/>
  <c r="AK24" i="85" s="1"/>
  <c r="B33" i="68"/>
  <c r="B24" i="68"/>
  <c r="AJ24" i="77"/>
  <c r="AK24" i="77" s="1"/>
  <c r="B53" i="77"/>
  <c r="B53" i="82"/>
  <c r="AJ24" i="82"/>
  <c r="AK24" i="82" s="1"/>
  <c r="B355" i="78"/>
  <c r="AJ46" i="78"/>
  <c r="AK46" i="78" s="1"/>
  <c r="B53" i="99"/>
  <c r="AJ24" i="99"/>
  <c r="AK24" i="99" s="1"/>
  <c r="B56" i="100"/>
  <c r="B57" i="100"/>
  <c r="B356" i="78"/>
  <c r="AJ15" i="78"/>
  <c r="AK15" i="78" s="1"/>
  <c r="B26" i="68"/>
  <c r="C21" i="68"/>
  <c r="B53" i="100"/>
  <c r="AJ24" i="100"/>
  <c r="AK24" i="100" s="1"/>
  <c r="B57" i="88"/>
  <c r="B56" i="88"/>
  <c r="B355" i="100"/>
  <c r="AJ46" i="100"/>
  <c r="AK46" i="100" s="1"/>
  <c r="AJ15" i="90"/>
  <c r="AK15" i="90" s="1"/>
  <c r="B356" i="90"/>
  <c r="AJ24" i="94"/>
  <c r="AK24" i="94" s="1"/>
  <c r="B53" i="94"/>
  <c r="C18" i="68"/>
  <c r="B56" i="103"/>
  <c r="B57" i="103"/>
  <c r="B32" i="68"/>
  <c r="B355" i="29"/>
  <c r="AJ46" i="29"/>
  <c r="AK46" i="29" s="1"/>
  <c r="AJ24" i="93"/>
  <c r="AK24" i="93" s="1"/>
  <c r="B53" i="93"/>
  <c r="B355" i="85"/>
  <c r="AJ46" i="85"/>
  <c r="AK46" i="85" s="1"/>
  <c r="B14" i="68"/>
  <c r="B355" i="34"/>
  <c r="AJ46" i="34"/>
  <c r="AK46" i="34" s="1"/>
  <c r="B56" i="76"/>
  <c r="B57" i="76"/>
  <c r="B53" i="91"/>
  <c r="AJ24" i="91"/>
  <c r="AK24" i="91" s="1"/>
  <c r="AJ15" i="85"/>
  <c r="AK15" i="85" s="1"/>
  <c r="B356" i="85"/>
  <c r="C26" i="68"/>
  <c r="B53" i="102"/>
  <c r="AJ24" i="102"/>
  <c r="AK24" i="102" s="1"/>
  <c r="AJ46" i="94"/>
  <c r="AK46" i="94" s="1"/>
  <c r="B355" i="94"/>
  <c r="B17" i="68"/>
  <c r="AJ46" i="84"/>
  <c r="AK46" i="84" s="1"/>
  <c r="B355" i="84"/>
  <c r="AJ24" i="89"/>
  <c r="AK24" i="89" s="1"/>
  <c r="B53" i="89"/>
  <c r="C17" i="68"/>
  <c r="B31" i="68"/>
  <c r="B57" i="84"/>
  <c r="B56" i="84"/>
  <c r="B56" i="82"/>
  <c r="B57" i="82"/>
  <c r="AJ15" i="82"/>
  <c r="AK15" i="82" s="1"/>
  <c r="B356" i="82"/>
  <c r="AJ46" i="81"/>
  <c r="AK46" i="81" s="1"/>
  <c r="B355" i="81"/>
  <c r="B27" i="68"/>
  <c r="AJ46" i="93"/>
  <c r="AK46" i="93" s="1"/>
  <c r="B355" i="93"/>
  <c r="B56" i="96"/>
  <c r="B57" i="96"/>
  <c r="C23" i="68"/>
  <c r="AJ24" i="96"/>
  <c r="AK24" i="96" s="1"/>
  <c r="B53" i="96"/>
  <c r="B355" i="97"/>
  <c r="AJ46" i="97"/>
  <c r="AK46" i="97" s="1"/>
  <c r="AJ46" i="96"/>
  <c r="AK46" i="96" s="1"/>
  <c r="B355" i="96"/>
  <c r="B356" i="100"/>
  <c r="AJ15" i="100"/>
  <c r="AK15" i="100" s="1"/>
  <c r="B356" i="86"/>
  <c r="AJ15" i="86"/>
  <c r="AK15" i="86" s="1"/>
  <c r="C35" i="68"/>
  <c r="B53" i="83"/>
  <c r="AJ24" i="83"/>
  <c r="AK24" i="83" s="1"/>
  <c r="AJ46" i="90"/>
  <c r="AK46" i="90" s="1"/>
  <c r="B355" i="90"/>
  <c r="AJ15" i="95"/>
  <c r="AK15" i="95" s="1"/>
  <c r="B356" i="95"/>
  <c r="B57" i="97"/>
  <c r="B56" i="97"/>
  <c r="AJ15" i="79"/>
  <c r="AK15" i="79" s="1"/>
  <c r="B356" i="79"/>
  <c r="B355" i="80"/>
  <c r="AJ46" i="80"/>
  <c r="AK46" i="80" s="1"/>
  <c r="B34" i="68"/>
  <c r="AJ24" i="97"/>
  <c r="AK24" i="97" s="1"/>
  <c r="B53" i="97"/>
  <c r="AJ15" i="81"/>
  <c r="AK15" i="81" s="1"/>
  <c r="B356" i="81"/>
  <c r="B56" i="94"/>
  <c r="B57" i="94"/>
  <c r="C29" i="68"/>
  <c r="B57" i="73"/>
  <c r="B56" i="73"/>
  <c r="AJ24" i="81"/>
  <c r="AK24" i="81" s="1"/>
  <c r="B53" i="81"/>
  <c r="B356" i="84"/>
  <c r="AJ15" i="84"/>
  <c r="AK15" i="84" s="1"/>
  <c r="B28" i="68"/>
  <c r="B57" i="93"/>
  <c r="B56" i="93"/>
  <c r="B355" i="89"/>
  <c r="AJ46" i="89"/>
  <c r="AK46" i="89" s="1"/>
  <c r="B42" i="68"/>
  <c r="AJ46" i="77"/>
  <c r="AK46" i="77" s="1"/>
  <c r="B355" i="77"/>
  <c r="B57" i="92"/>
  <c r="B56" i="92"/>
  <c r="C44" i="68"/>
  <c r="C40" i="68"/>
  <c r="AJ24" i="88"/>
  <c r="AK24" i="88" s="1"/>
  <c r="B53" i="88"/>
  <c r="B30" i="68"/>
  <c r="C43" i="68"/>
  <c r="C31" i="68"/>
  <c r="B43" i="68"/>
  <c r="B56" i="99"/>
  <c r="B57" i="99"/>
  <c r="B355" i="99"/>
  <c r="AJ46" i="99"/>
  <c r="AK46" i="99" s="1"/>
  <c r="AJ15" i="77"/>
  <c r="AK15" i="77" s="1"/>
  <c r="B356" i="77"/>
  <c r="B29" i="68"/>
  <c r="B39" i="68"/>
  <c r="B35" i="68"/>
  <c r="B22" i="68"/>
  <c r="B44" i="68"/>
  <c r="C27" i="68"/>
  <c r="T7" i="68" s="1" a="1"/>
  <c r="T7" i="68" s="1"/>
  <c r="B356" i="103"/>
  <c r="AJ15" i="103"/>
  <c r="AK15" i="103" s="1"/>
  <c r="AJ24" i="84"/>
  <c r="AK24" i="84" s="1"/>
  <c r="B53" i="84"/>
  <c r="B356" i="74"/>
  <c r="AJ15" i="74"/>
  <c r="AK15" i="74" s="1"/>
  <c r="B356" i="94"/>
  <c r="AJ15" i="94"/>
  <c r="AK15" i="94" s="1"/>
  <c r="B56" i="29"/>
  <c r="B57" i="29"/>
  <c r="B16" i="68"/>
  <c r="AJ15" i="97"/>
  <c r="AK15" i="97" s="1"/>
  <c r="B356" i="97"/>
  <c r="C34" i="68"/>
  <c r="B57" i="74"/>
  <c r="B56" i="74"/>
  <c r="AJ24" i="75"/>
  <c r="AK24" i="75" s="1"/>
  <c r="B53" i="75"/>
  <c r="B356" i="75"/>
  <c r="AJ15" i="75"/>
  <c r="AK15" i="75" s="1"/>
  <c r="B25" i="68"/>
  <c r="B355" i="88"/>
  <c r="AJ46" i="88"/>
  <c r="AK46" i="88" s="1"/>
  <c r="AJ24" i="80"/>
  <c r="AK24" i="80" s="1"/>
  <c r="B53" i="80"/>
  <c r="B38" i="68"/>
  <c r="B355" i="74"/>
  <c r="AJ46" i="74"/>
  <c r="AK46" i="74" s="1"/>
  <c r="C30" i="68"/>
  <c r="B15" i="68"/>
  <c r="C28" i="68"/>
  <c r="B57" i="34"/>
  <c r="B56" i="34"/>
  <c r="B356" i="92"/>
  <c r="AJ15" i="92"/>
  <c r="AK15" i="92" s="1"/>
  <c r="AJ46" i="86"/>
  <c r="AK46" i="86" s="1"/>
  <c r="B355" i="86"/>
  <c r="B355" i="73"/>
  <c r="AJ46" i="73"/>
  <c r="AK46" i="73" s="1"/>
  <c r="B53" i="76"/>
  <c r="AJ24" i="76"/>
  <c r="AK24" i="76" s="1"/>
  <c r="B23" i="68"/>
  <c r="I284" i="34" a="1"/>
  <c r="I284" i="34" s="1"/>
  <c r="FI3" i="68" a="1"/>
  <c r="FI3" i="68" s="1"/>
  <c r="D286" i="73" a="1"/>
  <c r="D286" i="73" s="1"/>
  <c r="FD8" i="68" a="1"/>
  <c r="FD8" i="68" s="1"/>
  <c r="AI2" i="68" a="1"/>
  <c r="AI2" i="68" s="1"/>
  <c r="DA10" i="68" a="1"/>
  <c r="DA10" i="68" s="1"/>
  <c r="FI4" i="68" a="1"/>
  <c r="FI4" i="68" s="1"/>
  <c r="I285" i="73" a="1"/>
  <c r="I285" i="73" s="1"/>
  <c r="H285" i="91" a="1"/>
  <c r="H285" i="91" s="1"/>
  <c r="AX5" i="68" a="1"/>
  <c r="AX5" i="68" s="1"/>
  <c r="Y3" i="68" a="1"/>
  <c r="Y3" i="68" s="1"/>
  <c r="G280" i="81" a="1"/>
  <c r="G280" i="81" s="1"/>
  <c r="H283" i="103" a="1"/>
  <c r="H283" i="103" s="1"/>
  <c r="D286" i="101" a="1"/>
  <c r="D286" i="101" s="1"/>
  <c r="F286" i="84" a="1"/>
  <c r="F286" i="84" s="1"/>
  <c r="D282" i="93" a="1"/>
  <c r="D282" i="93" s="1"/>
  <c r="H281" i="81" a="1"/>
  <c r="H281" i="81" s="1"/>
  <c r="G284" i="93" a="1"/>
  <c r="G284" i="93" s="1"/>
  <c r="D284" i="88" a="1"/>
  <c r="D284" i="88" s="1"/>
  <c r="D285" i="34" a="1"/>
  <c r="D285" i="34" s="1"/>
  <c r="I280" i="91" a="1"/>
  <c r="I280" i="91" s="1"/>
  <c r="D310" i="104" a="1"/>
  <c r="D310" i="104" s="1"/>
  <c r="H303" i="104" a="1"/>
  <c r="H303" i="104" s="1"/>
  <c r="H287" i="104" a="1"/>
  <c r="H287" i="104" s="1"/>
  <c r="G284" i="104" a="1"/>
  <c r="G284" i="104" s="1"/>
  <c r="F281" i="104" a="1"/>
  <c r="F281" i="104" s="1"/>
  <c r="D284" i="73" a="1"/>
  <c r="D284" i="73" s="1"/>
  <c r="D283" i="73" a="1"/>
  <c r="D283" i="73" s="1"/>
  <c r="F285" i="73" a="1"/>
  <c r="F285" i="73" s="1"/>
  <c r="D281" i="73" a="1"/>
  <c r="D281" i="73" s="1"/>
  <c r="H282" i="78" a="1"/>
  <c r="H282" i="78" s="1"/>
  <c r="F284" i="86" a="1"/>
  <c r="F284" i="86" s="1"/>
  <c r="H281" i="100" a="1"/>
  <c r="H281" i="100" s="1"/>
  <c r="F283" i="94" a="1"/>
  <c r="F283" i="94" s="1"/>
  <c r="DU5" i="68" a="1"/>
  <c r="DU5" i="68" s="1"/>
  <c r="D286" i="99" a="1"/>
  <c r="D286" i="99" s="1"/>
  <c r="H282" i="96" a="1"/>
  <c r="H282" i="96" s="1"/>
  <c r="D284" i="83" a="1"/>
  <c r="D284" i="83" s="1"/>
  <c r="G281" i="83" a="1"/>
  <c r="G281" i="83" s="1"/>
  <c r="F284" i="96" a="1"/>
  <c r="F284" i="96" s="1"/>
  <c r="E10" i="68" a="1"/>
  <c r="E10" i="68" s="1"/>
  <c r="CB5" i="68" a="1"/>
  <c r="CB5" i="68" s="1"/>
  <c r="BM3" i="68" a="1"/>
  <c r="BM3" i="68" s="1"/>
  <c r="G285" i="88" a="1"/>
  <c r="G285" i="88" s="1"/>
  <c r="FN4" i="68" a="1"/>
  <c r="FN4" i="68" s="1"/>
  <c r="H280" i="77" a="1"/>
  <c r="H280" i="77" s="1"/>
  <c r="G283" i="103" a="1"/>
  <c r="G283" i="103" s="1"/>
  <c r="I285" i="84" a="1"/>
  <c r="I285" i="84" s="1"/>
  <c r="D282" i="84" a="1"/>
  <c r="D282" i="84" s="1"/>
  <c r="D282" i="88" a="1"/>
  <c r="D282" i="88" s="1"/>
  <c r="H283" i="91" a="1"/>
  <c r="H283" i="91" s="1"/>
  <c r="G280" i="75" a="1"/>
  <c r="G280" i="75" s="1"/>
  <c r="Y8" i="68" a="1"/>
  <c r="Y8" i="68" s="1"/>
  <c r="I284" i="103" a="1"/>
  <c r="I284" i="103" s="1"/>
  <c r="Y2" i="68" a="1"/>
  <c r="Y2" i="68" s="1"/>
  <c r="I280" i="97" a="1"/>
  <c r="I280" i="97" s="1"/>
  <c r="D281" i="101" a="1"/>
  <c r="D281" i="101" s="1"/>
  <c r="FN1" i="68" a="1"/>
  <c r="FN1" i="68" s="1"/>
  <c r="T1" i="68" a="1"/>
  <c r="T1" i="68" s="1"/>
  <c r="E5" i="68" a="1"/>
  <c r="E5" i="68" s="1"/>
  <c r="CQ7" i="68" a="1"/>
  <c r="CQ7" i="68" s="1"/>
  <c r="H282" i="100" a="1"/>
  <c r="H282" i="100" s="1"/>
  <c r="D286" i="93" a="1"/>
  <c r="D286" i="93" s="1"/>
  <c r="I281" i="86" a="1"/>
  <c r="I281" i="86" s="1"/>
  <c r="G281" i="103" a="1"/>
  <c r="G281" i="103" s="1"/>
  <c r="I282" i="88" a="1"/>
  <c r="I282" i="88" s="1"/>
  <c r="CQ1" i="68" a="1"/>
  <c r="CQ1" i="68" s="1"/>
  <c r="H280" i="76" a="1"/>
  <c r="H280" i="76" s="1"/>
  <c r="H280" i="34" a="1"/>
  <c r="H280" i="34" s="1"/>
  <c r="F280" i="82" a="1"/>
  <c r="F280" i="82" s="1"/>
  <c r="D282" i="76" a="1"/>
  <c r="D282" i="76" s="1"/>
  <c r="D280" i="78" a="1"/>
  <c r="D280" i="78" s="1"/>
  <c r="GC4" i="68" a="1"/>
  <c r="GC4" i="68" s="1"/>
  <c r="DU4" i="68" a="1"/>
  <c r="DU4" i="68" s="1"/>
  <c r="I280" i="78" a="1"/>
  <c r="I280" i="78" s="1"/>
  <c r="I283" i="94" a="1"/>
  <c r="I283" i="94" s="1"/>
  <c r="I282" i="83" a="1"/>
  <c r="I282" i="83" s="1"/>
  <c r="F281" i="90" a="1"/>
  <c r="F281" i="90" s="1"/>
  <c r="H280" i="92" a="1"/>
  <c r="H280" i="92" s="1"/>
  <c r="F285" i="92" a="1"/>
  <c r="F285" i="92" s="1"/>
  <c r="G284" i="86" a="1"/>
  <c r="G284" i="86" s="1"/>
  <c r="I282" i="90" a="1"/>
  <c r="I282" i="90" s="1"/>
  <c r="F282" i="100" a="1"/>
  <c r="F282" i="100" s="1"/>
  <c r="D283" i="89" a="1"/>
  <c r="D283" i="89" s="1"/>
  <c r="F282" i="101" a="1"/>
  <c r="F282" i="101" s="1"/>
  <c r="G285" i="103" a="1"/>
  <c r="G285" i="103" s="1"/>
  <c r="FI5" i="68" a="1"/>
  <c r="FI5" i="68" s="1"/>
  <c r="F286" i="103" a="1"/>
  <c r="F286" i="103" s="1"/>
  <c r="EE10" i="68" a="1"/>
  <c r="EE10" i="68" s="1"/>
  <c r="I283" i="76" a="1"/>
  <c r="I283" i="76" s="1"/>
  <c r="I281" i="83" a="1"/>
  <c r="I281" i="83" s="1"/>
  <c r="D285" i="103" a="1"/>
  <c r="D285" i="103" s="1"/>
  <c r="D284" i="86" a="1"/>
  <c r="D284" i="86" s="1"/>
  <c r="AN9" i="68" a="1"/>
  <c r="AN9" i="68" s="1"/>
  <c r="F285" i="34" a="1"/>
  <c r="F285" i="34" s="1"/>
  <c r="I282" i="29" a="1"/>
  <c r="I282" i="29" s="1"/>
  <c r="O9" i="68" a="1"/>
  <c r="O9" i="68" s="1"/>
  <c r="I280" i="102" a="1"/>
  <c r="I280" i="102" s="1"/>
  <c r="I280" i="94" a="1"/>
  <c r="I280" i="94" s="1"/>
  <c r="EY3" i="68" a="1"/>
  <c r="EY3" i="68" s="1"/>
  <c r="BW7" i="68" a="1"/>
  <c r="BW7" i="68" s="1"/>
  <c r="D281" i="86" a="1"/>
  <c r="D281" i="86" s="1"/>
  <c r="I283" i="86" a="1"/>
  <c r="I283" i="86" s="1"/>
  <c r="T3" i="68" a="1"/>
  <c r="T3" i="68" s="1"/>
  <c r="G283" i="82" a="1"/>
  <c r="G283" i="82" s="1"/>
  <c r="D281" i="85" a="1"/>
  <c r="D281" i="85" s="1"/>
  <c r="I285" i="95" a="1"/>
  <c r="I285" i="95" s="1"/>
  <c r="D283" i="86" a="1"/>
  <c r="D283" i="86" s="1"/>
  <c r="I282" i="97" a="1"/>
  <c r="I282" i="97" s="1"/>
  <c r="GC10" i="68" a="1"/>
  <c r="GC10" i="68" s="1"/>
  <c r="G283" i="85" a="1"/>
  <c r="G283" i="85" s="1"/>
  <c r="D281" i="79" a="1"/>
  <c r="D281" i="79" s="1"/>
  <c r="H285" i="86" a="1"/>
  <c r="H285" i="86" s="1"/>
  <c r="CL3" i="68" a="1"/>
  <c r="CL3" i="68" s="1"/>
  <c r="F284" i="75" a="1"/>
  <c r="F284" i="75" s="1"/>
  <c r="EY7" i="68" a="1"/>
  <c r="EY7" i="68" s="1"/>
  <c r="BH10" i="68" a="1"/>
  <c r="BH10" i="68" s="1"/>
  <c r="H282" i="83" a="1"/>
  <c r="H282" i="83" s="1"/>
  <c r="D280" i="91" a="1"/>
  <c r="D280" i="91" s="1"/>
  <c r="I283" i="89" a="1"/>
  <c r="I283" i="89" s="1"/>
  <c r="I280" i="83" a="1"/>
  <c r="I280" i="83" s="1"/>
  <c r="BR5" i="68" a="1"/>
  <c r="BR5" i="68" s="1"/>
  <c r="F285" i="89" a="1"/>
  <c r="F285" i="89" s="1"/>
  <c r="DZ7" i="68" a="1"/>
  <c r="DZ7" i="68" s="1"/>
  <c r="D285" i="86" a="1"/>
  <c r="D285" i="86" s="1"/>
  <c r="F281" i="79" a="1"/>
  <c r="F281" i="79" s="1"/>
  <c r="D285" i="88" a="1"/>
  <c r="D285" i="88" s="1"/>
  <c r="DP10" i="68" a="1"/>
  <c r="DP10" i="68" s="1"/>
  <c r="CB7" i="68" a="1"/>
  <c r="CB7" i="68" s="1"/>
  <c r="I283" i="78" a="1"/>
  <c r="I283" i="78" s="1"/>
  <c r="H281" i="92" a="1"/>
  <c r="H281" i="92" s="1"/>
  <c r="DU3" i="68" a="1"/>
  <c r="DU3" i="68" s="1"/>
  <c r="F282" i="89" a="1"/>
  <c r="F282" i="89" s="1"/>
  <c r="G283" i="86" a="1"/>
  <c r="G283" i="86" s="1"/>
  <c r="F285" i="84" a="1"/>
  <c r="F285" i="84" s="1"/>
  <c r="D284" i="97" a="1"/>
  <c r="D284" i="97" s="1"/>
  <c r="EE8" i="68" a="1"/>
  <c r="EE8" i="68" s="1"/>
  <c r="D282" i="99" a="1"/>
  <c r="D282" i="99" s="1"/>
  <c r="I285" i="103" a="1"/>
  <c r="I285" i="103" s="1"/>
  <c r="G283" i="74" a="1"/>
  <c r="G283" i="74" s="1"/>
  <c r="DF8" i="68" a="1"/>
  <c r="DF8" i="68" s="1"/>
  <c r="G282" i="89" a="1"/>
  <c r="G282" i="89" s="1"/>
  <c r="G284" i="29" a="1"/>
  <c r="G284" i="29" s="1"/>
  <c r="I280" i="85" a="1"/>
  <c r="I280" i="85" s="1"/>
  <c r="H281" i="88" a="1"/>
  <c r="H281" i="88" s="1"/>
  <c r="BR3" i="68" a="1"/>
  <c r="BR3" i="68" s="1"/>
  <c r="G284" i="84" a="1"/>
  <c r="G284" i="84" s="1"/>
  <c r="CG5" i="68" a="1"/>
  <c r="CG5" i="68" s="1"/>
  <c r="D281" i="34" a="1"/>
  <c r="D281" i="34" s="1"/>
  <c r="F286" i="97" a="1"/>
  <c r="F286" i="97" s="1"/>
  <c r="BR1" i="68" a="1"/>
  <c r="BR1" i="68" s="1"/>
  <c r="G283" i="29" a="1"/>
  <c r="G283" i="29" s="1"/>
  <c r="D283" i="83" a="1"/>
  <c r="D283" i="83" s="1"/>
  <c r="G282" i="81" a="1"/>
  <c r="G282" i="81" s="1"/>
  <c r="G282" i="79" a="1"/>
  <c r="G282" i="79" s="1"/>
  <c r="I285" i="78" a="1"/>
  <c r="I285" i="78" s="1"/>
  <c r="F286" i="29" a="1"/>
  <c r="F286" i="29" s="1"/>
  <c r="FS8" i="68" a="1"/>
  <c r="FS8" i="68" s="1"/>
  <c r="G283" i="88" a="1"/>
  <c r="G283" i="88" s="1"/>
  <c r="H285" i="80" a="1"/>
  <c r="H285" i="80" s="1"/>
  <c r="F286" i="92" a="1"/>
  <c r="F286" i="92" s="1"/>
  <c r="D286" i="29" a="1"/>
  <c r="D286" i="29" s="1"/>
  <c r="D283" i="85" a="1"/>
  <c r="D283" i="85" s="1"/>
  <c r="I283" i="34" a="1"/>
  <c r="I283" i="34" s="1"/>
  <c r="F282" i="79" a="1"/>
  <c r="F282" i="79" s="1"/>
  <c r="H285" i="88" a="1"/>
  <c r="H285" i="88" s="1"/>
  <c r="I285" i="34" a="1"/>
  <c r="I285" i="34" s="1"/>
  <c r="I283" i="82" a="1"/>
  <c r="I283" i="82" s="1"/>
  <c r="F280" i="80" a="1"/>
  <c r="F280" i="80" s="1"/>
  <c r="H281" i="79" a="1"/>
  <c r="H281" i="79" s="1"/>
  <c r="F286" i="101" a="1"/>
  <c r="F286" i="101" s="1"/>
  <c r="F283" i="86" a="1"/>
  <c r="F283" i="86" s="1"/>
  <c r="F282" i="94" a="1"/>
  <c r="F282" i="94" s="1"/>
  <c r="F282" i="81" a="1"/>
  <c r="F282" i="81" s="1"/>
  <c r="G282" i="82" a="1"/>
  <c r="G282" i="82" s="1"/>
  <c r="F283" i="77" a="1"/>
  <c r="F283" i="77" s="1"/>
  <c r="I285" i="93" a="1"/>
  <c r="I285" i="93" s="1"/>
  <c r="I281" i="96" a="1"/>
  <c r="I281" i="96" s="1"/>
  <c r="F280" i="96" a="1"/>
  <c r="F280" i="96" s="1"/>
  <c r="D283" i="79" a="1"/>
  <c r="D283" i="79" s="1"/>
  <c r="I282" i="75" a="1"/>
  <c r="I282" i="75" s="1"/>
  <c r="F281" i="75" a="1"/>
  <c r="F281" i="75" s="1"/>
  <c r="G283" i="77" a="1"/>
  <c r="G283" i="77" s="1"/>
  <c r="D285" i="82" a="1"/>
  <c r="D285" i="82" s="1"/>
  <c r="F283" i="76" a="1"/>
  <c r="F283" i="76" s="1"/>
  <c r="F282" i="83" a="1"/>
  <c r="F282" i="83" s="1"/>
  <c r="F282" i="92" a="1"/>
  <c r="F282" i="92" s="1"/>
  <c r="F286" i="81" a="1"/>
  <c r="F286" i="81" s="1"/>
  <c r="F282" i="82" a="1"/>
  <c r="F282" i="82" s="1"/>
  <c r="F284" i="77" a="1"/>
  <c r="F284" i="77" s="1"/>
  <c r="I285" i="75" a="1"/>
  <c r="I285" i="75" s="1"/>
  <c r="H281" i="77" a="1"/>
  <c r="H281" i="77" s="1"/>
  <c r="I285" i="77" a="1"/>
  <c r="I285" i="77" s="1"/>
  <c r="D282" i="34" a="1"/>
  <c r="D282" i="34" s="1"/>
  <c r="F283" i="74" a="1"/>
  <c r="F283" i="74" s="1"/>
  <c r="G281" i="79" a="1"/>
  <c r="G281" i="79" s="1"/>
  <c r="G280" i="79" a="1"/>
  <c r="G280" i="79" s="1"/>
  <c r="I281" i="80" a="1"/>
  <c r="I281" i="80" s="1"/>
  <c r="H285" i="34" a="1"/>
  <c r="H285" i="34" s="1"/>
  <c r="I285" i="80" a="1"/>
  <c r="I285" i="80" s="1"/>
  <c r="I284" i="79" a="1"/>
  <c r="I284" i="79" s="1"/>
  <c r="G285" i="78" a="1"/>
  <c r="G285" i="78" s="1"/>
  <c r="G282" i="77" a="1"/>
  <c r="G282" i="77" s="1"/>
  <c r="G285" i="102" a="1"/>
  <c r="G285" i="102" s="1"/>
  <c r="H281" i="78" a="1"/>
  <c r="H281" i="78" s="1"/>
  <c r="H283" i="75" a="1"/>
  <c r="H283" i="75" s="1"/>
  <c r="I281" i="82" a="1"/>
  <c r="I281" i="82" s="1"/>
  <c r="I285" i="81" a="1"/>
  <c r="I285" i="81" s="1"/>
  <c r="G282" i="74" a="1"/>
  <c r="G282" i="74" s="1"/>
  <c r="H285" i="90" a="1"/>
  <c r="H285" i="90" s="1"/>
  <c r="H282" i="34" a="1"/>
  <c r="H282" i="34" s="1"/>
  <c r="D284" i="79" a="1"/>
  <c r="D284" i="79" s="1"/>
  <c r="G282" i="78" a="1"/>
  <c r="G282" i="78" s="1"/>
  <c r="F282" i="77" a="1"/>
  <c r="F282" i="77" s="1"/>
  <c r="G285" i="80" a="1"/>
  <c r="G285" i="80" s="1"/>
  <c r="I281" i="75" a="1"/>
  <c r="I281" i="75" s="1"/>
  <c r="D282" i="95" a="1"/>
  <c r="D282" i="95" s="1"/>
  <c r="D286" i="94" a="1"/>
  <c r="D286" i="94" s="1"/>
  <c r="D286" i="84" a="1"/>
  <c r="D286" i="84" s="1"/>
  <c r="D286" i="76" a="1"/>
  <c r="D286" i="76" s="1"/>
  <c r="G285" i="74" a="1"/>
  <c r="G285" i="74" s="1"/>
  <c r="F286" i="73" a="1"/>
  <c r="F286" i="73" s="1"/>
  <c r="H285" i="73" a="1"/>
  <c r="H285" i="73" s="1"/>
  <c r="D286" i="102" a="1"/>
  <c r="D286" i="102" s="1"/>
  <c r="F286" i="95" a="1"/>
  <c r="F286" i="95" s="1"/>
  <c r="D283" i="81" a="1"/>
  <c r="D283" i="81" s="1"/>
  <c r="I282" i="78" a="1"/>
  <c r="I282" i="78" s="1"/>
  <c r="D283" i="34" a="1"/>
  <c r="D283" i="34" s="1"/>
  <c r="D282" i="77" a="1"/>
  <c r="D282" i="77" s="1"/>
  <c r="H282" i="80" a="1"/>
  <c r="H282" i="80" s="1"/>
  <c r="H282" i="91" a="1"/>
  <c r="H282" i="91" s="1"/>
  <c r="F286" i="96" a="1"/>
  <c r="F286" i="96" s="1"/>
  <c r="H283" i="34" a="1"/>
  <c r="H283" i="34" s="1"/>
  <c r="F286" i="78" a="1"/>
  <c r="F286" i="78" s="1"/>
  <c r="I281" i="29" a="1"/>
  <c r="I281" i="29" s="1"/>
  <c r="G283" i="89" a="1"/>
  <c r="G283" i="89" s="1"/>
  <c r="F283" i="78" a="1"/>
  <c r="F283" i="78" s="1"/>
  <c r="F286" i="77" a="1"/>
  <c r="F286" i="77" s="1"/>
  <c r="G282" i="76" a="1"/>
  <c r="G282" i="76" s="1"/>
  <c r="H282" i="77" a="1"/>
  <c r="H282" i="77" s="1"/>
  <c r="G283" i="78" a="1"/>
  <c r="G283" i="78" s="1"/>
  <c r="H285" i="76" a="1"/>
  <c r="H285" i="76" s="1"/>
  <c r="H281" i="80" a="1"/>
  <c r="H281" i="80" s="1"/>
  <c r="I282" i="76" a="1"/>
  <c r="I282" i="76" s="1"/>
  <c r="I285" i="74" a="1"/>
  <c r="I285" i="74" s="1"/>
  <c r="F281" i="76" a="1"/>
  <c r="F281" i="76" s="1"/>
  <c r="I287" i="102" a="1"/>
  <c r="I287" i="102" s="1"/>
  <c r="H287" i="102" a="1"/>
  <c r="H287" i="102" s="1"/>
  <c r="F288" i="103" a="1"/>
  <c r="F288" i="103" s="1"/>
  <c r="I287" i="103" a="1"/>
  <c r="I287" i="103" s="1"/>
  <c r="D288" i="103" a="1"/>
  <c r="D288" i="103" s="1"/>
  <c r="G287" i="103" a="1"/>
  <c r="G287" i="103" s="1"/>
  <c r="I287" i="99" a="1"/>
  <c r="I287" i="99" s="1"/>
  <c r="G287" i="73" a="1"/>
  <c r="G287" i="73" s="1"/>
  <c r="H287" i="86" a="1"/>
  <c r="H287" i="86" s="1"/>
  <c r="I287" i="101" a="1"/>
  <c r="I287" i="101" s="1"/>
  <c r="I287" i="100" a="1"/>
  <c r="I287" i="100" s="1"/>
  <c r="G287" i="80" a="1"/>
  <c r="G287" i="80" s="1"/>
  <c r="D288" i="34" a="1"/>
  <c r="D288" i="34" s="1"/>
  <c r="H287" i="89" a="1"/>
  <c r="H287" i="89" s="1"/>
  <c r="G287" i="89" a="1"/>
  <c r="G287" i="89" s="1"/>
  <c r="H287" i="101" a="1"/>
  <c r="H287" i="101" s="1"/>
  <c r="H287" i="99" a="1"/>
  <c r="H287" i="99" s="1"/>
  <c r="G287" i="79" a="1"/>
  <c r="G287" i="79" s="1"/>
  <c r="F288" i="99" a="1"/>
  <c r="F288" i="99" s="1"/>
  <c r="G287" i="77" a="1"/>
  <c r="G287" i="77" s="1"/>
  <c r="G287" i="83" a="1"/>
  <c r="G287" i="83" s="1"/>
  <c r="H287" i="100" a="1"/>
  <c r="H287" i="100" s="1"/>
  <c r="G287" i="29" a="1"/>
  <c r="G287" i="29" s="1"/>
  <c r="G287" i="75" a="1"/>
  <c r="G287" i="75" s="1"/>
  <c r="F288" i="100" a="1"/>
  <c r="F288" i="100" s="1"/>
  <c r="G287" i="101" a="1"/>
  <c r="G287" i="101" s="1"/>
  <c r="G287" i="84" a="1"/>
  <c r="G287" i="84" s="1"/>
  <c r="F288" i="73" a="1"/>
  <c r="F288" i="73" s="1"/>
  <c r="D288" i="94" a="1"/>
  <c r="D288" i="94" s="1"/>
  <c r="F288" i="93" a="1"/>
  <c r="F288" i="93" s="1"/>
  <c r="I287" i="29" a="1"/>
  <c r="I287" i="29" s="1"/>
  <c r="F288" i="79" a="1"/>
  <c r="F288" i="79" s="1"/>
  <c r="D288" i="29" a="1"/>
  <c r="D288" i="29" s="1"/>
  <c r="G287" i="93" a="1"/>
  <c r="G287" i="93" s="1"/>
  <c r="F288" i="91" a="1"/>
  <c r="F288" i="91" s="1"/>
  <c r="D288" i="81" a="1"/>
  <c r="D288" i="81" s="1"/>
  <c r="I287" i="79" a="1"/>
  <c r="I287" i="79" s="1"/>
  <c r="C10" i="69" a="1"/>
  <c r="C10" i="69" s="1"/>
  <c r="I287" i="80" a="1"/>
  <c r="I287" i="80" s="1"/>
  <c r="H287" i="74" a="1"/>
  <c r="H287" i="74" s="1"/>
  <c r="D288" i="77" a="1"/>
  <c r="D288" i="77" s="1"/>
  <c r="F288" i="34" a="1"/>
  <c r="F288" i="34" s="1"/>
  <c r="H287" i="34" a="1"/>
  <c r="H287" i="34" s="1"/>
  <c r="D288" i="84" a="1"/>
  <c r="D288" i="84" s="1"/>
  <c r="G287" i="97" a="1"/>
  <c r="G287" i="97" s="1"/>
  <c r="H287" i="92" a="1"/>
  <c r="H287" i="92" s="1"/>
  <c r="D288" i="93" a="1"/>
  <c r="D288" i="93" s="1"/>
  <c r="I287" i="96" a="1"/>
  <c r="I287" i="96" s="1"/>
  <c r="D288" i="79" a="1"/>
  <c r="D288" i="79" s="1"/>
  <c r="H287" i="85" a="1"/>
  <c r="H287" i="85" s="1"/>
  <c r="F288" i="96" a="1"/>
  <c r="F288" i="96" s="1"/>
  <c r="D288" i="76" a="1"/>
  <c r="D288" i="76" s="1"/>
  <c r="D288" i="82" a="1"/>
  <c r="D288" i="82" s="1"/>
  <c r="F288" i="89" a="1"/>
  <c r="F288" i="89" s="1"/>
  <c r="H287" i="94" a="1"/>
  <c r="H287" i="94" s="1"/>
  <c r="I287" i="74" a="1"/>
  <c r="I287" i="74" s="1"/>
  <c r="I287" i="78" a="1"/>
  <c r="I287" i="78" s="1"/>
  <c r="D288" i="89" a="1"/>
  <c r="D288" i="89" s="1"/>
  <c r="I287" i="76" a="1"/>
  <c r="I287" i="76" s="1"/>
  <c r="H287" i="73" a="1"/>
  <c r="H287" i="73" s="1"/>
  <c r="I287" i="83" a="1"/>
  <c r="I287" i="83" s="1"/>
  <c r="G287" i="94" a="1"/>
  <c r="G287" i="94" s="1"/>
  <c r="H287" i="83" a="1"/>
  <c r="H287" i="83" s="1"/>
  <c r="D288" i="78" a="1"/>
  <c r="D288" i="78" s="1"/>
  <c r="H287" i="78" a="1"/>
  <c r="H287" i="78" s="1"/>
  <c r="F288" i="90" a="1"/>
  <c r="F288" i="90" s="1"/>
  <c r="I287" i="89" a="1"/>
  <c r="I287" i="89" s="1"/>
  <c r="H287" i="84" a="1"/>
  <c r="H287" i="84" s="1"/>
  <c r="I287" i="84" a="1"/>
  <c r="I287" i="84" s="1"/>
  <c r="D288" i="96" a="1"/>
  <c r="D288" i="96" s="1"/>
  <c r="F288" i="97" a="1"/>
  <c r="F288" i="97" s="1"/>
  <c r="I287" i="75" a="1"/>
  <c r="I287" i="75" s="1"/>
  <c r="D288" i="73" a="1"/>
  <c r="D288" i="73" s="1"/>
  <c r="D10" i="69" a="1"/>
  <c r="D10" i="69" s="1"/>
  <c r="G287" i="96" a="1"/>
  <c r="G287" i="96" s="1"/>
  <c r="G287" i="92" a="1"/>
  <c r="G287" i="92" s="1"/>
  <c r="I287" i="95" a="1"/>
  <c r="I287" i="95" s="1"/>
  <c r="H287" i="91" a="1"/>
  <c r="H287" i="91" s="1"/>
  <c r="H287" i="93" a="1"/>
  <c r="H287" i="93" s="1"/>
  <c r="D288" i="91" a="1"/>
  <c r="D288" i="91" s="1"/>
  <c r="E9" i="69"/>
  <c r="AT12" i="68"/>
  <c r="AU12" i="68"/>
  <c r="AV12" i="68" s="1"/>
  <c r="BB12" i="68"/>
  <c r="AX12" i="68"/>
  <c r="H287" i="90" a="1"/>
  <c r="H287" i="90" s="1"/>
  <c r="F288" i="88" a="1"/>
  <c r="F288" i="88" s="1"/>
  <c r="D288" i="85" a="1"/>
  <c r="D288" i="85" s="1"/>
  <c r="B10" i="69" a="1"/>
  <c r="B10" i="69" s="1"/>
  <c r="G283" i="81" l="1" a="1"/>
  <c r="G283" i="81" s="1"/>
  <c r="AI10" i="68" a="1"/>
  <c r="AI10" i="68" s="1"/>
  <c r="F286" i="74" a="1"/>
  <c r="F286" i="74" s="1"/>
  <c r="CV9" i="68" a="1"/>
  <c r="CV9" i="68" s="1"/>
  <c r="D286" i="80" a="1"/>
  <c r="D286" i="80" s="1"/>
  <c r="BW5" i="68" a="1"/>
  <c r="BW5" i="68" s="1"/>
  <c r="D281" i="91" a="1"/>
  <c r="D281" i="91" s="1"/>
  <c r="I281" i="99" a="1"/>
  <c r="I281" i="99" s="1"/>
  <c r="EO1" i="68" a="1"/>
  <c r="EO1" i="68" s="1"/>
  <c r="D280" i="79" a="1"/>
  <c r="D280" i="79" s="1"/>
  <c r="EO5" i="68" a="1"/>
  <c r="EO5" i="68" s="1"/>
  <c r="F280" i="83" a="1"/>
  <c r="F280" i="83" s="1"/>
  <c r="I285" i="86" a="1"/>
  <c r="I285" i="86" s="1"/>
  <c r="FD7" i="68" a="1"/>
  <c r="FD7" i="68" s="1"/>
  <c r="DZ10" i="68" a="1"/>
  <c r="DZ10" i="68" s="1"/>
  <c r="G282" i="97" a="1"/>
  <c r="G282" i="97" s="1"/>
  <c r="F284" i="90" a="1"/>
  <c r="F284" i="90" s="1"/>
  <c r="G285" i="99" a="1"/>
  <c r="G285" i="99" s="1"/>
  <c r="D285" i="93" a="1"/>
  <c r="D285" i="93" s="1"/>
  <c r="D282" i="79" a="1"/>
  <c r="D282" i="79" s="1"/>
  <c r="D285" i="80" a="1"/>
  <c r="D285" i="80" s="1"/>
  <c r="D284" i="96" a="1"/>
  <c r="D284" i="96" s="1"/>
  <c r="FN10" i="68" a="1"/>
  <c r="FN10" i="68" s="1"/>
  <c r="G280" i="103" a="1"/>
  <c r="G280" i="103" s="1"/>
  <c r="H280" i="100" a="1"/>
  <c r="H280" i="100" s="1"/>
  <c r="D282" i="97" a="1"/>
  <c r="D282" i="97" s="1"/>
  <c r="DZ5" i="68" a="1"/>
  <c r="DZ5" i="68" s="1"/>
  <c r="H280" i="78" a="1"/>
  <c r="H280" i="78" s="1"/>
  <c r="EO2" i="68" a="1"/>
  <c r="EO2" i="68" s="1"/>
  <c r="I280" i="76" a="1"/>
  <c r="I280" i="76" s="1"/>
  <c r="H280" i="80" a="1"/>
  <c r="H280" i="80" s="1"/>
  <c r="DK8" i="68" a="1"/>
  <c r="DK8" i="68" s="1"/>
  <c r="F283" i="101" a="1"/>
  <c r="F283" i="101" s="1"/>
  <c r="FN7" i="68" a="1"/>
  <c r="FN7" i="68" s="1"/>
  <c r="D283" i="88" a="1"/>
  <c r="D283" i="88" s="1"/>
  <c r="D284" i="80" a="1"/>
  <c r="D284" i="80" s="1"/>
  <c r="G280" i="84" a="1"/>
  <c r="G280" i="84" s="1"/>
  <c r="D281" i="76" a="1"/>
  <c r="D281" i="76" s="1"/>
  <c r="EJ3" i="68" a="1"/>
  <c r="EJ3" i="68" s="1"/>
  <c r="BW1" i="68" a="1"/>
  <c r="BW1" i="68" s="1"/>
  <c r="EY10" i="68" a="1"/>
  <c r="EY10" i="68" s="1"/>
  <c r="G280" i="90" a="1"/>
  <c r="G280" i="90" s="1"/>
  <c r="F282" i="103" a="1"/>
  <c r="F282" i="103" s="1"/>
  <c r="AN3" i="68" a="1"/>
  <c r="AN3" i="68" s="1"/>
  <c r="AX7" i="68" a="1"/>
  <c r="AX7" i="68" s="1"/>
  <c r="I285" i="82" a="1"/>
  <c r="I285" i="82" s="1"/>
  <c r="H283" i="92" a="1"/>
  <c r="H283" i="92" s="1"/>
  <c r="D283" i="100" a="1"/>
  <c r="D283" i="100" s="1"/>
  <c r="I285" i="79" a="1"/>
  <c r="I285" i="79" s="1"/>
  <c r="H281" i="83" a="1"/>
  <c r="H281" i="83" s="1"/>
  <c r="H285" i="96" a="1"/>
  <c r="H285" i="96" s="1"/>
  <c r="F286" i="79" a="1"/>
  <c r="F286" i="79" s="1"/>
  <c r="DZ8" i="68" a="1"/>
  <c r="DZ8" i="68" s="1"/>
  <c r="D280" i="29" a="1"/>
  <c r="D280" i="29" s="1"/>
  <c r="D282" i="92" a="1"/>
  <c r="D282" i="92" s="1"/>
  <c r="F280" i="90" a="1"/>
  <c r="F280" i="90" s="1"/>
  <c r="H285" i="77" a="1"/>
  <c r="H285" i="77" s="1"/>
  <c r="H283" i="96" a="1"/>
  <c r="H283" i="96" s="1"/>
  <c r="F283" i="34" a="1"/>
  <c r="F283" i="34" s="1"/>
  <c r="FD5" i="68" a="1"/>
  <c r="FD5" i="68" s="1"/>
  <c r="I283" i="83" a="1"/>
  <c r="I283" i="83" s="1"/>
  <c r="CV1" i="68" a="1"/>
  <c r="CV1" i="68" s="1"/>
  <c r="EJ1" i="68" a="1"/>
  <c r="EJ1" i="68" s="1"/>
  <c r="D281" i="83" a="1"/>
  <c r="D281" i="83" s="1"/>
  <c r="FD4" i="68" a="1"/>
  <c r="FD4" i="68" s="1"/>
  <c r="FI2" i="68" a="1"/>
  <c r="FI2" i="68" s="1"/>
  <c r="AD10" i="68" a="1"/>
  <c r="AD10" i="68" s="1"/>
  <c r="G283" i="83" a="1"/>
  <c r="G283" i="83" s="1"/>
  <c r="I284" i="94" a="1"/>
  <c r="I284" i="94" s="1"/>
  <c r="I281" i="103" a="1"/>
  <c r="I281" i="103" s="1"/>
  <c r="F286" i="86" a="1"/>
  <c r="F286" i="86" s="1"/>
  <c r="F285" i="90" a="1"/>
  <c r="F285" i="90" s="1"/>
  <c r="I282" i="85" a="1"/>
  <c r="I282" i="85" s="1"/>
  <c r="BW9" i="68" a="1"/>
  <c r="BW9" i="68" s="1"/>
  <c r="D283" i="101" a="1"/>
  <c r="D283" i="101" s="1"/>
  <c r="F283" i="84" a="1"/>
  <c r="F283" i="84" s="1"/>
  <c r="DA9" i="68" a="1"/>
  <c r="DA9" i="68" s="1"/>
  <c r="H282" i="85" a="1"/>
  <c r="H282" i="85" s="1"/>
  <c r="AX3" i="68" a="1"/>
  <c r="AX3" i="68" s="1"/>
  <c r="G285" i="82" a="1"/>
  <c r="G285" i="82" s="1"/>
  <c r="FN9" i="68" a="1"/>
  <c r="FN9" i="68" s="1"/>
  <c r="O5" i="68" a="1"/>
  <c r="O5" i="68" s="1"/>
  <c r="BC1" i="68" a="1"/>
  <c r="BC1" i="68" s="1"/>
  <c r="H282" i="95" a="1"/>
  <c r="H282" i="95" s="1"/>
  <c r="H284" i="76" a="1"/>
  <c r="H284" i="76" s="1"/>
  <c r="H283" i="81" a="1"/>
  <c r="H283" i="81" s="1"/>
  <c r="I285" i="83" a="1"/>
  <c r="I285" i="83" s="1"/>
  <c r="H282" i="82" a="1"/>
  <c r="H282" i="82" s="1"/>
  <c r="I285" i="76" a="1"/>
  <c r="I285" i="76" s="1"/>
  <c r="G285" i="91" a="1"/>
  <c r="G285" i="91" s="1"/>
  <c r="D288" i="102" a="1"/>
  <c r="D288" i="102" s="1"/>
  <c r="D288" i="101" a="1"/>
  <c r="D288" i="101" s="1"/>
  <c r="F288" i="84" a="1"/>
  <c r="F288" i="84" s="1"/>
  <c r="F288" i="85" a="1"/>
  <c r="F288" i="85" s="1"/>
  <c r="H287" i="76" a="1"/>
  <c r="H287" i="76" s="1"/>
  <c r="I287" i="93" a="1"/>
  <c r="I287" i="93" s="1"/>
  <c r="H287" i="95" a="1"/>
  <c r="H287" i="95" s="1"/>
  <c r="F288" i="94" a="1"/>
  <c r="F288" i="94" s="1"/>
  <c r="BC2" i="68" a="1"/>
  <c r="BC2" i="68" s="1"/>
  <c r="H280" i="75" a="1"/>
  <c r="H280" i="75" s="1"/>
  <c r="EY2" i="68" a="1"/>
  <c r="EY2" i="68" s="1"/>
  <c r="I283" i="99" a="1"/>
  <c r="I283" i="99" s="1"/>
  <c r="F283" i="97" a="1"/>
  <c r="F283" i="97" s="1"/>
  <c r="F280" i="94" a="1"/>
  <c r="F280" i="94" s="1"/>
  <c r="FD2" i="68" a="1"/>
  <c r="FD2" i="68" s="1"/>
  <c r="G300" i="104" a="1"/>
  <c r="G300" i="104" s="1"/>
  <c r="G281" i="102" a="1"/>
  <c r="G281" i="102" s="1"/>
  <c r="F284" i="102" a="1"/>
  <c r="F284" i="102" s="1"/>
  <c r="F282" i="88" a="1"/>
  <c r="F282" i="88" s="1"/>
  <c r="D280" i="75" a="1"/>
  <c r="D280" i="75" s="1"/>
  <c r="D283" i="80" a="1"/>
  <c r="D283" i="80" s="1"/>
  <c r="I284" i="80" a="1"/>
  <c r="I284" i="80" s="1"/>
  <c r="D285" i="100" a="1"/>
  <c r="D285" i="100" s="1"/>
  <c r="G282" i="96" a="1"/>
  <c r="G282" i="96" s="1"/>
  <c r="F281" i="84" a="1"/>
  <c r="F281" i="84" s="1"/>
  <c r="I280" i="86" a="1"/>
  <c r="I280" i="86" s="1"/>
  <c r="H282" i="92" a="1"/>
  <c r="H282" i="92" s="1"/>
  <c r="D285" i="91" a="1"/>
  <c r="D285" i="91" s="1"/>
  <c r="AN10" i="68" a="1"/>
  <c r="AN10" i="68" s="1"/>
  <c r="H283" i="99" a="1"/>
  <c r="H283" i="99" s="1"/>
  <c r="H282" i="103" a="1"/>
  <c r="H282" i="103" s="1"/>
  <c r="F282" i="76" a="1"/>
  <c r="F282" i="76" s="1"/>
  <c r="G281" i="76" a="1"/>
  <c r="G281" i="76" s="1"/>
  <c r="F286" i="100" a="1"/>
  <c r="F286" i="100" s="1"/>
  <c r="D282" i="83" a="1"/>
  <c r="D282" i="83" s="1"/>
  <c r="I281" i="79" a="1"/>
  <c r="I281" i="79" s="1"/>
  <c r="D282" i="80" a="1"/>
  <c r="D282" i="80" s="1"/>
  <c r="F286" i="82" a="1"/>
  <c r="F286" i="82" s="1"/>
  <c r="F286" i="80" a="1"/>
  <c r="F286" i="80" s="1"/>
  <c r="F286" i="75" a="1"/>
  <c r="F286" i="75" s="1"/>
  <c r="H285" i="78" a="1"/>
  <c r="H285" i="78" s="1"/>
  <c r="H287" i="103" a="1"/>
  <c r="H287" i="103" s="1"/>
  <c r="G287" i="88" a="1"/>
  <c r="G287" i="88" s="1"/>
  <c r="I287" i="34" a="1"/>
  <c r="I287" i="34" s="1"/>
  <c r="H287" i="77" a="1"/>
  <c r="H287" i="77" s="1"/>
  <c r="F288" i="83" a="1"/>
  <c r="F288" i="83" s="1"/>
  <c r="D288" i="88" a="1"/>
  <c r="D288" i="88" s="1"/>
  <c r="H287" i="81" a="1"/>
  <c r="H287" i="81" s="1"/>
  <c r="H281" i="93" a="1"/>
  <c r="H281" i="93" s="1"/>
  <c r="BC3" i="68" a="1"/>
  <c r="BC3" i="68" s="1"/>
  <c r="D283" i="78" a="1"/>
  <c r="D283" i="78" s="1"/>
  <c r="H282" i="99" a="1"/>
  <c r="H282" i="99" s="1"/>
  <c r="I281" i="101" a="1"/>
  <c r="I281" i="101" s="1"/>
  <c r="I280" i="82" a="1"/>
  <c r="I280" i="82" s="1"/>
  <c r="H284" i="100" a="1"/>
  <c r="H284" i="100" s="1"/>
  <c r="F280" i="97" a="1"/>
  <c r="F280" i="97" s="1"/>
  <c r="FX10" i="68" a="1"/>
  <c r="FX10" i="68" s="1"/>
  <c r="D285" i="101" a="1"/>
  <c r="D285" i="101" s="1"/>
  <c r="G285" i="86" a="1"/>
  <c r="G285" i="86" s="1"/>
  <c r="J2" i="68" a="1"/>
  <c r="J2" i="68" s="1"/>
  <c r="H283" i="89" a="1"/>
  <c r="H283" i="89" s="1"/>
  <c r="T2" i="68" a="1"/>
  <c r="T2" i="68" s="1"/>
  <c r="FI7" i="68" a="1"/>
  <c r="FI7" i="68" s="1"/>
  <c r="G283" i="90" a="1"/>
  <c r="G283" i="90" s="1"/>
  <c r="I284" i="101" a="1"/>
  <c r="I284" i="101" s="1"/>
  <c r="D283" i="76" a="1"/>
  <c r="D283" i="76" s="1"/>
  <c r="I283" i="79" a="1"/>
  <c r="I283" i="79" s="1"/>
  <c r="F280" i="86" a="1"/>
  <c r="F280" i="86" s="1"/>
  <c r="D284" i="91" a="1"/>
  <c r="D284" i="91" s="1"/>
  <c r="I282" i="91" a="1"/>
  <c r="I282" i="91" s="1"/>
  <c r="G282" i="88" a="1"/>
  <c r="G282" i="88" s="1"/>
  <c r="H285" i="82" a="1"/>
  <c r="H285" i="82" s="1"/>
  <c r="H283" i="79" a="1"/>
  <c r="H283" i="79" s="1"/>
  <c r="G283" i="80" a="1"/>
  <c r="G283" i="80" s="1"/>
  <c r="ET8" i="68" a="1"/>
  <c r="ET8" i="68" s="1"/>
  <c r="I282" i="79" a="1"/>
  <c r="I282" i="79" s="1"/>
  <c r="I282" i="77" a="1"/>
  <c r="I282" i="77" s="1"/>
  <c r="G283" i="75" a="1"/>
  <c r="G283" i="75" s="1"/>
  <c r="AX8" i="68" a="1"/>
  <c r="AX8" i="68" s="1"/>
  <c r="D286" i="78" a="1"/>
  <c r="D286" i="78" s="1"/>
  <c r="D286" i="74" a="1"/>
  <c r="D286" i="74" s="1"/>
  <c r="G287" i="85" a="1"/>
  <c r="G287" i="85" s="1"/>
  <c r="F288" i="29" a="1"/>
  <c r="F288" i="29" s="1"/>
  <c r="H287" i="82" a="1"/>
  <c r="H287" i="82" s="1"/>
  <c r="F288" i="80" a="1"/>
  <c r="F288" i="80" s="1"/>
  <c r="I287" i="91" a="1"/>
  <c r="I287" i="91" s="1"/>
  <c r="I287" i="88" a="1"/>
  <c r="I287" i="88" s="1"/>
  <c r="F288" i="82" a="1"/>
  <c r="F288" i="82" s="1"/>
  <c r="F288" i="92" a="1"/>
  <c r="F288" i="92" s="1"/>
  <c r="G285" i="29" a="1"/>
  <c r="G285" i="29" s="1"/>
  <c r="I285" i="101" a="1"/>
  <c r="I285" i="101" s="1"/>
  <c r="DA4" i="68" a="1"/>
  <c r="DA4" i="68" s="1"/>
  <c r="H280" i="102" a="1"/>
  <c r="H280" i="102" s="1"/>
  <c r="F283" i="93" a="1"/>
  <c r="F283" i="93" s="1"/>
  <c r="BM2" i="68" a="1"/>
  <c r="BM2" i="68" s="1"/>
  <c r="I283" i="92" a="1"/>
  <c r="I283" i="92" s="1"/>
  <c r="G280" i="101" a="1"/>
  <c r="G280" i="101" s="1"/>
  <c r="F284" i="78" a="1"/>
  <c r="F284" i="78" s="1"/>
  <c r="I281" i="81" a="1"/>
  <c r="I281" i="81" s="1"/>
  <c r="BH9" i="68" a="1"/>
  <c r="BH9" i="68" s="1"/>
  <c r="D288" i="83" a="1"/>
  <c r="D288" i="83" s="1"/>
  <c r="I287" i="85" a="1"/>
  <c r="I287" i="85" s="1"/>
  <c r="I287" i="94" a="1"/>
  <c r="I287" i="94" s="1"/>
  <c r="G284" i="97" a="1"/>
  <c r="G284" i="97" s="1"/>
  <c r="G282" i="102" a="1"/>
  <c r="G282" i="102" s="1"/>
  <c r="CV3" i="68" a="1"/>
  <c r="CV3" i="68" s="1"/>
  <c r="J3" i="68" a="1"/>
  <c r="J3" i="68" s="1"/>
  <c r="I282" i="101" a="1"/>
  <c r="I282" i="101" s="1"/>
  <c r="F281" i="92" a="1"/>
  <c r="F281" i="92" s="1"/>
  <c r="I282" i="81" a="1"/>
  <c r="I282" i="81" s="1"/>
  <c r="D283" i="75" a="1"/>
  <c r="D283" i="75" s="1"/>
  <c r="D285" i="83" a="1"/>
  <c r="D285" i="83" s="1"/>
  <c r="G285" i="93" a="1"/>
  <c r="G285" i="93" s="1"/>
  <c r="D280" i="84" a="1"/>
  <c r="D280" i="84" s="1"/>
  <c r="BM1" i="68" a="1"/>
  <c r="BM1" i="68" s="1"/>
  <c r="H285" i="100" a="1"/>
  <c r="H285" i="100" s="1"/>
  <c r="F285" i="29" a="1"/>
  <c r="F285" i="29" s="1"/>
  <c r="H285" i="92" a="1"/>
  <c r="H285" i="92" s="1"/>
  <c r="H285" i="74" a="1"/>
  <c r="H285" i="74" s="1"/>
  <c r="F282" i="80" a="1"/>
  <c r="F282" i="80" s="1"/>
  <c r="AX10" i="68" a="1"/>
  <c r="AX10" i="68" s="1"/>
  <c r="I281" i="78" a="1"/>
  <c r="I281" i="78" s="1"/>
  <c r="G285" i="75" a="1"/>
  <c r="G285" i="75" s="1"/>
  <c r="D286" i="34" a="1"/>
  <c r="D286" i="34" s="1"/>
  <c r="H283" i="82" a="1"/>
  <c r="H283" i="82" s="1"/>
  <c r="G283" i="102" a="1"/>
  <c r="G283" i="102" s="1"/>
  <c r="G285" i="101" a="1"/>
  <c r="G285" i="101" s="1"/>
  <c r="D286" i="81" a="1"/>
  <c r="D286" i="81" s="1"/>
  <c r="G287" i="100" a="1"/>
  <c r="G287" i="100" s="1"/>
  <c r="I287" i="81" a="1"/>
  <c r="I287" i="81" s="1"/>
  <c r="I287" i="90" a="1"/>
  <c r="I287" i="90" s="1"/>
  <c r="D288" i="86" a="1"/>
  <c r="D288" i="86" s="1"/>
  <c r="D288" i="97" a="1"/>
  <c r="D288" i="97" s="1"/>
  <c r="F288" i="81" a="1"/>
  <c r="F288" i="81" s="1"/>
  <c r="H287" i="80" a="1"/>
  <c r="H287" i="80" s="1"/>
  <c r="I285" i="29" a="1"/>
  <c r="I285" i="29" s="1"/>
  <c r="D284" i="101" a="1"/>
  <c r="D284" i="101" s="1"/>
  <c r="F282" i="86" a="1"/>
  <c r="F282" i="86" s="1"/>
  <c r="F282" i="74" a="1"/>
  <c r="F282" i="74" s="1"/>
  <c r="D281" i="99" a="1"/>
  <c r="D281" i="99" s="1"/>
  <c r="DZ9" i="68" a="1"/>
  <c r="DZ9" i="68" s="1"/>
  <c r="FS5" i="68" a="1"/>
  <c r="FS5" i="68" s="1"/>
  <c r="F283" i="95" a="1"/>
  <c r="F283" i="95" s="1"/>
  <c r="D283" i="82" a="1"/>
  <c r="D283" i="82" s="1"/>
  <c r="H284" i="29" a="1"/>
  <c r="H284" i="29" s="1"/>
  <c r="G281" i="84" a="1"/>
  <c r="G281" i="84" s="1"/>
  <c r="G282" i="90" a="1"/>
  <c r="G282" i="90" s="1"/>
  <c r="H280" i="88" a="1"/>
  <c r="H280" i="88" s="1"/>
  <c r="CB3" i="68" a="1"/>
  <c r="CB3" i="68" s="1"/>
  <c r="I280" i="90" a="1"/>
  <c r="I280" i="90" s="1"/>
  <c r="G281" i="29" a="1"/>
  <c r="G281" i="29" s="1"/>
  <c r="I282" i="93" a="1"/>
  <c r="I282" i="93" s="1"/>
  <c r="I280" i="79" a="1"/>
  <c r="I280" i="79" s="1"/>
  <c r="D284" i="103" a="1"/>
  <c r="D284" i="103" s="1"/>
  <c r="G281" i="34" a="1"/>
  <c r="G281" i="34" s="1"/>
  <c r="BH4" i="68" a="1"/>
  <c r="BH4" i="68" s="1"/>
  <c r="CB4" i="68" a="1"/>
  <c r="CB4" i="68" s="1"/>
  <c r="D284" i="34" a="1"/>
  <c r="D284" i="34" s="1"/>
  <c r="I281" i="76" a="1"/>
  <c r="I281" i="76" s="1"/>
  <c r="G283" i="79" a="1"/>
  <c r="G283" i="79" s="1"/>
  <c r="I281" i="102" a="1"/>
  <c r="I281" i="102" s="1"/>
  <c r="D283" i="102" a="1"/>
  <c r="D283" i="102" s="1"/>
  <c r="H283" i="78" a="1"/>
  <c r="H283" i="78" s="1"/>
  <c r="D286" i="100" a="1"/>
  <c r="D286" i="100" s="1"/>
  <c r="G282" i="80" a="1"/>
  <c r="G282" i="80" s="1"/>
  <c r="D286" i="83" a="1"/>
  <c r="D286" i="83" s="1"/>
  <c r="F286" i="76" a="1"/>
  <c r="F286" i="76" s="1"/>
  <c r="D288" i="99" a="1"/>
  <c r="D288" i="99" s="1"/>
  <c r="H287" i="79" a="1"/>
  <c r="H287" i="79" s="1"/>
  <c r="D288" i="80" a="1"/>
  <c r="D288" i="80" s="1"/>
  <c r="D288" i="95" a="1"/>
  <c r="D288" i="95" s="1"/>
  <c r="G287" i="91" a="1"/>
  <c r="G287" i="91" s="1"/>
  <c r="I287" i="86" a="1"/>
  <c r="I287" i="86" s="1"/>
  <c r="I287" i="97" a="1"/>
  <c r="I287" i="97" s="1"/>
  <c r="D288" i="92" a="1"/>
  <c r="D288" i="92" s="1"/>
  <c r="G284" i="103" a="1"/>
  <c r="G284" i="103" s="1"/>
  <c r="J4" i="68" a="1"/>
  <c r="J4" i="68" s="1"/>
  <c r="DU7" i="68" a="1"/>
  <c r="DU7" i="68" s="1"/>
  <c r="H285" i="75" a="1"/>
  <c r="H285" i="75" s="1"/>
  <c r="EO9" i="68" a="1"/>
  <c r="EO9" i="68" s="1"/>
  <c r="AD1" i="68" a="1"/>
  <c r="AD1" i="68" s="1"/>
  <c r="G282" i="75" a="1"/>
  <c r="G282" i="75" s="1"/>
  <c r="G283" i="100" a="1"/>
  <c r="G283" i="100" s="1"/>
  <c r="I281" i="34" a="1"/>
  <c r="I281" i="34" s="1"/>
  <c r="H283" i="80" a="1"/>
  <c r="H283" i="80" s="1"/>
  <c r="H285" i="94" a="1"/>
  <c r="H285" i="94" s="1"/>
  <c r="G285" i="77" a="1"/>
  <c r="G285" i="77" s="1"/>
  <c r="H283" i="88" a="1"/>
  <c r="H283" i="88" s="1"/>
  <c r="D286" i="75" a="1"/>
  <c r="D286" i="75" s="1"/>
  <c r="F288" i="101" a="1"/>
  <c r="F288" i="101" s="1"/>
  <c r="F288" i="78" a="1"/>
  <c r="F288" i="78" s="1"/>
  <c r="H287" i="75" a="1"/>
  <c r="H287" i="75" s="1"/>
  <c r="I287" i="92" a="1"/>
  <c r="I287" i="92" s="1"/>
  <c r="F288" i="74" a="1"/>
  <c r="F288" i="74" s="1"/>
  <c r="H280" i="29" a="1"/>
  <c r="H280" i="29" s="1"/>
  <c r="F284" i="99" a="1"/>
  <c r="F284" i="99" s="1"/>
  <c r="F283" i="102" a="1"/>
  <c r="F283" i="102" s="1"/>
  <c r="D281" i="94" a="1"/>
  <c r="D281" i="94" s="1"/>
  <c r="H286" i="103" a="1"/>
  <c r="H286" i="103" s="1"/>
  <c r="I284" i="76" a="1"/>
  <c r="I284" i="76" s="1"/>
  <c r="G281" i="91" a="1"/>
  <c r="G281" i="91" s="1"/>
  <c r="I284" i="96" a="1"/>
  <c r="I284" i="96" s="1"/>
  <c r="G280" i="99" a="1"/>
  <c r="G280" i="99" s="1"/>
  <c r="I281" i="88" a="1"/>
  <c r="I281" i="88" s="1"/>
  <c r="H281" i="102" a="1"/>
  <c r="H281" i="102" s="1"/>
  <c r="H285" i="79" a="1"/>
  <c r="H285" i="79" s="1"/>
  <c r="F284" i="94" a="1"/>
  <c r="F284" i="94" s="1"/>
  <c r="H281" i="91" a="1"/>
  <c r="H281" i="91" s="1"/>
  <c r="H284" i="96" a="1"/>
  <c r="H284" i="96" s="1"/>
  <c r="I281" i="89" a="1"/>
  <c r="I281" i="89" s="1"/>
  <c r="I283" i="85" a="1"/>
  <c r="I283" i="85" s="1"/>
  <c r="F283" i="89" a="1"/>
  <c r="F283" i="89" s="1"/>
  <c r="BM5" i="68" a="1"/>
  <c r="BM5" i="68" s="1"/>
  <c r="I283" i="93" a="1"/>
  <c r="I283" i="93" s="1"/>
  <c r="CG3" i="68" a="1"/>
  <c r="CG3" i="68" s="1"/>
  <c r="G283" i="96" a="1"/>
  <c r="G283" i="96" s="1"/>
  <c r="I280" i="88" a="1"/>
  <c r="I280" i="88" s="1"/>
  <c r="GC7" i="68" a="1"/>
  <c r="GC7" i="68" s="1"/>
  <c r="G284" i="89" a="1"/>
  <c r="G284" i="89" s="1"/>
  <c r="D294" i="104" a="1"/>
  <c r="D294" i="104" s="1"/>
  <c r="F286" i="34" a="1"/>
  <c r="F286" i="34" s="1"/>
  <c r="D283" i="94" a="1"/>
  <c r="D283" i="94" s="1"/>
  <c r="F286" i="90" a="1"/>
  <c r="F286" i="90" s="1"/>
  <c r="AS4" i="68" a="1"/>
  <c r="AS4" i="68" s="1"/>
  <c r="FS9" i="68" a="1"/>
  <c r="FS9" i="68" s="1"/>
  <c r="F285" i="83" a="1"/>
  <c r="F285" i="83" s="1"/>
  <c r="EO4" i="68" a="1"/>
  <c r="EO4" i="68" s="1"/>
  <c r="T4" i="68" a="1"/>
  <c r="T4" i="68" s="1"/>
  <c r="I280" i="103" a="1"/>
  <c r="I280" i="103" s="1"/>
  <c r="O7" i="68" a="1"/>
  <c r="O7" i="68" s="1"/>
  <c r="G280" i="29" a="1"/>
  <c r="G280" i="29" s="1"/>
  <c r="F282" i="90" a="1"/>
  <c r="F282" i="90" s="1"/>
  <c r="H285" i="102" a="1"/>
  <c r="H285" i="102" s="1"/>
  <c r="G282" i="92" a="1"/>
  <c r="G282" i="92" s="1"/>
  <c r="D281" i="103" a="1"/>
  <c r="D281" i="103" s="1"/>
  <c r="AD4" i="68" a="1"/>
  <c r="AD4" i="68" s="1"/>
  <c r="F281" i="94" a="1"/>
  <c r="F281" i="94" s="1"/>
  <c r="FS4" i="68" a="1"/>
  <c r="FS4" i="68" s="1"/>
  <c r="F282" i="29" a="1"/>
  <c r="F282" i="29" s="1"/>
  <c r="F281" i="95" a="1"/>
  <c r="F281" i="95" s="1"/>
  <c r="CQ2" i="68" a="1"/>
  <c r="CQ2" i="68" s="1"/>
  <c r="D285" i="79" a="1"/>
  <c r="D285" i="79" s="1"/>
  <c r="J1" i="68" a="1"/>
  <c r="J1" i="68" s="1"/>
  <c r="G284" i="100" a="1"/>
  <c r="G284" i="100" s="1"/>
  <c r="I283" i="101" a="1"/>
  <c r="I283" i="101" s="1"/>
  <c r="F284" i="29" a="1"/>
  <c r="F284" i="29" s="1"/>
  <c r="DU2" i="68" a="1"/>
  <c r="DU2" i="68" s="1"/>
  <c r="I283" i="91" a="1"/>
  <c r="I283" i="91" s="1"/>
  <c r="I283" i="80" a="1"/>
  <c r="I283" i="80" s="1"/>
  <c r="I283" i="100" a="1"/>
  <c r="I283" i="100" s="1"/>
  <c r="CG1" i="68" a="1"/>
  <c r="CG1" i="68" s="1"/>
  <c r="F285" i="75" a="1"/>
  <c r="F285" i="75" s="1"/>
  <c r="D283" i="93" a="1"/>
  <c r="D283" i="93" s="1"/>
  <c r="I284" i="89" a="1"/>
  <c r="I284" i="89" s="1"/>
  <c r="DF2" i="68" a="1"/>
  <c r="DF2" i="68" s="1"/>
  <c r="I284" i="90" a="1"/>
  <c r="I284" i="90" s="1"/>
  <c r="H284" i="78" a="1"/>
  <c r="H284" i="78" s="1"/>
  <c r="G280" i="92" a="1"/>
  <c r="G280" i="92" s="1"/>
  <c r="G280" i="100" a="1"/>
  <c r="G280" i="100" s="1"/>
  <c r="F284" i="84" a="1"/>
  <c r="F284" i="84" s="1"/>
  <c r="D281" i="92" a="1"/>
  <c r="D281" i="92" s="1"/>
  <c r="D282" i="89" a="1"/>
  <c r="D282" i="89" s="1"/>
  <c r="F283" i="85" a="1"/>
  <c r="F283" i="85" s="1"/>
  <c r="F280" i="88" a="1"/>
  <c r="F280" i="88" s="1"/>
  <c r="I282" i="89" a="1"/>
  <c r="I282" i="89" s="1"/>
  <c r="I281" i="94" a="1"/>
  <c r="I281" i="94" s="1"/>
  <c r="EJ8" i="68" a="1"/>
  <c r="EJ8" i="68" s="1"/>
  <c r="D280" i="102" a="1"/>
  <c r="D280" i="102" s="1"/>
  <c r="G280" i="102" a="1"/>
  <c r="G280" i="102" s="1"/>
  <c r="D285" i="99" a="1"/>
  <c r="D285" i="99" s="1"/>
  <c r="D284" i="102" a="1"/>
  <c r="D284" i="102" s="1"/>
  <c r="G282" i="95" a="1"/>
  <c r="G282" i="95" s="1"/>
  <c r="G281" i="86" a="1"/>
  <c r="G281" i="86" s="1"/>
  <c r="H280" i="82" a="1"/>
  <c r="H280" i="82" s="1"/>
  <c r="F282" i="84" a="1"/>
  <c r="F282" i="84" s="1"/>
  <c r="I282" i="86" a="1"/>
  <c r="I282" i="86" s="1"/>
  <c r="G285" i="96" a="1"/>
  <c r="G285" i="96" s="1"/>
  <c r="I284" i="29" a="1"/>
  <c r="I284" i="29" s="1"/>
  <c r="H281" i="76" a="1"/>
  <c r="H281" i="76" s="1"/>
  <c r="J7" i="68" a="1"/>
  <c r="J7" i="68" s="1"/>
  <c r="H285" i="83" a="1"/>
  <c r="H285" i="83" s="1"/>
  <c r="G285" i="97" a="1"/>
  <c r="G285" i="97" s="1"/>
  <c r="F283" i="99" a="1"/>
  <c r="F283" i="99" s="1"/>
  <c r="F286" i="89" a="1"/>
  <c r="F286" i="89" s="1"/>
  <c r="D281" i="84" a="1"/>
  <c r="D281" i="84" s="1"/>
  <c r="FD3" i="68" a="1"/>
  <c r="FD3" i="68" s="1"/>
  <c r="F285" i="101" a="1"/>
  <c r="F285" i="101" s="1"/>
  <c r="H283" i="86" a="1"/>
  <c r="H283" i="86" s="1"/>
  <c r="I281" i="97" a="1"/>
  <c r="I281" i="97" s="1"/>
  <c r="G283" i="84" a="1"/>
  <c r="G283" i="84" s="1"/>
  <c r="D284" i="94" a="1"/>
  <c r="D284" i="94" s="1"/>
  <c r="DA2" i="68" a="1"/>
  <c r="DA2" i="68" s="1"/>
  <c r="F284" i="100" a="1"/>
  <c r="F284" i="100" s="1"/>
  <c r="DF5" i="68" a="1"/>
  <c r="DF5" i="68" s="1"/>
  <c r="DF9" i="68" a="1"/>
  <c r="DF9" i="68" s="1"/>
  <c r="F280" i="91" a="1"/>
  <c r="F280" i="91" s="1"/>
  <c r="D280" i="94" a="1"/>
  <c r="D280" i="94" s="1"/>
  <c r="F286" i="91" a="1"/>
  <c r="F286" i="91" s="1"/>
  <c r="F284" i="83" a="1"/>
  <c r="F284" i="83" s="1"/>
  <c r="I284" i="86" a="1"/>
  <c r="I284" i="86" s="1"/>
  <c r="D281" i="29" a="1"/>
  <c r="D281" i="29" s="1"/>
  <c r="I285" i="99" a="1"/>
  <c r="I285" i="99" s="1"/>
  <c r="DF4" i="68" a="1"/>
  <c r="DF4" i="68" s="1"/>
  <c r="F281" i="97" a="1"/>
  <c r="F281" i="97" s="1"/>
  <c r="BM7" i="68" a="1"/>
  <c r="BM7" i="68" s="1"/>
  <c r="D281" i="75" a="1"/>
  <c r="D281" i="75" s="1"/>
  <c r="H282" i="84" a="1"/>
  <c r="H282" i="84" s="1"/>
  <c r="I285" i="102" a="1"/>
  <c r="I285" i="102" s="1"/>
  <c r="DU1" i="68" a="1"/>
  <c r="DU1" i="68" s="1"/>
  <c r="H283" i="29" a="1"/>
  <c r="H283" i="29" s="1"/>
  <c r="H283" i="85" a="1"/>
  <c r="H283" i="85" s="1"/>
  <c r="F283" i="90" a="1"/>
  <c r="F283" i="90" s="1"/>
  <c r="CG9" i="68" a="1"/>
  <c r="CG9" i="68" s="1"/>
  <c r="H284" i="84" a="1"/>
  <c r="H284" i="84" s="1"/>
  <c r="H285" i="84" a="1"/>
  <c r="H285" i="84" s="1"/>
  <c r="I281" i="100" a="1"/>
  <c r="I281" i="100" s="1"/>
  <c r="I280" i="92" a="1"/>
  <c r="I280" i="92" s="1"/>
  <c r="G280" i="94" a="1"/>
  <c r="G280" i="94" s="1"/>
  <c r="H283" i="84" a="1"/>
  <c r="H283" i="84" s="1"/>
  <c r="E2" i="68" a="1"/>
  <c r="E2" i="68" s="1"/>
  <c r="I284" i="97" a="1"/>
  <c r="I284" i="97" s="1"/>
  <c r="G285" i="94" a="1"/>
  <c r="G285" i="94" s="1"/>
  <c r="F284" i="80" a="1"/>
  <c r="F284" i="80" s="1"/>
  <c r="I283" i="95" a="1"/>
  <c r="I283" i="95" s="1"/>
  <c r="F282" i="91" a="1"/>
  <c r="F282" i="91" s="1"/>
  <c r="D285" i="77" a="1"/>
  <c r="D285" i="77" s="1"/>
  <c r="G282" i="83" a="1"/>
  <c r="G282" i="83" s="1"/>
  <c r="G284" i="99" a="1"/>
  <c r="G284" i="99" s="1"/>
  <c r="H285" i="99" a="1"/>
  <c r="H285" i="99" s="1"/>
  <c r="D284" i="76" a="1"/>
  <c r="D284" i="76" s="1"/>
  <c r="D280" i="95" a="1"/>
  <c r="D280" i="95" s="1"/>
  <c r="DK10" i="68" a="1"/>
  <c r="DK10" i="68" s="1"/>
  <c r="H283" i="100" a="1"/>
  <c r="H283" i="100" s="1"/>
  <c r="F282" i="78" a="1"/>
  <c r="F282" i="78" s="1"/>
  <c r="D285" i="97" a="1"/>
  <c r="D285" i="97" s="1"/>
  <c r="ET3" i="68" a="1"/>
  <c r="ET3" i="68" s="1"/>
  <c r="G282" i="100" a="1"/>
  <c r="G282" i="100" s="1"/>
  <c r="H284" i="90" a="1"/>
  <c r="H284" i="90" s="1"/>
  <c r="I284" i="92" a="1"/>
  <c r="I284" i="92" s="1"/>
  <c r="F284" i="97" a="1"/>
  <c r="F284" i="97" s="1"/>
  <c r="BC8" i="68" a="1"/>
  <c r="BC8" i="68" s="1"/>
  <c r="F282" i="102" a="1"/>
  <c r="F282" i="102" s="1"/>
  <c r="G280" i="82" a="1"/>
  <c r="G280" i="82" s="1"/>
  <c r="AX1" i="68" a="1"/>
  <c r="AX1" i="68" s="1"/>
  <c r="G282" i="34" a="1"/>
  <c r="G282" i="34" s="1"/>
  <c r="H280" i="86" a="1"/>
  <c r="H280" i="86" s="1"/>
  <c r="G285" i="92" a="1"/>
  <c r="G285" i="92" s="1"/>
  <c r="CQ5" i="68" a="1"/>
  <c r="CQ5" i="68" s="1"/>
  <c r="H285" i="97" a="1"/>
  <c r="H285" i="97" s="1"/>
  <c r="D282" i="78" a="1"/>
  <c r="D282" i="78" s="1"/>
  <c r="CL2" i="68" a="1"/>
  <c r="CL2" i="68" s="1"/>
  <c r="D281" i="97" a="1"/>
  <c r="D281" i="97" s="1"/>
  <c r="G283" i="91" a="1"/>
  <c r="G283" i="91" s="1"/>
  <c r="D282" i="86" a="1"/>
  <c r="D282" i="86" s="1"/>
  <c r="FX1" i="68" a="1"/>
  <c r="FX1" i="68" s="1"/>
  <c r="BM10" i="68" a="1"/>
  <c r="BM10" i="68" s="1"/>
  <c r="F286" i="85" a="1"/>
  <c r="F286" i="85" s="1"/>
  <c r="F281" i="82" a="1"/>
  <c r="F281" i="82" s="1"/>
  <c r="F281" i="103" a="1"/>
  <c r="F281" i="103" s="1"/>
  <c r="DP9" i="68" a="1"/>
  <c r="DP9" i="68" s="1"/>
  <c r="DP3" i="68" a="1"/>
  <c r="DP3" i="68" s="1"/>
  <c r="G281" i="80" a="1"/>
  <c r="G281" i="80" s="1"/>
  <c r="GC2" i="68" a="1"/>
  <c r="GC2" i="68" s="1"/>
  <c r="D283" i="97" a="1"/>
  <c r="D283" i="97" s="1"/>
  <c r="F285" i="77" a="1"/>
  <c r="F285" i="77" s="1"/>
  <c r="I283" i="84" a="1"/>
  <c r="I283" i="84" s="1"/>
  <c r="I285" i="96" a="1"/>
  <c r="I285" i="96" s="1"/>
  <c r="D281" i="80" a="1"/>
  <c r="D281" i="80" s="1"/>
  <c r="AI9" i="68" a="1"/>
  <c r="AI9" i="68" s="1"/>
  <c r="D280" i="85" a="1"/>
  <c r="D280" i="85" s="1"/>
  <c r="G283" i="101" a="1"/>
  <c r="G283" i="101" s="1"/>
  <c r="H284" i="75" a="1"/>
  <c r="H284" i="75" s="1"/>
  <c r="F280" i="84" a="1"/>
  <c r="F280" i="84" s="1"/>
  <c r="I284" i="77" a="1"/>
  <c r="I284" i="77" s="1"/>
  <c r="I282" i="99" a="1"/>
  <c r="I282" i="99" s="1"/>
  <c r="G280" i="77" a="1"/>
  <c r="G280" i="77" s="1"/>
  <c r="G284" i="34" a="1"/>
  <c r="G284" i="34" s="1"/>
  <c r="I280" i="77" a="1"/>
  <c r="I280" i="77" s="1"/>
  <c r="H282" i="88" a="1"/>
  <c r="H282" i="88" s="1"/>
  <c r="D280" i="77" a="1"/>
  <c r="D280" i="77" s="1"/>
  <c r="G281" i="85" a="1"/>
  <c r="G281" i="85" s="1"/>
  <c r="D283" i="92" a="1"/>
  <c r="D283" i="92" s="1"/>
  <c r="Y5" i="68" a="1"/>
  <c r="Y5" i="68" s="1"/>
  <c r="FD9" i="68" a="1"/>
  <c r="FD9" i="68" s="1"/>
  <c r="G285" i="85" a="1"/>
  <c r="G285" i="85" s="1"/>
  <c r="G284" i="75" a="1"/>
  <c r="G284" i="75" s="1"/>
  <c r="D280" i="90" a="1"/>
  <c r="D280" i="90" s="1"/>
  <c r="F284" i="95" a="1"/>
  <c r="F284" i="95" s="1"/>
  <c r="I285" i="89" a="1"/>
  <c r="I285" i="89" s="1"/>
  <c r="F281" i="102" a="1"/>
  <c r="F281" i="102" s="1"/>
  <c r="DP2" i="68" a="1"/>
  <c r="DP2" i="68" s="1"/>
  <c r="F281" i="93" a="1"/>
  <c r="F281" i="93" s="1"/>
  <c r="G283" i="92" a="1"/>
  <c r="G283" i="92" s="1"/>
  <c r="H284" i="97" a="1"/>
  <c r="H284" i="97" s="1"/>
  <c r="AN7" i="68" a="1"/>
  <c r="AN7" i="68" s="1"/>
  <c r="I285" i="91" a="1"/>
  <c r="I285" i="91" s="1"/>
  <c r="D281" i="96" a="1"/>
  <c r="D281" i="96" s="1"/>
  <c r="F280" i="89" a="1"/>
  <c r="F280" i="89" s="1"/>
  <c r="G281" i="101" a="1"/>
  <c r="G281" i="101" s="1"/>
  <c r="F280" i="77" a="1"/>
  <c r="F280" i="77" s="1"/>
  <c r="AI3" i="68" a="1"/>
  <c r="AI3" i="68" s="1"/>
  <c r="D285" i="92" a="1"/>
  <c r="D285" i="92" s="1"/>
  <c r="I285" i="92" a="1"/>
  <c r="I285" i="92" s="1"/>
  <c r="G284" i="80" a="1"/>
  <c r="G284" i="80" s="1"/>
  <c r="J8" i="68" a="1"/>
  <c r="J8" i="68" s="1"/>
  <c r="H281" i="90" a="1"/>
  <c r="H281" i="90" s="1"/>
  <c r="I285" i="88" a="1"/>
  <c r="I285" i="88" s="1"/>
  <c r="G281" i="75" a="1"/>
  <c r="G281" i="75" s="1"/>
  <c r="CL5" i="68" a="1"/>
  <c r="CL5" i="68" s="1"/>
  <c r="BC9" i="68" a="1"/>
  <c r="BC9" i="68" s="1"/>
  <c r="D286" i="85" a="1"/>
  <c r="D286" i="85" s="1"/>
  <c r="ET4" i="68" a="1"/>
  <c r="ET4" i="68" s="1"/>
  <c r="D285" i="84" a="1"/>
  <c r="D285" i="84" s="1"/>
  <c r="AI7" i="68" a="1"/>
  <c r="AI7" i="68" s="1"/>
  <c r="G285" i="100" a="1"/>
  <c r="G285" i="100" s="1"/>
  <c r="H284" i="80" a="1"/>
  <c r="H284" i="80" s="1"/>
  <c r="D285" i="96" a="1"/>
  <c r="D285" i="96" s="1"/>
  <c r="H285" i="101" a="1"/>
  <c r="H285" i="101" s="1"/>
  <c r="H283" i="97" a="1"/>
  <c r="H283" i="97" s="1"/>
  <c r="F285" i="88" a="1"/>
  <c r="F285" i="88" s="1"/>
  <c r="D284" i="84" a="1"/>
  <c r="D284" i="84" s="1"/>
  <c r="AS5" i="68" a="1"/>
  <c r="AS5" i="68" s="1"/>
  <c r="I283" i="75" a="1"/>
  <c r="I283" i="75" s="1"/>
  <c r="CQ4" i="68" a="1"/>
  <c r="CQ4" i="68" s="1"/>
  <c r="I284" i="78" a="1"/>
  <c r="I284" i="78" s="1"/>
  <c r="D283" i="103" a="1"/>
  <c r="D283" i="103" s="1"/>
  <c r="F284" i="101" a="1"/>
  <c r="F284" i="101" s="1"/>
  <c r="DF3" i="68" a="1"/>
  <c r="DF3" i="68" s="1"/>
  <c r="H284" i="81" a="1"/>
  <c r="H284" i="81" s="1"/>
  <c r="CQ8" i="68" a="1"/>
  <c r="CQ8" i="68" s="1"/>
  <c r="F284" i="93" a="1"/>
  <c r="F284" i="93" s="1"/>
  <c r="I284" i="85" a="1"/>
  <c r="I284" i="85" s="1"/>
  <c r="D286" i="91" a="1"/>
  <c r="D286" i="91" s="1"/>
  <c r="D281" i="95" a="1"/>
  <c r="D281" i="95" s="1"/>
  <c r="G282" i="101" a="1"/>
  <c r="G282" i="101" s="1"/>
  <c r="H282" i="76" a="1"/>
  <c r="H282" i="76" s="1"/>
  <c r="D285" i="78" a="1"/>
  <c r="D285" i="78" s="1"/>
  <c r="F284" i="82" a="1"/>
  <c r="F284" i="82" s="1"/>
  <c r="BM8" i="68" a="1"/>
  <c r="BM8" i="68" s="1"/>
  <c r="I285" i="90" a="1"/>
  <c r="I285" i="90" s="1"/>
  <c r="DU9" i="68" a="1"/>
  <c r="DU9" i="68" s="1"/>
  <c r="I281" i="93" a="1"/>
  <c r="I281" i="93" s="1"/>
  <c r="F285" i="80" a="1"/>
  <c r="F285" i="80" s="1"/>
  <c r="D280" i="96" a="1"/>
  <c r="D280" i="96" s="1"/>
  <c r="D281" i="102" a="1"/>
  <c r="D281" i="102" s="1"/>
  <c r="CQ10" i="68" a="1"/>
  <c r="CQ10" i="68" s="1"/>
  <c r="G281" i="82" a="1"/>
  <c r="G281" i="82" s="1"/>
  <c r="F282" i="96" a="1"/>
  <c r="F282" i="96" s="1"/>
  <c r="H280" i="83" a="1"/>
  <c r="H280" i="83" s="1"/>
  <c r="DA7" i="68" a="1"/>
  <c r="DA7" i="68" s="1"/>
  <c r="G280" i="80" a="1"/>
  <c r="G280" i="80" s="1"/>
  <c r="I280" i="84" a="1"/>
  <c r="I280" i="84" s="1"/>
  <c r="I281" i="95" a="1"/>
  <c r="I281" i="95" s="1"/>
  <c r="EJ7" i="68" a="1"/>
  <c r="EJ7" i="68" s="1"/>
  <c r="G280" i="78" a="1"/>
  <c r="G280" i="78" s="1"/>
  <c r="G280" i="89" a="1"/>
  <c r="G280" i="89" s="1"/>
  <c r="G281" i="89" a="1"/>
  <c r="G281" i="89" s="1"/>
  <c r="DF10" i="68" a="1"/>
  <c r="DF10" i="68" s="1"/>
  <c r="H284" i="86" a="1"/>
  <c r="H284" i="86" s="1"/>
  <c r="D286" i="95" a="1"/>
  <c r="D286" i="95" s="1"/>
  <c r="G284" i="82" a="1"/>
  <c r="G284" i="82" s="1"/>
  <c r="F281" i="83" a="1"/>
  <c r="F281" i="83" s="1"/>
  <c r="D282" i="100" a="1"/>
  <c r="D282" i="100" s="1"/>
  <c r="F281" i="89" a="1"/>
  <c r="F281" i="89" s="1"/>
  <c r="FN5" i="68" a="1"/>
  <c r="FN5" i="68" s="1"/>
  <c r="D284" i="77" a="1"/>
  <c r="D284" i="77" s="1"/>
  <c r="D280" i="97" a="1"/>
  <c r="D280" i="97" s="1"/>
  <c r="H281" i="82" a="1"/>
  <c r="H281" i="82" s="1"/>
  <c r="F283" i="29" a="1"/>
  <c r="F283" i="29" s="1"/>
  <c r="D281" i="77" a="1"/>
  <c r="D281" i="77" s="1"/>
  <c r="F284" i="89" a="1"/>
  <c r="F284" i="89" s="1"/>
  <c r="F285" i="99" a="1"/>
  <c r="F285" i="99" s="1"/>
  <c r="F282" i="97" a="1"/>
  <c r="F282" i="97" s="1"/>
  <c r="F281" i="29" a="1"/>
  <c r="F281" i="29" s="1"/>
  <c r="H280" i="101" a="1"/>
  <c r="H280" i="101" s="1"/>
  <c r="F280" i="85" a="1"/>
  <c r="F280" i="85" s="1"/>
  <c r="G281" i="99" a="1"/>
  <c r="G281" i="99" s="1"/>
  <c r="J5" i="68" a="1"/>
  <c r="J5" i="68" s="1"/>
  <c r="E4" i="68" a="1"/>
  <c r="E4" i="68" s="1"/>
  <c r="I283" i="77" a="1"/>
  <c r="I283" i="77" s="1"/>
  <c r="F280" i="75" a="1"/>
  <c r="F280" i="75" s="1"/>
  <c r="G284" i="81" a="1"/>
  <c r="G284" i="81" s="1"/>
  <c r="H282" i="93" a="1"/>
  <c r="H282" i="93" s="1"/>
  <c r="F283" i="75" a="1"/>
  <c r="F283" i="75" s="1"/>
  <c r="AS10" i="68" a="1"/>
  <c r="AS10" i="68" s="1"/>
  <c r="O8" i="68" a="1"/>
  <c r="O8" i="68" s="1"/>
  <c r="D280" i="76" a="1"/>
  <c r="D280" i="76" s="1"/>
  <c r="G284" i="79" a="1"/>
  <c r="G284" i="79" s="1"/>
  <c r="DK5" i="68" a="1"/>
  <c r="DK5" i="68" s="1"/>
  <c r="F280" i="102" a="1"/>
  <c r="F280" i="102" s="1"/>
  <c r="F284" i="76" a="1"/>
  <c r="F284" i="76" s="1"/>
  <c r="F280" i="81" a="1"/>
  <c r="F280" i="81" s="1"/>
  <c r="D280" i="34" a="1"/>
  <c r="D280" i="34" s="1"/>
  <c r="H285" i="103" a="1"/>
  <c r="H285" i="103" s="1"/>
  <c r="H285" i="95" a="1"/>
  <c r="H285" i="95" s="1"/>
  <c r="CL10" i="68" a="1"/>
  <c r="CL10" i="68" s="1"/>
  <c r="I284" i="75" a="1"/>
  <c r="I284" i="75" s="1"/>
  <c r="G316" i="104" a="1"/>
  <c r="G316" i="104" s="1"/>
  <c r="D286" i="88" a="1"/>
  <c r="D286" i="88" s="1"/>
  <c r="F281" i="77" a="1"/>
  <c r="F281" i="77" s="1"/>
  <c r="H284" i="79" a="1"/>
  <c r="H284" i="79" s="1"/>
  <c r="G282" i="29" a="1"/>
  <c r="G282" i="29" s="1"/>
  <c r="G281" i="95" a="1"/>
  <c r="G281" i="95" s="1"/>
  <c r="AN2" i="68" a="1"/>
  <c r="AN2" i="68" s="1"/>
  <c r="G285" i="76" a="1"/>
  <c r="G285" i="76" s="1"/>
  <c r="I284" i="84" a="1"/>
  <c r="I284" i="84" s="1"/>
  <c r="CV2" i="68" a="1"/>
  <c r="CV2" i="68" s="1"/>
  <c r="EE1" i="68" a="1"/>
  <c r="EE1" i="68" s="1"/>
  <c r="I285" i="97" a="1"/>
  <c r="I285" i="97" s="1"/>
  <c r="D286" i="96" a="1"/>
  <c r="D286" i="96" s="1"/>
  <c r="H283" i="83" a="1"/>
  <c r="H283" i="83" s="1"/>
  <c r="I283" i="29" a="1"/>
  <c r="I283" i="29" s="1"/>
  <c r="D282" i="85" a="1"/>
  <c r="D282" i="85" s="1"/>
  <c r="I282" i="100" a="1"/>
  <c r="I282" i="100" s="1"/>
  <c r="DA3" i="68" a="1"/>
  <c r="DA3" i="68" s="1"/>
  <c r="I284" i="100" a="1"/>
  <c r="I284" i="100" s="1"/>
  <c r="O1" i="68" a="1"/>
  <c r="O1" i="68" s="1"/>
  <c r="H283" i="76" a="1"/>
  <c r="H283" i="76" s="1"/>
  <c r="F285" i="81" a="1"/>
  <c r="F285" i="81" s="1"/>
  <c r="D283" i="77" a="1"/>
  <c r="D283" i="77" s="1"/>
  <c r="BR4" i="68" a="1"/>
  <c r="BR4" i="68" s="1"/>
  <c r="F283" i="80" a="1"/>
  <c r="F283" i="80" s="1"/>
  <c r="G285" i="95" a="1"/>
  <c r="G285" i="95" s="1"/>
  <c r="D282" i="91" a="1"/>
  <c r="D282" i="91" s="1"/>
  <c r="F283" i="82" a="1"/>
  <c r="F283" i="82" s="1"/>
  <c r="I282" i="96" a="1"/>
  <c r="I282" i="96" s="1"/>
  <c r="G283" i="95" a="1"/>
  <c r="G283" i="95" s="1"/>
  <c r="D282" i="74" a="1"/>
  <c r="D282" i="74" s="1"/>
  <c r="D286" i="79" a="1"/>
  <c r="D286" i="79" s="1"/>
  <c r="D286" i="77" a="1"/>
  <c r="D286" i="77" s="1"/>
  <c r="F288" i="102" a="1"/>
  <c r="F288" i="102" s="1"/>
  <c r="G287" i="99" a="1"/>
  <c r="G287" i="99" s="1"/>
  <c r="D288" i="100" a="1"/>
  <c r="D288" i="100" s="1"/>
  <c r="G287" i="95" a="1"/>
  <c r="G287" i="95" s="1"/>
  <c r="H287" i="29" a="1"/>
  <c r="H287" i="29" s="1"/>
  <c r="F288" i="77" a="1"/>
  <c r="F288" i="77" s="1"/>
  <c r="H287" i="96" a="1"/>
  <c r="H287" i="96" s="1"/>
  <c r="F288" i="95" a="1"/>
  <c r="F288" i="95" s="1"/>
  <c r="H287" i="97" a="1"/>
  <c r="H287" i="97" s="1"/>
  <c r="H285" i="89" a="1"/>
  <c r="H285" i="89" s="1"/>
  <c r="D284" i="99" a="1"/>
  <c r="D284" i="99" s="1"/>
  <c r="H284" i="101" a="1"/>
  <c r="H284" i="101" s="1"/>
  <c r="G282" i="94" a="1"/>
  <c r="G282" i="94" s="1"/>
  <c r="D280" i="80" a="1"/>
  <c r="D280" i="80" s="1"/>
  <c r="I284" i="83" a="1"/>
  <c r="I284" i="83" s="1"/>
  <c r="D285" i="90" a="1"/>
  <c r="D285" i="90" s="1"/>
  <c r="CL1" i="68" a="1"/>
  <c r="CL1" i="68" s="1"/>
  <c r="I281" i="85" a="1"/>
  <c r="I281" i="85" s="1"/>
  <c r="D281" i="100" a="1"/>
  <c r="D281" i="100" s="1"/>
  <c r="I285" i="94" a="1"/>
  <c r="I285" i="94" s="1"/>
  <c r="F284" i="88" a="1"/>
  <c r="F284" i="88" s="1"/>
  <c r="I280" i="81" a="1"/>
  <c r="I280" i="81" s="1"/>
  <c r="I282" i="92" a="1"/>
  <c r="I282" i="92" s="1"/>
  <c r="I282" i="80" a="1"/>
  <c r="I282" i="80" s="1"/>
  <c r="AD8" i="68" a="1"/>
  <c r="AD8" i="68" s="1"/>
  <c r="G280" i="96" a="1"/>
  <c r="G280" i="96" s="1"/>
  <c r="DF7" i="68" a="1"/>
  <c r="DF7" i="68" s="1"/>
  <c r="D282" i="101" a="1"/>
  <c r="D282" i="101" s="1"/>
  <c r="D285" i="76" a="1"/>
  <c r="D285" i="76" s="1"/>
  <c r="CQ3" i="68" a="1"/>
  <c r="CQ3" i="68" s="1"/>
  <c r="AI4" i="68" a="1"/>
  <c r="AI4" i="68" s="1"/>
  <c r="G282" i="93" a="1"/>
  <c r="G282" i="93" s="1"/>
  <c r="D285" i="29" a="1"/>
  <c r="D285" i="29" s="1"/>
  <c r="H281" i="95" a="1"/>
  <c r="H281" i="95" s="1"/>
  <c r="D282" i="94" a="1"/>
  <c r="D282" i="94" s="1"/>
  <c r="G280" i="76" a="1"/>
  <c r="G280" i="76" s="1"/>
  <c r="BR7" i="68" a="1"/>
  <c r="BR7" i="68" s="1"/>
  <c r="H285" i="81" a="1"/>
  <c r="H285" i="81" s="1"/>
  <c r="H280" i="79" a="1"/>
  <c r="H280" i="79" s="1"/>
  <c r="CB1" i="68" a="1"/>
  <c r="CB1" i="68" s="1"/>
  <c r="F281" i="88" a="1"/>
  <c r="F281" i="88" s="1"/>
  <c r="F283" i="88" a="1"/>
  <c r="F283" i="88" s="1"/>
  <c r="F284" i="103" a="1"/>
  <c r="F284" i="103" s="1"/>
  <c r="H281" i="89" a="1"/>
  <c r="H281" i="89" s="1"/>
  <c r="CV5" i="68" a="1"/>
  <c r="CV5" i="68" s="1"/>
  <c r="H283" i="102" a="1"/>
  <c r="H283" i="102" s="1"/>
  <c r="D285" i="85" a="1"/>
  <c r="D285" i="85" s="1"/>
  <c r="FX4" i="68" a="1"/>
  <c r="FX4" i="68" s="1"/>
  <c r="F286" i="83" a="1"/>
  <c r="F286" i="83" s="1"/>
  <c r="H282" i="97" a="1"/>
  <c r="H282" i="97" s="1"/>
  <c r="D280" i="100" a="1"/>
  <c r="D280" i="100" s="1"/>
  <c r="AI5" i="68" a="1"/>
  <c r="AI5" i="68" s="1"/>
  <c r="F313" i="104" a="1"/>
  <c r="F313" i="104" s="1"/>
  <c r="H281" i="85" a="1"/>
  <c r="H281" i="85" s="1"/>
  <c r="FS1" i="68" a="1"/>
  <c r="FS1" i="68" s="1"/>
  <c r="CL8" i="68" a="1"/>
  <c r="CL8" i="68" s="1"/>
  <c r="G283" i="99" a="1"/>
  <c r="G283" i="99" s="1"/>
  <c r="FS3" i="68" a="1"/>
  <c r="FS3" i="68" s="1"/>
  <c r="I284" i="99" a="1"/>
  <c r="I284" i="99" s="1"/>
  <c r="H284" i="82" a="1"/>
  <c r="H284" i="82" s="1"/>
  <c r="O4" i="68" a="1"/>
  <c r="O4" i="68" s="1"/>
  <c r="G284" i="83" a="1"/>
  <c r="G284" i="83" s="1"/>
  <c r="G283" i="93" a="1"/>
  <c r="G283" i="93" s="1"/>
  <c r="H280" i="94" a="1"/>
  <c r="H280" i="94" s="1"/>
  <c r="F283" i="100" a="1"/>
  <c r="F283" i="100" s="1"/>
  <c r="F280" i="79" a="1"/>
  <c r="F280" i="79" s="1"/>
  <c r="AN8" i="68" a="1"/>
  <c r="AN8" i="68" s="1"/>
  <c r="I281" i="84" a="1"/>
  <c r="I281" i="84" s="1"/>
  <c r="D286" i="89" a="1"/>
  <c r="D286" i="89" s="1"/>
  <c r="DK4" i="68" a="1"/>
  <c r="DK4" i="68" s="1"/>
  <c r="G282" i="99" a="1"/>
  <c r="G282" i="99" s="1"/>
  <c r="BW2" i="68" a="1"/>
  <c r="BW2" i="68" s="1"/>
  <c r="G281" i="97" a="1"/>
  <c r="G281" i="97" s="1"/>
  <c r="DP1" i="68" a="1"/>
  <c r="DP1" i="68" s="1"/>
  <c r="H280" i="103" a="1"/>
  <c r="H280" i="103" s="1"/>
  <c r="F282" i="75" a="1"/>
  <c r="F282" i="75" s="1"/>
  <c r="F282" i="85" a="1"/>
  <c r="F282" i="85" s="1"/>
  <c r="H282" i="90" a="1"/>
  <c r="H282" i="90" s="1"/>
  <c r="J9" i="68" a="1"/>
  <c r="J9" i="68" s="1"/>
  <c r="F285" i="102" a="1"/>
  <c r="F285" i="102" s="1"/>
  <c r="AD5" i="68" a="1"/>
  <c r="AD5" i="68" s="1"/>
  <c r="H284" i="94" a="1"/>
  <c r="H284" i="94" s="1"/>
  <c r="H281" i="96" a="1"/>
  <c r="H281" i="96" s="1"/>
  <c r="F281" i="80" a="1"/>
  <c r="F281" i="80" s="1"/>
  <c r="I283" i="102" a="1"/>
  <c r="I283" i="102" s="1"/>
  <c r="AD9" i="68" a="1"/>
  <c r="AD9" i="68" s="1"/>
  <c r="F280" i="99" a="1"/>
  <c r="F280" i="99" s="1"/>
  <c r="I283" i="88" a="1"/>
  <c r="I283" i="88" s="1"/>
  <c r="H282" i="81" a="1"/>
  <c r="H282" i="81" s="1"/>
  <c r="D281" i="81" a="1"/>
  <c r="D281" i="81" s="1"/>
  <c r="BW10" i="68" a="1"/>
  <c r="BW10" i="68" s="1"/>
  <c r="F285" i="78" a="1"/>
  <c r="F285" i="78" s="1"/>
  <c r="GC3" i="68" a="1"/>
  <c r="GC3" i="68" s="1"/>
  <c r="D286" i="82" a="1"/>
  <c r="D286" i="82" s="1"/>
  <c r="H280" i="91" a="1"/>
  <c r="H280" i="91" s="1"/>
  <c r="H284" i="77" a="1"/>
  <c r="H284" i="77" s="1"/>
  <c r="FX7" i="68" a="1"/>
  <c r="FX7" i="68" s="1"/>
  <c r="H280" i="97" a="1"/>
  <c r="H280" i="97" s="1"/>
  <c r="D286" i="97" a="1"/>
  <c r="D286" i="97" s="1"/>
  <c r="F285" i="85" a="1"/>
  <c r="F285" i="85" s="1"/>
  <c r="E8" i="68" a="1"/>
  <c r="E8" i="68" s="1"/>
  <c r="D283" i="91" a="1"/>
  <c r="D283" i="91" s="1"/>
  <c r="D283" i="84" a="1"/>
  <c r="D283" i="84" s="1"/>
  <c r="I280" i="80" a="1"/>
  <c r="I280" i="80" s="1"/>
  <c r="I284" i="91" a="1"/>
  <c r="I284" i="91" s="1"/>
  <c r="DZ3" i="68" a="1"/>
  <c r="DZ3" i="68" s="1"/>
  <c r="H282" i="86" a="1"/>
  <c r="H282" i="86" s="1"/>
  <c r="D285" i="94" a="1"/>
  <c r="D285" i="94" s="1"/>
  <c r="F285" i="93" a="1"/>
  <c r="F285" i="93" s="1"/>
  <c r="I282" i="84" a="1"/>
  <c r="I282" i="84" s="1"/>
  <c r="G282" i="84" a="1"/>
  <c r="G282" i="84" s="1"/>
  <c r="DK9" i="68" a="1"/>
  <c r="DK9" i="68" s="1"/>
  <c r="F281" i="100" a="1"/>
  <c r="F281" i="100" s="1"/>
  <c r="DP5" i="68" a="1"/>
  <c r="DP5" i="68" s="1"/>
  <c r="I283" i="103" a="1"/>
  <c r="I283" i="103" s="1"/>
  <c r="F285" i="86" a="1"/>
  <c r="F285" i="86" s="1"/>
  <c r="AX4" i="68" a="1"/>
  <c r="AX4" i="68" s="1"/>
  <c r="D284" i="92" a="1"/>
  <c r="D284" i="92" s="1"/>
  <c r="CL4" i="68" a="1"/>
  <c r="CL4" i="68" s="1"/>
  <c r="FX2" i="68" a="1"/>
  <c r="FX2" i="68" s="1"/>
  <c r="EE2" i="68" a="1"/>
  <c r="EE2" i="68" s="1"/>
  <c r="H282" i="29" a="1"/>
  <c r="H282" i="29" s="1"/>
  <c r="F280" i="92" a="1"/>
  <c r="F280" i="92" s="1"/>
  <c r="FS10" i="68" a="1"/>
  <c r="FS10" i="68" s="1"/>
  <c r="H285" i="85" a="1"/>
  <c r="H285" i="85" s="1"/>
  <c r="CQ9" i="68" a="1"/>
  <c r="CQ9" i="68" s="1"/>
  <c r="H284" i="95" a="1"/>
  <c r="H284" i="95" s="1"/>
  <c r="G284" i="76" a="1"/>
  <c r="G284" i="76" s="1"/>
  <c r="H285" i="29" a="1"/>
  <c r="H285" i="29" s="1"/>
  <c r="BH1" i="68" a="1"/>
  <c r="BH1" i="68" s="1"/>
  <c r="F280" i="103" a="1"/>
  <c r="F280" i="103" s="1"/>
  <c r="I306" i="104" a="1"/>
  <c r="I306" i="104" s="1"/>
  <c r="I286" i="99" a="1"/>
  <c r="I286" i="99" s="1"/>
  <c r="D286" i="92" a="1"/>
  <c r="D286" i="92" s="1"/>
  <c r="D280" i="83" a="1"/>
  <c r="D280" i="83" s="1"/>
  <c r="EJ5" i="68" a="1"/>
  <c r="EJ5" i="68" s="1"/>
  <c r="G282" i="91" a="1"/>
  <c r="G282" i="91" s="1"/>
  <c r="G280" i="97" a="1"/>
  <c r="G280" i="97" s="1"/>
  <c r="DU8" i="68" a="1"/>
  <c r="DU8" i="68" s="1"/>
  <c r="G284" i="78" a="1"/>
  <c r="G284" i="78" s="1"/>
  <c r="FX5" i="68" a="1"/>
  <c r="FX5" i="68" s="1"/>
  <c r="D281" i="90" a="1"/>
  <c r="D281" i="90" s="1"/>
  <c r="GC5" i="68" a="1"/>
  <c r="GC5" i="68" s="1"/>
  <c r="FX8" i="68" a="1"/>
  <c r="FX8" i="68" s="1"/>
  <c r="F285" i="79" a="1"/>
  <c r="F285" i="79" s="1"/>
  <c r="AS8" i="68" a="1"/>
  <c r="AS8" i="68" s="1"/>
  <c r="ET5" i="68" a="1"/>
  <c r="ET5" i="68" s="1"/>
  <c r="H283" i="93" a="1"/>
  <c r="H283" i="93" s="1"/>
  <c r="I280" i="101" a="1"/>
  <c r="I280" i="101" s="1"/>
  <c r="D284" i="29" a="1"/>
  <c r="D284" i="29" s="1"/>
  <c r="G280" i="86" a="1"/>
  <c r="G280" i="86" s="1"/>
  <c r="EJ2" i="68" a="1"/>
  <c r="EJ2" i="68" s="1"/>
  <c r="I280" i="100" a="1"/>
  <c r="I280" i="100" s="1"/>
  <c r="FN3" i="68" a="1"/>
  <c r="FN3" i="68" s="1"/>
  <c r="F286" i="93" a="1"/>
  <c r="F286" i="93" s="1"/>
  <c r="F280" i="76" a="1"/>
  <c r="F280" i="76" s="1"/>
  <c r="I280" i="29" a="1"/>
  <c r="I280" i="29" s="1"/>
  <c r="F286" i="99" a="1"/>
  <c r="F286" i="99" s="1"/>
  <c r="D283" i="29" a="1"/>
  <c r="D283" i="29" s="1"/>
  <c r="F282" i="34" a="1"/>
  <c r="F282" i="34" s="1"/>
  <c r="AS1" i="68" a="1"/>
  <c r="AS1" i="68" s="1"/>
  <c r="H282" i="74" a="1"/>
  <c r="H282" i="74" s="1"/>
  <c r="G283" i="97" a="1"/>
  <c r="G283" i="97" s="1"/>
  <c r="H284" i="89" a="1"/>
  <c r="H284" i="89" s="1"/>
  <c r="G282" i="85" a="1"/>
  <c r="G282" i="85" s="1"/>
  <c r="I280" i="34" a="1"/>
  <c r="I280" i="34" s="1"/>
  <c r="BH7" i="68" a="1"/>
  <c r="BH7" i="68" s="1"/>
  <c r="D282" i="102" a="1"/>
  <c r="D282" i="102" s="1"/>
  <c r="H283" i="90" a="1"/>
  <c r="H283" i="90" s="1"/>
  <c r="G284" i="88" a="1"/>
  <c r="G284" i="88" s="1"/>
  <c r="G281" i="96" a="1"/>
  <c r="G281" i="96" s="1"/>
  <c r="CG2" i="68" a="1"/>
  <c r="CG2" i="68" s="1"/>
  <c r="AN5" i="68" a="1"/>
  <c r="AN5" i="68" s="1"/>
  <c r="F281" i="91" a="1"/>
  <c r="F281" i="91" s="1"/>
  <c r="D283" i="99" a="1"/>
  <c r="D283" i="99" s="1"/>
  <c r="G281" i="90" a="1"/>
  <c r="G281" i="90" s="1"/>
  <c r="EY1" i="68" a="1"/>
  <c r="EY1" i="68" s="1"/>
  <c r="D284" i="78" a="1"/>
  <c r="D284" i="78" s="1"/>
  <c r="FI9" i="68" a="1"/>
  <c r="FI9" i="68" s="1"/>
  <c r="AN4" i="68" a="1"/>
  <c r="AN4" i="68" s="1"/>
  <c r="T10" i="68" a="1"/>
  <c r="T10" i="68" s="1"/>
  <c r="D283" i="90" a="1"/>
  <c r="D283" i="90" s="1"/>
  <c r="I282" i="95" a="1"/>
  <c r="I282" i="95" s="1"/>
  <c r="DA1" i="68" a="1"/>
  <c r="DA1" i="68" s="1"/>
  <c r="H281" i="75" a="1"/>
  <c r="H281" i="75" s="1"/>
  <c r="H281" i="97" a="1"/>
  <c r="H281" i="97" s="1"/>
  <c r="CG10" i="68" a="1"/>
  <c r="CG10" i="68" s="1"/>
  <c r="H281" i="34" a="1"/>
  <c r="H281" i="34" s="1"/>
  <c r="G285" i="84" a="1"/>
  <c r="G285" i="84" s="1"/>
  <c r="I280" i="95" a="1"/>
  <c r="I280" i="95" s="1"/>
  <c r="EE4" i="68" a="1"/>
  <c r="EE4" i="68" s="1"/>
  <c r="I282" i="74" a="1"/>
  <c r="I282" i="74" s="1"/>
  <c r="G282" i="86" a="1"/>
  <c r="G282" i="86" s="1"/>
  <c r="T9" i="68" a="1"/>
  <c r="T9" i="68" s="1"/>
  <c r="I280" i="99" a="1"/>
  <c r="I280" i="99" s="1"/>
  <c r="I283" i="81" a="1"/>
  <c r="I283" i="81" s="1"/>
  <c r="H281" i="94" a="1"/>
  <c r="H281" i="94" s="1"/>
  <c r="H280" i="99" a="1"/>
  <c r="H280" i="99" s="1"/>
  <c r="F285" i="100" a="1"/>
  <c r="F285" i="100" s="1"/>
  <c r="H281" i="103" a="1"/>
  <c r="H281" i="103" s="1"/>
  <c r="D281" i="88" a="1"/>
  <c r="D281" i="88" s="1"/>
  <c r="G284" i="96" a="1"/>
  <c r="G284" i="96" s="1"/>
  <c r="G284" i="94" a="1"/>
  <c r="G284" i="94" s="1"/>
  <c r="F297" i="104" a="1"/>
  <c r="F297" i="104" s="1"/>
  <c r="G285" i="34" a="1"/>
  <c r="G285" i="34" s="1"/>
  <c r="H284" i="103" a="1"/>
  <c r="H284" i="103" s="1"/>
  <c r="CB2" i="68" a="1"/>
  <c r="CB2" i="68" s="1"/>
  <c r="H281" i="74" a="1"/>
  <c r="H281" i="74" s="1"/>
  <c r="I281" i="77" a="1"/>
  <c r="I281" i="77" s="1"/>
  <c r="D283" i="96" a="1"/>
  <c r="D283" i="96" s="1"/>
  <c r="DA8" i="68" a="1"/>
  <c r="DA8" i="68" s="1"/>
  <c r="H280" i="93" a="1"/>
  <c r="H280" i="93" s="1"/>
  <c r="D282" i="75" a="1"/>
  <c r="D282" i="75" s="1"/>
  <c r="CG7" i="68" a="1"/>
  <c r="CG7" i="68" s="1"/>
  <c r="CB9" i="68" a="1"/>
  <c r="CB9" i="68" s="1"/>
  <c r="G285" i="81" a="1"/>
  <c r="G285" i="81" s="1"/>
  <c r="G281" i="100" a="1"/>
  <c r="G281" i="100" s="1"/>
  <c r="H282" i="94" a="1"/>
  <c r="H282" i="94" s="1"/>
  <c r="FD1" i="68" a="1"/>
  <c r="FD1" i="68" s="1"/>
  <c r="I281" i="91" a="1"/>
  <c r="I281" i="91" s="1"/>
  <c r="D282" i="96" a="1"/>
  <c r="D282" i="96" s="1"/>
  <c r="BC5" i="68" a="1"/>
  <c r="BC5" i="68" s="1"/>
  <c r="AS2" i="68" a="1"/>
  <c r="AS2" i="68" s="1"/>
  <c r="H283" i="77" a="1"/>
  <c r="H283" i="77" s="1"/>
  <c r="F286" i="94" a="1"/>
  <c r="F286" i="94" s="1"/>
  <c r="DU10" i="68" a="1"/>
  <c r="DU10" i="68" s="1"/>
  <c r="D282" i="81" a="1"/>
  <c r="D282" i="81" s="1"/>
  <c r="H283" i="94" a="1"/>
  <c r="H283" i="94" s="1"/>
  <c r="I280" i="96" a="1"/>
  <c r="I280" i="96" s="1"/>
  <c r="G280" i="93" a="1"/>
  <c r="G280" i="93" s="1"/>
  <c r="I282" i="82" a="1"/>
  <c r="I282" i="82" s="1"/>
  <c r="D286" i="90" a="1"/>
  <c r="D286" i="90" s="1"/>
  <c r="D286" i="103" a="1"/>
  <c r="D286" i="103" s="1"/>
  <c r="F281" i="85" a="1"/>
  <c r="F281" i="85" s="1"/>
  <c r="D283" i="74" a="1"/>
  <c r="D283" i="74" s="1"/>
  <c r="I285" i="100" a="1"/>
  <c r="I285" i="100" s="1"/>
  <c r="H280" i="95" a="1"/>
  <c r="H280" i="95" s="1"/>
  <c r="F285" i="94" a="1"/>
  <c r="F285" i="94" s="1"/>
  <c r="H282" i="101" a="1"/>
  <c r="H282" i="101" s="1"/>
  <c r="D284" i="75" a="1"/>
  <c r="D284" i="75" s="1"/>
  <c r="F283" i="92" a="1"/>
  <c r="F283" i="92" s="1"/>
  <c r="CB8" i="68" a="1"/>
  <c r="CB8" i="68" s="1"/>
  <c r="I290" i="104" a="1"/>
  <c r="I290" i="104" s="1"/>
  <c r="H283" i="95" a="1"/>
  <c r="H283" i="95" s="1"/>
  <c r="F286" i="102" a="1"/>
  <c r="F286" i="102" s="1"/>
  <c r="D280" i="86" a="1"/>
  <c r="D280" i="86" s="1"/>
  <c r="D280" i="92" a="1"/>
  <c r="D280" i="92" s="1"/>
  <c r="G285" i="90" a="1"/>
  <c r="G285" i="90" s="1"/>
  <c r="I280" i="75" a="1"/>
  <c r="I280" i="75" s="1"/>
  <c r="CB10" i="68" a="1"/>
  <c r="CB10" i="68" s="1"/>
  <c r="F283" i="103" a="1"/>
  <c r="F283" i="103" s="1"/>
  <c r="F281" i="78" a="1"/>
  <c r="F281" i="78" s="1"/>
  <c r="F285" i="97" a="1"/>
  <c r="F285" i="97" s="1"/>
  <c r="GC8" i="68" a="1"/>
  <c r="GC8" i="68" s="1"/>
  <c r="G281" i="93" a="1"/>
  <c r="G281" i="93" s="1"/>
  <c r="D284" i="93" a="1"/>
  <c r="D284" i="93" s="1"/>
  <c r="DZ2" i="68" a="1"/>
  <c r="DZ2" i="68" s="1"/>
  <c r="DP8" i="68" a="1"/>
  <c r="DP8" i="68" s="1"/>
  <c r="G285" i="89" a="1"/>
  <c r="G285" i="89" s="1"/>
  <c r="G280" i="34" a="1"/>
  <c r="G280" i="34" s="1"/>
  <c r="EE5" i="68" a="1"/>
  <c r="EE5" i="68" s="1"/>
  <c r="H281" i="99" a="1"/>
  <c r="H281" i="99" s="1"/>
  <c r="D281" i="78" a="1"/>
  <c r="D281" i="78" s="1"/>
  <c r="I281" i="90" a="1"/>
  <c r="I281" i="90" s="1"/>
  <c r="AI8" i="68" a="1"/>
  <c r="AI8" i="68" s="1"/>
  <c r="G284" i="85" a="1"/>
  <c r="G284" i="85" s="1"/>
  <c r="H280" i="90" a="1"/>
  <c r="H280" i="90" s="1"/>
  <c r="I282" i="34" a="1"/>
  <c r="I282" i="34" s="1"/>
  <c r="F283" i="91" a="1"/>
  <c r="F283" i="91" s="1"/>
  <c r="H285" i="93" a="1"/>
  <c r="H285" i="93" s="1"/>
  <c r="H282" i="75" a="1"/>
  <c r="H282" i="75" s="1"/>
  <c r="G285" i="83" a="1"/>
  <c r="G285" i="83" s="1"/>
  <c r="D284" i="90" a="1"/>
  <c r="D284" i="90" s="1"/>
  <c r="F281" i="86" a="1"/>
  <c r="F281" i="86" s="1"/>
  <c r="BM4" i="68" a="1"/>
  <c r="BM4" i="68" s="1"/>
  <c r="F284" i="34" a="1"/>
  <c r="F284" i="34" s="1"/>
  <c r="DK3" i="68" a="1"/>
  <c r="DK3" i="68" s="1"/>
  <c r="I283" i="90" a="1"/>
  <c r="I283" i="90" s="1"/>
  <c r="F283" i="79" a="1"/>
  <c r="F283" i="79" s="1"/>
  <c r="AS9" i="68" a="1"/>
  <c r="AS9" i="68" s="1"/>
  <c r="D280" i="81" a="1"/>
  <c r="D280" i="81" s="1"/>
  <c r="FI10" i="68" a="1"/>
  <c r="FI10" i="68" s="1"/>
  <c r="AS3" i="68" a="1"/>
  <c r="AS3" i="68" s="1"/>
  <c r="I283" i="97" a="1"/>
  <c r="I283" i="97" s="1"/>
  <c r="F283" i="96" a="1"/>
  <c r="F283" i="96" s="1"/>
  <c r="D280" i="88" a="1"/>
  <c r="D280" i="88" s="1"/>
  <c r="F284" i="92" a="1"/>
  <c r="F284" i="92" s="1"/>
  <c r="H283" i="101" a="1"/>
  <c r="H283" i="101" s="1"/>
  <c r="EY4" i="68" a="1"/>
  <c r="EY4" i="68" s="1"/>
  <c r="G281" i="94" a="1"/>
  <c r="G281" i="94" s="1"/>
  <c r="H282" i="102" a="1"/>
  <c r="H282" i="102" s="1"/>
  <c r="G281" i="81" a="1"/>
  <c r="G281" i="81" s="1"/>
  <c r="FN8" i="68" a="1"/>
  <c r="FN8" i="68" s="1"/>
  <c r="D282" i="90" a="1"/>
  <c r="D282" i="90" s="1"/>
  <c r="DK2" i="68" a="1"/>
  <c r="DK2" i="68" s="1"/>
  <c r="H282" i="79" a="1"/>
  <c r="H282" i="79" s="1"/>
  <c r="D282" i="29" a="1"/>
  <c r="D282" i="29" s="1"/>
  <c r="G284" i="91" a="1"/>
  <c r="G284" i="91" s="1"/>
  <c r="ET9" i="68" a="1"/>
  <c r="ET9" i="68" s="1"/>
  <c r="G284" i="90" a="1"/>
  <c r="G284" i="90" s="1"/>
  <c r="H281" i="86" a="1"/>
  <c r="H281" i="86" s="1"/>
  <c r="F282" i="93" a="1"/>
  <c r="F282" i="93" s="1"/>
  <c r="F282" i="99" a="1"/>
  <c r="F282" i="99" s="1"/>
  <c r="G281" i="78" a="1"/>
  <c r="G281" i="78" s="1"/>
  <c r="G285" i="79" a="1"/>
  <c r="G285" i="79" s="1"/>
  <c r="H281" i="84" a="1"/>
  <c r="H281" i="84" s="1"/>
  <c r="G283" i="94" a="1"/>
  <c r="G283" i="94" s="1"/>
  <c r="T5" i="68" a="1"/>
  <c r="T5" i="68" s="1"/>
  <c r="D284" i="100" a="1"/>
  <c r="D284" i="100" s="1"/>
  <c r="I282" i="102" a="1"/>
  <c r="I282" i="102" s="1"/>
  <c r="D282" i="103" a="1"/>
  <c r="D282" i="103" s="1"/>
  <c r="I285" i="85" a="1"/>
  <c r="I285" i="85" s="1"/>
  <c r="D284" i="89" a="1"/>
  <c r="D284" i="89" s="1"/>
  <c r="F283" i="83" a="1"/>
  <c r="F283" i="83" s="1"/>
  <c r="F282" i="95" a="1"/>
  <c r="F282" i="95" s="1"/>
  <c r="D283" i="95" a="1"/>
  <c r="D283" i="95" s="1"/>
  <c r="G280" i="85" a="1"/>
  <c r="G280" i="85" s="1"/>
  <c r="G284" i="92" a="1"/>
  <c r="G284" i="92" s="1"/>
  <c r="D286" i="86" a="1"/>
  <c r="D286" i="86" s="1"/>
  <c r="I281" i="92" a="1"/>
  <c r="I281" i="92" s="1"/>
  <c r="D285" i="102" a="1"/>
  <c r="D285" i="102" s="1"/>
  <c r="O3" i="68" a="1"/>
  <c r="O3" i="68" s="1"/>
  <c r="H284" i="102" a="1"/>
  <c r="H284" i="102" s="1"/>
  <c r="O10" i="68" a="1"/>
  <c r="O10" i="68" s="1"/>
  <c r="F280" i="93" a="1"/>
  <c r="F280" i="93" s="1"/>
  <c r="F281" i="81" a="1"/>
  <c r="F281" i="81" s="1"/>
  <c r="H281" i="29" a="1"/>
  <c r="H281" i="29" s="1"/>
  <c r="H280" i="84" a="1"/>
  <c r="H280" i="84" s="1"/>
  <c r="I284" i="81" a="1"/>
  <c r="I284" i="81" s="1"/>
  <c r="F285" i="91" a="1"/>
  <c r="F285" i="91" s="1"/>
  <c r="EE9" i="68" a="1"/>
  <c r="EE9" i="68" s="1"/>
  <c r="F284" i="91" a="1"/>
  <c r="F284" i="91" s="1"/>
  <c r="G280" i="83" a="1"/>
  <c r="G280" i="83" s="1"/>
  <c r="I282" i="94" a="1"/>
  <c r="I282" i="94" s="1"/>
  <c r="AD3" i="68" a="1"/>
  <c r="AD3" i="68" s="1"/>
  <c r="BC4" i="68" a="1"/>
  <c r="BC4" i="68" s="1"/>
  <c r="CL7" i="68" a="1"/>
  <c r="CL7" i="68" s="1"/>
  <c r="D280" i="89" a="1"/>
  <c r="D280" i="89" s="1"/>
  <c r="G281" i="92" a="1"/>
  <c r="G281" i="92" s="1"/>
  <c r="I284" i="102" a="1"/>
  <c r="I284" i="102" s="1"/>
  <c r="D281" i="93" a="1"/>
  <c r="D281" i="93" s="1"/>
  <c r="BR2" i="68" a="1"/>
  <c r="BR2" i="68" s="1"/>
  <c r="F280" i="100" a="1"/>
  <c r="F280" i="100" s="1"/>
  <c r="F286" i="88" a="1"/>
  <c r="F286" i="88" s="1"/>
  <c r="F280" i="29" a="1"/>
  <c r="F280" i="29" s="1"/>
  <c r="D285" i="81" a="1"/>
  <c r="D285" i="81" s="1"/>
  <c r="D280" i="103" a="1"/>
  <c r="D280" i="103" s="1"/>
  <c r="EJ10" i="68" a="1"/>
  <c r="EJ10" i="68" s="1"/>
  <c r="GC9" i="68" a="1"/>
  <c r="GC9" i="68" s="1"/>
  <c r="H282" i="89" a="1"/>
  <c r="H282" i="89" s="1"/>
  <c r="G280" i="95" a="1"/>
  <c r="G280" i="95" s="1"/>
  <c r="Y9" i="68" a="1"/>
  <c r="Y9" i="68" s="1"/>
  <c r="D280" i="99" a="1"/>
  <c r="D280" i="99" s="1"/>
  <c r="GC1" i="68" a="1"/>
  <c r="GC1" i="68" s="1"/>
  <c r="DP4" i="68" a="1"/>
  <c r="DP4" i="68" s="1"/>
  <c r="G282" i="103" a="1"/>
  <c r="G282" i="103" s="1"/>
  <c r="FN2" i="68" a="1"/>
  <c r="FN2" i="68" s="1"/>
  <c r="I284" i="88" a="1"/>
  <c r="I284" i="88" s="1"/>
  <c r="ET7" i="68" a="1"/>
  <c r="ET7" i="68" s="1"/>
  <c r="H284" i="85" a="1"/>
  <c r="H284" i="85" s="1"/>
  <c r="DP7" i="68" a="1"/>
  <c r="DP7" i="68" s="1"/>
  <c r="BC10" i="68" a="1"/>
  <c r="BC10" i="68" s="1"/>
  <c r="F281" i="99" a="1"/>
  <c r="F281" i="99" s="1"/>
  <c r="O2" i="68" a="1"/>
  <c r="O2" i="68" s="1"/>
  <c r="FI1" i="68" a="1"/>
  <c r="FI1" i="68" s="1"/>
  <c r="F284" i="81" a="1"/>
  <c r="F284" i="81" s="1"/>
  <c r="BR8" i="68" a="1"/>
  <c r="BR8" i="68" s="1"/>
  <c r="Y7" i="68" a="1"/>
  <c r="Y7" i="68" s="1"/>
  <c r="FS2" i="68" a="1"/>
  <c r="FS2" i="68" s="1"/>
  <c r="E3" i="68" a="1"/>
  <c r="E3" i="68" s="1"/>
  <c r="H280" i="81" a="1"/>
  <c r="H280" i="81" s="1"/>
  <c r="BW3" i="68" a="1"/>
  <c r="BW3" i="68" s="1"/>
  <c r="FI8" i="68" a="1"/>
  <c r="FI8" i="68" s="1"/>
  <c r="G284" i="102" a="1"/>
  <c r="G284" i="102" s="1"/>
  <c r="G284" i="95" a="1"/>
  <c r="G284" i="95" s="1"/>
  <c r="AD7" i="68" a="1"/>
  <c r="AD7" i="68" s="1"/>
  <c r="DZ1" i="68" a="1"/>
  <c r="DZ1" i="68" s="1"/>
  <c r="BH2" i="68" a="1"/>
  <c r="BH2" i="68" s="1"/>
  <c r="EO7" i="68" a="1"/>
  <c r="EO7" i="68" s="1"/>
  <c r="CV8" i="68" a="1"/>
  <c r="CV8" i="68" s="1"/>
  <c r="Y10" i="68" a="1"/>
  <c r="Y10" i="68" s="1"/>
  <c r="I316" i="104" a="1"/>
  <c r="I316" i="104" s="1"/>
  <c r="D316" i="104" a="1"/>
  <c r="D316" i="104" s="1"/>
  <c r="G315" i="104" a="1"/>
  <c r="G315" i="104" s="1"/>
  <c r="I314" i="104" a="1"/>
  <c r="I314" i="104" s="1"/>
  <c r="F314" i="104" a="1"/>
  <c r="F314" i="104" s="1"/>
  <c r="H313" i="104" a="1"/>
  <c r="H313" i="104" s="1"/>
  <c r="I312" i="104" a="1"/>
  <c r="I312" i="104" s="1"/>
  <c r="F312" i="104" a="1"/>
  <c r="F312" i="104" s="1"/>
  <c r="H311" i="104" a="1"/>
  <c r="H311" i="104" s="1"/>
  <c r="D311" i="104" a="1"/>
  <c r="D311" i="104" s="1"/>
  <c r="G310" i="104" a="1"/>
  <c r="G310" i="104" s="1"/>
  <c r="H309" i="104" a="1"/>
  <c r="H309" i="104" s="1"/>
  <c r="D309" i="104" a="1"/>
  <c r="D309" i="104" s="1"/>
  <c r="G308" i="104" a="1"/>
  <c r="G308" i="104" s="1"/>
  <c r="I307" i="104" a="1"/>
  <c r="I307" i="104" s="1"/>
  <c r="F307" i="104" a="1"/>
  <c r="F307" i="104" s="1"/>
  <c r="G306" i="104" a="1"/>
  <c r="G306" i="104" s="1"/>
  <c r="I305" i="104" a="1"/>
  <c r="I305" i="104" s="1"/>
  <c r="F305" i="104" a="1"/>
  <c r="F305" i="104" s="1"/>
  <c r="H304" i="104" a="1"/>
  <c r="H304" i="104" s="1"/>
  <c r="D304" i="104" a="1"/>
  <c r="D304" i="104" s="1"/>
  <c r="F303" i="104" a="1"/>
  <c r="F303" i="104" s="1"/>
  <c r="H302" i="104" a="1"/>
  <c r="H302" i="104" s="1"/>
  <c r="D302" i="104" a="1"/>
  <c r="D302" i="104" s="1"/>
  <c r="G301" i="104" a="1"/>
  <c r="G301" i="104" s="1"/>
  <c r="I300" i="104" a="1"/>
  <c r="I300" i="104" s="1"/>
  <c r="D300" i="104" a="1"/>
  <c r="D300" i="104" s="1"/>
  <c r="G299" i="104" a="1"/>
  <c r="G299" i="104" s="1"/>
  <c r="I298" i="104" a="1"/>
  <c r="I298" i="104" s="1"/>
  <c r="F298" i="104" a="1"/>
  <c r="F298" i="104" s="1"/>
  <c r="H297" i="104" a="1"/>
  <c r="H297" i="104" s="1"/>
  <c r="I296" i="104" a="1"/>
  <c r="I296" i="104" s="1"/>
  <c r="F296" i="104" a="1"/>
  <c r="F296" i="104" s="1"/>
  <c r="H295" i="104" a="1"/>
  <c r="H295" i="104" s="1"/>
  <c r="D295" i="104" a="1"/>
  <c r="D295" i="104" s="1"/>
  <c r="G294" i="104" a="1"/>
  <c r="G294" i="104" s="1"/>
  <c r="H293" i="104" a="1"/>
  <c r="H293" i="104" s="1"/>
  <c r="D293" i="104" a="1"/>
  <c r="D293" i="104" s="1"/>
  <c r="G292" i="104" a="1"/>
  <c r="G292" i="104" s="1"/>
  <c r="I291" i="104" a="1"/>
  <c r="I291" i="104" s="1"/>
  <c r="F291" i="104" a="1"/>
  <c r="F291" i="104" s="1"/>
  <c r="G290" i="104" a="1"/>
  <c r="G290" i="104" s="1"/>
  <c r="I289" i="104" a="1"/>
  <c r="I289" i="104" s="1"/>
  <c r="F289" i="104" a="1"/>
  <c r="F289" i="104" s="1"/>
  <c r="H288" i="104" a="1"/>
  <c r="H288" i="104" s="1"/>
  <c r="D288" i="104" a="1"/>
  <c r="D288" i="104" s="1"/>
  <c r="F287" i="104" a="1"/>
  <c r="F287" i="104" s="1"/>
  <c r="H286" i="104" a="1"/>
  <c r="H286" i="104" s="1"/>
  <c r="D286" i="104" a="1"/>
  <c r="D286" i="104" s="1"/>
  <c r="G285" i="104" a="1"/>
  <c r="G285" i="104" s="1"/>
  <c r="I284" i="104" a="1"/>
  <c r="I284" i="104" s="1"/>
  <c r="D284" i="104" a="1"/>
  <c r="D284" i="104" s="1"/>
  <c r="G283" i="104" a="1"/>
  <c r="G283" i="104" s="1"/>
  <c r="I282" i="104" a="1"/>
  <c r="I282" i="104" s="1"/>
  <c r="F282" i="104" a="1"/>
  <c r="F282" i="104" s="1"/>
  <c r="H281" i="104" a="1"/>
  <c r="H281" i="104" s="1"/>
  <c r="I280" i="104" a="1"/>
  <c r="I280" i="104" s="1"/>
  <c r="F280" i="104" a="1"/>
  <c r="F280" i="104" s="1"/>
  <c r="N280" i="104" s="1"/>
  <c r="N279" i="104" s="1"/>
  <c r="N6" i="104" s="1"/>
  <c r="N3" i="104" s="1"/>
  <c r="G283" i="76" a="1"/>
  <c r="G283" i="76" s="1"/>
  <c r="D282" i="73" a="1"/>
  <c r="D282" i="73" s="1"/>
  <c r="ET1" i="68" a="1"/>
  <c r="ET1" i="68" s="1"/>
  <c r="DK1" i="68" a="1"/>
  <c r="DK1" i="68" s="1"/>
  <c r="I280" i="89" a="1"/>
  <c r="I280" i="89" s="1"/>
  <c r="H283" i="74" a="1"/>
  <c r="H283" i="74" s="1"/>
  <c r="D280" i="74" a="1"/>
  <c r="D280" i="74" s="1"/>
  <c r="D284" i="85" a="1"/>
  <c r="D284" i="85" s="1"/>
  <c r="F284" i="73" a="1"/>
  <c r="F284" i="73" s="1"/>
  <c r="H284" i="74" a="1"/>
  <c r="H284" i="74" s="1"/>
  <c r="G284" i="101" a="1"/>
  <c r="G284" i="101" s="1"/>
  <c r="D285" i="73" a="1"/>
  <c r="D285" i="73" s="1"/>
  <c r="F285" i="76" a="1"/>
  <c r="F285" i="76" s="1"/>
  <c r="I282" i="103" a="1"/>
  <c r="I282" i="103" s="1"/>
  <c r="Y1" i="68" a="1"/>
  <c r="Y1" i="68" s="1"/>
  <c r="E9" i="68" a="1"/>
  <c r="E9" i="68" s="1"/>
  <c r="CG4" i="68" a="1"/>
  <c r="CG4" i="68" s="1"/>
  <c r="DA5" i="68" a="1"/>
  <c r="DA5" i="68" s="1"/>
  <c r="EE7" i="68" a="1"/>
  <c r="EE7" i="68" s="1"/>
  <c r="EY5" i="68" a="1"/>
  <c r="EY5" i="68" s="1"/>
  <c r="ET10" i="68" a="1"/>
  <c r="ET10" i="68" s="1"/>
  <c r="I284" i="95" a="1"/>
  <c r="I284" i="95" s="1"/>
  <c r="T8" i="68" a="1"/>
  <c r="T8" i="68" s="1"/>
  <c r="D285" i="95" a="1"/>
  <c r="D285" i="95" s="1"/>
  <c r="F285" i="95" a="1"/>
  <c r="F285" i="95" s="1"/>
  <c r="F281" i="96" a="1"/>
  <c r="F281" i="96" s="1"/>
  <c r="FX3" i="68" a="1"/>
  <c r="FX3" i="68" s="1"/>
  <c r="D284" i="82" a="1"/>
  <c r="D284" i="82" s="1"/>
  <c r="G281" i="88" a="1"/>
  <c r="G281" i="88" s="1"/>
  <c r="DF1" i="68" a="1"/>
  <c r="DF1" i="68" s="1"/>
  <c r="G280" i="91" a="1"/>
  <c r="G280" i="91" s="1"/>
  <c r="AX9" i="68" a="1"/>
  <c r="AX9" i="68" s="1"/>
  <c r="AX2" i="68" a="1"/>
  <c r="AX2" i="68" s="1"/>
  <c r="D280" i="101" a="1"/>
  <c r="D280" i="101" s="1"/>
  <c r="BR9" i="68" a="1"/>
  <c r="BR9" i="68" s="1"/>
  <c r="ET2" i="68" a="1"/>
  <c r="ET2" i="68" s="1"/>
  <c r="H284" i="88" a="1"/>
  <c r="H284" i="88" s="1"/>
  <c r="G283" i="34" a="1"/>
  <c r="G283" i="34" s="1"/>
  <c r="F281" i="34" a="1"/>
  <c r="F281" i="34" s="1"/>
  <c r="F284" i="79" a="1"/>
  <c r="F284" i="79" s="1"/>
  <c r="DK7" i="68" a="1"/>
  <c r="DK7" i="68" s="1"/>
  <c r="CV10" i="68" a="1"/>
  <c r="CV10" i="68" s="1"/>
  <c r="H316" i="104" a="1"/>
  <c r="H316" i="104" s="1"/>
  <c r="I315" i="104" a="1"/>
  <c r="I315" i="104" s="1"/>
  <c r="F315" i="104" a="1"/>
  <c r="F315" i="104" s="1"/>
  <c r="H314" i="104" a="1"/>
  <c r="H314" i="104" s="1"/>
  <c r="D314" i="104" a="1"/>
  <c r="D314" i="104" s="1"/>
  <c r="G313" i="104" a="1"/>
  <c r="G313" i="104" s="1"/>
  <c r="H312" i="104" a="1"/>
  <c r="H312" i="104" s="1"/>
  <c r="D312" i="104" a="1"/>
  <c r="D312" i="104" s="1"/>
  <c r="G311" i="104" a="1"/>
  <c r="G311" i="104" s="1"/>
  <c r="I310" i="104" a="1"/>
  <c r="I310" i="104" s="1"/>
  <c r="F310" i="104" a="1"/>
  <c r="F310" i="104" s="1"/>
  <c r="G309" i="104" a="1"/>
  <c r="G309" i="104" s="1"/>
  <c r="I308" i="104" a="1"/>
  <c r="I308" i="104" s="1"/>
  <c r="F308" i="104" a="1"/>
  <c r="F308" i="104" s="1"/>
  <c r="H307" i="104" a="1"/>
  <c r="H307" i="104" s="1"/>
  <c r="D307" i="104" a="1"/>
  <c r="D307" i="104" s="1"/>
  <c r="F306" i="104" a="1"/>
  <c r="F306" i="104" s="1"/>
  <c r="H305" i="104" a="1"/>
  <c r="H305" i="104" s="1"/>
  <c r="D305" i="104" a="1"/>
  <c r="D305" i="104" s="1"/>
  <c r="G304" i="104" a="1"/>
  <c r="G304" i="104" s="1"/>
  <c r="I303" i="104" a="1"/>
  <c r="I303" i="104" s="1"/>
  <c r="D303" i="104" a="1"/>
  <c r="D303" i="104" s="1"/>
  <c r="G302" i="104" a="1"/>
  <c r="G302" i="104" s="1"/>
  <c r="I301" i="104" a="1"/>
  <c r="I301" i="104" s="1"/>
  <c r="F301" i="104" a="1"/>
  <c r="F301" i="104" s="1"/>
  <c r="H300" i="104" a="1"/>
  <c r="H300" i="104" s="1"/>
  <c r="I299" i="104" a="1"/>
  <c r="I299" i="104" s="1"/>
  <c r="F299" i="104" a="1"/>
  <c r="F299" i="104" s="1"/>
  <c r="H298" i="104" a="1"/>
  <c r="H298" i="104" s="1"/>
  <c r="D298" i="104" a="1"/>
  <c r="D298" i="104" s="1"/>
  <c r="G297" i="104" a="1"/>
  <c r="G297" i="104" s="1"/>
  <c r="H296" i="104" a="1"/>
  <c r="H296" i="104" s="1"/>
  <c r="D296" i="104" a="1"/>
  <c r="D296" i="104" s="1"/>
  <c r="G295" i="104" a="1"/>
  <c r="G295" i="104" s="1"/>
  <c r="I294" i="104" a="1"/>
  <c r="I294" i="104" s="1"/>
  <c r="F294" i="104" a="1"/>
  <c r="F294" i="104" s="1"/>
  <c r="G293" i="104" a="1"/>
  <c r="G293" i="104" s="1"/>
  <c r="I292" i="104" a="1"/>
  <c r="I292" i="104" s="1"/>
  <c r="F292" i="104" a="1"/>
  <c r="F292" i="104" s="1"/>
  <c r="H291" i="104" a="1"/>
  <c r="H291" i="104" s="1"/>
  <c r="D291" i="104" a="1"/>
  <c r="D291" i="104" s="1"/>
  <c r="F290" i="104" a="1"/>
  <c r="F290" i="104" s="1"/>
  <c r="H289" i="104" a="1"/>
  <c r="H289" i="104" s="1"/>
  <c r="D289" i="104" a="1"/>
  <c r="D289" i="104" s="1"/>
  <c r="G288" i="104" a="1"/>
  <c r="G288" i="104" s="1"/>
  <c r="I287" i="104" a="1"/>
  <c r="I287" i="104" s="1"/>
  <c r="D287" i="104" a="1"/>
  <c r="D287" i="104" s="1"/>
  <c r="G286" i="104" a="1"/>
  <c r="G286" i="104" s="1"/>
  <c r="I285" i="104" a="1"/>
  <c r="I285" i="104" s="1"/>
  <c r="F285" i="104" a="1"/>
  <c r="F285" i="104" s="1"/>
  <c r="H284" i="104" a="1"/>
  <c r="H284" i="104" s="1"/>
  <c r="I283" i="104" a="1"/>
  <c r="I283" i="104" s="1"/>
  <c r="F283" i="104" a="1"/>
  <c r="F283" i="104" s="1"/>
  <c r="H282" i="104" a="1"/>
  <c r="H282" i="104" s="1"/>
  <c r="D282" i="104" a="1"/>
  <c r="D282" i="104" s="1"/>
  <c r="G281" i="104" a="1"/>
  <c r="G281" i="104" s="1"/>
  <c r="H280" i="104" a="1"/>
  <c r="H280" i="104" s="1"/>
  <c r="N282" i="104" s="1"/>
  <c r="D280" i="104" a="1"/>
  <c r="D280" i="104" s="1"/>
  <c r="G282" i="73" a="1"/>
  <c r="G282" i="73" s="1"/>
  <c r="H283" i="73" a="1"/>
  <c r="H283" i="73" s="1"/>
  <c r="BC7" i="68" a="1"/>
  <c r="BC7" i="68" s="1"/>
  <c r="BH3" i="68" a="1"/>
  <c r="BH3" i="68" s="1"/>
  <c r="G280" i="74" a="1"/>
  <c r="G280" i="74" s="1"/>
  <c r="G280" i="73" a="1"/>
  <c r="G280" i="73" s="1"/>
  <c r="D281" i="74" a="1"/>
  <c r="D281" i="74" s="1"/>
  <c r="I284" i="82" a="1"/>
  <c r="I284" i="82" s="1"/>
  <c r="G284" i="73" a="1"/>
  <c r="G284" i="73" s="1"/>
  <c r="D284" i="74" a="1"/>
  <c r="D284" i="74" s="1"/>
  <c r="I284" i="93" a="1"/>
  <c r="I284" i="93" s="1"/>
  <c r="I284" i="73" a="1"/>
  <c r="I284" i="73" s="1"/>
  <c r="H282" i="73" a="1"/>
  <c r="H282" i="73" s="1"/>
  <c r="CV7" i="68" a="1"/>
  <c r="CV7" i="68" s="1"/>
  <c r="EO8" i="68" a="1"/>
  <c r="EO8" i="68" s="1"/>
  <c r="BM9" i="68" a="1"/>
  <c r="BM9" i="68" s="1"/>
  <c r="D281" i="82" a="1"/>
  <c r="D281" i="82" s="1"/>
  <c r="G281" i="74" a="1"/>
  <c r="G281" i="74" s="1"/>
  <c r="H280" i="74" a="1"/>
  <c r="H280" i="74" s="1"/>
  <c r="H284" i="92" a="1"/>
  <c r="H284" i="92" s="1"/>
  <c r="D284" i="81" a="1"/>
  <c r="D284" i="81" s="1"/>
  <c r="F285" i="74" a="1"/>
  <c r="F285" i="74" s="1"/>
  <c r="I283" i="74" a="1"/>
  <c r="I283" i="74" s="1"/>
  <c r="H281" i="101" a="1"/>
  <c r="H281" i="101" s="1"/>
  <c r="AD2" i="68" a="1"/>
  <c r="AD2" i="68" s="1"/>
  <c r="AS7" i="68" a="1"/>
  <c r="AS7" i="68" s="1"/>
  <c r="D280" i="93" a="1"/>
  <c r="D280" i="93" s="1"/>
  <c r="D280" i="73" a="1"/>
  <c r="D280" i="73" s="1"/>
  <c r="I280" i="74" a="1"/>
  <c r="I280" i="74" s="1"/>
  <c r="H284" i="91" a="1"/>
  <c r="H284" i="91" s="1"/>
  <c r="D285" i="75" a="1"/>
  <c r="D285" i="75" s="1"/>
  <c r="H286" i="102" a="1"/>
  <c r="H286" i="102" s="1"/>
  <c r="G286" i="103" a="1"/>
  <c r="G286" i="103" s="1"/>
  <c r="F287" i="103" a="1"/>
  <c r="F287" i="103" s="1"/>
  <c r="D287" i="102" a="1"/>
  <c r="D287" i="102" s="1"/>
  <c r="I286" i="103" a="1"/>
  <c r="I286" i="103" s="1"/>
  <c r="F287" i="101" a="1"/>
  <c r="F287" i="101" s="1"/>
  <c r="G286" i="101" a="1"/>
  <c r="G286" i="101" s="1"/>
  <c r="I286" i="100" a="1"/>
  <c r="I286" i="100" s="1"/>
  <c r="D287" i="100" a="1"/>
  <c r="D287" i="100" s="1"/>
  <c r="G286" i="95" a="1"/>
  <c r="G286" i="95" s="1"/>
  <c r="H286" i="92" a="1"/>
  <c r="H286" i="92" s="1"/>
  <c r="F287" i="95" a="1"/>
  <c r="F287" i="95" s="1"/>
  <c r="I286" i="93" a="1"/>
  <c r="I286" i="93" s="1"/>
  <c r="D287" i="95" a="1"/>
  <c r="D287" i="95" s="1"/>
  <c r="I286" i="92" a="1"/>
  <c r="I286" i="92" s="1"/>
  <c r="D287" i="97" a="1"/>
  <c r="D287" i="97" s="1"/>
  <c r="D287" i="96" a="1"/>
  <c r="D287" i="96" s="1"/>
  <c r="G286" i="93" a="1"/>
  <c r="G286" i="93" s="1"/>
  <c r="D287" i="92" a="1"/>
  <c r="D287" i="92" s="1"/>
  <c r="D287" i="94" a="1"/>
  <c r="D287" i="94" s="1"/>
  <c r="G286" i="94" a="1"/>
  <c r="G286" i="94" s="1"/>
  <c r="D287" i="90" a="1"/>
  <c r="D287" i="90" s="1"/>
  <c r="D287" i="86" a="1"/>
  <c r="D287" i="86" s="1"/>
  <c r="D287" i="84" a="1"/>
  <c r="D287" i="84" s="1"/>
  <c r="G286" i="88" a="1"/>
  <c r="G286" i="88" s="1"/>
  <c r="G286" i="85" a="1"/>
  <c r="G286" i="85" s="1"/>
  <c r="I286" i="85" a="1"/>
  <c r="I286" i="85" s="1"/>
  <c r="G287" i="90" a="1"/>
  <c r="G287" i="90" s="1"/>
  <c r="D287" i="85" a="1"/>
  <c r="D287" i="85" s="1"/>
  <c r="H286" i="89" a="1"/>
  <c r="H286" i="89" s="1"/>
  <c r="H286" i="88" a="1"/>
  <c r="H286" i="88" s="1"/>
  <c r="D287" i="88" a="1"/>
  <c r="D287" i="88" s="1"/>
  <c r="H286" i="34" a="1"/>
  <c r="H286" i="34" s="1"/>
  <c r="F287" i="75" a="1"/>
  <c r="F287" i="75" s="1"/>
  <c r="EY9" i="68" a="1"/>
  <c r="EY9" i="68" s="1"/>
  <c r="EJ4" i="68" a="1"/>
  <c r="EJ4" i="68" s="1"/>
  <c r="F285" i="103" a="1"/>
  <c r="F285" i="103" s="1"/>
  <c r="Y4" i="68" a="1"/>
  <c r="Y4" i="68" s="1"/>
  <c r="E7" i="68" a="1"/>
  <c r="E7" i="68" s="1"/>
  <c r="EE3" i="68" a="1"/>
  <c r="EE3" i="68" s="1"/>
  <c r="I283" i="96" a="1"/>
  <c r="I283" i="96" s="1"/>
  <c r="DZ4" i="68" a="1"/>
  <c r="DZ4" i="68" s="1"/>
  <c r="G280" i="88" a="1"/>
  <c r="G280" i="88" s="1"/>
  <c r="AN1" i="68" a="1"/>
  <c r="AN1" i="68" s="1"/>
  <c r="H280" i="96" a="1"/>
  <c r="H280" i="96" s="1"/>
  <c r="BH8" i="68" a="1"/>
  <c r="BH8" i="68" s="1"/>
  <c r="D284" i="95" a="1"/>
  <c r="D284" i="95" s="1"/>
  <c r="D285" i="89" a="1"/>
  <c r="D285" i="89" s="1"/>
  <c r="AI1" i="68" a="1"/>
  <c r="AI1" i="68" s="1"/>
  <c r="I280" i="93" a="1"/>
  <c r="I280" i="93" s="1"/>
  <c r="F283" i="81" a="1"/>
  <c r="F283" i="81" s="1"/>
  <c r="D281" i="89" a="1"/>
  <c r="D281" i="89" s="1"/>
  <c r="CG8" i="68" a="1"/>
  <c r="CG8" i="68" s="1"/>
  <c r="D280" i="82" a="1"/>
  <c r="D280" i="82" s="1"/>
  <c r="CV4" i="68" a="1"/>
  <c r="CV4" i="68" s="1"/>
  <c r="EO10" i="68" a="1"/>
  <c r="EO10" i="68" s="1"/>
  <c r="F285" i="96" a="1"/>
  <c r="F285" i="96" s="1"/>
  <c r="FS7" i="68" a="1"/>
  <c r="FS7" i="68" s="1"/>
  <c r="BW4" i="68" a="1"/>
  <c r="BW4" i="68" s="1"/>
  <c r="BW8" i="68" a="1"/>
  <c r="BW8" i="68" s="1"/>
  <c r="F316" i="104" a="1"/>
  <c r="F316" i="104" s="1"/>
  <c r="H315" i="104" a="1"/>
  <c r="H315" i="104" s="1"/>
  <c r="D315" i="104" a="1"/>
  <c r="D315" i="104" s="1"/>
  <c r="G314" i="104" a="1"/>
  <c r="G314" i="104" s="1"/>
  <c r="I313" i="104" a="1"/>
  <c r="I313" i="104" s="1"/>
  <c r="D313" i="104" a="1"/>
  <c r="D313" i="104" s="1"/>
  <c r="G312" i="104" a="1"/>
  <c r="G312" i="104" s="1"/>
  <c r="I311" i="104" a="1"/>
  <c r="I311" i="104" s="1"/>
  <c r="F311" i="104" a="1"/>
  <c r="F311" i="104" s="1"/>
  <c r="H310" i="104" a="1"/>
  <c r="H310" i="104" s="1"/>
  <c r="I309" i="104" a="1"/>
  <c r="I309" i="104" s="1"/>
  <c r="F309" i="104" a="1"/>
  <c r="F309" i="104" s="1"/>
  <c r="H308" i="104" a="1"/>
  <c r="H308" i="104" s="1"/>
  <c r="D308" i="104" a="1"/>
  <c r="D308" i="104" s="1"/>
  <c r="G307" i="104" a="1"/>
  <c r="G307" i="104" s="1"/>
  <c r="H306" i="104" a="1"/>
  <c r="H306" i="104" s="1"/>
  <c r="D306" i="104" a="1"/>
  <c r="D306" i="104" s="1"/>
  <c r="G305" i="104" a="1"/>
  <c r="G305" i="104" s="1"/>
  <c r="I304" i="104" a="1"/>
  <c r="I304" i="104" s="1"/>
  <c r="F304" i="104" a="1"/>
  <c r="F304" i="104" s="1"/>
  <c r="G303" i="104" a="1"/>
  <c r="G303" i="104" s="1"/>
  <c r="I302" i="104" a="1"/>
  <c r="I302" i="104" s="1"/>
  <c r="F302" i="104" a="1"/>
  <c r="F302" i="104" s="1"/>
  <c r="H301" i="104" a="1"/>
  <c r="H301" i="104" s="1"/>
  <c r="D301" i="104" a="1"/>
  <c r="D301" i="104" s="1"/>
  <c r="F300" i="104" a="1"/>
  <c r="F300" i="104" s="1"/>
  <c r="H299" i="104" a="1"/>
  <c r="H299" i="104" s="1"/>
  <c r="D299" i="104" a="1"/>
  <c r="D299" i="104" s="1"/>
  <c r="G298" i="104" a="1"/>
  <c r="G298" i="104" s="1"/>
  <c r="I297" i="104" a="1"/>
  <c r="I297" i="104" s="1"/>
  <c r="D297" i="104" a="1"/>
  <c r="D297" i="104" s="1"/>
  <c r="G296" i="104" a="1"/>
  <c r="G296" i="104" s="1"/>
  <c r="I295" i="104" a="1"/>
  <c r="I295" i="104" s="1"/>
  <c r="F295" i="104" a="1"/>
  <c r="F295" i="104" s="1"/>
  <c r="H294" i="104" a="1"/>
  <c r="H294" i="104" s="1"/>
  <c r="I293" i="104" a="1"/>
  <c r="I293" i="104" s="1"/>
  <c r="F293" i="104" a="1"/>
  <c r="F293" i="104" s="1"/>
  <c r="H292" i="104" a="1"/>
  <c r="H292" i="104" s="1"/>
  <c r="D292" i="104" a="1"/>
  <c r="D292" i="104" s="1"/>
  <c r="G291" i="104" a="1"/>
  <c r="G291" i="104" s="1"/>
  <c r="H290" i="104" a="1"/>
  <c r="H290" i="104" s="1"/>
  <c r="D290" i="104" a="1"/>
  <c r="D290" i="104" s="1"/>
  <c r="G289" i="104" a="1"/>
  <c r="G289" i="104" s="1"/>
  <c r="I288" i="104" a="1"/>
  <c r="I288" i="104" s="1"/>
  <c r="F288" i="104" a="1"/>
  <c r="F288" i="104" s="1"/>
  <c r="G287" i="104" a="1"/>
  <c r="G287" i="104" s="1"/>
  <c r="I286" i="104" a="1"/>
  <c r="I286" i="104" s="1"/>
  <c r="F286" i="104" a="1"/>
  <c r="F286" i="104" s="1"/>
  <c r="H285" i="104" a="1"/>
  <c r="H285" i="104" s="1"/>
  <c r="D285" i="104" a="1"/>
  <c r="D285" i="104" s="1"/>
  <c r="F284" i="104" a="1"/>
  <c r="F284" i="104" s="1"/>
  <c r="H283" i="104" a="1"/>
  <c r="H283" i="104" s="1"/>
  <c r="D283" i="104" a="1"/>
  <c r="D283" i="104" s="1"/>
  <c r="G282" i="104" a="1"/>
  <c r="G282" i="104" s="1"/>
  <c r="I281" i="104" a="1"/>
  <c r="I281" i="104" s="1"/>
  <c r="D281" i="104" a="1"/>
  <c r="D281" i="104" s="1"/>
  <c r="G280" i="104" a="1"/>
  <c r="G280" i="104" s="1"/>
  <c r="N281" i="104" s="1"/>
  <c r="G283" i="73" a="1"/>
  <c r="G283" i="73" s="1"/>
  <c r="F282" i="73" a="1"/>
  <c r="F282" i="73" s="1"/>
  <c r="EO3" i="68" a="1"/>
  <c r="EO3" i="68" s="1"/>
  <c r="EY8" i="68" a="1"/>
  <c r="EY8" i="68" s="1"/>
  <c r="F280" i="95" a="1"/>
  <c r="F280" i="95" s="1"/>
  <c r="I280" i="73" a="1"/>
  <c r="I280" i="73" s="1"/>
  <c r="D282" i="82" a="1"/>
  <c r="D282" i="82" s="1"/>
  <c r="F280" i="74" a="1"/>
  <c r="F280" i="74" s="1"/>
  <c r="H284" i="73" a="1"/>
  <c r="H284" i="73" s="1"/>
  <c r="I283" i="73" a="1"/>
  <c r="I283" i="73" s="1"/>
  <c r="G281" i="77" a="1"/>
  <c r="G281" i="77" s="1"/>
  <c r="G284" i="77" a="1"/>
  <c r="G284" i="77" s="1"/>
  <c r="D285" i="74" a="1"/>
  <c r="D285" i="74" s="1"/>
  <c r="I282" i="73" a="1"/>
  <c r="I282" i="73" s="1"/>
  <c r="E1" i="68" a="1"/>
  <c r="E1" i="68" s="1"/>
  <c r="BH5" i="68" a="1"/>
  <c r="BH5" i="68" s="1"/>
  <c r="F281" i="101" a="1"/>
  <c r="F281" i="101" s="1"/>
  <c r="G281" i="73" a="1"/>
  <c r="G281" i="73" s="1"/>
  <c r="F280" i="34" a="1"/>
  <c r="F280" i="34" s="1"/>
  <c r="F281" i="73" a="1"/>
  <c r="F281" i="73" s="1"/>
  <c r="F284" i="85" a="1"/>
  <c r="F284" i="85" s="1"/>
  <c r="G285" i="73" a="1"/>
  <c r="G285" i="73" s="1"/>
  <c r="I284" i="74" a="1"/>
  <c r="I284" i="74" s="1"/>
  <c r="FX9" i="68" a="1"/>
  <c r="FX9" i="68" s="1"/>
  <c r="I281" i="73" a="1"/>
  <c r="I281" i="73" s="1"/>
  <c r="FD10" i="68" a="1"/>
  <c r="FD10" i="68" s="1"/>
  <c r="BR10" i="68" a="1"/>
  <c r="BR10" i="68" s="1"/>
  <c r="H280" i="85" a="1"/>
  <c r="H280" i="85" s="1"/>
  <c r="H284" i="93" a="1"/>
  <c r="H284" i="93" s="1"/>
  <c r="G284" i="74" a="1"/>
  <c r="G284" i="74" s="1"/>
  <c r="CL9" i="68" a="1"/>
  <c r="CL9" i="68" s="1"/>
  <c r="F280" i="73" a="1"/>
  <c r="F280" i="73" s="1"/>
  <c r="H284" i="83" a="1"/>
  <c r="H284" i="83" s="1"/>
  <c r="H281" i="73" a="1"/>
  <c r="H281" i="73" s="1"/>
  <c r="J10" i="68" a="1"/>
  <c r="J10" i="68" s="1"/>
  <c r="I281" i="74" a="1"/>
  <c r="I281" i="74" s="1"/>
  <c r="F284" i="74" a="1"/>
  <c r="F284" i="74" s="1"/>
  <c r="F283" i="73" a="1"/>
  <c r="F283" i="73" s="1"/>
  <c r="F280" i="101" a="1"/>
  <c r="F280" i="101" s="1"/>
  <c r="H280" i="89" a="1"/>
  <c r="H280" i="89" s="1"/>
  <c r="F285" i="82" a="1"/>
  <c r="F285" i="82" s="1"/>
  <c r="D287" i="103" a="1"/>
  <c r="D287" i="103" s="1"/>
  <c r="G286" i="102" a="1"/>
  <c r="G286" i="102" s="1"/>
  <c r="D287" i="99" a="1"/>
  <c r="D287" i="99" s="1"/>
  <c r="H286" i="101" a="1"/>
  <c r="H286" i="101" s="1"/>
  <c r="F287" i="99" a="1"/>
  <c r="F287" i="99" s="1"/>
  <c r="D287" i="93" a="1"/>
  <c r="D287" i="93" s="1"/>
  <c r="F287" i="84" a="1"/>
  <c r="F287" i="84" s="1"/>
  <c r="F287" i="92" a="1"/>
  <c r="F287" i="92" s="1"/>
  <c r="F287" i="91" a="1"/>
  <c r="F287" i="91" s="1"/>
  <c r="I286" i="97" a="1"/>
  <c r="I286" i="97" s="1"/>
  <c r="G286" i="97" a="1"/>
  <c r="G286" i="97" s="1"/>
  <c r="I286" i="96" a="1"/>
  <c r="I286" i="96" s="1"/>
  <c r="H286" i="94" a="1"/>
  <c r="H286" i="94" s="1"/>
  <c r="H286" i="85" a="1"/>
  <c r="H286" i="85" s="1"/>
  <c r="D287" i="82" a="1"/>
  <c r="D287" i="82" s="1"/>
  <c r="D287" i="89" a="1"/>
  <c r="D287" i="89" s="1"/>
  <c r="I286" i="88" a="1"/>
  <c r="I286" i="88" s="1"/>
  <c r="I286" i="83" a="1"/>
  <c r="I286" i="83" s="1"/>
  <c r="I287" i="82" a="1"/>
  <c r="I287" i="82" s="1"/>
  <c r="F287" i="79" a="1"/>
  <c r="F287" i="79" s="1"/>
  <c r="H286" i="77" a="1"/>
  <c r="H286" i="77" s="1"/>
  <c r="G286" i="78" a="1"/>
  <c r="G286" i="78" s="1"/>
  <c r="I286" i="78" a="1"/>
  <c r="I286" i="78" s="1"/>
  <c r="F287" i="81" a="1"/>
  <c r="F287" i="81" s="1"/>
  <c r="D287" i="29" a="1"/>
  <c r="D287" i="29" s="1"/>
  <c r="G287" i="78" a="1"/>
  <c r="G287" i="78" s="1"/>
  <c r="F287" i="90" a="1"/>
  <c r="F287" i="90" s="1"/>
  <c r="G287" i="82" a="1"/>
  <c r="G287" i="82" s="1"/>
  <c r="D287" i="76" a="1"/>
  <c r="D287" i="76" s="1"/>
  <c r="G287" i="76" a="1"/>
  <c r="G287" i="76" s="1"/>
  <c r="I287" i="73" a="1"/>
  <c r="I287" i="73" s="1"/>
  <c r="H286" i="82" a="1"/>
  <c r="H286" i="82" s="1"/>
  <c r="D287" i="75" a="1"/>
  <c r="D287" i="75" s="1"/>
  <c r="D288" i="90" a="1"/>
  <c r="D288" i="90" s="1"/>
  <c r="H286" i="78" a="1"/>
  <c r="H286" i="78" s="1"/>
  <c r="F288" i="76" a="1"/>
  <c r="F288" i="76" s="1"/>
  <c r="G286" i="76" a="1"/>
  <c r="G286" i="76" s="1"/>
  <c r="I286" i="75" a="1"/>
  <c r="I286" i="75" s="1"/>
  <c r="G286" i="77" a="1"/>
  <c r="G286" i="77" s="1"/>
  <c r="F287" i="74" a="1"/>
  <c r="F287" i="74" s="1"/>
  <c r="I286" i="81" a="1"/>
  <c r="I286" i="81" s="1"/>
  <c r="G286" i="29" a="1"/>
  <c r="G286" i="29" s="1"/>
  <c r="H286" i="86" a="1"/>
  <c r="H286" i="86" s="1"/>
  <c r="H286" i="76" a="1"/>
  <c r="H286" i="76" s="1"/>
  <c r="I286" i="77" a="1"/>
  <c r="I286" i="77" s="1"/>
  <c r="F280" i="78" a="1"/>
  <c r="F280" i="78" s="1"/>
  <c r="F281" i="74" a="1"/>
  <c r="F281" i="74" s="1"/>
  <c r="H284" i="34" a="1"/>
  <c r="H284" i="34" s="1"/>
  <c r="H286" i="99" a="1"/>
  <c r="H286" i="99" s="1"/>
  <c r="F287" i="102" a="1"/>
  <c r="F287" i="102" s="1"/>
  <c r="D287" i="101" a="1"/>
  <c r="D287" i="101" s="1"/>
  <c r="G286" i="100" a="1"/>
  <c r="G286" i="100" s="1"/>
  <c r="I286" i="94" a="1"/>
  <c r="I286" i="94" s="1"/>
  <c r="F287" i="96" a="1"/>
  <c r="F287" i="96" s="1"/>
  <c r="G286" i="91" a="1"/>
  <c r="G286" i="91" s="1"/>
  <c r="F287" i="94" a="1"/>
  <c r="F287" i="94" s="1"/>
  <c r="D287" i="91" a="1"/>
  <c r="D287" i="91" s="1"/>
  <c r="H286" i="95" a="1"/>
  <c r="H286" i="95" s="1"/>
  <c r="H286" i="97" a="1"/>
  <c r="H286" i="97" s="1"/>
  <c r="I286" i="95" a="1"/>
  <c r="I286" i="95" s="1"/>
  <c r="F287" i="88" a="1"/>
  <c r="F287" i="88" s="1"/>
  <c r="F287" i="78" a="1"/>
  <c r="F287" i="78" s="1"/>
  <c r="G286" i="89" a="1"/>
  <c r="G286" i="89" s="1"/>
  <c r="F287" i="89" a="1"/>
  <c r="F287" i="89" s="1"/>
  <c r="H286" i="84" a="1"/>
  <c r="H286" i="84" s="1"/>
  <c r="G286" i="83" a="1"/>
  <c r="G286" i="83" s="1"/>
  <c r="F287" i="83" a="1"/>
  <c r="F287" i="83" s="1"/>
  <c r="D287" i="79" a="1"/>
  <c r="D287" i="79" s="1"/>
  <c r="I286" i="86" a="1"/>
  <c r="I286" i="86" s="1"/>
  <c r="H286" i="90" a="1"/>
  <c r="H286" i="90" s="1"/>
  <c r="D287" i="78" a="1"/>
  <c r="D287" i="78" s="1"/>
  <c r="D287" i="34" a="1"/>
  <c r="D287" i="34" s="1"/>
  <c r="F288" i="86" a="1"/>
  <c r="F288" i="86" s="1"/>
  <c r="I286" i="80" a="1"/>
  <c r="I286" i="80" s="1"/>
  <c r="I286" i="74" a="1"/>
  <c r="I286" i="74" s="1"/>
  <c r="D288" i="74" a="1"/>
  <c r="D288" i="74" s="1"/>
  <c r="H286" i="83" a="1"/>
  <c r="H286" i="83" s="1"/>
  <c r="D287" i="74" a="1"/>
  <c r="D287" i="74" s="1"/>
  <c r="F287" i="82" a="1"/>
  <c r="F287" i="82" s="1"/>
  <c r="G287" i="81" a="1"/>
  <c r="G287" i="81" s="1"/>
  <c r="F287" i="34" a="1"/>
  <c r="F287" i="34" s="1"/>
  <c r="F287" i="80" a="1"/>
  <c r="F287" i="80" s="1"/>
  <c r="H286" i="73" a="1"/>
  <c r="H286" i="73" s="1"/>
  <c r="G286" i="86" a="1"/>
  <c r="G286" i="86" s="1"/>
  <c r="H287" i="88" a="1"/>
  <c r="H287" i="88" s="1"/>
  <c r="H286" i="29" a="1"/>
  <c r="H286" i="29" s="1"/>
  <c r="G286" i="79" a="1"/>
  <c r="G286" i="79" s="1"/>
  <c r="G286" i="75" a="1"/>
  <c r="G286" i="75" s="1"/>
  <c r="G286" i="74" a="1"/>
  <c r="G286" i="74" s="1"/>
  <c r="D287" i="73" a="1"/>
  <c r="D287" i="73" s="1"/>
  <c r="H286" i="75" a="1"/>
  <c r="H286" i="75" s="1"/>
  <c r="G286" i="80" a="1"/>
  <c r="G286" i="80" s="1"/>
  <c r="D288" i="75" a="1"/>
  <c r="D288" i="75" s="1"/>
  <c r="H280" i="73" a="1"/>
  <c r="H280" i="73" s="1"/>
  <c r="H284" i="99" a="1"/>
  <c r="H284" i="99" s="1"/>
  <c r="F287" i="85" a="1"/>
  <c r="F287" i="85" s="1"/>
  <c r="H286" i="100" a="1"/>
  <c r="H286" i="100" s="1"/>
  <c r="I286" i="102" a="1"/>
  <c r="I286" i="102" s="1"/>
  <c r="G286" i="99" a="1"/>
  <c r="G286" i="99" s="1"/>
  <c r="F287" i="100" a="1"/>
  <c r="F287" i="100" s="1"/>
  <c r="I286" i="101" a="1"/>
  <c r="I286" i="101" s="1"/>
  <c r="G286" i="92" a="1"/>
  <c r="G286" i="92" s="1"/>
  <c r="G286" i="96" a="1"/>
  <c r="G286" i="96" s="1"/>
  <c r="I286" i="91" a="1"/>
  <c r="I286" i="91" s="1"/>
  <c r="H286" i="91" a="1"/>
  <c r="H286" i="91" s="1"/>
  <c r="H286" i="93" a="1"/>
  <c r="H286" i="93" s="1"/>
  <c r="F287" i="97" a="1"/>
  <c r="F287" i="97" s="1"/>
  <c r="F287" i="93" a="1"/>
  <c r="F287" i="93" s="1"/>
  <c r="H286" i="96" a="1"/>
  <c r="H286" i="96" s="1"/>
  <c r="I286" i="90" a="1"/>
  <c r="I286" i="90" s="1"/>
  <c r="G286" i="90" a="1"/>
  <c r="G286" i="90" s="1"/>
  <c r="G287" i="86" a="1"/>
  <c r="G287" i="86" s="1"/>
  <c r="I286" i="89" a="1"/>
  <c r="I286" i="89" s="1"/>
  <c r="F287" i="86" a="1"/>
  <c r="F287" i="86" s="1"/>
  <c r="D287" i="83" a="1"/>
  <c r="D287" i="83" s="1"/>
  <c r="G286" i="84" a="1"/>
  <c r="G286" i="84" s="1"/>
  <c r="I286" i="84" a="1"/>
  <c r="I286" i="84" s="1"/>
  <c r="G286" i="82" a="1"/>
  <c r="G286" i="82" s="1"/>
  <c r="I286" i="79" a="1"/>
  <c r="I286" i="79" s="1"/>
  <c r="D287" i="81" a="1"/>
  <c r="D287" i="81" s="1"/>
  <c r="F287" i="29" a="1"/>
  <c r="F287" i="29" s="1"/>
  <c r="I286" i="34" a="1"/>
  <c r="I286" i="34" s="1"/>
  <c r="H286" i="79" a="1"/>
  <c r="H286" i="79" s="1"/>
  <c r="I286" i="76" a="1"/>
  <c r="I286" i="76" s="1"/>
  <c r="I286" i="82" a="1"/>
  <c r="I286" i="82" s="1"/>
  <c r="G287" i="34" a="1"/>
  <c r="G287" i="34" s="1"/>
  <c r="I286" i="73" a="1"/>
  <c r="I286" i="73" s="1"/>
  <c r="F287" i="77" a="1"/>
  <c r="F287" i="77" s="1"/>
  <c r="G286" i="34" a="1"/>
  <c r="G286" i="34" s="1"/>
  <c r="D287" i="77" a="1"/>
  <c r="D287" i="77" s="1"/>
  <c r="H286" i="80" a="1"/>
  <c r="H286" i="80" s="1"/>
  <c r="G286" i="73" a="1"/>
  <c r="G286" i="73" s="1"/>
  <c r="H286" i="81" a="1"/>
  <c r="H286" i="81" s="1"/>
  <c r="F287" i="76" a="1"/>
  <c r="F287" i="76" s="1"/>
  <c r="H286" i="74" a="1"/>
  <c r="H286" i="74" s="1"/>
  <c r="D287" i="80" a="1"/>
  <c r="D287" i="80" s="1"/>
  <c r="G287" i="74" a="1"/>
  <c r="G287" i="74" s="1"/>
  <c r="I287" i="77" a="1"/>
  <c r="I287" i="77" s="1"/>
  <c r="F288" i="75" a="1"/>
  <c r="F288" i="75" s="1"/>
  <c r="F287" i="73" a="1"/>
  <c r="F287" i="73" s="1"/>
  <c r="G286" i="81" a="1"/>
  <c r="G286" i="81" s="1"/>
  <c r="I286" i="29" a="1"/>
  <c r="I286" i="29" s="1"/>
  <c r="B4" i="104"/>
  <c r="B3" i="104"/>
  <c r="D289" i="101" a="1"/>
  <c r="D289" i="101" s="1"/>
  <c r="H288" i="96" a="1"/>
  <c r="H288" i="96" s="1"/>
  <c r="G288" i="94" a="1"/>
  <c r="G288" i="94" s="1"/>
  <c r="H288" i="94" a="1"/>
  <c r="H288" i="94" s="1"/>
  <c r="D289" i="83" a="1"/>
  <c r="D289" i="83" s="1"/>
  <c r="F289" i="93" a="1"/>
  <c r="F289" i="93" s="1"/>
  <c r="E10" i="69"/>
  <c r="D289" i="84" a="1"/>
  <c r="D289" i="84" s="1"/>
  <c r="F289" i="34" a="1"/>
  <c r="F289" i="34" s="1"/>
  <c r="AZ12" i="68"/>
  <c r="BA12" i="68" s="1"/>
  <c r="AY12" i="68"/>
  <c r="H289" i="93" s="1" a="1"/>
  <c r="H289" i="93" s="1"/>
  <c r="C11" i="69" a="1"/>
  <c r="C11" i="69" s="1"/>
  <c r="BC12" i="68"/>
  <c r="BG12" i="68"/>
  <c r="F289" i="85" a="1"/>
  <c r="F289" i="85" s="1"/>
  <c r="H288" i="78" a="1"/>
  <c r="H288" i="78" s="1"/>
  <c r="G288" i="88" a="1"/>
  <c r="G288" i="88" s="1"/>
  <c r="B11" i="69" a="1"/>
  <c r="B11" i="69" s="1"/>
  <c r="H288" i="85" a="1"/>
  <c r="H288" i="85" s="1"/>
  <c r="H288" i="82" a="1"/>
  <c r="H288" i="82" s="1"/>
  <c r="H288" i="79" a="1"/>
  <c r="H288" i="79" s="1"/>
  <c r="G288" i="83" a="1"/>
  <c r="G288" i="83" s="1"/>
  <c r="F289" i="84" a="1"/>
  <c r="F289" i="84" s="1"/>
  <c r="G288" i="90" a="1"/>
  <c r="G288" i="90" s="1"/>
  <c r="I288" i="29" a="1"/>
  <c r="I288" i="29" s="1"/>
  <c r="H288" i="80" a="1"/>
  <c r="H288" i="80" s="1"/>
  <c r="F289" i="90" a="1"/>
  <c r="F289" i="90" s="1"/>
  <c r="H288" i="89" a="1"/>
  <c r="H288" i="89" s="1"/>
  <c r="D289" i="80" a="1"/>
  <c r="D289" i="80" s="1"/>
  <c r="F290" i="86" a="1"/>
  <c r="F290" i="86" s="1"/>
  <c r="D289" i="90" a="1"/>
  <c r="D289" i="90" s="1"/>
  <c r="G289" i="86" a="1"/>
  <c r="G289" i="86" s="1"/>
  <c r="I288" i="88" a="1"/>
  <c r="I288" i="88" s="1"/>
  <c r="I289" i="84" a="1"/>
  <c r="I289" i="84" s="1"/>
  <c r="H289" i="83" a="1"/>
  <c r="H289" i="83" s="1"/>
  <c r="G288" i="82" a="1"/>
  <c r="G288" i="82" s="1"/>
  <c r="I288" i="76" a="1"/>
  <c r="I288" i="76" s="1"/>
  <c r="H288" i="88" a="1"/>
  <c r="H288" i="88" s="1"/>
  <c r="H288" i="86" a="1"/>
  <c r="H288" i="86" s="1"/>
  <c r="H288" i="90" a="1"/>
  <c r="H288" i="90" s="1"/>
  <c r="D290" i="83" a="1"/>
  <c r="D290" i="83" s="1"/>
  <c r="H289" i="90" a="1"/>
  <c r="H289" i="90" s="1"/>
  <c r="H289" i="89" a="1"/>
  <c r="H289" i="89" s="1"/>
  <c r="G289" i="80" a="1"/>
  <c r="G289" i="80" s="1"/>
  <c r="H288" i="34" a="1"/>
  <c r="H288" i="34" s="1"/>
  <c r="D290" i="86" a="1"/>
  <c r="D290" i="86" s="1"/>
  <c r="H289" i="84" a="1"/>
  <c r="H289" i="84" s="1"/>
  <c r="D289" i="77" a="1"/>
  <c r="D289" i="77" s="1"/>
  <c r="F290" i="78" a="1"/>
  <c r="F290" i="78" s="1"/>
  <c r="D289" i="86" a="1"/>
  <c r="D289" i="86" s="1"/>
  <c r="B12" i="69" a="1"/>
  <c r="B12" i="69" s="1"/>
  <c r="I289" i="90" a="1"/>
  <c r="I289" i="90" s="1"/>
  <c r="H289" i="82" a="1"/>
  <c r="H289" i="82" s="1"/>
  <c r="D290" i="34" a="1"/>
  <c r="D290" i="34" s="1"/>
  <c r="G289" i="82" a="1"/>
  <c r="G289" i="82" s="1"/>
  <c r="G288" i="86" a="1"/>
  <c r="G288" i="86" s="1"/>
  <c r="H289" i="86" a="1"/>
  <c r="H289" i="86" s="1"/>
  <c r="D290" i="90" a="1"/>
  <c r="D290" i="90" s="1"/>
  <c r="D290" i="84" a="1"/>
  <c r="D290" i="84" s="1"/>
  <c r="I289" i="83" a="1"/>
  <c r="I289" i="83" s="1"/>
  <c r="D289" i="85" a="1"/>
  <c r="D289" i="85" s="1"/>
  <c r="H288" i="84" a="1"/>
  <c r="H288" i="84" s="1"/>
  <c r="F290" i="80" a="1"/>
  <c r="F290" i="80" s="1"/>
  <c r="I289" i="86" a="1"/>
  <c r="I289" i="86" s="1"/>
  <c r="F290" i="83" a="1"/>
  <c r="F290" i="83" s="1"/>
  <c r="D11" i="69" a="1"/>
  <c r="D11" i="69" s="1"/>
  <c r="G288" i="34" a="1"/>
  <c r="G288" i="34" s="1"/>
  <c r="H289" i="88" a="1"/>
  <c r="H289" i="88" s="1"/>
  <c r="D289" i="88" a="1"/>
  <c r="D289" i="88" s="1"/>
  <c r="G289" i="90" a="1"/>
  <c r="G289" i="90" s="1"/>
  <c r="F290" i="88" a="1"/>
  <c r="F290" i="88" s="1"/>
  <c r="D12" i="69" a="1"/>
  <c r="D12" i="69" s="1"/>
  <c r="H289" i="85" a="1"/>
  <c r="H289" i="85" s="1"/>
  <c r="I288" i="86" a="1"/>
  <c r="I288" i="86" s="1"/>
  <c r="I289" i="73" a="1"/>
  <c r="I289" i="73" s="1"/>
  <c r="F289" i="77" a="1"/>
  <c r="F289" i="77" s="1"/>
  <c r="H289" i="29" a="1"/>
  <c r="H289" i="29" s="1"/>
  <c r="G288" i="76" a="1"/>
  <c r="G288" i="76" s="1"/>
  <c r="F289" i="82" a="1"/>
  <c r="F289" i="82" s="1"/>
  <c r="I288" i="34" a="1"/>
  <c r="I288" i="34" s="1"/>
  <c r="H289" i="81" a="1"/>
  <c r="H289" i="81" s="1"/>
  <c r="H288" i="73" a="1"/>
  <c r="H288" i="73" s="1"/>
  <c r="F290" i="76" a="1"/>
  <c r="F290" i="76" s="1"/>
  <c r="H289" i="77" a="1"/>
  <c r="H289" i="77" s="1"/>
  <c r="I289" i="88" a="1"/>
  <c r="I289" i="88" s="1"/>
  <c r="F289" i="83" a="1"/>
  <c r="F289" i="83" s="1"/>
  <c r="I289" i="80" a="1"/>
  <c r="I289" i="80" s="1"/>
  <c r="H288" i="74" a="1"/>
  <c r="H288" i="74" s="1"/>
  <c r="I288" i="84" a="1"/>
  <c r="I288" i="84" s="1"/>
  <c r="G288" i="80" a="1"/>
  <c r="G288" i="80" s="1"/>
  <c r="I288" i="81" a="1"/>
  <c r="I288" i="81" s="1"/>
  <c r="F289" i="81" a="1"/>
  <c r="F289" i="81" s="1"/>
  <c r="D290" i="81" a="1"/>
  <c r="D290" i="81" s="1"/>
  <c r="G289" i="29" a="1"/>
  <c r="G289" i="29" s="1"/>
  <c r="G289" i="85" a="1"/>
  <c r="G289" i="85" s="1"/>
  <c r="I289" i="79" a="1"/>
  <c r="I289" i="79" s="1"/>
  <c r="F290" i="74" a="1"/>
  <c r="F290" i="74" s="1"/>
  <c r="G288" i="73" a="1"/>
  <c r="G288" i="73" s="1"/>
  <c r="F289" i="80" a="1"/>
  <c r="F289" i="80" s="1"/>
  <c r="I289" i="81" a="1"/>
  <c r="I289" i="81" s="1"/>
  <c r="H289" i="80" a="1"/>
  <c r="H289" i="80" s="1"/>
  <c r="H288" i="76" a="1"/>
  <c r="H288" i="76" s="1"/>
  <c r="G288" i="89" a="1"/>
  <c r="G288" i="89" s="1"/>
  <c r="H288" i="81" a="1"/>
  <c r="H288" i="81" s="1"/>
  <c r="D289" i="82" a="1"/>
  <c r="D289" i="82" s="1"/>
  <c r="G288" i="81" a="1"/>
  <c r="G288" i="81" s="1"/>
  <c r="G289" i="79" a="1"/>
  <c r="G289" i="79" s="1"/>
  <c r="I288" i="73" a="1"/>
  <c r="I288" i="73" s="1"/>
  <c r="F289" i="86" a="1"/>
  <c r="F289" i="86" s="1"/>
  <c r="D289" i="89" a="1"/>
  <c r="D289" i="89" s="1"/>
  <c r="F289" i="78" a="1"/>
  <c r="F289" i="78" s="1"/>
  <c r="G288" i="29" a="1"/>
  <c r="G288" i="29" s="1"/>
  <c r="H289" i="34" a="1"/>
  <c r="H289" i="34" s="1"/>
  <c r="H288" i="77" a="1"/>
  <c r="H288" i="77" s="1"/>
  <c r="G289" i="75" a="1"/>
  <c r="G289" i="75" s="1"/>
  <c r="G289" i="89" a="1"/>
  <c r="G289" i="89" s="1"/>
  <c r="F290" i="34" a="1"/>
  <c r="F290" i="34" s="1"/>
  <c r="I288" i="79" a="1"/>
  <c r="I288" i="79" s="1"/>
  <c r="D289" i="81" a="1"/>
  <c r="D289" i="81" s="1"/>
  <c r="D290" i="29" a="1"/>
  <c r="D290" i="29" s="1"/>
  <c r="I289" i="78" a="1"/>
  <c r="I289" i="78" s="1"/>
  <c r="I288" i="89" a="1"/>
  <c r="I288" i="89" s="1"/>
  <c r="H289" i="78" a="1"/>
  <c r="H289" i="78" s="1"/>
  <c r="D290" i="88" a="1"/>
  <c r="D290" i="88" s="1"/>
  <c r="D289" i="34" a="1"/>
  <c r="D289" i="34" s="1"/>
  <c r="G289" i="88" a="1"/>
  <c r="G289" i="88" s="1"/>
  <c r="G288" i="74" a="1"/>
  <c r="G288" i="74" s="1"/>
  <c r="F289" i="74" a="1"/>
  <c r="F289" i="74" s="1"/>
  <c r="F290" i="81" a="1"/>
  <c r="F290" i="81" s="1"/>
  <c r="F290" i="84" a="1"/>
  <c r="F290" i="84" s="1"/>
  <c r="D289" i="79" a="1"/>
  <c r="D289" i="79" s="1"/>
  <c r="G289" i="77" a="1"/>
  <c r="G289" i="77" s="1"/>
  <c r="G288" i="79" a="1"/>
  <c r="G288" i="79" s="1"/>
  <c r="I288" i="80" a="1"/>
  <c r="I288" i="80" s="1"/>
  <c r="I288" i="74" a="1"/>
  <c r="I288" i="74" s="1"/>
  <c r="I288" i="77" a="1"/>
  <c r="I288" i="77" s="1"/>
  <c r="G288" i="75" a="1"/>
  <c r="G288" i="75" s="1"/>
  <c r="D290" i="82" a="1"/>
  <c r="D290" i="82" s="1"/>
  <c r="F289" i="29" a="1"/>
  <c r="F289" i="29" s="1"/>
  <c r="F289" i="76" a="1"/>
  <c r="F289" i="76" s="1"/>
  <c r="H289" i="76" a="1"/>
  <c r="H289" i="76" s="1"/>
  <c r="H289" i="79" a="1"/>
  <c r="H289" i="79" s="1"/>
  <c r="I289" i="82" a="1"/>
  <c r="I289" i="82" s="1"/>
  <c r="G289" i="73" a="1"/>
  <c r="G289" i="73" s="1"/>
  <c r="G289" i="81" a="1"/>
  <c r="G289" i="81" s="1"/>
  <c r="F289" i="79" a="1"/>
  <c r="F289" i="79" s="1"/>
  <c r="H288" i="83" a="1"/>
  <c r="H288" i="83" s="1"/>
  <c r="D290" i="80" a="1"/>
  <c r="D290" i="80" s="1"/>
  <c r="F290" i="82" a="1"/>
  <c r="F290" i="82" s="1"/>
  <c r="G289" i="76" a="1"/>
  <c r="G289" i="76" s="1"/>
  <c r="G288" i="84" a="1"/>
  <c r="G288" i="84" s="1"/>
  <c r="F290" i="75" a="1"/>
  <c r="F290" i="75" s="1"/>
  <c r="G289" i="78" a="1"/>
  <c r="G289" i="78" s="1"/>
  <c r="F290" i="73" a="1"/>
  <c r="F290" i="73" s="1"/>
  <c r="H288" i="29" a="1"/>
  <c r="H288" i="29" s="1"/>
  <c r="H289" i="74" a="1"/>
  <c r="H289" i="74" s="1"/>
  <c r="G289" i="74" a="1"/>
  <c r="G289" i="74" s="1"/>
  <c r="G288" i="78" a="1"/>
  <c r="G288" i="78" s="1"/>
  <c r="F290" i="29" a="1"/>
  <c r="F290" i="29" s="1"/>
  <c r="D289" i="74" a="1"/>
  <c r="D289" i="74" s="1"/>
  <c r="D289" i="75" a="1"/>
  <c r="D289" i="75" s="1"/>
  <c r="D290" i="75" a="1"/>
  <c r="D290" i="75" s="1"/>
  <c r="H289" i="73" a="1"/>
  <c r="H289" i="73" s="1"/>
  <c r="D290" i="76" a="1"/>
  <c r="D290" i="76" s="1"/>
  <c r="G288" i="85" a="1"/>
  <c r="G288" i="85" s="1"/>
  <c r="I289" i="75" a="1"/>
  <c r="I289" i="75" s="1"/>
  <c r="H288" i="75" a="1"/>
  <c r="H288" i="75" s="1"/>
  <c r="I288" i="78" a="1"/>
  <c r="I288" i="78" s="1"/>
  <c r="D289" i="76" a="1"/>
  <c r="D289" i="76" s="1"/>
  <c r="F290" i="77" a="1"/>
  <c r="F290" i="77" s="1"/>
  <c r="I289" i="77" a="1"/>
  <c r="I289" i="77" s="1"/>
  <c r="F290" i="79" a="1"/>
  <c r="F290" i="79" s="1"/>
  <c r="D289" i="73" a="1"/>
  <c r="D289" i="73" s="1"/>
  <c r="F290" i="89" a="1"/>
  <c r="F290" i="89" s="1"/>
  <c r="G289" i="34" a="1"/>
  <c r="G289" i="34" s="1"/>
  <c r="H289" i="75" a="1"/>
  <c r="H289" i="75" s="1"/>
  <c r="D290" i="74" a="1"/>
  <c r="D290" i="74" s="1"/>
  <c r="I288" i="75" a="1"/>
  <c r="I288" i="75" s="1"/>
  <c r="G289" i="84" a="1"/>
  <c r="G289" i="84" s="1"/>
  <c r="D290" i="73" a="1"/>
  <c r="D290" i="73" s="1"/>
  <c r="F289" i="88" a="1"/>
  <c r="F289" i="88" s="1"/>
  <c r="D289" i="78" a="1"/>
  <c r="D289" i="78" s="1"/>
  <c r="D289" i="29" a="1"/>
  <c r="D289" i="29" s="1"/>
  <c r="F289" i="75" a="1"/>
  <c r="F289" i="75" s="1"/>
  <c r="I289" i="74" a="1"/>
  <c r="I289" i="74" s="1"/>
  <c r="I289" i="29" a="1"/>
  <c r="I289" i="29" s="1"/>
  <c r="D290" i="78" a="1"/>
  <c r="D290" i="78" s="1"/>
  <c r="G288" i="77" a="1"/>
  <c r="G288" i="77" s="1"/>
  <c r="F289" i="73" a="1"/>
  <c r="F289" i="73" s="1"/>
  <c r="I288" i="90" a="1"/>
  <c r="I288" i="90" s="1"/>
  <c r="I288" i="82" a="1"/>
  <c r="I288" i="82" s="1"/>
  <c r="D290" i="77" l="1" a="1"/>
  <c r="D290" i="77" s="1"/>
  <c r="D290" i="89" a="1"/>
  <c r="D290" i="89" s="1"/>
  <c r="G289" i="93" a="1"/>
  <c r="G289" i="93" s="1"/>
  <c r="D290" i="92" a="1"/>
  <c r="D290" i="92" s="1"/>
  <c r="I289" i="89" a="1"/>
  <c r="I289" i="89" s="1"/>
  <c r="F290" i="85" a="1"/>
  <c r="F290" i="85" s="1"/>
  <c r="I289" i="34" a="1"/>
  <c r="I289" i="34" s="1"/>
  <c r="I289" i="76" a="1"/>
  <c r="I289" i="76" s="1"/>
  <c r="D290" i="79" a="1"/>
  <c r="D290" i="79" s="1"/>
  <c r="BH12" i="68"/>
  <c r="BL12" i="68"/>
  <c r="BE12" i="68"/>
  <c r="BF12" i="68" s="1"/>
  <c r="BD12" i="68"/>
  <c r="H290" i="88" a="1"/>
  <c r="H290" i="88" s="1"/>
  <c r="E11" i="69"/>
  <c r="C12" i="69" a="1"/>
  <c r="C12" i="69" s="1"/>
  <c r="E12" i="69" s="1"/>
  <c r="G290" i="90" l="1" a="1"/>
  <c r="G290" i="90" s="1"/>
  <c r="G290" i="83" a="1"/>
  <c r="G290" i="83" s="1"/>
  <c r="G290" i="84" a="1"/>
  <c r="G290" i="84" s="1"/>
  <c r="F291" i="84" a="1"/>
  <c r="F291" i="84" s="1"/>
  <c r="I290" i="77" a="1"/>
  <c r="I290" i="77" s="1"/>
  <c r="D291" i="80" a="1"/>
  <c r="D291" i="80" s="1"/>
  <c r="F291" i="88" a="1"/>
  <c r="F291" i="88" s="1"/>
  <c r="F291" i="80" a="1"/>
  <c r="F291" i="80" s="1"/>
  <c r="D291" i="34" a="1"/>
  <c r="D291" i="34" s="1"/>
  <c r="B13" i="69" a="1"/>
  <c r="B13" i="69" s="1"/>
  <c r="D13" i="69" a="1"/>
  <c r="D13" i="69" s="1"/>
  <c r="C13" i="69" a="1"/>
  <c r="C13" i="69" s="1"/>
  <c r="I290" i="89" a="1"/>
  <c r="I290" i="89" s="1"/>
  <c r="I290" i="82" a="1"/>
  <c r="I290" i="82" s="1"/>
  <c r="F291" i="78" a="1"/>
  <c r="F291" i="78" s="1"/>
  <c r="G290" i="82" a="1"/>
  <c r="G290" i="82" s="1"/>
  <c r="I290" i="83" a="1"/>
  <c r="I290" i="83" s="1"/>
  <c r="H290" i="77" a="1"/>
  <c r="H290" i="77" s="1"/>
  <c r="I290" i="75" a="1"/>
  <c r="I290" i="75" s="1"/>
  <c r="D291" i="78" a="1"/>
  <c r="D291" i="78" s="1"/>
  <c r="H290" i="86" a="1"/>
  <c r="H290" i="86" s="1"/>
  <c r="I290" i="79" a="1"/>
  <c r="I290" i="79" s="1"/>
  <c r="F291" i="85" a="1"/>
  <c r="F291" i="85" s="1"/>
  <c r="D291" i="82" a="1"/>
  <c r="D291" i="82" s="1"/>
  <c r="H290" i="90" a="1"/>
  <c r="H290" i="90" s="1"/>
  <c r="F291" i="34" a="1"/>
  <c r="F291" i="34" s="1"/>
  <c r="D291" i="77" a="1"/>
  <c r="D291" i="77" s="1"/>
  <c r="D291" i="89" a="1"/>
  <c r="D291" i="89" s="1"/>
  <c r="I290" i="84" a="1"/>
  <c r="I290" i="84" s="1"/>
  <c r="D291" i="90" a="1"/>
  <c r="D291" i="90" s="1"/>
  <c r="F291" i="82" a="1"/>
  <c r="F291" i="82" s="1"/>
  <c r="I290" i="88" a="1"/>
  <c r="I290" i="88" s="1"/>
  <c r="H290" i="89" a="1"/>
  <c r="H290" i="89" s="1"/>
  <c r="I290" i="86" a="1"/>
  <c r="I290" i="86" s="1"/>
  <c r="G290" i="89" a="1"/>
  <c r="G290" i="89" s="1"/>
  <c r="G290" i="88" a="1"/>
  <c r="G290" i="88" s="1"/>
  <c r="D291" i="86" a="1"/>
  <c r="D291" i="86" s="1"/>
  <c r="D291" i="29" a="1"/>
  <c r="D291" i="29" s="1"/>
  <c r="H290" i="75" a="1"/>
  <c r="H290" i="75" s="1"/>
  <c r="I290" i="80" a="1"/>
  <c r="I290" i="80" s="1"/>
  <c r="F291" i="81" a="1"/>
  <c r="F291" i="81" s="1"/>
  <c r="G290" i="34" a="1"/>
  <c r="G290" i="34" s="1"/>
  <c r="F291" i="29" a="1"/>
  <c r="F291" i="29" s="1"/>
  <c r="F291" i="86" a="1"/>
  <c r="F291" i="86" s="1"/>
  <c r="I290" i="29" a="1"/>
  <c r="I290" i="29" s="1"/>
  <c r="H290" i="79" a="1"/>
  <c r="H290" i="79" s="1"/>
  <c r="I290" i="74" a="1"/>
  <c r="I290" i="74" s="1"/>
  <c r="F291" i="77" a="1"/>
  <c r="F291" i="77" s="1"/>
  <c r="I290" i="76" a="1"/>
  <c r="I290" i="76" s="1"/>
  <c r="G290" i="78" a="1"/>
  <c r="G290" i="78" s="1"/>
  <c r="D291" i="73" a="1"/>
  <c r="D291" i="73" s="1"/>
  <c r="G290" i="73" a="1"/>
  <c r="G290" i="73" s="1"/>
  <c r="I290" i="73" a="1"/>
  <c r="I290" i="73" s="1"/>
  <c r="I290" i="81" a="1"/>
  <c r="I290" i="81" s="1"/>
  <c r="H290" i="73" a="1"/>
  <c r="H290" i="73" s="1"/>
  <c r="I290" i="34" a="1"/>
  <c r="I290" i="34" s="1"/>
  <c r="G290" i="80" a="1"/>
  <c r="G290" i="80" s="1"/>
  <c r="G290" i="75" a="1"/>
  <c r="G290" i="75" s="1"/>
  <c r="F291" i="75" a="1"/>
  <c r="F291" i="75" s="1"/>
  <c r="H290" i="82" a="1"/>
  <c r="H290" i="82" s="1"/>
  <c r="H290" i="83" a="1"/>
  <c r="H290" i="83" s="1"/>
  <c r="H290" i="80" a="1"/>
  <c r="H290" i="80" s="1"/>
  <c r="D291" i="74" a="1"/>
  <c r="D291" i="74" s="1"/>
  <c r="G290" i="29" a="1"/>
  <c r="G290" i="29" s="1"/>
  <c r="H290" i="74" a="1"/>
  <c r="H290" i="74" s="1"/>
  <c r="H290" i="81" a="1"/>
  <c r="H290" i="81" s="1"/>
  <c r="H290" i="34" a="1"/>
  <c r="H290" i="34" s="1"/>
  <c r="I290" i="90" a="1"/>
  <c r="I290" i="90" s="1"/>
  <c r="F291" i="74" a="1"/>
  <c r="F291" i="74" s="1"/>
  <c r="G290" i="81" a="1"/>
  <c r="G290" i="81" s="1"/>
  <c r="G290" i="74" a="1"/>
  <c r="G290" i="74" s="1"/>
  <c r="G290" i="77" a="1"/>
  <c r="G290" i="77" s="1"/>
  <c r="G290" i="79" a="1"/>
  <c r="G290" i="79" s="1"/>
  <c r="H290" i="78" a="1"/>
  <c r="H290" i="78" s="1"/>
  <c r="D291" i="85" a="1"/>
  <c r="D291" i="85" s="1"/>
  <c r="D291" i="76" a="1"/>
  <c r="D291" i="76" s="1"/>
  <c r="F291" i="76" a="1"/>
  <c r="F291" i="76" s="1"/>
  <c r="D291" i="84" a="1"/>
  <c r="D291" i="84" s="1"/>
  <c r="F291" i="79" a="1"/>
  <c r="F291" i="79" s="1"/>
  <c r="G290" i="76" a="1"/>
  <c r="G290" i="76" s="1"/>
  <c r="H290" i="76" a="1"/>
  <c r="H290" i="76" s="1"/>
  <c r="F291" i="73" a="1"/>
  <c r="F291" i="73" s="1"/>
  <c r="H290" i="29" a="1"/>
  <c r="H290" i="29" s="1"/>
  <c r="I290" i="78" a="1"/>
  <c r="I290" i="78" s="1"/>
  <c r="D291" i="79" a="1"/>
  <c r="D291" i="79" s="1"/>
  <c r="D291" i="75" a="1"/>
  <c r="D291" i="75" s="1"/>
  <c r="I290" i="85" a="1"/>
  <c r="I290" i="85" s="1"/>
  <c r="BQ12" i="68"/>
  <c r="BM12" i="68"/>
  <c r="BI12" i="68"/>
  <c r="BJ12" i="68"/>
  <c r="BK12" i="68" s="1"/>
  <c r="D291" i="81" a="1"/>
  <c r="D291" i="81" s="1"/>
  <c r="F292" i="80" l="1" a="1"/>
  <c r="F292" i="80" s="1"/>
  <c r="D292" i="78" a="1"/>
  <c r="D292" i="78" s="1"/>
  <c r="F292" i="78" a="1"/>
  <c r="F292" i="78" s="1"/>
  <c r="E13" i="69"/>
  <c r="I291" i="73" a="1"/>
  <c r="I291" i="73" s="1"/>
  <c r="H291" i="75" a="1"/>
  <c r="H291" i="75" s="1"/>
  <c r="H291" i="73" a="1"/>
  <c r="H291" i="73" s="1"/>
  <c r="BR12" i="68"/>
  <c r="BV12" i="68"/>
  <c r="I291" i="80" a="1"/>
  <c r="I291" i="80" s="1"/>
  <c r="I291" i="85" a="1"/>
  <c r="I291" i="85" s="1"/>
  <c r="H291" i="76" a="1"/>
  <c r="H291" i="76" s="1"/>
  <c r="H291" i="77" a="1"/>
  <c r="H291" i="77" s="1"/>
  <c r="D292" i="75" a="1"/>
  <c r="D292" i="75" s="1"/>
  <c r="D292" i="81" a="1"/>
  <c r="D292" i="81" s="1"/>
  <c r="D292" i="77" a="1"/>
  <c r="D292" i="77" s="1"/>
  <c r="G291" i="74" a="1"/>
  <c r="G291" i="74" s="1"/>
  <c r="G291" i="75" a="1"/>
  <c r="G291" i="75" s="1"/>
  <c r="I291" i="79" a="1"/>
  <c r="I291" i="79" s="1"/>
  <c r="D14" i="69" a="1"/>
  <c r="D14" i="69" s="1"/>
  <c r="F292" i="77" a="1"/>
  <c r="F292" i="77" s="1"/>
  <c r="F292" i="76" a="1"/>
  <c r="F292" i="76" s="1"/>
  <c r="D292" i="74" a="1"/>
  <c r="D292" i="74" s="1"/>
  <c r="I291" i="82" a="1"/>
  <c r="I291" i="82" s="1"/>
  <c r="D292" i="73" a="1"/>
  <c r="D292" i="73" s="1"/>
  <c r="I291" i="74" a="1"/>
  <c r="I291" i="74" s="1"/>
  <c r="G291" i="78" a="1"/>
  <c r="G291" i="78" s="1"/>
  <c r="G291" i="73" a="1"/>
  <c r="G291" i="73" s="1"/>
  <c r="H291" i="34" a="1"/>
  <c r="H291" i="34" s="1"/>
  <c r="D292" i="76" a="1"/>
  <c r="D292" i="76" s="1"/>
  <c r="F292" i="79" a="1"/>
  <c r="F292" i="79" s="1"/>
  <c r="B14" i="69" a="1"/>
  <c r="B14" i="69" s="1"/>
  <c r="D292" i="34" a="1"/>
  <c r="D292" i="34" s="1"/>
  <c r="G291" i="76" a="1"/>
  <c r="G291" i="76" s="1"/>
  <c r="I291" i="76" a="1"/>
  <c r="I291" i="76" s="1"/>
  <c r="G291" i="77" a="1"/>
  <c r="G291" i="77" s="1"/>
  <c r="G291" i="34" a="1"/>
  <c r="G291" i="34" s="1"/>
  <c r="G291" i="29" a="1"/>
  <c r="G291" i="29" s="1"/>
  <c r="H291" i="79" a="1"/>
  <c r="H291" i="79" s="1"/>
  <c r="G291" i="80" a="1"/>
  <c r="G291" i="80" s="1"/>
  <c r="I291" i="34" a="1"/>
  <c r="I291" i="34" s="1"/>
  <c r="G291" i="83" a="1"/>
  <c r="G291" i="83" s="1"/>
  <c r="C14" i="69" a="1"/>
  <c r="C14" i="69" s="1"/>
  <c r="I291" i="29" a="1"/>
  <c r="I291" i="29" s="1"/>
  <c r="H291" i="29" a="1"/>
  <c r="H291" i="29" s="1"/>
  <c r="H291" i="80" a="1"/>
  <c r="H291" i="80" s="1"/>
  <c r="D292" i="82" a="1"/>
  <c r="D292" i="82" s="1"/>
  <c r="H291" i="81" a="1"/>
  <c r="H291" i="81" s="1"/>
  <c r="I291" i="81" a="1"/>
  <c r="I291" i="81" s="1"/>
  <c r="H291" i="78" a="1"/>
  <c r="H291" i="78" s="1"/>
  <c r="F292" i="34" a="1"/>
  <c r="F292" i="34" s="1"/>
  <c r="F292" i="73" a="1"/>
  <c r="F292" i="73" s="1"/>
  <c r="I291" i="75" a="1"/>
  <c r="I291" i="75" s="1"/>
  <c r="G291" i="79" a="1"/>
  <c r="G291" i="79" s="1"/>
  <c r="D292" i="29" a="1"/>
  <c r="D292" i="29" s="1"/>
  <c r="F292" i="75" a="1"/>
  <c r="F292" i="75" s="1"/>
  <c r="H291" i="74" a="1"/>
  <c r="H291" i="74" s="1"/>
  <c r="F292" i="82" a="1"/>
  <c r="F292" i="82" s="1"/>
  <c r="D292" i="80" a="1"/>
  <c r="D292" i="80" s="1"/>
  <c r="I291" i="78" a="1"/>
  <c r="I291" i="78" s="1"/>
  <c r="D292" i="79" a="1"/>
  <c r="D292" i="79" s="1"/>
  <c r="G291" i="81" a="1"/>
  <c r="G291" i="81" s="1"/>
  <c r="I291" i="77" a="1"/>
  <c r="I291" i="77" s="1"/>
  <c r="F292" i="74" a="1"/>
  <c r="F292" i="74" s="1"/>
  <c r="D292" i="85" a="1"/>
  <c r="D292" i="85" s="1"/>
  <c r="BO12" i="68"/>
  <c r="BP12" i="68" s="1"/>
  <c r="BN12" i="68"/>
  <c r="F293" i="34" s="1" a="1"/>
  <c r="F293" i="34" s="1"/>
  <c r="F292" i="29" a="1"/>
  <c r="F292" i="29" s="1"/>
  <c r="F292" i="81" a="1"/>
  <c r="F292" i="81" s="1"/>
  <c r="G292" i="81" l="1" a="1"/>
  <c r="G292" i="81" s="1"/>
  <c r="G292" i="73" a="1"/>
  <c r="G292" i="73" s="1"/>
  <c r="F293" i="78" a="1"/>
  <c r="F293" i="78" s="1"/>
  <c r="C15" i="69" a="1"/>
  <c r="C15" i="69" s="1"/>
  <c r="F293" i="75" a="1"/>
  <c r="F293" i="75" s="1"/>
  <c r="B15" i="69" a="1"/>
  <c r="B15" i="69" s="1"/>
  <c r="D15" i="69" a="1"/>
  <c r="D15" i="69" s="1"/>
  <c r="E14" i="69"/>
  <c r="CA12" i="68"/>
  <c r="BW12" i="68"/>
  <c r="BS12" i="68"/>
  <c r="BT12" i="68"/>
  <c r="BU12" i="68" s="1"/>
  <c r="B16" i="69" l="1" a="1"/>
  <c r="B16" i="69" s="1"/>
  <c r="C16" i="69" a="1"/>
  <c r="C16" i="69" s="1"/>
  <c r="E15" i="69"/>
  <c r="BX12" i="68"/>
  <c r="B17" i="69" s="1" a="1"/>
  <c r="B17" i="69" s="1"/>
  <c r="BY12" i="68"/>
  <c r="BZ12" i="68" s="1"/>
  <c r="D16" i="69" a="1"/>
  <c r="D16" i="69" s="1"/>
  <c r="CF12" i="68"/>
  <c r="CB12" i="68"/>
  <c r="E16" i="69" l="1"/>
  <c r="D17" i="69" a="1"/>
  <c r="D17" i="69" s="1"/>
  <c r="C17" i="69" a="1"/>
  <c r="C17" i="69" s="1"/>
  <c r="CD12" i="68"/>
  <c r="CE12" i="68" s="1"/>
  <c r="CC12" i="68"/>
  <c r="C18" i="69" s="1" a="1"/>
  <c r="C18" i="69" s="1"/>
  <c r="CG12" i="68"/>
  <c r="CK12" i="68"/>
  <c r="E17" i="69" l="1"/>
  <c r="D18" i="69" a="1"/>
  <c r="D18" i="69" s="1"/>
  <c r="B18" i="69" a="1"/>
  <c r="B18" i="69" s="1"/>
  <c r="CI12" i="68"/>
  <c r="CJ12" i="68" s="1"/>
  <c r="CH12" i="68"/>
  <c r="D19" i="69" s="1" a="1"/>
  <c r="D19" i="69" s="1"/>
  <c r="CP12" i="68"/>
  <c r="CL12" i="68"/>
  <c r="E18" i="69" l="1"/>
  <c r="B19" i="69" a="1"/>
  <c r="B19" i="69" s="1"/>
  <c r="CN12" i="68"/>
  <c r="CO12" i="68" s="1"/>
  <c r="CM12" i="68"/>
  <c r="CU12" i="68"/>
  <c r="CQ12" i="68"/>
  <c r="C19" i="69" a="1"/>
  <c r="C19" i="69" s="1"/>
  <c r="E19" i="69" l="1"/>
  <c r="CV12" i="68"/>
  <c r="CZ12" i="68"/>
  <c r="D20" i="69" a="1"/>
  <c r="D20" i="69" s="1"/>
  <c r="B20" i="69" a="1"/>
  <c r="B20" i="69" s="1"/>
  <c r="C20" i="69" a="1"/>
  <c r="C20" i="69" s="1"/>
  <c r="CS12" i="68"/>
  <c r="CT12" i="68" s="1"/>
  <c r="CR12" i="68"/>
  <c r="E20" i="69" l="1"/>
  <c r="B21" i="69" a="1"/>
  <c r="B21" i="69" s="1"/>
  <c r="C21" i="69" a="1"/>
  <c r="C21" i="69" s="1"/>
  <c r="DE12" i="68"/>
  <c r="DA12" i="68"/>
  <c r="CX12" i="68"/>
  <c r="CY12" i="68" s="1"/>
  <c r="CW12" i="68"/>
  <c r="D21" i="69" a="1"/>
  <c r="D21" i="69" s="1"/>
  <c r="DF12" i="68" l="1"/>
  <c r="DJ12" i="68"/>
  <c r="B22" i="69" a="1"/>
  <c r="B22" i="69" s="1"/>
  <c r="D22" i="69" a="1"/>
  <c r="D22" i="69" s="1"/>
  <c r="B23" i="69" a="1"/>
  <c r="B23" i="69" s="1"/>
  <c r="C22" i="69" a="1"/>
  <c r="C22" i="69" s="1"/>
  <c r="E21" i="69"/>
  <c r="DC12" i="68"/>
  <c r="DD12" i="68" s="1"/>
  <c r="DB12" i="68"/>
  <c r="E22" i="69" l="1"/>
  <c r="DO12" i="68"/>
  <c r="DK12" i="68"/>
  <c r="C23" i="69" a="1"/>
  <c r="C23" i="69" s="1"/>
  <c r="DG12" i="68"/>
  <c r="DH12" i="68"/>
  <c r="DI12" i="68" s="1"/>
  <c r="D23" i="69" a="1"/>
  <c r="D23" i="69" s="1"/>
  <c r="E23" i="69" l="1"/>
  <c r="B24" i="69" a="1"/>
  <c r="B24" i="69" s="1"/>
  <c r="C24" i="69" a="1"/>
  <c r="C24" i="69" s="1"/>
  <c r="D24" i="69" a="1"/>
  <c r="D24" i="69" s="1"/>
  <c r="DM12" i="68"/>
  <c r="DN12" i="68" s="1"/>
  <c r="DL12" i="68"/>
  <c r="DT12" i="68"/>
  <c r="DP12" i="68"/>
  <c r="B25" i="69" l="1" a="1"/>
  <c r="B25" i="69" s="1"/>
  <c r="D25" i="69" a="1"/>
  <c r="D25" i="69" s="1"/>
  <c r="C25" i="69" a="1"/>
  <c r="C25" i="69" s="1"/>
  <c r="DR12" i="68"/>
  <c r="DS12" i="68" s="1"/>
  <c r="DQ12" i="68"/>
  <c r="C26" i="69" s="1" a="1"/>
  <c r="C26" i="69" s="1"/>
  <c r="DY12" i="68"/>
  <c r="DU12" i="68"/>
  <c r="E24" i="69"/>
  <c r="E25" i="69" l="1"/>
  <c r="B26" i="69" a="1"/>
  <c r="B26" i="69" s="1"/>
  <c r="D26" i="69" a="1"/>
  <c r="D26" i="69" s="1"/>
  <c r="DV12" i="68"/>
  <c r="DW12" i="68"/>
  <c r="DX12" i="68" s="1"/>
  <c r="ED12" i="68"/>
  <c r="DZ12" i="68"/>
  <c r="B27" i="69" l="1" a="1"/>
  <c r="B27" i="69" s="1"/>
  <c r="D27" i="69" a="1"/>
  <c r="D27" i="69" s="1"/>
  <c r="C27" i="69" a="1"/>
  <c r="C27" i="69" s="1"/>
  <c r="EE12" i="68"/>
  <c r="EI12" i="68"/>
  <c r="EB12" i="68"/>
  <c r="EC12" i="68" s="1"/>
  <c r="D28" i="69" s="1" a="1"/>
  <c r="D28" i="69" s="1"/>
  <c r="EA12" i="68"/>
  <c r="E26" i="69"/>
  <c r="B28" i="69" l="1" a="1"/>
  <c r="B28" i="69" s="1"/>
  <c r="EN12" i="68"/>
  <c r="EJ12" i="68"/>
  <c r="EG12" i="68"/>
  <c r="EH12" i="68" s="1"/>
  <c r="EF12" i="68"/>
  <c r="C28" i="69" a="1"/>
  <c r="C28" i="69" s="1"/>
  <c r="E27" i="69"/>
  <c r="E28" i="69" l="1"/>
  <c r="D29" i="69" a="1"/>
  <c r="D29" i="69" s="1"/>
  <c r="C29" i="69" a="1"/>
  <c r="C29" i="69" s="1"/>
  <c r="B29" i="69" a="1"/>
  <c r="B29" i="69" s="1"/>
  <c r="EL12" i="68"/>
  <c r="EM12" i="68" s="1"/>
  <c r="EK12" i="68"/>
  <c r="ES12" i="68"/>
  <c r="EO12" i="68"/>
  <c r="E29" i="69" l="1"/>
  <c r="EQ12" i="68"/>
  <c r="ER12" i="68" s="1"/>
  <c r="EP12" i="68"/>
  <c r="D31" i="69" s="1" a="1"/>
  <c r="D31" i="69" s="1"/>
  <c r="C30" i="69" a="1"/>
  <c r="C30" i="69" s="1"/>
  <c r="ET12" i="68"/>
  <c r="EX12" i="68"/>
  <c r="B30" i="69" a="1"/>
  <c r="B30" i="69" s="1"/>
  <c r="D30" i="69" a="1"/>
  <c r="D30" i="69" s="1"/>
  <c r="C31" i="69" l="1" a="1"/>
  <c r="C31" i="69" s="1"/>
  <c r="B31" i="69" a="1"/>
  <c r="B31" i="69" s="1"/>
  <c r="E30" i="69"/>
  <c r="FC12" i="68"/>
  <c r="EY12" i="68"/>
  <c r="EU12" i="68"/>
  <c r="EV12" i="68"/>
  <c r="EW12" i="68" s="1"/>
  <c r="E31" i="69" l="1"/>
  <c r="D32" i="69" a="1"/>
  <c r="D32" i="69" s="1"/>
  <c r="C32" i="69" a="1"/>
  <c r="C32" i="69" s="1"/>
  <c r="B32" i="69" a="1"/>
  <c r="B32" i="69" s="1"/>
  <c r="EZ12" i="68"/>
  <c r="FA12" i="68"/>
  <c r="FB12" i="68" s="1"/>
  <c r="FH12" i="68"/>
  <c r="FD12" i="68"/>
  <c r="E32" i="69" l="1"/>
  <c r="FF12" i="68"/>
  <c r="FG12" i="68" s="1"/>
  <c r="FE12" i="68"/>
  <c r="FI12" i="68"/>
  <c r="FM12" i="68"/>
  <c r="B33" i="69" a="1"/>
  <c r="B33" i="69" s="1"/>
  <c r="C33" i="69" a="1"/>
  <c r="C33" i="69" s="1"/>
  <c r="D33" i="69" a="1"/>
  <c r="D33" i="69" s="1"/>
  <c r="B34" i="69" l="1" a="1"/>
  <c r="B34" i="69" s="1"/>
  <c r="C34" i="69" a="1"/>
  <c r="C34" i="69" s="1"/>
  <c r="D34" i="69" a="1"/>
  <c r="D34" i="69" s="1"/>
  <c r="E33" i="69"/>
  <c r="FR12" i="68"/>
  <c r="FN12" i="68"/>
  <c r="FK12" i="68"/>
  <c r="FL12" i="68" s="1"/>
  <c r="FJ12" i="68"/>
  <c r="E34" i="69" l="1"/>
  <c r="C35" i="69" a="1"/>
  <c r="C35" i="69" s="1"/>
  <c r="D35" i="69" a="1"/>
  <c r="D35" i="69" s="1"/>
  <c r="B35" i="69" a="1"/>
  <c r="B35" i="69" s="1"/>
  <c r="FP12" i="68"/>
  <c r="FQ12" i="68" s="1"/>
  <c r="FO12" i="68"/>
  <c r="FW12" i="68"/>
  <c r="FS12" i="68"/>
  <c r="FX12" i="68" l="1"/>
  <c r="GB12" i="68"/>
  <c r="GC12" i="68" s="1"/>
  <c r="C36" i="69" a="1"/>
  <c r="C36" i="69" s="1"/>
  <c r="FU12" i="68"/>
  <c r="FV12" i="68" s="1"/>
  <c r="FT12" i="68"/>
  <c r="B37" i="69" s="1" a="1"/>
  <c r="B37" i="69" s="1"/>
  <c r="E35" i="69"/>
  <c r="B36" i="69" a="1"/>
  <c r="B36" i="69" s="1"/>
  <c r="C37" i="69" a="1"/>
  <c r="C37" i="69" s="1"/>
  <c r="D36" i="69" a="1"/>
  <c r="D36" i="69" s="1"/>
  <c r="E36" i="69" l="1"/>
  <c r="D37" i="69" a="1"/>
  <c r="D37" i="69" s="1"/>
  <c r="E37" i="69" s="1"/>
  <c r="GE12" i="68"/>
  <c r="GF12" i="68" s="1"/>
  <c r="GD12" i="68"/>
  <c r="FZ12" i="68"/>
  <c r="GA12" i="68" s="1"/>
  <c r="FY12" i="68"/>
  <c r="H302" i="103" l="1" a="1"/>
  <c r="H302" i="103" s="1"/>
  <c r="G287" i="102" a="1"/>
  <c r="G287" i="102" s="1"/>
  <c r="H308" i="103" a="1"/>
  <c r="H308" i="103" s="1"/>
  <c r="H294" i="103" a="1"/>
  <c r="H294" i="103" s="1"/>
  <c r="I295" i="103" a="1"/>
  <c r="I295" i="103" s="1"/>
  <c r="D309" i="103" a="1"/>
  <c r="D309" i="103" s="1"/>
  <c r="D304" i="102" a="1"/>
  <c r="D304" i="102" s="1"/>
  <c r="F313" i="102" a="1"/>
  <c r="F313" i="102" s="1"/>
  <c r="I297" i="103" a="1"/>
  <c r="I297" i="103" s="1"/>
  <c r="I313" i="102" a="1"/>
  <c r="I313" i="102" s="1"/>
  <c r="D289" i="102" a="1"/>
  <c r="D289" i="102" s="1"/>
  <c r="F303" i="102" a="1"/>
  <c r="F303" i="102" s="1"/>
  <c r="I312" i="103" a="1"/>
  <c r="I312" i="103" s="1"/>
  <c r="G308" i="102" a="1"/>
  <c r="G308" i="102" s="1"/>
  <c r="F309" i="102" a="1"/>
  <c r="F309" i="102" s="1"/>
  <c r="H308" i="102" a="1"/>
  <c r="H308" i="102" s="1"/>
  <c r="G312" i="102" a="1"/>
  <c r="G312" i="102" s="1"/>
  <c r="D290" i="103" a="1"/>
  <c r="D290" i="103" s="1"/>
  <c r="F292" i="102" a="1"/>
  <c r="F292" i="102" s="1"/>
  <c r="F311" i="103" a="1"/>
  <c r="F311" i="103" s="1"/>
  <c r="G303" i="103" a="1"/>
  <c r="G303" i="103" s="1"/>
  <c r="G294" i="103" a="1"/>
  <c r="G294" i="103" s="1"/>
  <c r="G288" i="103" a="1"/>
  <c r="G288" i="103" s="1"/>
  <c r="D290" i="102" a="1"/>
  <c r="D290" i="102" s="1"/>
  <c r="I293" i="103" a="1"/>
  <c r="I293" i="103" s="1"/>
  <c r="G295" i="103" a="1"/>
  <c r="G295" i="103" s="1"/>
  <c r="H309" i="103" a="1"/>
  <c r="H309" i="103" s="1"/>
  <c r="I292" i="102" a="1"/>
  <c r="I292" i="102" s="1"/>
  <c r="F305" i="103" a="1"/>
  <c r="F305" i="103" s="1"/>
  <c r="F301" i="102" a="1"/>
  <c r="F301" i="102" s="1"/>
  <c r="F301" i="103" a="1"/>
  <c r="F301" i="103" s="1"/>
  <c r="H313" i="103" a="1"/>
  <c r="H313" i="103" s="1"/>
  <c r="G308" i="103" a="1"/>
  <c r="G308" i="103" s="1"/>
  <c r="F289" i="103" a="1"/>
  <c r="F289" i="103" s="1"/>
  <c r="G305" i="103" a="1"/>
  <c r="G305" i="103" s="1"/>
  <c r="F305" i="102" a="1"/>
  <c r="F305" i="102" s="1"/>
  <c r="I291" i="103" a="1"/>
  <c r="I291" i="103" s="1"/>
  <c r="H293" i="102" a="1"/>
  <c r="H293" i="102" s="1"/>
  <c r="I301" i="103" a="1"/>
  <c r="I301" i="103" s="1"/>
  <c r="G293" i="103" a="1"/>
  <c r="G293" i="103" s="1"/>
  <c r="D300" i="103" a="1"/>
  <c r="D300" i="103" s="1"/>
  <c r="H313" i="102" a="1"/>
  <c r="H313" i="102" s="1"/>
  <c r="D308" i="102" a="1"/>
  <c r="D308" i="102" s="1"/>
  <c r="F308" i="103" a="1"/>
  <c r="F308" i="103" s="1"/>
  <c r="G306" i="102" a="1"/>
  <c r="G306" i="102" s="1"/>
  <c r="I295" i="102" a="1"/>
  <c r="I295" i="102" s="1"/>
  <c r="I299" i="103" a="1"/>
  <c r="I299" i="103" s="1"/>
  <c r="G300" i="102" a="1"/>
  <c r="G300" i="102" s="1"/>
  <c r="F308" i="102" a="1"/>
  <c r="F308" i="102" s="1"/>
  <c r="G290" i="103" a="1"/>
  <c r="G290" i="103" s="1"/>
  <c r="I306" i="102" a="1"/>
  <c r="I306" i="102" s="1"/>
  <c r="F309" i="103" a="1"/>
  <c r="F309" i="103" s="1"/>
  <c r="G300" i="103" a="1"/>
  <c r="G300" i="103" s="1"/>
  <c r="D289" i="103" a="1"/>
  <c r="D289" i="103" s="1"/>
  <c r="G294" i="102" a="1"/>
  <c r="G294" i="102" s="1"/>
  <c r="F294" i="103" a="1"/>
  <c r="F294" i="103" s="1"/>
  <c r="F304" i="103" a="1"/>
  <c r="F304" i="103" s="1"/>
  <c r="D297" i="102" a="1"/>
  <c r="D297" i="102" s="1"/>
  <c r="H300" i="102" a="1"/>
  <c r="H300" i="102" s="1"/>
  <c r="D291" i="103" a="1"/>
  <c r="D291" i="103" s="1"/>
  <c r="F302" i="102" a="1"/>
  <c r="F302" i="102" s="1"/>
  <c r="H307" i="102" a="1"/>
  <c r="H307" i="102" s="1"/>
  <c r="H294" i="102" a="1"/>
  <c r="H294" i="102" s="1"/>
  <c r="G315" i="103" a="1"/>
  <c r="G315" i="103" s="1"/>
  <c r="D311" i="103" a="1"/>
  <c r="D311" i="103" s="1"/>
  <c r="D315" i="102" a="1"/>
  <c r="D315" i="102" s="1"/>
  <c r="D291" i="102" a="1"/>
  <c r="D291" i="102" s="1"/>
  <c r="H311" i="103" a="1"/>
  <c r="H311" i="103" s="1"/>
  <c r="F293" i="102" a="1"/>
  <c r="F293" i="102" s="1"/>
  <c r="I294" i="103" a="1"/>
  <c r="I294" i="103" s="1"/>
  <c r="G301" i="102" a="1"/>
  <c r="G301" i="102" s="1"/>
  <c r="D315" i="103" a="1"/>
  <c r="D315" i="103" s="1"/>
  <c r="F295" i="102" a="1"/>
  <c r="F295" i="102" s="1"/>
  <c r="F310" i="102" a="1"/>
  <c r="F310" i="102" s="1"/>
  <c r="I297" i="102" a="1"/>
  <c r="I297" i="102" s="1"/>
  <c r="D306" i="102" a="1"/>
  <c r="D306" i="102" s="1"/>
  <c r="F307" i="103" a="1"/>
  <c r="F307" i="103" s="1"/>
  <c r="F304" i="102" a="1"/>
  <c r="F304" i="102" s="1"/>
  <c r="D296" i="103" a="1"/>
  <c r="D296" i="103" s="1"/>
  <c r="I296" i="102" a="1"/>
  <c r="I296" i="102" s="1"/>
  <c r="I305" i="102" a="1"/>
  <c r="I305" i="102" s="1"/>
  <c r="G302" i="102" a="1"/>
  <c r="G302" i="102" s="1"/>
  <c r="I289" i="102" a="1"/>
  <c r="I289" i="102" s="1"/>
  <c r="D292" i="102" a="1"/>
  <c r="D292" i="102" s="1"/>
  <c r="I308" i="103" a="1"/>
  <c r="I308" i="103" s="1"/>
  <c r="I309" i="103" a="1"/>
  <c r="I309" i="103" s="1"/>
  <c r="G289" i="103" a="1"/>
  <c r="G289" i="103" s="1"/>
  <c r="I316" i="103" a="1"/>
  <c r="I316" i="103" s="1"/>
  <c r="H301" i="102" a="1"/>
  <c r="H301" i="102" s="1"/>
  <c r="G315" i="102" a="1"/>
  <c r="G315" i="102" s="1"/>
  <c r="I312" i="102" a="1"/>
  <c r="I312" i="102" s="1"/>
  <c r="I311" i="103" a="1"/>
  <c r="I311" i="103" s="1"/>
  <c r="D313" i="102" a="1"/>
  <c r="D313" i="102" s="1"/>
  <c r="H306" i="103" a="1"/>
  <c r="H306" i="103" s="1"/>
  <c r="G309" i="102" a="1"/>
  <c r="G309" i="102" s="1"/>
  <c r="D306" i="103" a="1"/>
  <c r="D306" i="103" s="1"/>
  <c r="G297" i="102" a="1"/>
  <c r="G297" i="102" s="1"/>
  <c r="H291" i="102" a="1"/>
  <c r="H291" i="102" s="1"/>
  <c r="I309" i="102" a="1"/>
  <c r="I309" i="102" s="1"/>
  <c r="H303" i="103" a="1"/>
  <c r="H303" i="103" s="1"/>
  <c r="I296" i="103" a="1"/>
  <c r="I296" i="103" s="1"/>
  <c r="H307" i="103" a="1"/>
  <c r="H307" i="103" s="1"/>
  <c r="D293" i="102" a="1"/>
  <c r="D293" i="102" s="1"/>
  <c r="F290" i="102" a="1"/>
  <c r="F290" i="102" s="1"/>
  <c r="H316" i="103" a="1"/>
  <c r="H316" i="103" s="1"/>
  <c r="I300" i="103" a="1"/>
  <c r="I300" i="103" s="1"/>
  <c r="H288" i="103" a="1"/>
  <c r="H288" i="103" s="1"/>
  <c r="H304" i="103" a="1"/>
  <c r="H304" i="103" s="1"/>
  <c r="G310" i="102" a="1"/>
  <c r="G310" i="102" s="1"/>
  <c r="F294" i="102" a="1"/>
  <c r="F294" i="102" s="1"/>
  <c r="H312" i="102" a="1"/>
  <c r="H312" i="102" s="1"/>
  <c r="I307" i="102" a="1"/>
  <c r="I307" i="102" s="1"/>
  <c r="G304" i="103" a="1"/>
  <c r="G304" i="103" s="1"/>
  <c r="H312" i="103" a="1"/>
  <c r="H312" i="103" s="1"/>
  <c r="D298" i="103" a="1"/>
  <c r="D298" i="103" s="1"/>
  <c r="H316" i="102" a="1"/>
  <c r="H316" i="102" s="1"/>
  <c r="I310" i="102" a="1"/>
  <c r="I310" i="102" s="1"/>
  <c r="H310" i="103" a="1"/>
  <c r="H310" i="103" s="1"/>
  <c r="I302" i="103" a="1"/>
  <c r="I302" i="103" s="1"/>
  <c r="H315" i="103" a="1"/>
  <c r="H315" i="103" s="1"/>
  <c r="H291" i="103" a="1"/>
  <c r="H291" i="103" s="1"/>
  <c r="D302" i="102" a="1"/>
  <c r="D302" i="102" s="1"/>
  <c r="D312" i="102" a="1"/>
  <c r="D312" i="102" s="1"/>
  <c r="I288" i="103" a="1"/>
  <c r="I288" i="103" s="1"/>
  <c r="D303" i="102" a="1"/>
  <c r="D303" i="102" s="1"/>
  <c r="H301" i="103" a="1"/>
  <c r="H301" i="103" s="1"/>
  <c r="H311" i="102" a="1"/>
  <c r="H311" i="102" s="1"/>
  <c r="D299" i="102" a="1"/>
  <c r="D299" i="102" s="1"/>
  <c r="D294" i="102" a="1"/>
  <c r="D294" i="102" s="1"/>
  <c r="I304" i="102" a="1"/>
  <c r="I304" i="102" s="1"/>
  <c r="H297" i="103" a="1"/>
  <c r="H297" i="103" s="1"/>
  <c r="G299" i="103" a="1"/>
  <c r="G299" i="103" s="1"/>
  <c r="F312" i="103" a="1"/>
  <c r="F312" i="103" s="1"/>
  <c r="G292" i="103" a="1"/>
  <c r="G292" i="103" s="1"/>
  <c r="G304" i="102" a="1"/>
  <c r="G304" i="102" s="1"/>
  <c r="D314" i="102" a="1"/>
  <c r="D314" i="102" s="1"/>
  <c r="F290" i="103" a="1"/>
  <c r="F290" i="103" s="1"/>
  <c r="H310" i="102" a="1"/>
  <c r="H310" i="102" s="1"/>
  <c r="D295" i="103" a="1"/>
  <c r="D295" i="103" s="1"/>
  <c r="F303" i="103" a="1"/>
  <c r="F303" i="103" s="1"/>
  <c r="F315" i="103" a="1"/>
  <c r="F315" i="103" s="1"/>
  <c r="H297" i="102" a="1"/>
  <c r="H297" i="102" s="1"/>
  <c r="H299" i="102" a="1"/>
  <c r="H299" i="102" s="1"/>
  <c r="H288" i="102" a="1"/>
  <c r="H288" i="102" s="1"/>
  <c r="I315" i="102" a="1"/>
  <c r="I315" i="102" s="1"/>
  <c r="H290" i="103" a="1"/>
  <c r="H290" i="103" s="1"/>
  <c r="G316" i="102" a="1"/>
  <c r="G316" i="102" s="1"/>
  <c r="D310" i="102" a="1"/>
  <c r="D310" i="102" s="1"/>
  <c r="H314" i="103" a="1"/>
  <c r="H314" i="103" s="1"/>
  <c r="D313" i="103" a="1"/>
  <c r="D313" i="103" s="1"/>
  <c r="G297" i="103" a="1"/>
  <c r="G297" i="103" s="1"/>
  <c r="D292" i="103" a="1"/>
  <c r="D292" i="103" s="1"/>
  <c r="I310" i="103" a="1"/>
  <c r="I310" i="103" s="1"/>
  <c r="I298" i="103" a="1"/>
  <c r="I298" i="103" s="1"/>
  <c r="I316" i="102" a="1"/>
  <c r="I316" i="102" s="1"/>
  <c r="I292" i="103" a="1"/>
  <c r="I292" i="103" s="1"/>
  <c r="D295" i="102" a="1"/>
  <c r="D295" i="102" s="1"/>
  <c r="G311" i="102" a="1"/>
  <c r="G311" i="102" s="1"/>
  <c r="D300" i="102" a="1"/>
  <c r="D300" i="102" s="1"/>
  <c r="I288" i="102" a="1"/>
  <c r="I288" i="102" s="1"/>
  <c r="D301" i="103" a="1"/>
  <c r="D301" i="103" s="1"/>
  <c r="F313" i="103" a="1"/>
  <c r="F313" i="103" s="1"/>
  <c r="I303" i="102" a="1"/>
  <c r="I303" i="102" s="1"/>
  <c r="F298" i="102" a="1"/>
  <c r="F298" i="102" s="1"/>
  <c r="D294" i="103" a="1"/>
  <c r="D294" i="103" s="1"/>
  <c r="F292" i="103" a="1"/>
  <c r="F292" i="103" s="1"/>
  <c r="G312" i="103" a="1"/>
  <c r="G312" i="103" s="1"/>
  <c r="I294" i="102" a="1"/>
  <c r="I294" i="102" s="1"/>
  <c r="F306" i="102" a="1"/>
  <c r="F306" i="102" s="1"/>
  <c r="D316" i="102" a="1"/>
  <c r="D316" i="102" s="1"/>
  <c r="G288" i="102" a="1"/>
  <c r="G288" i="102" s="1"/>
  <c r="H292" i="102" a="1"/>
  <c r="H292" i="102" s="1"/>
  <c r="D302" i="103" a="1"/>
  <c r="D302" i="103" s="1"/>
  <c r="G314" i="102" a="1"/>
  <c r="G314" i="102" s="1"/>
  <c r="I314" i="102" a="1"/>
  <c r="I314" i="102" s="1"/>
  <c r="G296" i="102" a="1"/>
  <c r="G296" i="102" s="1"/>
  <c r="I313" i="103" a="1"/>
  <c r="I313" i="103" s="1"/>
  <c r="G292" i="102" a="1"/>
  <c r="G292" i="102" s="1"/>
  <c r="I315" i="103" a="1"/>
  <c r="I315" i="103" s="1"/>
  <c r="H304" i="102" a="1"/>
  <c r="H304" i="102" s="1"/>
  <c r="I303" i="103" a="1"/>
  <c r="I303" i="103" s="1"/>
  <c r="H303" i="102" a="1"/>
  <c r="H303" i="102" s="1"/>
  <c r="F299" i="103" a="1"/>
  <c r="F299" i="103" s="1"/>
  <c r="G289" i="102" a="1"/>
  <c r="G289" i="102" s="1"/>
  <c r="I308" i="102" a="1"/>
  <c r="I308" i="102" s="1"/>
  <c r="G298" i="103" a="1"/>
  <c r="G298" i="103" s="1"/>
  <c r="I298" i="102" a="1"/>
  <c r="I298" i="102" s="1"/>
  <c r="I299" i="102" a="1"/>
  <c r="I299" i="102" s="1"/>
  <c r="G299" i="102" a="1"/>
  <c r="G299" i="102" s="1"/>
  <c r="F314" i="102" a="1"/>
  <c r="F314" i="102" s="1"/>
  <c r="G314" i="103" a="1"/>
  <c r="G314" i="103" s="1"/>
  <c r="I302" i="102" a="1"/>
  <c r="I302" i="102" s="1"/>
  <c r="F296" i="102" a="1"/>
  <c r="F296" i="102" s="1"/>
  <c r="D316" i="103" a="1"/>
  <c r="D316" i="103" s="1"/>
  <c r="F314" i="103" a="1"/>
  <c r="F314" i="103" s="1"/>
  <c r="D309" i="102" a="1"/>
  <c r="D309" i="102" s="1"/>
  <c r="G303" i="102" a="1"/>
  <c r="G303" i="102" s="1"/>
  <c r="D310" i="103" a="1"/>
  <c r="D310" i="103" s="1"/>
  <c r="G307" i="102" a="1"/>
  <c r="G307" i="102" s="1"/>
  <c r="H306" i="102" a="1"/>
  <c r="H306" i="102" s="1"/>
  <c r="D299" i="103" a="1"/>
  <c r="D299" i="103" s="1"/>
  <c r="F310" i="103" a="1"/>
  <c r="F310" i="103" s="1"/>
  <c r="G296" i="103" a="1"/>
  <c r="G296" i="103" s="1"/>
  <c r="I300" i="102" a="1"/>
  <c r="I300" i="102" s="1"/>
  <c r="F312" i="102" a="1"/>
  <c r="F312" i="102" s="1"/>
  <c r="I305" i="103" a="1"/>
  <c r="I305" i="103" s="1"/>
  <c r="F291" i="103" a="1"/>
  <c r="F291" i="103" s="1"/>
  <c r="F307" i="102" a="1"/>
  <c r="F307" i="102" s="1"/>
  <c r="I314" i="103" a="1"/>
  <c r="I314" i="103" s="1"/>
  <c r="F295" i="103" a="1"/>
  <c r="F295" i="103" s="1"/>
  <c r="H305" i="102" a="1"/>
  <c r="H305" i="102" s="1"/>
  <c r="H290" i="102" a="1"/>
  <c r="H290" i="102" s="1"/>
  <c r="D298" i="102" a="1"/>
  <c r="D298" i="102" s="1"/>
  <c r="F316" i="102" a="1"/>
  <c r="F316" i="102" s="1"/>
  <c r="H298" i="103" a="1"/>
  <c r="H298" i="103" s="1"/>
  <c r="D308" i="103" a="1"/>
  <c r="D308" i="103" s="1"/>
  <c r="G295" i="102" a="1"/>
  <c r="G295" i="102" s="1"/>
  <c r="D297" i="103" a="1"/>
  <c r="D297" i="103" s="1"/>
  <c r="G307" i="103" a="1"/>
  <c r="G307" i="103" s="1"/>
  <c r="D304" i="103" a="1"/>
  <c r="D304" i="103" s="1"/>
  <c r="I304" i="103" a="1"/>
  <c r="I304" i="103" s="1"/>
  <c r="H314" i="102" a="1"/>
  <c r="H314" i="102" s="1"/>
  <c r="D301" i="102" a="1"/>
  <c r="D301" i="102" s="1"/>
  <c r="G293" i="102" a="1"/>
  <c r="G293" i="102" s="1"/>
  <c r="F297" i="103" a="1"/>
  <c r="F297" i="103" s="1"/>
  <c r="I301" i="102" a="1"/>
  <c r="I301" i="102" s="1"/>
  <c r="F316" i="103" a="1"/>
  <c r="F316" i="103" s="1"/>
  <c r="G290" i="102" a="1"/>
  <c r="G290" i="102" s="1"/>
  <c r="I289" i="103" a="1"/>
  <c r="I289" i="103" s="1"/>
  <c r="H295" i="103" a="1"/>
  <c r="H295" i="103" s="1"/>
  <c r="G298" i="102" a="1"/>
  <c r="G298" i="102" s="1"/>
  <c r="G291" i="102" a="1"/>
  <c r="G291" i="102" s="1"/>
  <c r="H292" i="103" a="1"/>
  <c r="H292" i="103" s="1"/>
  <c r="H298" i="102" a="1"/>
  <c r="H298" i="102" s="1"/>
  <c r="F291" i="102" a="1"/>
  <c r="F291" i="102" s="1"/>
  <c r="G313" i="102" a="1"/>
  <c r="G313" i="102" s="1"/>
  <c r="G310" i="103" a="1"/>
  <c r="G310" i="103" s="1"/>
  <c r="F289" i="102" a="1"/>
  <c r="F289" i="102" s="1"/>
  <c r="H293" i="103" a="1"/>
  <c r="H293" i="103" s="1"/>
  <c r="H289" i="102" a="1"/>
  <c r="H289" i="102" s="1"/>
  <c r="D307" i="103" a="1"/>
  <c r="D307" i="103" s="1"/>
  <c r="I290" i="102" a="1"/>
  <c r="I290" i="102" s="1"/>
  <c r="F306" i="103" a="1"/>
  <c r="F306" i="103" s="1"/>
  <c r="H299" i="103" a="1"/>
  <c r="H299" i="103" s="1"/>
  <c r="H315" i="102" a="1"/>
  <c r="H315" i="102" s="1"/>
  <c r="H296" i="103" a="1"/>
  <c r="H296" i="103" s="1"/>
  <c r="F298" i="103" a="1"/>
  <c r="F298" i="103" s="1"/>
  <c r="I306" i="103" a="1"/>
  <c r="I306" i="103" s="1"/>
  <c r="H295" i="102" a="1"/>
  <c r="H295" i="102" s="1"/>
  <c r="G309" i="103" a="1"/>
  <c r="G309" i="103" s="1"/>
  <c r="D305" i="103" a="1"/>
  <c r="D305" i="103" s="1"/>
  <c r="I291" i="102" a="1"/>
  <c r="I291" i="102" s="1"/>
  <c r="F302" i="103" a="1"/>
  <c r="F302" i="103" s="1"/>
  <c r="F311" i="102" a="1"/>
  <c r="F311" i="102" s="1"/>
  <c r="D307" i="102" a="1"/>
  <c r="D307" i="102" s="1"/>
  <c r="F296" i="103" a="1"/>
  <c r="F296" i="103" s="1"/>
  <c r="H289" i="103" a="1"/>
  <c r="H289" i="103" s="1"/>
  <c r="F297" i="102" a="1"/>
  <c r="F297" i="102" s="1"/>
  <c r="G302" i="103" a="1"/>
  <c r="G302" i="103" s="1"/>
  <c r="H300" i="103" a="1"/>
  <c r="H300" i="103" s="1"/>
  <c r="I290" i="103" a="1"/>
  <c r="I290" i="103" s="1"/>
  <c r="I293" i="102" a="1"/>
  <c r="I293" i="102" s="1"/>
  <c r="H305" i="103" a="1"/>
  <c r="H305" i="103" s="1"/>
  <c r="I307" i="103" a="1"/>
  <c r="I307" i="103" s="1"/>
  <c r="G313" i="103" a="1"/>
  <c r="G313" i="103" s="1"/>
  <c r="H296" i="102" a="1"/>
  <c r="H296" i="102" s="1"/>
  <c r="D314" i="103" a="1"/>
  <c r="D314" i="103" s="1"/>
  <c r="G305" i="102" a="1"/>
  <c r="G305" i="102" s="1"/>
  <c r="D296" i="102" a="1"/>
  <c r="D296" i="102" s="1"/>
  <c r="F299" i="102" a="1"/>
  <c r="F299" i="102" s="1"/>
  <c r="D303" i="103" a="1"/>
  <c r="D303" i="103" s="1"/>
  <c r="D293" i="103" a="1"/>
  <c r="D293" i="103" s="1"/>
  <c r="F300" i="102" a="1"/>
  <c r="F300" i="102" s="1"/>
  <c r="D305" i="102" a="1"/>
  <c r="D305" i="102" s="1"/>
  <c r="D312" i="103" a="1"/>
  <c r="D312" i="103" s="1"/>
  <c r="F293" i="103" a="1"/>
  <c r="F293" i="103" s="1"/>
  <c r="G316" i="103" a="1"/>
  <c r="G316" i="103" s="1"/>
  <c r="H302" i="102" a="1"/>
  <c r="H302" i="102" s="1"/>
  <c r="I311" i="102" a="1"/>
  <c r="I311" i="102" s="1"/>
  <c r="D311" i="102" a="1"/>
  <c r="D311" i="102" s="1"/>
  <c r="G291" i="103" a="1"/>
  <c r="G291" i="103" s="1"/>
  <c r="F300" i="103" a="1"/>
  <c r="F300" i="103" s="1"/>
  <c r="G311" i="103" a="1"/>
  <c r="G311" i="103" s="1"/>
  <c r="G306" i="103" a="1"/>
  <c r="G306" i="103" s="1"/>
  <c r="G301" i="103" a="1"/>
  <c r="G301" i="103" s="1"/>
  <c r="H309" i="102" a="1"/>
  <c r="H309" i="102" s="1"/>
  <c r="F315" i="102" a="1"/>
  <c r="F315" i="102" s="1"/>
  <c r="F314" i="101" a="1"/>
  <c r="F314" i="101" s="1"/>
  <c r="D295" i="101" a="1"/>
  <c r="D295" i="101" s="1"/>
  <c r="H292" i="101" a="1"/>
  <c r="H292" i="101" s="1"/>
  <c r="D311" i="100" a="1"/>
  <c r="D311" i="100" s="1"/>
  <c r="I300" i="100" a="1"/>
  <c r="I300" i="100" s="1"/>
  <c r="D311" i="101" a="1"/>
  <c r="D311" i="101" s="1"/>
  <c r="D308" i="101" a="1"/>
  <c r="D308" i="101" s="1"/>
  <c r="H289" i="100" a="1"/>
  <c r="H289" i="100" s="1"/>
  <c r="G295" i="99" a="1"/>
  <c r="G295" i="99" s="1"/>
  <c r="G300" i="100" a="1"/>
  <c r="G300" i="100" s="1"/>
  <c r="D289" i="100" a="1"/>
  <c r="D289" i="100" s="1"/>
  <c r="I311" i="101" a="1"/>
  <c r="I311" i="101" s="1"/>
  <c r="F304" i="99" a="1"/>
  <c r="F304" i="99" s="1"/>
  <c r="F294" i="100" a="1"/>
  <c r="F294" i="100" s="1"/>
  <c r="G296" i="100" a="1"/>
  <c r="G296" i="100" s="1"/>
  <c r="H293" i="99" a="1"/>
  <c r="H293" i="99" s="1"/>
  <c r="H296" i="99" a="1"/>
  <c r="H296" i="99" s="1"/>
  <c r="I293" i="100" a="1"/>
  <c r="I293" i="100" s="1"/>
  <c r="G291" i="101" a="1"/>
  <c r="G291" i="101" s="1"/>
  <c r="I307" i="100" a="1"/>
  <c r="I307" i="100" s="1"/>
  <c r="H299" i="101" a="1"/>
  <c r="H299" i="101" s="1"/>
  <c r="G297" i="100" a="1"/>
  <c r="G297" i="100" s="1"/>
  <c r="H292" i="100" a="1"/>
  <c r="H292" i="100" s="1"/>
  <c r="H300" i="100" a="1"/>
  <c r="H300" i="100" s="1"/>
  <c r="F300" i="99" a="1"/>
  <c r="F300" i="99" s="1"/>
  <c r="I300" i="99" a="1"/>
  <c r="I300" i="99" s="1"/>
  <c r="F292" i="101" a="1"/>
  <c r="F292" i="101" s="1"/>
  <c r="H305" i="99" a="1"/>
  <c r="H305" i="99" s="1"/>
  <c r="H316" i="101" a="1"/>
  <c r="H316" i="101" s="1"/>
  <c r="D299" i="100" a="1"/>
  <c r="D299" i="100" s="1"/>
  <c r="H306" i="99" a="1"/>
  <c r="H306" i="99" s="1"/>
  <c r="F313" i="101" a="1"/>
  <c r="F313" i="101" s="1"/>
  <c r="I308" i="101" a="1"/>
  <c r="I308" i="101" s="1"/>
  <c r="D296" i="101" a="1"/>
  <c r="D296" i="101" s="1"/>
  <c r="F293" i="101" a="1"/>
  <c r="F293" i="101" s="1"/>
  <c r="G310" i="100" a="1"/>
  <c r="G310" i="100" s="1"/>
  <c r="F301" i="99" a="1"/>
  <c r="F301" i="99" s="1"/>
  <c r="I311" i="99" a="1"/>
  <c r="I311" i="99" s="1"/>
  <c r="D301" i="100" a="1"/>
  <c r="D301" i="100" s="1"/>
  <c r="D301" i="99" a="1"/>
  <c r="D301" i="99" s="1"/>
  <c r="I294" i="99" a="1"/>
  <c r="I294" i="99" s="1"/>
  <c r="I313" i="100" a="1"/>
  <c r="I313" i="100" s="1"/>
  <c r="I295" i="99" a="1"/>
  <c r="I295" i="99" s="1"/>
  <c r="F304" i="100" a="1"/>
  <c r="F304" i="100" s="1"/>
  <c r="F306" i="101" a="1"/>
  <c r="F306" i="101" s="1"/>
  <c r="G311" i="100" a="1"/>
  <c r="G311" i="100" s="1"/>
  <c r="G298" i="101" a="1"/>
  <c r="G298" i="101" s="1"/>
  <c r="F297" i="100" a="1"/>
  <c r="F297" i="100" s="1"/>
  <c r="H294" i="100" a="1"/>
  <c r="H294" i="100" s="1"/>
  <c r="F311" i="100" a="1"/>
  <c r="F311" i="100" s="1"/>
  <c r="F297" i="101" a="1"/>
  <c r="F297" i="101" s="1"/>
  <c r="D309" i="99" a="1"/>
  <c r="D309" i="99" s="1"/>
  <c r="F311" i="101" a="1"/>
  <c r="F311" i="101" s="1"/>
  <c r="D296" i="100" a="1"/>
  <c r="D296" i="100" s="1"/>
  <c r="D309" i="101" a="1"/>
  <c r="D309" i="101" s="1"/>
  <c r="I297" i="99" a="1"/>
  <c r="I297" i="99" s="1"/>
  <c r="H298" i="99" a="1"/>
  <c r="H298" i="99" s="1"/>
  <c r="F310" i="100" a="1"/>
  <c r="F310" i="100" s="1"/>
  <c r="G294" i="100" a="1"/>
  <c r="G294" i="100" s="1"/>
  <c r="I305" i="100" a="1"/>
  <c r="I305" i="100" s="1"/>
  <c r="F293" i="100" a="1"/>
  <c r="F293" i="100" s="1"/>
  <c r="H297" i="99" a="1"/>
  <c r="H297" i="99" s="1"/>
  <c r="H307" i="101" a="1"/>
  <c r="H307" i="101" s="1"/>
  <c r="F313" i="99" a="1"/>
  <c r="F313" i="99" s="1"/>
  <c r="F316" i="100" a="1"/>
  <c r="F316" i="100" s="1"/>
  <c r="H290" i="99" a="1"/>
  <c r="H290" i="99" s="1"/>
  <c r="D306" i="101" a="1"/>
  <c r="D306" i="101" s="1"/>
  <c r="H289" i="99" a="1"/>
  <c r="H289" i="99" s="1"/>
  <c r="I295" i="100" a="1"/>
  <c r="I295" i="100" s="1"/>
  <c r="I296" i="101" a="1"/>
  <c r="I296" i="101" s="1"/>
  <c r="I288" i="99" a="1"/>
  <c r="I288" i="99" s="1"/>
  <c r="I313" i="99" a="1"/>
  <c r="I313" i="99" s="1"/>
  <c r="I292" i="99" a="1"/>
  <c r="I292" i="99" s="1"/>
  <c r="H303" i="101" a="1"/>
  <c r="H303" i="101" s="1"/>
  <c r="H309" i="100" a="1"/>
  <c r="H309" i="100" s="1"/>
  <c r="H311" i="101" a="1"/>
  <c r="H311" i="101" s="1"/>
  <c r="D292" i="100" a="1"/>
  <c r="D292" i="100" s="1"/>
  <c r="G305" i="100" a="1"/>
  <c r="G305" i="100" s="1"/>
  <c r="F313" i="100" a="1"/>
  <c r="F313" i="100" s="1"/>
  <c r="D307" i="101" a="1"/>
  <c r="D307" i="101" s="1"/>
  <c r="D313" i="100" a="1"/>
  <c r="D313" i="100" s="1"/>
  <c r="I299" i="99" a="1"/>
  <c r="I299" i="99" s="1"/>
  <c r="I305" i="101" a="1"/>
  <c r="I305" i="101" s="1"/>
  <c r="F302" i="99" a="1"/>
  <c r="F302" i="99" s="1"/>
  <c r="I313" i="101" a="1"/>
  <c r="I313" i="101" s="1"/>
  <c r="G288" i="100" a="1"/>
  <c r="G288" i="100" s="1"/>
  <c r="G308" i="99" a="1"/>
  <c r="G308" i="99" s="1"/>
  <c r="G305" i="99" a="1"/>
  <c r="G305" i="99" s="1"/>
  <c r="G291" i="99" a="1"/>
  <c r="G291" i="99" s="1"/>
  <c r="H308" i="99" a="1"/>
  <c r="H308" i="99" s="1"/>
  <c r="G299" i="99" a="1"/>
  <c r="G299" i="99" s="1"/>
  <c r="F312" i="101" a="1"/>
  <c r="F312" i="101" s="1"/>
  <c r="I308" i="99" a="1"/>
  <c r="I308" i="99" s="1"/>
  <c r="H315" i="101" a="1"/>
  <c r="H315" i="101" s="1"/>
  <c r="G291" i="100" a="1"/>
  <c r="G291" i="100" s="1"/>
  <c r="G307" i="100" a="1"/>
  <c r="G307" i="100" s="1"/>
  <c r="D316" i="100" a="1"/>
  <c r="D316" i="100" s="1"/>
  <c r="G290" i="101" a="1"/>
  <c r="G290" i="101" s="1"/>
  <c r="I290" i="99" a="1"/>
  <c r="I290" i="99" s="1"/>
  <c r="D313" i="101" a="1"/>
  <c r="D313" i="101" s="1"/>
  <c r="F296" i="99" a="1"/>
  <c r="F296" i="99" s="1"/>
  <c r="D294" i="101" a="1"/>
  <c r="D294" i="101" s="1"/>
  <c r="D315" i="101" a="1"/>
  <c r="D315" i="101" s="1"/>
  <c r="D295" i="99" a="1"/>
  <c r="D295" i="99" s="1"/>
  <c r="D298" i="99" a="1"/>
  <c r="D298" i="99" s="1"/>
  <c r="F290" i="100" a="1"/>
  <c r="F290" i="100" s="1"/>
  <c r="G289" i="99" a="1"/>
  <c r="G289" i="99" s="1"/>
  <c r="F296" i="100" a="1"/>
  <c r="F296" i="100" s="1"/>
  <c r="H304" i="100" a="1"/>
  <c r="H304" i="100" s="1"/>
  <c r="F295" i="100" a="1"/>
  <c r="F295" i="100" s="1"/>
  <c r="G315" i="100" a="1"/>
  <c r="G315" i="100" s="1"/>
  <c r="I309" i="100" a="1"/>
  <c r="I309" i="100" s="1"/>
  <c r="G301" i="101" a="1"/>
  <c r="G301" i="101" s="1"/>
  <c r="H314" i="99" a="1"/>
  <c r="H314" i="99" s="1"/>
  <c r="I316" i="101" a="1"/>
  <c r="I316" i="101" s="1"/>
  <c r="D305" i="99" a="1"/>
  <c r="D305" i="99" s="1"/>
  <c r="F289" i="99" a="1"/>
  <c r="F289" i="99" s="1"/>
  <c r="I315" i="101" a="1"/>
  <c r="I315" i="101" s="1"/>
  <c r="D303" i="99" a="1"/>
  <c r="D303" i="99" s="1"/>
  <c r="H306" i="100" a="1"/>
  <c r="H306" i="100" s="1"/>
  <c r="F309" i="99" a="1"/>
  <c r="F309" i="99" s="1"/>
  <c r="H308" i="101" a="1"/>
  <c r="H308" i="101" s="1"/>
  <c r="F315" i="100" a="1"/>
  <c r="F315" i="100" s="1"/>
  <c r="I296" i="100" a="1"/>
  <c r="I296" i="100" s="1"/>
  <c r="F289" i="101" a="1"/>
  <c r="F289" i="101" s="1"/>
  <c r="G312" i="100" a="1"/>
  <c r="G312" i="100" s="1"/>
  <c r="G290" i="99" a="1"/>
  <c r="G290" i="99" s="1"/>
  <c r="H293" i="100" a="1"/>
  <c r="H293" i="100" s="1"/>
  <c r="H302" i="101" a="1"/>
  <c r="H302" i="101" s="1"/>
  <c r="H305" i="100" a="1"/>
  <c r="H305" i="100" s="1"/>
  <c r="F303" i="101" a="1"/>
  <c r="F303" i="101" s="1"/>
  <c r="G295" i="101" a="1"/>
  <c r="G295" i="101" s="1"/>
  <c r="H301" i="99" a="1"/>
  <c r="H301" i="99" s="1"/>
  <c r="F300" i="100" a="1"/>
  <c r="F300" i="100" s="1"/>
  <c r="H303" i="100" a="1"/>
  <c r="H303" i="100" s="1"/>
  <c r="I302" i="99" a="1"/>
  <c r="I302" i="99" s="1"/>
  <c r="G296" i="99" a="1"/>
  <c r="G296" i="99" s="1"/>
  <c r="H301" i="101" a="1"/>
  <c r="H301" i="101" s="1"/>
  <c r="F291" i="101" a="1"/>
  <c r="F291" i="101" s="1"/>
  <c r="H313" i="101" a="1"/>
  <c r="H313" i="101" s="1"/>
  <c r="D291" i="100" a="1"/>
  <c r="D291" i="100" s="1"/>
  <c r="D290" i="101" a="1"/>
  <c r="D290" i="101" s="1"/>
  <c r="F314" i="100" a="1"/>
  <c r="F314" i="100" s="1"/>
  <c r="D305" i="101" a="1"/>
  <c r="D305" i="101" s="1"/>
  <c r="F303" i="100" a="1"/>
  <c r="F303" i="100" s="1"/>
  <c r="H295" i="101" a="1"/>
  <c r="H295" i="101" s="1"/>
  <c r="D307" i="100" a="1"/>
  <c r="D307" i="100" s="1"/>
  <c r="I288" i="100" a="1"/>
  <c r="I288" i="100" s="1"/>
  <c r="G300" i="101" a="1"/>
  <c r="G300" i="101" s="1"/>
  <c r="H306" i="101" a="1"/>
  <c r="H306" i="101" s="1"/>
  <c r="F307" i="100" a="1"/>
  <c r="F307" i="100" s="1"/>
  <c r="G300" i="99" a="1"/>
  <c r="G300" i="99" s="1"/>
  <c r="H307" i="99" a="1"/>
  <c r="H307" i="99" s="1"/>
  <c r="G288" i="101" a="1"/>
  <c r="G288" i="101" s="1"/>
  <c r="I294" i="100" a="1"/>
  <c r="I294" i="100" s="1"/>
  <c r="F299" i="101" a="1"/>
  <c r="F299" i="101" s="1"/>
  <c r="I306" i="100" a="1"/>
  <c r="I306" i="100" s="1"/>
  <c r="I290" i="100" a="1"/>
  <c r="I290" i="100" s="1"/>
  <c r="F298" i="100" a="1"/>
  <c r="F298" i="100" s="1"/>
  <c r="D297" i="99" a="1"/>
  <c r="D297" i="99" s="1"/>
  <c r="G299" i="100" a="1"/>
  <c r="G299" i="100" s="1"/>
  <c r="D300" i="101" a="1"/>
  <c r="D300" i="101" s="1"/>
  <c r="H315" i="99" a="1"/>
  <c r="H315" i="99" s="1"/>
  <c r="I310" i="99" a="1"/>
  <c r="I310" i="99" s="1"/>
  <c r="G298" i="99" a="1"/>
  <c r="G298" i="99" s="1"/>
  <c r="F310" i="101" a="1"/>
  <c r="F310" i="101" s="1"/>
  <c r="F312" i="100" a="1"/>
  <c r="F312" i="100" s="1"/>
  <c r="D291" i="101" a="1"/>
  <c r="D291" i="101" s="1"/>
  <c r="H300" i="101" a="1"/>
  <c r="H300" i="101" s="1"/>
  <c r="D293" i="100" a="1"/>
  <c r="D293" i="100" s="1"/>
  <c r="G292" i="100" a="1"/>
  <c r="G292" i="100" s="1"/>
  <c r="F308" i="101" a="1"/>
  <c r="F308" i="101" s="1"/>
  <c r="F292" i="100" a="1"/>
  <c r="F292" i="100" s="1"/>
  <c r="G308" i="101" a="1"/>
  <c r="G308" i="101" s="1"/>
  <c r="G308" i="100" a="1"/>
  <c r="G308" i="100" s="1"/>
  <c r="H297" i="101" a="1"/>
  <c r="H297" i="101" s="1"/>
  <c r="I289" i="101" a="1"/>
  <c r="I289" i="101" s="1"/>
  <c r="F314" i="99" a="1"/>
  <c r="F314" i="99" s="1"/>
  <c r="D304" i="99" a="1"/>
  <c r="D304" i="99" s="1"/>
  <c r="D308" i="100" a="1"/>
  <c r="D308" i="100" s="1"/>
  <c r="H293" i="101" a="1"/>
  <c r="H293" i="101" s="1"/>
  <c r="H295" i="99" a="1"/>
  <c r="H295" i="99" s="1"/>
  <c r="G316" i="99" a="1"/>
  <c r="G316" i="99" s="1"/>
  <c r="G306" i="101" a="1"/>
  <c r="G306" i="101" s="1"/>
  <c r="D312" i="100" a="1"/>
  <c r="D312" i="100" s="1"/>
  <c r="G289" i="101" a="1"/>
  <c r="G289" i="101" s="1"/>
  <c r="F306" i="100" a="1"/>
  <c r="F306" i="100" s="1"/>
  <c r="D294" i="100" a="1"/>
  <c r="D294" i="100" s="1"/>
  <c r="G307" i="99" a="1"/>
  <c r="G307" i="99" s="1"/>
  <c r="F298" i="99" a="1"/>
  <c r="F298" i="99" s="1"/>
  <c r="H316" i="100" a="1"/>
  <c r="H316" i="100" s="1"/>
  <c r="I290" i="101" a="1"/>
  <c r="I290" i="101" s="1"/>
  <c r="D301" i="101" a="1"/>
  <c r="D301" i="101" s="1"/>
  <c r="I293" i="101" a="1"/>
  <c r="I293" i="101" s="1"/>
  <c r="G296" i="101" a="1"/>
  <c r="G296" i="101" s="1"/>
  <c r="I308" i="100" a="1"/>
  <c r="I308" i="100" s="1"/>
  <c r="F308" i="100" a="1"/>
  <c r="F308" i="100" s="1"/>
  <c r="I304" i="100" a="1"/>
  <c r="I304" i="100" s="1"/>
  <c r="G313" i="100" a="1"/>
  <c r="G313" i="100" s="1"/>
  <c r="I288" i="101" a="1"/>
  <c r="I288" i="101" s="1"/>
  <c r="G310" i="101" a="1"/>
  <c r="G310" i="101" s="1"/>
  <c r="F310" i="99" a="1"/>
  <c r="F310" i="99" s="1"/>
  <c r="I314" i="101" a="1"/>
  <c r="I314" i="101" s="1"/>
  <c r="I315" i="99" a="1"/>
  <c r="I315" i="99" s="1"/>
  <c r="I314" i="100" a="1"/>
  <c r="I314" i="100" s="1"/>
  <c r="G304" i="99" a="1"/>
  <c r="G304" i="99" s="1"/>
  <c r="I302" i="100" a="1"/>
  <c r="I302" i="100" s="1"/>
  <c r="G302" i="99" a="1"/>
  <c r="G302" i="99" s="1"/>
  <c r="H296" i="100" a="1"/>
  <c r="H296" i="100" s="1"/>
  <c r="I297" i="100" a="1"/>
  <c r="I297" i="100" s="1"/>
  <c r="G297" i="101" a="1"/>
  <c r="G297" i="101" s="1"/>
  <c r="G311" i="101" a="1"/>
  <c r="G311" i="101" s="1"/>
  <c r="F308" i="99" a="1"/>
  <c r="F308" i="99" s="1"/>
  <c r="F302" i="101" a="1"/>
  <c r="F302" i="101" s="1"/>
  <c r="F307" i="101" a="1"/>
  <c r="F307" i="101" s="1"/>
  <c r="F291" i="100" a="1"/>
  <c r="F291" i="100" s="1"/>
  <c r="G304" i="100" a="1"/>
  <c r="G304" i="100" s="1"/>
  <c r="D297" i="101" a="1"/>
  <c r="D297" i="101" s="1"/>
  <c r="F309" i="101" a="1"/>
  <c r="F309" i="101" s="1"/>
  <c r="I291" i="100" a="1"/>
  <c r="I291" i="100" s="1"/>
  <c r="F302" i="100" a="1"/>
  <c r="F302" i="100" s="1"/>
  <c r="H295" i="100" a="1"/>
  <c r="H295" i="100" s="1"/>
  <c r="F305" i="100" a="1"/>
  <c r="F305" i="100" s="1"/>
  <c r="G292" i="101" a="1"/>
  <c r="G292" i="101" s="1"/>
  <c r="G315" i="99" a="1"/>
  <c r="G315" i="99" s="1"/>
  <c r="F289" i="100" a="1"/>
  <c r="F289" i="100" s="1"/>
  <c r="F303" i="99" a="1"/>
  <c r="F303" i="99" s="1"/>
  <c r="D306" i="100" a="1"/>
  <c r="D306" i="100" s="1"/>
  <c r="G312" i="99" a="1"/>
  <c r="G312" i="99" s="1"/>
  <c r="I304" i="101" a="1"/>
  <c r="I304" i="101" s="1"/>
  <c r="H298" i="101" a="1"/>
  <c r="H298" i="101" s="1"/>
  <c r="I304" i="99" a="1"/>
  <c r="I304" i="99" s="1"/>
  <c r="D308" i="99" a="1"/>
  <c r="D308" i="99" s="1"/>
  <c r="I316" i="100" a="1"/>
  <c r="I316" i="100" s="1"/>
  <c r="G303" i="101" a="1"/>
  <c r="G303" i="101" s="1"/>
  <c r="D312" i="101" a="1"/>
  <c r="D312" i="101" s="1"/>
  <c r="G315" i="101" a="1"/>
  <c r="G315" i="101" s="1"/>
  <c r="I292" i="100" a="1"/>
  <c r="I292" i="100" s="1"/>
  <c r="H309" i="101" a="1"/>
  <c r="H309" i="101" s="1"/>
  <c r="D314" i="100" a="1"/>
  <c r="D314" i="100" s="1"/>
  <c r="D309" i="100" a="1"/>
  <c r="D309" i="100" s="1"/>
  <c r="G316" i="101" a="1"/>
  <c r="G316" i="101" s="1"/>
  <c r="G290" i="100" a="1"/>
  <c r="G290" i="100" s="1"/>
  <c r="H288" i="99" a="1"/>
  <c r="H288" i="99" s="1"/>
  <c r="I307" i="99" a="1"/>
  <c r="I307" i="99" s="1"/>
  <c r="G301" i="99" a="1"/>
  <c r="G301" i="99" s="1"/>
  <c r="H288" i="100" a="1"/>
  <c r="H288" i="100" s="1"/>
  <c r="I301" i="99" a="1"/>
  <c r="I301" i="99" s="1"/>
  <c r="H299" i="99" a="1"/>
  <c r="H299" i="99" s="1"/>
  <c r="I298" i="99" a="1"/>
  <c r="I298" i="99" s="1"/>
  <c r="G304" i="101" a="1"/>
  <c r="G304" i="101" s="1"/>
  <c r="D316" i="99" a="1"/>
  <c r="D316" i="99" s="1"/>
  <c r="D293" i="99" a="1"/>
  <c r="D293" i="99" s="1"/>
  <c r="I312" i="100" a="1"/>
  <c r="I312" i="100" s="1"/>
  <c r="G294" i="99" a="1"/>
  <c r="G294" i="99" s="1"/>
  <c r="I306" i="101" a="1"/>
  <c r="I306" i="101" s="1"/>
  <c r="H310" i="99" a="1"/>
  <c r="H310" i="99" s="1"/>
  <c r="G307" i="101" a="1"/>
  <c r="G307" i="101" s="1"/>
  <c r="G293" i="99" a="1"/>
  <c r="G293" i="99" s="1"/>
  <c r="H301" i="100" a="1"/>
  <c r="H301" i="100" s="1"/>
  <c r="F316" i="99" a="1"/>
  <c r="F316" i="99" s="1"/>
  <c r="I301" i="100" a="1"/>
  <c r="I301" i="100" s="1"/>
  <c r="F290" i="101" a="1"/>
  <c r="F290" i="101" s="1"/>
  <c r="F306" i="99" a="1"/>
  <c r="F306" i="99" s="1"/>
  <c r="F301" i="100" a="1"/>
  <c r="F301" i="100" s="1"/>
  <c r="G298" i="100" a="1"/>
  <c r="G298" i="100" s="1"/>
  <c r="F305" i="101" a="1"/>
  <c r="F305" i="101" s="1"/>
  <c r="F294" i="101" a="1"/>
  <c r="F294" i="101" s="1"/>
  <c r="F305" i="99" a="1"/>
  <c r="F305" i="99" s="1"/>
  <c r="G302" i="101" a="1"/>
  <c r="G302" i="101" s="1"/>
  <c r="I303" i="99" a="1"/>
  <c r="I303" i="99" s="1"/>
  <c r="H316" i="99" a="1"/>
  <c r="H316" i="99" s="1"/>
  <c r="G309" i="101" a="1"/>
  <c r="G309" i="101" s="1"/>
  <c r="D290" i="99" a="1"/>
  <c r="D290" i="99" s="1"/>
  <c r="F307" i="99" a="1"/>
  <c r="F307" i="99" s="1"/>
  <c r="G302" i="100" a="1"/>
  <c r="G302" i="100" s="1"/>
  <c r="I305" i="99" a="1"/>
  <c r="I305" i="99" s="1"/>
  <c r="G314" i="99" a="1"/>
  <c r="G314" i="99" s="1"/>
  <c r="I312" i="99" a="1"/>
  <c r="I312" i="99" s="1"/>
  <c r="D298" i="100" a="1"/>
  <c r="D298" i="100" s="1"/>
  <c r="D312" i="99" a="1"/>
  <c r="D312" i="99" s="1"/>
  <c r="F299" i="99" a="1"/>
  <c r="F299" i="99" s="1"/>
  <c r="I309" i="101" a="1"/>
  <c r="I309" i="101" s="1"/>
  <c r="I303" i="100" a="1"/>
  <c r="I303" i="100" s="1"/>
  <c r="G309" i="100" a="1"/>
  <c r="G309" i="100" s="1"/>
  <c r="I309" i="99" a="1"/>
  <c r="I309" i="99" s="1"/>
  <c r="G316" i="100" a="1"/>
  <c r="G316" i="100" s="1"/>
  <c r="G313" i="99" a="1"/>
  <c r="G313" i="99" s="1"/>
  <c r="H294" i="101" a="1"/>
  <c r="H294" i="101" s="1"/>
  <c r="H308" i="100" a="1"/>
  <c r="H308" i="100" s="1"/>
  <c r="H312" i="100" a="1"/>
  <c r="H312" i="100" s="1"/>
  <c r="H313" i="100" a="1"/>
  <c r="H313" i="100" s="1"/>
  <c r="F292" i="99" a="1"/>
  <c r="F292" i="99" s="1"/>
  <c r="I291" i="101" a="1"/>
  <c r="I291" i="101" s="1"/>
  <c r="D304" i="100" a="1"/>
  <c r="D304" i="100" s="1"/>
  <c r="D311" i="99" a="1"/>
  <c r="D311" i="99" s="1"/>
  <c r="H305" i="101" a="1"/>
  <c r="H305" i="101" s="1"/>
  <c r="F294" i="99" a="1"/>
  <c r="F294" i="99" s="1"/>
  <c r="H314" i="101" a="1"/>
  <c r="H314" i="101" s="1"/>
  <c r="G310" i="99" a="1"/>
  <c r="G310" i="99" s="1"/>
  <c r="I302" i="101" a="1"/>
  <c r="I302" i="101" s="1"/>
  <c r="G303" i="100" a="1"/>
  <c r="G303" i="100" s="1"/>
  <c r="I311" i="100" a="1"/>
  <c r="I311" i="100" s="1"/>
  <c r="G295" i="100" a="1"/>
  <c r="G295" i="100" s="1"/>
  <c r="I293" i="99" a="1"/>
  <c r="I293" i="99" s="1"/>
  <c r="F295" i="99" a="1"/>
  <c r="F295" i="99" s="1"/>
  <c r="D295" i="100" a="1"/>
  <c r="D295" i="100" s="1"/>
  <c r="D289" i="99" a="1"/>
  <c r="D289" i="99" s="1"/>
  <c r="H310" i="100" a="1"/>
  <c r="H310" i="100" s="1"/>
  <c r="F309" i="100" a="1"/>
  <c r="F309" i="100" s="1"/>
  <c r="H307" i="100" a="1"/>
  <c r="H307" i="100" s="1"/>
  <c r="D315" i="100" a="1"/>
  <c r="D315" i="100" s="1"/>
  <c r="D300" i="99" a="1"/>
  <c r="D300" i="99" s="1"/>
  <c r="G301" i="100" a="1"/>
  <c r="G301" i="100" s="1"/>
  <c r="I297" i="101" a="1"/>
  <c r="I297" i="101" s="1"/>
  <c r="I294" i="101" a="1"/>
  <c r="I294" i="101" s="1"/>
  <c r="D292" i="99" a="1"/>
  <c r="D292" i="99" s="1"/>
  <c r="F299" i="100" a="1"/>
  <c r="F299" i="100" s="1"/>
  <c r="F301" i="101" a="1"/>
  <c r="F301" i="101" s="1"/>
  <c r="D310" i="100" a="1"/>
  <c r="D310" i="100" s="1"/>
  <c r="G314" i="101" a="1"/>
  <c r="G314" i="101" s="1"/>
  <c r="I303" i="101" a="1"/>
  <c r="I303" i="101" s="1"/>
  <c r="H288" i="101" a="1"/>
  <c r="H288" i="101" s="1"/>
  <c r="H302" i="99" a="1"/>
  <c r="H302" i="99" s="1"/>
  <c r="D300" i="100" a="1"/>
  <c r="D300" i="100" s="1"/>
  <c r="D299" i="101" a="1"/>
  <c r="D299" i="101" s="1"/>
  <c r="I307" i="101" a="1"/>
  <c r="I307" i="101" s="1"/>
  <c r="I292" i="101" a="1"/>
  <c r="I292" i="101" s="1"/>
  <c r="D313" i="99" a="1"/>
  <c r="D313" i="99" s="1"/>
  <c r="H291" i="101" a="1"/>
  <c r="H291" i="101" s="1"/>
  <c r="H309" i="99" a="1"/>
  <c r="H309" i="99" s="1"/>
  <c r="G306" i="99" a="1"/>
  <c r="G306" i="99" s="1"/>
  <c r="H290" i="101" a="1"/>
  <c r="H290" i="101" s="1"/>
  <c r="D297" i="100" a="1"/>
  <c r="D297" i="100" s="1"/>
  <c r="I291" i="99" a="1"/>
  <c r="I291" i="99" s="1"/>
  <c r="H291" i="100" a="1"/>
  <c r="H291" i="100" s="1"/>
  <c r="D298" i="101" a="1"/>
  <c r="D298" i="101" s="1"/>
  <c r="H299" i="100" a="1"/>
  <c r="H299" i="100" s="1"/>
  <c r="H297" i="100" a="1"/>
  <c r="H297" i="100" s="1"/>
  <c r="D306" i="99" a="1"/>
  <c r="D306" i="99" s="1"/>
  <c r="G289" i="100" a="1"/>
  <c r="G289" i="100" s="1"/>
  <c r="D302" i="100" a="1"/>
  <c r="D302" i="100" s="1"/>
  <c r="F297" i="99" a="1"/>
  <c r="F297" i="99" s="1"/>
  <c r="I314" i="99" a="1"/>
  <c r="I314" i="99" s="1"/>
  <c r="I312" i="101" a="1"/>
  <c r="I312" i="101" s="1"/>
  <c r="I300" i="101" a="1"/>
  <c r="I300" i="101" s="1"/>
  <c r="G306" i="100" a="1"/>
  <c r="G306" i="100" s="1"/>
  <c r="H291" i="99" a="1"/>
  <c r="H291" i="99" s="1"/>
  <c r="F295" i="101" a="1"/>
  <c r="F295" i="101" s="1"/>
  <c r="H313" i="99" a="1"/>
  <c r="H313" i="99" s="1"/>
  <c r="H310" i="101" a="1"/>
  <c r="H310" i="101" s="1"/>
  <c r="G288" i="99" a="1"/>
  <c r="G288" i="99" s="1"/>
  <c r="F311" i="99" a="1"/>
  <c r="F311" i="99" s="1"/>
  <c r="D291" i="99" a="1"/>
  <c r="D291" i="99" s="1"/>
  <c r="D307" i="99" a="1"/>
  <c r="D307" i="99" s="1"/>
  <c r="G311" i="99" a="1"/>
  <c r="G311" i="99" s="1"/>
  <c r="F296" i="101" a="1"/>
  <c r="F296" i="101" s="1"/>
  <c r="G303" i="99" a="1"/>
  <c r="G303" i="99" s="1"/>
  <c r="D310" i="99" a="1"/>
  <c r="D310" i="99" s="1"/>
  <c r="F312" i="99" a="1"/>
  <c r="F312" i="99" s="1"/>
  <c r="H292" i="99" a="1"/>
  <c r="H292" i="99" s="1"/>
  <c r="I306" i="99" a="1"/>
  <c r="I306" i="99" s="1"/>
  <c r="G312" i="101" a="1"/>
  <c r="G312" i="101" s="1"/>
  <c r="F315" i="101" a="1"/>
  <c r="F315" i="101" s="1"/>
  <c r="G299" i="101" a="1"/>
  <c r="G299" i="101" s="1"/>
  <c r="D310" i="101" a="1"/>
  <c r="D310" i="101" s="1"/>
  <c r="D305" i="100" a="1"/>
  <c r="D305" i="100" s="1"/>
  <c r="I298" i="101" a="1"/>
  <c r="I298" i="101" s="1"/>
  <c r="I295" i="101" a="1"/>
  <c r="I295" i="101" s="1"/>
  <c r="I296" i="99" a="1"/>
  <c r="I296" i="99" s="1"/>
  <c r="F293" i="99" a="1"/>
  <c r="F293" i="99" s="1"/>
  <c r="D290" i="100" a="1"/>
  <c r="D290" i="100" s="1"/>
  <c r="F298" i="101" a="1"/>
  <c r="F298" i="101" s="1"/>
  <c r="G314" i="100" a="1"/>
  <c r="G314" i="100" s="1"/>
  <c r="H303" i="99" a="1"/>
  <c r="H303" i="99" s="1"/>
  <c r="I310" i="100" a="1"/>
  <c r="I310" i="100" s="1"/>
  <c r="H311" i="99" a="1"/>
  <c r="H311" i="99" s="1"/>
  <c r="G293" i="101" a="1"/>
  <c r="G293" i="101" s="1"/>
  <c r="H296" i="101" a="1"/>
  <c r="H296" i="101" s="1"/>
  <c r="G294" i="101" a="1"/>
  <c r="G294" i="101" s="1"/>
  <c r="D294" i="99" a="1"/>
  <c r="D294" i="99" s="1"/>
  <c r="F291" i="99" a="1"/>
  <c r="F291" i="99" s="1"/>
  <c r="H304" i="101" a="1"/>
  <c r="H304" i="101" s="1"/>
  <c r="H312" i="99" a="1"/>
  <c r="H312" i="99" s="1"/>
  <c r="H294" i="99" a="1"/>
  <c r="H294" i="99" s="1"/>
  <c r="F316" i="101" a="1"/>
  <c r="F316" i="101" s="1"/>
  <c r="H311" i="100" a="1"/>
  <c r="H311" i="100" s="1"/>
  <c r="I298" i="100" a="1"/>
  <c r="I298" i="100" s="1"/>
  <c r="D316" i="101" a="1"/>
  <c r="D316" i="101" s="1"/>
  <c r="G309" i="99" a="1"/>
  <c r="G309" i="99" s="1"/>
  <c r="H315" i="100" a="1"/>
  <c r="H315" i="100" s="1"/>
  <c r="I299" i="100" a="1"/>
  <c r="I299" i="100" s="1"/>
  <c r="D302" i="99" a="1"/>
  <c r="D302" i="99" s="1"/>
  <c r="I310" i="101" a="1"/>
  <c r="I310" i="101" s="1"/>
  <c r="F290" i="99" a="1"/>
  <c r="F290" i="99" s="1"/>
  <c r="D299" i="99" a="1"/>
  <c r="D299" i="99" s="1"/>
  <c r="D292" i="101" a="1"/>
  <c r="D292" i="101" s="1"/>
  <c r="H289" i="101" a="1"/>
  <c r="H289" i="101" s="1"/>
  <c r="D314" i="101" a="1"/>
  <c r="D314" i="101" s="1"/>
  <c r="D315" i="99" a="1"/>
  <c r="D315" i="99" s="1"/>
  <c r="G297" i="99" a="1"/>
  <c r="G297" i="99" s="1"/>
  <c r="G292" i="99" a="1"/>
  <c r="G292" i="99" s="1"/>
  <c r="D314" i="99" a="1"/>
  <c r="D314" i="99" s="1"/>
  <c r="F300" i="101" a="1"/>
  <c r="F300" i="101" s="1"/>
  <c r="I299" i="101" a="1"/>
  <c r="I299" i="101" s="1"/>
  <c r="G313" i="101" a="1"/>
  <c r="G313" i="101" s="1"/>
  <c r="H290" i="100" a="1"/>
  <c r="H290" i="100" s="1"/>
  <c r="I316" i="99" a="1"/>
  <c r="I316" i="99" s="1"/>
  <c r="F315" i="99" a="1"/>
  <c r="F315" i="99" s="1"/>
  <c r="G293" i="100" a="1"/>
  <c r="G293" i="100" s="1"/>
  <c r="H298" i="100" a="1"/>
  <c r="H298" i="100" s="1"/>
  <c r="I301" i="101" a="1"/>
  <c r="I301" i="101" s="1"/>
  <c r="H304" i="99" a="1"/>
  <c r="H304" i="99" s="1"/>
  <c r="D304" i="101" a="1"/>
  <c r="D304" i="101" s="1"/>
  <c r="D303" i="100" a="1"/>
  <c r="D303" i="100" s="1"/>
  <c r="I289" i="100" a="1"/>
  <c r="I289" i="100" s="1"/>
  <c r="D296" i="99" a="1"/>
  <c r="D296" i="99" s="1"/>
  <c r="H300" i="99" a="1"/>
  <c r="H300" i="99" s="1"/>
  <c r="F304" i="101" a="1"/>
  <c r="F304" i="101" s="1"/>
  <c r="H302" i="100" a="1"/>
  <c r="H302" i="100" s="1"/>
  <c r="H314" i="100" a="1"/>
  <c r="H314" i="100" s="1"/>
  <c r="D302" i="101" a="1"/>
  <c r="D302" i="101" s="1"/>
  <c r="H312" i="101" a="1"/>
  <c r="H312" i="101" s="1"/>
  <c r="D303" i="101" a="1"/>
  <c r="D303" i="101" s="1"/>
  <c r="D293" i="101" a="1"/>
  <c r="D293" i="101" s="1"/>
  <c r="I315" i="100" a="1"/>
  <c r="I315" i="100" s="1"/>
  <c r="I289" i="99" a="1"/>
  <c r="I289" i="99" s="1"/>
  <c r="G305" i="101" a="1"/>
  <c r="G305" i="101" s="1"/>
  <c r="D298" i="97" a="1"/>
  <c r="D298" i="97" s="1"/>
  <c r="H291" i="97" a="1"/>
  <c r="H291" i="97" s="1"/>
  <c r="I316" i="91" a="1"/>
  <c r="I316" i="91" s="1"/>
  <c r="I295" i="93" a="1"/>
  <c r="I295" i="93" s="1"/>
  <c r="F292" i="91" a="1"/>
  <c r="F292" i="91" s="1"/>
  <c r="F297" i="94" a="1"/>
  <c r="F297" i="94" s="1"/>
  <c r="G291" i="94" a="1"/>
  <c r="G291" i="94" s="1"/>
  <c r="I297" i="93" a="1"/>
  <c r="I297" i="93" s="1"/>
  <c r="I297" i="91" a="1"/>
  <c r="I297" i="91" s="1"/>
  <c r="I295" i="96" a="1"/>
  <c r="I295" i="96" s="1"/>
  <c r="H299" i="91" a="1"/>
  <c r="H299" i="91" s="1"/>
  <c r="F294" i="91" a="1"/>
  <c r="F294" i="91" s="1"/>
  <c r="H309" i="93" a="1"/>
  <c r="H309" i="93" s="1"/>
  <c r="H299" i="96" a="1"/>
  <c r="H299" i="96" s="1"/>
  <c r="D313" i="94" a="1"/>
  <c r="D313" i="94" s="1"/>
  <c r="F316" i="91" a="1"/>
  <c r="F316" i="91" s="1"/>
  <c r="H288" i="91" a="1"/>
  <c r="H288" i="91" s="1"/>
  <c r="G302" i="94" a="1"/>
  <c r="G302" i="94" s="1"/>
  <c r="I313" i="92" a="1"/>
  <c r="I313" i="92" s="1"/>
  <c r="G295" i="95" a="1"/>
  <c r="G295" i="95" s="1"/>
  <c r="D310" i="94" a="1"/>
  <c r="D310" i="94" s="1"/>
  <c r="I293" i="94" a="1"/>
  <c r="I293" i="94" s="1"/>
  <c r="H309" i="94" a="1"/>
  <c r="H309" i="94" s="1"/>
  <c r="D292" i="92" a="1"/>
  <c r="D292" i="92" s="1"/>
  <c r="F299" i="97" a="1"/>
  <c r="F299" i="97" s="1"/>
  <c r="D292" i="97" a="1"/>
  <c r="D292" i="97" s="1"/>
  <c r="F310" i="93" a="1"/>
  <c r="F310" i="93" s="1"/>
  <c r="F303" i="92" a="1"/>
  <c r="F303" i="92" s="1"/>
  <c r="F312" i="95" a="1"/>
  <c r="F312" i="95" s="1"/>
  <c r="G306" i="93" a="1"/>
  <c r="G306" i="93" s="1"/>
  <c r="D306" i="91" a="1"/>
  <c r="D306" i="91" s="1"/>
  <c r="F302" i="94" a="1"/>
  <c r="F302" i="94" s="1"/>
  <c r="D314" i="96" a="1"/>
  <c r="D314" i="96" s="1"/>
  <c r="H308" i="91" a="1"/>
  <c r="H308" i="91" s="1"/>
  <c r="G288" i="96" a="1"/>
  <c r="G288" i="96" s="1"/>
  <c r="I301" i="92" a="1"/>
  <c r="I301" i="92" s="1"/>
  <c r="D308" i="93" a="1"/>
  <c r="D308" i="93" s="1"/>
  <c r="F312" i="96" a="1"/>
  <c r="F312" i="96" s="1"/>
  <c r="D304" i="92" a="1"/>
  <c r="D304" i="92" s="1"/>
  <c r="G297" i="97" a="1"/>
  <c r="G297" i="97" s="1"/>
  <c r="D293" i="91" a="1"/>
  <c r="D293" i="91" s="1"/>
  <c r="F300" i="96" a="1"/>
  <c r="F300" i="96" s="1"/>
  <c r="G292" i="93" a="1"/>
  <c r="G292" i="93" s="1"/>
  <c r="G316" i="91" a="1"/>
  <c r="G316" i="91" s="1"/>
  <c r="F306" i="93" a="1"/>
  <c r="F306" i="93" s="1"/>
  <c r="G304" i="97" a="1"/>
  <c r="G304" i="97" s="1"/>
  <c r="F313" i="96" a="1"/>
  <c r="F313" i="96" s="1"/>
  <c r="G316" i="97" a="1"/>
  <c r="G316" i="97" s="1"/>
  <c r="F303" i="96" a="1"/>
  <c r="F303" i="96" s="1"/>
  <c r="G307" i="96" a="1"/>
  <c r="G307" i="96" s="1"/>
  <c r="F308" i="91" a="1"/>
  <c r="F308" i="91" s="1"/>
  <c r="I288" i="91" a="1"/>
  <c r="I288" i="91" s="1"/>
  <c r="I294" i="94" a="1"/>
  <c r="I294" i="94" s="1"/>
  <c r="G308" i="96" a="1"/>
  <c r="G308" i="96" s="1"/>
  <c r="F290" i="97" a="1"/>
  <c r="F290" i="97" s="1"/>
  <c r="H315" i="94" a="1"/>
  <c r="H315" i="94" s="1"/>
  <c r="I294" i="97" a="1"/>
  <c r="I294" i="97" s="1"/>
  <c r="H291" i="92" a="1"/>
  <c r="H291" i="92" s="1"/>
  <c r="D303" i="91" a="1"/>
  <c r="D303" i="91" s="1"/>
  <c r="G316" i="92" a="1"/>
  <c r="G316" i="92" s="1"/>
  <c r="H306" i="91" a="1"/>
  <c r="H306" i="91" s="1"/>
  <c r="F314" i="95" a="1"/>
  <c r="F314" i="95" s="1"/>
  <c r="F310" i="91" a="1"/>
  <c r="F310" i="91" s="1"/>
  <c r="F307" i="96" a="1"/>
  <c r="F307" i="96" s="1"/>
  <c r="H311" i="96" a="1"/>
  <c r="H311" i="96" s="1"/>
  <c r="H290" i="91" a="1"/>
  <c r="H290" i="91" s="1"/>
  <c r="F302" i="92" a="1"/>
  <c r="F302" i="92" s="1"/>
  <c r="H290" i="92" a="1"/>
  <c r="H290" i="92" s="1"/>
  <c r="I291" i="95" a="1"/>
  <c r="I291" i="95" s="1"/>
  <c r="H297" i="92" a="1"/>
  <c r="H297" i="92" s="1"/>
  <c r="I314" i="91" a="1"/>
  <c r="I314" i="91" s="1"/>
  <c r="G288" i="92" a="1"/>
  <c r="G288" i="92" s="1"/>
  <c r="I289" i="91" a="1"/>
  <c r="I289" i="91" s="1"/>
  <c r="G301" i="94" a="1"/>
  <c r="G301" i="94" s="1"/>
  <c r="F316" i="94" a="1"/>
  <c r="F316" i="94" s="1"/>
  <c r="F296" i="92" a="1"/>
  <c r="F296" i="92" s="1"/>
  <c r="H307" i="94" a="1"/>
  <c r="H307" i="94" s="1"/>
  <c r="I312" i="94" a="1"/>
  <c r="I312" i="94" s="1"/>
  <c r="D312" i="93" a="1"/>
  <c r="D312" i="93" s="1"/>
  <c r="D313" i="96" a="1"/>
  <c r="D313" i="96" s="1"/>
  <c r="F315" i="94" a="1"/>
  <c r="F315" i="94" s="1"/>
  <c r="I310" i="91" a="1"/>
  <c r="I310" i="91" s="1"/>
  <c r="F313" i="97" a="1"/>
  <c r="F313" i="97" s="1"/>
  <c r="F290" i="96" a="1"/>
  <c r="F290" i="96" s="1"/>
  <c r="D308" i="91" a="1"/>
  <c r="D308" i="91" s="1"/>
  <c r="I313" i="94" a="1"/>
  <c r="I313" i="94" s="1"/>
  <c r="H288" i="93" a="1"/>
  <c r="H288" i="93" s="1"/>
  <c r="F299" i="95" a="1"/>
  <c r="F299" i="95" s="1"/>
  <c r="G313" i="97" a="1"/>
  <c r="G313" i="97" s="1"/>
  <c r="F305" i="94" a="1"/>
  <c r="F305" i="94" s="1"/>
  <c r="F293" i="97" a="1"/>
  <c r="F293" i="97" s="1"/>
  <c r="I299" i="93" a="1"/>
  <c r="I299" i="93" s="1"/>
  <c r="D291" i="93" a="1"/>
  <c r="D291" i="93" s="1"/>
  <c r="I314" i="97" a="1"/>
  <c r="I314" i="97" s="1"/>
  <c r="G302" i="93" a="1"/>
  <c r="G302" i="93" s="1"/>
  <c r="D304" i="94" a="1"/>
  <c r="D304" i="94" s="1"/>
  <c r="F307" i="92" a="1"/>
  <c r="F307" i="92" s="1"/>
  <c r="H312" i="92" a="1"/>
  <c r="H312" i="92" s="1"/>
  <c r="D295" i="91" a="1"/>
  <c r="D295" i="91" s="1"/>
  <c r="F291" i="93" a="1"/>
  <c r="F291" i="93" s="1"/>
  <c r="G299" i="93" a="1"/>
  <c r="G299" i="93" s="1"/>
  <c r="H315" i="91" a="1"/>
  <c r="H315" i="91" s="1"/>
  <c r="I296" i="94" a="1"/>
  <c r="I296" i="94" s="1"/>
  <c r="I308" i="93" a="1"/>
  <c r="I308" i="93" s="1"/>
  <c r="I298" i="91" a="1"/>
  <c r="I298" i="91" s="1"/>
  <c r="H295" i="97" a="1"/>
  <c r="H295" i="97" s="1"/>
  <c r="D293" i="92" a="1"/>
  <c r="D293" i="92" s="1"/>
  <c r="H300" i="91" a="1"/>
  <c r="H300" i="91" s="1"/>
  <c r="G309" i="92" a="1"/>
  <c r="G309" i="92" s="1"/>
  <c r="H306" i="97" a="1"/>
  <c r="H306" i="97" s="1"/>
  <c r="G315" i="94" a="1"/>
  <c r="G315" i="94" s="1"/>
  <c r="F307" i="95" a="1"/>
  <c r="F307" i="95" s="1"/>
  <c r="G289" i="95" a="1"/>
  <c r="G289" i="95" s="1"/>
  <c r="G292" i="97" a="1"/>
  <c r="G292" i="97" s="1"/>
  <c r="G313" i="91" a="1"/>
  <c r="G313" i="91" s="1"/>
  <c r="I311" i="96" a="1"/>
  <c r="I311" i="96" s="1"/>
  <c r="G300" i="91" a="1"/>
  <c r="G300" i="91" s="1"/>
  <c r="D302" i="95" a="1"/>
  <c r="D302" i="95" s="1"/>
  <c r="D311" i="95" a="1"/>
  <c r="D311" i="95" s="1"/>
  <c r="G313" i="94" a="1"/>
  <c r="G313" i="94" s="1"/>
  <c r="I306" i="97" a="1"/>
  <c r="I306" i="97" s="1"/>
  <c r="F309" i="92" a="1"/>
  <c r="F309" i="92" s="1"/>
  <c r="D294" i="97" a="1"/>
  <c r="D294" i="97" s="1"/>
  <c r="H297" i="96" a="1"/>
  <c r="H297" i="96" s="1"/>
  <c r="I302" i="95" a="1"/>
  <c r="I302" i="95" s="1"/>
  <c r="D311" i="96" a="1"/>
  <c r="D311" i="96" s="1"/>
  <c r="H288" i="97" a="1"/>
  <c r="H288" i="97" s="1"/>
  <c r="D307" i="92" a="1"/>
  <c r="D307" i="92" s="1"/>
  <c r="D307" i="97" a="1"/>
  <c r="D307" i="97" s="1"/>
  <c r="D309" i="97" a="1"/>
  <c r="D309" i="97" s="1"/>
  <c r="I303" i="93" a="1"/>
  <c r="I303" i="93" s="1"/>
  <c r="I312" i="95" a="1"/>
  <c r="I312" i="95" s="1"/>
  <c r="D316" i="95" a="1"/>
  <c r="D316" i="95" s="1"/>
  <c r="G302" i="92" a="1"/>
  <c r="G302" i="92" s="1"/>
  <c r="D315" i="95" a="1"/>
  <c r="D315" i="95" s="1"/>
  <c r="G297" i="93" a="1"/>
  <c r="G297" i="93" s="1"/>
  <c r="H308" i="92" a="1"/>
  <c r="H308" i="92" s="1"/>
  <c r="I314" i="96" a="1"/>
  <c r="I314" i="96" s="1"/>
  <c r="F316" i="92" a="1"/>
  <c r="F316" i="92" s="1"/>
  <c r="D304" i="97" a="1"/>
  <c r="D304" i="97" s="1"/>
  <c r="D291" i="95" a="1"/>
  <c r="D291" i="95" s="1"/>
  <c r="I302" i="92" a="1"/>
  <c r="I302" i="92" s="1"/>
  <c r="D294" i="93" a="1"/>
  <c r="D294" i="93" s="1"/>
  <c r="H309" i="96" a="1"/>
  <c r="H309" i="96" s="1"/>
  <c r="F304" i="92" a="1"/>
  <c r="F304" i="92" s="1"/>
  <c r="G292" i="92" a="1"/>
  <c r="G292" i="92" s="1"/>
  <c r="I301" i="93" a="1"/>
  <c r="I301" i="93" s="1"/>
  <c r="D302" i="94" a="1"/>
  <c r="D302" i="94" s="1"/>
  <c r="F290" i="94" a="1"/>
  <c r="F290" i="94" s="1"/>
  <c r="I289" i="92" a="1"/>
  <c r="I289" i="92" s="1"/>
  <c r="D298" i="92" a="1"/>
  <c r="D298" i="92" s="1"/>
  <c r="D305" i="92" a="1"/>
  <c r="D305" i="92" s="1"/>
  <c r="F293" i="93" a="1"/>
  <c r="F293" i="93" s="1"/>
  <c r="G311" i="94" a="1"/>
  <c r="G311" i="94" s="1"/>
  <c r="D307" i="93" a="1"/>
  <c r="D307" i="93" s="1"/>
  <c r="G304" i="96" a="1"/>
  <c r="G304" i="96" s="1"/>
  <c r="D289" i="94" a="1"/>
  <c r="D289" i="94" s="1"/>
  <c r="F300" i="92" a="1"/>
  <c r="F300" i="92" s="1"/>
  <c r="F289" i="92" a="1"/>
  <c r="F289" i="92" s="1"/>
  <c r="G310" i="95" a="1"/>
  <c r="G310" i="95" s="1"/>
  <c r="F293" i="92" a="1"/>
  <c r="F293" i="92" s="1"/>
  <c r="H302" i="95" a="1"/>
  <c r="H302" i="95" s="1"/>
  <c r="H315" i="92" a="1"/>
  <c r="H315" i="92" s="1"/>
  <c r="G294" i="93" a="1"/>
  <c r="G294" i="93" s="1"/>
  <c r="G290" i="92" a="1"/>
  <c r="G290" i="92" s="1"/>
  <c r="G316" i="94" a="1"/>
  <c r="G316" i="94" s="1"/>
  <c r="H315" i="97" a="1"/>
  <c r="H315" i="97" s="1"/>
  <c r="G299" i="96" a="1"/>
  <c r="G299" i="96" s="1"/>
  <c r="G294" i="92" a="1"/>
  <c r="G294" i="92" s="1"/>
  <c r="F305" i="93" a="1"/>
  <c r="F305" i="93" s="1"/>
  <c r="H289" i="91" a="1"/>
  <c r="H289" i="91" s="1"/>
  <c r="I308" i="95" a="1"/>
  <c r="I308" i="95" s="1"/>
  <c r="H292" i="95" a="1"/>
  <c r="H292" i="95" s="1"/>
  <c r="G301" i="92" a="1"/>
  <c r="G301" i="92" s="1"/>
  <c r="I308" i="91" a="1"/>
  <c r="I308" i="91" s="1"/>
  <c r="G304" i="95" a="1"/>
  <c r="G304" i="95" s="1"/>
  <c r="G316" i="95" a="1"/>
  <c r="G316" i="95" s="1"/>
  <c r="G305" i="97" a="1"/>
  <c r="G305" i="97" s="1"/>
  <c r="I310" i="92" a="1"/>
  <c r="I310" i="92" s="1"/>
  <c r="H291" i="96" a="1"/>
  <c r="H291" i="96" s="1"/>
  <c r="I295" i="91" a="1"/>
  <c r="I295" i="91" s="1"/>
  <c r="G315" i="96" a="1"/>
  <c r="G315" i="96" s="1"/>
  <c r="H298" i="97" a="1"/>
  <c r="H298" i="97" s="1"/>
  <c r="H294" i="92" a="1"/>
  <c r="H294" i="92" s="1"/>
  <c r="F289" i="97" a="1"/>
  <c r="F289" i="97" s="1"/>
  <c r="F303" i="93" a="1"/>
  <c r="F303" i="93" s="1"/>
  <c r="H291" i="95" a="1"/>
  <c r="H291" i="95" s="1"/>
  <c r="I306" i="91" a="1"/>
  <c r="I306" i="91" s="1"/>
  <c r="G305" i="96" a="1"/>
  <c r="G305" i="96" s="1"/>
  <c r="H314" i="93" a="1"/>
  <c r="H314" i="93" s="1"/>
  <c r="F309" i="96" a="1"/>
  <c r="F309" i="96" s="1"/>
  <c r="I294" i="91" a="1"/>
  <c r="I294" i="91" s="1"/>
  <c r="F311" i="94" a="1"/>
  <c r="F311" i="94" s="1"/>
  <c r="D290" i="93" a="1"/>
  <c r="D290" i="93" s="1"/>
  <c r="H307" i="95" a="1"/>
  <c r="H307" i="95" s="1"/>
  <c r="F306" i="97" a="1"/>
  <c r="F306" i="97" s="1"/>
  <c r="I300" i="95" a="1"/>
  <c r="I300" i="95" s="1"/>
  <c r="G288" i="91" a="1"/>
  <c r="G288" i="91" s="1"/>
  <c r="G307" i="92" a="1"/>
  <c r="G307" i="92" s="1"/>
  <c r="D293" i="97" a="1"/>
  <c r="D293" i="97" s="1"/>
  <c r="G292" i="96" a="1"/>
  <c r="G292" i="96" s="1"/>
  <c r="G304" i="94" a="1"/>
  <c r="G304" i="94" s="1"/>
  <c r="G309" i="95" a="1"/>
  <c r="G309" i="95" s="1"/>
  <c r="G311" i="93" a="1"/>
  <c r="G311" i="93" s="1"/>
  <c r="H310" i="93" a="1"/>
  <c r="H310" i="93" s="1"/>
  <c r="I288" i="95" a="1"/>
  <c r="I288" i="95" s="1"/>
  <c r="G297" i="92" a="1"/>
  <c r="G297" i="92" s="1"/>
  <c r="G309" i="97" a="1"/>
  <c r="G309" i="97" s="1"/>
  <c r="I296" i="91" a="1"/>
  <c r="I296" i="91" s="1"/>
  <c r="F296" i="91" a="1"/>
  <c r="F296" i="91" s="1"/>
  <c r="D315" i="93" a="1"/>
  <c r="D315" i="93" s="1"/>
  <c r="H296" i="95" a="1"/>
  <c r="H296" i="95" s="1"/>
  <c r="F316" i="96" a="1"/>
  <c r="F316" i="96" s="1"/>
  <c r="D291" i="92" a="1"/>
  <c r="D291" i="92" s="1"/>
  <c r="G303" i="96" a="1"/>
  <c r="G303" i="96" s="1"/>
  <c r="D296" i="94" a="1"/>
  <c r="D296" i="94" s="1"/>
  <c r="H299" i="95" a="1"/>
  <c r="H299" i="95" s="1"/>
  <c r="F306" i="96" a="1"/>
  <c r="F306" i="96" s="1"/>
  <c r="H311" i="91" a="1"/>
  <c r="H311" i="91" s="1"/>
  <c r="I300" i="91" a="1"/>
  <c r="I300" i="91" s="1"/>
  <c r="G304" i="91" a="1"/>
  <c r="G304" i="91" s="1"/>
  <c r="F297" i="96" a="1"/>
  <c r="F297" i="96" s="1"/>
  <c r="F314" i="91" a="1"/>
  <c r="F314" i="91" s="1"/>
  <c r="F304" i="95" a="1"/>
  <c r="F304" i="95" s="1"/>
  <c r="G302" i="95" a="1"/>
  <c r="G302" i="95" s="1"/>
  <c r="I312" i="91" a="1"/>
  <c r="I312" i="91" s="1"/>
  <c r="H302" i="91" a="1"/>
  <c r="H302" i="91" s="1"/>
  <c r="I288" i="96" a="1"/>
  <c r="I288" i="96" s="1"/>
  <c r="I316" i="97" a="1"/>
  <c r="I316" i="97" s="1"/>
  <c r="F293" i="94" a="1"/>
  <c r="F293" i="94" s="1"/>
  <c r="D289" i="92" a="1"/>
  <c r="D289" i="92" s="1"/>
  <c r="H292" i="94" a="1"/>
  <c r="H292" i="94" s="1"/>
  <c r="G305" i="93" a="1"/>
  <c r="G305" i="93" s="1"/>
  <c r="G314" i="92" a="1"/>
  <c r="G314" i="92" s="1"/>
  <c r="H298" i="95" a="1"/>
  <c r="H298" i="95" s="1"/>
  <c r="D300" i="95" a="1"/>
  <c r="D300" i="95" s="1"/>
  <c r="F302" i="96" a="1"/>
  <c r="F302" i="96" s="1"/>
  <c r="D309" i="96" a="1"/>
  <c r="D309" i="96" s="1"/>
  <c r="I298" i="96" a="1"/>
  <c r="I298" i="96" s="1"/>
  <c r="D294" i="94" a="1"/>
  <c r="D294" i="94" s="1"/>
  <c r="G311" i="92" a="1"/>
  <c r="G311" i="92" s="1"/>
  <c r="D300" i="96" a="1"/>
  <c r="D300" i="96" s="1"/>
  <c r="D306" i="93" a="1"/>
  <c r="D306" i="93" s="1"/>
  <c r="F299" i="96" a="1"/>
  <c r="F299" i="96" s="1"/>
  <c r="G307" i="97" a="1"/>
  <c r="G307" i="97" s="1"/>
  <c r="H314" i="92" a="1"/>
  <c r="H314" i="92" s="1"/>
  <c r="G293" i="95" a="1"/>
  <c r="G293" i="95" s="1"/>
  <c r="G297" i="96" a="1"/>
  <c r="G297" i="96" s="1"/>
  <c r="F290" i="93" a="1"/>
  <c r="F290" i="93" s="1"/>
  <c r="G297" i="94" a="1"/>
  <c r="G297" i="94" s="1"/>
  <c r="H295" i="96" a="1"/>
  <c r="H295" i="96" s="1"/>
  <c r="D289" i="95" a="1"/>
  <c r="D289" i="95" s="1"/>
  <c r="H296" i="91" a="1"/>
  <c r="H296" i="91" s="1"/>
  <c r="G312" i="91" a="1"/>
  <c r="G312" i="91" s="1"/>
  <c r="G305" i="94" a="1"/>
  <c r="G305" i="94" s="1"/>
  <c r="G310" i="93" a="1"/>
  <c r="G310" i="93" s="1"/>
  <c r="I308" i="92" a="1"/>
  <c r="I308" i="92" s="1"/>
  <c r="H313" i="91" a="1"/>
  <c r="H313" i="91" s="1"/>
  <c r="D309" i="93" a="1"/>
  <c r="D309" i="93" s="1"/>
  <c r="H310" i="97" a="1"/>
  <c r="H310" i="97" s="1"/>
  <c r="D301" i="91" a="1"/>
  <c r="D301" i="91" s="1"/>
  <c r="D314" i="93" a="1"/>
  <c r="D314" i="93" s="1"/>
  <c r="H294" i="95" a="1"/>
  <c r="H294" i="95" s="1"/>
  <c r="D305" i="97" a="1"/>
  <c r="D305" i="97" s="1"/>
  <c r="G298" i="93" a="1"/>
  <c r="G298" i="93" s="1"/>
  <c r="G308" i="92" a="1"/>
  <c r="G308" i="92" s="1"/>
  <c r="D305" i="93" a="1"/>
  <c r="D305" i="93" s="1"/>
  <c r="I297" i="97" a="1"/>
  <c r="I297" i="97" s="1"/>
  <c r="I313" i="96" a="1"/>
  <c r="I313" i="96" s="1"/>
  <c r="I312" i="97" a="1"/>
  <c r="I312" i="97" s="1"/>
  <c r="G290" i="93" a="1"/>
  <c r="G290" i="93" s="1"/>
  <c r="D290" i="97" a="1"/>
  <c r="D290" i="97" s="1"/>
  <c r="H314" i="96" a="1"/>
  <c r="H314" i="96" s="1"/>
  <c r="G288" i="93" a="1"/>
  <c r="G288" i="93" s="1"/>
  <c r="D306" i="94" a="1"/>
  <c r="D306" i="94" s="1"/>
  <c r="H294" i="94" a="1"/>
  <c r="H294" i="94" s="1"/>
  <c r="D305" i="95" a="1"/>
  <c r="D305" i="95" s="1"/>
  <c r="D299" i="95" a="1"/>
  <c r="D299" i="95" s="1"/>
  <c r="H300" i="94" a="1"/>
  <c r="H300" i="94" s="1"/>
  <c r="D289" i="97" a="1"/>
  <c r="D289" i="97" s="1"/>
  <c r="I298" i="94" a="1"/>
  <c r="I298" i="94" s="1"/>
  <c r="F301" i="94" a="1"/>
  <c r="F301" i="94" s="1"/>
  <c r="I289" i="97" a="1"/>
  <c r="I289" i="97" s="1"/>
  <c r="G309" i="93" a="1"/>
  <c r="G309" i="93" s="1"/>
  <c r="G296" i="97" a="1"/>
  <c r="G296" i="97" s="1"/>
  <c r="F305" i="91" a="1"/>
  <c r="F305" i="91" s="1"/>
  <c r="I315" i="95" a="1"/>
  <c r="I315" i="95" s="1"/>
  <c r="D308" i="95" a="1"/>
  <c r="D308" i="95" s="1"/>
  <c r="G293" i="91" a="1"/>
  <c r="G293" i="91" s="1"/>
  <c r="I297" i="96" a="1"/>
  <c r="I297" i="96" s="1"/>
  <c r="D310" i="97" a="1"/>
  <c r="D310" i="97" s="1"/>
  <c r="G295" i="93" a="1"/>
  <c r="G295" i="93" s="1"/>
  <c r="G294" i="96" a="1"/>
  <c r="G294" i="96" s="1"/>
  <c r="H298" i="96" a="1"/>
  <c r="H298" i="96" s="1"/>
  <c r="D300" i="93" a="1"/>
  <c r="D300" i="93" s="1"/>
  <c r="F313" i="93" a="1"/>
  <c r="F313" i="93" s="1"/>
  <c r="D293" i="93" a="1"/>
  <c r="D293" i="93" s="1"/>
  <c r="I292" i="96" a="1"/>
  <c r="I292" i="96" s="1"/>
  <c r="G302" i="91" a="1"/>
  <c r="G302" i="91" s="1"/>
  <c r="I299" i="97" a="1"/>
  <c r="I299" i="97" s="1"/>
  <c r="I291" i="94" a="1"/>
  <c r="I291" i="94" s="1"/>
  <c r="H307" i="92" a="1"/>
  <c r="H307" i="92" s="1"/>
  <c r="F303" i="95" a="1"/>
  <c r="F303" i="95" s="1"/>
  <c r="H316" i="94" a="1"/>
  <c r="H316" i="94" s="1"/>
  <c r="D293" i="95" a="1"/>
  <c r="D293" i="95" s="1"/>
  <c r="G303" i="93" a="1"/>
  <c r="G303" i="93" s="1"/>
  <c r="D301" i="97" a="1"/>
  <c r="D301" i="97" s="1"/>
  <c r="I303" i="96" a="1"/>
  <c r="I303" i="96" s="1"/>
  <c r="D316" i="92" a="1"/>
  <c r="D316" i="92" s="1"/>
  <c r="I295" i="95" a="1"/>
  <c r="I295" i="95" s="1"/>
  <c r="D309" i="91" a="1"/>
  <c r="D309" i="91" s="1"/>
  <c r="G298" i="94" a="1"/>
  <c r="G298" i="94" s="1"/>
  <c r="H289" i="95" a="1"/>
  <c r="H289" i="95" s="1"/>
  <c r="F296" i="95" a="1"/>
  <c r="F296" i="95" s="1"/>
  <c r="F312" i="94" a="1"/>
  <c r="F312" i="94" s="1"/>
  <c r="D297" i="94" a="1"/>
  <c r="D297" i="94" s="1"/>
  <c r="F307" i="93" a="1"/>
  <c r="F307" i="93" s="1"/>
  <c r="H310" i="92" a="1"/>
  <c r="H310" i="92" s="1"/>
  <c r="F295" i="92" a="1"/>
  <c r="F295" i="92" s="1"/>
  <c r="H297" i="97" a="1"/>
  <c r="H297" i="97" s="1"/>
  <c r="F305" i="96" a="1"/>
  <c r="F305" i="96" s="1"/>
  <c r="H290" i="93" a="1"/>
  <c r="H290" i="93" s="1"/>
  <c r="H294" i="93" a="1"/>
  <c r="H294" i="93" s="1"/>
  <c r="I302" i="97" a="1"/>
  <c r="I302" i="97" s="1"/>
  <c r="F294" i="96" a="1"/>
  <c r="F294" i="96" s="1"/>
  <c r="F296" i="93" a="1"/>
  <c r="F296" i="93" s="1"/>
  <c r="I300" i="92" a="1"/>
  <c r="I300" i="92" s="1"/>
  <c r="H290" i="96" a="1"/>
  <c r="H290" i="96" s="1"/>
  <c r="F308" i="94" a="1"/>
  <c r="F308" i="94" s="1"/>
  <c r="I306" i="96" a="1"/>
  <c r="I306" i="96" s="1"/>
  <c r="I316" i="96" a="1"/>
  <c r="I316" i="96" s="1"/>
  <c r="F310" i="96" a="1"/>
  <c r="F310" i="96" s="1"/>
  <c r="G303" i="92" a="1"/>
  <c r="G303" i="92" s="1"/>
  <c r="H297" i="93" a="1"/>
  <c r="H297" i="93" s="1"/>
  <c r="H301" i="95" a="1"/>
  <c r="H301" i="95" s="1"/>
  <c r="G310" i="92" a="1"/>
  <c r="G310" i="92" s="1"/>
  <c r="H295" i="93" a="1"/>
  <c r="H295" i="93" s="1"/>
  <c r="I304" i="92" a="1"/>
  <c r="I304" i="92" s="1"/>
  <c r="D303" i="96" a="1"/>
  <c r="D303" i="96" s="1"/>
  <c r="H299" i="92" a="1"/>
  <c r="H299" i="92" s="1"/>
  <c r="H305" i="96" a="1"/>
  <c r="H305" i="96" s="1"/>
  <c r="G288" i="95" a="1"/>
  <c r="G288" i="95" s="1"/>
  <c r="I288" i="93" a="1"/>
  <c r="I288" i="93" s="1"/>
  <c r="D304" i="91" a="1"/>
  <c r="D304" i="91" s="1"/>
  <c r="G291" i="96" a="1"/>
  <c r="G291" i="96" s="1"/>
  <c r="H309" i="91" a="1"/>
  <c r="H309" i="91" s="1"/>
  <c r="D314" i="94" a="1"/>
  <c r="D314" i="94" s="1"/>
  <c r="I316" i="95" a="1"/>
  <c r="I316" i="95" s="1"/>
  <c r="F295" i="94" a="1"/>
  <c r="F295" i="94" s="1"/>
  <c r="H296" i="97" a="1"/>
  <c r="H296" i="97" s="1"/>
  <c r="G305" i="91" a="1"/>
  <c r="G305" i="91" s="1"/>
  <c r="H301" i="93" a="1"/>
  <c r="H301" i="93" s="1"/>
  <c r="D295" i="97" a="1"/>
  <c r="D295" i="97" s="1"/>
  <c r="H315" i="96" a="1"/>
  <c r="H315" i="96" s="1"/>
  <c r="G310" i="97" a="1"/>
  <c r="G310" i="97" s="1"/>
  <c r="G291" i="97" a="1"/>
  <c r="G291" i="97" s="1"/>
  <c r="I312" i="93" a="1"/>
  <c r="I312" i="93" s="1"/>
  <c r="I289" i="96" a="1"/>
  <c r="I289" i="96" s="1"/>
  <c r="G314" i="93" a="1"/>
  <c r="G314" i="93" s="1"/>
  <c r="H308" i="95" a="1"/>
  <c r="H308" i="95" s="1"/>
  <c r="D307" i="95" a="1"/>
  <c r="D307" i="95" s="1"/>
  <c r="G293" i="92" a="1"/>
  <c r="G293" i="92" s="1"/>
  <c r="I310" i="93" a="1"/>
  <c r="I310" i="93" s="1"/>
  <c r="D314" i="92" a="1"/>
  <c r="D314" i="92" s="1"/>
  <c r="I301" i="91" a="1"/>
  <c r="I301" i="91" s="1"/>
  <c r="H298" i="94" a="1"/>
  <c r="H298" i="94" s="1"/>
  <c r="F292" i="94" a="1"/>
  <c r="F292" i="94" s="1"/>
  <c r="I302" i="96" a="1"/>
  <c r="I302" i="96" s="1"/>
  <c r="H295" i="91" a="1"/>
  <c r="H295" i="91" s="1"/>
  <c r="D299" i="94" a="1"/>
  <c r="D299" i="94" s="1"/>
  <c r="D305" i="94" a="1"/>
  <c r="D305" i="94" s="1"/>
  <c r="I295" i="94" a="1"/>
  <c r="I295" i="94" s="1"/>
  <c r="F315" i="91" a="1"/>
  <c r="F315" i="91" s="1"/>
  <c r="I304" i="94" a="1"/>
  <c r="I304" i="94" s="1"/>
  <c r="D304" i="96" a="1"/>
  <c r="D304" i="96" s="1"/>
  <c r="I314" i="92" a="1"/>
  <c r="I314" i="92" s="1"/>
  <c r="H295" i="92" a="1"/>
  <c r="H295" i="92" s="1"/>
  <c r="D309" i="94" a="1"/>
  <c r="D309" i="94" s="1"/>
  <c r="I289" i="94" a="1"/>
  <c r="I289" i="94" s="1"/>
  <c r="I311" i="91" a="1"/>
  <c r="I311" i="91" s="1"/>
  <c r="D315" i="96" a="1"/>
  <c r="D315" i="96" s="1"/>
  <c r="F304" i="91" a="1"/>
  <c r="F304" i="91" s="1"/>
  <c r="I308" i="97" a="1"/>
  <c r="I308" i="97" s="1"/>
  <c r="G304" i="93" a="1"/>
  <c r="G304" i="93" s="1"/>
  <c r="G306" i="92" a="1"/>
  <c r="G306" i="92" s="1"/>
  <c r="F308" i="95" a="1"/>
  <c r="F308" i="95" s="1"/>
  <c r="F299" i="94" a="1"/>
  <c r="F299" i="94" s="1"/>
  <c r="D295" i="92" a="1"/>
  <c r="D295" i="92" s="1"/>
  <c r="F297" i="92" a="1"/>
  <c r="F297" i="92" s="1"/>
  <c r="G288" i="97" a="1"/>
  <c r="G288" i="97" s="1"/>
  <c r="G306" i="95" a="1"/>
  <c r="G306" i="95" s="1"/>
  <c r="G308" i="93" a="1"/>
  <c r="G308" i="93" s="1"/>
  <c r="H301" i="94" a="1"/>
  <c r="H301" i="94" s="1"/>
  <c r="G300" i="92" a="1"/>
  <c r="G300" i="92" s="1"/>
  <c r="D312" i="94" a="1"/>
  <c r="D312" i="94" s="1"/>
  <c r="D311" i="94" a="1"/>
  <c r="D311" i="94" s="1"/>
  <c r="D303" i="94" a="1"/>
  <c r="D303" i="94" s="1"/>
  <c r="G291" i="91" a="1"/>
  <c r="G291" i="91" s="1"/>
  <c r="F308" i="93" a="1"/>
  <c r="F308" i="93" s="1"/>
  <c r="I298" i="97" a="1"/>
  <c r="I298" i="97" s="1"/>
  <c r="I315" i="91" a="1"/>
  <c r="I315" i="91" s="1"/>
  <c r="G292" i="94" a="1"/>
  <c r="G292" i="94" s="1"/>
  <c r="H293" i="93" a="1"/>
  <c r="H293" i="93" s="1"/>
  <c r="F315" i="92" a="1"/>
  <c r="F315" i="92" s="1"/>
  <c r="G289" i="92" a="1"/>
  <c r="G289" i="92" s="1"/>
  <c r="I292" i="95" a="1"/>
  <c r="I292" i="95" s="1"/>
  <c r="F302" i="97" a="1"/>
  <c r="F302" i="97" s="1"/>
  <c r="I309" i="94" a="1"/>
  <c r="I309" i="94" s="1"/>
  <c r="G314" i="96" a="1"/>
  <c r="G314" i="96" s="1"/>
  <c r="I288" i="92" a="1"/>
  <c r="I288" i="92" s="1"/>
  <c r="D298" i="94" a="1"/>
  <c r="D298" i="94" s="1"/>
  <c r="H308" i="97" a="1"/>
  <c r="H308" i="97" s="1"/>
  <c r="G296" i="96" a="1"/>
  <c r="G296" i="96" s="1"/>
  <c r="G297" i="95" a="1"/>
  <c r="G297" i="95" s="1"/>
  <c r="D310" i="93" a="1"/>
  <c r="D310" i="93" s="1"/>
  <c r="G298" i="95" a="1"/>
  <c r="G298" i="95" s="1"/>
  <c r="H300" i="96" a="1"/>
  <c r="H300" i="96" s="1"/>
  <c r="H300" i="95" a="1"/>
  <c r="H300" i="95" s="1"/>
  <c r="G290" i="97" a="1"/>
  <c r="G290" i="97" s="1"/>
  <c r="I296" i="97" a="1"/>
  <c r="I296" i="97" s="1"/>
  <c r="H302" i="96" a="1"/>
  <c r="H302" i="96" s="1"/>
  <c r="H300" i="97" a="1"/>
  <c r="H300" i="97" s="1"/>
  <c r="D301" i="95" a="1"/>
  <c r="D301" i="95" s="1"/>
  <c r="G307" i="94" a="1"/>
  <c r="G307" i="94" s="1"/>
  <c r="I311" i="95" a="1"/>
  <c r="I311" i="95" s="1"/>
  <c r="G293" i="94" a="1"/>
  <c r="G293" i="94" s="1"/>
  <c r="I297" i="92" a="1"/>
  <c r="I297" i="92" s="1"/>
  <c r="F295" i="91" a="1"/>
  <c r="F295" i="91" s="1"/>
  <c r="H314" i="91" a="1"/>
  <c r="H314" i="91" s="1"/>
  <c r="G307" i="95" a="1"/>
  <c r="G307" i="95" s="1"/>
  <c r="H303" i="97" a="1"/>
  <c r="H303" i="97" s="1"/>
  <c r="D301" i="93" a="1"/>
  <c r="D301" i="93" s="1"/>
  <c r="D303" i="92" a="1"/>
  <c r="D303" i="92" s="1"/>
  <c r="D316" i="93" a="1"/>
  <c r="D316" i="93" s="1"/>
  <c r="H303" i="92" a="1"/>
  <c r="H303" i="92" s="1"/>
  <c r="H304" i="96" a="1"/>
  <c r="H304" i="96" s="1"/>
  <c r="G289" i="96" a="1"/>
  <c r="G289" i="96" s="1"/>
  <c r="G314" i="91" a="1"/>
  <c r="G314" i="91" s="1"/>
  <c r="I307" i="96" a="1"/>
  <c r="I307" i="96" s="1"/>
  <c r="I298" i="93" a="1"/>
  <c r="I298" i="93" s="1"/>
  <c r="I304" i="96" a="1"/>
  <c r="I304" i="96" s="1"/>
  <c r="H298" i="91" a="1"/>
  <c r="H298" i="91" s="1"/>
  <c r="I290" i="93" a="1"/>
  <c r="I290" i="93" s="1"/>
  <c r="H310" i="94" a="1"/>
  <c r="H310" i="94" s="1"/>
  <c r="D301" i="94" a="1"/>
  <c r="D301" i="94" s="1"/>
  <c r="G314" i="94" a="1"/>
  <c r="G314" i="94" s="1"/>
  <c r="F300" i="95" a="1"/>
  <c r="F300" i="95" s="1"/>
  <c r="I309" i="95" a="1"/>
  <c r="I309" i="95" s="1"/>
  <c r="I303" i="92" a="1"/>
  <c r="I303" i="92" s="1"/>
  <c r="G311" i="97" a="1"/>
  <c r="G311" i="97" s="1"/>
  <c r="F289" i="95" a="1"/>
  <c r="F289" i="95" s="1"/>
  <c r="I302" i="94" a="1"/>
  <c r="I302" i="94" s="1"/>
  <c r="G295" i="97" a="1"/>
  <c r="G295" i="97" s="1"/>
  <c r="F298" i="92" a="1"/>
  <c r="F298" i="92" s="1"/>
  <c r="F313" i="92" a="1"/>
  <c r="F313" i="92" s="1"/>
  <c r="G291" i="93" a="1"/>
  <c r="G291" i="93" s="1"/>
  <c r="G301" i="91" a="1"/>
  <c r="G301" i="91" s="1"/>
  <c r="I305" i="97" a="1"/>
  <c r="I305" i="97" s="1"/>
  <c r="H312" i="95" a="1"/>
  <c r="H312" i="95" s="1"/>
  <c r="H313" i="97" a="1"/>
  <c r="H313" i="97" s="1"/>
  <c r="I294" i="96" a="1"/>
  <c r="I294" i="96" s="1"/>
  <c r="D313" i="97" a="1"/>
  <c r="D313" i="97" s="1"/>
  <c r="I300" i="96" a="1"/>
  <c r="I300" i="96" s="1"/>
  <c r="D296" i="96" a="1"/>
  <c r="D296" i="96" s="1"/>
  <c r="I288" i="94" a="1"/>
  <c r="I288" i="94" s="1"/>
  <c r="I293" i="96" a="1"/>
  <c r="I293" i="96" s="1"/>
  <c r="H300" i="93" a="1"/>
  <c r="H300" i="93" s="1"/>
  <c r="D307" i="96" a="1"/>
  <c r="D307" i="96" s="1"/>
  <c r="G293" i="96" a="1"/>
  <c r="G293" i="96" s="1"/>
  <c r="H291" i="91" a="1"/>
  <c r="H291" i="91" s="1"/>
  <c r="F301" i="92" a="1"/>
  <c r="F301" i="92" s="1"/>
  <c r="G301" i="95" a="1"/>
  <c r="G301" i="95" s="1"/>
  <c r="G315" i="97" a="1"/>
  <c r="G315" i="97" s="1"/>
  <c r="D301" i="92" a="1"/>
  <c r="D301" i="92" s="1"/>
  <c r="G294" i="91" a="1"/>
  <c r="G294" i="91" s="1"/>
  <c r="I309" i="92" a="1"/>
  <c r="I309" i="92" s="1"/>
  <c r="F315" i="96" a="1"/>
  <c r="F315" i="96" s="1"/>
  <c r="F293" i="91" a="1"/>
  <c r="F293" i="91" s="1"/>
  <c r="F291" i="92" a="1"/>
  <c r="F291" i="92" s="1"/>
  <c r="D311" i="97" a="1"/>
  <c r="D311" i="97" s="1"/>
  <c r="H311" i="94" a="1"/>
  <c r="H311" i="94" s="1"/>
  <c r="I301" i="94" a="1"/>
  <c r="I301" i="94" s="1"/>
  <c r="G303" i="95" a="1"/>
  <c r="G303" i="95" s="1"/>
  <c r="D310" i="91" a="1"/>
  <c r="D310" i="91" s="1"/>
  <c r="I296" i="96" a="1"/>
  <c r="I296" i="96" s="1"/>
  <c r="I289" i="93" a="1"/>
  <c r="I289" i="93" s="1"/>
  <c r="I309" i="96" a="1"/>
  <c r="I309" i="96" s="1"/>
  <c r="G291" i="92" a="1"/>
  <c r="G291" i="92" s="1"/>
  <c r="G307" i="93" a="1"/>
  <c r="G307" i="93" s="1"/>
  <c r="G296" i="95" a="1"/>
  <c r="G296" i="95" s="1"/>
  <c r="I312" i="96" a="1"/>
  <c r="I312" i="96" s="1"/>
  <c r="H309" i="92" a="1"/>
  <c r="H309" i="92" s="1"/>
  <c r="D314" i="95" a="1"/>
  <c r="D314" i="95" s="1"/>
  <c r="G313" i="93" a="1"/>
  <c r="G313" i="93" s="1"/>
  <c r="H316" i="97" a="1"/>
  <c r="H316" i="97" s="1"/>
  <c r="F306" i="91" a="1"/>
  <c r="F306" i="91" s="1"/>
  <c r="F301" i="93" a="1"/>
  <c r="F301" i="93" s="1"/>
  <c r="F305" i="97" a="1"/>
  <c r="F305" i="97" s="1"/>
  <c r="I304" i="97" a="1"/>
  <c r="I304" i="97" s="1"/>
  <c r="H293" i="92" a="1"/>
  <c r="H293" i="92" s="1"/>
  <c r="H304" i="93" a="1"/>
  <c r="H304" i="93" s="1"/>
  <c r="H314" i="95" a="1"/>
  <c r="H314" i="95" s="1"/>
  <c r="G302" i="97" a="1"/>
  <c r="G302" i="97" s="1"/>
  <c r="G306" i="97" a="1"/>
  <c r="G306" i="97" s="1"/>
  <c r="D315" i="94" a="1"/>
  <c r="D315" i="94" s="1"/>
  <c r="F290" i="92" a="1"/>
  <c r="F290" i="92" s="1"/>
  <c r="G298" i="92" a="1"/>
  <c r="G298" i="92" s="1"/>
  <c r="H307" i="97" a="1"/>
  <c r="H307" i="97" s="1"/>
  <c r="F304" i="93" a="1"/>
  <c r="F304" i="93" s="1"/>
  <c r="F289" i="91" a="1"/>
  <c r="F289" i="91" s="1"/>
  <c r="H305" i="93" a="1"/>
  <c r="H305" i="93" s="1"/>
  <c r="D292" i="95" a="1"/>
  <c r="D292" i="95" s="1"/>
  <c r="F315" i="95" a="1"/>
  <c r="F315" i="95" s="1"/>
  <c r="D308" i="96" a="1"/>
  <c r="D308" i="96" s="1"/>
  <c r="F307" i="91" a="1"/>
  <c r="F307" i="91" s="1"/>
  <c r="D297" i="92" a="1"/>
  <c r="D297" i="92" s="1"/>
  <c r="D312" i="92" a="1"/>
  <c r="D312" i="92" s="1"/>
  <c r="F302" i="91" a="1"/>
  <c r="F302" i="91" s="1"/>
  <c r="I315" i="97" a="1"/>
  <c r="I315" i="97" s="1"/>
  <c r="H316" i="92" a="1"/>
  <c r="H316" i="92" s="1"/>
  <c r="H301" i="91" a="1"/>
  <c r="H301" i="91" s="1"/>
  <c r="H303" i="95" a="1"/>
  <c r="H303" i="95" s="1"/>
  <c r="H296" i="93" a="1"/>
  <c r="H296" i="93" s="1"/>
  <c r="I310" i="95" a="1"/>
  <c r="I310" i="95" s="1"/>
  <c r="H289" i="94" a="1"/>
  <c r="H289" i="94" s="1"/>
  <c r="H305" i="97" a="1"/>
  <c r="H305" i="97" s="1"/>
  <c r="D303" i="97" a="1"/>
  <c r="D303" i="97" s="1"/>
  <c r="F291" i="95" a="1"/>
  <c r="F291" i="95" s="1"/>
  <c r="G295" i="96" a="1"/>
  <c r="G295" i="96" s="1"/>
  <c r="F301" i="95" a="1"/>
  <c r="F301" i="95" s="1"/>
  <c r="G302" i="96" a="1"/>
  <c r="G302" i="96" s="1"/>
  <c r="G294" i="97" a="1"/>
  <c r="G294" i="97" s="1"/>
  <c r="D306" i="97" a="1"/>
  <c r="D306" i="97" s="1"/>
  <c r="F293" i="95" a="1"/>
  <c r="F293" i="95" s="1"/>
  <c r="G295" i="91" a="1"/>
  <c r="G295" i="91" s="1"/>
  <c r="F312" i="97" a="1"/>
  <c r="F312" i="97" s="1"/>
  <c r="F303" i="97" a="1"/>
  <c r="F303" i="97" s="1"/>
  <c r="I310" i="94" a="1"/>
  <c r="I310" i="94" s="1"/>
  <c r="H288" i="92" a="1"/>
  <c r="H288" i="92" s="1"/>
  <c r="D297" i="93" a="1"/>
  <c r="D297" i="93" s="1"/>
  <c r="F302" i="93" a="1"/>
  <c r="F302" i="93" s="1"/>
  <c r="D306" i="96" a="1"/>
  <c r="D306" i="96" s="1"/>
  <c r="D313" i="95" a="1"/>
  <c r="D313" i="95" s="1"/>
  <c r="F308" i="96" a="1"/>
  <c r="F308" i="96" s="1"/>
  <c r="I315" i="94" a="1"/>
  <c r="I315" i="94" s="1"/>
  <c r="H302" i="94" a="1"/>
  <c r="H302" i="94" s="1"/>
  <c r="F309" i="95" a="1"/>
  <c r="F309" i="95" s="1"/>
  <c r="G306" i="94" a="1"/>
  <c r="G306" i="94" s="1"/>
  <c r="D302" i="92" a="1"/>
  <c r="D302" i="92" s="1"/>
  <c r="I298" i="95" a="1"/>
  <c r="I298" i="95" s="1"/>
  <c r="G291" i="95" a="1"/>
  <c r="G291" i="95" s="1"/>
  <c r="D303" i="95" a="1"/>
  <c r="D303" i="95" s="1"/>
  <c r="G298" i="96" a="1"/>
  <c r="G298" i="96" s="1"/>
  <c r="F291" i="97" a="1"/>
  <c r="F291" i="97" s="1"/>
  <c r="G290" i="91" a="1"/>
  <c r="G290" i="91" s="1"/>
  <c r="H288" i="95" a="1"/>
  <c r="H288" i="95" s="1"/>
  <c r="H313" i="93" a="1"/>
  <c r="H313" i="93" s="1"/>
  <c r="F309" i="91" a="1"/>
  <c r="F309" i="91" s="1"/>
  <c r="H294" i="97" a="1"/>
  <c r="H294" i="97" s="1"/>
  <c r="G308" i="95" a="1"/>
  <c r="G308" i="95" s="1"/>
  <c r="G316" i="93" a="1"/>
  <c r="G316" i="93" s="1"/>
  <c r="I291" i="91" a="1"/>
  <c r="I291" i="91" s="1"/>
  <c r="I297" i="94" a="1"/>
  <c r="I297" i="94" s="1"/>
  <c r="F295" i="97" a="1"/>
  <c r="F295" i="97" s="1"/>
  <c r="D314" i="91" a="1"/>
  <c r="D314" i="91" s="1"/>
  <c r="D304" i="93" a="1"/>
  <c r="D304" i="93" s="1"/>
  <c r="H292" i="92" a="1"/>
  <c r="H292" i="92" s="1"/>
  <c r="I290" i="95" a="1"/>
  <c r="I290" i="95" s="1"/>
  <c r="G299" i="97" a="1"/>
  <c r="G299" i="97" s="1"/>
  <c r="F291" i="94" a="1"/>
  <c r="F291" i="94" s="1"/>
  <c r="G313" i="95" a="1"/>
  <c r="G313" i="95" s="1"/>
  <c r="I306" i="95" a="1"/>
  <c r="I306" i="95" s="1"/>
  <c r="F311" i="91" a="1"/>
  <c r="F311" i="91" s="1"/>
  <c r="I293" i="95" a="1"/>
  <c r="I293" i="95" s="1"/>
  <c r="H292" i="96" a="1"/>
  <c r="H292" i="96" s="1"/>
  <c r="F292" i="96" a="1"/>
  <c r="F292" i="96" s="1"/>
  <c r="D302" i="93" a="1"/>
  <c r="D302" i="93" s="1"/>
  <c r="G298" i="97" a="1"/>
  <c r="G298" i="97" s="1"/>
  <c r="G309" i="94" a="1"/>
  <c r="G309" i="94" s="1"/>
  <c r="D300" i="91" a="1"/>
  <c r="D300" i="91" s="1"/>
  <c r="F304" i="97" a="1"/>
  <c r="F304" i="97" s="1"/>
  <c r="G309" i="91" a="1"/>
  <c r="G309" i="91" s="1"/>
  <c r="D293" i="96" a="1"/>
  <c r="D293" i="96" s="1"/>
  <c r="H316" i="91" a="1"/>
  <c r="H316" i="91" s="1"/>
  <c r="H306" i="96" a="1"/>
  <c r="H306" i="96" s="1"/>
  <c r="I315" i="92" a="1"/>
  <c r="I315" i="92" s="1"/>
  <c r="I292" i="93" a="1"/>
  <c r="I292" i="93" s="1"/>
  <c r="G313" i="92" a="1"/>
  <c r="G313" i="92" s="1"/>
  <c r="F298" i="96" a="1"/>
  <c r="F298" i="96" s="1"/>
  <c r="G292" i="91" a="1"/>
  <c r="G292" i="91" s="1"/>
  <c r="F297" i="95" a="1"/>
  <c r="F297" i="95" s="1"/>
  <c r="D297" i="96" a="1"/>
  <c r="D297" i="96" s="1"/>
  <c r="I300" i="93" a="1"/>
  <c r="I300" i="93" s="1"/>
  <c r="I293" i="91" a="1"/>
  <c r="I293" i="91" s="1"/>
  <c r="F316" i="93" a="1"/>
  <c r="F316" i="93" s="1"/>
  <c r="D312" i="96" a="1"/>
  <c r="D312" i="96" s="1"/>
  <c r="D315" i="97" a="1"/>
  <c r="D315" i="97" s="1"/>
  <c r="H307" i="93" a="1"/>
  <c r="H307" i="93" s="1"/>
  <c r="I313" i="91" a="1"/>
  <c r="I313" i="91" s="1"/>
  <c r="D290" i="91" a="1"/>
  <c r="D290" i="91" s="1"/>
  <c r="F314" i="94" a="1"/>
  <c r="F314" i="94" s="1"/>
  <c r="D299" i="93" a="1"/>
  <c r="D299" i="93" s="1"/>
  <c r="F289" i="96" a="1"/>
  <c r="F289" i="96" s="1"/>
  <c r="F294" i="95" a="1"/>
  <c r="F294" i="95" s="1"/>
  <c r="D296" i="93" a="1"/>
  <c r="D296" i="93" s="1"/>
  <c r="G312" i="96" a="1"/>
  <c r="G312" i="96" s="1"/>
  <c r="H306" i="95" a="1"/>
  <c r="H306" i="95" s="1"/>
  <c r="F303" i="94" a="1"/>
  <c r="F303" i="94" s="1"/>
  <c r="G299" i="92" a="1"/>
  <c r="G299" i="92" s="1"/>
  <c r="F311" i="93" a="1"/>
  <c r="F311" i="93" s="1"/>
  <c r="I293" i="97" a="1"/>
  <c r="I293" i="97" s="1"/>
  <c r="D302" i="91" a="1"/>
  <c r="D302" i="91" s="1"/>
  <c r="I314" i="94" a="1"/>
  <c r="I314" i="94" s="1"/>
  <c r="D314" i="97" a="1"/>
  <c r="D314" i="97" s="1"/>
  <c r="I302" i="93" a="1"/>
  <c r="I302" i="93" s="1"/>
  <c r="H289" i="92" a="1"/>
  <c r="H289" i="92" s="1"/>
  <c r="F311" i="92" a="1"/>
  <c r="F311" i="92" s="1"/>
  <c r="F309" i="97" a="1"/>
  <c r="F309" i="97" s="1"/>
  <c r="H294" i="96" a="1"/>
  <c r="H294" i="96" s="1"/>
  <c r="H307" i="96" a="1"/>
  <c r="H307" i="96" s="1"/>
  <c r="G312" i="95" a="1"/>
  <c r="G312" i="95" s="1"/>
  <c r="F292" i="97" a="1"/>
  <c r="F292" i="97" s="1"/>
  <c r="I297" i="95" a="1"/>
  <c r="I297" i="95" s="1"/>
  <c r="G303" i="94" a="1"/>
  <c r="G303" i="94" s="1"/>
  <c r="F305" i="92" a="1"/>
  <c r="F305" i="92" s="1"/>
  <c r="I315" i="93" a="1"/>
  <c r="I315" i="93" s="1"/>
  <c r="H302" i="93" a="1"/>
  <c r="H302" i="93" s="1"/>
  <c r="H311" i="97" a="1"/>
  <c r="H311" i="97" s="1"/>
  <c r="H293" i="94" a="1"/>
  <c r="H293" i="94" s="1"/>
  <c r="D312" i="95" a="1"/>
  <c r="D312" i="95" s="1"/>
  <c r="D308" i="94" a="1"/>
  <c r="D308" i="94" s="1"/>
  <c r="H295" i="94" a="1"/>
  <c r="H295" i="94" s="1"/>
  <c r="I293" i="92" a="1"/>
  <c r="I293" i="92" s="1"/>
  <c r="I292" i="92" a="1"/>
  <c r="I292" i="92" s="1"/>
  <c r="D290" i="95" a="1"/>
  <c r="D290" i="95" s="1"/>
  <c r="H296" i="96" a="1"/>
  <c r="H296" i="96" s="1"/>
  <c r="I301" i="96" a="1"/>
  <c r="I301" i="96" s="1"/>
  <c r="G296" i="92" a="1"/>
  <c r="G296" i="92" s="1"/>
  <c r="H293" i="91" a="1"/>
  <c r="H293" i="91" s="1"/>
  <c r="I294" i="92" a="1"/>
  <c r="I294" i="92" s="1"/>
  <c r="D310" i="92" a="1"/>
  <c r="D310" i="92" s="1"/>
  <c r="D291" i="97" a="1"/>
  <c r="D291" i="97" s="1"/>
  <c r="I313" i="97" a="1"/>
  <c r="I313" i="97" s="1"/>
  <c r="I311" i="94" a="1"/>
  <c r="I311" i="94" s="1"/>
  <c r="I305" i="95" a="1"/>
  <c r="I305" i="95" s="1"/>
  <c r="F297" i="93" a="1"/>
  <c r="F297" i="93" s="1"/>
  <c r="H305" i="92" a="1"/>
  <c r="H305" i="92" s="1"/>
  <c r="D299" i="91" a="1"/>
  <c r="D299" i="91" s="1"/>
  <c r="H289" i="96" a="1"/>
  <c r="H289" i="96" s="1"/>
  <c r="D313" i="93" a="1"/>
  <c r="D313" i="93" s="1"/>
  <c r="I307" i="92" a="1"/>
  <c r="I307" i="92" s="1"/>
  <c r="G300" i="94" a="1"/>
  <c r="G300" i="94" s="1"/>
  <c r="I314" i="95" a="1"/>
  <c r="I314" i="95" s="1"/>
  <c r="I306" i="92" a="1"/>
  <c r="I306" i="92" s="1"/>
  <c r="H293" i="95" a="1"/>
  <c r="H293" i="95" s="1"/>
  <c r="D316" i="94" a="1"/>
  <c r="D316" i="94" s="1"/>
  <c r="I311" i="92" a="1"/>
  <c r="I311" i="92" s="1"/>
  <c r="F306" i="92" a="1"/>
  <c r="F306" i="92" s="1"/>
  <c r="F296" i="97" a="1"/>
  <c r="F296" i="97" s="1"/>
  <c r="F294" i="92" a="1"/>
  <c r="F294" i="92" s="1"/>
  <c r="F300" i="97" a="1"/>
  <c r="F300" i="97" s="1"/>
  <c r="I296" i="93" a="1"/>
  <c r="I296" i="93" s="1"/>
  <c r="G299" i="95" a="1"/>
  <c r="G299" i="95" s="1"/>
  <c r="D297" i="97" a="1"/>
  <c r="D297" i="97" s="1"/>
  <c r="I305" i="91" a="1"/>
  <c r="I305" i="91" s="1"/>
  <c r="I295" i="97" a="1"/>
  <c r="I295" i="97" s="1"/>
  <c r="I290" i="96" a="1"/>
  <c r="I290" i="96" s="1"/>
  <c r="G300" i="95" a="1"/>
  <c r="G300" i="95" s="1"/>
  <c r="G290" i="96" a="1"/>
  <c r="G290" i="96" s="1"/>
  <c r="F311" i="96" a="1"/>
  <c r="F311" i="96" s="1"/>
  <c r="F312" i="93" a="1"/>
  <c r="F312" i="93" s="1"/>
  <c r="G304" i="92" a="1"/>
  <c r="G304" i="92" s="1"/>
  <c r="F296" i="94" a="1"/>
  <c r="F296" i="94" s="1"/>
  <c r="I307" i="97" a="1"/>
  <c r="I307" i="97" s="1"/>
  <c r="F306" i="95" a="1"/>
  <c r="F306" i="95" s="1"/>
  <c r="H300" i="92" a="1"/>
  <c r="H300" i="92" s="1"/>
  <c r="H291" i="94" a="1"/>
  <c r="H291" i="94" s="1"/>
  <c r="G295" i="92" a="1"/>
  <c r="G295" i="92" s="1"/>
  <c r="G315" i="93" a="1"/>
  <c r="G315" i="93" s="1"/>
  <c r="D316" i="96" a="1"/>
  <c r="D316" i="96" s="1"/>
  <c r="G309" i="96" a="1"/>
  <c r="G309" i="96" s="1"/>
  <c r="I291" i="97" a="1"/>
  <c r="I291" i="97" s="1"/>
  <c r="D296" i="91" a="1"/>
  <c r="D296" i="91" s="1"/>
  <c r="F297" i="97" a="1"/>
  <c r="F297" i="97" s="1"/>
  <c r="G312" i="97" a="1"/>
  <c r="G312" i="97" s="1"/>
  <c r="F300" i="93" a="1"/>
  <c r="F300" i="93" s="1"/>
  <c r="I304" i="95" a="1"/>
  <c r="I304" i="95" s="1"/>
  <c r="D300" i="97" a="1"/>
  <c r="D300" i="97" s="1"/>
  <c r="I299" i="95" a="1"/>
  <c r="I299" i="95" s="1"/>
  <c r="H316" i="96" a="1"/>
  <c r="H316" i="96" s="1"/>
  <c r="D305" i="96" a="1"/>
  <c r="D305" i="96" s="1"/>
  <c r="F302" i="95" a="1"/>
  <c r="F302" i="95" s="1"/>
  <c r="G305" i="95" a="1"/>
  <c r="G305" i="95" s="1"/>
  <c r="H297" i="91" a="1"/>
  <c r="H297" i="91" s="1"/>
  <c r="H291" i="93" a="1"/>
  <c r="H291" i="93" s="1"/>
  <c r="I306" i="94" a="1"/>
  <c r="I306" i="94" s="1"/>
  <c r="G307" i="91" a="1"/>
  <c r="G307" i="91" s="1"/>
  <c r="H313" i="94" a="1"/>
  <c r="H313" i="94" s="1"/>
  <c r="G305" i="92" a="1"/>
  <c r="G305" i="92" s="1"/>
  <c r="G312" i="93" a="1"/>
  <c r="G312" i="93" s="1"/>
  <c r="F307" i="94" a="1"/>
  <c r="F307" i="94" s="1"/>
  <c r="F311" i="95" a="1"/>
  <c r="F311" i="95" s="1"/>
  <c r="D308" i="97" a="1"/>
  <c r="D308" i="97" s="1"/>
  <c r="I305" i="94" a="1"/>
  <c r="I305" i="94" s="1"/>
  <c r="D303" i="93" a="1"/>
  <c r="D303" i="93" s="1"/>
  <c r="I306" i="93" a="1"/>
  <c r="I306" i="93" s="1"/>
  <c r="F313" i="95" a="1"/>
  <c r="F313" i="95" s="1"/>
  <c r="H304" i="94" a="1"/>
  <c r="H304" i="94" s="1"/>
  <c r="D292" i="91" a="1"/>
  <c r="D292" i="91" s="1"/>
  <c r="H298" i="92" a="1"/>
  <c r="H298" i="92" s="1"/>
  <c r="G299" i="94" a="1"/>
  <c r="G299" i="94" s="1"/>
  <c r="D304" i="95" a="1"/>
  <c r="D304" i="95" s="1"/>
  <c r="D306" i="95" a="1"/>
  <c r="D306" i="95" s="1"/>
  <c r="I303" i="94" a="1"/>
  <c r="I303" i="94" s="1"/>
  <c r="F314" i="97" a="1"/>
  <c r="F314" i="97" s="1"/>
  <c r="I289" i="95" a="1"/>
  <c r="I289" i="95" s="1"/>
  <c r="H312" i="97" a="1"/>
  <c r="H312" i="97" s="1"/>
  <c r="F299" i="91" a="1"/>
  <c r="F299" i="91" s="1"/>
  <c r="D315" i="91" a="1"/>
  <c r="D315" i="91" s="1"/>
  <c r="D311" i="93" a="1"/>
  <c r="D311" i="93" s="1"/>
  <c r="H305" i="94" a="1"/>
  <c r="H305" i="94" s="1"/>
  <c r="F310" i="94" a="1"/>
  <c r="F310" i="94" s="1"/>
  <c r="G296" i="93" a="1"/>
  <c r="G296" i="93" s="1"/>
  <c r="I288" i="97" a="1"/>
  <c r="I288" i="97" s="1"/>
  <c r="H308" i="96" a="1"/>
  <c r="H308" i="96" s="1"/>
  <c r="I299" i="96" a="1"/>
  <c r="I299" i="96" s="1"/>
  <c r="D305" i="91" a="1"/>
  <c r="D305" i="91" s="1"/>
  <c r="H313" i="92" a="1"/>
  <c r="H313" i="92" s="1"/>
  <c r="H309" i="95" a="1"/>
  <c r="H309" i="95" s="1"/>
  <c r="D289" i="93" a="1"/>
  <c r="D289" i="93" s="1"/>
  <c r="D289" i="96" a="1"/>
  <c r="D289" i="96" s="1"/>
  <c r="F313" i="94" a="1"/>
  <c r="F313" i="94" s="1"/>
  <c r="H306" i="93" a="1"/>
  <c r="H306" i="93" s="1"/>
  <c r="D295" i="93" a="1"/>
  <c r="D295" i="93" s="1"/>
  <c r="I293" i="93" a="1"/>
  <c r="I293" i="93" s="1"/>
  <c r="G311" i="91" a="1"/>
  <c r="G311" i="91" s="1"/>
  <c r="F299" i="93" a="1"/>
  <c r="F299" i="93" s="1"/>
  <c r="F314" i="93" a="1"/>
  <c r="F314" i="93" s="1"/>
  <c r="F310" i="95" a="1"/>
  <c r="F310" i="95" s="1"/>
  <c r="D309" i="92" a="1"/>
  <c r="D309" i="92" s="1"/>
  <c r="G313" i="96" a="1"/>
  <c r="G313" i="96" s="1"/>
  <c r="D298" i="96" a="1"/>
  <c r="D298" i="96" s="1"/>
  <c r="I305" i="92" a="1"/>
  <c r="I305" i="92" s="1"/>
  <c r="H308" i="94" a="1"/>
  <c r="H308" i="94" s="1"/>
  <c r="D289" i="91" a="1"/>
  <c r="D289" i="91" s="1"/>
  <c r="F289" i="94" a="1"/>
  <c r="F289" i="94" s="1"/>
  <c r="D300" i="94" a="1"/>
  <c r="D300" i="94" s="1"/>
  <c r="D301" i="96" a="1"/>
  <c r="D301" i="96" s="1"/>
  <c r="D307" i="94" a="1"/>
  <c r="D307" i="94" s="1"/>
  <c r="D295" i="95" a="1"/>
  <c r="D295" i="95" s="1"/>
  <c r="G314" i="95" a="1"/>
  <c r="G314" i="95" s="1"/>
  <c r="D299" i="92" a="1"/>
  <c r="D299" i="92" s="1"/>
  <c r="G298" i="91" a="1"/>
  <c r="G298" i="91" s="1"/>
  <c r="I311" i="93" a="1"/>
  <c r="I311" i="93" s="1"/>
  <c r="H289" i="97" a="1"/>
  <c r="H289" i="97" s="1"/>
  <c r="F315" i="93" a="1"/>
  <c r="F315" i="93" s="1"/>
  <c r="F295" i="93" a="1"/>
  <c r="F295" i="93" s="1"/>
  <c r="D295" i="94" a="1"/>
  <c r="D295" i="94" s="1"/>
  <c r="G306" i="96" a="1"/>
  <c r="G306" i="96" s="1"/>
  <c r="H304" i="97" a="1"/>
  <c r="H304" i="97" s="1"/>
  <c r="H293" i="96" a="1"/>
  <c r="H293" i="96" s="1"/>
  <c r="H301" i="92" a="1"/>
  <c r="H301" i="92" s="1"/>
  <c r="H297" i="95" a="1"/>
  <c r="H297" i="95" s="1"/>
  <c r="I292" i="91" a="1"/>
  <c r="I292" i="91" s="1"/>
  <c r="F304" i="94" a="1"/>
  <c r="F304" i="94" s="1"/>
  <c r="D292" i="93" a="1"/>
  <c r="D292" i="93" s="1"/>
  <c r="I292" i="97" a="1"/>
  <c r="I292" i="97" s="1"/>
  <c r="F310" i="97" a="1"/>
  <c r="F310" i="97" s="1"/>
  <c r="F296" i="96" a="1"/>
  <c r="F296" i="96" s="1"/>
  <c r="I313" i="95" a="1"/>
  <c r="I313" i="95" s="1"/>
  <c r="D307" i="91" a="1"/>
  <c r="D307" i="91" s="1"/>
  <c r="G310" i="94" a="1"/>
  <c r="G310" i="94" s="1"/>
  <c r="I294" i="95" a="1"/>
  <c r="I294" i="95" s="1"/>
  <c r="G293" i="97" a="1"/>
  <c r="G293" i="97" s="1"/>
  <c r="I291" i="93" a="1"/>
  <c r="I291" i="93" s="1"/>
  <c r="H312" i="94" a="1"/>
  <c r="H312" i="94" s="1"/>
  <c r="D311" i="91" a="1"/>
  <c r="D311" i="91" s="1"/>
  <c r="I316" i="92" a="1"/>
  <c r="I316" i="92" s="1"/>
  <c r="G314" i="97" a="1"/>
  <c r="G314" i="97" s="1"/>
  <c r="F316" i="97" a="1"/>
  <c r="F316" i="97" s="1"/>
  <c r="H315" i="93" a="1"/>
  <c r="H315" i="93" s="1"/>
  <c r="F291" i="96" a="1"/>
  <c r="F291" i="96" s="1"/>
  <c r="G308" i="94" a="1"/>
  <c r="G308" i="94" s="1"/>
  <c r="F301" i="91" a="1"/>
  <c r="F301" i="91" s="1"/>
  <c r="H316" i="93" a="1"/>
  <c r="H316" i="93" s="1"/>
  <c r="F312" i="91" a="1"/>
  <c r="F312" i="91" s="1"/>
  <c r="D291" i="91" a="1"/>
  <c r="D291" i="91" s="1"/>
  <c r="H304" i="92" a="1"/>
  <c r="H304" i="92" s="1"/>
  <c r="F303" i="91" a="1"/>
  <c r="F303" i="91" s="1"/>
  <c r="I316" i="94" a="1"/>
  <c r="I316" i="94" s="1"/>
  <c r="I315" i="96" a="1"/>
  <c r="I315" i="96" s="1"/>
  <c r="I299" i="91" a="1"/>
  <c r="I299" i="91" s="1"/>
  <c r="G293" i="93" a="1"/>
  <c r="G293" i="93" s="1"/>
  <c r="I300" i="94" a="1"/>
  <c r="I300" i="94" s="1"/>
  <c r="I303" i="97" a="1"/>
  <c r="I303" i="97" s="1"/>
  <c r="D291" i="94" a="1"/>
  <c r="D291" i="94" s="1"/>
  <c r="F308" i="97" a="1"/>
  <c r="F308" i="97" s="1"/>
  <c r="I309" i="91" a="1"/>
  <c r="I309" i="91" s="1"/>
  <c r="F309" i="93" a="1"/>
  <c r="F309" i="93" s="1"/>
  <c r="D311" i="92" a="1"/>
  <c r="D311" i="92" s="1"/>
  <c r="D294" i="92" a="1"/>
  <c r="D294" i="92" s="1"/>
  <c r="I290" i="97" a="1"/>
  <c r="I290" i="97" s="1"/>
  <c r="F312" i="92" a="1"/>
  <c r="F312" i="92" s="1"/>
  <c r="F295" i="95" a="1"/>
  <c r="F295" i="95" s="1"/>
  <c r="G295" i="94" a="1"/>
  <c r="G295" i="94" s="1"/>
  <c r="I298" i="92" a="1"/>
  <c r="I298" i="92" s="1"/>
  <c r="I295" i="92" a="1"/>
  <c r="I295" i="92" s="1"/>
  <c r="G294" i="95" a="1"/>
  <c r="G294" i="95" s="1"/>
  <c r="I299" i="94" a="1"/>
  <c r="I299" i="94" s="1"/>
  <c r="D302" i="96" a="1"/>
  <c r="D302" i="96" s="1"/>
  <c r="H310" i="91" a="1"/>
  <c r="H310" i="91" s="1"/>
  <c r="I291" i="96" a="1"/>
  <c r="I291" i="96" s="1"/>
  <c r="G289" i="97" a="1"/>
  <c r="G289" i="97" s="1"/>
  <c r="G290" i="94" a="1"/>
  <c r="G290" i="94" s="1"/>
  <c r="H303" i="91" a="1"/>
  <c r="H303" i="91" s="1"/>
  <c r="H308" i="93" a="1"/>
  <c r="H308" i="93" s="1"/>
  <c r="G315" i="91" a="1"/>
  <c r="G315" i="91" s="1"/>
  <c r="I310" i="97" a="1"/>
  <c r="I310" i="97" s="1"/>
  <c r="G301" i="96" a="1"/>
  <c r="G301" i="96" s="1"/>
  <c r="H294" i="91" a="1"/>
  <c r="H294" i="91" s="1"/>
  <c r="I302" i="91" a="1"/>
  <c r="I302" i="91" s="1"/>
  <c r="D294" i="95" a="1"/>
  <c r="D294" i="95" s="1"/>
  <c r="F301" i="96" a="1"/>
  <c r="F301" i="96" s="1"/>
  <c r="G289" i="94" a="1"/>
  <c r="G289" i="94" s="1"/>
  <c r="I312" i="92" a="1"/>
  <c r="I312" i="92" s="1"/>
  <c r="H314" i="94" a="1"/>
  <c r="H314" i="94" s="1"/>
  <c r="I299" i="92" a="1"/>
  <c r="I299" i="92" s="1"/>
  <c r="F310" i="92" a="1"/>
  <c r="F310" i="92" s="1"/>
  <c r="H301" i="97" a="1"/>
  <c r="H301" i="97" s="1"/>
  <c r="I307" i="93" a="1"/>
  <c r="I307" i="93" s="1"/>
  <c r="F294" i="97" a="1"/>
  <c r="F294" i="97" s="1"/>
  <c r="H299" i="97" a="1"/>
  <c r="H299" i="97" s="1"/>
  <c r="F306" i="94" a="1"/>
  <c r="F306" i="94" s="1"/>
  <c r="F300" i="91" a="1"/>
  <c r="F300" i="91" s="1"/>
  <c r="D313" i="92" a="1"/>
  <c r="D313" i="92" s="1"/>
  <c r="H313" i="96" a="1"/>
  <c r="H313" i="96" s="1"/>
  <c r="I292" i="94" a="1"/>
  <c r="I292" i="94" s="1"/>
  <c r="D315" i="92" a="1"/>
  <c r="D315" i="92" s="1"/>
  <c r="F292" i="92" a="1"/>
  <c r="F292" i="92" s="1"/>
  <c r="H303" i="96" a="1"/>
  <c r="H303" i="96" s="1"/>
  <c r="D296" i="92" a="1"/>
  <c r="D296" i="92" s="1"/>
  <c r="H290" i="97" a="1"/>
  <c r="H290" i="97" s="1"/>
  <c r="H312" i="91" a="1"/>
  <c r="H312" i="91" s="1"/>
  <c r="F301" i="97" a="1"/>
  <c r="F301" i="97" s="1"/>
  <c r="F315" i="97" a="1"/>
  <c r="F315" i="97" s="1"/>
  <c r="D298" i="93" a="1"/>
  <c r="D298" i="93" s="1"/>
  <c r="F308" i="92" a="1"/>
  <c r="F308" i="92" s="1"/>
  <c r="H305" i="91" a="1"/>
  <c r="H305" i="91" s="1"/>
  <c r="F294" i="94" a="1"/>
  <c r="F294" i="94" s="1"/>
  <c r="I307" i="95" a="1"/>
  <c r="I307" i="95" s="1"/>
  <c r="G303" i="97" a="1"/>
  <c r="G303" i="97" s="1"/>
  <c r="G300" i="96" a="1"/>
  <c r="G300" i="96" s="1"/>
  <c r="H298" i="93" a="1"/>
  <c r="H298" i="93" s="1"/>
  <c r="G297" i="91" a="1"/>
  <c r="G297" i="91" s="1"/>
  <c r="F314" i="96" a="1"/>
  <c r="F314" i="96" s="1"/>
  <c r="F298" i="95" a="1"/>
  <c r="F298" i="95" s="1"/>
  <c r="H305" i="95" a="1"/>
  <c r="H305" i="95" s="1"/>
  <c r="H299" i="94" a="1"/>
  <c r="H299" i="94" s="1"/>
  <c r="G301" i="93" a="1"/>
  <c r="G301" i="93" s="1"/>
  <c r="I301" i="97" a="1"/>
  <c r="I301" i="97" s="1"/>
  <c r="G296" i="91" a="1"/>
  <c r="G296" i="91" s="1"/>
  <c r="F293" i="96" a="1"/>
  <c r="F293" i="96" s="1"/>
  <c r="H313" i="95" a="1"/>
  <c r="H313" i="95" s="1"/>
  <c r="D292" i="96" a="1"/>
  <c r="D292" i="96" s="1"/>
  <c r="D293" i="94" a="1"/>
  <c r="D293" i="94" s="1"/>
  <c r="F297" i="91" a="1"/>
  <c r="F297" i="91" s="1"/>
  <c r="G311" i="95" a="1"/>
  <c r="G311" i="95" s="1"/>
  <c r="F314" i="92" a="1"/>
  <c r="F314" i="92" s="1"/>
  <c r="I290" i="92" a="1"/>
  <c r="I290" i="92" s="1"/>
  <c r="D316" i="91" a="1"/>
  <c r="D316" i="91" s="1"/>
  <c r="H303" i="93" a="1"/>
  <c r="H303" i="93" s="1"/>
  <c r="G299" i="91" a="1"/>
  <c r="G299" i="91" s="1"/>
  <c r="I301" i="95" a="1"/>
  <c r="I301" i="95" s="1"/>
  <c r="D308" i="92" a="1"/>
  <c r="D308" i="92" s="1"/>
  <c r="D291" i="96" a="1"/>
  <c r="D291" i="96" s="1"/>
  <c r="H309" i="97" a="1"/>
  <c r="H309" i="97" s="1"/>
  <c r="G289" i="91" a="1"/>
  <c r="G289" i="91" s="1"/>
  <c r="D296" i="97" a="1"/>
  <c r="D296" i="97" s="1"/>
  <c r="I307" i="91" a="1"/>
  <c r="I307" i="91" s="1"/>
  <c r="G294" i="94" a="1"/>
  <c r="G294" i="94" s="1"/>
  <c r="I304" i="93" a="1"/>
  <c r="I304" i="93" s="1"/>
  <c r="I294" i="93" a="1"/>
  <c r="I294" i="93" s="1"/>
  <c r="I314" i="93" a="1"/>
  <c r="I314" i="93" s="1"/>
  <c r="H292" i="97" a="1"/>
  <c r="H292" i="97" s="1"/>
  <c r="H306" i="92" a="1"/>
  <c r="H306" i="92" s="1"/>
  <c r="H299" i="93" a="1"/>
  <c r="H299" i="93" s="1"/>
  <c r="D302" i="97" a="1"/>
  <c r="D302" i="97" s="1"/>
  <c r="I309" i="97" a="1"/>
  <c r="I309" i="97" s="1"/>
  <c r="G308" i="91" a="1"/>
  <c r="G308" i="91" s="1"/>
  <c r="I305" i="93" a="1"/>
  <c r="I305" i="93" s="1"/>
  <c r="H306" i="94" a="1"/>
  <c r="H306" i="94" s="1"/>
  <c r="H302" i="92" a="1"/>
  <c r="H302" i="92" s="1"/>
  <c r="F298" i="93" a="1"/>
  <c r="F298" i="93" s="1"/>
  <c r="I291" i="92" a="1"/>
  <c r="I291" i="92" s="1"/>
  <c r="D299" i="96" a="1"/>
  <c r="D299" i="96" s="1"/>
  <c r="F292" i="95" a="1"/>
  <c r="F292" i="95" s="1"/>
  <c r="D299" i="97" a="1"/>
  <c r="D299" i="97" s="1"/>
  <c r="I309" i="93" a="1"/>
  <c r="I309" i="93" s="1"/>
  <c r="H312" i="93" a="1"/>
  <c r="H312" i="93" s="1"/>
  <c r="H295" i="95" a="1"/>
  <c r="H295" i="95" s="1"/>
  <c r="H290" i="94" a="1"/>
  <c r="H290" i="94" s="1"/>
  <c r="F290" i="91" a="1"/>
  <c r="F290" i="91" s="1"/>
  <c r="D295" i="96" a="1"/>
  <c r="D295" i="96" s="1"/>
  <c r="G308" i="97" a="1"/>
  <c r="G308" i="97" s="1"/>
  <c r="H303" i="94" a="1"/>
  <c r="H303" i="94" s="1"/>
  <c r="F307" i="97" a="1"/>
  <c r="F307" i="97" s="1"/>
  <c r="D297" i="91" a="1"/>
  <c r="D297" i="91" s="1"/>
  <c r="D310" i="96" a="1"/>
  <c r="D310" i="96" s="1"/>
  <c r="I308" i="96" a="1"/>
  <c r="I308" i="96" s="1"/>
  <c r="F298" i="91" a="1"/>
  <c r="F298" i="91" s="1"/>
  <c r="F300" i="94" a="1"/>
  <c r="F300" i="94" s="1"/>
  <c r="F298" i="97" a="1"/>
  <c r="F298" i="97" s="1"/>
  <c r="G300" i="97" a="1"/>
  <c r="G300" i="97" s="1"/>
  <c r="H312" i="96" a="1"/>
  <c r="H312" i="96" s="1"/>
  <c r="D298" i="91" a="1"/>
  <c r="D298" i="91" s="1"/>
  <c r="H311" i="92" a="1"/>
  <c r="H311" i="92" s="1"/>
  <c r="D290" i="94" a="1"/>
  <c r="D290" i="94" s="1"/>
  <c r="G316" i="96" a="1"/>
  <c r="G316" i="96" s="1"/>
  <c r="H311" i="93" a="1"/>
  <c r="H311" i="93" s="1"/>
  <c r="I296" i="92" a="1"/>
  <c r="I296" i="92" s="1"/>
  <c r="I296" i="95" a="1"/>
  <c r="I296" i="95" s="1"/>
  <c r="G300" i="93" a="1"/>
  <c r="G300" i="93" s="1"/>
  <c r="G296" i="94" a="1"/>
  <c r="G296" i="94" s="1"/>
  <c r="I316" i="93" a="1"/>
  <c r="I316" i="93" s="1"/>
  <c r="H310" i="96" a="1"/>
  <c r="H310" i="96" s="1"/>
  <c r="G306" i="91" a="1"/>
  <c r="G306" i="91" s="1"/>
  <c r="D316" i="97" a="1"/>
  <c r="D316" i="97" s="1"/>
  <c r="G315" i="92" a="1"/>
  <c r="G315" i="92" s="1"/>
  <c r="I300" i="97" a="1"/>
  <c r="I300" i="97" s="1"/>
  <c r="I304" i="91" a="1"/>
  <c r="I304" i="91" s="1"/>
  <c r="F298" i="94" a="1"/>
  <c r="F298" i="94" s="1"/>
  <c r="I303" i="91" a="1"/>
  <c r="I303" i="91" s="1"/>
  <c r="I290" i="94" a="1"/>
  <c r="I290" i="94" s="1"/>
  <c r="H293" i="97" a="1"/>
  <c r="H293" i="97" s="1"/>
  <c r="H296" i="94" a="1"/>
  <c r="H296" i="94" s="1"/>
  <c r="G315" i="95" a="1"/>
  <c r="G315" i="95" s="1"/>
  <c r="D292" i="94" a="1"/>
  <c r="D292" i="94" s="1"/>
  <c r="H310" i="95" a="1"/>
  <c r="H310" i="95" s="1"/>
  <c r="H302" i="97" a="1"/>
  <c r="H302" i="97" s="1"/>
  <c r="I310" i="96" a="1"/>
  <c r="I310" i="96" s="1"/>
  <c r="H315" i="95" a="1"/>
  <c r="H315" i="95" s="1"/>
  <c r="H311" i="95" a="1"/>
  <c r="H311" i="95" s="1"/>
  <c r="D296" i="95" a="1"/>
  <c r="D296" i="95" s="1"/>
  <c r="F305" i="95" a="1"/>
  <c r="F305" i="95" s="1"/>
  <c r="D300" i="92" a="1"/>
  <c r="D300" i="92" s="1"/>
  <c r="I311" i="97" a="1"/>
  <c r="I311" i="97" s="1"/>
  <c r="H304" i="95" a="1"/>
  <c r="H304" i="95" s="1"/>
  <c r="D298" i="95" a="1"/>
  <c r="D298" i="95" s="1"/>
  <c r="I303" i="95" a="1"/>
  <c r="I303" i="95" s="1"/>
  <c r="F316" i="95" a="1"/>
  <c r="F316" i="95" s="1"/>
  <c r="F290" i="95" a="1"/>
  <c r="F290" i="95" s="1"/>
  <c r="G301" i="97" a="1"/>
  <c r="G301" i="97" s="1"/>
  <c r="F295" i="96" a="1"/>
  <c r="F295" i="96" s="1"/>
  <c r="H301" i="96" a="1"/>
  <c r="H301" i="96" s="1"/>
  <c r="H290" i="95" a="1"/>
  <c r="H290" i="95" s="1"/>
  <c r="D297" i="95" a="1"/>
  <c r="D297" i="95" s="1"/>
  <c r="F291" i="91" a="1"/>
  <c r="F291" i="91" s="1"/>
  <c r="G312" i="94" a="1"/>
  <c r="G312" i="94" s="1"/>
  <c r="H296" i="92" a="1"/>
  <c r="H296" i="92" s="1"/>
  <c r="F299" i="92" a="1"/>
  <c r="F299" i="92" s="1"/>
  <c r="D310" i="95" a="1"/>
  <c r="D310" i="95" s="1"/>
  <c r="D306" i="92" a="1"/>
  <c r="D306" i="92" s="1"/>
  <c r="I308" i="94" a="1"/>
  <c r="I308" i="94" s="1"/>
  <c r="G310" i="96" a="1"/>
  <c r="G310" i="96" s="1"/>
  <c r="I290" i="91" a="1"/>
  <c r="I290" i="91" s="1"/>
  <c r="D312" i="97" a="1"/>
  <c r="D312" i="97" s="1"/>
  <c r="G303" i="91" a="1"/>
  <c r="G303" i="91" s="1"/>
  <c r="F309" i="94" a="1"/>
  <c r="F309" i="94" s="1"/>
  <c r="G290" i="95" a="1"/>
  <c r="G290" i="95" s="1"/>
  <c r="H297" i="94" a="1"/>
  <c r="H297" i="94" s="1"/>
  <c r="F304" i="96" a="1"/>
  <c r="F304" i="96" s="1"/>
  <c r="D290" i="96" a="1"/>
  <c r="D290" i="96" s="1"/>
  <c r="F294" i="93" a="1"/>
  <c r="F294" i="93" s="1"/>
  <c r="D294" i="91" a="1"/>
  <c r="D294" i="91" s="1"/>
  <c r="F311" i="97" a="1"/>
  <c r="F311" i="97" s="1"/>
  <c r="H314" i="97" a="1"/>
  <c r="H314" i="97" s="1"/>
  <c r="D312" i="91" a="1"/>
  <c r="D312" i="91" s="1"/>
  <c r="G310" i="91" a="1"/>
  <c r="G310" i="91" s="1"/>
  <c r="I307" i="94" a="1"/>
  <c r="I307" i="94" s="1"/>
  <c r="H307" i="91" a="1"/>
  <c r="H307" i="91" s="1"/>
  <c r="D313" i="91" a="1"/>
  <c r="D313" i="91" s="1"/>
  <c r="H304" i="91" a="1"/>
  <c r="H304" i="91" s="1"/>
  <c r="G312" i="92" a="1"/>
  <c r="G312" i="92" s="1"/>
  <c r="F292" i="93" a="1"/>
  <c r="F292" i="93" s="1"/>
  <c r="I305" i="96" a="1"/>
  <c r="I305" i="96" s="1"/>
  <c r="F313" i="91" a="1"/>
  <c r="F313" i="91" s="1"/>
  <c r="H292" i="91" a="1"/>
  <c r="H292" i="91" s="1"/>
  <c r="G292" i="95" a="1"/>
  <c r="G292" i="95" s="1"/>
  <c r="D294" i="96" a="1"/>
  <c r="D294" i="96" s="1"/>
  <c r="G311" i="96" a="1"/>
  <c r="G311" i="96" s="1"/>
  <c r="D309" i="95" a="1"/>
  <c r="D309" i="95" s="1"/>
  <c r="H316" i="95" a="1"/>
  <c r="H316" i="95" s="1"/>
  <c r="H292" i="93" a="1"/>
  <c r="H292" i="93" s="1"/>
  <c r="I313" i="93" a="1"/>
  <c r="I313" i="93" s="1"/>
  <c r="B38" i="69" a="1"/>
  <c r="B38" i="69" s="1"/>
  <c r="C38" i="69" a="1"/>
  <c r="C38" i="69" s="1"/>
  <c r="D38" i="69" a="1"/>
  <c r="D38" i="69" s="1"/>
  <c r="H299" i="90" a="1"/>
  <c r="H299" i="90" s="1"/>
  <c r="G316" i="89" a="1"/>
  <c r="G316" i="89" s="1"/>
  <c r="G289" i="83" a="1"/>
  <c r="G289" i="83" s="1"/>
  <c r="I302" i="89" a="1"/>
  <c r="I302" i="89" s="1"/>
  <c r="F292" i="89" a="1"/>
  <c r="F292" i="89" s="1"/>
  <c r="F289" i="89" a="1"/>
  <c r="F289" i="89" s="1"/>
  <c r="I310" i="86" a="1"/>
  <c r="I310" i="86" s="1"/>
  <c r="D306" i="90" a="1"/>
  <c r="D306" i="90" s="1"/>
  <c r="H296" i="86" a="1"/>
  <c r="H296" i="86" s="1"/>
  <c r="H297" i="86" a="1"/>
  <c r="H297" i="86" s="1"/>
  <c r="I291" i="86" a="1"/>
  <c r="I291" i="86" s="1"/>
  <c r="D293" i="85" a="1"/>
  <c r="D293" i="85" s="1"/>
  <c r="D296" i="85" a="1"/>
  <c r="D296" i="85" s="1"/>
  <c r="F295" i="86" a="1"/>
  <c r="F295" i="86" s="1"/>
  <c r="H313" i="83" a="1"/>
  <c r="H313" i="83" s="1"/>
  <c r="D296" i="86" a="1"/>
  <c r="D296" i="86" s="1"/>
  <c r="D291" i="88" a="1"/>
  <c r="D291" i="88" s="1"/>
  <c r="H296" i="88" a="1"/>
  <c r="H296" i="88" s="1"/>
  <c r="D299" i="86" a="1"/>
  <c r="D299" i="86" s="1"/>
  <c r="H301" i="88" a="1"/>
  <c r="H301" i="88" s="1"/>
  <c r="F309" i="86" a="1"/>
  <c r="F309" i="86" s="1"/>
  <c r="I288" i="85" a="1"/>
  <c r="I288" i="85" s="1"/>
  <c r="G294" i="84" a="1"/>
  <c r="G294" i="84" s="1"/>
  <c r="F291" i="83" a="1"/>
  <c r="F291" i="83" s="1"/>
  <c r="G305" i="84" a="1"/>
  <c r="G305" i="84" s="1"/>
  <c r="G314" i="83" a="1"/>
  <c r="G314" i="83" s="1"/>
  <c r="G315" i="89" a="1"/>
  <c r="G315" i="89" s="1"/>
  <c r="I306" i="86" a="1"/>
  <c r="I306" i="86" s="1"/>
  <c r="G310" i="90" a="1"/>
  <c r="G310" i="90" s="1"/>
  <c r="D293" i="90" a="1"/>
  <c r="D293" i="90" s="1"/>
  <c r="G293" i="84" a="1"/>
  <c r="G293" i="84" s="1"/>
  <c r="D299" i="88" a="1"/>
  <c r="D299" i="88" s="1"/>
  <c r="I295" i="90" a="1"/>
  <c r="I295" i="90" s="1"/>
  <c r="D309" i="83" a="1"/>
  <c r="D309" i="83" s="1"/>
  <c r="G310" i="86" a="1"/>
  <c r="G310" i="86" s="1"/>
  <c r="F298" i="82" a="1"/>
  <c r="F298" i="82" s="1"/>
  <c r="F304" i="85" a="1"/>
  <c r="F304" i="85" s="1"/>
  <c r="H315" i="84" a="1"/>
  <c r="H315" i="84" s="1"/>
  <c r="H292" i="82" a="1"/>
  <c r="H292" i="82" s="1"/>
  <c r="D307" i="90" a="1"/>
  <c r="D307" i="90" s="1"/>
  <c r="H303" i="90" a="1"/>
  <c r="H303" i="90" s="1"/>
  <c r="D316" i="85" a="1"/>
  <c r="D316" i="85" s="1"/>
  <c r="G309" i="88" a="1"/>
  <c r="G309" i="88" s="1"/>
  <c r="G315" i="90" a="1"/>
  <c r="G315" i="90" s="1"/>
  <c r="D290" i="85" a="1"/>
  <c r="D290" i="85" s="1"/>
  <c r="D308" i="83" a="1"/>
  <c r="D308" i="83" s="1"/>
  <c r="F302" i="88" a="1"/>
  <c r="F302" i="88" s="1"/>
  <c r="I288" i="83" a="1"/>
  <c r="I288" i="83" s="1"/>
  <c r="H303" i="83" a="1"/>
  <c r="H303" i="83" s="1"/>
  <c r="I300" i="90" a="1"/>
  <c r="I300" i="90" s="1"/>
  <c r="G308" i="86" a="1"/>
  <c r="G308" i="86" s="1"/>
  <c r="G298" i="90" a="1"/>
  <c r="G298" i="90" s="1"/>
  <c r="H290" i="84" a="1"/>
  <c r="H290" i="84" s="1"/>
  <c r="F291" i="90" a="1"/>
  <c r="F291" i="90" s="1"/>
  <c r="I303" i="88" a="1"/>
  <c r="I303" i="88" s="1"/>
  <c r="D310" i="85" a="1"/>
  <c r="D310" i="85" s="1"/>
  <c r="I304" i="88" a="1"/>
  <c r="I304" i="88" s="1"/>
  <c r="F290" i="90" a="1"/>
  <c r="F290" i="90" s="1"/>
  <c r="I294" i="88" a="1"/>
  <c r="I294" i="88" s="1"/>
  <c r="F302" i="89" a="1"/>
  <c r="F302" i="89" s="1"/>
  <c r="D298" i="82" a="1"/>
  <c r="D298" i="82" s="1"/>
  <c r="I289" i="85" a="1"/>
  <c r="I289" i="85" s="1"/>
  <c r="D309" i="86" a="1"/>
  <c r="D309" i="86" s="1"/>
  <c r="G300" i="86" a="1"/>
  <c r="G300" i="86" s="1"/>
  <c r="F316" i="84" a="1"/>
  <c r="F316" i="84" s="1"/>
  <c r="H303" i="89" a="1"/>
  <c r="H303" i="89" s="1"/>
  <c r="H300" i="90" a="1"/>
  <c r="H300" i="90" s="1"/>
  <c r="G314" i="85" a="1"/>
  <c r="G314" i="85" s="1"/>
  <c r="H297" i="89" a="1"/>
  <c r="H297" i="89" s="1"/>
  <c r="G295" i="85" a="1"/>
  <c r="G295" i="85" s="1"/>
  <c r="F307" i="83" a="1"/>
  <c r="F307" i="83" s="1"/>
  <c r="D304" i="90" a="1"/>
  <c r="D304" i="90" s="1"/>
  <c r="I308" i="89" a="1"/>
  <c r="I308" i="89" s="1"/>
  <c r="F302" i="84" a="1"/>
  <c r="F302" i="84" s="1"/>
  <c r="F298" i="88" a="1"/>
  <c r="F298" i="88" s="1"/>
  <c r="F304" i="86" a="1"/>
  <c r="F304" i="86" s="1"/>
  <c r="H303" i="86" a="1"/>
  <c r="H303" i="86" s="1"/>
  <c r="G290" i="86" a="1"/>
  <c r="G290" i="86" s="1"/>
  <c r="I315" i="90" a="1"/>
  <c r="I315" i="90" s="1"/>
  <c r="H306" i="88" a="1"/>
  <c r="H306" i="88" s="1"/>
  <c r="I310" i="90" a="1"/>
  <c r="I310" i="90" s="1"/>
  <c r="I299" i="84" a="1"/>
  <c r="I299" i="84" s="1"/>
  <c r="G295" i="84" a="1"/>
  <c r="G295" i="84" s="1"/>
  <c r="I302" i="88" a="1"/>
  <c r="I302" i="88" s="1"/>
  <c r="G304" i="89" a="1"/>
  <c r="G304" i="89" s="1"/>
  <c r="G301" i="90" a="1"/>
  <c r="G301" i="90" s="1"/>
  <c r="H298" i="90" a="1"/>
  <c r="H298" i="90" s="1"/>
  <c r="D302" i="83" a="1"/>
  <c r="D302" i="83" s="1"/>
  <c r="G313" i="90" a="1"/>
  <c r="G313" i="90" s="1"/>
  <c r="D298" i="89" a="1"/>
  <c r="D298" i="89" s="1"/>
  <c r="G290" i="85" a="1"/>
  <c r="G290" i="85" s="1"/>
  <c r="H311" i="86" a="1"/>
  <c r="H311" i="86" s="1"/>
  <c r="G299" i="83" a="1"/>
  <c r="G299" i="83" s="1"/>
  <c r="D313" i="89" a="1"/>
  <c r="D313" i="89" s="1"/>
  <c r="F305" i="88" a="1"/>
  <c r="F305" i="88" s="1"/>
  <c r="D301" i="89" a="1"/>
  <c r="D301" i="89" s="1"/>
  <c r="F293" i="84" a="1"/>
  <c r="F293" i="84" s="1"/>
  <c r="I304" i="86" a="1"/>
  <c r="I304" i="86" s="1"/>
  <c r="D295" i="83" a="1"/>
  <c r="D295" i="83" s="1"/>
  <c r="G307" i="84" a="1"/>
  <c r="G307" i="84" s="1"/>
  <c r="G312" i="85" a="1"/>
  <c r="G312" i="85" s="1"/>
  <c r="D314" i="85" a="1"/>
  <c r="D314" i="85" s="1"/>
  <c r="H295" i="82" a="1"/>
  <c r="H295" i="82" s="1"/>
  <c r="H306" i="90" a="1"/>
  <c r="H306" i="90" s="1"/>
  <c r="H309" i="84" a="1"/>
  <c r="H309" i="84" s="1"/>
  <c r="H290" i="85" a="1"/>
  <c r="H290" i="85" s="1"/>
  <c r="G312" i="86" a="1"/>
  <c r="G312" i="86" s="1"/>
  <c r="H298" i="83" a="1"/>
  <c r="H298" i="83" s="1"/>
  <c r="H312" i="85" a="1"/>
  <c r="H312" i="85" s="1"/>
  <c r="D310" i="88" a="1"/>
  <c r="D310" i="88" s="1"/>
  <c r="H295" i="90" a="1"/>
  <c r="H295" i="90" s="1"/>
  <c r="D291" i="83" a="1"/>
  <c r="D291" i="83" s="1"/>
  <c r="F291" i="89" a="1"/>
  <c r="F291" i="89" s="1"/>
  <c r="G315" i="86" a="1"/>
  <c r="G315" i="86" s="1"/>
  <c r="G293" i="90" a="1"/>
  <c r="G293" i="90" s="1"/>
  <c r="I308" i="88" a="1"/>
  <c r="I308" i="88" s="1"/>
  <c r="I294" i="84" a="1"/>
  <c r="I294" i="84" s="1"/>
  <c r="D297" i="88" a="1"/>
  <c r="D297" i="88" s="1"/>
  <c r="I308" i="85" a="1"/>
  <c r="I308" i="85" s="1"/>
  <c r="H316" i="90" a="1"/>
  <c r="H316" i="90" s="1"/>
  <c r="I305" i="83" a="1"/>
  <c r="I305" i="83" s="1"/>
  <c r="H304" i="83" a="1"/>
  <c r="H304" i="83" s="1"/>
  <c r="H311" i="88" a="1"/>
  <c r="H311" i="88" s="1"/>
  <c r="D306" i="84" a="1"/>
  <c r="D306" i="84" s="1"/>
  <c r="D314" i="86" a="1"/>
  <c r="D314" i="86" s="1"/>
  <c r="G303" i="88" a="1"/>
  <c r="G303" i="88" s="1"/>
  <c r="I296" i="89" a="1"/>
  <c r="I296" i="89" s="1"/>
  <c r="D293" i="89" a="1"/>
  <c r="D293" i="89" s="1"/>
  <c r="G296" i="84" a="1"/>
  <c r="G296" i="84" s="1"/>
  <c r="G307" i="83" a="1"/>
  <c r="G307" i="83" s="1"/>
  <c r="F297" i="88" a="1"/>
  <c r="F297" i="88" s="1"/>
  <c r="H307" i="88" a="1"/>
  <c r="H307" i="88" s="1"/>
  <c r="F305" i="84" a="1"/>
  <c r="F305" i="84" s="1"/>
  <c r="G298" i="86" a="1"/>
  <c r="G298" i="86" s="1"/>
  <c r="D309" i="89" a="1"/>
  <c r="D309" i="89" s="1"/>
  <c r="G308" i="88" a="1"/>
  <c r="G308" i="88" s="1"/>
  <c r="G291" i="89" a="1"/>
  <c r="G291" i="89" s="1"/>
  <c r="H306" i="85" a="1"/>
  <c r="H306" i="85" s="1"/>
  <c r="D310" i="83" a="1"/>
  <c r="D310" i="83" s="1"/>
  <c r="I296" i="84" a="1"/>
  <c r="I296" i="84" s="1"/>
  <c r="H295" i="83" a="1"/>
  <c r="H295" i="83" s="1"/>
  <c r="I310" i="81" a="1"/>
  <c r="I310" i="81" s="1"/>
  <c r="G303" i="86" a="1"/>
  <c r="G303" i="86" s="1"/>
  <c r="F303" i="85" a="1"/>
  <c r="F303" i="85" s="1"/>
  <c r="G312" i="90" a="1"/>
  <c r="G312" i="90" s="1"/>
  <c r="I295" i="81" a="1"/>
  <c r="I295" i="81" s="1"/>
  <c r="G300" i="88" a="1"/>
  <c r="G300" i="88" s="1"/>
  <c r="H299" i="85" a="1"/>
  <c r="H299" i="85" s="1"/>
  <c r="H312" i="79" a="1"/>
  <c r="H312" i="79" s="1"/>
  <c r="F311" i="89" a="1"/>
  <c r="F311" i="89" s="1"/>
  <c r="H306" i="86" a="1"/>
  <c r="H306" i="86" s="1"/>
  <c r="D307" i="84" a="1"/>
  <c r="D307" i="84" s="1"/>
  <c r="H304" i="85" a="1"/>
  <c r="H304" i="85" s="1"/>
  <c r="G315" i="82" a="1"/>
  <c r="G315" i="82" s="1"/>
  <c r="G309" i="89" a="1"/>
  <c r="G309" i="89" s="1"/>
  <c r="D296" i="90" a="1"/>
  <c r="D296" i="90" s="1"/>
  <c r="D298" i="86" a="1"/>
  <c r="D298" i="86" s="1"/>
  <c r="H316" i="83" a="1"/>
  <c r="H316" i="83" s="1"/>
  <c r="H309" i="85" a="1"/>
  <c r="H309" i="85" s="1"/>
  <c r="G310" i="85" a="1"/>
  <c r="G310" i="85" s="1"/>
  <c r="D300" i="90" a="1"/>
  <c r="D300" i="90" s="1"/>
  <c r="F313" i="85" a="1"/>
  <c r="F313" i="85" s="1"/>
  <c r="I301" i="86" a="1"/>
  <c r="I301" i="86" s="1"/>
  <c r="I298" i="90" a="1"/>
  <c r="I298" i="90" s="1"/>
  <c r="H303" i="82" a="1"/>
  <c r="H303" i="82" s="1"/>
  <c r="I310" i="83" a="1"/>
  <c r="I310" i="83" s="1"/>
  <c r="F306" i="89" a="1"/>
  <c r="F306" i="89" s="1"/>
  <c r="G299" i="82" a="1"/>
  <c r="G299" i="82" s="1"/>
  <c r="I298" i="85" a="1"/>
  <c r="I298" i="85" s="1"/>
  <c r="G297" i="90" a="1"/>
  <c r="G297" i="90" s="1"/>
  <c r="D295" i="88" a="1"/>
  <c r="D295" i="88" s="1"/>
  <c r="I300" i="83" a="1"/>
  <c r="I300" i="83" s="1"/>
  <c r="I301" i="90" a="1"/>
  <c r="I301" i="90" s="1"/>
  <c r="D307" i="88" a="1"/>
  <c r="D307" i="88" s="1"/>
  <c r="F312" i="83" a="1"/>
  <c r="F312" i="83" s="1"/>
  <c r="D310" i="84" a="1"/>
  <c r="D310" i="84" s="1"/>
  <c r="H302" i="86" a="1"/>
  <c r="H302" i="86" s="1"/>
  <c r="G306" i="83" a="1"/>
  <c r="G306" i="83" s="1"/>
  <c r="G299" i="89" a="1"/>
  <c r="G299" i="89" s="1"/>
  <c r="G309" i="84" a="1"/>
  <c r="G309" i="84" s="1"/>
  <c r="I295" i="84" a="1"/>
  <c r="I295" i="84" s="1"/>
  <c r="D301" i="85" a="1"/>
  <c r="D301" i="85" s="1"/>
  <c r="F303" i="88" a="1"/>
  <c r="F303" i="88" s="1"/>
  <c r="D293" i="84" a="1"/>
  <c r="D293" i="84" s="1"/>
  <c r="F311" i="85" a="1"/>
  <c r="F311" i="85" s="1"/>
  <c r="I315" i="88" a="1"/>
  <c r="I315" i="88" s="1"/>
  <c r="F304" i="88" a="1"/>
  <c r="F304" i="88" s="1"/>
  <c r="H292" i="86" a="1"/>
  <c r="H292" i="86" s="1"/>
  <c r="G304" i="84" a="1"/>
  <c r="G304" i="84" s="1"/>
  <c r="H306" i="84" a="1"/>
  <c r="H306" i="84" s="1"/>
  <c r="G296" i="85" a="1"/>
  <c r="G296" i="85" s="1"/>
  <c r="H307" i="85" a="1"/>
  <c r="H307" i="85" s="1"/>
  <c r="I297" i="89" a="1"/>
  <c r="I297" i="89" s="1"/>
  <c r="H314" i="84" a="1"/>
  <c r="H314" i="84" s="1"/>
  <c r="D305" i="84" a="1"/>
  <c r="D305" i="84" s="1"/>
  <c r="F304" i="83" a="1"/>
  <c r="F304" i="83" s="1"/>
  <c r="I304" i="85" a="1"/>
  <c r="I304" i="85" s="1"/>
  <c r="H307" i="84" a="1"/>
  <c r="H307" i="84" s="1"/>
  <c r="G316" i="88" a="1"/>
  <c r="G316" i="88" s="1"/>
  <c r="H315" i="89" a="1"/>
  <c r="H315" i="89" s="1"/>
  <c r="G314" i="88" a="1"/>
  <c r="G314" i="88" s="1"/>
  <c r="D296" i="88" a="1"/>
  <c r="D296" i="88" s="1"/>
  <c r="D311" i="85" a="1"/>
  <c r="D311" i="85" s="1"/>
  <c r="F308" i="88" a="1"/>
  <c r="F308" i="88" s="1"/>
  <c r="I311" i="90" a="1"/>
  <c r="I311" i="90" s="1"/>
  <c r="D303" i="89" a="1"/>
  <c r="D303" i="89" s="1"/>
  <c r="H292" i="84" a="1"/>
  <c r="H292" i="84" s="1"/>
  <c r="G316" i="85" a="1"/>
  <c r="G316" i="85" s="1"/>
  <c r="D313" i="90" a="1"/>
  <c r="D313" i="90" s="1"/>
  <c r="H304" i="88" a="1"/>
  <c r="H304" i="88" s="1"/>
  <c r="F296" i="83" a="1"/>
  <c r="F296" i="83" s="1"/>
  <c r="F310" i="90" a="1"/>
  <c r="F310" i="90" s="1"/>
  <c r="I306" i="83" a="1"/>
  <c r="I306" i="83" s="1"/>
  <c r="F307" i="86" a="1"/>
  <c r="F307" i="86" s="1"/>
  <c r="F305" i="90" a="1"/>
  <c r="F305" i="90" s="1"/>
  <c r="I314" i="85" a="1"/>
  <c r="I314" i="85" s="1"/>
  <c r="F296" i="84" a="1"/>
  <c r="F296" i="84" s="1"/>
  <c r="I306" i="85" a="1"/>
  <c r="I306" i="85" s="1"/>
  <c r="G304" i="90" a="1"/>
  <c r="G304" i="90" s="1"/>
  <c r="G293" i="88" a="1"/>
  <c r="G293" i="88" s="1"/>
  <c r="F314" i="90" a="1"/>
  <c r="F314" i="90" s="1"/>
  <c r="G308" i="89" a="1"/>
  <c r="G308" i="89" s="1"/>
  <c r="H305" i="90" a="1"/>
  <c r="H305" i="90" s="1"/>
  <c r="H301" i="86" a="1"/>
  <c r="H301" i="86" s="1"/>
  <c r="I300" i="86" a="1"/>
  <c r="I300" i="86" s="1"/>
  <c r="F294" i="86" a="1"/>
  <c r="F294" i="86" s="1"/>
  <c r="F316" i="83" a="1"/>
  <c r="F316" i="83" s="1"/>
  <c r="H305" i="85" a="1"/>
  <c r="H305" i="85" s="1"/>
  <c r="I305" i="84" a="1"/>
  <c r="I305" i="84" s="1"/>
  <c r="G306" i="90" a="1"/>
  <c r="G306" i="90" s="1"/>
  <c r="G293" i="83" a="1"/>
  <c r="G293" i="83" s="1"/>
  <c r="F307" i="84" a="1"/>
  <c r="F307" i="84" s="1"/>
  <c r="H299" i="84" a="1"/>
  <c r="H299" i="84" s="1"/>
  <c r="I313" i="84" a="1"/>
  <c r="I313" i="84" s="1"/>
  <c r="H314" i="86" a="1"/>
  <c r="H314" i="86" s="1"/>
  <c r="I301" i="89" a="1"/>
  <c r="I301" i="89" s="1"/>
  <c r="G315" i="85" a="1"/>
  <c r="G315" i="85" s="1"/>
  <c r="I301" i="84" a="1"/>
  <c r="I301" i="84" s="1"/>
  <c r="F302" i="90" a="1"/>
  <c r="F302" i="90" s="1"/>
  <c r="H304" i="90" a="1"/>
  <c r="H304" i="90" s="1"/>
  <c r="I316" i="90" a="1"/>
  <c r="I316" i="90" s="1"/>
  <c r="H296" i="85" a="1"/>
  <c r="H296" i="85" s="1"/>
  <c r="H293" i="89" a="1"/>
  <c r="H293" i="89" s="1"/>
  <c r="D300" i="89" a="1"/>
  <c r="D300" i="89" s="1"/>
  <c r="G294" i="83" a="1"/>
  <c r="G294" i="83" s="1"/>
  <c r="I299" i="86" a="1"/>
  <c r="I299" i="86" s="1"/>
  <c r="H309" i="90" a="1"/>
  <c r="H309" i="90" s="1"/>
  <c r="H311" i="84" a="1"/>
  <c r="H311" i="84" s="1"/>
  <c r="F308" i="84" a="1"/>
  <c r="F308" i="84" s="1"/>
  <c r="D298" i="84" a="1"/>
  <c r="D298" i="84" s="1"/>
  <c r="H294" i="86" a="1"/>
  <c r="H294" i="86" s="1"/>
  <c r="D313" i="83" a="1"/>
  <c r="D313" i="83" s="1"/>
  <c r="H294" i="90" a="1"/>
  <c r="H294" i="90" s="1"/>
  <c r="F297" i="90" a="1"/>
  <c r="F297" i="90" s="1"/>
  <c r="D307" i="82" a="1"/>
  <c r="D307" i="82" s="1"/>
  <c r="F310" i="86" a="1"/>
  <c r="F310" i="86" s="1"/>
  <c r="F300" i="88" a="1"/>
  <c r="F300" i="88" s="1"/>
  <c r="I291" i="88" a="1"/>
  <c r="I291" i="88" s="1"/>
  <c r="H292" i="88" a="1"/>
  <c r="H292" i="88" s="1"/>
  <c r="H292" i="85" a="1"/>
  <c r="H292" i="85" s="1"/>
  <c r="G307" i="86" a="1"/>
  <c r="G307" i="86" s="1"/>
  <c r="G309" i="85" a="1"/>
  <c r="G309" i="85" s="1"/>
  <c r="I316" i="89" a="1"/>
  <c r="I316" i="89" s="1"/>
  <c r="F309" i="85" a="1"/>
  <c r="F309" i="85" s="1"/>
  <c r="G316" i="90" a="1"/>
  <c r="G316" i="90" s="1"/>
  <c r="F313" i="89" a="1"/>
  <c r="F313" i="89" s="1"/>
  <c r="D298" i="90" a="1"/>
  <c r="D298" i="90" s="1"/>
  <c r="F295" i="84" a="1"/>
  <c r="F295" i="84" s="1"/>
  <c r="D312" i="90" a="1"/>
  <c r="D312" i="90" s="1"/>
  <c r="I313" i="86" a="1"/>
  <c r="I313" i="86" s="1"/>
  <c r="I316" i="83" a="1"/>
  <c r="I316" i="83" s="1"/>
  <c r="F302" i="85" a="1"/>
  <c r="F302" i="85" s="1"/>
  <c r="G312" i="88" a="1"/>
  <c r="G312" i="88" s="1"/>
  <c r="I293" i="89" a="1"/>
  <c r="I293" i="89" s="1"/>
  <c r="F294" i="82" a="1"/>
  <c r="F294" i="82" s="1"/>
  <c r="H302" i="85" a="1"/>
  <c r="H302" i="85" s="1"/>
  <c r="D313" i="84" a="1"/>
  <c r="D313" i="84" s="1"/>
  <c r="G300" i="83" a="1"/>
  <c r="G300" i="83" s="1"/>
  <c r="I294" i="85" a="1"/>
  <c r="I294" i="85" s="1"/>
  <c r="I311" i="88" a="1"/>
  <c r="I311" i="88" s="1"/>
  <c r="G312" i="83" a="1"/>
  <c r="G312" i="83" s="1"/>
  <c r="F295" i="89" a="1"/>
  <c r="F295" i="89" s="1"/>
  <c r="F299" i="86" a="1"/>
  <c r="F299" i="86" s="1"/>
  <c r="G295" i="83" a="1"/>
  <c r="G295" i="83" s="1"/>
  <c r="I307" i="86" a="1"/>
  <c r="I307" i="86" s="1"/>
  <c r="F293" i="85" a="1"/>
  <c r="F293" i="85" s="1"/>
  <c r="F299" i="84" a="1"/>
  <c r="F299" i="84" s="1"/>
  <c r="H291" i="88" a="1"/>
  <c r="H291" i="88" s="1"/>
  <c r="F310" i="85" a="1"/>
  <c r="F310" i="85" s="1"/>
  <c r="G308" i="85" a="1"/>
  <c r="G308" i="85" s="1"/>
  <c r="G315" i="88" a="1"/>
  <c r="G315" i="88" s="1"/>
  <c r="D308" i="89" a="1"/>
  <c r="D308" i="89" s="1"/>
  <c r="H291" i="83" a="1"/>
  <c r="H291" i="83" s="1"/>
  <c r="D299" i="83" a="1"/>
  <c r="D299" i="83" s="1"/>
  <c r="I312" i="89" a="1"/>
  <c r="I312" i="89" s="1"/>
  <c r="H315" i="90" a="1"/>
  <c r="H315" i="90" s="1"/>
  <c r="D315" i="83" a="1"/>
  <c r="D315" i="83" s="1"/>
  <c r="D297" i="83" a="1"/>
  <c r="D297" i="83" s="1"/>
  <c r="G301" i="89" a="1"/>
  <c r="G301" i="89" s="1"/>
  <c r="G296" i="89" a="1"/>
  <c r="G296" i="89" s="1"/>
  <c r="D305" i="90" a="1"/>
  <c r="D305" i="90" s="1"/>
  <c r="F300" i="85" a="1"/>
  <c r="F300" i="85" s="1"/>
  <c r="I306" i="84" a="1"/>
  <c r="I306" i="84" s="1"/>
  <c r="F301" i="88" a="1"/>
  <c r="F301" i="88" s="1"/>
  <c r="H295" i="88" a="1"/>
  <c r="H295" i="88" s="1"/>
  <c r="H314" i="89" a="1"/>
  <c r="H314" i="89" s="1"/>
  <c r="H312" i="90" a="1"/>
  <c r="H312" i="90" s="1"/>
  <c r="F296" i="89" a="1"/>
  <c r="F296" i="89" s="1"/>
  <c r="D315" i="90" a="1"/>
  <c r="D315" i="90" s="1"/>
  <c r="I309" i="88" a="1"/>
  <c r="I309" i="88" s="1"/>
  <c r="I311" i="84" a="1"/>
  <c r="I311" i="84" s="1"/>
  <c r="I296" i="88" a="1"/>
  <c r="I296" i="88" s="1"/>
  <c r="D316" i="86" a="1"/>
  <c r="D316" i="86" s="1"/>
  <c r="G291" i="86" a="1"/>
  <c r="G291" i="86" s="1"/>
  <c r="G291" i="82" a="1"/>
  <c r="G291" i="82" s="1"/>
  <c r="F313" i="90" a="1"/>
  <c r="F313" i="90" s="1"/>
  <c r="F299" i="88" a="1"/>
  <c r="F299" i="88" s="1"/>
  <c r="G302" i="83" a="1"/>
  <c r="G302" i="83" s="1"/>
  <c r="G302" i="85" a="1"/>
  <c r="G302" i="85" s="1"/>
  <c r="F293" i="90" a="1"/>
  <c r="F293" i="90" s="1"/>
  <c r="F312" i="90" a="1"/>
  <c r="F312" i="90" s="1"/>
  <c r="D297" i="86" a="1"/>
  <c r="D297" i="86" s="1"/>
  <c r="H311" i="85" a="1"/>
  <c r="H311" i="85" s="1"/>
  <c r="H300" i="89" a="1"/>
  <c r="H300" i="89" s="1"/>
  <c r="I309" i="90" a="1"/>
  <c r="I309" i="90" s="1"/>
  <c r="D314" i="90" a="1"/>
  <c r="D314" i="90" s="1"/>
  <c r="F292" i="90" a="1"/>
  <c r="F292" i="90" s="1"/>
  <c r="I313" i="83" a="1"/>
  <c r="I313" i="83" s="1"/>
  <c r="H296" i="83" a="1"/>
  <c r="H296" i="83" s="1"/>
  <c r="I295" i="83" a="1"/>
  <c r="I295" i="83" s="1"/>
  <c r="D312" i="88" a="1"/>
  <c r="D312" i="88" s="1"/>
  <c r="D294" i="84" a="1"/>
  <c r="D294" i="84" s="1"/>
  <c r="F297" i="85" a="1"/>
  <c r="F297" i="85" s="1"/>
  <c r="F302" i="83" a="1"/>
  <c r="F302" i="83" s="1"/>
  <c r="H312" i="86" a="1"/>
  <c r="H312" i="86" s="1"/>
  <c r="H297" i="90" a="1"/>
  <c r="H297" i="90" s="1"/>
  <c r="F314" i="82" a="1"/>
  <c r="F314" i="82" s="1"/>
  <c r="I309" i="86" a="1"/>
  <c r="I309" i="86" s="1"/>
  <c r="H300" i="88" a="1"/>
  <c r="H300" i="88" s="1"/>
  <c r="H296" i="89" a="1"/>
  <c r="H296" i="89" s="1"/>
  <c r="I291" i="89" a="1"/>
  <c r="I291" i="89" s="1"/>
  <c r="I311" i="86" a="1"/>
  <c r="I311" i="86" s="1"/>
  <c r="D301" i="90" a="1"/>
  <c r="D301" i="90" s="1"/>
  <c r="G313" i="86" a="1"/>
  <c r="G313" i="86" s="1"/>
  <c r="F309" i="89" a="1"/>
  <c r="F309" i="89" s="1"/>
  <c r="H313" i="86" a="1"/>
  <c r="H313" i="86" s="1"/>
  <c r="F306" i="88" a="1"/>
  <c r="F306" i="88" s="1"/>
  <c r="D309" i="90" a="1"/>
  <c r="D309" i="90" s="1"/>
  <c r="I298" i="84" a="1"/>
  <c r="I298" i="84" s="1"/>
  <c r="G301" i="84" a="1"/>
  <c r="G301" i="84" s="1"/>
  <c r="D302" i="86" a="1"/>
  <c r="D302" i="86" s="1"/>
  <c r="F296" i="90" a="1"/>
  <c r="F296" i="90" s="1"/>
  <c r="H312" i="88" a="1"/>
  <c r="H312" i="88" s="1"/>
  <c r="F314" i="89" a="1"/>
  <c r="F314" i="89" s="1"/>
  <c r="D314" i="89" a="1"/>
  <c r="D314" i="89" s="1"/>
  <c r="H295" i="89" a="1"/>
  <c r="H295" i="89" s="1"/>
  <c r="H308" i="83" a="1"/>
  <c r="H308" i="83" s="1"/>
  <c r="D299" i="89" a="1"/>
  <c r="D299" i="89" s="1"/>
  <c r="I308" i="82" a="1"/>
  <c r="I308" i="82" s="1"/>
  <c r="G302" i="86" a="1"/>
  <c r="G302" i="86" s="1"/>
  <c r="G292" i="83" a="1"/>
  <c r="G292" i="83" s="1"/>
  <c r="I299" i="88" a="1"/>
  <c r="I299" i="88" s="1"/>
  <c r="I306" i="88" a="1"/>
  <c r="I306" i="88" s="1"/>
  <c r="I299" i="90" a="1"/>
  <c r="I299" i="90" s="1"/>
  <c r="H314" i="85" a="1"/>
  <c r="H314" i="85" s="1"/>
  <c r="D301" i="88" a="1"/>
  <c r="D301" i="88" s="1"/>
  <c r="H313" i="84" a="1"/>
  <c r="H313" i="84" s="1"/>
  <c r="I294" i="90" a="1"/>
  <c r="I294" i="90" s="1"/>
  <c r="H304" i="89" a="1"/>
  <c r="H304" i="89" s="1"/>
  <c r="I297" i="86" a="1"/>
  <c r="I297" i="86" s="1"/>
  <c r="G303" i="89" a="1"/>
  <c r="G303" i="89" s="1"/>
  <c r="I311" i="83" a="1"/>
  <c r="I311" i="83" s="1"/>
  <c r="F312" i="85" a="1"/>
  <c r="F312" i="85" s="1"/>
  <c r="G310" i="89" a="1"/>
  <c r="G310" i="89" s="1"/>
  <c r="G307" i="90" a="1"/>
  <c r="G307" i="90" s="1"/>
  <c r="H297" i="88" a="1"/>
  <c r="H297" i="88" s="1"/>
  <c r="D294" i="82" a="1"/>
  <c r="D294" i="82" s="1"/>
  <c r="F311" i="82" a="1"/>
  <c r="F311" i="82" s="1"/>
  <c r="H302" i="89" a="1"/>
  <c r="H302" i="89" s="1"/>
  <c r="D304" i="83" a="1"/>
  <c r="D304" i="83" s="1"/>
  <c r="I293" i="88" a="1"/>
  <c r="I293" i="88" s="1"/>
  <c r="F306" i="86" a="1"/>
  <c r="F306" i="86" s="1"/>
  <c r="H291" i="90" a="1"/>
  <c r="H291" i="90" s="1"/>
  <c r="D295" i="90" a="1"/>
  <c r="D295" i="90" s="1"/>
  <c r="F312" i="84" a="1"/>
  <c r="F312" i="84" s="1"/>
  <c r="G305" i="86" a="1"/>
  <c r="G305" i="86" s="1"/>
  <c r="F294" i="89" a="1"/>
  <c r="F294" i="89" s="1"/>
  <c r="I303" i="83" a="1"/>
  <c r="I303" i="83" s="1"/>
  <c r="F310" i="84" a="1"/>
  <c r="F310" i="84" s="1"/>
  <c r="F302" i="82" a="1"/>
  <c r="F302" i="82" s="1"/>
  <c r="I299" i="89" a="1"/>
  <c r="I299" i="89" s="1"/>
  <c r="G304" i="86" a="1"/>
  <c r="G304" i="86" s="1"/>
  <c r="G303" i="83" a="1"/>
  <c r="G303" i="83" s="1"/>
  <c r="H309" i="82" a="1"/>
  <c r="H309" i="82" s="1"/>
  <c r="D309" i="85" a="1"/>
  <c r="D309" i="85" s="1"/>
  <c r="G306" i="88" a="1"/>
  <c r="G306" i="88" s="1"/>
  <c r="D314" i="88" a="1"/>
  <c r="D314" i="88" s="1"/>
  <c r="G292" i="89" a="1"/>
  <c r="G292" i="89" s="1"/>
  <c r="I296" i="85" a="1"/>
  <c r="I296" i="85" s="1"/>
  <c r="H312" i="84" a="1"/>
  <c r="H312" i="84" s="1"/>
  <c r="H307" i="90" a="1"/>
  <c r="H307" i="90" s="1"/>
  <c r="F295" i="88" a="1"/>
  <c r="F295" i="88" s="1"/>
  <c r="H314" i="88" a="1"/>
  <c r="H314" i="88" s="1"/>
  <c r="D301" i="86" a="1"/>
  <c r="D301" i="86" s="1"/>
  <c r="I293" i="90" a="1"/>
  <c r="I293" i="90" s="1"/>
  <c r="I302" i="85" a="1"/>
  <c r="I302" i="85" s="1"/>
  <c r="H298" i="85" a="1"/>
  <c r="H298" i="85" s="1"/>
  <c r="F311" i="88" a="1"/>
  <c r="F311" i="88" s="1"/>
  <c r="D309" i="88" a="1"/>
  <c r="D309" i="88" s="1"/>
  <c r="H303" i="88" a="1"/>
  <c r="H303" i="88" s="1"/>
  <c r="D302" i="88" a="1"/>
  <c r="D302" i="88" s="1"/>
  <c r="D315" i="88" a="1"/>
  <c r="D315" i="88" s="1"/>
  <c r="G305" i="88" a="1"/>
  <c r="G305" i="88" s="1"/>
  <c r="I303" i="89" a="1"/>
  <c r="I303" i="89" s="1"/>
  <c r="G298" i="85" a="1"/>
  <c r="G298" i="85" s="1"/>
  <c r="G297" i="88" a="1"/>
  <c r="G297" i="88" s="1"/>
  <c r="D310" i="90" a="1"/>
  <c r="D310" i="90" s="1"/>
  <c r="I297" i="84" a="1"/>
  <c r="I297" i="84" s="1"/>
  <c r="H313" i="88" a="1"/>
  <c r="H313" i="88" s="1"/>
  <c r="F310" i="88" a="1"/>
  <c r="F310" i="88" s="1"/>
  <c r="D303" i="85" a="1"/>
  <c r="D303" i="85" s="1"/>
  <c r="D307" i="89" a="1"/>
  <c r="D307" i="89" s="1"/>
  <c r="I296" i="83" a="1"/>
  <c r="I296" i="83" s="1"/>
  <c r="I295" i="88" a="1"/>
  <c r="I295" i="88" s="1"/>
  <c r="H301" i="90" a="1"/>
  <c r="H301" i="90" s="1"/>
  <c r="I315" i="84" a="1"/>
  <c r="I315" i="84" s="1"/>
  <c r="G292" i="85" a="1"/>
  <c r="G292" i="85" s="1"/>
  <c r="D292" i="88" a="1"/>
  <c r="D292" i="88" s="1"/>
  <c r="D304" i="86" a="1"/>
  <c r="D304" i="86" s="1"/>
  <c r="D304" i="88" a="1"/>
  <c r="D304" i="88" s="1"/>
  <c r="G315" i="84" a="1"/>
  <c r="G315" i="84" s="1"/>
  <c r="H316" i="84" a="1"/>
  <c r="H316" i="84" s="1"/>
  <c r="I304" i="82" a="1"/>
  <c r="I304" i="82" s="1"/>
  <c r="D310" i="82" a="1"/>
  <c r="D310" i="82" s="1"/>
  <c r="D292" i="90" a="1"/>
  <c r="D292" i="90" s="1"/>
  <c r="I298" i="86" a="1"/>
  <c r="I298" i="86" s="1"/>
  <c r="H303" i="84" a="1"/>
  <c r="H303" i="84" s="1"/>
  <c r="I314" i="84" a="1"/>
  <c r="I314" i="84" s="1"/>
  <c r="I291" i="83" a="1"/>
  <c r="I291" i="83" s="1"/>
  <c r="G300" i="90" a="1"/>
  <c r="G300" i="90" s="1"/>
  <c r="D310" i="89" a="1"/>
  <c r="D310" i="89" s="1"/>
  <c r="G311" i="86" a="1"/>
  <c r="G311" i="86" s="1"/>
  <c r="I305" i="86" a="1"/>
  <c r="I305" i="86" s="1"/>
  <c r="H291" i="84" a="1"/>
  <c r="H291" i="84" s="1"/>
  <c r="F314" i="83" a="1"/>
  <c r="F314" i="83" s="1"/>
  <c r="I293" i="83" a="1"/>
  <c r="I293" i="83" s="1"/>
  <c r="F309" i="84" a="1"/>
  <c r="F309" i="84" s="1"/>
  <c r="G297" i="84" a="1"/>
  <c r="G297" i="84" s="1"/>
  <c r="H300" i="86" a="1"/>
  <c r="H300" i="86" s="1"/>
  <c r="D292" i="84" a="1"/>
  <c r="D292" i="84" s="1"/>
  <c r="F311" i="86" a="1"/>
  <c r="F311" i="86" s="1"/>
  <c r="D313" i="85" a="1"/>
  <c r="D313" i="85" s="1"/>
  <c r="F302" i="86" a="1"/>
  <c r="F302" i="86" s="1"/>
  <c r="F316" i="88" a="1"/>
  <c r="F316" i="88" s="1"/>
  <c r="F316" i="86" a="1"/>
  <c r="F316" i="86" s="1"/>
  <c r="H298" i="89" a="1"/>
  <c r="H298" i="89" s="1"/>
  <c r="D306" i="82" a="1"/>
  <c r="D306" i="82" s="1"/>
  <c r="G296" i="88" a="1"/>
  <c r="G296" i="88" s="1"/>
  <c r="H296" i="90" a="1"/>
  <c r="H296" i="90" s="1"/>
  <c r="F297" i="84" a="1"/>
  <c r="F297" i="84" s="1"/>
  <c r="G316" i="86" a="1"/>
  <c r="G316" i="86" s="1"/>
  <c r="F313" i="84" a="1"/>
  <c r="F313" i="84" s="1"/>
  <c r="F303" i="90" a="1"/>
  <c r="F303" i="90" s="1"/>
  <c r="F293" i="89" a="1"/>
  <c r="F293" i="89" s="1"/>
  <c r="D300" i="84" a="1"/>
  <c r="D300" i="84" s="1"/>
  <c r="D312" i="86" a="1"/>
  <c r="D312" i="86" s="1"/>
  <c r="D297" i="90" a="1"/>
  <c r="D297" i="90" s="1"/>
  <c r="F301" i="84" a="1"/>
  <c r="F301" i="84" s="1"/>
  <c r="I295" i="85" a="1"/>
  <c r="I295" i="85" s="1"/>
  <c r="G302" i="89" a="1"/>
  <c r="G302" i="89" s="1"/>
  <c r="G316" i="83" a="1"/>
  <c r="G316" i="83" s="1"/>
  <c r="G294" i="85" a="1"/>
  <c r="G294" i="85" s="1"/>
  <c r="I301" i="88" a="1"/>
  <c r="I301" i="88" s="1"/>
  <c r="D305" i="86" a="1"/>
  <c r="D305" i="86" s="1"/>
  <c r="D293" i="88" a="1"/>
  <c r="D293" i="88" s="1"/>
  <c r="D308" i="86" a="1"/>
  <c r="D308" i="86" s="1"/>
  <c r="G297" i="85" a="1"/>
  <c r="G297" i="85" s="1"/>
  <c r="F298" i="84" a="1"/>
  <c r="F298" i="84" s="1"/>
  <c r="I303" i="85" a="1"/>
  <c r="I303" i="85" s="1"/>
  <c r="D309" i="84" a="1"/>
  <c r="D309" i="84" s="1"/>
  <c r="H310" i="85" a="1"/>
  <c r="H310" i="85" s="1"/>
  <c r="H314" i="90" a="1"/>
  <c r="H314" i="90" s="1"/>
  <c r="I308" i="84" a="1"/>
  <c r="I308" i="84" s="1"/>
  <c r="G293" i="89" a="1"/>
  <c r="G293" i="89" s="1"/>
  <c r="H311" i="83" a="1"/>
  <c r="H311" i="83" s="1"/>
  <c r="H315" i="88" a="1"/>
  <c r="H315" i="88" s="1"/>
  <c r="F305" i="85" a="1"/>
  <c r="F305" i="85" s="1"/>
  <c r="H295" i="84" a="1"/>
  <c r="H295" i="84" s="1"/>
  <c r="D295" i="85" a="1"/>
  <c r="D295" i="85" s="1"/>
  <c r="G299" i="84" a="1"/>
  <c r="G299" i="84" s="1"/>
  <c r="D294" i="86" a="1"/>
  <c r="D294" i="86" s="1"/>
  <c r="D293" i="86" a="1"/>
  <c r="D293" i="86" s="1"/>
  <c r="I306" i="89" a="1"/>
  <c r="I306" i="89" s="1"/>
  <c r="I313" i="89" a="1"/>
  <c r="I313" i="89" s="1"/>
  <c r="G305" i="89" a="1"/>
  <c r="G305" i="89" s="1"/>
  <c r="I292" i="89" a="1"/>
  <c r="I292" i="89" s="1"/>
  <c r="F315" i="83" a="1"/>
  <c r="F315" i="83" s="1"/>
  <c r="D298" i="88" a="1"/>
  <c r="D298" i="88" s="1"/>
  <c r="H308" i="90" a="1"/>
  <c r="H308" i="90" s="1"/>
  <c r="I307" i="83" a="1"/>
  <c r="I307" i="83" s="1"/>
  <c r="D300" i="86" a="1"/>
  <c r="D300" i="86" s="1"/>
  <c r="F301" i="90" a="1"/>
  <c r="F301" i="90" s="1"/>
  <c r="H301" i="85" a="1"/>
  <c r="H301" i="85" s="1"/>
  <c r="H300" i="85" a="1"/>
  <c r="H300" i="85" s="1"/>
  <c r="G312" i="89" a="1"/>
  <c r="G312" i="89" s="1"/>
  <c r="I291" i="90" a="1"/>
  <c r="I291" i="90" s="1"/>
  <c r="I294" i="83" a="1"/>
  <c r="I294" i="83" s="1"/>
  <c r="F301" i="85" a="1"/>
  <c r="F301" i="85" s="1"/>
  <c r="I299" i="85" a="1"/>
  <c r="I299" i="85" s="1"/>
  <c r="I304" i="89" a="1"/>
  <c r="I304" i="89" s="1"/>
  <c r="I294" i="86" a="1"/>
  <c r="I294" i="86" s="1"/>
  <c r="F298" i="90" a="1"/>
  <c r="F298" i="90" s="1"/>
  <c r="I315" i="89" a="1"/>
  <c r="I315" i="89" s="1"/>
  <c r="D311" i="90" a="1"/>
  <c r="D311" i="90" s="1"/>
  <c r="H305" i="88" a="1"/>
  <c r="H305" i="88" s="1"/>
  <c r="I316" i="88" a="1"/>
  <c r="I316" i="88" s="1"/>
  <c r="F315" i="85" a="1"/>
  <c r="F315" i="85" s="1"/>
  <c r="D307" i="86" a="1"/>
  <c r="D307" i="86" s="1"/>
  <c r="H294" i="88" a="1"/>
  <c r="H294" i="88" s="1"/>
  <c r="I295" i="86" a="1"/>
  <c r="I295" i="86" s="1"/>
  <c r="H315" i="85" a="1"/>
  <c r="H315" i="85" s="1"/>
  <c r="I304" i="84" a="1"/>
  <c r="I304" i="84" s="1"/>
  <c r="G292" i="90" a="1"/>
  <c r="G292" i="90" s="1"/>
  <c r="F295" i="85" a="1"/>
  <c r="F295" i="85" s="1"/>
  <c r="F304" i="89" a="1"/>
  <c r="F304" i="89" s="1"/>
  <c r="F313" i="86" a="1"/>
  <c r="F313" i="86" s="1"/>
  <c r="D303" i="90" a="1"/>
  <c r="D303" i="90" s="1"/>
  <c r="G296" i="86" a="1"/>
  <c r="G296" i="86" s="1"/>
  <c r="F316" i="89" a="1"/>
  <c r="F316" i="89" s="1"/>
  <c r="G313" i="88" a="1"/>
  <c r="G313" i="88" s="1"/>
  <c r="H299" i="88" a="1"/>
  <c r="H299" i="88" s="1"/>
  <c r="I312" i="88" a="1"/>
  <c r="I312" i="88" s="1"/>
  <c r="D300" i="88" a="1"/>
  <c r="D300" i="88" s="1"/>
  <c r="F310" i="89" a="1"/>
  <c r="F310" i="89" s="1"/>
  <c r="F299" i="90" a="1"/>
  <c r="F299" i="90" s="1"/>
  <c r="I293" i="84" a="1"/>
  <c r="I293" i="84" s="1"/>
  <c r="H308" i="82" a="1"/>
  <c r="H308" i="82" s="1"/>
  <c r="I304" i="90" a="1"/>
  <c r="I304" i="90" s="1"/>
  <c r="G292" i="86" a="1"/>
  <c r="G292" i="86" s="1"/>
  <c r="I292" i="84" a="1"/>
  <c r="I292" i="84" s="1"/>
  <c r="H291" i="89" a="1"/>
  <c r="H291" i="89" s="1"/>
  <c r="I310" i="89" a="1"/>
  <c r="I310" i="89" s="1"/>
  <c r="I314" i="88" a="1"/>
  <c r="I314" i="88" s="1"/>
  <c r="H302" i="88" a="1"/>
  <c r="H302" i="88" s="1"/>
  <c r="I313" i="85" a="1"/>
  <c r="I313" i="85" s="1"/>
  <c r="D312" i="85" a="1"/>
  <c r="D312" i="85" s="1"/>
  <c r="D297" i="89" a="1"/>
  <c r="D297" i="89" s="1"/>
  <c r="H293" i="83" a="1"/>
  <c r="H293" i="83" s="1"/>
  <c r="H310" i="90" a="1"/>
  <c r="H310" i="90" s="1"/>
  <c r="I292" i="85" a="1"/>
  <c r="I292" i="85" s="1"/>
  <c r="G306" i="84" a="1"/>
  <c r="G306" i="84" s="1"/>
  <c r="D315" i="85" a="1"/>
  <c r="D315" i="85" s="1"/>
  <c r="F307" i="89" a="1"/>
  <c r="F307" i="89" s="1"/>
  <c r="D303" i="88" a="1"/>
  <c r="D303" i="88" s="1"/>
  <c r="D304" i="84" a="1"/>
  <c r="D304" i="84" s="1"/>
  <c r="G311" i="82" a="1"/>
  <c r="G311" i="82" s="1"/>
  <c r="D295" i="89" a="1"/>
  <c r="D295" i="89" s="1"/>
  <c r="I300" i="85" a="1"/>
  <c r="I300" i="85" s="1"/>
  <c r="F292" i="83" a="1"/>
  <c r="F292" i="83" s="1"/>
  <c r="I309" i="82" a="1"/>
  <c r="I309" i="82" s="1"/>
  <c r="G309" i="90" a="1"/>
  <c r="G309" i="90" s="1"/>
  <c r="G297" i="83" a="1"/>
  <c r="G297" i="83" s="1"/>
  <c r="F304" i="90" a="1"/>
  <c r="F304" i="90" s="1"/>
  <c r="H316" i="89" a="1"/>
  <c r="H316" i="89" s="1"/>
  <c r="I316" i="85" a="1"/>
  <c r="I316" i="85" s="1"/>
  <c r="H299" i="83" a="1"/>
  <c r="H299" i="83" s="1"/>
  <c r="D295" i="86" a="1"/>
  <c r="D295" i="86" s="1"/>
  <c r="F314" i="86" a="1"/>
  <c r="F314" i="86" s="1"/>
  <c r="F301" i="86" a="1"/>
  <c r="F301" i="86" s="1"/>
  <c r="I295" i="89" a="1"/>
  <c r="I295" i="89" s="1"/>
  <c r="H310" i="86" a="1"/>
  <c r="H310" i="86" s="1"/>
  <c r="D313" i="88" a="1"/>
  <c r="D313" i="88" s="1"/>
  <c r="D302" i="84" a="1"/>
  <c r="D302" i="84" s="1"/>
  <c r="F292" i="85" a="1"/>
  <c r="F292" i="85" s="1"/>
  <c r="H293" i="84" a="1"/>
  <c r="H293" i="84" s="1"/>
  <c r="F310" i="83" a="1"/>
  <c r="F310" i="83" s="1"/>
  <c r="H313" i="85" a="1"/>
  <c r="H313" i="85" s="1"/>
  <c r="G307" i="85" a="1"/>
  <c r="G307" i="85" s="1"/>
  <c r="I315" i="83" a="1"/>
  <c r="I315" i="83" s="1"/>
  <c r="D315" i="89" a="1"/>
  <c r="D315" i="89" s="1"/>
  <c r="I292" i="88" a="1"/>
  <c r="I292" i="88" s="1"/>
  <c r="I310" i="88" a="1"/>
  <c r="I310" i="88" s="1"/>
  <c r="G291" i="88" a="1"/>
  <c r="G291" i="88" s="1"/>
  <c r="G314" i="89" a="1"/>
  <c r="G314" i="89" s="1"/>
  <c r="F307" i="90" a="1"/>
  <c r="F307" i="90" s="1"/>
  <c r="I313" i="90" a="1"/>
  <c r="I313" i="90" s="1"/>
  <c r="G291" i="85" a="1"/>
  <c r="G291" i="85" s="1"/>
  <c r="H307" i="89" a="1"/>
  <c r="H307" i="89" s="1"/>
  <c r="I315" i="86" a="1"/>
  <c r="I315" i="86" s="1"/>
  <c r="H310" i="84" a="1"/>
  <c r="H310" i="84" s="1"/>
  <c r="H292" i="90" a="1"/>
  <c r="H292" i="90" s="1"/>
  <c r="H310" i="83" a="1"/>
  <c r="H310" i="83" s="1"/>
  <c r="I311" i="85" a="1"/>
  <c r="I311" i="85" s="1"/>
  <c r="G299" i="85" a="1"/>
  <c r="G299" i="85" s="1"/>
  <c r="I298" i="83" a="1"/>
  <c r="I298" i="83" s="1"/>
  <c r="G311" i="89" a="1"/>
  <c r="G311" i="89" s="1"/>
  <c r="I308" i="90" a="1"/>
  <c r="I308" i="90" s="1"/>
  <c r="I302" i="86" a="1"/>
  <c r="I302" i="86" s="1"/>
  <c r="I302" i="90" a="1"/>
  <c r="I302" i="90" s="1"/>
  <c r="G294" i="90" a="1"/>
  <c r="G294" i="90" s="1"/>
  <c r="F298" i="83" a="1"/>
  <c r="F298" i="83" s="1"/>
  <c r="I308" i="86" a="1"/>
  <c r="I308" i="86" s="1"/>
  <c r="I316" i="84" a="1"/>
  <c r="I316" i="84" s="1"/>
  <c r="D310" i="86" a="1"/>
  <c r="D310" i="86" s="1"/>
  <c r="I308" i="83" a="1"/>
  <c r="I308" i="83" s="1"/>
  <c r="I306" i="90" a="1"/>
  <c r="I306" i="90" s="1"/>
  <c r="F314" i="85" a="1"/>
  <c r="F314" i="85" s="1"/>
  <c r="I300" i="84" a="1"/>
  <c r="I300" i="84" s="1"/>
  <c r="G314" i="90" a="1"/>
  <c r="G314" i="90" s="1"/>
  <c r="H298" i="84" a="1"/>
  <c r="H298" i="84" s="1"/>
  <c r="F297" i="89" a="1"/>
  <c r="F297" i="89" s="1"/>
  <c r="I292" i="90" a="1"/>
  <c r="I292" i="90" s="1"/>
  <c r="I307" i="84" a="1"/>
  <c r="I307" i="84" s="1"/>
  <c r="F316" i="85" a="1"/>
  <c r="F316" i="85" s="1"/>
  <c r="G313" i="89" a="1"/>
  <c r="G313" i="89" s="1"/>
  <c r="D299" i="84" a="1"/>
  <c r="D299" i="84" s="1"/>
  <c r="F308" i="90" a="1"/>
  <c r="F308" i="90" s="1"/>
  <c r="D306" i="88" a="1"/>
  <c r="D306" i="88" s="1"/>
  <c r="H309" i="86" a="1"/>
  <c r="H309" i="86" s="1"/>
  <c r="I301" i="85" a="1"/>
  <c r="I301" i="85" s="1"/>
  <c r="G312" i="84" a="1"/>
  <c r="G312" i="84" s="1"/>
  <c r="I314" i="90" a="1"/>
  <c r="I314" i="90" s="1"/>
  <c r="G309" i="83" a="1"/>
  <c r="G309" i="83" s="1"/>
  <c r="I309" i="89" a="1"/>
  <c r="I309" i="89" s="1"/>
  <c r="I307" i="89" a="1"/>
  <c r="I307" i="89" s="1"/>
  <c r="G310" i="83" a="1"/>
  <c r="G310" i="83" s="1"/>
  <c r="D292" i="89" a="1"/>
  <c r="D292" i="89" s="1"/>
  <c r="I301" i="83" a="1"/>
  <c r="I301" i="83" s="1"/>
  <c r="I294" i="82" a="1"/>
  <c r="I294" i="82" s="1"/>
  <c r="H311" i="90" a="1"/>
  <c r="H311" i="90" s="1"/>
  <c r="H298" i="88" a="1"/>
  <c r="H298" i="88" s="1"/>
  <c r="G307" i="89" a="1"/>
  <c r="G307" i="89" s="1"/>
  <c r="F304" i="84" a="1"/>
  <c r="F304" i="84" s="1"/>
  <c r="D298" i="85" a="1"/>
  <c r="D298" i="85" s="1"/>
  <c r="H306" i="89" a="1"/>
  <c r="H306" i="89" s="1"/>
  <c r="F314" i="88" a="1"/>
  <c r="F314" i="88" s="1"/>
  <c r="G301" i="83" a="1"/>
  <c r="G301" i="83" s="1"/>
  <c r="D303" i="86" a="1"/>
  <c r="D303" i="86" s="1"/>
  <c r="F312" i="89" a="1"/>
  <c r="F312" i="89" s="1"/>
  <c r="H298" i="86" a="1"/>
  <c r="H298" i="86" s="1"/>
  <c r="F306" i="85" a="1"/>
  <c r="F306" i="85" s="1"/>
  <c r="G298" i="88" a="1"/>
  <c r="G298" i="88" s="1"/>
  <c r="F292" i="86" a="1"/>
  <c r="F292" i="86" s="1"/>
  <c r="G306" i="86" a="1"/>
  <c r="G306" i="86" s="1"/>
  <c r="F311" i="90" a="1"/>
  <c r="F311" i="90" s="1"/>
  <c r="F308" i="85" a="1"/>
  <c r="F308" i="85" s="1"/>
  <c r="I303" i="84" a="1"/>
  <c r="I303" i="84" s="1"/>
  <c r="D294" i="88" a="1"/>
  <c r="D294" i="88" s="1"/>
  <c r="D311" i="83" a="1"/>
  <c r="D311" i="83" s="1"/>
  <c r="F299" i="89" a="1"/>
  <c r="F299" i="89" s="1"/>
  <c r="H305" i="83" a="1"/>
  <c r="H305" i="83" s="1"/>
  <c r="F311" i="84" a="1"/>
  <c r="F311" i="84" s="1"/>
  <c r="H297" i="85" a="1"/>
  <c r="H297" i="85" s="1"/>
  <c r="D316" i="88" a="1"/>
  <c r="D316" i="88" s="1"/>
  <c r="F293" i="83" a="1"/>
  <c r="F293" i="83" s="1"/>
  <c r="D311" i="89" a="1"/>
  <c r="D311" i="89" s="1"/>
  <c r="I291" i="84" a="1"/>
  <c r="I291" i="84" s="1"/>
  <c r="G311" i="84" a="1"/>
  <c r="G311" i="84" s="1"/>
  <c r="F299" i="82" a="1"/>
  <c r="F299" i="82" s="1"/>
  <c r="H309" i="88" a="1"/>
  <c r="H309" i="88" s="1"/>
  <c r="G294" i="88" a="1"/>
  <c r="G294" i="88" s="1"/>
  <c r="D292" i="83" a="1"/>
  <c r="D292" i="83" s="1"/>
  <c r="I310" i="85" a="1"/>
  <c r="I310" i="85" s="1"/>
  <c r="G296" i="83" a="1"/>
  <c r="G296" i="83" s="1"/>
  <c r="I307" i="85" a="1"/>
  <c r="I307" i="85" s="1"/>
  <c r="H296" i="84" a="1"/>
  <c r="H296" i="84" s="1"/>
  <c r="D307" i="85" a="1"/>
  <c r="D307" i="85" s="1"/>
  <c r="G303" i="90" a="1"/>
  <c r="G303" i="90" s="1"/>
  <c r="D316" i="90" a="1"/>
  <c r="D316" i="90" s="1"/>
  <c r="D312" i="83" a="1"/>
  <c r="D312" i="83" s="1"/>
  <c r="D308" i="84" a="1"/>
  <c r="D308" i="84" s="1"/>
  <c r="G301" i="88" a="1"/>
  <c r="G301" i="88" s="1"/>
  <c r="I312" i="86" a="1"/>
  <c r="I312" i="86" s="1"/>
  <c r="G298" i="89" a="1"/>
  <c r="G298" i="89" s="1"/>
  <c r="G311" i="90" a="1"/>
  <c r="G311" i="90" s="1"/>
  <c r="D294" i="89" a="1"/>
  <c r="D294" i="89" s="1"/>
  <c r="G301" i="86" a="1"/>
  <c r="G301" i="86" s="1"/>
  <c r="D299" i="90" a="1"/>
  <c r="D299" i="90" s="1"/>
  <c r="I309" i="84" a="1"/>
  <c r="I309" i="84" s="1"/>
  <c r="H295" i="86" a="1"/>
  <c r="H295" i="86" s="1"/>
  <c r="D306" i="83" a="1"/>
  <c r="D306" i="83" s="1"/>
  <c r="D311" i="88" a="1"/>
  <c r="D311" i="88" s="1"/>
  <c r="I313" i="88" a="1"/>
  <c r="I313" i="88" s="1"/>
  <c r="F303" i="84" a="1"/>
  <c r="F303" i="84" s="1"/>
  <c r="G314" i="84" a="1"/>
  <c r="G314" i="84" s="1"/>
  <c r="H291" i="86" a="1"/>
  <c r="H291" i="86" s="1"/>
  <c r="I297" i="82" a="1"/>
  <c r="I297" i="82" s="1"/>
  <c r="I296" i="86" a="1"/>
  <c r="I296" i="86" s="1"/>
  <c r="G298" i="84" a="1"/>
  <c r="G298" i="84" s="1"/>
  <c r="F309" i="83" a="1"/>
  <c r="F309" i="83" s="1"/>
  <c r="I300" i="88" a="1"/>
  <c r="I300" i="88" s="1"/>
  <c r="H294" i="85" a="1"/>
  <c r="H294" i="85" s="1"/>
  <c r="G304" i="85" a="1"/>
  <c r="G304" i="85" s="1"/>
  <c r="F303" i="86" a="1"/>
  <c r="F303" i="86" s="1"/>
  <c r="I292" i="86" a="1"/>
  <c r="I292" i="86" s="1"/>
  <c r="F307" i="85" a="1"/>
  <c r="F307" i="85" s="1"/>
  <c r="H308" i="86" a="1"/>
  <c r="H308" i="86" s="1"/>
  <c r="F312" i="86" a="1"/>
  <c r="F312" i="86" s="1"/>
  <c r="I316" i="86" a="1"/>
  <c r="I316" i="86" s="1"/>
  <c r="H293" i="86" a="1"/>
  <c r="H293" i="86" s="1"/>
  <c r="F300" i="86" a="1"/>
  <c r="F300" i="86" s="1"/>
  <c r="H293" i="88" a="1"/>
  <c r="H293" i="88" s="1"/>
  <c r="F316" i="90" a="1"/>
  <c r="F316" i="90" s="1"/>
  <c r="I303" i="90" a="1"/>
  <c r="I303" i="90" s="1"/>
  <c r="D300" i="85" a="1"/>
  <c r="D300" i="85" s="1"/>
  <c r="D311" i="86" a="1"/>
  <c r="D311" i="86" s="1"/>
  <c r="D315" i="86" a="1"/>
  <c r="D315" i="86" s="1"/>
  <c r="D305" i="85" a="1"/>
  <c r="D305" i="85" s="1"/>
  <c r="F297" i="86" a="1"/>
  <c r="F297" i="86" s="1"/>
  <c r="F303" i="89" a="1"/>
  <c r="F303" i="89" s="1"/>
  <c r="H302" i="90" a="1"/>
  <c r="H302" i="90" s="1"/>
  <c r="I312" i="85" a="1"/>
  <c r="I312" i="85" s="1"/>
  <c r="D302" i="90" a="1"/>
  <c r="D302" i="90" s="1"/>
  <c r="I294" i="89" a="1"/>
  <c r="I294" i="89" s="1"/>
  <c r="I314" i="86" a="1"/>
  <c r="I314" i="86" s="1"/>
  <c r="I298" i="89" a="1"/>
  <c r="I298" i="89" s="1"/>
  <c r="G305" i="90" a="1"/>
  <c r="G305" i="90" s="1"/>
  <c r="I305" i="90" a="1"/>
  <c r="I305" i="90" s="1"/>
  <c r="D296" i="89" a="1"/>
  <c r="D296" i="89" s="1"/>
  <c r="H305" i="86" a="1"/>
  <c r="H305" i="86" s="1"/>
  <c r="H306" i="83" a="1"/>
  <c r="H306" i="83" s="1"/>
  <c r="F294" i="83" a="1"/>
  <c r="F294" i="83" s="1"/>
  <c r="D306" i="85" a="1"/>
  <c r="D306" i="85" s="1"/>
  <c r="G303" i="82" a="1"/>
  <c r="G303" i="82" s="1"/>
  <c r="H311" i="89" a="1"/>
  <c r="H311" i="89" s="1"/>
  <c r="G302" i="90" a="1"/>
  <c r="G302" i="90" s="1"/>
  <c r="G300" i="89" a="1"/>
  <c r="G300" i="89" s="1"/>
  <c r="D308" i="85" a="1"/>
  <c r="D308" i="85" s="1"/>
  <c r="D304" i="89" a="1"/>
  <c r="D304" i="89" s="1"/>
  <c r="G308" i="90" a="1"/>
  <c r="G308" i="90" s="1"/>
  <c r="D302" i="85" a="1"/>
  <c r="D302" i="85" s="1"/>
  <c r="H301" i="89" a="1"/>
  <c r="H301" i="89" s="1"/>
  <c r="I305" i="88" a="1"/>
  <c r="I305" i="88" s="1"/>
  <c r="D304" i="85" a="1"/>
  <c r="D304" i="85" s="1"/>
  <c r="F294" i="85" a="1"/>
  <c r="F294" i="85" s="1"/>
  <c r="G305" i="85" a="1"/>
  <c r="G305" i="85" s="1"/>
  <c r="F295" i="90" a="1"/>
  <c r="F295" i="90" s="1"/>
  <c r="I293" i="85" a="1"/>
  <c r="I293" i="85" s="1"/>
  <c r="I297" i="88" a="1"/>
  <c r="I297" i="88" s="1"/>
  <c r="D297" i="85" a="1"/>
  <c r="D297" i="85" s="1"/>
  <c r="F295" i="83" a="1"/>
  <c r="F295" i="83" s="1"/>
  <c r="F315" i="90" a="1"/>
  <c r="F315" i="90" s="1"/>
  <c r="G296" i="90" a="1"/>
  <c r="G296" i="90" s="1"/>
  <c r="G311" i="88" a="1"/>
  <c r="G311" i="88" s="1"/>
  <c r="D316" i="84" a="1"/>
  <c r="D316" i="84" s="1"/>
  <c r="G295" i="89" a="1"/>
  <c r="G295" i="89" s="1"/>
  <c r="G297" i="89" a="1"/>
  <c r="G297" i="89" s="1"/>
  <c r="D308" i="88" a="1"/>
  <c r="D308" i="88" s="1"/>
  <c r="G291" i="84" a="1"/>
  <c r="G291" i="84" s="1"/>
  <c r="H301" i="83" a="1"/>
  <c r="H301" i="83" s="1"/>
  <c r="I312" i="90" a="1"/>
  <c r="I312" i="90" s="1"/>
  <c r="G304" i="88" a="1"/>
  <c r="G304" i="88" s="1"/>
  <c r="G293" i="86" a="1"/>
  <c r="G293" i="86" s="1"/>
  <c r="H294" i="83" a="1"/>
  <c r="H294" i="83" s="1"/>
  <c r="F303" i="82" a="1"/>
  <c r="F303" i="82" s="1"/>
  <c r="G300" i="84" a="1"/>
  <c r="G300" i="84" s="1"/>
  <c r="G303" i="84" a="1"/>
  <c r="G303" i="84" s="1"/>
  <c r="F292" i="88" a="1"/>
  <c r="F292" i="88" s="1"/>
  <c r="F305" i="86" a="1"/>
  <c r="F305" i="86" s="1"/>
  <c r="H305" i="89" a="1"/>
  <c r="H305" i="89" s="1"/>
  <c r="D312" i="89" a="1"/>
  <c r="D312" i="89" s="1"/>
  <c r="G311" i="83" a="1"/>
  <c r="G311" i="83" s="1"/>
  <c r="F308" i="89" a="1"/>
  <c r="F308" i="89" s="1"/>
  <c r="F296" i="86" a="1"/>
  <c r="F296" i="86" s="1"/>
  <c r="F298" i="86" a="1"/>
  <c r="F298" i="86" s="1"/>
  <c r="H315" i="79" a="1"/>
  <c r="H315" i="79" s="1"/>
  <c r="F299" i="83" a="1"/>
  <c r="F299" i="83" s="1"/>
  <c r="F292" i="84" a="1"/>
  <c r="F292" i="84" s="1"/>
  <c r="D306" i="86" a="1"/>
  <c r="D306" i="86" s="1"/>
  <c r="F315" i="86" a="1"/>
  <c r="F315" i="86" s="1"/>
  <c r="F300" i="89" a="1"/>
  <c r="F300" i="89" s="1"/>
  <c r="F315" i="84" a="1"/>
  <c r="F315" i="84" s="1"/>
  <c r="I300" i="89" a="1"/>
  <c r="I300" i="89" s="1"/>
  <c r="D292" i="86" a="1"/>
  <c r="D292" i="86" s="1"/>
  <c r="F298" i="85" a="1"/>
  <c r="F298" i="85" s="1"/>
  <c r="D293" i="83" a="1"/>
  <c r="D293" i="83" s="1"/>
  <c r="F308" i="86" a="1"/>
  <c r="F308" i="86" s="1"/>
  <c r="F298" i="89" a="1"/>
  <c r="F298" i="89" s="1"/>
  <c r="G299" i="90" a="1"/>
  <c r="G299" i="90" s="1"/>
  <c r="I309" i="85" a="1"/>
  <c r="I309" i="85" s="1"/>
  <c r="D313" i="86" a="1"/>
  <c r="D313" i="86" s="1"/>
  <c r="G313" i="85" a="1"/>
  <c r="G313" i="85" s="1"/>
  <c r="H299" i="86" a="1"/>
  <c r="H299" i="86" s="1"/>
  <c r="F315" i="80" a="1"/>
  <c r="F315" i="80" s="1"/>
  <c r="H310" i="88" a="1"/>
  <c r="H310" i="88" s="1"/>
  <c r="H308" i="85" a="1"/>
  <c r="H308" i="85" s="1"/>
  <c r="H291" i="82" a="1"/>
  <c r="H291" i="82" s="1"/>
  <c r="H316" i="88" a="1"/>
  <c r="H316" i="88" s="1"/>
  <c r="H304" i="84" a="1"/>
  <c r="H304" i="84" s="1"/>
  <c r="D311" i="84" a="1"/>
  <c r="D311" i="84" s="1"/>
  <c r="H315" i="82" a="1"/>
  <c r="H315" i="82" s="1"/>
  <c r="G310" i="82" a="1"/>
  <c r="G310" i="82" s="1"/>
  <c r="F293" i="88" a="1"/>
  <c r="F293" i="88" s="1"/>
  <c r="D316" i="89" a="1"/>
  <c r="D316" i="89" s="1"/>
  <c r="D306" i="89" a="1"/>
  <c r="D306" i="89" s="1"/>
  <c r="G304" i="83" a="1"/>
  <c r="G304" i="83" s="1"/>
  <c r="F294" i="88" a="1"/>
  <c r="F294" i="88" s="1"/>
  <c r="D302" i="89" a="1"/>
  <c r="D302" i="89" s="1"/>
  <c r="H314" i="83" a="1"/>
  <c r="H314" i="83" s="1"/>
  <c r="I298" i="88" a="1"/>
  <c r="I298" i="88" s="1"/>
  <c r="I304" i="83" a="1"/>
  <c r="I304" i="83" s="1"/>
  <c r="G295" i="90" a="1"/>
  <c r="G295" i="90" s="1"/>
  <c r="D297" i="34" a="1"/>
  <c r="D297" i="34" s="1"/>
  <c r="D314" i="84" a="1"/>
  <c r="D314" i="84" s="1"/>
  <c r="D301" i="84" a="1"/>
  <c r="D301" i="84" s="1"/>
  <c r="G307" i="88" a="1"/>
  <c r="G307" i="88" s="1"/>
  <c r="H294" i="89" a="1"/>
  <c r="H294" i="89" s="1"/>
  <c r="H313" i="90" a="1"/>
  <c r="H313" i="90" s="1"/>
  <c r="D295" i="84" a="1"/>
  <c r="D295" i="84" s="1"/>
  <c r="F294" i="84" a="1"/>
  <c r="F294" i="84" s="1"/>
  <c r="D305" i="89" a="1"/>
  <c r="D305" i="89" s="1"/>
  <c r="G306" i="89" a="1"/>
  <c r="G306" i="89" s="1"/>
  <c r="H316" i="85" a="1"/>
  <c r="H316" i="85" s="1"/>
  <c r="G292" i="84" a="1"/>
  <c r="G292" i="84" s="1"/>
  <c r="G302" i="88" a="1"/>
  <c r="G302" i="88" s="1"/>
  <c r="H304" i="86" a="1"/>
  <c r="H304" i="86" s="1"/>
  <c r="F315" i="89" a="1"/>
  <c r="F315" i="89" s="1"/>
  <c r="G291" i="90" a="1"/>
  <c r="G291" i="90" s="1"/>
  <c r="G292" i="88" a="1"/>
  <c r="G292" i="88" s="1"/>
  <c r="F305" i="89" a="1"/>
  <c r="F305" i="89" s="1"/>
  <c r="H308" i="89" a="1"/>
  <c r="H308" i="89" s="1"/>
  <c r="F296" i="88" a="1"/>
  <c r="F296" i="88" s="1"/>
  <c r="I311" i="89" a="1"/>
  <c r="I311" i="89" s="1"/>
  <c r="G309" i="86" a="1"/>
  <c r="G309" i="86" s="1"/>
  <c r="H291" i="85" a="1"/>
  <c r="H291" i="85" s="1"/>
  <c r="H307" i="86" a="1"/>
  <c r="H307" i="86" s="1"/>
  <c r="G313" i="84" a="1"/>
  <c r="G313" i="84" s="1"/>
  <c r="H308" i="88" a="1"/>
  <c r="H308" i="88" s="1"/>
  <c r="F301" i="89" a="1"/>
  <c r="F301" i="89" s="1"/>
  <c r="F300" i="84" a="1"/>
  <c r="F300" i="84" s="1"/>
  <c r="I297" i="83" a="1"/>
  <c r="I297" i="83" s="1"/>
  <c r="F313" i="88" a="1"/>
  <c r="F313" i="88" s="1"/>
  <c r="F300" i="78" a="1"/>
  <c r="F300" i="78" s="1"/>
  <c r="G312" i="82" a="1"/>
  <c r="G312" i="82" s="1"/>
  <c r="H292" i="89" a="1"/>
  <c r="H292" i="89" s="1"/>
  <c r="H293" i="90" a="1"/>
  <c r="H293" i="90" s="1"/>
  <c r="G299" i="88" a="1"/>
  <c r="G299" i="88" s="1"/>
  <c r="I315" i="85" a="1"/>
  <c r="I315" i="85" s="1"/>
  <c r="G296" i="82" a="1"/>
  <c r="G296" i="82" s="1"/>
  <c r="F309" i="90" a="1"/>
  <c r="F309" i="90" s="1"/>
  <c r="G299" i="86" a="1"/>
  <c r="G299" i="86" s="1"/>
  <c r="H293" i="85" a="1"/>
  <c r="H293" i="85" s="1"/>
  <c r="I305" i="89" a="1"/>
  <c r="I305" i="89" s="1"/>
  <c r="D294" i="83" a="1"/>
  <c r="D294" i="83" s="1"/>
  <c r="I303" i="86" a="1"/>
  <c r="I303" i="86" s="1"/>
  <c r="D298" i="83" a="1"/>
  <c r="D298" i="83" s="1"/>
  <c r="F306" i="90" a="1"/>
  <c r="F306" i="90" s="1"/>
  <c r="I296" i="90" a="1"/>
  <c r="I296" i="90" s="1"/>
  <c r="I300" i="82" a="1"/>
  <c r="I300" i="82" s="1"/>
  <c r="H313" i="89" a="1"/>
  <c r="H313" i="89" s="1"/>
  <c r="D315" i="84" a="1"/>
  <c r="D315" i="84" s="1"/>
  <c r="F300" i="90" a="1"/>
  <c r="F300" i="90" s="1"/>
  <c r="H299" i="89" a="1"/>
  <c r="H299" i="89" s="1"/>
  <c r="I307" i="88" a="1"/>
  <c r="I307" i="88" s="1"/>
  <c r="D308" i="90" a="1"/>
  <c r="D308" i="90" s="1"/>
  <c r="F307" i="88" a="1"/>
  <c r="F307" i="88" s="1"/>
  <c r="G300" i="85" a="1"/>
  <c r="G300" i="85" s="1"/>
  <c r="H292" i="83" a="1"/>
  <c r="H292" i="83" s="1"/>
  <c r="I314" i="82" a="1"/>
  <c r="I314" i="82" s="1"/>
  <c r="H301" i="84" a="1"/>
  <c r="H301" i="84" s="1"/>
  <c r="G295" i="79" a="1"/>
  <c r="G295" i="79" s="1"/>
  <c r="I305" i="34" a="1"/>
  <c r="I305" i="34" s="1"/>
  <c r="F297" i="81" a="1"/>
  <c r="F297" i="81" s="1"/>
  <c r="F303" i="34" a="1"/>
  <c r="F303" i="34" s="1"/>
  <c r="D298" i="81" a="1"/>
  <c r="D298" i="81" s="1"/>
  <c r="D305" i="76" a="1"/>
  <c r="D305" i="76" s="1"/>
  <c r="D309" i="75" a="1"/>
  <c r="D309" i="75" s="1"/>
  <c r="G302" i="29" a="1"/>
  <c r="G302" i="29" s="1"/>
  <c r="H309" i="29" a="1"/>
  <c r="H309" i="29" s="1"/>
  <c r="D304" i="75" a="1"/>
  <c r="D304" i="75" s="1"/>
  <c r="F294" i="76" a="1"/>
  <c r="F294" i="76" s="1"/>
  <c r="H294" i="77" a="1"/>
  <c r="H294" i="77" s="1"/>
  <c r="I314" i="76" a="1"/>
  <c r="I314" i="76" s="1"/>
  <c r="I292" i="79" a="1"/>
  <c r="I292" i="79" s="1"/>
  <c r="H299" i="76" a="1"/>
  <c r="H299" i="76" s="1"/>
  <c r="G307" i="73" a="1"/>
  <c r="G307" i="73" s="1"/>
  <c r="D293" i="73" a="1"/>
  <c r="D293" i="73" s="1"/>
  <c r="H311" i="79" a="1"/>
  <c r="H311" i="79" s="1"/>
  <c r="I307" i="74" a="1"/>
  <c r="I307" i="74" s="1"/>
  <c r="F307" i="73" a="1"/>
  <c r="F307" i="73" s="1"/>
  <c r="I315" i="73" a="1"/>
  <c r="I315" i="73" s="1"/>
  <c r="H312" i="77" a="1"/>
  <c r="H312" i="77" s="1"/>
  <c r="I293" i="75" a="1"/>
  <c r="I293" i="75" s="1"/>
  <c r="D312" i="80" a="1"/>
  <c r="D312" i="80" s="1"/>
  <c r="H299" i="29" a="1"/>
  <c r="H299" i="29" s="1"/>
  <c r="G308" i="74" a="1"/>
  <c r="G308" i="74" s="1"/>
  <c r="D303" i="76" a="1"/>
  <c r="D303" i="76" s="1"/>
  <c r="I295" i="79" a="1"/>
  <c r="I295" i="79" s="1"/>
  <c r="D306" i="78" a="1"/>
  <c r="D306" i="78" s="1"/>
  <c r="G314" i="34" a="1"/>
  <c r="G314" i="34" s="1"/>
  <c r="H313" i="80" a="1"/>
  <c r="H313" i="80" s="1"/>
  <c r="F301" i="74" a="1"/>
  <c r="F301" i="74" s="1"/>
  <c r="H308" i="75" a="1"/>
  <c r="H308" i="75" s="1"/>
  <c r="I316" i="80" a="1"/>
  <c r="I316" i="80" s="1"/>
  <c r="H302" i="77" a="1"/>
  <c r="H302" i="77" s="1"/>
  <c r="G314" i="79" a="1"/>
  <c r="G314" i="79" s="1"/>
  <c r="H299" i="78" a="1"/>
  <c r="H299" i="78" s="1"/>
  <c r="I302" i="34" a="1"/>
  <c r="I302" i="34" s="1"/>
  <c r="D300" i="74" a="1"/>
  <c r="D300" i="74" s="1"/>
  <c r="H297" i="82" a="1"/>
  <c r="H297" i="82" s="1"/>
  <c r="G309" i="75" a="1"/>
  <c r="G309" i="75" s="1"/>
  <c r="H302" i="84" a="1"/>
  <c r="H302" i="84" s="1"/>
  <c r="F301" i="82" a="1"/>
  <c r="F301" i="82" s="1"/>
  <c r="H306" i="74" a="1"/>
  <c r="H306" i="74" s="1"/>
  <c r="F293" i="79" a="1"/>
  <c r="F293" i="79" s="1"/>
  <c r="F310" i="74" a="1"/>
  <c r="F310" i="74" s="1"/>
  <c r="H301" i="74" a="1"/>
  <c r="H301" i="74" s="1"/>
  <c r="D311" i="75" a="1"/>
  <c r="D311" i="75" s="1"/>
  <c r="G300" i="76" a="1"/>
  <c r="G300" i="76" s="1"/>
  <c r="F307" i="82" a="1"/>
  <c r="F307" i="82" s="1"/>
  <c r="F301" i="34" a="1"/>
  <c r="F301" i="34" s="1"/>
  <c r="G293" i="74" a="1"/>
  <c r="G293" i="74" s="1"/>
  <c r="G296" i="29" a="1"/>
  <c r="G296" i="29" s="1"/>
  <c r="G316" i="73" a="1"/>
  <c r="G316" i="73" s="1"/>
  <c r="F305" i="75" a="1"/>
  <c r="F305" i="75" s="1"/>
  <c r="G305" i="83" a="1"/>
  <c r="G305" i="83" s="1"/>
  <c r="I300" i="80" a="1"/>
  <c r="I300" i="80" s="1"/>
  <c r="G306" i="78" a="1"/>
  <c r="G306" i="78" s="1"/>
  <c r="F313" i="80" a="1"/>
  <c r="F313" i="80" s="1"/>
  <c r="I307" i="34" a="1"/>
  <c r="I307" i="34" s="1"/>
  <c r="I309" i="77" a="1"/>
  <c r="I309" i="77" s="1"/>
  <c r="G316" i="78" a="1"/>
  <c r="G316" i="78" s="1"/>
  <c r="F309" i="29" a="1"/>
  <c r="F309" i="29" s="1"/>
  <c r="H292" i="81" a="1"/>
  <c r="H292" i="81" s="1"/>
  <c r="G307" i="80" a="1"/>
  <c r="G307" i="80" s="1"/>
  <c r="H312" i="78" a="1"/>
  <c r="H312" i="78" s="1"/>
  <c r="F296" i="81" a="1"/>
  <c r="F296" i="81" s="1"/>
  <c r="D311" i="34" a="1"/>
  <c r="D311" i="34" s="1"/>
  <c r="F306" i="34" a="1"/>
  <c r="F306" i="34" s="1"/>
  <c r="D296" i="75" a="1"/>
  <c r="D296" i="75" s="1"/>
  <c r="F304" i="81" a="1"/>
  <c r="F304" i="81" s="1"/>
  <c r="I308" i="81" a="1"/>
  <c r="I308" i="81" s="1"/>
  <c r="G294" i="89" a="1"/>
  <c r="G294" i="89" s="1"/>
  <c r="D303" i="80" a="1"/>
  <c r="D303" i="80" s="1"/>
  <c r="D295" i="34" a="1"/>
  <c r="D295" i="34" s="1"/>
  <c r="H298" i="79" a="1"/>
  <c r="H298" i="79" s="1"/>
  <c r="G292" i="80" a="1"/>
  <c r="G292" i="80" s="1"/>
  <c r="I315" i="81" a="1"/>
  <c r="I315" i="81" s="1"/>
  <c r="H303" i="81" a="1"/>
  <c r="H303" i="81" s="1"/>
  <c r="F311" i="77" a="1"/>
  <c r="F311" i="77" s="1"/>
  <c r="I295" i="80" a="1"/>
  <c r="I295" i="80" s="1"/>
  <c r="F293" i="81" a="1"/>
  <c r="F293" i="81" s="1"/>
  <c r="G299" i="76" a="1"/>
  <c r="G299" i="76" s="1"/>
  <c r="F310" i="76" a="1"/>
  <c r="F310" i="76" s="1"/>
  <c r="I313" i="75" a="1"/>
  <c r="I313" i="75" s="1"/>
  <c r="G299" i="74" a="1"/>
  <c r="G299" i="74" s="1"/>
  <c r="D309" i="77" a="1"/>
  <c r="D309" i="77" s="1"/>
  <c r="G301" i="82" a="1"/>
  <c r="G301" i="82" s="1"/>
  <c r="G294" i="34" a="1"/>
  <c r="G294" i="34" s="1"/>
  <c r="I299" i="77" a="1"/>
  <c r="I299" i="77" s="1"/>
  <c r="I310" i="82" a="1"/>
  <c r="I310" i="82" s="1"/>
  <c r="F302" i="74" a="1"/>
  <c r="F302" i="74" s="1"/>
  <c r="F299" i="78" a="1"/>
  <c r="F299" i="78" s="1"/>
  <c r="G306" i="82" a="1"/>
  <c r="G306" i="82" s="1"/>
  <c r="I309" i="29" a="1"/>
  <c r="I309" i="29" s="1"/>
  <c r="I306" i="73" a="1"/>
  <c r="I306" i="73" s="1"/>
  <c r="D305" i="81" a="1"/>
  <c r="D305" i="81" s="1"/>
  <c r="F305" i="77" a="1"/>
  <c r="F305" i="77" s="1"/>
  <c r="H305" i="75" a="1"/>
  <c r="H305" i="75" s="1"/>
  <c r="H306" i="73" a="1"/>
  <c r="H306" i="73" s="1"/>
  <c r="I310" i="75" a="1"/>
  <c r="I310" i="75" s="1"/>
  <c r="I316" i="29" a="1"/>
  <c r="I316" i="29" s="1"/>
  <c r="D299" i="81" a="1"/>
  <c r="D299" i="81" s="1"/>
  <c r="I293" i="82" a="1"/>
  <c r="I293" i="82" s="1"/>
  <c r="G313" i="75" a="1"/>
  <c r="G313" i="75" s="1"/>
  <c r="F307" i="29" a="1"/>
  <c r="F307" i="29" s="1"/>
  <c r="F316" i="34" a="1"/>
  <c r="F316" i="34" s="1"/>
  <c r="I313" i="73" a="1"/>
  <c r="I313" i="73" s="1"/>
  <c r="F310" i="78" a="1"/>
  <c r="F310" i="78" s="1"/>
  <c r="F312" i="76" a="1"/>
  <c r="F312" i="76" s="1"/>
  <c r="G301" i="75" a="1"/>
  <c r="G301" i="75" s="1"/>
  <c r="F312" i="80" a="1"/>
  <c r="F312" i="80" s="1"/>
  <c r="I305" i="77" a="1"/>
  <c r="I305" i="77" s="1"/>
  <c r="G315" i="34" a="1"/>
  <c r="G315" i="34" s="1"/>
  <c r="D297" i="80" a="1"/>
  <c r="D297" i="80" s="1"/>
  <c r="H315" i="75" a="1"/>
  <c r="H315" i="75" s="1"/>
  <c r="D304" i="73" a="1"/>
  <c r="D304" i="73" s="1"/>
  <c r="H298" i="78" a="1"/>
  <c r="H298" i="78" s="1"/>
  <c r="I297" i="76" a="1"/>
  <c r="I297" i="76" s="1"/>
  <c r="I292" i="80" a="1"/>
  <c r="I292" i="80" s="1"/>
  <c r="D300" i="75" a="1"/>
  <c r="D300" i="75" s="1"/>
  <c r="D313" i="76" a="1"/>
  <c r="D313" i="76" s="1"/>
  <c r="F315" i="29" a="1"/>
  <c r="F315" i="29" s="1"/>
  <c r="G300" i="80" a="1"/>
  <c r="G300" i="80" s="1"/>
  <c r="F293" i="80" a="1"/>
  <c r="F293" i="80" s="1"/>
  <c r="F308" i="75" a="1"/>
  <c r="F308" i="75" s="1"/>
  <c r="D304" i="79" a="1"/>
  <c r="D304" i="79" s="1"/>
  <c r="D299" i="74" a="1"/>
  <c r="D299" i="74" s="1"/>
  <c r="F312" i="75" a="1"/>
  <c r="F312" i="75" s="1"/>
  <c r="G314" i="74" a="1"/>
  <c r="G314" i="74" s="1"/>
  <c r="H300" i="79" a="1"/>
  <c r="H300" i="79" s="1"/>
  <c r="D315" i="73" a="1"/>
  <c r="D315" i="73" s="1"/>
  <c r="I306" i="81" a="1"/>
  <c r="I306" i="81" s="1"/>
  <c r="I296" i="82" a="1"/>
  <c r="I296" i="82" s="1"/>
  <c r="H296" i="74" a="1"/>
  <c r="H296" i="74" s="1"/>
  <c r="G313" i="76" a="1"/>
  <c r="G313" i="76" s="1"/>
  <c r="G307" i="78" a="1"/>
  <c r="G307" i="78" s="1"/>
  <c r="I301" i="81" a="1"/>
  <c r="I301" i="81" s="1"/>
  <c r="G305" i="74" a="1"/>
  <c r="G305" i="74" s="1"/>
  <c r="G304" i="78" a="1"/>
  <c r="G304" i="78" s="1"/>
  <c r="D309" i="79" a="1"/>
  <c r="D309" i="79" s="1"/>
  <c r="I303" i="80" a="1"/>
  <c r="I303" i="80" s="1"/>
  <c r="H298" i="74" a="1"/>
  <c r="H298" i="74" s="1"/>
  <c r="I292" i="29" a="1"/>
  <c r="I292" i="29" s="1"/>
  <c r="H316" i="80" a="1"/>
  <c r="H316" i="80" s="1"/>
  <c r="H305" i="84" a="1"/>
  <c r="H305" i="84" s="1"/>
  <c r="I302" i="74" a="1"/>
  <c r="I302" i="74" s="1"/>
  <c r="H315" i="77" a="1"/>
  <c r="H315" i="77" s="1"/>
  <c r="D301" i="78" a="1"/>
  <c r="D301" i="78" s="1"/>
  <c r="H304" i="82" a="1"/>
  <c r="H304" i="82" s="1"/>
  <c r="F303" i="78" a="1"/>
  <c r="F303" i="78" s="1"/>
  <c r="H310" i="79" a="1"/>
  <c r="H310" i="79" s="1"/>
  <c r="H305" i="79" a="1"/>
  <c r="H305" i="79" s="1"/>
  <c r="H306" i="82" a="1"/>
  <c r="H306" i="82" s="1"/>
  <c r="D305" i="29" a="1"/>
  <c r="D305" i="29" s="1"/>
  <c r="D302" i="75" a="1"/>
  <c r="D302" i="75" s="1"/>
  <c r="H303" i="78" a="1"/>
  <c r="H303" i="78" s="1"/>
  <c r="D301" i="80" a="1"/>
  <c r="D301" i="80" s="1"/>
  <c r="G312" i="79" a="1"/>
  <c r="G312" i="79" s="1"/>
  <c r="I310" i="79" a="1"/>
  <c r="I310" i="79" s="1"/>
  <c r="F307" i="76" a="1"/>
  <c r="F307" i="76" s="1"/>
  <c r="I314" i="81" a="1"/>
  <c r="I314" i="81" s="1"/>
  <c r="H311" i="80" a="1"/>
  <c r="H311" i="80" s="1"/>
  <c r="H304" i="29" a="1"/>
  <c r="H304" i="29" s="1"/>
  <c r="F301" i="77" a="1"/>
  <c r="F301" i="77" s="1"/>
  <c r="G299" i="81" a="1"/>
  <c r="G299" i="81" s="1"/>
  <c r="H307" i="74" a="1"/>
  <c r="H307" i="74" s="1"/>
  <c r="H313" i="82" a="1"/>
  <c r="H313" i="82" s="1"/>
  <c r="H304" i="81" a="1"/>
  <c r="H304" i="81" s="1"/>
  <c r="H308" i="81" a="1"/>
  <c r="H308" i="81" s="1"/>
  <c r="F301" i="79" a="1"/>
  <c r="F301" i="79" s="1"/>
  <c r="H301" i="29" a="1"/>
  <c r="H301" i="29" s="1"/>
  <c r="I312" i="73" a="1"/>
  <c r="I312" i="73" s="1"/>
  <c r="I306" i="80" a="1"/>
  <c r="I306" i="80" s="1"/>
  <c r="I297" i="79" a="1"/>
  <c r="I297" i="79" s="1"/>
  <c r="G315" i="75" a="1"/>
  <c r="G315" i="75" s="1"/>
  <c r="H293" i="78" a="1"/>
  <c r="H293" i="78" s="1"/>
  <c r="H296" i="77" a="1"/>
  <c r="H296" i="77" s="1"/>
  <c r="H309" i="83" a="1"/>
  <c r="H309" i="83" s="1"/>
  <c r="D300" i="80" a="1"/>
  <c r="D300" i="80" s="1"/>
  <c r="I292" i="83" a="1"/>
  <c r="I292" i="83" s="1"/>
  <c r="D307" i="34" a="1"/>
  <c r="D307" i="34" s="1"/>
  <c r="I301" i="82" a="1"/>
  <c r="I301" i="82" s="1"/>
  <c r="I299" i="75" a="1"/>
  <c r="I299" i="75" s="1"/>
  <c r="I303" i="78" a="1"/>
  <c r="I303" i="78" s="1"/>
  <c r="G294" i="76" a="1"/>
  <c r="G294" i="76" s="1"/>
  <c r="H304" i="79" a="1"/>
  <c r="H304" i="79" s="1"/>
  <c r="G294" i="29" a="1"/>
  <c r="G294" i="29" s="1"/>
  <c r="D307" i="75" a="1"/>
  <c r="D307" i="75" s="1"/>
  <c r="G308" i="75" a="1"/>
  <c r="G308" i="75" s="1"/>
  <c r="G302" i="73" a="1"/>
  <c r="G302" i="73" s="1"/>
  <c r="D308" i="76" a="1"/>
  <c r="D308" i="76" s="1"/>
  <c r="F303" i="75" a="1"/>
  <c r="F303" i="75" s="1"/>
  <c r="F293" i="76" a="1"/>
  <c r="F293" i="76" s="1"/>
  <c r="G309" i="76" a="1"/>
  <c r="G309" i="76" s="1"/>
  <c r="D312" i="77" a="1"/>
  <c r="D312" i="77" s="1"/>
  <c r="H301" i="73" a="1"/>
  <c r="H301" i="73" s="1"/>
  <c r="G292" i="34" a="1"/>
  <c r="G292" i="34" s="1"/>
  <c r="D302" i="79" a="1"/>
  <c r="D302" i="79" s="1"/>
  <c r="I299" i="74" a="1"/>
  <c r="I299" i="74" s="1"/>
  <c r="G294" i="79" a="1"/>
  <c r="G294" i="79" s="1"/>
  <c r="F299" i="85" a="1"/>
  <c r="F299" i="85" s="1"/>
  <c r="F307" i="79" a="1"/>
  <c r="F307" i="79" s="1"/>
  <c r="F297" i="78" a="1"/>
  <c r="F297" i="78" s="1"/>
  <c r="D302" i="76" a="1"/>
  <c r="D302" i="76" s="1"/>
  <c r="D314" i="34" a="1"/>
  <c r="D314" i="34" s="1"/>
  <c r="F309" i="34" a="1"/>
  <c r="F309" i="34" s="1"/>
  <c r="D294" i="73" a="1"/>
  <c r="D294" i="73" s="1"/>
  <c r="D315" i="29" a="1"/>
  <c r="D315" i="29" s="1"/>
  <c r="G292" i="75" a="1"/>
  <c r="G292" i="75" s="1"/>
  <c r="F307" i="77" a="1"/>
  <c r="F307" i="77" s="1"/>
  <c r="F308" i="74" a="1"/>
  <c r="F308" i="74" s="1"/>
  <c r="H296" i="73" a="1"/>
  <c r="H296" i="73" s="1"/>
  <c r="G301" i="74" a="1"/>
  <c r="G301" i="74" s="1"/>
  <c r="I307" i="81" a="1"/>
  <c r="I307" i="81" s="1"/>
  <c r="D293" i="80" a="1"/>
  <c r="D293" i="80" s="1"/>
  <c r="D296" i="73" a="1"/>
  <c r="D296" i="73" s="1"/>
  <c r="G316" i="82" a="1"/>
  <c r="G316" i="82" s="1"/>
  <c r="H309" i="89" a="1"/>
  <c r="H309" i="89" s="1"/>
  <c r="D315" i="78" a="1"/>
  <c r="D315" i="78" s="1"/>
  <c r="H315" i="34" a="1"/>
  <c r="H315" i="34" s="1"/>
  <c r="G295" i="73" a="1"/>
  <c r="G295" i="73" s="1"/>
  <c r="F308" i="80" a="1"/>
  <c r="F308" i="80" s="1"/>
  <c r="D305" i="34" a="1"/>
  <c r="D305" i="34" s="1"/>
  <c r="I296" i="81" a="1"/>
  <c r="I296" i="81" s="1"/>
  <c r="G302" i="76" a="1"/>
  <c r="G302" i="76" s="1"/>
  <c r="D310" i="76" a="1"/>
  <c r="D310" i="76" s="1"/>
  <c r="F315" i="76" a="1"/>
  <c r="F315" i="76" s="1"/>
  <c r="H304" i="77" a="1"/>
  <c r="H304" i="77" s="1"/>
  <c r="G311" i="78" a="1"/>
  <c r="G311" i="78" s="1"/>
  <c r="G292" i="74" a="1"/>
  <c r="G292" i="74" s="1"/>
  <c r="G304" i="34" a="1"/>
  <c r="G304" i="34" s="1"/>
  <c r="I305" i="79" a="1"/>
  <c r="I305" i="79" s="1"/>
  <c r="G306" i="76" a="1"/>
  <c r="G306" i="76" s="1"/>
  <c r="G295" i="86" a="1"/>
  <c r="G295" i="86" s="1"/>
  <c r="D314" i="76" a="1"/>
  <c r="D314" i="76" s="1"/>
  <c r="I316" i="82" a="1"/>
  <c r="I316" i="82" s="1"/>
  <c r="D303" i="77" a="1"/>
  <c r="D303" i="77" s="1"/>
  <c r="F296" i="74" a="1"/>
  <c r="F296" i="74" s="1"/>
  <c r="F294" i="34" a="1"/>
  <c r="F294" i="34" s="1"/>
  <c r="F300" i="83" a="1"/>
  <c r="F300" i="83" s="1"/>
  <c r="D301" i="81" a="1"/>
  <c r="D301" i="81" s="1"/>
  <c r="I293" i="80" a="1"/>
  <c r="I293" i="80" s="1"/>
  <c r="I305" i="81" a="1"/>
  <c r="I305" i="81" s="1"/>
  <c r="I310" i="74" a="1"/>
  <c r="I310" i="74" s="1"/>
  <c r="H295" i="78" a="1"/>
  <c r="H295" i="78" s="1"/>
  <c r="H294" i="81" a="1"/>
  <c r="H294" i="81" s="1"/>
  <c r="I294" i="81" a="1"/>
  <c r="I294" i="81" s="1"/>
  <c r="H295" i="73" a="1"/>
  <c r="H295" i="73" s="1"/>
  <c r="H301" i="82" a="1"/>
  <c r="H301" i="82" s="1"/>
  <c r="I303" i="76" a="1"/>
  <c r="I303" i="76" s="1"/>
  <c r="D313" i="77" a="1"/>
  <c r="D313" i="77" s="1"/>
  <c r="G306" i="75" a="1"/>
  <c r="G306" i="75" s="1"/>
  <c r="D306" i="77" a="1"/>
  <c r="D306" i="77" s="1"/>
  <c r="I305" i="73" a="1"/>
  <c r="I305" i="73" s="1"/>
  <c r="I302" i="82" a="1"/>
  <c r="I302" i="82" s="1"/>
  <c r="H314" i="79" a="1"/>
  <c r="H314" i="79" s="1"/>
  <c r="I297" i="78" a="1"/>
  <c r="I297" i="78" s="1"/>
  <c r="F312" i="81" a="1"/>
  <c r="F312" i="81" s="1"/>
  <c r="F306" i="75" a="1"/>
  <c r="F306" i="75" s="1"/>
  <c r="I311" i="75" a="1"/>
  <c r="I311" i="75" s="1"/>
  <c r="G299" i="75" a="1"/>
  <c r="G299" i="75" s="1"/>
  <c r="D310" i="74" a="1"/>
  <c r="D310" i="74" s="1"/>
  <c r="H300" i="74" a="1"/>
  <c r="H300" i="74" s="1"/>
  <c r="G297" i="82" a="1"/>
  <c r="G297" i="82" s="1"/>
  <c r="D295" i="80" a="1"/>
  <c r="D295" i="80" s="1"/>
  <c r="D293" i="34" a="1"/>
  <c r="D293" i="34" s="1"/>
  <c r="F301" i="73" a="1"/>
  <c r="F301" i="73" s="1"/>
  <c r="D296" i="80" a="1"/>
  <c r="D296" i="80" s="1"/>
  <c r="D314" i="77" a="1"/>
  <c r="D314" i="77" s="1"/>
  <c r="F296" i="73" a="1"/>
  <c r="F296" i="73" s="1"/>
  <c r="G294" i="82" a="1"/>
  <c r="G294" i="82" s="1"/>
  <c r="H297" i="29" a="1"/>
  <c r="H297" i="29" s="1"/>
  <c r="H298" i="82" a="1"/>
  <c r="H298" i="82" s="1"/>
  <c r="G304" i="76" a="1"/>
  <c r="G304" i="76" s="1"/>
  <c r="G298" i="75" a="1"/>
  <c r="G298" i="75" s="1"/>
  <c r="D312" i="82" a="1"/>
  <c r="D312" i="82" s="1"/>
  <c r="I305" i="75" a="1"/>
  <c r="I305" i="75" s="1"/>
  <c r="H311" i="81" a="1"/>
  <c r="H311" i="81" s="1"/>
  <c r="F306" i="74" a="1"/>
  <c r="F306" i="74" s="1"/>
  <c r="G306" i="73" a="1"/>
  <c r="G306" i="73" s="1"/>
  <c r="G303" i="73" a="1"/>
  <c r="G303" i="73" s="1"/>
  <c r="D304" i="29" a="1"/>
  <c r="D304" i="29" s="1"/>
  <c r="H292" i="79" a="1"/>
  <c r="H292" i="79" s="1"/>
  <c r="F302" i="78" a="1"/>
  <c r="F302" i="78" s="1"/>
  <c r="F300" i="73" a="1"/>
  <c r="F300" i="73" s="1"/>
  <c r="D293" i="78" a="1"/>
  <c r="D293" i="78" s="1"/>
  <c r="G305" i="75" a="1"/>
  <c r="G305" i="75" s="1"/>
  <c r="F305" i="82" a="1"/>
  <c r="F305" i="82" s="1"/>
  <c r="H300" i="29" a="1"/>
  <c r="H300" i="29" s="1"/>
  <c r="D311" i="73" a="1"/>
  <c r="D311" i="73" s="1"/>
  <c r="G310" i="78" a="1"/>
  <c r="G310" i="78" s="1"/>
  <c r="G293" i="85" a="1"/>
  <c r="G293" i="85" s="1"/>
  <c r="G314" i="80" a="1"/>
  <c r="G314" i="80" s="1"/>
  <c r="F313" i="75" a="1"/>
  <c r="F313" i="75" s="1"/>
  <c r="D315" i="74" a="1"/>
  <c r="D315" i="74" s="1"/>
  <c r="D305" i="77" a="1"/>
  <c r="D305" i="77" s="1"/>
  <c r="I296" i="77" a="1"/>
  <c r="I296" i="77" s="1"/>
  <c r="D299" i="77" a="1"/>
  <c r="D299" i="77" s="1"/>
  <c r="H296" i="29" a="1"/>
  <c r="H296" i="29" s="1"/>
  <c r="D313" i="81" a="1"/>
  <c r="D313" i="81" s="1"/>
  <c r="H314" i="74" a="1"/>
  <c r="H314" i="74" s="1"/>
  <c r="F304" i="77" a="1"/>
  <c r="F304" i="77" s="1"/>
  <c r="D300" i="76" a="1"/>
  <c r="D300" i="76" s="1"/>
  <c r="D314" i="80" a="1"/>
  <c r="D314" i="80" s="1"/>
  <c r="F296" i="34" a="1"/>
  <c r="F296" i="34" s="1"/>
  <c r="D311" i="76" a="1"/>
  <c r="D311" i="76" s="1"/>
  <c r="F312" i="29" a="1"/>
  <c r="F312" i="29" s="1"/>
  <c r="I304" i="34" a="1"/>
  <c r="I304" i="34" s="1"/>
  <c r="D296" i="82" a="1"/>
  <c r="D296" i="82" s="1"/>
  <c r="G305" i="78" a="1"/>
  <c r="G305" i="78" s="1"/>
  <c r="D299" i="79" a="1"/>
  <c r="D299" i="79" s="1"/>
  <c r="H300" i="81" a="1"/>
  <c r="H300" i="81" s="1"/>
  <c r="I306" i="75" a="1"/>
  <c r="I306" i="75" s="1"/>
  <c r="H304" i="34" a="1"/>
  <c r="H304" i="34" s="1"/>
  <c r="I307" i="29" a="1"/>
  <c r="I307" i="29" s="1"/>
  <c r="F308" i="79" a="1"/>
  <c r="F308" i="79" s="1"/>
  <c r="F295" i="75" a="1"/>
  <c r="F295" i="75" s="1"/>
  <c r="I313" i="82" a="1"/>
  <c r="I313" i="82" s="1"/>
  <c r="D297" i="74" a="1"/>
  <c r="D297" i="74" s="1"/>
  <c r="D312" i="81" a="1"/>
  <c r="D312" i="81" s="1"/>
  <c r="I298" i="79" a="1"/>
  <c r="I298" i="79" s="1"/>
  <c r="D305" i="74" a="1"/>
  <c r="D305" i="74" s="1"/>
  <c r="H312" i="82" a="1"/>
  <c r="H312" i="82" s="1"/>
  <c r="G296" i="73" a="1"/>
  <c r="G296" i="73" s="1"/>
  <c r="I308" i="34" a="1"/>
  <c r="I308" i="34" s="1"/>
  <c r="I301" i="74" a="1"/>
  <c r="I301" i="74" s="1"/>
  <c r="I303" i="75" a="1"/>
  <c r="I303" i="75" s="1"/>
  <c r="F315" i="74" a="1"/>
  <c r="F315" i="74" s="1"/>
  <c r="I305" i="78" a="1"/>
  <c r="I305" i="78" s="1"/>
  <c r="D303" i="78" a="1"/>
  <c r="D303" i="78" s="1"/>
  <c r="H315" i="78" a="1"/>
  <c r="H315" i="78" s="1"/>
  <c r="I298" i="73" a="1"/>
  <c r="I298" i="73" s="1"/>
  <c r="D316" i="77" a="1"/>
  <c r="D316" i="77" s="1"/>
  <c r="I300" i="76" a="1"/>
  <c r="I300" i="76" s="1"/>
  <c r="I293" i="78" a="1"/>
  <c r="I293" i="78" s="1"/>
  <c r="D311" i="29" a="1"/>
  <c r="D311" i="29" s="1"/>
  <c r="I312" i="34" a="1"/>
  <c r="I312" i="34" s="1"/>
  <c r="I299" i="76" a="1"/>
  <c r="I299" i="76" s="1"/>
  <c r="G308" i="81" a="1"/>
  <c r="G308" i="81" s="1"/>
  <c r="I300" i="81" a="1"/>
  <c r="I300" i="81" s="1"/>
  <c r="D300" i="77" a="1"/>
  <c r="D300" i="77" s="1"/>
  <c r="I293" i="34" a="1"/>
  <c r="I293" i="34" s="1"/>
  <c r="F303" i="76" a="1"/>
  <c r="F303" i="76" s="1"/>
  <c r="G309" i="74" a="1"/>
  <c r="G309" i="74" s="1"/>
  <c r="F312" i="78" a="1"/>
  <c r="F312" i="78" s="1"/>
  <c r="G311" i="73" a="1"/>
  <c r="G311" i="73" s="1"/>
  <c r="G294" i="78" a="1"/>
  <c r="G294" i="78" s="1"/>
  <c r="F304" i="78" a="1"/>
  <c r="F304" i="78" s="1"/>
  <c r="F307" i="34" a="1"/>
  <c r="F307" i="34" s="1"/>
  <c r="I296" i="80" a="1"/>
  <c r="I296" i="80" s="1"/>
  <c r="H292" i="75" a="1"/>
  <c r="H292" i="75" s="1"/>
  <c r="I294" i="75" a="1"/>
  <c r="I294" i="75" s="1"/>
  <c r="F302" i="79" a="1"/>
  <c r="F302" i="79" s="1"/>
  <c r="D301" i="83" a="1"/>
  <c r="D301" i="83" s="1"/>
  <c r="F310" i="34" a="1"/>
  <c r="F310" i="34" s="1"/>
  <c r="I313" i="80" a="1"/>
  <c r="I313" i="80" s="1"/>
  <c r="D308" i="74" a="1"/>
  <c r="D308" i="74" s="1"/>
  <c r="H315" i="80" a="1"/>
  <c r="H315" i="80" s="1"/>
  <c r="I295" i="77" a="1"/>
  <c r="I295" i="77" s="1"/>
  <c r="G296" i="78" a="1"/>
  <c r="G296" i="78" s="1"/>
  <c r="H313" i="29" a="1"/>
  <c r="H313" i="29" s="1"/>
  <c r="G316" i="81" a="1"/>
  <c r="G316" i="81" s="1"/>
  <c r="F310" i="77" a="1"/>
  <c r="F310" i="77" s="1"/>
  <c r="H309" i="81" a="1"/>
  <c r="H309" i="81" s="1"/>
  <c r="F300" i="75" a="1"/>
  <c r="F300" i="75" s="1"/>
  <c r="F304" i="73" a="1"/>
  <c r="F304" i="73" s="1"/>
  <c r="F295" i="73" a="1"/>
  <c r="F295" i="73" s="1"/>
  <c r="I305" i="29" a="1"/>
  <c r="I305" i="29" s="1"/>
  <c r="F308" i="78" a="1"/>
  <c r="F308" i="78" s="1"/>
  <c r="G308" i="79" a="1"/>
  <c r="G308" i="79" s="1"/>
  <c r="G302" i="84" a="1"/>
  <c r="G302" i="84" s="1"/>
  <c r="D294" i="76" a="1"/>
  <c r="D294" i="76" s="1"/>
  <c r="I301" i="79" a="1"/>
  <c r="I301" i="79" s="1"/>
  <c r="H303" i="80" a="1"/>
  <c r="H303" i="80" s="1"/>
  <c r="F313" i="78" a="1"/>
  <c r="F313" i="78" s="1"/>
  <c r="D293" i="77" a="1"/>
  <c r="D293" i="77" s="1"/>
  <c r="D312" i="76" a="1"/>
  <c r="D312" i="76" s="1"/>
  <c r="H315" i="81" a="1"/>
  <c r="H315" i="81" s="1"/>
  <c r="F305" i="74" a="1"/>
  <c r="F305" i="74" s="1"/>
  <c r="F309" i="82" a="1"/>
  <c r="F309" i="82" s="1"/>
  <c r="G307" i="81" a="1"/>
  <c r="G307" i="81" s="1"/>
  <c r="I297" i="90" a="1"/>
  <c r="I297" i="90" s="1"/>
  <c r="G303" i="34" a="1"/>
  <c r="G303" i="34" s="1"/>
  <c r="F300" i="80" a="1"/>
  <c r="F300" i="80" s="1"/>
  <c r="H314" i="73" a="1"/>
  <c r="H314" i="73" s="1"/>
  <c r="G296" i="75" a="1"/>
  <c r="G296" i="75" s="1"/>
  <c r="H316" i="34" a="1"/>
  <c r="H316" i="34" s="1"/>
  <c r="H301" i="76" a="1"/>
  <c r="H301" i="76" s="1"/>
  <c r="D312" i="78" a="1"/>
  <c r="D312" i="78" s="1"/>
  <c r="I293" i="79" a="1"/>
  <c r="I293" i="79" s="1"/>
  <c r="H314" i="34" a="1"/>
  <c r="H314" i="34" s="1"/>
  <c r="G311" i="77" a="1"/>
  <c r="G311" i="77" s="1"/>
  <c r="F316" i="29" a="1"/>
  <c r="F316" i="29" s="1"/>
  <c r="F315" i="81" a="1"/>
  <c r="F315" i="81" s="1"/>
  <c r="G301" i="34" a="1"/>
  <c r="G301" i="34" s="1"/>
  <c r="G295" i="78" a="1"/>
  <c r="G295" i="78" s="1"/>
  <c r="G293" i="77" a="1"/>
  <c r="G293" i="77" s="1"/>
  <c r="F315" i="88" a="1"/>
  <c r="F315" i="88" s="1"/>
  <c r="G314" i="82" a="1"/>
  <c r="G314" i="82" s="1"/>
  <c r="I293" i="76" a="1"/>
  <c r="I293" i="76" s="1"/>
  <c r="D316" i="79" a="1"/>
  <c r="D316" i="79" s="1"/>
  <c r="H294" i="78" a="1"/>
  <c r="H294" i="78" s="1"/>
  <c r="D314" i="73" a="1"/>
  <c r="D314" i="73" s="1"/>
  <c r="H314" i="82" a="1"/>
  <c r="H314" i="82" s="1"/>
  <c r="G310" i="77" a="1"/>
  <c r="G310" i="77" s="1"/>
  <c r="I315" i="74" a="1"/>
  <c r="I315" i="74" s="1"/>
  <c r="H301" i="80" a="1"/>
  <c r="H301" i="80" s="1"/>
  <c r="F298" i="73" a="1"/>
  <c r="F298" i="73" s="1"/>
  <c r="D298" i="77" a="1"/>
  <c r="D298" i="77" s="1"/>
  <c r="H292" i="80" a="1"/>
  <c r="H292" i="80" s="1"/>
  <c r="F304" i="76" a="1"/>
  <c r="F304" i="76" s="1"/>
  <c r="H294" i="74" a="1"/>
  <c r="H294" i="74" s="1"/>
  <c r="I313" i="78" a="1"/>
  <c r="I313" i="78" s="1"/>
  <c r="D310" i="80" a="1"/>
  <c r="D310" i="80" s="1"/>
  <c r="G293" i="29" a="1"/>
  <c r="G293" i="29" s="1"/>
  <c r="G307" i="34" a="1"/>
  <c r="G307" i="34" s="1"/>
  <c r="D313" i="80" a="1"/>
  <c r="D313" i="80" s="1"/>
  <c r="F301" i="76" a="1"/>
  <c r="F301" i="76" s="1"/>
  <c r="G300" i="77" a="1"/>
  <c r="G300" i="77" s="1"/>
  <c r="F294" i="74" a="1"/>
  <c r="F294" i="74" s="1"/>
  <c r="G314" i="86" a="1"/>
  <c r="G314" i="86" s="1"/>
  <c r="I302" i="81" a="1"/>
  <c r="I302" i="81" s="1"/>
  <c r="I293" i="29" a="1"/>
  <c r="I293" i="29" s="1"/>
  <c r="D304" i="82" a="1"/>
  <c r="D304" i="82" s="1"/>
  <c r="F294" i="29" a="1"/>
  <c r="F294" i="29" s="1"/>
  <c r="D310" i="75" a="1"/>
  <c r="D310" i="75" s="1"/>
  <c r="D295" i="77" a="1"/>
  <c r="D295" i="77" s="1"/>
  <c r="G307" i="29" a="1"/>
  <c r="G307" i="29" s="1"/>
  <c r="G295" i="74" a="1"/>
  <c r="G295" i="74" s="1"/>
  <c r="G297" i="81" a="1"/>
  <c r="G297" i="81" s="1"/>
  <c r="D311" i="82" a="1"/>
  <c r="D311" i="82" s="1"/>
  <c r="I307" i="78" a="1"/>
  <c r="I307" i="78" s="1"/>
  <c r="F305" i="73" a="1"/>
  <c r="F305" i="73" s="1"/>
  <c r="F299" i="73" a="1"/>
  <c r="F299" i="73" s="1"/>
  <c r="H305" i="78" a="1"/>
  <c r="H305" i="78" s="1"/>
  <c r="D316" i="80" a="1"/>
  <c r="D316" i="80" s="1"/>
  <c r="F303" i="74" a="1"/>
  <c r="F303" i="74" s="1"/>
  <c r="I308" i="78" a="1"/>
  <c r="I308" i="78" s="1"/>
  <c r="F302" i="73" a="1"/>
  <c r="F302" i="73" s="1"/>
  <c r="G301" i="80" a="1"/>
  <c r="G301" i="80" s="1"/>
  <c r="D294" i="75" a="1"/>
  <c r="D294" i="75" s="1"/>
  <c r="I315" i="79" a="1"/>
  <c r="I315" i="79" s="1"/>
  <c r="G310" i="29" a="1"/>
  <c r="G310" i="29" s="1"/>
  <c r="F299" i="81" a="1"/>
  <c r="F299" i="81" s="1"/>
  <c r="G312" i="76" a="1"/>
  <c r="G312" i="76" s="1"/>
  <c r="G304" i="77" a="1"/>
  <c r="G304" i="77" s="1"/>
  <c r="G314" i="77" a="1"/>
  <c r="G314" i="77" s="1"/>
  <c r="F295" i="79" a="1"/>
  <c r="F295" i="79" s="1"/>
  <c r="H305" i="81" a="1"/>
  <c r="H305" i="81" s="1"/>
  <c r="D316" i="81" a="1"/>
  <c r="D316" i="81" s="1"/>
  <c r="D299" i="29" a="1"/>
  <c r="D299" i="29" s="1"/>
  <c r="H316" i="29" a="1"/>
  <c r="H316" i="29" s="1"/>
  <c r="H307" i="83" a="1"/>
  <c r="H307" i="83" s="1"/>
  <c r="D298" i="80" a="1"/>
  <c r="D298" i="80" s="1"/>
  <c r="D313" i="78" a="1"/>
  <c r="D313" i="78" s="1"/>
  <c r="I295" i="29" a="1"/>
  <c r="I295" i="29" s="1"/>
  <c r="D299" i="85" a="1"/>
  <c r="D299" i="85" s="1"/>
  <c r="G292" i="78" a="1"/>
  <c r="G292" i="78" s="1"/>
  <c r="G295" i="80" a="1"/>
  <c r="G295" i="80" s="1"/>
  <c r="H299" i="82" a="1"/>
  <c r="H299" i="82" s="1"/>
  <c r="D309" i="34" a="1"/>
  <c r="D309" i="34" s="1"/>
  <c r="I302" i="83" a="1"/>
  <c r="I302" i="83" s="1"/>
  <c r="F304" i="75" a="1"/>
  <c r="F304" i="75" s="1"/>
  <c r="I312" i="84" a="1"/>
  <c r="I312" i="84" s="1"/>
  <c r="H296" i="79" a="1"/>
  <c r="H296" i="79" s="1"/>
  <c r="H312" i="34" a="1"/>
  <c r="H312" i="34" s="1"/>
  <c r="D299" i="73" a="1"/>
  <c r="D299" i="73" s="1"/>
  <c r="F296" i="79" a="1"/>
  <c r="F296" i="79" s="1"/>
  <c r="H307" i="78" a="1"/>
  <c r="H307" i="78" s="1"/>
  <c r="H302" i="34" a="1"/>
  <c r="H302" i="34" s="1"/>
  <c r="D296" i="83" a="1"/>
  <c r="D296" i="83" s="1"/>
  <c r="F310" i="82" a="1"/>
  <c r="F310" i="82" s="1"/>
  <c r="G312" i="80" a="1"/>
  <c r="G312" i="80" s="1"/>
  <c r="D294" i="34" a="1"/>
  <c r="D294" i="34" s="1"/>
  <c r="D308" i="80" a="1"/>
  <c r="D308" i="80" s="1"/>
  <c r="H305" i="74" a="1"/>
  <c r="H305" i="74" s="1"/>
  <c r="H305" i="34" a="1"/>
  <c r="H305" i="34" s="1"/>
  <c r="D315" i="34" a="1"/>
  <c r="D315" i="34" s="1"/>
  <c r="H305" i="29" a="1"/>
  <c r="H305" i="29" s="1"/>
  <c r="D302" i="34" a="1"/>
  <c r="D302" i="34" s="1"/>
  <c r="F307" i="78" a="1"/>
  <c r="F307" i="78" s="1"/>
  <c r="I298" i="77" a="1"/>
  <c r="I298" i="77" s="1"/>
  <c r="H311" i="74" a="1"/>
  <c r="H311" i="74" s="1"/>
  <c r="G292" i="82" a="1"/>
  <c r="G292" i="82" s="1"/>
  <c r="D300" i="34" a="1"/>
  <c r="D300" i="34" s="1"/>
  <c r="D296" i="29" a="1"/>
  <c r="D296" i="29" s="1"/>
  <c r="G316" i="74" a="1"/>
  <c r="G316" i="74" s="1"/>
  <c r="H308" i="80" a="1"/>
  <c r="H308" i="80" s="1"/>
  <c r="G297" i="77" a="1"/>
  <c r="G297" i="77" s="1"/>
  <c r="I316" i="34" a="1"/>
  <c r="I316" i="34" s="1"/>
  <c r="D293" i="82" a="1"/>
  <c r="D293" i="82" s="1"/>
  <c r="G309" i="79" a="1"/>
  <c r="G309" i="79" s="1"/>
  <c r="D315" i="82" a="1"/>
  <c r="D315" i="82" s="1"/>
  <c r="F303" i="81" a="1"/>
  <c r="F303" i="81" s="1"/>
  <c r="D306" i="79" a="1"/>
  <c r="D306" i="79" s="1"/>
  <c r="I312" i="79" a="1"/>
  <c r="I312" i="79" s="1"/>
  <c r="H311" i="29" a="1"/>
  <c r="H311" i="29" s="1"/>
  <c r="H292" i="29" a="1"/>
  <c r="H292" i="29" s="1"/>
  <c r="F296" i="78" a="1"/>
  <c r="F296" i="78" s="1"/>
  <c r="D298" i="78" a="1"/>
  <c r="D298" i="78" s="1"/>
  <c r="G295" i="77" a="1"/>
  <c r="G295" i="77" s="1"/>
  <c r="I295" i="78" a="1"/>
  <c r="I295" i="78" s="1"/>
  <c r="I299" i="79" a="1"/>
  <c r="I299" i="79" s="1"/>
  <c r="G305" i="34" a="1"/>
  <c r="G305" i="34" s="1"/>
  <c r="H294" i="80" a="1"/>
  <c r="H294" i="80" s="1"/>
  <c r="D310" i="79" a="1"/>
  <c r="D310" i="79" s="1"/>
  <c r="F314" i="84" a="1"/>
  <c r="F314" i="84" s="1"/>
  <c r="I314" i="89" a="1"/>
  <c r="I314" i="89" s="1"/>
  <c r="I309" i="80" a="1"/>
  <c r="I309" i="80" s="1"/>
  <c r="F316" i="73" a="1"/>
  <c r="F316" i="73" s="1"/>
  <c r="G297" i="80" a="1"/>
  <c r="G297" i="80" s="1"/>
  <c r="G294" i="86" a="1"/>
  <c r="G294" i="86" s="1"/>
  <c r="G300" i="75" a="1"/>
  <c r="G300" i="75" s="1"/>
  <c r="F316" i="77" a="1"/>
  <c r="F316" i="77" s="1"/>
  <c r="G301" i="29" a="1"/>
  <c r="G301" i="29" s="1"/>
  <c r="F295" i="81" a="1"/>
  <c r="F295" i="81" s="1"/>
  <c r="F297" i="75" a="1"/>
  <c r="F297" i="75" s="1"/>
  <c r="D301" i="75" a="1"/>
  <c r="D301" i="75" s="1"/>
  <c r="I310" i="80" a="1"/>
  <c r="I310" i="80" s="1"/>
  <c r="I314" i="74" a="1"/>
  <c r="I314" i="74" s="1"/>
  <c r="I294" i="34" a="1"/>
  <c r="I294" i="34" s="1"/>
  <c r="G314" i="73" a="1"/>
  <c r="G314" i="73" s="1"/>
  <c r="G307" i="77" a="1"/>
  <c r="G307" i="77" s="1"/>
  <c r="F312" i="77" a="1"/>
  <c r="F312" i="77" s="1"/>
  <c r="H293" i="76" a="1"/>
  <c r="H293" i="76" s="1"/>
  <c r="G305" i="73" a="1"/>
  <c r="G305" i="73" s="1"/>
  <c r="F311" i="74" a="1"/>
  <c r="F311" i="74" s="1"/>
  <c r="G312" i="34" a="1"/>
  <c r="G312" i="34" s="1"/>
  <c r="F313" i="29" a="1"/>
  <c r="F313" i="29" s="1"/>
  <c r="G305" i="77" a="1"/>
  <c r="G305" i="77" s="1"/>
  <c r="G295" i="34" a="1"/>
  <c r="G295" i="34" s="1"/>
  <c r="G302" i="78" a="1"/>
  <c r="G302" i="78" s="1"/>
  <c r="I305" i="80" a="1"/>
  <c r="I305" i="80" s="1"/>
  <c r="F293" i="77" a="1"/>
  <c r="F293" i="77" s="1"/>
  <c r="D304" i="78" a="1"/>
  <c r="D304" i="78" s="1"/>
  <c r="D294" i="74" a="1"/>
  <c r="D294" i="74" s="1"/>
  <c r="I309" i="74" a="1"/>
  <c r="I309" i="74" s="1"/>
  <c r="G311" i="75" a="1"/>
  <c r="G311" i="75" s="1"/>
  <c r="H308" i="76" a="1"/>
  <c r="H308" i="76" s="1"/>
  <c r="G305" i="81" a="1"/>
  <c r="G305" i="81" s="1"/>
  <c r="I297" i="29" a="1"/>
  <c r="I297" i="29" s="1"/>
  <c r="F314" i="78" a="1"/>
  <c r="F314" i="78" s="1"/>
  <c r="H315" i="83" a="1"/>
  <c r="H315" i="83" s="1"/>
  <c r="D306" i="81" a="1"/>
  <c r="D306" i="81" s="1"/>
  <c r="G316" i="29" a="1"/>
  <c r="G316" i="29" s="1"/>
  <c r="H293" i="79" a="1"/>
  <c r="H293" i="79" s="1"/>
  <c r="I314" i="75" a="1"/>
  <c r="I314" i="75" s="1"/>
  <c r="H294" i="82" a="1"/>
  <c r="H294" i="82" s="1"/>
  <c r="D297" i="82" a="1"/>
  <c r="D297" i="82" s="1"/>
  <c r="F313" i="77" a="1"/>
  <c r="F313" i="77" s="1"/>
  <c r="I316" i="75" a="1"/>
  <c r="I316" i="75" s="1"/>
  <c r="D298" i="76" a="1"/>
  <c r="D298" i="76" s="1"/>
  <c r="H297" i="81" a="1"/>
  <c r="H297" i="81" s="1"/>
  <c r="I306" i="34" a="1"/>
  <c r="I306" i="34" s="1"/>
  <c r="H316" i="78" a="1"/>
  <c r="H316" i="78" s="1"/>
  <c r="D303" i="75" a="1"/>
  <c r="D303" i="75" s="1"/>
  <c r="I299" i="73" a="1"/>
  <c r="I299" i="73" s="1"/>
  <c r="H315" i="86" a="1"/>
  <c r="H315" i="86" s="1"/>
  <c r="D303" i="74" a="1"/>
  <c r="D303" i="74" s="1"/>
  <c r="H303" i="75" a="1"/>
  <c r="H303" i="75" s="1"/>
  <c r="H308" i="74" a="1"/>
  <c r="H308" i="74" s="1"/>
  <c r="D315" i="79" a="1"/>
  <c r="D315" i="79" s="1"/>
  <c r="I308" i="75" a="1"/>
  <c r="I308" i="75" s="1"/>
  <c r="D294" i="78" a="1"/>
  <c r="D294" i="78" s="1"/>
  <c r="F301" i="29" a="1"/>
  <c r="F301" i="29" s="1"/>
  <c r="H298" i="34" a="1"/>
  <c r="H298" i="34" s="1"/>
  <c r="H309" i="77" a="1"/>
  <c r="H309" i="77" s="1"/>
  <c r="I300" i="77" a="1"/>
  <c r="I300" i="77" s="1"/>
  <c r="F299" i="80" a="1"/>
  <c r="F299" i="80" s="1"/>
  <c r="D299" i="76" a="1"/>
  <c r="D299" i="76" s="1"/>
  <c r="G298" i="81" a="1"/>
  <c r="G298" i="81" s="1"/>
  <c r="F298" i="74" a="1"/>
  <c r="F298" i="74" s="1"/>
  <c r="D314" i="29" a="1"/>
  <c r="D314" i="29" s="1"/>
  <c r="H311" i="73" a="1"/>
  <c r="H311" i="73" s="1"/>
  <c r="I306" i="29" a="1"/>
  <c r="I306" i="29" s="1"/>
  <c r="F316" i="74" a="1"/>
  <c r="F316" i="74" s="1"/>
  <c r="I292" i="34" a="1"/>
  <c r="I292" i="34" s="1"/>
  <c r="I309" i="76" a="1"/>
  <c r="I309" i="76" s="1"/>
  <c r="F314" i="77" a="1"/>
  <c r="F314" i="77" s="1"/>
  <c r="I296" i="75" a="1"/>
  <c r="I296" i="75" s="1"/>
  <c r="H292" i="74" a="1"/>
  <c r="H292" i="74" s="1"/>
  <c r="H305" i="73" a="1"/>
  <c r="H305" i="73" s="1"/>
  <c r="H316" i="81" a="1"/>
  <c r="H316" i="81" s="1"/>
  <c r="G311" i="76" a="1"/>
  <c r="G311" i="76" s="1"/>
  <c r="G299" i="73" a="1"/>
  <c r="G299" i="73" s="1"/>
  <c r="F296" i="85" a="1"/>
  <c r="F296" i="85" s="1"/>
  <c r="H307" i="75" a="1"/>
  <c r="H307" i="75" s="1"/>
  <c r="F309" i="76" a="1"/>
  <c r="F309" i="76" s="1"/>
  <c r="I292" i="76" a="1"/>
  <c r="I292" i="76" s="1"/>
  <c r="G299" i="29" a="1"/>
  <c r="G299" i="29" s="1"/>
  <c r="F300" i="82" a="1"/>
  <c r="F300" i="82" s="1"/>
  <c r="F307" i="75" a="1"/>
  <c r="F307" i="75" s="1"/>
  <c r="I293" i="86" a="1"/>
  <c r="I293" i="86" s="1"/>
  <c r="D293" i="75" a="1"/>
  <c r="D293" i="75" s="1"/>
  <c r="F316" i="79" a="1"/>
  <c r="F316" i="79" s="1"/>
  <c r="F295" i="34" a="1"/>
  <c r="F295" i="34" s="1"/>
  <c r="H316" i="73" a="1"/>
  <c r="H316" i="73" s="1"/>
  <c r="G312" i="29" a="1"/>
  <c r="G312" i="29" s="1"/>
  <c r="F302" i="29" a="1"/>
  <c r="F302" i="29" s="1"/>
  <c r="G295" i="81" a="1"/>
  <c r="G295" i="81" s="1"/>
  <c r="F311" i="76" a="1"/>
  <c r="F311" i="76" s="1"/>
  <c r="G302" i="80" a="1"/>
  <c r="G302" i="80" s="1"/>
  <c r="I299" i="78" a="1"/>
  <c r="I299" i="78" s="1"/>
  <c r="H303" i="79" a="1"/>
  <c r="H303" i="79" s="1"/>
  <c r="F305" i="83" a="1"/>
  <c r="F305" i="83" s="1"/>
  <c r="D309" i="73" a="1"/>
  <c r="D309" i="73" s="1"/>
  <c r="G309" i="29" a="1"/>
  <c r="G309" i="29" s="1"/>
  <c r="D308" i="79" a="1"/>
  <c r="D308" i="79" s="1"/>
  <c r="I292" i="73" a="1"/>
  <c r="I292" i="73" s="1"/>
  <c r="I299" i="81" a="1"/>
  <c r="I299" i="81" s="1"/>
  <c r="G300" i="79" a="1"/>
  <c r="G300" i="79" s="1"/>
  <c r="F311" i="29" a="1"/>
  <c r="F311" i="29" s="1"/>
  <c r="F304" i="80" a="1"/>
  <c r="F304" i="80" s="1"/>
  <c r="I314" i="78" a="1"/>
  <c r="I314" i="78" s="1"/>
  <c r="D303" i="82" a="1"/>
  <c r="D303" i="82" s="1"/>
  <c r="F297" i="74" a="1"/>
  <c r="F297" i="74" s="1"/>
  <c r="I297" i="77" a="1"/>
  <c r="I297" i="77" s="1"/>
  <c r="I294" i="29" a="1"/>
  <c r="I294" i="29" s="1"/>
  <c r="D296" i="76" a="1"/>
  <c r="D296" i="76" s="1"/>
  <c r="H301" i="75" a="1"/>
  <c r="H301" i="75" s="1"/>
  <c r="H298" i="81" a="1"/>
  <c r="H298" i="81" s="1"/>
  <c r="D298" i="75" a="1"/>
  <c r="D298" i="75" s="1"/>
  <c r="I304" i="80" a="1"/>
  <c r="I304" i="80" s="1"/>
  <c r="H300" i="77" a="1"/>
  <c r="H300" i="77" s="1"/>
  <c r="F313" i="79" a="1"/>
  <c r="F313" i="79" s="1"/>
  <c r="D296" i="84" a="1"/>
  <c r="D296" i="84" s="1"/>
  <c r="H295" i="80" a="1"/>
  <c r="H295" i="80" s="1"/>
  <c r="D309" i="82" a="1"/>
  <c r="D309" i="82" s="1"/>
  <c r="I302" i="73" a="1"/>
  <c r="I302" i="73" s="1"/>
  <c r="G301" i="79" a="1"/>
  <c r="G301" i="79" s="1"/>
  <c r="H308" i="78" a="1"/>
  <c r="H308" i="78" s="1"/>
  <c r="H296" i="75" a="1"/>
  <c r="H296" i="75" s="1"/>
  <c r="I298" i="29" a="1"/>
  <c r="I298" i="29" s="1"/>
  <c r="D310" i="73" a="1"/>
  <c r="D310" i="73" s="1"/>
  <c r="H293" i="73" a="1"/>
  <c r="H293" i="73" s="1"/>
  <c r="D297" i="81" a="1"/>
  <c r="D297" i="81" s="1"/>
  <c r="I302" i="84" a="1"/>
  <c r="I302" i="84" s="1"/>
  <c r="F316" i="75" a="1"/>
  <c r="F316" i="75" s="1"/>
  <c r="F308" i="81" a="1"/>
  <c r="F308" i="81" s="1"/>
  <c r="G303" i="79" a="1"/>
  <c r="G303" i="79" s="1"/>
  <c r="F294" i="78" a="1"/>
  <c r="F294" i="78" s="1"/>
  <c r="G294" i="77" a="1"/>
  <c r="G294" i="77" s="1"/>
  <c r="H306" i="77" a="1"/>
  <c r="H306" i="77" s="1"/>
  <c r="I312" i="77" a="1"/>
  <c r="I312" i="77" s="1"/>
  <c r="D296" i="79" a="1"/>
  <c r="D296" i="79" s="1"/>
  <c r="G313" i="77" a="1"/>
  <c r="G313" i="77" s="1"/>
  <c r="I304" i="75" a="1"/>
  <c r="I304" i="75" s="1"/>
  <c r="F314" i="29" a="1"/>
  <c r="F314" i="29" s="1"/>
  <c r="F293" i="29" a="1"/>
  <c r="F293" i="29" s="1"/>
  <c r="G297" i="79" a="1"/>
  <c r="G297" i="79" s="1"/>
  <c r="H293" i="29" a="1"/>
  <c r="H293" i="29" s="1"/>
  <c r="H307" i="76" a="1"/>
  <c r="H307" i="76" s="1"/>
  <c r="G293" i="76" a="1"/>
  <c r="G293" i="76" s="1"/>
  <c r="H303" i="29" a="1"/>
  <c r="H303" i="29" s="1"/>
  <c r="I304" i="76" a="1"/>
  <c r="I304" i="76" s="1"/>
  <c r="I309" i="34" a="1"/>
  <c r="I309" i="34" s="1"/>
  <c r="D311" i="80" a="1"/>
  <c r="D311" i="80" s="1"/>
  <c r="H293" i="82" a="1"/>
  <c r="H293" i="82" s="1"/>
  <c r="H305" i="82" a="1"/>
  <c r="H305" i="82" s="1"/>
  <c r="I293" i="73" a="1"/>
  <c r="I293" i="73" s="1"/>
  <c r="D293" i="81" a="1"/>
  <c r="D293" i="81" s="1"/>
  <c r="H312" i="81" a="1"/>
  <c r="H312" i="81" s="1"/>
  <c r="G307" i="75" a="1"/>
  <c r="G307" i="75" s="1"/>
  <c r="H303" i="34" a="1"/>
  <c r="H303" i="34" s="1"/>
  <c r="F309" i="88" a="1"/>
  <c r="F309" i="88" s="1"/>
  <c r="D309" i="81" a="1"/>
  <c r="D309" i="81" s="1"/>
  <c r="D302" i="81" a="1"/>
  <c r="D302" i="81" s="1"/>
  <c r="D301" i="29" a="1"/>
  <c r="D301" i="29" s="1"/>
  <c r="H293" i="75" a="1"/>
  <c r="H293" i="75" s="1"/>
  <c r="G307" i="74" a="1"/>
  <c r="G307" i="74" s="1"/>
  <c r="D315" i="80" a="1"/>
  <c r="D315" i="80" s="1"/>
  <c r="I306" i="74" a="1"/>
  <c r="I306" i="74" s="1"/>
  <c r="I303" i="29" a="1"/>
  <c r="I303" i="29" s="1"/>
  <c r="I315" i="77" a="1"/>
  <c r="I315" i="77" s="1"/>
  <c r="I304" i="74" a="1"/>
  <c r="I304" i="74" s="1"/>
  <c r="G306" i="85" a="1"/>
  <c r="G306" i="85" s="1"/>
  <c r="F312" i="34" a="1"/>
  <c r="F312" i="34" s="1"/>
  <c r="G297" i="73" a="1"/>
  <c r="G297" i="73" s="1"/>
  <c r="F309" i="80" a="1"/>
  <c r="F309" i="80" s="1"/>
  <c r="G311" i="80" a="1"/>
  <c r="G311" i="80" s="1"/>
  <c r="H292" i="76" a="1"/>
  <c r="H292" i="76" s="1"/>
  <c r="G297" i="34" a="1"/>
  <c r="G297" i="34" s="1"/>
  <c r="D316" i="83" a="1"/>
  <c r="D316" i="83" s="1"/>
  <c r="H303" i="73" a="1"/>
  <c r="H303" i="73" s="1"/>
  <c r="D299" i="75" a="1"/>
  <c r="D299" i="75" s="1"/>
  <c r="D299" i="78" a="1"/>
  <c r="D299" i="78" s="1"/>
  <c r="I314" i="83" a="1"/>
  <c r="I314" i="83" s="1"/>
  <c r="D308" i="82" a="1"/>
  <c r="D308" i="82" s="1"/>
  <c r="G297" i="86" a="1"/>
  <c r="G297" i="86" s="1"/>
  <c r="G299" i="79" a="1"/>
  <c r="G299" i="79" s="1"/>
  <c r="F316" i="78" a="1"/>
  <c r="F316" i="78" s="1"/>
  <c r="I295" i="74" a="1"/>
  <c r="I295" i="74" s="1"/>
  <c r="I298" i="82" a="1"/>
  <c r="I298" i="82" s="1"/>
  <c r="G315" i="80" a="1"/>
  <c r="G315" i="80" s="1"/>
  <c r="I299" i="34" a="1"/>
  <c r="I299" i="34" s="1"/>
  <c r="D305" i="82" a="1"/>
  <c r="D305" i="82" s="1"/>
  <c r="H310" i="74" a="1"/>
  <c r="H310" i="74" s="1"/>
  <c r="G310" i="79" a="1"/>
  <c r="G310" i="79" s="1"/>
  <c r="I296" i="78" a="1"/>
  <c r="I296" i="78" s="1"/>
  <c r="D294" i="77" a="1"/>
  <c r="D294" i="77" s="1"/>
  <c r="F306" i="83" a="1"/>
  <c r="F306" i="83" s="1"/>
  <c r="I305" i="82" a="1"/>
  <c r="I305" i="82" s="1"/>
  <c r="I309" i="75" a="1"/>
  <c r="I309" i="75" s="1"/>
  <c r="I299" i="83" a="1"/>
  <c r="I299" i="83" s="1"/>
  <c r="F316" i="82" a="1"/>
  <c r="F316" i="82" s="1"/>
  <c r="D311" i="81" a="1"/>
  <c r="D311" i="81" s="1"/>
  <c r="D303" i="84" a="1"/>
  <c r="D303" i="84" s="1"/>
  <c r="D300" i="78" a="1"/>
  <c r="D300" i="78" s="1"/>
  <c r="F304" i="29" a="1"/>
  <c r="F304" i="29" s="1"/>
  <c r="F304" i="74" a="1"/>
  <c r="F304" i="74" s="1"/>
  <c r="F303" i="29" a="1"/>
  <c r="F303" i="29" s="1"/>
  <c r="D308" i="34" a="1"/>
  <c r="D308" i="34" s="1"/>
  <c r="G314" i="75" a="1"/>
  <c r="G314" i="75" s="1"/>
  <c r="D300" i="81" a="1"/>
  <c r="D300" i="81" s="1"/>
  <c r="G297" i="76" a="1"/>
  <c r="G297" i="76" s="1"/>
  <c r="I293" i="77" a="1"/>
  <c r="I293" i="77" s="1"/>
  <c r="I315" i="75" a="1"/>
  <c r="I315" i="75" s="1"/>
  <c r="I300" i="29" a="1"/>
  <c r="I300" i="29" s="1"/>
  <c r="H313" i="76" a="1"/>
  <c r="H313" i="76" s="1"/>
  <c r="F293" i="82" a="1"/>
  <c r="F293" i="82" s="1"/>
  <c r="F303" i="83" a="1"/>
  <c r="F303" i="83" s="1"/>
  <c r="I311" i="73" a="1"/>
  <c r="I311" i="73" s="1"/>
  <c r="G313" i="29" a="1"/>
  <c r="G313" i="29" s="1"/>
  <c r="F294" i="75" a="1"/>
  <c r="F294" i="75" s="1"/>
  <c r="F303" i="79" a="1"/>
  <c r="F303" i="79" s="1"/>
  <c r="G303" i="74" a="1"/>
  <c r="G303" i="74" s="1"/>
  <c r="D296" i="74" a="1"/>
  <c r="D296" i="74" s="1"/>
  <c r="F295" i="82" a="1"/>
  <c r="F295" i="82" s="1"/>
  <c r="H314" i="76" a="1"/>
  <c r="H314" i="76" s="1"/>
  <c r="F298" i="81" a="1"/>
  <c r="F298" i="81" s="1"/>
  <c r="H310" i="80" a="1"/>
  <c r="H310" i="80" s="1"/>
  <c r="I312" i="76" a="1"/>
  <c r="I312" i="76" s="1"/>
  <c r="D313" i="74" a="1"/>
  <c r="D313" i="74" s="1"/>
  <c r="H299" i="75" a="1"/>
  <c r="H299" i="75" s="1"/>
  <c r="I300" i="75" a="1"/>
  <c r="I300" i="75" s="1"/>
  <c r="D299" i="34" a="1"/>
  <c r="D299" i="34" s="1"/>
  <c r="F296" i="76" a="1"/>
  <c r="F296" i="76" s="1"/>
  <c r="G294" i="74" a="1"/>
  <c r="G294" i="74" s="1"/>
  <c r="I294" i="73" a="1"/>
  <c r="I294" i="73" s="1"/>
  <c r="H307" i="77" a="1"/>
  <c r="H307" i="77" s="1"/>
  <c r="H302" i="79" a="1"/>
  <c r="H302" i="79" s="1"/>
  <c r="H305" i="76" a="1"/>
  <c r="H305" i="76" s="1"/>
  <c r="I301" i="78" a="1"/>
  <c r="I301" i="78" s="1"/>
  <c r="D311" i="78" a="1"/>
  <c r="D311" i="78" s="1"/>
  <c r="H304" i="80" a="1"/>
  <c r="H304" i="80" s="1"/>
  <c r="I311" i="76" a="1"/>
  <c r="I311" i="76" s="1"/>
  <c r="D309" i="76" a="1"/>
  <c r="D309" i="76" s="1"/>
  <c r="D310" i="34" a="1"/>
  <c r="D310" i="34" s="1"/>
  <c r="F301" i="75" a="1"/>
  <c r="F301" i="75" s="1"/>
  <c r="G295" i="29" a="1"/>
  <c r="G295" i="29" s="1"/>
  <c r="G292" i="29" a="1"/>
  <c r="G292" i="29" s="1"/>
  <c r="H312" i="89" a="1"/>
  <c r="H312" i="89" s="1"/>
  <c r="F307" i="80" a="1"/>
  <c r="F307" i="80" s="1"/>
  <c r="D311" i="79" a="1"/>
  <c r="D311" i="79" s="1"/>
  <c r="D295" i="82" a="1"/>
  <c r="D295" i="82" s="1"/>
  <c r="F306" i="73" a="1"/>
  <c r="F306" i="73" s="1"/>
  <c r="G306" i="80" a="1"/>
  <c r="G306" i="80" s="1"/>
  <c r="D300" i="82" a="1"/>
  <c r="D300" i="82" s="1"/>
  <c r="I297" i="73" a="1"/>
  <c r="I297" i="73" s="1"/>
  <c r="G305" i="76" a="1"/>
  <c r="G305" i="76" s="1"/>
  <c r="F311" i="79" a="1"/>
  <c r="F311" i="79" s="1"/>
  <c r="F303" i="77" a="1"/>
  <c r="F303" i="77" s="1"/>
  <c r="H308" i="73" a="1"/>
  <c r="H308" i="73" s="1"/>
  <c r="I301" i="75" a="1"/>
  <c r="I301" i="75" s="1"/>
  <c r="I313" i="76" a="1"/>
  <c r="I313" i="76" s="1"/>
  <c r="F295" i="77" a="1"/>
  <c r="F295" i="77" s="1"/>
  <c r="H316" i="86" a="1"/>
  <c r="H316" i="86" s="1"/>
  <c r="D312" i="29" a="1"/>
  <c r="D312" i="29" s="1"/>
  <c r="G298" i="83" a="1"/>
  <c r="G298" i="83" s="1"/>
  <c r="D302" i="77" a="1"/>
  <c r="D302" i="77" s="1"/>
  <c r="D313" i="75" a="1"/>
  <c r="D313" i="75" s="1"/>
  <c r="D294" i="81" a="1"/>
  <c r="D294" i="81" s="1"/>
  <c r="I303" i="73" a="1"/>
  <c r="I303" i="73" s="1"/>
  <c r="F300" i="77" a="1"/>
  <c r="F300" i="77" s="1"/>
  <c r="G308" i="82" a="1"/>
  <c r="G308" i="82" s="1"/>
  <c r="D313" i="34" a="1"/>
  <c r="D313" i="34" s="1"/>
  <c r="G309" i="81" a="1"/>
  <c r="G309" i="81" s="1"/>
  <c r="H316" i="77" a="1"/>
  <c r="H316" i="77" s="1"/>
  <c r="D297" i="76" a="1"/>
  <c r="D297" i="76" s="1"/>
  <c r="D299" i="82" a="1"/>
  <c r="D299" i="82" s="1"/>
  <c r="G300" i="82" a="1"/>
  <c r="G300" i="82" s="1"/>
  <c r="F309" i="75" a="1"/>
  <c r="F309" i="75" s="1"/>
  <c r="F296" i="75" a="1"/>
  <c r="F296" i="75" s="1"/>
  <c r="F297" i="29" a="1"/>
  <c r="F297" i="29" s="1"/>
  <c r="F315" i="73" a="1"/>
  <c r="F315" i="73" s="1"/>
  <c r="G299" i="78" a="1"/>
  <c r="G299" i="78" s="1"/>
  <c r="G298" i="80" a="1"/>
  <c r="G298" i="80" s="1"/>
  <c r="I308" i="76" a="1"/>
  <c r="I308" i="76" s="1"/>
  <c r="G297" i="74" a="1"/>
  <c r="G297" i="74" s="1"/>
  <c r="D308" i="29" a="1"/>
  <c r="D308" i="29" s="1"/>
  <c r="F312" i="73" a="1"/>
  <c r="F312" i="73" s="1"/>
  <c r="G300" i="34" a="1"/>
  <c r="G300" i="34" s="1"/>
  <c r="I313" i="29" a="1"/>
  <c r="I313" i="29" s="1"/>
  <c r="F296" i="29" a="1"/>
  <c r="F296" i="29" s="1"/>
  <c r="H292" i="77" a="1"/>
  <c r="H292" i="77" s="1"/>
  <c r="D304" i="34" a="1"/>
  <c r="D304" i="34" s="1"/>
  <c r="H294" i="75" a="1"/>
  <c r="H294" i="75" s="1"/>
  <c r="H294" i="76" a="1"/>
  <c r="H294" i="76" s="1"/>
  <c r="H299" i="73" a="1"/>
  <c r="H299" i="73" s="1"/>
  <c r="H307" i="82" a="1"/>
  <c r="H307" i="82" s="1"/>
  <c r="H313" i="73" a="1"/>
  <c r="H313" i="73" s="1"/>
  <c r="D294" i="29" a="1"/>
  <c r="D294" i="29" s="1"/>
  <c r="I316" i="77" a="1"/>
  <c r="I316" i="77" s="1"/>
  <c r="H313" i="78" a="1"/>
  <c r="H313" i="78" s="1"/>
  <c r="D297" i="79" a="1"/>
  <c r="D297" i="79" s="1"/>
  <c r="D308" i="75" a="1"/>
  <c r="D308" i="75" s="1"/>
  <c r="I310" i="73" a="1"/>
  <c r="I310" i="73" s="1"/>
  <c r="I302" i="75" a="1"/>
  <c r="I302" i="75" s="1"/>
  <c r="F306" i="81" a="1"/>
  <c r="F306" i="81" s="1"/>
  <c r="I313" i="77" a="1"/>
  <c r="I313" i="77" s="1"/>
  <c r="F311" i="73" a="1"/>
  <c r="F311" i="73" s="1"/>
  <c r="G313" i="79" a="1"/>
  <c r="G313" i="79" s="1"/>
  <c r="H305" i="80" a="1"/>
  <c r="H305" i="80" s="1"/>
  <c r="G304" i="74" a="1"/>
  <c r="G304" i="74" s="1"/>
  <c r="G304" i="81" a="1"/>
  <c r="G304" i="81" s="1"/>
  <c r="F310" i="79" a="1"/>
  <c r="F310" i="79" s="1"/>
  <c r="D306" i="74" a="1"/>
  <c r="D306" i="74" s="1"/>
  <c r="D296" i="77" a="1"/>
  <c r="D296" i="77" s="1"/>
  <c r="F308" i="34" a="1"/>
  <c r="F308" i="34" s="1"/>
  <c r="I307" i="80" a="1"/>
  <c r="I307" i="80" s="1"/>
  <c r="I309" i="79" a="1"/>
  <c r="I309" i="79" s="1"/>
  <c r="D313" i="73" a="1"/>
  <c r="D313" i="73" s="1"/>
  <c r="F300" i="74" a="1"/>
  <c r="F300" i="74" s="1"/>
  <c r="F308" i="73" a="1"/>
  <c r="F308" i="73" s="1"/>
  <c r="H300" i="76" a="1"/>
  <c r="H300" i="76" s="1"/>
  <c r="G315" i="74" a="1"/>
  <c r="G315" i="74" s="1"/>
  <c r="G308" i="73" a="1"/>
  <c r="G308" i="73" s="1"/>
  <c r="H311" i="77" a="1"/>
  <c r="H311" i="77" s="1"/>
  <c r="H297" i="73" a="1"/>
  <c r="H297" i="73" s="1"/>
  <c r="H297" i="80" a="1"/>
  <c r="H297" i="80" s="1"/>
  <c r="H308" i="29" a="1"/>
  <c r="H308" i="29" s="1"/>
  <c r="G301" i="76" a="1"/>
  <c r="G301" i="76" s="1"/>
  <c r="D307" i="74" a="1"/>
  <c r="D307" i="74" s="1"/>
  <c r="H304" i="74" a="1"/>
  <c r="H304" i="74" s="1"/>
  <c r="I296" i="34" a="1"/>
  <c r="I296" i="34" s="1"/>
  <c r="F302" i="81" a="1"/>
  <c r="F302" i="81" s="1"/>
  <c r="D314" i="78" a="1"/>
  <c r="D314" i="78" s="1"/>
  <c r="I314" i="79" a="1"/>
  <c r="I314" i="79" s="1"/>
  <c r="H314" i="80" a="1"/>
  <c r="H314" i="80" s="1"/>
  <c r="H316" i="76" a="1"/>
  <c r="H316" i="76" s="1"/>
  <c r="D294" i="80" a="1"/>
  <c r="D294" i="80" s="1"/>
  <c r="G304" i="80" a="1"/>
  <c r="G304" i="80" s="1"/>
  <c r="G307" i="82" a="1"/>
  <c r="G307" i="82" s="1"/>
  <c r="F298" i="78" a="1"/>
  <c r="F298" i="78" s="1"/>
  <c r="G308" i="29" a="1"/>
  <c r="G308" i="29" s="1"/>
  <c r="D303" i="83" a="1"/>
  <c r="D303" i="83" s="1"/>
  <c r="F306" i="76" a="1"/>
  <c r="F306" i="76" s="1"/>
  <c r="D312" i="34" a="1"/>
  <c r="D312" i="34" s="1"/>
  <c r="G293" i="81" a="1"/>
  <c r="G293" i="81" s="1"/>
  <c r="D297" i="84" a="1"/>
  <c r="D297" i="84" s="1"/>
  <c r="F298" i="79" a="1"/>
  <c r="F298" i="79" s="1"/>
  <c r="H304" i="75" a="1"/>
  <c r="H304" i="75" s="1"/>
  <c r="F314" i="75" a="1"/>
  <c r="F314" i="75" s="1"/>
  <c r="I310" i="84" a="1"/>
  <c r="I310" i="84" s="1"/>
  <c r="I301" i="73" a="1"/>
  <c r="I301" i="73" s="1"/>
  <c r="G308" i="78" a="1"/>
  <c r="G308" i="78" s="1"/>
  <c r="I312" i="29" a="1"/>
  <c r="I312" i="29" s="1"/>
  <c r="H298" i="73" a="1"/>
  <c r="H298" i="73" s="1"/>
  <c r="I313" i="74" a="1"/>
  <c r="I313" i="74" s="1"/>
  <c r="H300" i="82" a="1"/>
  <c r="H300" i="82" s="1"/>
  <c r="D296" i="34" a="1"/>
  <c r="D296" i="34" s="1"/>
  <c r="H292" i="34" a="1"/>
  <c r="H292" i="34" s="1"/>
  <c r="D313" i="79" a="1"/>
  <c r="D313" i="79" s="1"/>
  <c r="H293" i="34" a="1"/>
  <c r="H293" i="34" s="1"/>
  <c r="I303" i="74" a="1"/>
  <c r="I303" i="74" s="1"/>
  <c r="G306" i="29" a="1"/>
  <c r="G306" i="29" s="1"/>
  <c r="I308" i="73" a="1"/>
  <c r="I308" i="73" s="1"/>
  <c r="F313" i="76" a="1"/>
  <c r="F313" i="76" s="1"/>
  <c r="H312" i="29" a="1"/>
  <c r="H312" i="29" s="1"/>
  <c r="I301" i="80" a="1"/>
  <c r="I301" i="80" s="1"/>
  <c r="F297" i="79" a="1"/>
  <c r="F297" i="79" s="1"/>
  <c r="G310" i="74" a="1"/>
  <c r="G310" i="74" s="1"/>
  <c r="G314" i="29" a="1"/>
  <c r="G314" i="29" s="1"/>
  <c r="F297" i="83" a="1"/>
  <c r="F297" i="83" s="1"/>
  <c r="I292" i="74" a="1"/>
  <c r="I292" i="74" s="1"/>
  <c r="D310" i="77" a="1"/>
  <c r="D310" i="77" s="1"/>
  <c r="H297" i="75" a="1"/>
  <c r="H297" i="75" s="1"/>
  <c r="H312" i="80" a="1"/>
  <c r="H312" i="80" s="1"/>
  <c r="I308" i="79" a="1"/>
  <c r="I308" i="79" s="1"/>
  <c r="I297" i="81" a="1"/>
  <c r="I297" i="81" s="1"/>
  <c r="H316" i="82" a="1"/>
  <c r="H316" i="82" s="1"/>
  <c r="I299" i="80" a="1"/>
  <c r="I299" i="80" s="1"/>
  <c r="I306" i="79" a="1"/>
  <c r="I306" i="79" s="1"/>
  <c r="I293" i="74" a="1"/>
  <c r="I293" i="74" s="1"/>
  <c r="G316" i="84" a="1"/>
  <c r="G316" i="84" s="1"/>
  <c r="I298" i="81" a="1"/>
  <c r="I298" i="81" s="1"/>
  <c r="I311" i="34" a="1"/>
  <c r="I311" i="34" s="1"/>
  <c r="D297" i="73" a="1"/>
  <c r="D297" i="73" s="1"/>
  <c r="G295" i="76" a="1"/>
  <c r="G295" i="76" s="1"/>
  <c r="F310" i="73" a="1"/>
  <c r="F310" i="73" s="1"/>
  <c r="I315" i="29" a="1"/>
  <c r="I315" i="29" s="1"/>
  <c r="I312" i="83" a="1"/>
  <c r="I312" i="83" s="1"/>
  <c r="G296" i="34" a="1"/>
  <c r="G296" i="34" s="1"/>
  <c r="H310" i="76" a="1"/>
  <c r="H310" i="76" s="1"/>
  <c r="G312" i="78" a="1"/>
  <c r="G312" i="78" s="1"/>
  <c r="F297" i="82" a="1"/>
  <c r="F297" i="82" s="1"/>
  <c r="H300" i="83" a="1"/>
  <c r="H300" i="83" s="1"/>
  <c r="H306" i="79" a="1"/>
  <c r="H306" i="79" s="1"/>
  <c r="H294" i="84" a="1"/>
  <c r="H294" i="84" s="1"/>
  <c r="H298" i="76" a="1"/>
  <c r="H298" i="76" s="1"/>
  <c r="D314" i="74" a="1"/>
  <c r="D314" i="74" s="1"/>
  <c r="G306" i="34" a="1"/>
  <c r="G306" i="34" s="1"/>
  <c r="G293" i="78" a="1"/>
  <c r="G293" i="78" s="1"/>
  <c r="G307" i="76" a="1"/>
  <c r="G307" i="76" s="1"/>
  <c r="G312" i="75" a="1"/>
  <c r="G312" i="75" s="1"/>
  <c r="I311" i="80" a="1"/>
  <c r="I311" i="80" s="1"/>
  <c r="F314" i="79" a="1"/>
  <c r="F314" i="79" s="1"/>
  <c r="F313" i="82" a="1"/>
  <c r="F313" i="82" s="1"/>
  <c r="D309" i="80" a="1"/>
  <c r="D309" i="80" s="1"/>
  <c r="I302" i="80" a="1"/>
  <c r="I302" i="80" s="1"/>
  <c r="I294" i="80" a="1"/>
  <c r="I294" i="80" s="1"/>
  <c r="H313" i="81" a="1"/>
  <c r="H313" i="81" s="1"/>
  <c r="I302" i="79" a="1"/>
  <c r="I302" i="79" s="1"/>
  <c r="I307" i="90" a="1"/>
  <c r="I307" i="90" s="1"/>
  <c r="I300" i="79" a="1"/>
  <c r="I300" i="79" s="1"/>
  <c r="I298" i="74" a="1"/>
  <c r="I298" i="74" s="1"/>
  <c r="G311" i="34" a="1"/>
  <c r="G311" i="34" s="1"/>
  <c r="F309" i="81" a="1"/>
  <c r="F309" i="81" s="1"/>
  <c r="D309" i="29" a="1"/>
  <c r="D309" i="29" s="1"/>
  <c r="D301" i="82" a="1"/>
  <c r="D301" i="82" s="1"/>
  <c r="H300" i="84" a="1"/>
  <c r="H300" i="84" s="1"/>
  <c r="H297" i="77" a="1"/>
  <c r="H297" i="77" s="1"/>
  <c r="H313" i="79" a="1"/>
  <c r="H313" i="79" s="1"/>
  <c r="H307" i="29" a="1"/>
  <c r="H307" i="29" s="1"/>
  <c r="D309" i="74" a="1"/>
  <c r="D309" i="74" s="1"/>
  <c r="I308" i="80" a="1"/>
  <c r="I308" i="80" s="1"/>
  <c r="F294" i="81" a="1"/>
  <c r="F294" i="81" s="1"/>
  <c r="G316" i="76" a="1"/>
  <c r="G316" i="76" s="1"/>
  <c r="D305" i="88" a="1"/>
  <c r="D305" i="88" s="1"/>
  <c r="I306" i="82" a="1"/>
  <c r="I306" i="82" s="1"/>
  <c r="H308" i="84" a="1"/>
  <c r="H308" i="84" s="1"/>
  <c r="H308" i="34" a="1"/>
  <c r="H308" i="34" s="1"/>
  <c r="D316" i="74" a="1"/>
  <c r="D316" i="74" s="1"/>
  <c r="D304" i="76" a="1"/>
  <c r="D304" i="76" s="1"/>
  <c r="H299" i="74" a="1"/>
  <c r="H299" i="74" s="1"/>
  <c r="G292" i="76" a="1"/>
  <c r="G292" i="76" s="1"/>
  <c r="I313" i="34" a="1"/>
  <c r="I313" i="34" s="1"/>
  <c r="I302" i="77" a="1"/>
  <c r="I302" i="77" s="1"/>
  <c r="G296" i="80" a="1"/>
  <c r="G296" i="80" s="1"/>
  <c r="H315" i="74" a="1"/>
  <c r="H315" i="74" s="1"/>
  <c r="I302" i="78" a="1"/>
  <c r="I302" i="78" s="1"/>
  <c r="G304" i="29" a="1"/>
  <c r="G304" i="29" s="1"/>
  <c r="D310" i="29" a="1"/>
  <c r="D310" i="29" s="1"/>
  <c r="G311" i="81" a="1"/>
  <c r="G311" i="81" s="1"/>
  <c r="H310" i="29" a="1"/>
  <c r="H310" i="29" s="1"/>
  <c r="I301" i="77" a="1"/>
  <c r="I301" i="77" s="1"/>
  <c r="F306" i="77" a="1"/>
  <c r="F306" i="77" s="1"/>
  <c r="I304" i="29" a="1"/>
  <c r="I304" i="29" s="1"/>
  <c r="G304" i="73" a="1"/>
  <c r="G304" i="73" s="1"/>
  <c r="I302" i="29" a="1"/>
  <c r="I302" i="29" s="1"/>
  <c r="D307" i="29" a="1"/>
  <c r="D307" i="29" s="1"/>
  <c r="I292" i="82" a="1"/>
  <c r="I292" i="82" s="1"/>
  <c r="I312" i="75" a="1"/>
  <c r="I312" i="75" s="1"/>
  <c r="F310" i="29" a="1"/>
  <c r="F310" i="29" s="1"/>
  <c r="D314" i="79" a="1"/>
  <c r="D314" i="79" s="1"/>
  <c r="H304" i="78" a="1"/>
  <c r="H304" i="78" s="1"/>
  <c r="H294" i="29" a="1"/>
  <c r="H294" i="29" s="1"/>
  <c r="G308" i="76" a="1"/>
  <c r="G308" i="76" s="1"/>
  <c r="I307" i="77" a="1"/>
  <c r="I307" i="77" s="1"/>
  <c r="H304" i="73" a="1"/>
  <c r="H304" i="73" s="1"/>
  <c r="F312" i="82" a="1"/>
  <c r="F312" i="82" s="1"/>
  <c r="I304" i="77" a="1"/>
  <c r="I304" i="77" s="1"/>
  <c r="H292" i="78" a="1"/>
  <c r="H292" i="78" s="1"/>
  <c r="F305" i="76" a="1"/>
  <c r="F305" i="76" s="1"/>
  <c r="D293" i="29" a="1"/>
  <c r="D293" i="29" s="1"/>
  <c r="I305" i="85" a="1"/>
  <c r="I305" i="85" s="1"/>
  <c r="H314" i="75" a="1"/>
  <c r="H314" i="75" s="1"/>
  <c r="F306" i="78" a="1"/>
  <c r="F306" i="78" s="1"/>
  <c r="H299" i="81" a="1"/>
  <c r="H299" i="81" s="1"/>
  <c r="G302" i="79" a="1"/>
  <c r="G302" i="79" s="1"/>
  <c r="D295" i="74" a="1"/>
  <c r="D295" i="74" s="1"/>
  <c r="H310" i="73" a="1"/>
  <c r="H310" i="73" s="1"/>
  <c r="D309" i="78" a="1"/>
  <c r="D309" i="78" s="1"/>
  <c r="H311" i="76" a="1"/>
  <c r="H311" i="76" s="1"/>
  <c r="F293" i="73" a="1"/>
  <c r="F293" i="73" s="1"/>
  <c r="I302" i="76" a="1"/>
  <c r="I302" i="76" s="1"/>
  <c r="G292" i="77" a="1"/>
  <c r="G292" i="77" s="1"/>
  <c r="D294" i="79" a="1"/>
  <c r="D294" i="79" s="1"/>
  <c r="F309" i="74" a="1"/>
  <c r="F309" i="74" s="1"/>
  <c r="H295" i="74" a="1"/>
  <c r="H295" i="74" s="1"/>
  <c r="F315" i="75" a="1"/>
  <c r="F315" i="75" s="1"/>
  <c r="F313" i="74" a="1"/>
  <c r="F313" i="74" s="1"/>
  <c r="D302" i="29" a="1"/>
  <c r="D302" i="29" s="1"/>
  <c r="I316" i="81" a="1"/>
  <c r="I316" i="81" s="1"/>
  <c r="H311" i="78" a="1"/>
  <c r="H311" i="78" s="1"/>
  <c r="H293" i="80" a="1"/>
  <c r="H293" i="80" s="1"/>
  <c r="D298" i="34" a="1"/>
  <c r="D298" i="34" s="1"/>
  <c r="D302" i="78" a="1"/>
  <c r="D302" i="78" s="1"/>
  <c r="H297" i="74" a="1"/>
  <c r="H297" i="74" s="1"/>
  <c r="I307" i="76" a="1"/>
  <c r="I307" i="76" s="1"/>
  <c r="I311" i="81" a="1"/>
  <c r="I311" i="81" s="1"/>
  <c r="I316" i="78" a="1"/>
  <c r="I316" i="78" s="1"/>
  <c r="G306" i="79" a="1"/>
  <c r="G306" i="79" s="1"/>
  <c r="I308" i="77" a="1"/>
  <c r="I308" i="77" s="1"/>
  <c r="D312" i="73" a="1"/>
  <c r="D312" i="73" s="1"/>
  <c r="H298" i="80" a="1"/>
  <c r="H298" i="80" s="1"/>
  <c r="G313" i="78" a="1"/>
  <c r="G313" i="78" s="1"/>
  <c r="I294" i="79" a="1"/>
  <c r="I294" i="79" s="1"/>
  <c r="H302" i="83" a="1"/>
  <c r="H302" i="83" s="1"/>
  <c r="D304" i="81" a="1"/>
  <c r="D304" i="81" s="1"/>
  <c r="H293" i="74" a="1"/>
  <c r="H293" i="74" s="1"/>
  <c r="G311" i="74" a="1"/>
  <c r="G311" i="74" s="1"/>
  <c r="D303" i="79" a="1"/>
  <c r="D303" i="79" s="1"/>
  <c r="F308" i="76" a="1"/>
  <c r="F308" i="76" s="1"/>
  <c r="H296" i="80" a="1"/>
  <c r="H296" i="80" s="1"/>
  <c r="G300" i="73" a="1"/>
  <c r="G300" i="73" s="1"/>
  <c r="H296" i="76" a="1"/>
  <c r="H296" i="76" s="1"/>
  <c r="G303" i="29" a="1"/>
  <c r="G303" i="29" s="1"/>
  <c r="F310" i="75" a="1"/>
  <c r="F310" i="75" s="1"/>
  <c r="D302" i="74" a="1"/>
  <c r="D302" i="74" s="1"/>
  <c r="F301" i="81" a="1"/>
  <c r="F301" i="81" s="1"/>
  <c r="G301" i="73" a="1"/>
  <c r="G301" i="73" s="1"/>
  <c r="G313" i="80" a="1"/>
  <c r="G313" i="80" s="1"/>
  <c r="F304" i="34" a="1"/>
  <c r="F304" i="34" s="1"/>
  <c r="G313" i="73" a="1"/>
  <c r="G313" i="73" s="1"/>
  <c r="H307" i="34" a="1"/>
  <c r="H307" i="34" s="1"/>
  <c r="F293" i="74" a="1"/>
  <c r="F293" i="74" s="1"/>
  <c r="H314" i="77" a="1"/>
  <c r="H314" i="77" s="1"/>
  <c r="I316" i="74" a="1"/>
  <c r="I316" i="74" s="1"/>
  <c r="F314" i="80" a="1"/>
  <c r="F314" i="80" s="1"/>
  <c r="F313" i="81" a="1"/>
  <c r="F313" i="81" s="1"/>
  <c r="G296" i="77" a="1"/>
  <c r="G296" i="77" s="1"/>
  <c r="H297" i="83" a="1"/>
  <c r="H297" i="83" s="1"/>
  <c r="D300" i="73" a="1"/>
  <c r="D300" i="73" s="1"/>
  <c r="H297" i="76" a="1"/>
  <c r="H297" i="76" s="1"/>
  <c r="D298" i="79" a="1"/>
  <c r="D298" i="79" s="1"/>
  <c r="H300" i="78" a="1"/>
  <c r="H300" i="78" s="1"/>
  <c r="H312" i="76" a="1"/>
  <c r="H312" i="76" s="1"/>
  <c r="F315" i="82" a="1"/>
  <c r="F315" i="82" s="1"/>
  <c r="I298" i="80" a="1"/>
  <c r="I298" i="80" s="1"/>
  <c r="F311" i="75" a="1"/>
  <c r="F311" i="75" s="1"/>
  <c r="F294" i="79" a="1"/>
  <c r="F294" i="79" s="1"/>
  <c r="I312" i="82" a="1"/>
  <c r="I312" i="82" s="1"/>
  <c r="G315" i="77" a="1"/>
  <c r="G315" i="77" s="1"/>
  <c r="H295" i="75" a="1"/>
  <c r="H295" i="75" s="1"/>
  <c r="H302" i="76" a="1"/>
  <c r="H302" i="76" s="1"/>
  <c r="H309" i="80" a="1"/>
  <c r="H309" i="80" s="1"/>
  <c r="G295" i="75" a="1"/>
  <c r="G295" i="75" s="1"/>
  <c r="I298" i="76" a="1"/>
  <c r="I298" i="76" s="1"/>
  <c r="G315" i="79" a="1"/>
  <c r="G315" i="79" s="1"/>
  <c r="H292" i="73" a="1"/>
  <c r="H292" i="73" s="1"/>
  <c r="G301" i="78" a="1"/>
  <c r="G301" i="78" s="1"/>
  <c r="G304" i="82" a="1"/>
  <c r="G304" i="82" s="1"/>
  <c r="F311" i="78" a="1"/>
  <c r="F311" i="78" s="1"/>
  <c r="F301" i="78" a="1"/>
  <c r="F301" i="78" s="1"/>
  <c r="F303" i="80" a="1"/>
  <c r="F303" i="80" s="1"/>
  <c r="I294" i="77" a="1"/>
  <c r="I294" i="77" s="1"/>
  <c r="H301" i="77" a="1"/>
  <c r="H301" i="77" s="1"/>
  <c r="I311" i="29" a="1"/>
  <c r="I311" i="29" s="1"/>
  <c r="I298" i="78" a="1"/>
  <c r="I298" i="78" s="1"/>
  <c r="F295" i="80" a="1"/>
  <c r="F295" i="80" s="1"/>
  <c r="H310" i="75" a="1"/>
  <c r="H310" i="75" s="1"/>
  <c r="D301" i="74" a="1"/>
  <c r="D301" i="74" s="1"/>
  <c r="F300" i="34" a="1"/>
  <c r="F300" i="34" s="1"/>
  <c r="G300" i="78" a="1"/>
  <c r="G300" i="78" s="1"/>
  <c r="D307" i="83" a="1"/>
  <c r="D307" i="83" s="1"/>
  <c r="G295" i="88" a="1"/>
  <c r="G295" i="88" s="1"/>
  <c r="G309" i="73" a="1"/>
  <c r="G309" i="73" s="1"/>
  <c r="H309" i="74" a="1"/>
  <c r="H309" i="74" s="1"/>
  <c r="G293" i="34" a="1"/>
  <c r="G293" i="34" s="1"/>
  <c r="F301" i="80" a="1"/>
  <c r="F301" i="80" s="1"/>
  <c r="I306" i="77" a="1"/>
  <c r="I306" i="77" s="1"/>
  <c r="F305" i="34" a="1"/>
  <c r="F305" i="34" s="1"/>
  <c r="I314" i="29" a="1"/>
  <c r="I314" i="29" s="1"/>
  <c r="H306" i="34" a="1"/>
  <c r="H306" i="34" s="1"/>
  <c r="H306" i="81" a="1"/>
  <c r="H306" i="81" s="1"/>
  <c r="D306" i="80" a="1"/>
  <c r="D306" i="80" s="1"/>
  <c r="G303" i="77" a="1"/>
  <c r="G303" i="77" s="1"/>
  <c r="G302" i="81" a="1"/>
  <c r="G302" i="81" s="1"/>
  <c r="D302" i="82" a="1"/>
  <c r="D302" i="82" s="1"/>
  <c r="F315" i="78" a="1"/>
  <c r="F315" i="78" s="1"/>
  <c r="G305" i="29" a="1"/>
  <c r="G305" i="29" s="1"/>
  <c r="I297" i="74" a="1"/>
  <c r="I297" i="74" s="1"/>
  <c r="H314" i="81" a="1"/>
  <c r="H314" i="81" s="1"/>
  <c r="D303" i="81" a="1"/>
  <c r="D303" i="81" s="1"/>
  <c r="F299" i="75" a="1"/>
  <c r="F299" i="75" s="1"/>
  <c r="G293" i="73" a="1"/>
  <c r="G293" i="73" s="1"/>
  <c r="I306" i="78" a="1"/>
  <c r="I306" i="78" s="1"/>
  <c r="I292" i="75" a="1"/>
  <c r="I292" i="75" s="1"/>
  <c r="I301" i="76" a="1"/>
  <c r="I301" i="76" s="1"/>
  <c r="D296" i="81" a="1"/>
  <c r="D296" i="81" s="1"/>
  <c r="G299" i="34" a="1"/>
  <c r="G299" i="34" s="1"/>
  <c r="H300" i="80" a="1"/>
  <c r="H300" i="80" s="1"/>
  <c r="G298" i="73" a="1"/>
  <c r="G298" i="73" s="1"/>
  <c r="H306" i="78" a="1"/>
  <c r="H306" i="78" s="1"/>
  <c r="H294" i="79" a="1"/>
  <c r="H294" i="79" s="1"/>
  <c r="G294" i="81" a="1"/>
  <c r="G294" i="81" s="1"/>
  <c r="H301" i="81" a="1"/>
  <c r="H301" i="81" s="1"/>
  <c r="G298" i="29" a="1"/>
  <c r="G298" i="29" s="1"/>
  <c r="H313" i="74" a="1"/>
  <c r="H313" i="74" s="1"/>
  <c r="H299" i="34" a="1"/>
  <c r="H299" i="34" s="1"/>
  <c r="F310" i="81" a="1"/>
  <c r="F310" i="81" s="1"/>
  <c r="F315" i="34" a="1"/>
  <c r="F315" i="34" s="1"/>
  <c r="H312" i="73" a="1"/>
  <c r="H312" i="73" s="1"/>
  <c r="F302" i="34" a="1"/>
  <c r="F302" i="34" s="1"/>
  <c r="I307" i="79" a="1"/>
  <c r="I307" i="79" s="1"/>
  <c r="I312" i="81" a="1"/>
  <c r="I312" i="81" s="1"/>
  <c r="H314" i="78" a="1"/>
  <c r="H314" i="78" s="1"/>
  <c r="G305" i="80" a="1"/>
  <c r="G305" i="80" s="1"/>
  <c r="G311" i="79" a="1"/>
  <c r="G311" i="79" s="1"/>
  <c r="I315" i="80" a="1"/>
  <c r="I315" i="80" s="1"/>
  <c r="I304" i="73" a="1"/>
  <c r="I304" i="73" s="1"/>
  <c r="D312" i="74" a="1"/>
  <c r="D312" i="74" s="1"/>
  <c r="G302" i="75" a="1"/>
  <c r="G302" i="75" s="1"/>
  <c r="H295" i="77" a="1"/>
  <c r="H295" i="77" s="1"/>
  <c r="G309" i="78" a="1"/>
  <c r="G309" i="78" s="1"/>
  <c r="G315" i="81" a="1"/>
  <c r="G315" i="81" s="1"/>
  <c r="D295" i="76" a="1"/>
  <c r="D295" i="76" s="1"/>
  <c r="I303" i="79" a="1"/>
  <c r="I303" i="79" s="1"/>
  <c r="G306" i="77" a="1"/>
  <c r="G306" i="77" s="1"/>
  <c r="H313" i="75" a="1"/>
  <c r="H313" i="75" s="1"/>
  <c r="H306" i="75" a="1"/>
  <c r="H306" i="75" s="1"/>
  <c r="I292" i="77" a="1"/>
  <c r="I292" i="77" s="1"/>
  <c r="F316" i="81" a="1"/>
  <c r="F316" i="81" s="1"/>
  <c r="H301" i="34" a="1"/>
  <c r="H301" i="34" s="1"/>
  <c r="F297" i="73" a="1"/>
  <c r="F297" i="73" s="1"/>
  <c r="H316" i="79" a="1"/>
  <c r="H316" i="79" s="1"/>
  <c r="I295" i="82" a="1"/>
  <c r="I295" i="82" s="1"/>
  <c r="F308" i="29" a="1"/>
  <c r="F308" i="29" s="1"/>
  <c r="F311" i="34" a="1"/>
  <c r="F311" i="34" s="1"/>
  <c r="I310" i="78" a="1"/>
  <c r="I310" i="78" s="1"/>
  <c r="H315" i="76" a="1"/>
  <c r="H315" i="76" s="1"/>
  <c r="F313" i="73" a="1"/>
  <c r="F313" i="73" s="1"/>
  <c r="H299" i="79" a="1"/>
  <c r="H299" i="79" s="1"/>
  <c r="F294" i="90" a="1"/>
  <c r="F294" i="90" s="1"/>
  <c r="D315" i="76" a="1"/>
  <c r="D315" i="76" s="1"/>
  <c r="F305" i="29" a="1"/>
  <c r="F305" i="29" s="1"/>
  <c r="I316" i="73" a="1"/>
  <c r="I316" i="73" s="1"/>
  <c r="D311" i="74" a="1"/>
  <c r="D311" i="74" s="1"/>
  <c r="G310" i="88" a="1"/>
  <c r="G310" i="88" s="1"/>
  <c r="G313" i="74" a="1"/>
  <c r="G313" i="74" s="1"/>
  <c r="I301" i="34" a="1"/>
  <c r="I301" i="34" s="1"/>
  <c r="G313" i="34" a="1"/>
  <c r="G313" i="34" s="1"/>
  <c r="G311" i="29" a="1"/>
  <c r="G311" i="29" s="1"/>
  <c r="G313" i="83" a="1"/>
  <c r="G313" i="83" s="1"/>
  <c r="F299" i="74" a="1"/>
  <c r="F299" i="74" s="1"/>
  <c r="G300" i="81" a="1"/>
  <c r="G300" i="81" s="1"/>
  <c r="G310" i="84" a="1"/>
  <c r="G310" i="84" s="1"/>
  <c r="F311" i="80" a="1"/>
  <c r="F311" i="80" s="1"/>
  <c r="I297" i="85" a="1"/>
  <c r="I297" i="85" s="1"/>
  <c r="D297" i="78" a="1"/>
  <c r="D297" i="78" s="1"/>
  <c r="D304" i="77" a="1"/>
  <c r="D304" i="77" s="1"/>
  <c r="G301" i="85" a="1"/>
  <c r="G301" i="85" s="1"/>
  <c r="G299" i="77" a="1"/>
  <c r="G299" i="77" s="1"/>
  <c r="F309" i="79" a="1"/>
  <c r="F309" i="79" s="1"/>
  <c r="G308" i="83" a="1"/>
  <c r="G308" i="83" s="1"/>
  <c r="I312" i="80" a="1"/>
  <c r="I312" i="80" s="1"/>
  <c r="H302" i="78" a="1"/>
  <c r="H302" i="78" s="1"/>
  <c r="D296" i="78" a="1"/>
  <c r="D296" i="78" s="1"/>
  <c r="F299" i="34" a="1"/>
  <c r="F299" i="34" s="1"/>
  <c r="F299" i="79" a="1"/>
  <c r="F299" i="79" s="1"/>
  <c r="G298" i="77" a="1"/>
  <c r="G298" i="77" s="1"/>
  <c r="F305" i="79" a="1"/>
  <c r="F305" i="79" s="1"/>
  <c r="H310" i="82" a="1"/>
  <c r="H310" i="82" s="1"/>
  <c r="F305" i="80" a="1"/>
  <c r="F305" i="80" s="1"/>
  <c r="I296" i="79" a="1"/>
  <c r="I296" i="79" s="1"/>
  <c r="I296" i="76" a="1"/>
  <c r="I296" i="76" s="1"/>
  <c r="I305" i="76" a="1"/>
  <c r="I305" i="76" s="1"/>
  <c r="H296" i="34" a="1"/>
  <c r="H296" i="34" s="1"/>
  <c r="F306" i="29" a="1"/>
  <c r="F306" i="29" s="1"/>
  <c r="H309" i="78" a="1"/>
  <c r="H309" i="78" s="1"/>
  <c r="D308" i="77" a="1"/>
  <c r="D308" i="77" s="1"/>
  <c r="H308" i="79" a="1"/>
  <c r="H308" i="79" s="1"/>
  <c r="H307" i="79" a="1"/>
  <c r="H307" i="79" s="1"/>
  <c r="G297" i="29" a="1"/>
  <c r="G297" i="29" s="1"/>
  <c r="I303" i="81" a="1"/>
  <c r="I303" i="81" s="1"/>
  <c r="D314" i="82" a="1"/>
  <c r="D314" i="82" s="1"/>
  <c r="D307" i="73" a="1"/>
  <c r="D307" i="73" s="1"/>
  <c r="I313" i="79" a="1"/>
  <c r="I313" i="79" s="1"/>
  <c r="G314" i="81" a="1"/>
  <c r="G314" i="81" s="1"/>
  <c r="D301" i="73" a="1"/>
  <c r="D301" i="73" s="1"/>
  <c r="G315" i="78" a="1"/>
  <c r="G315" i="78" s="1"/>
  <c r="I304" i="81" a="1"/>
  <c r="I304" i="81" s="1"/>
  <c r="F313" i="34" a="1"/>
  <c r="F313" i="34" s="1"/>
  <c r="H313" i="77" a="1"/>
  <c r="H313" i="77" s="1"/>
  <c r="H310" i="34" a="1"/>
  <c r="H310" i="34" s="1"/>
  <c r="D298" i="73" a="1"/>
  <c r="D298" i="73" s="1"/>
  <c r="H308" i="77" a="1"/>
  <c r="H308" i="77" s="1"/>
  <c r="H309" i="75" a="1"/>
  <c r="H309" i="75" s="1"/>
  <c r="D293" i="79" a="1"/>
  <c r="D293" i="79" s="1"/>
  <c r="F314" i="76" a="1"/>
  <c r="F314" i="76" s="1"/>
  <c r="I303" i="82" a="1"/>
  <c r="I303" i="82" s="1"/>
  <c r="G312" i="77" a="1"/>
  <c r="G312" i="77" s="1"/>
  <c r="D314" i="81" a="1"/>
  <c r="D314" i="81" s="1"/>
  <c r="D297" i="29" a="1"/>
  <c r="D297" i="29" s="1"/>
  <c r="D301" i="34" a="1"/>
  <c r="D301" i="34" s="1"/>
  <c r="F308" i="77" a="1"/>
  <c r="F308" i="77" s="1"/>
  <c r="G302" i="34" a="1"/>
  <c r="G302" i="34" s="1"/>
  <c r="F314" i="74" a="1"/>
  <c r="F314" i="74" s="1"/>
  <c r="G316" i="34" a="1"/>
  <c r="G316" i="34" s="1"/>
  <c r="F300" i="29" a="1"/>
  <c r="F300" i="29" s="1"/>
  <c r="D315" i="75" a="1"/>
  <c r="D315" i="75" s="1"/>
  <c r="F296" i="77" a="1"/>
  <c r="F296" i="77" s="1"/>
  <c r="G293" i="79" a="1"/>
  <c r="G293" i="79" s="1"/>
  <c r="D313" i="29" a="1"/>
  <c r="D313" i="29" s="1"/>
  <c r="H310" i="89" a="1"/>
  <c r="H310" i="89" s="1"/>
  <c r="I314" i="73" a="1"/>
  <c r="I314" i="73" s="1"/>
  <c r="G315" i="73" a="1"/>
  <c r="G315" i="73" s="1"/>
  <c r="F307" i="81" a="1"/>
  <c r="F307" i="81" s="1"/>
  <c r="H311" i="75" a="1"/>
  <c r="H311" i="75" s="1"/>
  <c r="G298" i="79" a="1"/>
  <c r="G298" i="79" s="1"/>
  <c r="D299" i="80" a="1"/>
  <c r="D299" i="80" s="1"/>
  <c r="I298" i="75" a="1"/>
  <c r="I298" i="75" s="1"/>
  <c r="H307" i="81" a="1"/>
  <c r="H307" i="81" s="1"/>
  <c r="H316" i="74" a="1"/>
  <c r="H316" i="74" s="1"/>
  <c r="D310" i="78" a="1"/>
  <c r="D310" i="78" s="1"/>
  <c r="I311" i="82" a="1"/>
  <c r="I311" i="82" s="1"/>
  <c r="G310" i="76" a="1"/>
  <c r="G310" i="76" s="1"/>
  <c r="G296" i="79" a="1"/>
  <c r="G296" i="79" s="1"/>
  <c r="I298" i="34" a="1"/>
  <c r="I298" i="34" s="1"/>
  <c r="H302" i="81" a="1"/>
  <c r="H302" i="81" s="1"/>
  <c r="F315" i="79" a="1"/>
  <c r="F315" i="79" s="1"/>
  <c r="H304" i="76" a="1"/>
  <c r="H304" i="76" s="1"/>
  <c r="D308" i="81" a="1"/>
  <c r="D308" i="81" s="1"/>
  <c r="F296" i="82" a="1"/>
  <c r="F296" i="82" s="1"/>
  <c r="G303" i="81" a="1"/>
  <c r="G303" i="81" s="1"/>
  <c r="F297" i="77" a="1"/>
  <c r="F297" i="77" s="1"/>
  <c r="I316" i="76" a="1"/>
  <c r="I316" i="76" s="1"/>
  <c r="H297" i="84" a="1"/>
  <c r="H297" i="84" s="1"/>
  <c r="D300" i="83" a="1"/>
  <c r="D300" i="83" s="1"/>
  <c r="D306" i="73" a="1"/>
  <c r="D306" i="73" s="1"/>
  <c r="D316" i="29" a="1"/>
  <c r="D316" i="29" s="1"/>
  <c r="D314" i="83" a="1"/>
  <c r="D314" i="83" s="1"/>
  <c r="F298" i="77" a="1"/>
  <c r="F298" i="77" s="1"/>
  <c r="D298" i="74" a="1"/>
  <c r="D298" i="74" s="1"/>
  <c r="I315" i="82" a="1"/>
  <c r="I315" i="82" s="1"/>
  <c r="D297" i="75" a="1"/>
  <c r="D297" i="75" s="1"/>
  <c r="F294" i="80" a="1"/>
  <c r="F294" i="80" s="1"/>
  <c r="F309" i="78" a="1"/>
  <c r="F309" i="78" s="1"/>
  <c r="H296" i="78" a="1"/>
  <c r="H296" i="78" s="1"/>
  <c r="F295" i="78" a="1"/>
  <c r="F295" i="78" s="1"/>
  <c r="I305" i="74" a="1"/>
  <c r="I305" i="74" s="1"/>
  <c r="I299" i="29" a="1"/>
  <c r="I299" i="29" s="1"/>
  <c r="H302" i="29" a="1"/>
  <c r="H302" i="29" s="1"/>
  <c r="F300" i="79" a="1"/>
  <c r="F300" i="79" s="1"/>
  <c r="G310" i="75" a="1"/>
  <c r="G310" i="75" s="1"/>
  <c r="G315" i="76" a="1"/>
  <c r="G315" i="76" s="1"/>
  <c r="H310" i="81" a="1"/>
  <c r="H310" i="81" s="1"/>
  <c r="H309" i="34" a="1"/>
  <c r="H309" i="34" s="1"/>
  <c r="F298" i="34" a="1"/>
  <c r="F298" i="34" s="1"/>
  <c r="G311" i="85" a="1"/>
  <c r="G311" i="85" s="1"/>
  <c r="G303" i="80" a="1"/>
  <c r="G303" i="80" s="1"/>
  <c r="G299" i="80" a="1"/>
  <c r="G299" i="80" s="1"/>
  <c r="D315" i="77" a="1"/>
  <c r="D315" i="77" s="1"/>
  <c r="D308" i="73" a="1"/>
  <c r="D308" i="73" s="1"/>
  <c r="F298" i="80" a="1"/>
  <c r="F298" i="80" s="1"/>
  <c r="F303" i="73" a="1"/>
  <c r="F303" i="73" s="1"/>
  <c r="H299" i="80" a="1"/>
  <c r="H299" i="80" s="1"/>
  <c r="D303" i="29" a="1"/>
  <c r="D303" i="29" s="1"/>
  <c r="H312" i="83" a="1"/>
  <c r="H312" i="83" s="1"/>
  <c r="I315" i="78" a="1"/>
  <c r="I315" i="78" s="1"/>
  <c r="G303" i="85" a="1"/>
  <c r="G303" i="85" s="1"/>
  <c r="D308" i="78" a="1"/>
  <c r="D308" i="78" s="1"/>
  <c r="I295" i="75" a="1"/>
  <c r="I295" i="75" s="1"/>
  <c r="D316" i="75" a="1"/>
  <c r="D316" i="75" s="1"/>
  <c r="F302" i="80" a="1"/>
  <c r="F302" i="80" s="1"/>
  <c r="F306" i="84" a="1"/>
  <c r="F306" i="84" s="1"/>
  <c r="D301" i="76" a="1"/>
  <c r="D301" i="76" s="1"/>
  <c r="D312" i="84" a="1"/>
  <c r="D312" i="84" s="1"/>
  <c r="H313" i="34" a="1"/>
  <c r="H313" i="34" s="1"/>
  <c r="D294" i="85" a="1"/>
  <c r="D294" i="85" s="1"/>
  <c r="F300" i="81" a="1"/>
  <c r="F300" i="81" s="1"/>
  <c r="H312" i="75" a="1"/>
  <c r="H312" i="75" s="1"/>
  <c r="D315" i="81" a="1"/>
  <c r="D315" i="81" s="1"/>
  <c r="G298" i="76" a="1"/>
  <c r="G298" i="76" s="1"/>
  <c r="G308" i="34" a="1"/>
  <c r="G308" i="34" s="1"/>
  <c r="I295" i="76" a="1"/>
  <c r="I295" i="76" s="1"/>
  <c r="H302" i="82" a="1"/>
  <c r="H302" i="82" s="1"/>
  <c r="I309" i="73" a="1"/>
  <c r="I309" i="73" s="1"/>
  <c r="G294" i="80" a="1"/>
  <c r="G294" i="80" s="1"/>
  <c r="I308" i="74" a="1"/>
  <c r="I308" i="74" s="1"/>
  <c r="F305" i="81" a="1"/>
  <c r="F305" i="81" s="1"/>
  <c r="I296" i="73" a="1"/>
  <c r="I296" i="73" s="1"/>
  <c r="H297" i="34" a="1"/>
  <c r="H297" i="34" s="1"/>
  <c r="G312" i="74" a="1"/>
  <c r="G312" i="74" s="1"/>
  <c r="G308" i="80" a="1"/>
  <c r="G308" i="80" s="1"/>
  <c r="D293" i="76" a="1"/>
  <c r="D293" i="76" s="1"/>
  <c r="H303" i="77" a="1"/>
  <c r="H303" i="77" s="1"/>
  <c r="G298" i="78" a="1"/>
  <c r="G298" i="78" s="1"/>
  <c r="H303" i="76" a="1"/>
  <c r="H303" i="76" s="1"/>
  <c r="D303" i="34" a="1"/>
  <c r="D303" i="34" s="1"/>
  <c r="G308" i="77" a="1"/>
  <c r="G308" i="77" s="1"/>
  <c r="I313" i="81" a="1"/>
  <c r="I313" i="81" s="1"/>
  <c r="F295" i="29" a="1"/>
  <c r="F295" i="29" s="1"/>
  <c r="H298" i="29" a="1"/>
  <c r="H298" i="29" s="1"/>
  <c r="F309" i="77" a="1"/>
  <c r="F309" i="77" s="1"/>
  <c r="I296" i="29" a="1"/>
  <c r="I296" i="29" s="1"/>
  <c r="F302" i="76" a="1"/>
  <c r="F302" i="76" s="1"/>
  <c r="D305" i="73" a="1"/>
  <c r="D305" i="73" s="1"/>
  <c r="I307" i="82" a="1"/>
  <c r="I307" i="82" s="1"/>
  <c r="I300" i="78" a="1"/>
  <c r="I300" i="78" s="1"/>
  <c r="G305" i="82" a="1"/>
  <c r="G305" i="82" s="1"/>
  <c r="F297" i="34" a="1"/>
  <c r="F297" i="34" s="1"/>
  <c r="F316" i="76" a="1"/>
  <c r="F316" i="76" s="1"/>
  <c r="D293" i="74" a="1"/>
  <c r="D293" i="74" s="1"/>
  <c r="I300" i="73" a="1"/>
  <c r="I300" i="73" s="1"/>
  <c r="G293" i="75" a="1"/>
  <c r="G293" i="75" s="1"/>
  <c r="H297" i="79" a="1"/>
  <c r="H297" i="79" s="1"/>
  <c r="I292" i="78" a="1"/>
  <c r="I292" i="78" s="1"/>
  <c r="F311" i="83" a="1"/>
  <c r="F311" i="83" s="1"/>
  <c r="F300" i="76" a="1"/>
  <c r="F300" i="76" s="1"/>
  <c r="I297" i="75" a="1"/>
  <c r="I297" i="75" s="1"/>
  <c r="F302" i="75" a="1"/>
  <c r="F302" i="75" s="1"/>
  <c r="H310" i="78" a="1"/>
  <c r="H310" i="78" s="1"/>
  <c r="D307" i="78" a="1"/>
  <c r="D307" i="78" s="1"/>
  <c r="G313" i="82" a="1"/>
  <c r="G313" i="82" s="1"/>
  <c r="G308" i="84" a="1"/>
  <c r="G308" i="84" s="1"/>
  <c r="I309" i="78" a="1"/>
  <c r="I309" i="78" s="1"/>
  <c r="D307" i="80" a="1"/>
  <c r="D307" i="80" s="1"/>
  <c r="F314" i="81" a="1"/>
  <c r="F314" i="81" s="1"/>
  <c r="I293" i="81" a="1"/>
  <c r="I293" i="81" s="1"/>
  <c r="D302" i="80" a="1"/>
  <c r="D302" i="80" s="1"/>
  <c r="D312" i="79" a="1"/>
  <c r="D312" i="79" s="1"/>
  <c r="H309" i="79" a="1"/>
  <c r="H309" i="79" s="1"/>
  <c r="G304" i="79" a="1"/>
  <c r="G304" i="79" s="1"/>
  <c r="H306" i="80" a="1"/>
  <c r="H306" i="80" s="1"/>
  <c r="I300" i="74" a="1"/>
  <c r="I300" i="74" s="1"/>
  <c r="H295" i="79" a="1"/>
  <c r="H295" i="79" s="1"/>
  <c r="G294" i="75" a="1"/>
  <c r="G294" i="75" s="1"/>
  <c r="F297" i="76" a="1"/>
  <c r="F297" i="76" s="1"/>
  <c r="I314" i="34" a="1"/>
  <c r="I314" i="34" s="1"/>
  <c r="F312" i="88" a="1"/>
  <c r="F312" i="88" s="1"/>
  <c r="F293" i="86" a="1"/>
  <c r="F293" i="86" s="1"/>
  <c r="G298" i="82" a="1"/>
  <c r="G298" i="82" s="1"/>
  <c r="D305" i="83" a="1"/>
  <c r="D305" i="83" s="1"/>
  <c r="I310" i="77" a="1"/>
  <c r="I310" i="77" s="1"/>
  <c r="H297" i="78" a="1"/>
  <c r="H297" i="78" s="1"/>
  <c r="F298" i="29" a="1"/>
  <c r="F298" i="29" s="1"/>
  <c r="G315" i="83" a="1"/>
  <c r="G315" i="83" s="1"/>
  <c r="F295" i="76" a="1"/>
  <c r="F295" i="76" s="1"/>
  <c r="F304" i="79" a="1"/>
  <c r="F304" i="79" s="1"/>
  <c r="H310" i="77" a="1"/>
  <c r="H310" i="77" s="1"/>
  <c r="D316" i="78" a="1"/>
  <c r="D316" i="78" s="1"/>
  <c r="F306" i="82" a="1"/>
  <c r="F306" i="82" s="1"/>
  <c r="I307" i="73" a="1"/>
  <c r="I307" i="73" s="1"/>
  <c r="I307" i="75" a="1"/>
  <c r="I307" i="75" s="1"/>
  <c r="G316" i="79" a="1"/>
  <c r="G316" i="79" s="1"/>
  <c r="F310" i="80" a="1"/>
  <c r="F310" i="80" s="1"/>
  <c r="D304" i="80" a="1"/>
  <c r="D304" i="80" s="1"/>
  <c r="G303" i="78" a="1"/>
  <c r="G303" i="78" s="1"/>
  <c r="F308" i="83" a="1"/>
  <c r="F308" i="83" s="1"/>
  <c r="I295" i="73" a="1"/>
  <c r="I295" i="73" s="1"/>
  <c r="I315" i="34" a="1"/>
  <c r="I315" i="34" s="1"/>
  <c r="H312" i="74" a="1"/>
  <c r="H312" i="74" s="1"/>
  <c r="H296" i="82" a="1"/>
  <c r="H296" i="82" s="1"/>
  <c r="G298" i="74" a="1"/>
  <c r="G298" i="74" s="1"/>
  <c r="H315" i="73" a="1"/>
  <c r="H315" i="73" s="1"/>
  <c r="I297" i="34" a="1"/>
  <c r="I297" i="34" s="1"/>
  <c r="G302" i="82" a="1"/>
  <c r="G302" i="82" s="1"/>
  <c r="I296" i="74" a="1"/>
  <c r="I296" i="74" s="1"/>
  <c r="D295" i="75" a="1"/>
  <c r="D295" i="75" s="1"/>
  <c r="I310" i="34" a="1"/>
  <c r="I310" i="34" s="1"/>
  <c r="D307" i="77" a="1"/>
  <c r="D307" i="77" s="1"/>
  <c r="G312" i="81" a="1"/>
  <c r="G312" i="81" s="1"/>
  <c r="I294" i="76" a="1"/>
  <c r="I294" i="76" s="1"/>
  <c r="G307" i="79" a="1"/>
  <c r="G307" i="79" s="1"/>
  <c r="H293" i="81" a="1"/>
  <c r="H293" i="81" s="1"/>
  <c r="I297" i="80" a="1"/>
  <c r="I297" i="80" s="1"/>
  <c r="F313" i="83" a="1"/>
  <c r="F313" i="83" s="1"/>
  <c r="I304" i="79" a="1"/>
  <c r="I304" i="79" s="1"/>
  <c r="H295" i="29" a="1"/>
  <c r="H295" i="29" s="1"/>
  <c r="G301" i="77" a="1"/>
  <c r="G301" i="77" s="1"/>
  <c r="D303" i="73" a="1"/>
  <c r="D303" i="73" s="1"/>
  <c r="G312" i="73" a="1"/>
  <c r="G312" i="73" s="1"/>
  <c r="F305" i="78" a="1"/>
  <c r="F305" i="78" s="1"/>
  <c r="D295" i="81" a="1"/>
  <c r="D295" i="81" s="1"/>
  <c r="G292" i="79" a="1"/>
  <c r="G292" i="79" s="1"/>
  <c r="G302" i="77" a="1"/>
  <c r="G302" i="77" s="1"/>
  <c r="G304" i="75" a="1"/>
  <c r="G304" i="75" s="1"/>
  <c r="F298" i="76" a="1"/>
  <c r="F298" i="76" s="1"/>
  <c r="I309" i="83" a="1"/>
  <c r="I309" i="83" s="1"/>
  <c r="D295" i="73" a="1"/>
  <c r="D295" i="73" s="1"/>
  <c r="I312" i="74" a="1"/>
  <c r="I312" i="74" s="1"/>
  <c r="G310" i="81" a="1"/>
  <c r="G310" i="81" s="1"/>
  <c r="H296" i="81" a="1"/>
  <c r="H296" i="81" s="1"/>
  <c r="G309" i="34" a="1"/>
  <c r="G309" i="34" s="1"/>
  <c r="F296" i="80" a="1"/>
  <c r="F296" i="80" s="1"/>
  <c r="I299" i="82" a="1"/>
  <c r="I299" i="82" s="1"/>
  <c r="H309" i="73" a="1"/>
  <c r="H309" i="73" s="1"/>
  <c r="D305" i="75" a="1"/>
  <c r="D305" i="75" s="1"/>
  <c r="I311" i="79" a="1"/>
  <c r="I311" i="79" s="1"/>
  <c r="I301" i="29" a="1"/>
  <c r="I301" i="29" s="1"/>
  <c r="H295" i="34" a="1"/>
  <c r="H295" i="34" s="1"/>
  <c r="D316" i="82" a="1"/>
  <c r="D316" i="82" s="1"/>
  <c r="F299" i="76" a="1"/>
  <c r="F299" i="76" s="1"/>
  <c r="F295" i="74" a="1"/>
  <c r="F295" i="74" s="1"/>
  <c r="H294" i="34" a="1"/>
  <c r="H294" i="34" s="1"/>
  <c r="F301" i="83" a="1"/>
  <c r="F301" i="83" s="1"/>
  <c r="D310" i="81" a="1"/>
  <c r="D310" i="81" s="1"/>
  <c r="H301" i="78" a="1"/>
  <c r="H301" i="78" s="1"/>
  <c r="F312" i="74" a="1"/>
  <c r="F312" i="74" s="1"/>
  <c r="G309" i="77" a="1"/>
  <c r="G309" i="77" s="1"/>
  <c r="H315" i="29" a="1"/>
  <c r="H315" i="29" s="1"/>
  <c r="H306" i="29" a="1"/>
  <c r="H306" i="29" s="1"/>
  <c r="F308" i="82" a="1"/>
  <c r="F308" i="82" s="1"/>
  <c r="G316" i="80" a="1"/>
  <c r="G316" i="80" s="1"/>
  <c r="G293" i="82" a="1"/>
  <c r="G293" i="82" s="1"/>
  <c r="G305" i="79" a="1"/>
  <c r="G305" i="79" s="1"/>
  <c r="G297" i="78" a="1"/>
  <c r="G297" i="78" s="1"/>
  <c r="G298" i="34" a="1"/>
  <c r="G298" i="34" s="1"/>
  <c r="D307" i="81" a="1"/>
  <c r="D307" i="81" s="1"/>
  <c r="F298" i="75" a="1"/>
  <c r="F298" i="75" s="1"/>
  <c r="I310" i="76" a="1"/>
  <c r="I310" i="76" s="1"/>
  <c r="D300" i="79" a="1"/>
  <c r="D300" i="79" s="1"/>
  <c r="I308" i="29" a="1"/>
  <c r="I308" i="29" s="1"/>
  <c r="H295" i="81" a="1"/>
  <c r="H295" i="81" s="1"/>
  <c r="D305" i="79" a="1"/>
  <c r="D305" i="79" s="1"/>
  <c r="I310" i="29" a="1"/>
  <c r="I310" i="29" s="1"/>
  <c r="I303" i="77" a="1"/>
  <c r="I303" i="77" s="1"/>
  <c r="G309" i="82" a="1"/>
  <c r="G309" i="82" s="1"/>
  <c r="H306" i="76" a="1"/>
  <c r="H306" i="76" s="1"/>
  <c r="H302" i="75" a="1"/>
  <c r="H302" i="75" s="1"/>
  <c r="F306" i="79" a="1"/>
  <c r="F306" i="79" s="1"/>
  <c r="H300" i="34" a="1"/>
  <c r="H300" i="34" s="1"/>
  <c r="H311" i="82" a="1"/>
  <c r="H311" i="82" s="1"/>
  <c r="D301" i="79" a="1"/>
  <c r="D301" i="79" s="1"/>
  <c r="F309" i="73" a="1"/>
  <c r="F309" i="73" s="1"/>
  <c r="H303" i="74" a="1"/>
  <c r="H303" i="74" s="1"/>
  <c r="I295" i="34" a="1"/>
  <c r="I295" i="34" s="1"/>
  <c r="H314" i="29" a="1"/>
  <c r="H314" i="29" s="1"/>
  <c r="F299" i="29" a="1"/>
  <c r="F299" i="29" s="1"/>
  <c r="G294" i="73" a="1"/>
  <c r="G294" i="73" s="1"/>
  <c r="D316" i="34" a="1"/>
  <c r="D316" i="34" s="1"/>
  <c r="D313" i="82" a="1"/>
  <c r="D313" i="82" s="1"/>
  <c r="I292" i="81" a="1"/>
  <c r="I292" i="81" s="1"/>
  <c r="G293" i="80" a="1"/>
  <c r="G293" i="80" s="1"/>
  <c r="D295" i="78" a="1"/>
  <c r="D295" i="78" s="1"/>
  <c r="I314" i="77" a="1"/>
  <c r="I314" i="77" s="1"/>
  <c r="I311" i="74" a="1"/>
  <c r="I311" i="74" s="1"/>
  <c r="G314" i="78" a="1"/>
  <c r="G314" i="78" s="1"/>
  <c r="H302" i="80" a="1"/>
  <c r="H302" i="80" s="1"/>
  <c r="D311" i="77" a="1"/>
  <c r="D311" i="77" s="1"/>
  <c r="G297" i="75" a="1"/>
  <c r="G297" i="75" s="1"/>
  <c r="H301" i="79" a="1"/>
  <c r="H301" i="79" s="1"/>
  <c r="H295" i="85" a="1"/>
  <c r="H295" i="85" s="1"/>
  <c r="G300" i="74" a="1"/>
  <c r="G300" i="74" s="1"/>
  <c r="F294" i="77" a="1"/>
  <c r="F294" i="77" s="1"/>
  <c r="H309" i="76" a="1"/>
  <c r="H309" i="76" s="1"/>
  <c r="G316" i="77" a="1"/>
  <c r="G316" i="77" s="1"/>
  <c r="D307" i="76" a="1"/>
  <c r="D307" i="76" s="1"/>
  <c r="H300" i="75" a="1"/>
  <c r="H300" i="75" s="1"/>
  <c r="G315" i="29" a="1"/>
  <c r="G315" i="29" s="1"/>
  <c r="I309" i="81" a="1"/>
  <c r="I309" i="81" s="1"/>
  <c r="H305" i="77" a="1"/>
  <c r="H305" i="77" s="1"/>
  <c r="D304" i="74" a="1"/>
  <c r="D304" i="74" s="1"/>
  <c r="D316" i="76" a="1"/>
  <c r="D316" i="76" s="1"/>
  <c r="G316" i="75" a="1"/>
  <c r="G316" i="75" s="1"/>
  <c r="D305" i="78" a="1"/>
  <c r="D305" i="78" s="1"/>
  <c r="G296" i="76" a="1"/>
  <c r="G296" i="76" s="1"/>
  <c r="H293" i="77" a="1"/>
  <c r="H293" i="77" s="1"/>
  <c r="F306" i="80" a="1"/>
  <c r="F306" i="80" s="1"/>
  <c r="D295" i="29" a="1"/>
  <c r="D295" i="29" s="1"/>
  <c r="G303" i="76" a="1"/>
  <c r="G303" i="76" s="1"/>
  <c r="H307" i="80" a="1"/>
  <c r="H307" i="80" s="1"/>
  <c r="I294" i="74" a="1"/>
  <c r="I294" i="74" s="1"/>
  <c r="F315" i="77" a="1"/>
  <c r="F315" i="77" s="1"/>
  <c r="G296" i="81" a="1"/>
  <c r="G296" i="81" s="1"/>
  <c r="G301" i="81" a="1"/>
  <c r="G301" i="81" s="1"/>
  <c r="G306" i="74" a="1"/>
  <c r="G306" i="74" s="1"/>
  <c r="I311" i="77" a="1"/>
  <c r="I311" i="77" s="1"/>
  <c r="H298" i="77" a="1"/>
  <c r="H298" i="77" s="1"/>
  <c r="H295" i="76" a="1"/>
  <c r="H295" i="76" s="1"/>
  <c r="F316" i="80" a="1"/>
  <c r="F316" i="80" s="1"/>
  <c r="D314" i="75" a="1"/>
  <c r="D314" i="75" s="1"/>
  <c r="G303" i="75" a="1"/>
  <c r="G303" i="75" s="1"/>
  <c r="D307" i="79" a="1"/>
  <c r="D307" i="79" s="1"/>
  <c r="I300" i="34" a="1"/>
  <c r="I300" i="34" s="1"/>
  <c r="I306" i="76" a="1"/>
  <c r="I306" i="76" s="1"/>
  <c r="D306" i="76" a="1"/>
  <c r="D306" i="76" s="1"/>
  <c r="G313" i="81" a="1"/>
  <c r="G313" i="81" s="1"/>
  <c r="D302" i="73" a="1"/>
  <c r="D302" i="73" s="1"/>
  <c r="F314" i="73" a="1"/>
  <c r="F314" i="73" s="1"/>
  <c r="F314" i="34" a="1"/>
  <c r="F314" i="34" s="1"/>
  <c r="D298" i="29" a="1"/>
  <c r="D298" i="29" s="1"/>
  <c r="I304" i="78" a="1"/>
  <c r="I304" i="78" s="1"/>
  <c r="H299" i="77" a="1"/>
  <c r="H299" i="77" s="1"/>
  <c r="I316" i="79" a="1"/>
  <c r="I316" i="79" s="1"/>
  <c r="G296" i="74" a="1"/>
  <c r="G296" i="74" s="1"/>
  <c r="D295" i="79" a="1"/>
  <c r="D295" i="79" s="1"/>
  <c r="D312" i="75" a="1"/>
  <c r="D312" i="75" s="1"/>
  <c r="I314" i="80" a="1"/>
  <c r="I314" i="80" s="1"/>
  <c r="D294" i="90" a="1"/>
  <c r="D294" i="90" s="1"/>
  <c r="D301" i="77" a="1"/>
  <c r="D301" i="77" s="1"/>
  <c r="G300" i="29" a="1"/>
  <c r="G300" i="29" s="1"/>
  <c r="D316" i="73" a="1"/>
  <c r="D316" i="73" s="1"/>
  <c r="D305" i="80" a="1"/>
  <c r="D305" i="80" s="1"/>
  <c r="H294" i="73" a="1"/>
  <c r="H294" i="73" s="1"/>
  <c r="F294" i="73" a="1"/>
  <c r="F294" i="73" s="1"/>
  <c r="H316" i="75" a="1"/>
  <c r="H316" i="75" s="1"/>
  <c r="G310" i="73" a="1"/>
  <c r="G310" i="73" s="1"/>
  <c r="F302" i="77" a="1"/>
  <c r="F302" i="77" s="1"/>
  <c r="H302" i="73" a="1"/>
  <c r="H302" i="73" s="1"/>
  <c r="H307" i="73" a="1"/>
  <c r="H307" i="73" s="1"/>
  <c r="G306" i="81" a="1"/>
  <c r="G306" i="81" s="1"/>
  <c r="D306" i="29" a="1"/>
  <c r="D306" i="29" s="1"/>
  <c r="D300" i="29" a="1"/>
  <c r="D300" i="29" s="1"/>
  <c r="F297" i="80" a="1"/>
  <c r="F297" i="80" s="1"/>
  <c r="I315" i="76" a="1"/>
  <c r="I315" i="76" s="1"/>
  <c r="I312" i="78" a="1"/>
  <c r="I312" i="78" s="1"/>
  <c r="H302" i="74" a="1"/>
  <c r="H302" i="74" s="1"/>
  <c r="H298" i="75" a="1"/>
  <c r="H298" i="75" s="1"/>
  <c r="H303" i="85" a="1"/>
  <c r="H303" i="85" s="1"/>
  <c r="H311" i="34" a="1"/>
  <c r="H311" i="34" s="1"/>
  <c r="I294" i="78" a="1"/>
  <c r="I294" i="78" s="1"/>
  <c r="F299" i="77" a="1"/>
  <c r="F299" i="77" s="1"/>
  <c r="F304" i="82" a="1"/>
  <c r="F304" i="82" s="1"/>
  <c r="F311" i="81" a="1"/>
  <c r="F311" i="81" s="1"/>
  <c r="I303" i="34" a="1"/>
  <c r="I303" i="34" s="1"/>
  <c r="H300" i="73" a="1"/>
  <c r="H300" i="73" s="1"/>
  <c r="G314" i="76" a="1"/>
  <c r="G314" i="76" s="1"/>
  <c r="D306" i="34" a="1"/>
  <c r="D306" i="34" s="1"/>
  <c r="G295" i="82" a="1"/>
  <c r="G295" i="82" s="1"/>
  <c r="D297" i="77" a="1"/>
  <c r="D297" i="77" s="1"/>
  <c r="G310" i="80" a="1"/>
  <c r="G310" i="80" s="1"/>
  <c r="G302" i="74" a="1"/>
  <c r="G302" i="74" s="1"/>
  <c r="I311" i="78" a="1"/>
  <c r="I311" i="78" s="1"/>
  <c r="D306" i="75" a="1"/>
  <c r="D306" i="75" s="1"/>
  <c r="G310" i="34" a="1"/>
  <c r="G310" i="34" s="1"/>
  <c r="F312" i="79" a="1"/>
  <c r="F312" i="79" s="1"/>
  <c r="G309" i="80" a="1"/>
  <c r="G309" i="80" s="1"/>
  <c r="F307" i="74" a="1"/>
  <c r="F307" i="74" s="1"/>
  <c r="N282" i="102" l="1"/>
  <c r="N282" i="103"/>
  <c r="N280" i="102"/>
  <c r="N281" i="103"/>
  <c r="N280" i="103"/>
  <c r="N281" i="102"/>
  <c r="N281" i="100"/>
  <c r="N282" i="100"/>
  <c r="N282" i="99"/>
  <c r="N282" i="101"/>
  <c r="N281" i="99"/>
  <c r="N280" i="99"/>
  <c r="N280" i="101"/>
  <c r="N281" i="101"/>
  <c r="N280" i="100"/>
  <c r="N282" i="95"/>
  <c r="N282" i="94"/>
  <c r="N281" i="96"/>
  <c r="N280" i="91"/>
  <c r="N282" i="97"/>
  <c r="N280" i="97"/>
  <c r="N281" i="92"/>
  <c r="N281" i="91"/>
  <c r="N280" i="92"/>
  <c r="N280" i="94"/>
  <c r="N282" i="91"/>
  <c r="N282" i="92"/>
  <c r="N280" i="95"/>
  <c r="N281" i="97"/>
  <c r="N281" i="95"/>
  <c r="N281" i="94"/>
  <c r="N280" i="96"/>
  <c r="N280" i="93"/>
  <c r="N282" i="96"/>
  <c r="N282" i="93"/>
  <c r="N281" i="93"/>
  <c r="N281" i="90"/>
  <c r="N282" i="90"/>
  <c r="N280" i="29"/>
  <c r="N282" i="29"/>
  <c r="N280" i="90"/>
  <c r="N281" i="29"/>
  <c r="N282" i="79"/>
  <c r="N281" i="78"/>
  <c r="N281" i="88"/>
  <c r="N281" i="79"/>
  <c r="N280" i="88"/>
  <c r="N282" i="88"/>
  <c r="N281" i="76"/>
  <c r="N280" i="74"/>
  <c r="N282" i="80"/>
  <c r="N282" i="85"/>
  <c r="N281" i="86"/>
  <c r="N281" i="77"/>
  <c r="N282" i="86"/>
  <c r="N280" i="76"/>
  <c r="N280" i="75"/>
  <c r="N280" i="73"/>
  <c r="N282" i="78"/>
  <c r="N280" i="81"/>
  <c r="N282" i="77"/>
  <c r="N281" i="81"/>
  <c r="N280" i="34"/>
  <c r="N281" i="83"/>
  <c r="N280" i="86"/>
  <c r="N281" i="82"/>
  <c r="N280" i="85"/>
  <c r="N280" i="89"/>
  <c r="N282" i="76"/>
  <c r="N282" i="81"/>
  <c r="N281" i="74"/>
  <c r="N282" i="89"/>
  <c r="N281" i="75"/>
  <c r="N281" i="34"/>
  <c r="N280" i="83"/>
  <c r="N282" i="74"/>
  <c r="N281" i="84"/>
  <c r="N282" i="73"/>
  <c r="N281" i="73"/>
  <c r="N281" i="89"/>
  <c r="N281" i="80"/>
  <c r="N280" i="84"/>
  <c r="N280" i="80"/>
  <c r="N280" i="78"/>
  <c r="N280" i="79"/>
  <c r="N282" i="34"/>
  <c r="N282" i="84"/>
  <c r="N281" i="85"/>
  <c r="N280" i="77"/>
  <c r="N282" i="75"/>
  <c r="N282" i="82"/>
  <c r="N280" i="82"/>
  <c r="N282" i="83"/>
  <c r="E38" i="69"/>
  <c r="N279" i="103" l="1"/>
  <c r="N6" i="103" s="1"/>
  <c r="N3" i="103" s="1"/>
  <c r="B3" i="103" s="1"/>
  <c r="N279" i="102"/>
  <c r="N6" i="102" s="1"/>
  <c r="N3" i="102" s="1"/>
  <c r="N279" i="100"/>
  <c r="N6" i="100" s="1"/>
  <c r="N3" i="100" s="1"/>
  <c r="B3" i="100" s="1"/>
  <c r="N279" i="101"/>
  <c r="N6" i="101" s="1"/>
  <c r="N3" i="101" s="1"/>
  <c r="B3" i="101" s="1"/>
  <c r="N279" i="99"/>
  <c r="N6" i="99" s="1"/>
  <c r="N3" i="99" s="1"/>
  <c r="B3" i="99" s="1"/>
  <c r="N279" i="97"/>
  <c r="N6" i="97" s="1"/>
  <c r="N3" i="97" s="1"/>
  <c r="B3" i="97" s="1"/>
  <c r="N279" i="93"/>
  <c r="N6" i="93" s="1"/>
  <c r="N3" i="93" s="1"/>
  <c r="B3" i="93" s="1"/>
  <c r="N279" i="96"/>
  <c r="N6" i="96" s="1"/>
  <c r="N3" i="96" s="1"/>
  <c r="N279" i="95"/>
  <c r="N6" i="95" s="1"/>
  <c r="N3" i="95" s="1"/>
  <c r="N279" i="94"/>
  <c r="N6" i="94" s="1"/>
  <c r="N3" i="94" s="1"/>
  <c r="N279" i="92"/>
  <c r="N6" i="92" s="1"/>
  <c r="N3" i="92" s="1"/>
  <c r="N279" i="91"/>
  <c r="N6" i="91" s="1"/>
  <c r="N3" i="91" s="1"/>
  <c r="N279" i="90"/>
  <c r="N6" i="90" s="1"/>
  <c r="N3" i="90" s="1"/>
  <c r="B3" i="90" s="1"/>
  <c r="N279" i="29"/>
  <c r="N6" i="29" s="1"/>
  <c r="N3" i="29" s="1"/>
  <c r="N279" i="82"/>
  <c r="N6" i="82" s="1"/>
  <c r="N3" i="82" s="1"/>
  <c r="B3" i="82" s="1"/>
  <c r="N279" i="79"/>
  <c r="N6" i="79" s="1"/>
  <c r="N3" i="79" s="1"/>
  <c r="B4" i="79" s="1"/>
  <c r="N279" i="80"/>
  <c r="N6" i="80" s="1"/>
  <c r="N3" i="80" s="1"/>
  <c r="B3" i="80" s="1"/>
  <c r="N279" i="76"/>
  <c r="N6" i="76" s="1"/>
  <c r="N3" i="76" s="1"/>
  <c r="B4" i="76" s="1"/>
  <c r="N279" i="34"/>
  <c r="N6" i="34" s="1"/>
  <c r="N3" i="34" s="1"/>
  <c r="B4" i="34" s="1"/>
  <c r="N279" i="88"/>
  <c r="N6" i="88" s="1"/>
  <c r="N3" i="88" s="1"/>
  <c r="N279" i="81"/>
  <c r="N6" i="81" s="1"/>
  <c r="N3" i="81" s="1"/>
  <c r="B3" i="81" s="1"/>
  <c r="N279" i="77"/>
  <c r="N6" i="77" s="1"/>
  <c r="N3" i="77" s="1"/>
  <c r="N279" i="75"/>
  <c r="N6" i="75" s="1"/>
  <c r="N3" i="75" s="1"/>
  <c r="N279" i="89"/>
  <c r="N6" i="89" s="1"/>
  <c r="N3" i="89" s="1"/>
  <c r="N279" i="78"/>
  <c r="N6" i="78" s="1"/>
  <c r="N3" i="78" s="1"/>
  <c r="N279" i="85"/>
  <c r="N6" i="85" s="1"/>
  <c r="N3" i="85" s="1"/>
  <c r="N279" i="83"/>
  <c r="N6" i="83" s="1"/>
  <c r="N3" i="83" s="1"/>
  <c r="N279" i="84"/>
  <c r="N6" i="84" s="1"/>
  <c r="N3" i="84" s="1"/>
  <c r="N279" i="74"/>
  <c r="N6" i="74" s="1"/>
  <c r="N3" i="74" s="1"/>
  <c r="N279" i="73"/>
  <c r="N6" i="73" s="1"/>
  <c r="N3" i="73" s="1"/>
  <c r="N279" i="86"/>
  <c r="N6" i="86" s="1"/>
  <c r="N3" i="86" s="1"/>
  <c r="B4" i="103" l="1"/>
  <c r="B3" i="102"/>
  <c r="B4" i="102"/>
  <c r="B4" i="100"/>
  <c r="B4" i="99"/>
  <c r="B4" i="101"/>
  <c r="B4" i="97"/>
  <c r="B4" i="93"/>
  <c r="B4" i="91"/>
  <c r="B3" i="91"/>
  <c r="B4" i="92"/>
  <c r="B3" i="92"/>
  <c r="B3" i="95"/>
  <c r="B4" i="95"/>
  <c r="B3" i="94"/>
  <c r="B4" i="94"/>
  <c r="B3" i="96"/>
  <c r="B4" i="96"/>
  <c r="B3" i="34"/>
  <c r="B4" i="90"/>
  <c r="B4" i="81"/>
  <c r="B3" i="29"/>
  <c r="B4" i="29"/>
  <c r="B4" i="82"/>
  <c r="B3" i="76"/>
  <c r="B3" i="79"/>
  <c r="B4" i="80"/>
  <c r="B4" i="88"/>
  <c r="B3" i="88"/>
  <c r="B3" i="85"/>
  <c r="B4" i="85"/>
  <c r="B4" i="78"/>
  <c r="B3" i="78"/>
  <c r="B3" i="83"/>
  <c r="B4" i="83"/>
  <c r="B3" i="86"/>
  <c r="B4" i="86"/>
  <c r="B4" i="75"/>
  <c r="B3" i="75"/>
  <c r="B4" i="89"/>
  <c r="B3" i="89"/>
  <c r="B3" i="74"/>
  <c r="B4" i="74"/>
  <c r="B3" i="73"/>
  <c r="B4" i="73"/>
  <c r="B4" i="84"/>
  <c r="B3" i="84"/>
  <c r="B3" i="77"/>
  <c r="B4" i="7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CharacterCapture" description="Connection to the 'CharacterCapture' query in the workbook." type="5" refreshedVersion="8" background="1" saveData="1">
    <dbPr connection="Provider=Microsoft.Mashup.OleDb.1;Data Source=$Workbook$;Location=CharacterCapture;Extended Properties=&quot;&quot;" command="SELECT * FROM [CharacterCapture]"/>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<sst xmlns="http://schemas.openxmlformats.org/spreadsheetml/2006/main" count="50875" uniqueCount="3364">
  <si>
    <t>Sheet</t>
  </si>
  <si>
    <t>Date</t>
  </si>
  <si>
    <t>XP Left</t>
  </si>
  <si>
    <t>XP Total</t>
  </si>
  <si>
    <t>Player Name</t>
  </si>
  <si>
    <t>Character Name</t>
  </si>
  <si>
    <t>Concept</t>
  </si>
  <si>
    <t>Pronouns</t>
  </si>
  <si>
    <t>Clan</t>
  </si>
  <si>
    <t>Clan Icon</t>
  </si>
  <si>
    <t>Bloodline</t>
  </si>
  <si>
    <t>Covenant</t>
  </si>
  <si>
    <t>Covenant Icon</t>
  </si>
  <si>
    <t>Mask</t>
  </si>
  <si>
    <t>Dirge</t>
  </si>
  <si>
    <t>Court Title</t>
  </si>
  <si>
    <t>Intelligence</t>
  </si>
  <si>
    <t>Wits</t>
  </si>
  <si>
    <t>Resolve</t>
  </si>
  <si>
    <t>Strength</t>
  </si>
  <si>
    <t>Dexterity</t>
  </si>
  <si>
    <t>Stamina</t>
  </si>
  <si>
    <t>Presence</t>
  </si>
  <si>
    <t>Manipulation</t>
  </si>
  <si>
    <t>Composure</t>
  </si>
  <si>
    <t>Academics</t>
  </si>
  <si>
    <t>Computer</t>
  </si>
  <si>
    <t>Crafts</t>
  </si>
  <si>
    <t>Investigation</t>
  </si>
  <si>
    <t>Medicine</t>
  </si>
  <si>
    <t>Occult</t>
  </si>
  <si>
    <t>Politics</t>
  </si>
  <si>
    <t>Science</t>
  </si>
  <si>
    <t>Athletics</t>
  </si>
  <si>
    <t>Brawl</t>
  </si>
  <si>
    <t>Drive</t>
  </si>
  <si>
    <t>Firearms</t>
  </si>
  <si>
    <t>Larceny</t>
  </si>
  <si>
    <t>Stealth</t>
  </si>
  <si>
    <t>Survival</t>
  </si>
  <si>
    <t>Weaponry</t>
  </si>
  <si>
    <t>Animal Ken</t>
  </si>
  <si>
    <t>Empathy</t>
  </si>
  <si>
    <t>Expression</t>
  </si>
  <si>
    <t>Intimidation</t>
  </si>
  <si>
    <t>Persuasion</t>
  </si>
  <si>
    <t>Socialise</t>
  </si>
  <si>
    <t>Streetwise</t>
  </si>
  <si>
    <t>Subterfuge</t>
  </si>
  <si>
    <t>Blood Potency</t>
  </si>
  <si>
    <t>BP</t>
  </si>
  <si>
    <t>BP Icon</t>
  </si>
  <si>
    <t>Health</t>
  </si>
  <si>
    <t>Willpower</t>
  </si>
  <si>
    <t>Willpower Squares</t>
  </si>
  <si>
    <t>Vitae</t>
  </si>
  <si>
    <t>Vitae Squares</t>
  </si>
  <si>
    <t>Vitae Per Turn</t>
  </si>
  <si>
    <t>Can Feed From</t>
  </si>
  <si>
    <t>Academics Spec</t>
  </si>
  <si>
    <t>Computer Spec</t>
  </si>
  <si>
    <t>Crafts Spec</t>
  </si>
  <si>
    <t>Investigation Spec</t>
  </si>
  <si>
    <t>Medicine Spec</t>
  </si>
  <si>
    <t>Occult Spec</t>
  </si>
  <si>
    <t>Politics Spec</t>
  </si>
  <si>
    <t>Science Spec</t>
  </si>
  <si>
    <t>Athletics Spec</t>
  </si>
  <si>
    <t>Brawl Spec</t>
  </si>
  <si>
    <t>Drive Spec</t>
  </si>
  <si>
    <t>Firearms Spec</t>
  </si>
  <si>
    <t>Larceny Spec</t>
  </si>
  <si>
    <t>Stealth Spec</t>
  </si>
  <si>
    <t>Survival Spec</t>
  </si>
  <si>
    <t>Weaponry Spec</t>
  </si>
  <si>
    <t>Animal Ken Spec</t>
  </si>
  <si>
    <t>Empathy Spec</t>
  </si>
  <si>
    <t>Expression Spec</t>
  </si>
  <si>
    <t>Intimidation Spec</t>
  </si>
  <si>
    <t>Persuasion Spec</t>
  </si>
  <si>
    <t>Socialise Spec</t>
  </si>
  <si>
    <t>Streetwise Spec</t>
  </si>
  <si>
    <t>Subterfuge Spec</t>
  </si>
  <si>
    <t>City Status</t>
  </si>
  <si>
    <t>Clan Status</t>
  </si>
  <si>
    <t>Covenant Status</t>
  </si>
  <si>
    <t>Covenant 1</t>
  </si>
  <si>
    <t>Covenant Status 1</t>
  </si>
  <si>
    <t>Covenant 2</t>
  </si>
  <si>
    <t>Covenant Status 2</t>
  </si>
  <si>
    <t>Covenant 3</t>
  </si>
  <si>
    <t>Covenant Status 3</t>
  </si>
  <si>
    <t>Covenant 4</t>
  </si>
  <si>
    <t>Covenant Status 4</t>
  </si>
  <si>
    <t>Safe Place</t>
  </si>
  <si>
    <t>Haven</t>
  </si>
  <si>
    <t>Feeding Grounds</t>
  </si>
  <si>
    <t>Herd</t>
  </si>
  <si>
    <t>Mystery Cult Initiation</t>
  </si>
  <si>
    <t>Mystery Cult Name</t>
  </si>
  <si>
    <t>Professional Training</t>
  </si>
  <si>
    <t>Prof Training Role</t>
  </si>
  <si>
    <t>Hum</t>
  </si>
  <si>
    <t>Hum Icon</t>
  </si>
  <si>
    <t>Humanity 10</t>
  </si>
  <si>
    <t>Humanity 9</t>
  </si>
  <si>
    <t>Humanity 8</t>
  </si>
  <si>
    <t>Humanity 7</t>
  </si>
  <si>
    <t>Humanity 6</t>
  </si>
  <si>
    <t>Humanity 5</t>
  </si>
  <si>
    <t>Humanity 4</t>
  </si>
  <si>
    <t>Humanity 3</t>
  </si>
  <si>
    <t>Humanity 2</t>
  </si>
  <si>
    <t>Humanity 1</t>
  </si>
  <si>
    <t>Merit 1</t>
  </si>
  <si>
    <t>Merit 2</t>
  </si>
  <si>
    <t>Merit 3</t>
  </si>
  <si>
    <t>Merit 4</t>
  </si>
  <si>
    <t>Merit 5</t>
  </si>
  <si>
    <t>Merit 6</t>
  </si>
  <si>
    <t>Merit 7</t>
  </si>
  <si>
    <t>Merit 8</t>
  </si>
  <si>
    <t>Merit 9</t>
  </si>
  <si>
    <t>Merit 10</t>
  </si>
  <si>
    <t>Merit 11</t>
  </si>
  <si>
    <t>Merit 12</t>
  </si>
  <si>
    <t>Merit 13</t>
  </si>
  <si>
    <t>Merit 14</t>
  </si>
  <si>
    <t>Merit 15</t>
  </si>
  <si>
    <t>Merit 16</t>
  </si>
  <si>
    <t>Merit 17</t>
  </si>
  <si>
    <t>Merit 18</t>
  </si>
  <si>
    <t>Merit 19</t>
  </si>
  <si>
    <t>Merit 20</t>
  </si>
  <si>
    <t>Merit 21</t>
  </si>
  <si>
    <t>Merit 22</t>
  </si>
  <si>
    <t>Merit 23</t>
  </si>
  <si>
    <t>Merit 24</t>
  </si>
  <si>
    <t>Merit 25</t>
  </si>
  <si>
    <t>Merit 26</t>
  </si>
  <si>
    <t>Merit 27</t>
  </si>
  <si>
    <t>Merit 28</t>
  </si>
  <si>
    <t>Merit 29</t>
  </si>
  <si>
    <t>Merit 30</t>
  </si>
  <si>
    <t>Merit Effect 1</t>
  </si>
  <si>
    <t>Merit Effect 2</t>
  </si>
  <si>
    <t>Merit Effect 3</t>
  </si>
  <si>
    <t>Merit Effect 4</t>
  </si>
  <si>
    <t>Merit Effect 5</t>
  </si>
  <si>
    <t>Merit Effect 6</t>
  </si>
  <si>
    <t>Merit Effect 7</t>
  </si>
  <si>
    <t>Merit Effect 8</t>
  </si>
  <si>
    <t>Merit Effect 9</t>
  </si>
  <si>
    <t>Merit Effect 10</t>
  </si>
  <si>
    <t>Merit Effect 11</t>
  </si>
  <si>
    <t>Merit Effect 12</t>
  </si>
  <si>
    <t>Merit Effect 13</t>
  </si>
  <si>
    <t>Merit Effect 14</t>
  </si>
  <si>
    <t>Merit Effect 15</t>
  </si>
  <si>
    <t>Merit Effect 16</t>
  </si>
  <si>
    <t>Merit Effect 17</t>
  </si>
  <si>
    <t>Merit Effect 18</t>
  </si>
  <si>
    <t>Merit Effect 19</t>
  </si>
  <si>
    <t>Merit Effect 20</t>
  </si>
  <si>
    <t>Merit Effect 21</t>
  </si>
  <si>
    <t>Merit Effect 22</t>
  </si>
  <si>
    <t>Merit Effect 23</t>
  </si>
  <si>
    <t>Merit Effect 24</t>
  </si>
  <si>
    <t>Merit Effect 25</t>
  </si>
  <si>
    <t>Merit Effect 26</t>
  </si>
  <si>
    <t>Merit Effect 27</t>
  </si>
  <si>
    <t>Merit Effect 28</t>
  </si>
  <si>
    <t>Merit Effect 29</t>
  </si>
  <si>
    <t>Merit Effect 30</t>
  </si>
  <si>
    <t>Influence</t>
  </si>
  <si>
    <t>Influence Squares</t>
  </si>
  <si>
    <t>Influence 1</t>
  </si>
  <si>
    <t>Influence 2</t>
  </si>
  <si>
    <t>Influence 3</t>
  </si>
  <si>
    <t>Influence 4</t>
  </si>
  <si>
    <t>Influence 5</t>
  </si>
  <si>
    <t>Influence 6</t>
  </si>
  <si>
    <t>Influence 7</t>
  </si>
  <si>
    <t>Influence 8</t>
  </si>
  <si>
    <t>Influence 9</t>
  </si>
  <si>
    <t>Influence 10</t>
  </si>
  <si>
    <t>Influence 11</t>
  </si>
  <si>
    <t>Influence 12</t>
  </si>
  <si>
    <t>Influence 13</t>
  </si>
  <si>
    <t>Influence 14</t>
  </si>
  <si>
    <t>Influence 15</t>
  </si>
  <si>
    <t>Influence 16</t>
  </si>
  <si>
    <t>Influence 17</t>
  </si>
  <si>
    <t>Influence 18</t>
  </si>
  <si>
    <t>Influence 19</t>
  </si>
  <si>
    <t>Influence 20</t>
  </si>
  <si>
    <t>Area 1</t>
  </si>
  <si>
    <t>Area 2</t>
  </si>
  <si>
    <t>Area 3</t>
  </si>
  <si>
    <t>Area 4</t>
  </si>
  <si>
    <t>Area 5</t>
  </si>
  <si>
    <t>Area 6</t>
  </si>
  <si>
    <t>Area 7</t>
  </si>
  <si>
    <t>Area 8</t>
  </si>
  <si>
    <t>Area 9</t>
  </si>
  <si>
    <t>Area 10</t>
  </si>
  <si>
    <t>Area 11</t>
  </si>
  <si>
    <t>Area 12</t>
  </si>
  <si>
    <t>Area 13</t>
  </si>
  <si>
    <t>Area 14</t>
  </si>
  <si>
    <t>Area 15</t>
  </si>
  <si>
    <t>Area 16</t>
  </si>
  <si>
    <t>Area 17</t>
  </si>
  <si>
    <t>Area 18</t>
  </si>
  <si>
    <t>Area 19</t>
  </si>
  <si>
    <t>Area 20</t>
  </si>
  <si>
    <t>Influence Dots 1</t>
  </si>
  <si>
    <t>Influence Dots 2</t>
  </si>
  <si>
    <t>Influence Dots 3</t>
  </si>
  <si>
    <t>Influence Dots 4</t>
  </si>
  <si>
    <t>Influence Dots 5</t>
  </si>
  <si>
    <t>Influence Dots 6</t>
  </si>
  <si>
    <t>Influence Dots 7</t>
  </si>
  <si>
    <t>Influence Dots 8</t>
  </si>
  <si>
    <t>Influence Dots 9</t>
  </si>
  <si>
    <t>Influence Dots 10</t>
  </si>
  <si>
    <t>Influence Dots 11</t>
  </si>
  <si>
    <t>Influence Dots 12</t>
  </si>
  <si>
    <t>Influence Dots 13</t>
  </si>
  <si>
    <t>Influence Dots 14</t>
  </si>
  <si>
    <t>Influence Dots 15</t>
  </si>
  <si>
    <t>Influence Dots 16</t>
  </si>
  <si>
    <t>Influence Dots 17</t>
  </si>
  <si>
    <t>Influence Dots 18</t>
  </si>
  <si>
    <t>Influence Dots 19</t>
  </si>
  <si>
    <t>Influence Dots 20</t>
  </si>
  <si>
    <t>Animalism</t>
  </si>
  <si>
    <t>Auspex</t>
  </si>
  <si>
    <t>Celerity</t>
  </si>
  <si>
    <t>Dominate</t>
  </si>
  <si>
    <t>Majesty</t>
  </si>
  <si>
    <t>Nightmare</t>
  </si>
  <si>
    <t>Obfuscate</t>
  </si>
  <si>
    <t>Protean</t>
  </si>
  <si>
    <t>Resilience</t>
  </si>
  <si>
    <t>Vigour</t>
  </si>
  <si>
    <t>Cruac</t>
  </si>
  <si>
    <t>Theban</t>
  </si>
  <si>
    <t>Creation</t>
  </si>
  <si>
    <t>Destruction</t>
  </si>
  <si>
    <t>Divination</t>
  </si>
  <si>
    <t>Protection</t>
  </si>
  <si>
    <t>Transmutation</t>
  </si>
  <si>
    <t>Blood 1</t>
  </si>
  <si>
    <t>Blood 2</t>
  </si>
  <si>
    <t>Blood 3</t>
  </si>
  <si>
    <t>Blood 4</t>
  </si>
  <si>
    <t>Blood 5</t>
  </si>
  <si>
    <t>Blood 6</t>
  </si>
  <si>
    <t>Blood 7</t>
  </si>
  <si>
    <t>Blood 8</t>
  </si>
  <si>
    <t>Blood 9</t>
  </si>
  <si>
    <t>Blood 10</t>
  </si>
  <si>
    <t>Blood 11</t>
  </si>
  <si>
    <t>Blood 12</t>
  </si>
  <si>
    <t>Blood 13</t>
  </si>
  <si>
    <t>Blood 14</t>
  </si>
  <si>
    <t>Blood 15</t>
  </si>
  <si>
    <t>Blood 16</t>
  </si>
  <si>
    <t>Blood 17</t>
  </si>
  <si>
    <t>Blood 18</t>
  </si>
  <si>
    <t>Blood 19</t>
  </si>
  <si>
    <t>Blood 20</t>
  </si>
  <si>
    <t>Blood 21</t>
  </si>
  <si>
    <t>Blood 22</t>
  </si>
  <si>
    <t>Blood 23</t>
  </si>
  <si>
    <t>Blood 24</t>
  </si>
  <si>
    <t>Blood 25</t>
  </si>
  <si>
    <t>Blood 26</t>
  </si>
  <si>
    <t>Blood 27</t>
  </si>
  <si>
    <t>Blood 28</t>
  </si>
  <si>
    <t>Blood 29</t>
  </si>
  <si>
    <t>Blood 30</t>
  </si>
  <si>
    <t>Blood Stats 1</t>
  </si>
  <si>
    <t>Blood Stats 2</t>
  </si>
  <si>
    <t>Blood Stats 3</t>
  </si>
  <si>
    <t>Blood Stats 4</t>
  </si>
  <si>
    <t>Blood Stats 5</t>
  </si>
  <si>
    <t>Blood Stats 6</t>
  </si>
  <si>
    <t>Blood Stats 7</t>
  </si>
  <si>
    <t>Blood Stats 8</t>
  </si>
  <si>
    <t>Blood Stats 9</t>
  </si>
  <si>
    <t>Blood Stats 10</t>
  </si>
  <si>
    <t>Blood Stats 11</t>
  </si>
  <si>
    <t>Blood Stats 12</t>
  </si>
  <si>
    <t>Blood Stats 13</t>
  </si>
  <si>
    <t>Blood Stats 14</t>
  </si>
  <si>
    <t>Blood Stats 15</t>
  </si>
  <si>
    <t>Blood Stats 16</t>
  </si>
  <si>
    <t>Blood Stats 17</t>
  </si>
  <si>
    <t>Blood Stats 18</t>
  </si>
  <si>
    <t>Blood Stats 19</t>
  </si>
  <si>
    <t>Blood Stats 20</t>
  </si>
  <si>
    <t>Blood Stats 21</t>
  </si>
  <si>
    <t>Blood Stats 22</t>
  </si>
  <si>
    <t>Blood Stats 23</t>
  </si>
  <si>
    <t>Blood Stats 24</t>
  </si>
  <si>
    <t>Blood Stats 25</t>
  </si>
  <si>
    <t>Blood Stats 26</t>
  </si>
  <si>
    <t>Blood Stats 27</t>
  </si>
  <si>
    <t>Blood Stats 28</t>
  </si>
  <si>
    <t>Blood Stats 29</t>
  </si>
  <si>
    <t>Blood Stats 30</t>
  </si>
  <si>
    <t>Blood Effect 1</t>
  </si>
  <si>
    <t>Blood Effect 2</t>
  </si>
  <si>
    <t>Blood Effect 3</t>
  </si>
  <si>
    <t>Blood Effect 4</t>
  </si>
  <si>
    <t>Blood Effect 5</t>
  </si>
  <si>
    <t>Blood Effect 6</t>
  </si>
  <si>
    <t>Blood Effect 7</t>
  </si>
  <si>
    <t>Blood Effect 8</t>
  </si>
  <si>
    <t>Blood Effect 9</t>
  </si>
  <si>
    <t>Blood Effect 10</t>
  </si>
  <si>
    <t>Blood Effect 11</t>
  </si>
  <si>
    <t>Blood Effect 12</t>
  </si>
  <si>
    <t>Blood Effect 13</t>
  </si>
  <si>
    <t>Blood Effect 14</t>
  </si>
  <si>
    <t>Blood Effect 15</t>
  </si>
  <si>
    <t>Blood Effect 16</t>
  </si>
  <si>
    <t>Blood Effect 17</t>
  </si>
  <si>
    <t>Blood Effect 18</t>
  </si>
  <si>
    <t>Blood Effect 19</t>
  </si>
  <si>
    <t>Blood Effect 20</t>
  </si>
  <si>
    <t>Blood Effect 21</t>
  </si>
  <si>
    <t>Blood Effect 22</t>
  </si>
  <si>
    <t>Blood Effect 23</t>
  </si>
  <si>
    <t>Blood Effect 24</t>
  </si>
  <si>
    <t>Blood Effect 25</t>
  </si>
  <si>
    <t>Blood Effect 26</t>
  </si>
  <si>
    <t>Blood Effect 27</t>
  </si>
  <si>
    <t>Blood Effect 28</t>
  </si>
  <si>
    <t>Blood Effect 29</t>
  </si>
  <si>
    <t>Blood Effect 30</t>
  </si>
  <si>
    <t>Clan Bane</t>
  </si>
  <si>
    <t>Bloodline Bane</t>
  </si>
  <si>
    <t>Other Bane 1</t>
  </si>
  <si>
    <t>Other Bane 2</t>
  </si>
  <si>
    <t>Other Bane 3</t>
  </si>
  <si>
    <t>Clan Bane Effect</t>
  </si>
  <si>
    <t>Bloodline Bane Effect</t>
  </si>
  <si>
    <t>Other Bane Effect 1</t>
  </si>
  <si>
    <t>Other Bane Effect 2</t>
  </si>
  <si>
    <t>Other Bane Effect 3</t>
  </si>
  <si>
    <t>Size</t>
  </si>
  <si>
    <t>Speed</t>
  </si>
  <si>
    <t>Defence</t>
  </si>
  <si>
    <t>Mask 1WP</t>
  </si>
  <si>
    <t>Mask AllWP</t>
  </si>
  <si>
    <t>Dirge 1WP</t>
  </si>
  <si>
    <t>Dirge AllWP</t>
  </si>
  <si>
    <t>Aspiration 1</t>
  </si>
  <si>
    <t>Aspiration 2</t>
  </si>
  <si>
    <t>Aspiration 3</t>
  </si>
  <si>
    <t>Apparent Age</t>
  </si>
  <si>
    <t>Features</t>
  </si>
  <si>
    <t>tblCharDataAlice</t>
  </si>
  <si>
    <t>Katherine H</t>
  </si>
  <si>
    <t>Alice Vunder</t>
  </si>
  <si>
    <t>Curious archivist</t>
  </si>
  <si>
    <t>she/her</t>
  </si>
  <si>
    <t>Mekhet</t>
  </si>
  <si>
    <t>D:\Terra Mortis\Character Sheets\Sheet Elements\Mekhet icon.svg</t>
  </si>
  <si>
    <t>¬</t>
  </si>
  <si>
    <t>Circle of the Crone</t>
  </si>
  <si>
    <t>D:\Terra Mortis\Character Sheets\Sheet Elements\Crone icon.svg</t>
  </si>
  <si>
    <t>Follower</t>
  </si>
  <si>
    <t>Scholar</t>
  </si>
  <si>
    <t>Regent</t>
  </si>
  <si>
    <t>●●●●</t>
  </si>
  <si>
    <t>●●●</t>
  </si>
  <si>
    <t>●●</t>
  </si>
  <si>
    <t>●</t>
  </si>
  <si>
    <t/>
  </si>
  <si>
    <t>●○○○○○○○○○</t>
  </si>
  <si>
    <t>□□□□□□□■■■■■■■■</t>
  </si>
  <si>
    <t>4 / 4</t>
  </si>
  <si>
    <t>□□□□■■■■■■</t>
  </si>
  <si>
    <t>10 / 10</t>
  </si>
  <si>
    <t>□□□□□□□□□□■■■■■■■■■■</t>
  </si>
  <si>
    <t>Animals</t>
  </si>
  <si>
    <t>Research</t>
  </si>
  <si>
    <t>Hacking</t>
  </si>
  <si>
    <t>Motives</t>
  </si>
  <si>
    <t>Crone</t>
  </si>
  <si>
    <t>Carthian</t>
  </si>
  <si>
    <t>-</t>
  </si>
  <si>
    <t>Invictus</t>
  </si>
  <si>
    <t>Lance</t>
  </si>
  <si>
    <t>●●●●●</t>
  </si>
  <si>
    <t>The Archive</t>
  </si>
  <si>
    <t>~</t>
  </si>
  <si>
    <t>○</t>
  </si>
  <si>
    <t>● (Sister (unnamed))</t>
  </si>
  <si>
    <t>● (One parent (unnamed))</t>
  </si>
  <si>
    <t>Hobbyist Clique ●</t>
  </si>
  <si>
    <t>Library (Occult) ●●</t>
  </si>
  <si>
    <t>Viral Mythology ●●●</t>
  </si>
  <si>
    <t>9-Again on hobby Skill; +2 to extended actions with that Skill.</t>
  </si>
  <si>
    <t>Add dots to extended rolls for a chosen Skill's subject matter.</t>
  </si>
  <si>
    <t>Presence + Expression vs Wits + Composure to inflict contagious awe. Allies and Herd double their yield.</t>
  </si>
  <si>
    <t>8 / 8</t>
  </si>
  <si>
    <t>□□□□□□□□</t>
  </si>
  <si>
    <t>Allies</t>
  </si>
  <si>
    <t>Contacts</t>
  </si>
  <si>
    <t>Transportation</t>
  </si>
  <si>
    <t>Underworld</t>
  </si>
  <si>
    <t>Street, Occult, Industry</t>
  </si>
  <si>
    <t>Auspex ● | Beast's Hackles</t>
  </si>
  <si>
    <t>Celerity ●</t>
  </si>
  <si>
    <t>Obfuscate ● | Face in the Crowd</t>
  </si>
  <si>
    <t>Obfuscate ●● | Touch of Shadow</t>
  </si>
  <si>
    <t>Obfuscate ●●● | Cloak of Night</t>
  </si>
  <si>
    <t>Blood Sorcery | Creation ●</t>
  </si>
  <si>
    <t>Blood Sorcery | Divination ●</t>
  </si>
  <si>
    <t>Blood Sorcery | Protection ●</t>
  </si>
  <si>
    <t>Cost: Free (1 V for Insight)  •  Pool: - - Composure &amp; Closed Book  •  Instant  •  Scene</t>
  </si>
  <si>
    <t>Cost: 1 V per effect  •  Pool: -  •  Reflexive  •  1 turn</t>
  </si>
  <si>
    <t>Cost: -  •  Pool: -  •  Instant  •  Scene</t>
  </si>
  <si>
    <t>Cost: 1 V  •  Pool: 8  •  Instant  •  Scene</t>
  </si>
  <si>
    <t>Cost: 1 V  •  Pool: -  •  None</t>
  </si>
  <si>
    <t>Add Auspex dots to any rolls to resist surprise. Access to Tier 1 Auspex Insight questions.</t>
  </si>
  <si>
    <t>Persistent improved Defence or Dodge. Activate for supernatural speed benefits. Unnatural Grace: add Celerity dots as bonus dice to non-combat speed-based pools.</t>
  </si>
  <si>
    <t>Blend into surroundings, visible but unnoticeable. Predatory aura fully on or off. Leaving combat: Wits + Composure - Obfuscate to notice; auto Clash of Wills vs Auspex.</t>
  </si>
  <si>
    <t>Cast Face in the Crowd on object or person. Free and unlimited duration on carried/worn objects if not drawing attention.</t>
  </si>
  <si>
    <t>Become invisible. Leaving combat: auto Clash of Wills vs Auspex 2.</t>
  </si>
  <si>
    <t>Summon liquids, dead organic matter, sensory phenomena. Bonus/penalty = Potency.</t>
  </si>
  <si>
    <t>Glimpse fragmented details about intended actions. Learn basic info about a target.</t>
  </si>
  <si>
    <t>Subtract Potency from ritual rolls targeting subject. Heal bashing in vampires. Protect from the Kiss (add Potency to resistance).</t>
  </si>
  <si>
    <t>Tenebrous Curse</t>
  </si>
  <si>
    <t>Rat King/Queen</t>
  </si>
  <si>
    <t>Gain an extra bane at Humanity 6 (doesn't count towards cap); Humanity counts –1 for all Humanity-based banes.</t>
  </si>
  <si>
    <t>Surrounded by vermin; all Social rolls fail except Intimidation; WP can dismiss.</t>
  </si>
  <si>
    <t>Follow a directive blindly, for the sake of following.</t>
  </si>
  <si>
    <t>Follow a dangerous directive without hesitation.</t>
  </si>
  <si>
    <t>Uncover a lost piece of information.</t>
  </si>
  <si>
    <t>Uncover forbidden knowledge.</t>
  </si>
  <si>
    <t>tblCharDataAnichka</t>
  </si>
  <si>
    <t>Katie H</t>
  </si>
  <si>
    <t>Anichka</t>
  </si>
  <si>
    <t>Feral Oracular Darling</t>
  </si>
  <si>
    <t>Questioner</t>
  </si>
  <si>
    <t>6 / 6</t>
  </si>
  <si>
    <t>□□□□□□■■■■</t>
  </si>
  <si>
    <t>9 / 10</t>
  </si>
  <si>
    <t>□□□□□□□□□■■■■■■■■■■■</t>
  </si>
  <si>
    <t>prophecy &amp; omens, dreams</t>
  </si>
  <si>
    <t>Living off the land</t>
  </si>
  <si>
    <t>● (Kateryna (grand-niece))</t>
  </si>
  <si>
    <t>Dream Visions ●</t>
  </si>
  <si>
    <t>Language ●</t>
  </si>
  <si>
    <t>Tolerance for Biology ●</t>
  </si>
  <si>
    <t>What You've Done For Her Lately ●</t>
  </si>
  <si>
    <t>Once per night, roll Blood Potency for prophetic dreams about a new person or place.</t>
  </si>
  <si>
    <t>Speak, read and write a chosen language.</t>
  </si>
  <si>
    <t>Ignore Resistance rolls from witnessing biological grotesquerie.</t>
  </si>
  <si>
    <t>Once per story, after a Crúac ritual, add ritual level to effective Crone Status for the chapter (Social rolls, favours, Social Merits until sunrise).</t>
  </si>
  <si>
    <t>7 / 7</t>
  </si>
  <si>
    <t>□□□□□□□</t>
  </si>
  <si>
    <t>Retainer</t>
  </si>
  <si>
    <t>family</t>
  </si>
  <si>
    <t>Auspex ●● | Uncanny Perception</t>
  </si>
  <si>
    <t>Protean ● | Unmarked Grave</t>
  </si>
  <si>
    <t>Blood Sorcery | Divination ●●</t>
  </si>
  <si>
    <t>Blood Sorcery | Divination ●●●</t>
  </si>
  <si>
    <t>Cruac ● | The Pool of Forbidden Truths</t>
  </si>
  <si>
    <t>Cost: Free (1 V for Insight) Must perceive target  •  Pool: -  •  Instant  •  Scene</t>
  </si>
  <si>
    <t>Cost: Varies  •  Pool: -  •  Instant  •  Indefinite</t>
  </si>
  <si>
    <t>Cost: 1 V 1 Successes  •  Pool: 10  •  Ritual  •  Instant</t>
  </si>
  <si>
    <t>Persistent Acute Senses Merit, doubles actual merit. Access to Tier 2 Auspex Insight questions.</t>
  </si>
  <si>
    <t>Merge with soil.</t>
  </si>
  <si>
    <t>Ask specific questions about a target. Sense supernatural concealment on objects. Detect lies.</t>
  </si>
  <si>
    <t>View past events (limited by Fog of Eternity). Locate hidden targets. Prophetic omens about near future.</t>
  </si>
  <si>
    <t>Blood pool reveals subject's greatest fear or deepest desire</t>
  </si>
  <si>
    <t>Challenge an accepted truth.</t>
  </si>
  <si>
    <t>Put a long-believed truth to the test, at your own peril.</t>
  </si>
  <si>
    <t>early 20s</t>
  </si>
  <si>
    <t>smells like animals</t>
  </si>
  <si>
    <t>tblCharDataBrandy</t>
  </si>
  <si>
    <t>Ashley K</t>
  </si>
  <si>
    <t>Brandy LaRoux</t>
  </si>
  <si>
    <t>Trailer Royalty</t>
  </si>
  <si>
    <t>Gangrel</t>
  </si>
  <si>
    <t>D:\Terra Mortis\Character Sheets\Sheet Elements\Gangrel icon.svg</t>
  </si>
  <si>
    <t>Perfectionist</t>
  </si>
  <si>
    <t>Monster</t>
  </si>
  <si>
    <t>Harpy</t>
  </si>
  <si>
    <t>□□□□□□□□■■■■■■■</t>
  </si>
  <si>
    <t>Vodun</t>
  </si>
  <si>
    <t>Tooth &amp; Claw</t>
  </si>
  <si>
    <t>Put on airs</t>
  </si>
  <si>
    <t>Ducen Ducibus</t>
  </si>
  <si>
    <t>○ (Tod Graves (husband))</t>
  </si>
  <si>
    <t>● (Good Luck Molly (alligator))</t>
  </si>
  <si>
    <t>Defensive Combat (Brawl) ●</t>
  </si>
  <si>
    <t>Indomitable ●●</t>
  </si>
  <si>
    <t>Inspiring ●●●</t>
  </si>
  <si>
    <t>Meditative Mind ●●</t>
  </si>
  <si>
    <t>Secret Society Junkie ●</t>
  </si>
  <si>
    <t>Table Turner ●</t>
  </si>
  <si>
    <t>Riding the Wave ● | Ravage</t>
  </si>
  <si>
    <t>Riding the Wave ●● | Primal Strength</t>
  </si>
  <si>
    <t>Riding the Wave ●●● | In the Zone</t>
  </si>
  <si>
    <t>Riding the Wave ●●●● | Unyielding</t>
  </si>
  <si>
    <t>Substitute chosen Skill for Athletics in Defence, if equipped for that Skill.</t>
  </si>
  <si>
    <t>+2 to contest or resist supernatural mental influence.</t>
  </si>
  <si>
    <t>Roll Presence + Expression to confer the Inspired Condition.</t>
  </si>
  <si>
    <t>Ignore penalties on meditation. (••) meditation grants +3 Resolve + Composure for the day. (••••) meditation needs only one success.</t>
  </si>
  <si>
    <t>Dots in Status or Mystery Cult Initiation representing human secret societies also count as dots of Herd.</t>
  </si>
  <si>
    <t>Spend Willpower to preempt Social Manoeuvring with your own Social action.</t>
  </si>
  <si>
    <t>Bite attacks take a 1L weapon rating.</t>
  </si>
  <si>
    <t>Double your Strength bonus from frenzy when lifting, jumping, or destroying objects.</t>
  </si>
  <si>
    <t>When you spend Willpower to ride the wave, you also apply the normal +3 action bonus.</t>
  </si>
  <si>
    <t>After a scene where you rode the wave, recover any Willpower spent to do so.</t>
  </si>
  <si>
    <t>11 / 11</t>
  </si>
  <si>
    <t>□□□□□□□□□□□</t>
  </si>
  <si>
    <t>Resources</t>
  </si>
  <si>
    <t>High Society</t>
  </si>
  <si>
    <t>Media</t>
  </si>
  <si>
    <t>Police</t>
  </si>
  <si>
    <t>Majesty ● | Awe</t>
  </si>
  <si>
    <t>Protean ●● | Predatory Aspect</t>
  </si>
  <si>
    <t>Protean ●●● | Beast's Skin</t>
  </si>
  <si>
    <t>Blood Sorcery | Destruction ●</t>
  </si>
  <si>
    <t>Cruac ● | Mantle of Amorous Fire</t>
  </si>
  <si>
    <t>Cost: 1 V  •  Pool: -  •  Instant  •  Scene</t>
  </si>
  <si>
    <t>Cost: 2 V  •  Pool: -  •  Instant  •  Indefinite</t>
  </si>
  <si>
    <t>Cost: 1 V 1 Successes  •  Pool: 6  •  Ritual  •  Scene</t>
  </si>
  <si>
    <t>Become centre of attention. Subjects become Awed.</t>
  </si>
  <si>
    <t>Take on animal traits.</t>
  </si>
  <si>
    <t>Transform into predatory animal.</t>
  </si>
  <si>
    <t>Upgrade bashing to lethal. Produce poisons (Toxicity = Potency).</t>
  </si>
  <si>
    <t>Dance to exhaustion. Add Cruac as a Presence bonus for the night.</t>
  </si>
  <si>
    <t>Feral Curse</t>
  </si>
  <si>
    <t>Frenzy resistance dice pools capped by Humanity (doesn't affect Riding the Wave).</t>
  </si>
  <si>
    <t>Revisit an already successful action to hammer out a flaw.</t>
  </si>
  <si>
    <t>Stick with a failed and dangerous plan in order to fix what went wrong.</t>
  </si>
  <si>
    <t>Cause pain for the sole intention of causing pain.</t>
  </si>
  <si>
    <t>Commit a capital crime without additional motive.</t>
  </si>
  <si>
    <t>tblCharDataCarver</t>
  </si>
  <si>
    <t>Archer</t>
  </si>
  <si>
    <t>Carver</t>
  </si>
  <si>
    <t>Lance Lore Nerd</t>
  </si>
  <si>
    <t>he/him</t>
  </si>
  <si>
    <t>Ventrue</t>
  </si>
  <si>
    <t>D:\Terra Mortis\Character Sheets\Sheet Elements\Ventrue icon.svg</t>
  </si>
  <si>
    <t>Lasombra</t>
  </si>
  <si>
    <t>Lancea et Sanctum</t>
  </si>
  <si>
    <t>D:\Terra Mortis\Character Sheets\Sheet Elements\Lance icon.svg</t>
  </si>
  <si>
    <t>Authoritarian</t>
  </si>
  <si>
    <t>●●○○</t>
  </si>
  <si>
    <t>●●○○○○○○○○</t>
  </si>
  <si>
    <t>†</t>
  </si>
  <si>
    <t>□□□□□□□□□■■■■■■</t>
  </si>
  <si>
    <t>□□□□□□□□□□□■■■■■■■■■</t>
  </si>
  <si>
    <t>law</t>
  </si>
  <si>
    <t>artefacts</t>
  </si>
  <si>
    <t>motives</t>
  </si>
  <si>
    <t>○ (James (Crowley descendant))</t>
  </si>
  <si>
    <t>Acute Senses ●</t>
  </si>
  <si>
    <t>Eidetic Memory ●</t>
  </si>
  <si>
    <t>Esoteric Armoury ●</t>
  </si>
  <si>
    <t>Library (Academic) ●●●</t>
  </si>
  <si>
    <t>Library (Occult) ●●●</t>
  </si>
  <si>
    <t>Lorekeeper ●</t>
  </si>
  <si>
    <t>Add Blood Potency to sensory rolls. Exceptional success can inflict Obsession.</t>
  </si>
  <si>
    <t>No rolls for recall. +2 to recall minute facts.</t>
  </si>
  <si>
    <t>Enough esoterica to supply the banes of ephemeral entities with a Rank up to your rating in this Merit.</t>
  </si>
  <si>
    <t>Distribute Library dots among bonus Retainer and Herd.</t>
  </si>
  <si>
    <t>Occult, University, Beuracracy, Church, Legal</t>
  </si>
  <si>
    <t>Nicole - EA</t>
  </si>
  <si>
    <t>Nightmare ● | Dread Presence</t>
  </si>
  <si>
    <t>Nightmare ●● | Face of the Beast</t>
  </si>
  <si>
    <t>Nightmare ●●● | Grand Delusion</t>
  </si>
  <si>
    <t>Nightmare ●●●● | Waking Nightmare</t>
  </si>
  <si>
    <t>Resilience ●●</t>
  </si>
  <si>
    <t>Devotion  | Skim the Void</t>
  </si>
  <si>
    <t>Cost: 1 V  •  Pool: 10  v Composure + BP  •  Contested  •  Instant</t>
  </si>
  <si>
    <t>Cost: 2 V  •  Pool: 9  v Composure + BP  •  Contested  •  1 night</t>
  </si>
  <si>
    <t>Cost: 1 V  •  Pool: 10  v highest Composure + BP  •  Contested  •  Scene</t>
  </si>
  <si>
    <t>Cost: 1 V (Lasombra Only)  •  Pool: 6  •  Instant  •  Instant</t>
  </si>
  <si>
    <t>Conjure brief illusions. Improve Intimidation. Prevent foes spending Willpower.</t>
  </si>
  <si>
    <t>Impose Frightened Condition. Cause fleeing.</t>
  </si>
  <si>
    <t>Impose Delusional Condition.</t>
  </si>
  <si>
    <t>Create and control hallucinations.</t>
  </si>
  <si>
    <t>Downgrade damage and increase Stamina. Improve Armour and Defences. Unnatural Fortitude: add Resilience dots as bonus dice to non-combat Stamina pools.</t>
  </si>
  <si>
    <t>Step into any visible shadow and out of another instantly. Can carry objects but not people or animals. Torpid Kindred do not count as objects.</t>
  </si>
  <si>
    <t>Aloof Curse</t>
  </si>
  <si>
    <t>First Touchstone attaches to Humanity 7; losing it detaches on first Humanity loss. Breaking points always treated as one step lower.</t>
  </si>
  <si>
    <t>Cow someone into submission.</t>
  </si>
  <si>
    <t>Commit a widespread hit against a rival's mortal connections.</t>
  </si>
  <si>
    <t>mid 40s</t>
  </si>
  <si>
    <t>tblCharDataCazz</t>
  </si>
  <si>
    <t>Brae C</t>
  </si>
  <si>
    <t>Casamir 'Cazz'</t>
  </si>
  <si>
    <t>The Mad Dog</t>
  </si>
  <si>
    <t>he/they</t>
  </si>
  <si>
    <t>Malkovians</t>
  </si>
  <si>
    <t>Carthian Movement</t>
  </si>
  <si>
    <t>D:\Terra Mortis\Character Sheets\Sheet Elements\Carthian icon.svg</t>
  </si>
  <si>
    <t>Jester</t>
  </si>
  <si>
    <t>●●●○</t>
  </si>
  <si>
    <t>5 / 5</t>
  </si>
  <si>
    <t>□□□□□■■■■■</t>
  </si>
  <si>
    <t>ley lines</t>
  </si>
  <si>
    <t>endurance</t>
  </si>
  <si>
    <t>archery</t>
  </si>
  <si>
    <t>○ (University testamur (Simulacrum))</t>
  </si>
  <si>
    <t>Quick Draw (Bow) ●</t>
  </si>
  <si>
    <t>Combat Archery ● | Rapid Nock</t>
  </si>
  <si>
    <t>Combat Archery ●● | Reflex Aiming</t>
  </si>
  <si>
    <t>Combat Archery ●●● | Parthian Shot</t>
  </si>
  <si>
    <t>Combat Archery ●●●● | Rain of Arrows</t>
  </si>
  <si>
    <t>Combat Archery ●●●●● | Trick Shot</t>
  </si>
  <si>
    <t>Draw a weapon from a chosen Specialty reflexively while Defence is available. Initiative bonuses only apply if using the weapon.</t>
  </si>
  <si>
    <t>Ignore bow Initiative penalties. String arrows reflexively.</t>
  </si>
  <si>
    <t>Ignore penalties for firing into close combat.</t>
  </si>
  <si>
    <t>When you Dodge, inflict threshold successes as attack damage against the first close attack you beat each turn.</t>
  </si>
  <si>
    <t>Make medium autofire attacks at triple range penalties.</t>
  </si>
  <si>
    <t>Simultaneously perform a Combat Archery attack and an Athletics action, both at -2.</t>
  </si>
  <si>
    <t>0 / 2</t>
  </si>
  <si>
    <t>■■</t>
  </si>
  <si>
    <t>Resilience ●</t>
  </si>
  <si>
    <t>Point out an absurdity in the current state of affairs to lighten the tone.</t>
  </si>
  <si>
    <t>Favour wit and cunning over direct self-defence in a situation of serious danger.</t>
  </si>
  <si>
    <t>mid 30s</t>
  </si>
  <si>
    <t>tblCharDataCharles</t>
  </si>
  <si>
    <t>Leo T</t>
  </si>
  <si>
    <t>Charles Mercer-Willows</t>
  </si>
  <si>
    <t>Cult Leader</t>
  </si>
  <si>
    <t>Gorgons</t>
  </si>
  <si>
    <t>Nurturer</t>
  </si>
  <si>
    <t>sculpting</t>
  </si>
  <si>
    <t>Judeo-Christian Lore</t>
  </si>
  <si>
    <t>rifles</t>
  </si>
  <si>
    <t>oratory</t>
  </si>
  <si>
    <t>&lt;NAME REQUIRED&gt;</t>
  </si>
  <si>
    <t>○ (Ezekiel (Son))</t>
  </si>
  <si>
    <t>○ (Unnamed congregant)</t>
  </si>
  <si>
    <t>Closed Book ●</t>
  </si>
  <si>
    <t>Add dots to Doors and as bonus to contest Social assessments.</t>
  </si>
  <si>
    <t>□□□□□</t>
  </si>
  <si>
    <t>Legal</t>
  </si>
  <si>
    <t>Animalism ● | Feral Whispers</t>
  </si>
  <si>
    <t>Dominate ● | Mesmerise</t>
  </si>
  <si>
    <t>Dominate ●● | Iron Edict</t>
  </si>
  <si>
    <t>Blood Sorcery | Creation ●●</t>
  </si>
  <si>
    <t>Blood Sorcery | Transmutation ●</t>
  </si>
  <si>
    <t>Cruac ● | Fires of Inspiration</t>
  </si>
  <si>
    <t>Cruac ●● | Wisdom of the Soul</t>
  </si>
  <si>
    <t>Cost: -  •  Pool: 5  •  Instant  •  Scene (may persist)</t>
  </si>
  <si>
    <t>Cost: - -3 in combat unless Blinded  •  Pool: 8  v Resolve + BP  •  Instant  •  Instant</t>
  </si>
  <si>
    <t>Cost: 1 V (0 in bond) (req: Mesmerised); -3 in combat unless Blinded  •  Pool: -  •  Instant  •  Instant</t>
  </si>
  <si>
    <t>Cost: 1 V 1 Successes  •  Pool: 8  •  Ritual  •  1 night</t>
  </si>
  <si>
    <t>Cost: 1 V 2 Successes  •  Pool: 8  •  Ritual  •  Instant</t>
  </si>
  <si>
    <t>Speak with and command animals.</t>
  </si>
  <si>
    <t>Impose Mesmerised Condition. Control with short commands.</t>
  </si>
  <si>
    <t>Impose Dominated Condition. Give long, detailed commands.</t>
  </si>
  <si>
    <t>Summon living insects, vermin, amphibians, fungi, plants, drugs, gases. Under mental command while concentrating.</t>
  </si>
  <si>
    <t>Minor cosmetic changes to living subjects. Warp dead matter. Animate liquids.</t>
  </si>
  <si>
    <t>Gain dots in Cruac to Craft or Expression to create a specific work of art, but penalises all other such actions outside that.</t>
  </si>
  <si>
    <t>Reveal if mortal/vampire/ghoul; Humanity rating; diablerie</t>
  </si>
  <si>
    <t>Put yourself out to help another succeed.</t>
  </si>
  <si>
    <t>Take full responsibility for another's dangerous mistake.</t>
  </si>
  <si>
    <t>Convince someone to deny logic because of your word.</t>
  </si>
  <si>
    <t>Risk exile or death to defend your cult's belief system.</t>
  </si>
  <si>
    <t>tblCharDataCharlie</t>
  </si>
  <si>
    <t>Kurtis W</t>
  </si>
  <si>
    <t>Charlie Ballsack</t>
  </si>
  <si>
    <t>Putrescent Invictus secret police</t>
  </si>
  <si>
    <t>it/it</t>
  </si>
  <si>
    <t>Nosferatu</t>
  </si>
  <si>
    <t>D:\Terra Mortis\Character Sheets\Sheet Elements\Nosferatu icon.svg</t>
  </si>
  <si>
    <t>Order of Sir Martin</t>
  </si>
  <si>
    <t>D:\Terra Mortis\Character Sheets\Sheet Elements\Invictus icon.svg</t>
  </si>
  <si>
    <t>Conformist</t>
  </si>
  <si>
    <t>Rebel</t>
  </si>
  <si>
    <t>●●●●†</t>
  </si>
  <si>
    <t>●●●†</t>
  </si>
  <si>
    <t>●●●●○†</t>
  </si>
  <si>
    <t>●●†</t>
  </si>
  <si>
    <t>Smithing</t>
  </si>
  <si>
    <t>Coward Punch</t>
  </si>
  <si>
    <t>Lgt Weapons +2, Weapon &amp; Shield +2</t>
  </si>
  <si>
    <t>Interrogation</t>
  </si>
  <si>
    <t>The Ashen Path</t>
  </si>
  <si>
    <t>˅</t>
  </si>
  <si>
    <t>○ (Priya (saved assailant))</t>
  </si>
  <si>
    <t>Area of Expertise (Coward Punch) ●</t>
  </si>
  <si>
    <t>Area of Expertise (Light Weapons) ●</t>
  </si>
  <si>
    <t>Area of Expertise (Weapon &amp; Shield) ●</t>
  </si>
  <si>
    <t>Closed Book ●●●</t>
  </si>
  <si>
    <t>Defensive Combat (Weaponry) ●</t>
  </si>
  <si>
    <t>Friends in High Places ●</t>
  </si>
  <si>
    <t>Interdisciplinary Specialty (Coward Punch) ●</t>
  </si>
  <si>
    <t>Invested ●</t>
  </si>
  <si>
    <t>Courtoisie ● | Establish the Duel</t>
  </si>
  <si>
    <t>Courtoisie ●●● | Demanding Attention</t>
  </si>
  <si>
    <t>Light Weapons ●● | Thrust</t>
  </si>
  <si>
    <t>Light Weapons ●●●● | Flurry</t>
  </si>
  <si>
    <t>Strength Performance ● | Strength Tricks</t>
  </si>
  <si>
    <t>Strength Performance ●● | Lifting</t>
  </si>
  <si>
    <t>Strength Performance ●●● | Push/Pull</t>
  </si>
  <si>
    <t>Strength Performance ●●●● | Stronger Than You</t>
  </si>
  <si>
    <t>Weapon and Shield ● | Shield Bash</t>
  </si>
  <si>
    <t>Weapon and Shield ●●● | Pin Weapon</t>
  </si>
  <si>
    <t>Raise one Specialty's die bonus to +2.</t>
  </si>
  <si>
    <t>Once per chapter, use Invictus Status as Mortal Status in areas you don't possess. Drawback: Other Invictus may be informed.</t>
  </si>
  <si>
    <t>Apply one Specialty's bonus to relevant rolls of any Skill (not unskilled).</t>
  </si>
  <si>
    <t>Distribute Invictus Status dots among free Herd, Mentor, Resources and Retainer.</t>
  </si>
  <si>
    <t>Choose an attacker. So long as you don't attack anyone else, add Weaponry as a Defence bonus against outside parties, and deal a point of lethal damage when an outside party enters range.</t>
  </si>
  <si>
    <t>Once you Establish the Duel, if your opponent tries to disengage or attack someone else, you can deal your Socialise dots in lethal damage and leave him Knocked Down.</t>
  </si>
  <si>
    <t>Sacrifice points of Defence for bonus attack dice.</t>
  </si>
  <si>
    <t>Inflict a point of lethal damage per turn to opponents in range when your Defence is available.</t>
  </si>
  <si>
    <t>Take +1 to nonviolent feats of strength, +2 when using Expression or Intimidation.</t>
  </si>
  <si>
    <t>Receive the rote quality on Strength + Stamina feats and combat actions to demolish structures.</t>
  </si>
  <si>
    <t>Double your effective Strength to shift objects across a plane, or quintuple it with wheels or other friction reductions.</t>
  </si>
  <si>
    <t>Successful Strength rolls add an additional free success.</t>
  </si>
  <si>
    <t>Add your shield's Size as bonus dice when dodging. Dodge successes in excess of your opponent's inflict bashing damage.</t>
  </si>
  <si>
    <t>Disarm assailants on missed melee attacks.</t>
  </si>
  <si>
    <t>Street, Underworld, Police</t>
  </si>
  <si>
    <t>Obfuscate ●●●● | The Familiar Stranger</t>
  </si>
  <si>
    <t>Obfuscate ●●●●● | Oubliette</t>
  </si>
  <si>
    <t>Devotion  | Repulsive Mien</t>
  </si>
  <si>
    <t>Oath of Fealty ●</t>
  </si>
  <si>
    <t>Oath of the Hard Motherfucker ●●</t>
  </si>
  <si>
    <t>Oath of the Safe Word ●●</t>
  </si>
  <si>
    <t>Oath of the True Knight ●●●●</t>
  </si>
  <si>
    <t>Cost: 1 V  •  Pool: 10  •  Instant  •  Scene</t>
  </si>
  <si>
    <t>Cost: 2 V  •  Pool: -  •  None</t>
  </si>
  <si>
    <t>Cost: Free (Haven) / 3-9 V &amp; 1 WP  •  Pool: -  •  Instant  •  1 week per BP</t>
  </si>
  <si>
    <t>Cost: 1 V (Order of Sir Martin Only); only affects other Leper Knights with concrete reasons for mistrust  •  Pool: -  •  Reflexive  •  Scene</t>
  </si>
  <si>
    <t>Disguise self or other as a desired person. Free unlimited duration to reskin carried/worn objects, but no equipment bonus without Vitae.</t>
  </si>
  <si>
    <t>Always active on Haven/Safe Place at no cost. Further uses at standard cost. Use Obfuscate at distance on anything in area.</t>
  </si>
  <si>
    <t>As Dread Presence but -3 to all actions against the Knight. Targets cannot spend WP to enhance actions against Knight. Victims can lash out with Beast to end the effect. Reflexive brief illusions affecting Knight's person (narrative only).</t>
  </si>
  <si>
    <t>Draw Invictus Status in Vitae weekly from liege without feeding. Liege knows when you lie.</t>
  </si>
  <si>
    <t>Kill a Carthian or oathbreaker for Invictus Status 1, Friends in High Places 1, 9-Again on two Skills, and Allies/Contacts/Resources 1. All stripped if broken.</t>
  </si>
  <si>
    <t>Share Willpower and one Social Merit with oath partner. Either can end to briefly paralyse the other.</t>
  </si>
  <si>
    <t>Impartial covenant defender. Can't consume Vitae from any source; can't be woken from torpor by blood. Invictus Status protects from mental Disciplines and Kindred/ghoul attacks.</t>
  </si>
  <si>
    <t>Lonely Curse</t>
  </si>
  <si>
    <t>With mortals, Humanity counts –2; Presence/Manipulation failures become dramatic failures. Intimidation and Subterfuge unaffected.</t>
  </si>
  <si>
    <t>Choose an obviously disadvantageous path because it fits with protocol.</t>
  </si>
  <si>
    <t>Stand by the losing side with shield at the ready, because it is your side.</t>
  </si>
  <si>
    <t>Openly flout a tradition.</t>
  </si>
  <si>
    <t>Openly flout a Kindred Tradition or a covenant taboo.</t>
  </si>
  <si>
    <t>indeterminate</t>
  </si>
  <si>
    <t>tblCharDataConrad</t>
  </si>
  <si>
    <t>Arnold W</t>
  </si>
  <si>
    <t>Conrad Sondergaard</t>
  </si>
  <si>
    <t>Occult gentleman detective</t>
  </si>
  <si>
    <t>Spy</t>
  </si>
  <si>
    <t>●●●○†</t>
  </si>
  <si>
    <t>Criminology</t>
  </si>
  <si>
    <t>Crime Scene</t>
  </si>
  <si>
    <t>Pistols</t>
  </si>
  <si>
    <t>Stalking</t>
  </si>
  <si>
    <t>Private Investigator</t>
  </si>
  <si>
    <t>● (Elise (Granddaughter))</t>
  </si>
  <si>
    <t>Police, Underworld</t>
  </si>
  <si>
    <t>Auspex ●●● | Spirit's Touch</t>
  </si>
  <si>
    <t>Auspex ●●●● | Lay Open the Mind</t>
  </si>
  <si>
    <t>Auspex ●●●●● | Twilight Projection</t>
  </si>
  <si>
    <t>Blood Sorcery | Protection ●●</t>
  </si>
  <si>
    <t>Blood Sorcery | Protection ●●●</t>
  </si>
  <si>
    <t>Blood Sorcery | Protection ●●●●</t>
  </si>
  <si>
    <t>Cost: Free (1 WP for clash / 1 V for Insight)  •  Pool: - v Resolve + Stealth + Obf  •  Reflexive  •  Immediate</t>
  </si>
  <si>
    <t>Cost: 1 V  •  Pool: 8  v Resolve + BP  •  Instant  •  Scene</t>
  </si>
  <si>
    <t>Cost: 2 V  •  Pool: 13  •  Instant  •  Scene (while projected)</t>
  </si>
  <si>
    <t xml:space="preserve">Passively scan for anyone under Obfuscate 1 or 3, can provoke a challenge. Access to Tier 3 Auspex Insight questions. </t>
  </si>
  <si>
    <t>Telepathy and mind-reading. Invoke Conditions.</t>
  </si>
  <si>
    <t>Project senses into Twilight. May use Auspex 1-3 once per scene; cannot spend blood for additional uses.</t>
  </si>
  <si>
    <t>Grant armour. Ward environmental hazards. Resist frenzy.</t>
  </si>
  <si>
    <t>Render untouchable or unable to be fed from. Ward physical Discipline effects. Protect from staking. Heal lethal in vampires.</t>
  </si>
  <si>
    <t>Ward mental Discipline effects (Majesty, Dominate). Protect from Vinculum. Remain active during day (Potency turns).</t>
  </si>
  <si>
    <t>Build a new identity or uncover a secret.</t>
  </si>
  <si>
    <t>Uncover a damning secret that could end someone.</t>
  </si>
  <si>
    <t>late 20s</t>
  </si>
  <si>
    <t>tblCharDataCyrus</t>
  </si>
  <si>
    <t>Bill C</t>
  </si>
  <si>
    <t>Cyrus Reynolds</t>
  </si>
  <si>
    <t xml:space="preserve">Globetrotting DJ </t>
  </si>
  <si>
    <t>Daeva</t>
  </si>
  <si>
    <t>D:\Terra Mortis\Character Sheets\Sheet Elements\Daeva icon.svg</t>
  </si>
  <si>
    <t>Courtesan</t>
  </si>
  <si>
    <t>Social Chameleon</t>
  </si>
  <si>
    <t>● (One living parent (unnamed))</t>
  </si>
  <si>
    <t>● (Unnamed venue regular)</t>
  </si>
  <si>
    <t>Casual User ●</t>
  </si>
  <si>
    <t>Fame ●</t>
  </si>
  <si>
    <t>Language (German) ●</t>
  </si>
  <si>
    <t>Language (Spanish) ●</t>
  </si>
  <si>
    <t>Benefits of one dot Carthian Status for social bonuses and Carthian Law effects. Once per story, call a small favour.</t>
  </si>
  <si>
    <t>Known: (•) locally, (••) broadly, (•••) universally. Add dots to Social rolls on impressed targets, and to rolls to find/identify you.</t>
  </si>
  <si>
    <t>3 / 3</t>
  </si>
  <si>
    <t>□□□</t>
  </si>
  <si>
    <t>Street</t>
  </si>
  <si>
    <t>Melody</t>
  </si>
  <si>
    <t>Rhythm</t>
  </si>
  <si>
    <t>Majesty ●● | Confidant</t>
  </si>
  <si>
    <t>Cruac ● | Taste of Knowledge</t>
  </si>
  <si>
    <t>Cost: - (req: Awed)   •  Pool: 8  v Resolve + BP  •  Contested</t>
  </si>
  <si>
    <t>Cost: 1 V 1 Successes  •  Pool: 5  •  Ritual  •  1 night</t>
  </si>
  <si>
    <t>Impose Charmed Condition.</t>
  </si>
  <si>
    <t>Absorb one Skill at rating 1 (or +1) from vessel's blood</t>
  </si>
  <si>
    <t>Wanton Curse</t>
  </si>
  <si>
    <t>Hungry at 5 or fewer Vitae, Starving at 3 or fewer. Dramatic Failures on feeding cause Persistent Dependent Condition toward a mortal NPC.</t>
  </si>
  <si>
    <t>Put yourself out for another's pleasure.</t>
  </si>
  <si>
    <t>Be the last one dancing when the party is on fire.</t>
  </si>
  <si>
    <t>Ingratiate yourself to a new social clique.</t>
  </si>
  <si>
    <t>Burn an important bridge to guarantee acceptance in a new group.</t>
  </si>
  <si>
    <t>Fame</t>
  </si>
  <si>
    <t>tblCharDataDoc</t>
  </si>
  <si>
    <t>Jessica BC</t>
  </si>
  <si>
    <t>Margaret 'Doc' Kane</t>
  </si>
  <si>
    <t xml:space="preserve">Ex-Millitary Night Doctor </t>
  </si>
  <si>
    <t>Kerberos</t>
  </si>
  <si>
    <t>Protector</t>
  </si>
  <si>
    <t>●●○</t>
  </si>
  <si>
    <t>Surgery</t>
  </si>
  <si>
    <t>Weakness, Confidant</t>
  </si>
  <si>
    <t>Veiled Threats</t>
  </si>
  <si>
    <t>Combat Medic</t>
  </si>
  <si>
    <t>Carthian Pull ●</t>
  </si>
  <si>
    <t>Night Doctor Surgery ●●●</t>
  </si>
  <si>
    <t>Three Heads of Kerberos ● | Honing - Competitive</t>
  </si>
  <si>
    <t>Three Heads of Kerberos ●● | Internalising - Competitive</t>
  </si>
  <si>
    <t>Three Heads of Kerberos ●●● | Cowing - Competitive</t>
  </si>
  <si>
    <t>Monthly, access Carthian Status in dots of Allies, Contacts, Haven or Herd.</t>
  </si>
  <si>
    <t>Intelligence + Medicine for an hour to reduce vampire's lethal to bashing.</t>
  </si>
  <si>
    <t>Add this Merit's dots to your dice pool when lashing out with the chosen Aspect.</t>
  </si>
  <si>
    <t>Voluntarily take the chosen Aspect's Condition at any time to resolve it for Beats.</t>
  </si>
  <si>
    <t>On a successful lash out, forgo the normal Condition to instead impose Subservient, limited to commands fitting the chosen Aspect.</t>
  </si>
  <si>
    <t>health, politics</t>
  </si>
  <si>
    <t>Majesty ●●● | Green Eyes</t>
  </si>
  <si>
    <t>Devotion  | Enfeebling Aura</t>
  </si>
  <si>
    <t>Cost: - (req: Awed)   •  Pool: 9  v Resolve + BP  •  Contested</t>
  </si>
  <si>
    <t>Cost: 1 V (req: Charmed / Enthralled)   •  Pool: -  •  Instant  •  Scene</t>
  </si>
  <si>
    <t>Cost: 1 V  •  Pool: 9  v Composure + BP  •  Contested  •  Scene</t>
  </si>
  <si>
    <t>Shift emotions (1 V, any number of Charmed/Enthralled targets); rage/fear causes frenzy with no resist roll (Ride the Wave normal). Requests: 1 V per target, must be spoken and heard.</t>
  </si>
  <si>
    <t>Sacrifice Majesty dots for the scene to remove equal dots of victim's Celerity, Resilience, or Vigour (any combination), up to successes.</t>
  </si>
  <si>
    <t>tblCharDataEdna</t>
  </si>
  <si>
    <t>Arlo V</t>
  </si>
  <si>
    <t>Edna Judge</t>
  </si>
  <si>
    <t>Mother Heretic</t>
  </si>
  <si>
    <t>Visionary</t>
  </si>
  <si>
    <t>Primogen</t>
  </si>
  <si>
    <t>●○○○○○○○○○○○○○○○○○○</t>
  </si>
  <si>
    <t>Religion</t>
  </si>
  <si>
    <t>Concealment</t>
  </si>
  <si>
    <t>Prosetylisation</t>
  </si>
  <si>
    <t>Flock ●●●</t>
  </si>
  <si>
    <t>Stigmata ●</t>
  </si>
  <si>
    <t>Herd serves as Willpower source. Dots apply as additional Herd dots.</t>
  </si>
  <si>
    <t>Bleed dots in Vitae weekly (or at will for Willpower). This Vitae inspires without addiction or bonding, bolstering Theban Sorcery and Willpower.</t>
  </si>
  <si>
    <t>5 / 6</t>
  </si>
  <si>
    <t>□□□□□■</t>
  </si>
  <si>
    <t>ghoul</t>
  </si>
  <si>
    <t>Cost: 1 V  •  Pool: 7  v Composure + BP  •  Contested  •  Instant</t>
  </si>
  <si>
    <t>Cost: 1 V  •  Pool: 7  •  Instant  •  Scene</t>
  </si>
  <si>
    <t>Help someone by sharing your vision with them.</t>
  </si>
  <si>
    <t>Put yourself at risk to show a group the power of your vision.</t>
  </si>
  <si>
    <t>late 50s</t>
  </si>
  <si>
    <t>tblCharDataEinar</t>
  </si>
  <si>
    <t>Nathan H</t>
  </si>
  <si>
    <t>Einar Solveig</t>
  </si>
  <si>
    <t>Techno Viking</t>
  </si>
  <si>
    <t>Rotgrafen</t>
  </si>
  <si>
    <t>Junkie</t>
  </si>
  <si>
    <t>Competitor</t>
  </si>
  <si>
    <t>●●●○○</t>
  </si>
  <si>
    <t>●●○○○○○○○○○○○○○○○○</t>
  </si>
  <si>
    <t>Carpentry</t>
  </si>
  <si>
    <t>Claws (+2)</t>
  </si>
  <si>
    <t>Direct Threats</t>
  </si>
  <si>
    <t>○ ("Kyle")</t>
  </si>
  <si>
    <t>Area of Expertise (Claws) ●</t>
  </si>
  <si>
    <t>Claws of the Unholy ●</t>
  </si>
  <si>
    <t>Swarm Form ●●</t>
  </si>
  <si>
    <t>Mobilise Outrage ● | Strike to Preempt</t>
  </si>
  <si>
    <t>Mobilise Outrage ●● | Unbreakable</t>
  </si>
  <si>
    <t>Mobilise Outrage ●●● | Dying on Your Feet</t>
  </si>
  <si>
    <t>Unnatural Aspect claws in frenzy become +2A.</t>
  </si>
  <si>
    <t>Beast's Skin can be a swarm (5 × Blood Potency yards). Attacks ignore Defence, deal lethal. Non-area attacks deal 1 damage max.</t>
  </si>
  <si>
    <t>Sacrifice your Defence and your second turn to add your Willpower as bonus dice to attack on your first turn.</t>
  </si>
  <si>
    <t>Add your full Willpower value when spending a point to contest or resist social or mental coercion in a combat situation.</t>
  </si>
  <si>
    <t>During combat only, ignore wound penalties and do not fall to torpor from injury.</t>
  </si>
  <si>
    <t>□□□□</t>
  </si>
  <si>
    <t>Protean ●●●● | Unnatural Aspect</t>
  </si>
  <si>
    <t>Vigour ●●</t>
  </si>
  <si>
    <t>Devotion  | Rime of Salt</t>
  </si>
  <si>
    <t>Cost: - -3 in combat unless Blinded  •  Pool: 7  v Resolve + BP  •  Instant  •  Instant</t>
  </si>
  <si>
    <t>Cost: 1 V  •  Pool: -  •  None  •  Scene</t>
  </si>
  <si>
    <t>Cost: Free (Ratgrafen Only)  •  Pool: -  •  Reflexive  •  Permanent</t>
  </si>
  <si>
    <t>Take on a horrific trait. Barbed Hands damage is not lethal to vampires.</t>
  </si>
  <si>
    <t>Improve Strength. Add Vigour dots as bonus successes only if at least one net success achieved.</t>
  </si>
  <si>
    <t>Protean weapons imbued with ocean salt. Wounded targets suffer -2 on their next action.</t>
  </si>
  <si>
    <t>Ignore a problem or responsibility in favour of immediate gratification.</t>
  </si>
  <si>
    <t>Abandon an important relationship over your pursuit of pleasure.</t>
  </si>
  <si>
    <t>Challenge someone clearly your superior.</t>
  </si>
  <si>
    <t>Risk Final Death to prove you can handle something.</t>
  </si>
  <si>
    <t>late 30s</t>
  </si>
  <si>
    <t>tblCharDataEve</t>
  </si>
  <si>
    <t>Jamie</t>
  </si>
  <si>
    <t>Eve Lockridge</t>
  </si>
  <si>
    <t>Benevolent Millionaire</t>
  </si>
  <si>
    <t>they/them</t>
  </si>
  <si>
    <t>Premier</t>
  </si>
  <si>
    <t>● (Bill Manchester)</t>
  </si>
  <si>
    <t>Fixer ●●</t>
  </si>
  <si>
    <t>Fucking Thief (Secret Society Junkie) ●</t>
  </si>
  <si>
    <t>Honey With Vinegar ●</t>
  </si>
  <si>
    <t>Picket Line ●●</t>
  </si>
  <si>
    <t>Reduce all Availability costs by one.</t>
  </si>
  <si>
    <t>Steal flawed knowledge of a single one-dot advantage restricted to another covenant.</t>
  </si>
  <si>
    <t>You earn influence from Allies, Contacts, and wide Mortal Status one step lower than normal. 1 point of influence at 2 dots or 4 dots respectively.</t>
  </si>
  <si>
    <t>Each chapter, you have a pool of dots equal to their Contacts (max 5), which can be applied to Allies separately or as one amount, to raise their effective level when taking the Social Merit Blocking action.</t>
  </si>
  <si>
    <t>7 / 11</t>
  </si>
  <si>
    <t>□□□□□□□■■■■</t>
  </si>
  <si>
    <t>Status</t>
  </si>
  <si>
    <t>bureaucracy, industry</t>
  </si>
  <si>
    <t>LGL - Logistics</t>
  </si>
  <si>
    <t>Cost: - -3 in combat unless Blinded  •  Pool: 5  v Resolve + BP  •  Instant  •  Instant</t>
  </si>
  <si>
    <t>mid 20s</t>
  </si>
  <si>
    <t>tblCharDataGel</t>
  </si>
  <si>
    <t>Stefan S</t>
  </si>
  <si>
    <t>Jelle 'Gel' Dunneweld</t>
  </si>
  <si>
    <t>Former Beat Cop</t>
  </si>
  <si>
    <t>Idealist</t>
  </si>
  <si>
    <t>●†</t>
  </si>
  <si>
    <t>crime scene</t>
  </si>
  <si>
    <t>mysteries</t>
  </si>
  <si>
    <t>street fighting</t>
  </si>
  <si>
    <t>command</t>
  </si>
  <si>
    <t>Police Tactics ● | Compliance Hold</t>
  </si>
  <si>
    <t>Police Tactics ●● | Weapon Retention</t>
  </si>
  <si>
    <t>+2 bonus to all overpower rolls once Hold established.</t>
  </si>
  <si>
    <t>Reduce successes to disarm or control your weapon by Weaponry (or Brawl for Brawling weapons).</t>
  </si>
  <si>
    <t>Police, Street, Underworld</t>
  </si>
  <si>
    <t>Celerity ●●</t>
  </si>
  <si>
    <t>Deny a compromise that would water down your ideal.</t>
  </si>
  <si>
    <t>Refuse safety for fear of abandoning your ideal's purity.</t>
  </si>
  <si>
    <t>tblCharDataHazel</t>
  </si>
  <si>
    <t>Marni K</t>
  </si>
  <si>
    <t>Sister Hazel</t>
  </si>
  <si>
    <t>Dogmatic Nun Bruiser</t>
  </si>
  <si>
    <t>Penitent</t>
  </si>
  <si>
    <t>Swords</t>
  </si>
  <si>
    <t>○ (Unnamed laity member)</t>
  </si>
  <si>
    <t>Anointed ●●</t>
  </si>
  <si>
    <t>Flock ●●</t>
  </si>
  <si>
    <t>Quick Draw (Swords) ●</t>
  </si>
  <si>
    <t>Kindred Dueling ● | Hamstring</t>
  </si>
  <si>
    <t>Kindred Dueling ●● | Taunt</t>
  </si>
  <si>
    <t>Kindred Dueling ●●● | Carving</t>
  </si>
  <si>
    <t>Kindred Dueling ●●●● | Pincushion</t>
  </si>
  <si>
    <t>Kindred Dueling ●●●●● | Spray</t>
  </si>
  <si>
    <t>Once per session, roll Presence + Expression to preach the Raptured Condition.</t>
  </si>
  <si>
    <t>You can use a called shot to deny a vampire's limb the benefits of Physical Intensity.</t>
  </si>
  <si>
    <t>Exchange up to your Weaponry in attack dice to provoke, on hit, a frenzy roll penalised by your exchanged dice.</t>
  </si>
  <si>
    <t>Deal lethal damage to the Kindred body.</t>
  </si>
  <si>
    <t>You can lodge your weapon into the victim on a hit, preventing the wound from healing with Vitae use. You can withdraw it reflexively, but others must roll Strength + Stamina - damage caused as an instant action.</t>
  </si>
  <si>
    <t>Sacrifice your Defence to make an attack that can exchange points of damage inflicted for points of Vitae damaged.</t>
  </si>
  <si>
    <t>3 / 4</t>
  </si>
  <si>
    <t>□□□■</t>
  </si>
  <si>
    <t>Church</t>
  </si>
  <si>
    <t>Dominate ●●● | Entombed Command</t>
  </si>
  <si>
    <t>Cost: - -3 in combat unless Blinded  •  Pool: 10  v Resolve + BP  •  Instant  •  Instant</t>
  </si>
  <si>
    <t>Cost: - (req: Mesmerised)   •  Pool: 10  - Resolve  •  Instant  •  1 week/success (1 month bonded)</t>
  </si>
  <si>
    <t>Establish triggers for other Dominate powers.</t>
  </si>
  <si>
    <t>Punish yourself for a mistake.</t>
  </si>
  <si>
    <t>Risk death to correct an egregious error in judgement.</t>
  </si>
  <si>
    <t>tblCharDataIvana</t>
  </si>
  <si>
    <t>Lyn</t>
  </si>
  <si>
    <t>Ivana Horvat</t>
  </si>
  <si>
    <t>Trauma Survivor</t>
  </si>
  <si>
    <t>Scions of the First City</t>
  </si>
  <si>
    <t>Child</t>
  </si>
  <si>
    <t>Crossbow</t>
  </si>
  <si>
    <t>Hiding</t>
  </si>
  <si>
    <t>Training</t>
  </si>
  <si>
    <t>○ (Lady Di)</t>
  </si>
  <si>
    <t>Mandragora Garden (Shared (Keeper)) ●●●</t>
  </si>
  <si>
    <t>Opening the Void ●●</t>
  </si>
  <si>
    <t>The Mother-Daughter Bond ●</t>
  </si>
  <si>
    <t>Falconry ● | Predator's Vigil</t>
  </si>
  <si>
    <t>Falconry ●● | Flyby</t>
  </si>
  <si>
    <t>K-9 ● | Detection</t>
  </si>
  <si>
    <t>K-9 ●● | Targeted Bite</t>
  </si>
  <si>
    <t>K-9 ●●● | Tactical Positioning</t>
  </si>
  <si>
    <t>Powered Projectile ● | Quick Reload</t>
  </si>
  <si>
    <t>Powered Projectile ●● | Intercept Shot</t>
  </si>
  <si>
    <t>Powered Projectile ●●● | Penetration</t>
  </si>
  <si>
    <t>Powered Projectile ●●●● | Skewer</t>
  </si>
  <si>
    <t>Remote Crúac into Safe Place. Add dots to Crúac rolls in garden. Sustain Merit dots in rituals indefinitely (don't count toward Sorcery Tolerance); reduce base cost of Merit dots in rituals by rating. Feed dots in Vitae monthly; produces double in animal blood (costume at game). Attacks provoke frenzy. Can share but not increase yields.</t>
  </si>
  <si>
    <t>Crúac rites summon shadow-servants proportional to rite level. Spend Willpower to consign living beings to darkness (extended contested roll).</t>
  </si>
  <si>
    <t>When purchasing Mentor, gain additional dots in a chosen Crúac Style equal to Mentor. If Mentor exceeds Crúac, Style dots added as Crúac gained.</t>
  </si>
  <si>
    <t>Your raptor's presence inflicts Shaken on animals its Size or smaller, and lesser predators flee.</t>
  </si>
  <si>
    <t>Your bird contests Presence + Intimidation vs Resolve + Composure to inflict a -3 action penalty.</t>
  </si>
  <si>
    <t>Under direction, your dog rolls Wits + Survival + K-9 dots (modified for Bonded) to track scent.</t>
  </si>
  <si>
    <t>Command your dog to make called shots in combat, reducing the shot penalty by -2.</t>
  </si>
  <si>
    <t>When you fight one opponent in tandem, choose roles each turn for you and your dog. One takes +1 Defence, the other +2 to attack. Ignore penalties for firing into melee around your dog.</t>
  </si>
  <si>
    <t>Reload your weapon one turn quicker, down to a reflexive action.</t>
  </si>
  <si>
    <t>When you Aim, you may make called shots against sailing projectiles to deflect their course.</t>
  </si>
  <si>
    <t>Sacrifice Defence to make an attack with +2 armour piercing.</t>
  </si>
  <si>
    <t>Reduce called shot penalties by two dice. Resulting Tilts persist while projectile lodged; removing requires Strength + Stamina - remaining damage. Healed damage removes Tilt.</t>
  </si>
  <si>
    <t>2 / 2</t>
  </si>
  <si>
    <t>□□</t>
  </si>
  <si>
    <t>Mentor</t>
  </si>
  <si>
    <t>Baba Grozda</t>
  </si>
  <si>
    <t>Void-Bird</t>
  </si>
  <si>
    <t>Void-Dog</t>
  </si>
  <si>
    <t>Devotion  | City Attunement</t>
  </si>
  <si>
    <t>Devotion  | Incriminating Evidence</t>
  </si>
  <si>
    <t>Devotion  | Our Mother's Mind</t>
  </si>
  <si>
    <t>Cruac ●● | Blood Witness</t>
  </si>
  <si>
    <t>Cruac ●● | Shed the Virulent Bowels</t>
  </si>
  <si>
    <t>Cost: 1 V  •  Pool: 10  v Resolve + BP  •  Instant  •  Scene</t>
  </si>
  <si>
    <t>Cost: 2 V  •  Pool: 11  •  Instant  •  Scene (while projected)</t>
  </si>
  <si>
    <t>Cost: 1 V (Scion of the First City Only); city must have 10,000+ inhabitants  •  Pool: -  •  Instant  •  1 night</t>
  </si>
  <si>
    <t>Cost: Free / 1 V (Scion of the First City Only); must have touched target that night; must be outdoors  •  Pool: 11  •  Instant  •  Instant</t>
  </si>
  <si>
    <t>Cost: 2 V (Scion of the First City Only); walk barefoot, Vitae on feet  •  Pool: 11  v Resolve + BP  •  Contested  •  Until found</t>
  </si>
  <si>
    <t>Cost: 1 V 2 Successes  •  Pool: 9  •  Ritual  •  1 day per extra Vitae</t>
  </si>
  <si>
    <t>Cost: 1 V 2 Successes  •  Pool: 9  •  Ritual  •  Scene</t>
  </si>
  <si>
    <t>Touch building or street to attune to city for the night. One city at a time. Must attune before using other Scion devotions.</t>
  </si>
  <si>
    <t>Focus on a previously touched person. City guides to evidence of wrongdoing; clues equal to successes. Leads to general location only, not specific doors. Clash of Wills vs Obfuscate.</t>
  </si>
  <si>
    <t>Declare a target. City guides BP blocks per success toward target. Target's non-combat pools and Speed reduced by 1 per success. Must sacrifice access to a level of Contacts, Allies, Retainer, or Resources per success (returns after 1 week).</t>
  </si>
  <si>
    <t>Smear Vitae on an area. Remotely observe through the spilled blood for one day per extra Vitae spent.</t>
  </si>
  <si>
    <t>Use a lock of hair or sympathetic link to hang a curse over a living victim for a month. Trigger the curse to cause enough lethal damage to fill the victim's Health.</t>
  </si>
  <si>
    <t>Find someone to take responsibility for your mistake.</t>
  </si>
  <si>
    <t>Commit a terrible crime to see how authority might react.</t>
  </si>
  <si>
    <t>tblCharDataJack</t>
  </si>
  <si>
    <t>George T</t>
  </si>
  <si>
    <t>Jack Fallow</t>
  </si>
  <si>
    <t>Failed Adult Film Director</t>
  </si>
  <si>
    <t>Surveillance</t>
  </si>
  <si>
    <t>Backroom</t>
  </si>
  <si>
    <t>The Moulding Room</t>
  </si>
  <si>
    <t>Eye for the Strange ●●</t>
  </si>
  <si>
    <t>Mandragora Garden ●</t>
  </si>
  <si>
    <t>Trained Observer ●</t>
  </si>
  <si>
    <t>Cacophony Savvy ● | Gettin' Up</t>
  </si>
  <si>
    <t>Cacophony Savvy ●● | Backpacker</t>
  </si>
  <si>
    <t>Roll Intelligence + Composure to identify evidence of supernatural involvement.</t>
  </si>
  <si>
    <t>Take 9-Again, or 8-Again with three dots, on Perception rolls.</t>
  </si>
  <si>
    <t>You can read the Cacophony with Intelligence + Streetwise. Within a vampire's Feeding Grounds, add their (not your) dots in that Merit as bonus dice.</t>
  </si>
  <si>
    <t>You quickly learn who's who and where they hunt, even newcomers to the city.</t>
  </si>
  <si>
    <t>□□□□□□□□□□</t>
  </si>
  <si>
    <t>Blood Sorcery | Transmutation ●●</t>
  </si>
  <si>
    <t>Cost: 1 V  •  Pool: 7  v Resolve + BP  •  Instant  •  Scene</t>
  </si>
  <si>
    <t>Cost: 1 V 1 Successes  •  Pool: 8  •  Ritual  •  Scene</t>
  </si>
  <si>
    <t>Disguise living/vampiric subjects. Transform dead matter completely. Animate gases and plants. Alter speech. Grant 9-again or WP/Vitae above maximum.</t>
  </si>
  <si>
    <t>Plague of Purity</t>
  </si>
  <si>
    <t>Touch by Integrity 8+ mortal causes (10 – Humanity) bashing damage.</t>
  </si>
  <si>
    <t>Build blackmail material dossier on Kindred</t>
  </si>
  <si>
    <t>Establish Crone Praxis / Film Kindred</t>
  </si>
  <si>
    <t>Dilute adherance to the Traditions / Subvert Moulding Room</t>
  </si>
  <si>
    <t>Mid 40's</t>
  </si>
  <si>
    <t>tblCharDataKeeper</t>
  </si>
  <si>
    <t>Symon</t>
  </si>
  <si>
    <t>Keeper</t>
  </si>
  <si>
    <t>Fallen Elder</t>
  </si>
  <si>
    <t>he/she/they</t>
  </si>
  <si>
    <t>Mnemosyne</t>
  </si>
  <si>
    <t>Masochist</t>
  </si>
  <si>
    <t>4 / 11</t>
  </si>
  <si>
    <t>□□□□■■■■■■■■■■■■■■■■</t>
  </si>
  <si>
    <t>Archery</t>
  </si>
  <si>
    <t>Sin-Eater</t>
  </si>
  <si>
    <t>Mesmerise</t>
  </si>
  <si>
    <t>The Remembrance of the Lidles Eye</t>
  </si>
  <si>
    <t>○ (Odeliese (Dead Wife))</t>
  </si>
  <si>
    <t>Empath ●●</t>
  </si>
  <si>
    <t>Mandragora Garden (Shared (Ivana)) ●●●</t>
  </si>
  <si>
    <t>Peacemaker ●●●</t>
  </si>
  <si>
    <t>Wits + Empathy vs Manipulation + Subterfuge for mental state insight; can open Doors or ease breaking points.</t>
  </si>
  <si>
    <t>Spend Willpower to negotiate peace via Social Manoeuvring. (•••) can talk down supernatural rages.</t>
  </si>
  <si>
    <t>Dominate ●●●● | The Lying Mind</t>
  </si>
  <si>
    <t>Devotion  | The Taste of Things Lived</t>
  </si>
  <si>
    <t>Devotion  | The Exchange of Things Past</t>
  </si>
  <si>
    <t>Blood Sorcery | Transmutation ●●●</t>
  </si>
  <si>
    <t>Blood Sorcery | Transmutation ●●●●</t>
  </si>
  <si>
    <t>Cruac ● | Deflection of Wooden Doom</t>
  </si>
  <si>
    <t>Cruac ●●●● | Willful Vitae</t>
  </si>
  <si>
    <t>Cost: - -3 in combat unless Blinded  •  Pool: 12  v Resolve + BP  •  Instant  •  Instant</t>
  </si>
  <si>
    <t>Cost: 2 V (req: Mesmerised)   •  Pool: -  •  Instant  •  Permanent</t>
  </si>
  <si>
    <t>Cost: 1 V (reflexive for insight) (Mnemosyne Only)  •  Pool: 7  •  Reflexive  •  Scene</t>
  </si>
  <si>
    <t>Cost: 1 V (Mnemosyne Only); blood tie to target; replaces The Lying Mind  •  Pool: 12  v Resolve + BP  •  Contested  •  Scene / Permanent (elective)</t>
  </si>
  <si>
    <t>Cost: 1 V 1 Successes  •  Pool: 11  •  Ritual  •  Scene</t>
  </si>
  <si>
    <t>Cost: 1 V 2 Successes  •  Pool: 11  •  Ritual  •  Instant</t>
  </si>
  <si>
    <t>Cost: 2 V 4 Successes  •  Pool: 11  •  Ritual  •  Until used</t>
  </si>
  <si>
    <t>Impose Amnesia or False Memories Condition.</t>
  </si>
  <si>
    <t>Feeding creates artificial blood ties (+2 Social vs target; Twice Removed for Blood Sympathy). Sever for 1 WP. Can effect blood ties with Touch of Shadow. Spend 1 V: +1 Mental per applicable human/vampire within 100 metres.</t>
  </si>
  <si>
    <t>Exchange memories with target. For each memory taken, must give one of equal length. Both gain False Memories condition. After scene, own memories return but exchanged memories remain, or elect to make permanent. Traumatic memories: vampire rolls Fear Frenzy, mortal Resolve + Composure or Shaken.</t>
  </si>
  <si>
    <t>Grant physical properties of other creatures to living/vampiric subjects. Change inorganic appearances. Animate animals. Bless/curse actions (Potency modifier).</t>
  </si>
  <si>
    <t>Transform one living thing into another. Animate the dead (zombies). Force physical actions on sentient subjects. Grant material properties between objects. Neutralise blood.</t>
  </si>
  <si>
    <t>Caster becomes immune to staking for one night.</t>
  </si>
  <si>
    <t>Prevent the onset of blood addiction or the Vinculum for the night.</t>
  </si>
  <si>
    <t>Hated by Beasts</t>
  </si>
  <si>
    <t>Animals react violently; Animal Ken/Animalism suffer (10 – Humanity) penalty.</t>
  </si>
  <si>
    <t>Find and experience a new source of hurt.</t>
  </si>
  <si>
    <t>Willingly explore pain beyond the point of safety and reason.</t>
  </si>
  <si>
    <t>Proliferate Blood-Ties</t>
  </si>
  <si>
    <t>Collect Memories</t>
  </si>
  <si>
    <t>Become desiered in society again</t>
  </si>
  <si>
    <t>Late 40s</t>
  </si>
  <si>
    <t>Inhumanly high presence</t>
  </si>
  <si>
    <t>tblCharDataKirk</t>
  </si>
  <si>
    <t>Phillip G</t>
  </si>
  <si>
    <t>Kirk Grimm</t>
  </si>
  <si>
    <t>Church Grim</t>
  </si>
  <si>
    <t>●●●●○○</t>
  </si>
  <si>
    <t>□□□□□□□□□□□■■■■</t>
  </si>
  <si>
    <t>carpentry</t>
  </si>
  <si>
    <t>canine</t>
  </si>
  <si>
    <t>gangs</t>
  </si>
  <si>
    <t>● (Unnamed Dockworker)</t>
  </si>
  <si>
    <t>● (Bastard sword (object))</t>
  </si>
  <si>
    <t>● (Star of David pendant (object))</t>
  </si>
  <si>
    <t>Sorcerous Eunuch ●</t>
  </si>
  <si>
    <t>Crusade ● | Shield Against Sorcery</t>
  </si>
  <si>
    <t>Crusade ●● | Silence</t>
  </si>
  <si>
    <t>Penalise sorcery against you by Resolve. Can't learn blood sorcery.</t>
  </si>
  <si>
    <t>While your Defence is fully available, penalise the use of sorcery around you by your Crusade dots.</t>
  </si>
  <si>
    <t>Make called shots to the throat at no penalty to mute someone.</t>
  </si>
  <si>
    <t>0 / 5</t>
  </si>
  <si>
    <t>■■■■■</t>
  </si>
  <si>
    <t>Cost: -  •  Pool: 4  •  Instant  •  Scene (may persist)</t>
  </si>
  <si>
    <t>tblCharDataLivia</t>
  </si>
  <si>
    <t>Clair H</t>
  </si>
  <si>
    <t>Livia</t>
  </si>
  <si>
    <t>Health Guru</t>
  </si>
  <si>
    <t>Guru</t>
  </si>
  <si>
    <t>Holistic Awareness</t>
  </si>
  <si>
    <t>Blood</t>
  </si>
  <si>
    <t>Burried Feelings</t>
  </si>
  <si>
    <t>Inspiring</t>
  </si>
  <si>
    <t>● (Undefined)</t>
  </si>
  <si>
    <t>Closed Book ●●</t>
  </si>
  <si>
    <t>Library (Academics) ●●●</t>
  </si>
  <si>
    <t>Striking Looks ●</t>
  </si>
  <si>
    <t>Add dots to Social rolls benefiting from appearance, and to rolls to notice/remember you.</t>
  </si>
  <si>
    <t>Theban ● | Vitae Reliquary</t>
  </si>
  <si>
    <t>Theban ●●●● | Damned Radiance</t>
  </si>
  <si>
    <t>Cost: 1 V 1 Successes  •  Pool: 5  •  Ritual  •  1 lunar month</t>
  </si>
  <si>
    <t>Cost: 1 WP 4 Successes  •  Pool: 9  v Stamina + BP  •  Ritual  •  1 night</t>
  </si>
  <si>
    <t>Store Vitae equal to Potency in object (Size 3 or smaller)</t>
  </si>
  <si>
    <t>Vampire appears mortal, -2 Disciplines</t>
  </si>
  <si>
    <t>Give advice that someone uses to succeed.</t>
  </si>
  <si>
    <t>Give protected, dangerous information without asking for payment.</t>
  </si>
  <si>
    <t>Striking Looks</t>
  </si>
  <si>
    <t>tblCharDataLudica</t>
  </si>
  <si>
    <t>Sky K</t>
  </si>
  <si>
    <t>Ludica Lachramore</t>
  </si>
  <si>
    <t>Information Broker</t>
  </si>
  <si>
    <t>spycraft</t>
  </si>
  <si>
    <t>bloodlines</t>
  </si>
  <si>
    <t>blackmail</t>
  </si>
  <si>
    <t>○ (Former/Current Lover)</t>
  </si>
  <si>
    <t>Alternate Identity ●●●</t>
  </si>
  <si>
    <t>Crowdsourcing ●●●</t>
  </si>
  <si>
    <t>Information Network ●</t>
  </si>
  <si>
    <t>False identity: (•) informal, (••) documented, (•••) airtight. +1 Subterfuge to maintain, +2 at three dots.</t>
  </si>
  <si>
    <t>Spend Willpower, roll Manipulation + Academics to transfer Social Merit dots between Invictus members, exceeding maximums by your dots.</t>
  </si>
  <si>
    <t>Use your Contacts as Skill Specialties.</t>
  </si>
  <si>
    <t>4 / 6</t>
  </si>
  <si>
    <t>□□□□■■</t>
  </si>
  <si>
    <t>high society, occult, politics</t>
  </si>
  <si>
    <t>tblCharDataMac</t>
  </si>
  <si>
    <t>Charlie BC</t>
  </si>
  <si>
    <t>Macheath 'Mac'</t>
  </si>
  <si>
    <t>Urban Gorilla</t>
  </si>
  <si>
    <t>Norvegi</t>
  </si>
  <si>
    <t>●●●○○○</t>
  </si>
  <si>
    <t xml:space="preserve"> grappling</t>
  </si>
  <si>
    <t>shadowing</t>
  </si>
  <si>
    <t>weakness</t>
  </si>
  <si>
    <t>direct threats</t>
  </si>
  <si>
    <t>hiding emotion</t>
  </si>
  <si>
    <t>Urban Gurrilla</t>
  </si>
  <si>
    <t>○ (Fiona (conditional) or union activist)</t>
  </si>
  <si>
    <t>Regular ● | Clinch Strike</t>
  </si>
  <si>
    <t>Use Damage manoeuvre instantly in a grapple.</t>
  </si>
  <si>
    <t>street</t>
  </si>
  <si>
    <t>street, transport, underworld</t>
  </si>
  <si>
    <t>Vigour ●●●</t>
  </si>
  <si>
    <t>Devotion  | Vitae Spines</t>
  </si>
  <si>
    <t>Cost: 1 V per effect Norvegi Bloodline  •  Pool: -  •  Reflexive  •  Scene</t>
  </si>
  <si>
    <t>Choose one: feed through fingertip spines as if by fangs (requires touch or grapple; leaves dry, calloused skin); or extend organic blades (1L supernatural weapon, Strength + Brawl to attack, -2 to Dexterity-based manipulation; fine manipulation impossible).</t>
  </si>
  <si>
    <t>tblCharDataMagda</t>
  </si>
  <si>
    <t>Tiana C</t>
  </si>
  <si>
    <t>Magda</t>
  </si>
  <si>
    <t>Faithful Militant</t>
  </si>
  <si>
    <t>Martyr</t>
  </si>
  <si>
    <t>theban</t>
  </si>
  <si>
    <t>swords</t>
  </si>
  <si>
    <t>● (Catholic Priest)</t>
  </si>
  <si>
    <t>Danger Sense ●●</t>
  </si>
  <si>
    <t>Fighting Finesse (Weaponry) ●●</t>
  </si>
  <si>
    <t>+2 bonus to detect an ambush.</t>
  </si>
  <si>
    <t>Substitute Dexterity for Strength with a chosen Brawl or Weaponry Specialty.</t>
  </si>
  <si>
    <t>Take another's burden upon yourself without expecting recompense.</t>
  </si>
  <si>
    <t>Put yourself at risk to save someone else or an ideology.</t>
  </si>
  <si>
    <t>tblCharDataMammon</t>
  </si>
  <si>
    <t>Peter K</t>
  </si>
  <si>
    <t>Yusuf 'Mammon' Kalusicj</t>
  </si>
  <si>
    <t>Nightmate Shadow Broker</t>
  </si>
  <si>
    <t>Forensic Accounting</t>
  </si>
  <si>
    <t>○ (Portrait of my Wife)</t>
  </si>
  <si>
    <t>○ (Turkish Laundrette Woman)</t>
  </si>
  <si>
    <t>Air of Menace ●●</t>
  </si>
  <si>
    <t>Fucking Thief ●</t>
  </si>
  <si>
    <t>+2 to menace; others spend Willpower to pick fights. Social manoeuvring harder.</t>
  </si>
  <si>
    <t>Finance</t>
  </si>
  <si>
    <t>Police, High Society, Occult, Media, Street</t>
  </si>
  <si>
    <t>Cost: 1 V  •  Pool: 12  v Composure + BP  •  Contested  •  Instant</t>
  </si>
  <si>
    <t>Cost: 2 V  •  Pool: 11  v Composure + BP  •  Contested  •  1 night</t>
  </si>
  <si>
    <t>Cost: 1 V  •  Pool: 12  v highest Composure + BP  •  Contested  •  Scene</t>
  </si>
  <si>
    <t>Cost: 1 V  •  Pool: 5  •  Instant  •  Scene</t>
  </si>
  <si>
    <t>High Presence</t>
  </si>
  <si>
    <t>tblCharDataReed</t>
  </si>
  <si>
    <t>Conan F</t>
  </si>
  <si>
    <t>Reed Justice</t>
  </si>
  <si>
    <t>Opportunistic Predator</t>
  </si>
  <si>
    <t>LLM/AI</t>
  </si>
  <si>
    <t>speeches</t>
  </si>
  <si>
    <t>doublespeak</t>
  </si>
  <si>
    <t>○ (Artwork of Mother)</t>
  </si>
  <si>
    <t>9 / 9</t>
  </si>
  <si>
    <t>□□□□□□□□□</t>
  </si>
  <si>
    <t>finance</t>
  </si>
  <si>
    <t>high society</t>
  </si>
  <si>
    <t>underworld</t>
  </si>
  <si>
    <t>Dominate ●●●●● | Possession</t>
  </si>
  <si>
    <t>Cost: - -3 in combat unless Blinded  •  Pool: 14  v Resolve + BP  •  Instant  •  Instant</t>
  </si>
  <si>
    <t>Cost: - (req: Mesmerised)   •  Pool: 14  - Resolve  •  Instant  •  1 week/success (1 month bonded)</t>
  </si>
  <si>
    <t>Cost: 1 V &amp; 1 WP (req: Mesmerised); -3 in combat unless Blinded  •  Pool: 12  - Resolve + Supernatural Tolerance  •  Instant  •  1 scene per success</t>
  </si>
  <si>
    <t>Control victim's body. Only walk in sun if victim normally can.</t>
  </si>
  <si>
    <t>tblCharDataReneM</t>
  </si>
  <si>
    <t>Luca V</t>
  </si>
  <si>
    <t>René Meyer</t>
  </si>
  <si>
    <t>Insurgent</t>
  </si>
  <si>
    <t>Zelani</t>
  </si>
  <si>
    <t>●○</t>
  </si>
  <si>
    <t>Supernatural Compulsions</t>
  </si>
  <si>
    <t>Activism</t>
  </si>
  <si>
    <t>Rumours</t>
  </si>
  <si>
    <t>Finger on the Pulse ●</t>
  </si>
  <si>
    <t>Fucking Thief (Sorcerous Eunuch) ●</t>
  </si>
  <si>
    <t>Fast-Talking ● | Always Be Closing</t>
  </si>
  <si>
    <t>Marksmanship ● | Through the Crosshairs</t>
  </si>
  <si>
    <t>You are immersed in the Cacophony, and do not suffer the drawback of Cacophony Savvy.</t>
  </si>
  <si>
    <t>Ignore one dot of a mark's Resolve or Composure when contested or resisted.</t>
  </si>
  <si>
    <t>Raise your maximum Aim bonus to Composure + Firearms.</t>
  </si>
  <si>
    <t>2 / 7</t>
  </si>
  <si>
    <t>□□■■■■■</t>
  </si>
  <si>
    <t>industry, politics, underworld, legal</t>
  </si>
  <si>
    <t>media</t>
  </si>
  <si>
    <t>Celerity ●●●</t>
  </si>
  <si>
    <t>Vigour ●</t>
  </si>
  <si>
    <t>Devotion  | Turn of Phrase</t>
  </si>
  <si>
    <t>Devotion  | Quicken Sight</t>
  </si>
  <si>
    <t>Devotion  | Hold my Beer</t>
  </si>
  <si>
    <t>Cost: Free (Zelani Only)  •  Pool: -  •  Instant  •  Scene</t>
  </si>
  <si>
    <t>Cost: 1 V  •  Pool: -  •  Reflexive  •  1 turn</t>
  </si>
  <si>
    <t>Cost: 1 WP (optional +1 V) (Zelani Only)  •  Pool: 8  •  Reflexive  •  Scene</t>
  </si>
  <si>
    <t>Add Majesty dots to social pools for non-face-to-face communication (art, phone, letters, etc).</t>
  </si>
  <si>
    <t>Examine fast-moving details. Apply Defence to ranged attacks. Benefit from aiming instantly.</t>
  </si>
  <si>
    <t>Distribute successes as dots among unskilled Skills (max 2 per Skill). +1 V: convert any Chance Die to a pool of 3 dice.</t>
  </si>
  <si>
    <t>tblCharDataReneSt</t>
  </si>
  <si>
    <t>Matt B</t>
  </si>
  <si>
    <t>René St. Dominique</t>
  </si>
  <si>
    <t>Dillitant</t>
  </si>
  <si>
    <t>Apollinaire</t>
  </si>
  <si>
    <t>Deviant</t>
  </si>
  <si>
    <t>A9A Voudun</t>
  </si>
  <si>
    <t>Invictus lore</t>
  </si>
  <si>
    <t>A9A something</t>
  </si>
  <si>
    <t>Voudun Priest</t>
  </si>
  <si>
    <t>○ (Unnamed lawyer/clerk)</t>
  </si>
  <si>
    <t>Attaché ●</t>
  </si>
  <si>
    <t>Notary ●●</t>
  </si>
  <si>
    <t>Retainers gain your Invictus Status in dots of Contacts, Resources and Safe Place.</t>
  </si>
  <si>
    <t>Preside over Invictus Oaths. Invictus Status can't be used against you. Monthly, call one dot of Allies, Contacts, Herd, Mentor or Resources.</t>
  </si>
  <si>
    <t>Devotion  | Govi Trap</t>
  </si>
  <si>
    <t>Devotion  | Skeleton Key</t>
  </si>
  <si>
    <t>Devotion  | Veve Passageway</t>
  </si>
  <si>
    <t>Cost: - -3 in combat unless Blinded  •  Pool: 9  v Resolve + BP  •  Instant  •  Instant</t>
  </si>
  <si>
    <t>Cost: 1 V (Apollinaire Only); ghost within sight; small container with lid  •  Pool: 7  v Finesse + Resistance  •  Contested  •  1 hour per Dominate dot</t>
  </si>
  <si>
    <t>Cost: 1 V (Apollinaire Only)  •  Pool: 6  •  Instant  •  Instant / Permanent</t>
  </si>
  <si>
    <t>Cost: 1 V (Apollinaire Only); white chalk  •  Pool: 10  •  Instant  •  1 hour per success</t>
  </si>
  <si>
    <t>Compel a ghost to enter and remain in a govi (container). Released if lid removed or container broken.</t>
  </si>
  <si>
    <t>Open any door regardless of locks/security without triggering alarms. Or lock any door until destroyed or Skeleton Key used again. +1 V prevents other Gatekeepers using Skeleton Key on it.</t>
  </si>
  <si>
    <t>Draw a door on a wall. It becomes a real door opening to nearest room or empty space (up to 1 mile behind the drawing).</t>
  </si>
  <si>
    <t>Commit a crime against your recognised society.</t>
  </si>
  <si>
    <t>Commit a high crime in plain view of an authority.</t>
  </si>
  <si>
    <t>tblCharDataRyan</t>
  </si>
  <si>
    <t>Patrick T</t>
  </si>
  <si>
    <t>Ryan Ambrose</t>
  </si>
  <si>
    <t>Ruthless Rising Star</t>
  </si>
  <si>
    <t>speeding</t>
  </si>
  <si>
    <t>veiled threats</t>
  </si>
  <si>
    <t>Navigation</t>
  </si>
  <si>
    <t>Staff</t>
  </si>
  <si>
    <t>tblCharDataTegan</t>
  </si>
  <si>
    <t>Alana W</t>
  </si>
  <si>
    <t>Tegan Groves</t>
  </si>
  <si>
    <t>Survivor</t>
  </si>
  <si>
    <t>● (Sister Tahliah)</t>
  </si>
  <si>
    <t>● (Old Pine Log)</t>
  </si>
  <si>
    <t>Iron Stamina ●●</t>
  </si>
  <si>
    <t>Language (Hindi) ●</t>
  </si>
  <si>
    <t>Pusher ●</t>
  </si>
  <si>
    <t>Ignore fatigue or wound penalties up to dots.</t>
  </si>
  <si>
    <t>When you use soft leverage, improve your impression as if you'd also satisfied the mark's Vice.</t>
  </si>
  <si>
    <t>transportation</t>
  </si>
  <si>
    <t>Cost: -  •  Pool: 6  •  Instant  •  Scene (may persist)</t>
  </si>
  <si>
    <t>Favour the safe path over the higher risk, higher reward path.</t>
  </si>
  <si>
    <t>Abandon a social group or relationship in order to stay safe.</t>
  </si>
  <si>
    <t>tblCharDataWan</t>
  </si>
  <si>
    <t>Michael V</t>
  </si>
  <si>
    <t>Wan Yelong</t>
  </si>
  <si>
    <t>Handler</t>
  </si>
  <si>
    <t>□□□□□□■■■■■■■■■</t>
  </si>
  <si>
    <t>history</t>
  </si>
  <si>
    <t>symbolism, societies</t>
  </si>
  <si>
    <t>fine arts, diplomacy</t>
  </si>
  <si>
    <t>Diplomatic Attache</t>
  </si>
  <si>
    <t>● (Unnamed staffer/academic)</t>
  </si>
  <si>
    <t>Encyclopaedic Knowledge ●</t>
  </si>
  <si>
    <t>Multilingual (Mandarin, Mongolian) ●</t>
  </si>
  <si>
    <t>Roll Intelligence + Wits to recall trivia about a chosen field.</t>
  </si>
  <si>
    <t>Speak two chosen languages conversationally. Intelligence + Academics to read.</t>
  </si>
  <si>
    <t>high society, politics</t>
  </si>
  <si>
    <t>Academia</t>
  </si>
  <si>
    <t>Sheets</t>
  </si>
  <si>
    <t>Player</t>
  </si>
  <si>
    <t>Characters</t>
  </si>
  <si>
    <t>Paid</t>
  </si>
  <si>
    <t>Game</t>
  </si>
  <si>
    <t>DT</t>
  </si>
  <si>
    <t>Extra</t>
  </si>
  <si>
    <t>Feed</t>
  </si>
  <si>
    <t>Alice (Katherine H)</t>
  </si>
  <si>
    <t>Cash</t>
  </si>
  <si>
    <t> </t>
  </si>
  <si>
    <t>Quiet</t>
  </si>
  <si>
    <t>Anichka (Katie)</t>
  </si>
  <si>
    <t>Exiles</t>
  </si>
  <si>
    <t>Brandy (Ashley)</t>
  </si>
  <si>
    <t>Carver (Archer)</t>
  </si>
  <si>
    <t>PayID</t>
  </si>
  <si>
    <t>Cazz (Brae)</t>
  </si>
  <si>
    <t>Charles (Leo)</t>
  </si>
  <si>
    <t>Charlie (Kurtis)</t>
  </si>
  <si>
    <t>Conrad (Arnold)</t>
  </si>
  <si>
    <t>Cyrus (Bill)</t>
  </si>
  <si>
    <t>Doc (Jess)</t>
  </si>
  <si>
    <t>Edna (Arlo)</t>
  </si>
  <si>
    <t>PayPal</t>
  </si>
  <si>
    <t>Einar (Nathan)</t>
  </si>
  <si>
    <t>A/OF - 2</t>
  </si>
  <si>
    <t>Eve (Jaime)</t>
  </si>
  <si>
    <t>Gel (Stefan)</t>
  </si>
  <si>
    <t>Absent</t>
  </si>
  <si>
    <t>Hazel (Marni)</t>
  </si>
  <si>
    <t>Ivana (Lyn)</t>
  </si>
  <si>
    <t>Jack (George)</t>
  </si>
  <si>
    <t>Keeper (Symon)</t>
  </si>
  <si>
    <t>Kirk (Phil)</t>
  </si>
  <si>
    <t>Livia (Clair)</t>
  </si>
  <si>
    <t>Ludica (Sky)</t>
  </si>
  <si>
    <t>Mac (Charlie)</t>
  </si>
  <si>
    <t>Magda (Tiana)</t>
  </si>
  <si>
    <t>Mammon (Peter)</t>
  </si>
  <si>
    <t>Reed (Conan)</t>
  </si>
  <si>
    <t>Rene M (Luca)</t>
  </si>
  <si>
    <t>Rene St (Bennet)</t>
  </si>
  <si>
    <t>Ryan (Patrick)</t>
  </si>
  <si>
    <t>Tegan (Alana W)</t>
  </si>
  <si>
    <t>Template</t>
  </si>
  <si>
    <t>Wan (Michael)</t>
  </si>
  <si>
    <t>Total</t>
  </si>
  <si>
    <t>Expenses</t>
  </si>
  <si>
    <t>OfficeW</t>
  </si>
  <si>
    <t>Bags</t>
  </si>
  <si>
    <t>Expected:</t>
  </si>
  <si>
    <t>Diff:</t>
  </si>
  <si>
    <t>Field</t>
  </si>
  <si>
    <t>Value</t>
  </si>
  <si>
    <t>Header</t>
  </si>
  <si>
    <t>Label</t>
  </si>
  <si>
    <t>Primary Input</t>
  </si>
  <si>
    <t>Secondary Input</t>
  </si>
  <si>
    <t>Notes</t>
  </si>
  <si>
    <t>Check</t>
  </si>
  <si>
    <t>Lst</t>
  </si>
  <si>
    <t>CP</t>
  </si>
  <si>
    <t>SP</t>
  </si>
  <si>
    <t>XP</t>
  </si>
  <si>
    <t>Cnv</t>
  </si>
  <si>
    <t>Ttl</t>
  </si>
  <si>
    <t>Min</t>
  </si>
  <si>
    <t>Max</t>
  </si>
  <si>
    <t>Spc</t>
  </si>
  <si>
    <t>Bon</t>
  </si>
  <si>
    <t>Add</t>
  </si>
  <si>
    <t>9A</t>
  </si>
  <si>
    <t>Slot</t>
  </si>
  <si>
    <t>Set</t>
  </si>
  <si>
    <t>Name</t>
  </si>
  <si>
    <t>Sorted</t>
  </si>
  <si>
    <t>Stats</t>
  </si>
  <si>
    <t>Effect</t>
  </si>
  <si>
    <t>$AI$2:$AK$58</t>
  </si>
  <si>
    <t>Calc</t>
  </si>
  <si>
    <t>IDENTITY</t>
  </si>
  <si>
    <t>Available XP</t>
  </si>
  <si>
    <t>Humanity Drop</t>
  </si>
  <si>
    <t>Ordeals</t>
  </si>
  <si>
    <t>Attributes XP</t>
  </si>
  <si>
    <t>Skills XP</t>
  </si>
  <si>
    <t>Merits XP</t>
  </si>
  <si>
    <t>Powers XP</t>
  </si>
  <si>
    <t>Special XP</t>
  </si>
  <si>
    <t>Embrace</t>
  </si>
  <si>
    <t>Apprent Age</t>
  </si>
  <si>
    <t>Questionnaire</t>
  </si>
  <si>
    <t>History</t>
  </si>
  <si>
    <t>Rules</t>
  </si>
  <si>
    <t>Lore</t>
  </si>
  <si>
    <t>Manouevre 1</t>
  </si>
  <si>
    <t>ATTRIBUTES</t>
  </si>
  <si>
    <t>Manouevre 2</t>
  </si>
  <si>
    <t>Clan Attribute</t>
  </si>
  <si>
    <t>Manouevre 3</t>
  </si>
  <si>
    <t>Mental</t>
  </si>
  <si>
    <t>Temporary Dots</t>
  </si>
  <si>
    <t>Priority</t>
  </si>
  <si>
    <t>Manouevre 4</t>
  </si>
  <si>
    <t>Humanity</t>
  </si>
  <si>
    <t>Manouevre 5</t>
  </si>
  <si>
    <t>Manouevre 6</t>
  </si>
  <si>
    <t>Manouevre 7</t>
  </si>
  <si>
    <t>Manouevre 8</t>
  </si>
  <si>
    <t>Physical</t>
  </si>
  <si>
    <t>Manouevre 9</t>
  </si>
  <si>
    <t>Manouevre 10</t>
  </si>
  <si>
    <t>Manouevre 11</t>
  </si>
  <si>
    <t>Manouevre 12</t>
  </si>
  <si>
    <t>Manouevre 13</t>
  </si>
  <si>
    <t>Social</t>
  </si>
  <si>
    <t>Manouevre 14</t>
  </si>
  <si>
    <t>Manouevre 15</t>
  </si>
  <si>
    <t>Manouevre 16</t>
  </si>
  <si>
    <t>Manouevre 17</t>
  </si>
  <si>
    <t>Manouevre 18</t>
  </si>
  <si>
    <t>SKILLS</t>
  </si>
  <si>
    <t>Manouevre 19</t>
  </si>
  <si>
    <t>Specialisations</t>
  </si>
  <si>
    <t>Manouevre 20</t>
  </si>
  <si>
    <t>SPECIAL</t>
  </si>
  <si>
    <t>MERITS</t>
  </si>
  <si>
    <t>General</t>
  </si>
  <si>
    <t>Devotion</t>
  </si>
  <si>
    <t>Manoeuvres</t>
  </si>
  <si>
    <t>Rites</t>
  </si>
  <si>
    <t>Domain</t>
  </si>
  <si>
    <t>Pact 1</t>
  </si>
  <si>
    <t>Pact 2</t>
  </si>
  <si>
    <t>Pact 3</t>
  </si>
  <si>
    <t>Pact 4</t>
  </si>
  <si>
    <t>Pact 5</t>
  </si>
  <si>
    <t>Pact 6</t>
  </si>
  <si>
    <t>Pact 7</t>
  </si>
  <si>
    <t>Pact 8</t>
  </si>
  <si>
    <t>Pact 9</t>
  </si>
  <si>
    <t>Pact 10</t>
  </si>
  <si>
    <t>Special</t>
  </si>
  <si>
    <t>Role</t>
  </si>
  <si>
    <t>BLOOD POWERS</t>
  </si>
  <si>
    <t>Disciplines</t>
  </si>
  <si>
    <t>In Clan</t>
  </si>
  <si>
    <t>Devotions</t>
  </si>
  <si>
    <t>Devotion 1</t>
  </si>
  <si>
    <t>Devotion 2</t>
  </si>
  <si>
    <t>Devotion 3</t>
  </si>
  <si>
    <t>Devotion 4</t>
  </si>
  <si>
    <t>Devotion 5</t>
  </si>
  <si>
    <t>Blood Sorcery</t>
  </si>
  <si>
    <t>Rite 1</t>
  </si>
  <si>
    <t>Rite 2</t>
  </si>
  <si>
    <t>Rite 3</t>
  </si>
  <si>
    <t>Rite 4</t>
  </si>
  <si>
    <t>Rite 5</t>
  </si>
  <si>
    <t>Rite 6</t>
  </si>
  <si>
    <t>Rite 7</t>
  </si>
  <si>
    <t>Rite 8</t>
  </si>
  <si>
    <t>Rite 9</t>
  </si>
  <si>
    <t>Rite 10</t>
  </si>
  <si>
    <t>Pact Merits</t>
  </si>
  <si>
    <t>Misc</t>
  </si>
  <si>
    <t>Territory Mod</t>
  </si>
  <si>
    <t>Touchstone 10</t>
  </si>
  <si>
    <t>Spent Vitae</t>
  </si>
  <si>
    <t>Touchstone 9</t>
  </si>
  <si>
    <t>Spent Willpower</t>
  </si>
  <si>
    <t>Touchstone 8</t>
  </si>
  <si>
    <t>Spent Influence</t>
  </si>
  <si>
    <t>Touchstone 7</t>
  </si>
  <si>
    <t>Touchstone 6</t>
  </si>
  <si>
    <t>Touchstone 5</t>
  </si>
  <si>
    <t>Touchstone 4</t>
  </si>
  <si>
    <t>Touchstone 3</t>
  </si>
  <si>
    <t>Touchstone 2</t>
  </si>
  <si>
    <t>Touchstone 1</t>
  </si>
  <si>
    <t>Manual Features</t>
  </si>
  <si>
    <t>Equipment</t>
  </si>
  <si>
    <t>Owned</t>
  </si>
  <si>
    <t>Is Carried?</t>
  </si>
  <si>
    <t>Equipment 1</t>
  </si>
  <si>
    <t>Yes</t>
  </si>
  <si>
    <t>Equipment 2</t>
  </si>
  <si>
    <t>No</t>
  </si>
  <si>
    <t xml:space="preserve">. </t>
  </si>
  <si>
    <t>Equipment 3</t>
  </si>
  <si>
    <t>Equipment 4</t>
  </si>
  <si>
    <t>Equipment 5</t>
  </si>
  <si>
    <t>Equipment 6</t>
  </si>
  <si>
    <t>Equipment 7</t>
  </si>
  <si>
    <t>Equipment 8</t>
  </si>
  <si>
    <t>Equipment 9</t>
  </si>
  <si>
    <t>Equipment 10</t>
  </si>
  <si>
    <t>Equipment 11</t>
  </si>
  <si>
    <t>Equipment 12</t>
  </si>
  <si>
    <t>Equipment 13</t>
  </si>
  <si>
    <t>Equipment 14</t>
  </si>
  <si>
    <t>Equipment 15</t>
  </si>
  <si>
    <t>Equipment 16</t>
  </si>
  <si>
    <t>Equipment 17</t>
  </si>
  <si>
    <t>Equipment 18</t>
  </si>
  <si>
    <t>Equipment 19</t>
  </si>
  <si>
    <t>Equipment 20</t>
  </si>
  <si>
    <t>Equipment 21</t>
  </si>
  <si>
    <t>Equipment 22</t>
  </si>
  <si>
    <t>Equipment 23</t>
  </si>
  <si>
    <t>Equipment 24</t>
  </si>
  <si>
    <t>Equipment 25</t>
  </si>
  <si>
    <t>Equipment 26</t>
  </si>
  <si>
    <t>Equipment 27</t>
  </si>
  <si>
    <t>Equipment 28</t>
  </si>
  <si>
    <t>Equipment 29</t>
  </si>
  <si>
    <t>Equipment 30</t>
  </si>
  <si>
    <t>Attendance</t>
  </si>
  <si>
    <t>Game XP</t>
  </si>
  <si>
    <t>Downtime XP</t>
  </si>
  <si>
    <t>Awarded XP</t>
  </si>
  <si>
    <t>Primary</t>
  </si>
  <si>
    <t>Tertiary</t>
  </si>
  <si>
    <t>Secondary</t>
  </si>
  <si>
    <t>Viral Mythology</t>
  </si>
  <si>
    <t>Secret Society Junkie</t>
  </si>
  <si>
    <t>Does not qualify</t>
  </si>
  <si>
    <t>MCI 1</t>
  </si>
  <si>
    <t>Hobbyist Clique</t>
  </si>
  <si>
    <t>Library</t>
  </si>
  <si>
    <t>MCI 2</t>
  </si>
  <si>
    <t>SSJ</t>
  </si>
  <si>
    <t>MCI 4</t>
  </si>
  <si>
    <t>MCI 5</t>
  </si>
  <si>
    <t>MCI 3</t>
  </si>
  <si>
    <t>VM</t>
  </si>
  <si>
    <t>Sister (unnamed)</t>
  </si>
  <si>
    <t>One parent (unnamed)</t>
  </si>
  <si>
    <t>What You've Done For Her Lately</t>
  </si>
  <si>
    <t>Dream Visions</t>
  </si>
  <si>
    <t>Tolerance for Biology</t>
  </si>
  <si>
    <t>Language</t>
  </si>
  <si>
    <t>The Pool of Forbidden Truths</t>
  </si>
  <si>
    <t>Kateryna (grand-niece)</t>
  </si>
  <si>
    <t>Socialite</t>
  </si>
  <si>
    <t>Table Turner</t>
  </si>
  <si>
    <t>Indomitable</t>
  </si>
  <si>
    <t>Defensive Combat</t>
  </si>
  <si>
    <t>Meditative Mind</t>
  </si>
  <si>
    <t>Ravage</t>
  </si>
  <si>
    <t>Primal Strength</t>
  </si>
  <si>
    <t>In the Zone</t>
  </si>
  <si>
    <t>Unyielding</t>
  </si>
  <si>
    <t>Mantle of Amorous Fire</t>
  </si>
  <si>
    <t>Tod Graves (husband)</t>
  </si>
  <si>
    <t>Good Luck Molly (alligator)</t>
  </si>
  <si>
    <t>Acute Senses</t>
  </si>
  <si>
    <t>Eidetic Memory</t>
  </si>
  <si>
    <t>Academic</t>
  </si>
  <si>
    <t>Esoteric Armoury</t>
  </si>
  <si>
    <t>Lorekeeper</t>
  </si>
  <si>
    <t>Shared</t>
  </si>
  <si>
    <t>Hazel &amp; Magda</t>
  </si>
  <si>
    <t>Skim the Void</t>
  </si>
  <si>
    <t>James (Crowley descendant)</t>
  </si>
  <si>
    <t>7/10/1899</t>
  </si>
  <si>
    <t>Quick Draw</t>
  </si>
  <si>
    <t>Bow</t>
  </si>
  <si>
    <t>Rapid Nock</t>
  </si>
  <si>
    <t>Reflex Aiming</t>
  </si>
  <si>
    <t>Parthian Shot</t>
  </si>
  <si>
    <t>Rain of Arrows</t>
  </si>
  <si>
    <t>Trick Shot</t>
  </si>
  <si>
    <t>University testamur (Simulacrum)</t>
  </si>
  <si>
    <t>Closed Book</t>
  </si>
  <si>
    <t>MCI 2&amp;3</t>
  </si>
  <si>
    <t>Fires of Inspiration</t>
  </si>
  <si>
    <t>Wisdom of the Soul</t>
  </si>
  <si>
    <t>Ezekiel (Son)</t>
  </si>
  <si>
    <t>Unnamed congregant</t>
  </si>
  <si>
    <t>Asset Skills</t>
  </si>
  <si>
    <t>Prof Train: Spec</t>
  </si>
  <si>
    <t>Prof Train: Skill Rebate</t>
  </si>
  <si>
    <t>Invested</t>
  </si>
  <si>
    <t>MCI L1</t>
  </si>
  <si>
    <t>MCI L4 1/3</t>
  </si>
  <si>
    <t>Area of Expertise</t>
  </si>
  <si>
    <t>MCI L3</t>
  </si>
  <si>
    <t>Light Weapons</t>
  </si>
  <si>
    <t>Oath of HM</t>
  </si>
  <si>
    <t>Friends in High Places</t>
  </si>
  <si>
    <t>Safe Word</t>
  </si>
  <si>
    <t>Support Network</t>
  </si>
  <si>
    <t>Weapon &amp; Shield</t>
  </si>
  <si>
    <t>Interdisciplinary Specialty</t>
  </si>
  <si>
    <t>Oath of the Scapegoat</t>
  </si>
  <si>
    <t>Establish the Duel</t>
  </si>
  <si>
    <t>Demanding Attention</t>
  </si>
  <si>
    <t>Thrust</t>
  </si>
  <si>
    <t>Flurry</t>
  </si>
  <si>
    <t>Strength Tricks</t>
  </si>
  <si>
    <t>Lifting</t>
  </si>
  <si>
    <t>Push/Pull</t>
  </si>
  <si>
    <t>Stronger Than You</t>
  </si>
  <si>
    <t>MCI 5, Weap&amp;Shiel 1</t>
  </si>
  <si>
    <t>Shield Bash</t>
  </si>
  <si>
    <t>MCI 5, Weap&amp;Shiel 3</t>
  </si>
  <si>
    <t>Pin Weapon</t>
  </si>
  <si>
    <t>MCI L2</t>
  </si>
  <si>
    <t>Ivana &amp; Keeper</t>
  </si>
  <si>
    <t>OotHM/2*PT</t>
  </si>
  <si>
    <t>1 OotHM/3 Invested</t>
  </si>
  <si>
    <t>OotHM</t>
  </si>
  <si>
    <t>Repulsive Mien</t>
  </si>
  <si>
    <t>Oath of the Hard Motherfucker</t>
  </si>
  <si>
    <t>Oath of the Safe Word</t>
  </si>
  <si>
    <t>Oath of Fealty</t>
  </si>
  <si>
    <t>Oath of the True Knight</t>
  </si>
  <si>
    <t>Priya (saved assailant)</t>
  </si>
  <si>
    <t>Lore Keeper</t>
  </si>
  <si>
    <t>Prof. Training</t>
  </si>
  <si>
    <t>Elise (Granddaughter)</t>
  </si>
  <si>
    <t>Casual User</t>
  </si>
  <si>
    <t>Spanish</t>
  </si>
  <si>
    <t>German</t>
  </si>
  <si>
    <t>Taste of Knowledge</t>
  </si>
  <si>
    <t>One living parent (unnamed)</t>
  </si>
  <si>
    <t>Unnamed venue regular</t>
  </si>
  <si>
    <t>Enforcer</t>
  </si>
  <si>
    <t>PT</t>
  </si>
  <si>
    <t>Night Doctor Surgery</t>
  </si>
  <si>
    <t>Carthian Pull</t>
  </si>
  <si>
    <t>Honing - Competitive</t>
  </si>
  <si>
    <t>Internalising - Competitive</t>
  </si>
  <si>
    <t>Cowing - Competitive</t>
  </si>
  <si>
    <t>Enfeebling Aura</t>
  </si>
  <si>
    <t>Flock</t>
  </si>
  <si>
    <t>Stigmata</t>
  </si>
  <si>
    <t>21/6/1843</t>
  </si>
  <si>
    <t>Claws</t>
  </si>
  <si>
    <t>Claws of the Unholy</t>
  </si>
  <si>
    <t>Swarm Form</t>
  </si>
  <si>
    <t>Acute Sense</t>
  </si>
  <si>
    <t>Strike to Preempt</t>
  </si>
  <si>
    <t>Unbreakable</t>
  </si>
  <si>
    <t>Dying on Your Feet</t>
  </si>
  <si>
    <t>Rene M</t>
  </si>
  <si>
    <t>Rime of Salt</t>
  </si>
  <si>
    <t>"Kyle"</t>
  </si>
  <si>
    <t>Head of State</t>
  </si>
  <si>
    <t>Fixer</t>
  </si>
  <si>
    <t>Honey With Vinegar</t>
  </si>
  <si>
    <t>Fucking Thief</t>
  </si>
  <si>
    <t>Picket Line</t>
  </si>
  <si>
    <t>MCI 1&amp;2</t>
  </si>
  <si>
    <t>&lt;NAME REQUIREED&gt;</t>
  </si>
  <si>
    <t>Bill Manchester</t>
  </si>
  <si>
    <t>Attaché</t>
  </si>
  <si>
    <t>Compliance Hold</t>
  </si>
  <si>
    <t>Weapon Retention</t>
  </si>
  <si>
    <t>Speed Cuff</t>
  </si>
  <si>
    <t>Anointed</t>
  </si>
  <si>
    <t>Hamstring</t>
  </si>
  <si>
    <t>Taunt</t>
  </si>
  <si>
    <t>Carving</t>
  </si>
  <si>
    <t>Pincushion</t>
  </si>
  <si>
    <t>Spray</t>
  </si>
  <si>
    <t>Carver &amp; Magda</t>
  </si>
  <si>
    <t>Unnamed laity member</t>
  </si>
  <si>
    <t>MDB</t>
  </si>
  <si>
    <t>Opening the Void</t>
  </si>
  <si>
    <t>The Mother-Daughter Bond</t>
  </si>
  <si>
    <t>Mandragora Garden</t>
  </si>
  <si>
    <t>Shared (Keeper)</t>
  </si>
  <si>
    <t>Quick Reload</t>
  </si>
  <si>
    <t>Intercept Shot</t>
  </si>
  <si>
    <t>Penetration</t>
  </si>
  <si>
    <t>Skewer</t>
  </si>
  <si>
    <t>Corpses</t>
  </si>
  <si>
    <t>Detection</t>
  </si>
  <si>
    <t>Targeted Bite</t>
  </si>
  <si>
    <t>Tactical Positioning</t>
  </si>
  <si>
    <t>Takedown Bite</t>
  </si>
  <si>
    <t>Predator's Vigil</t>
  </si>
  <si>
    <t>Flyby</t>
  </si>
  <si>
    <t>Rake the Eyes</t>
  </si>
  <si>
    <t>Retrieve Item</t>
  </si>
  <si>
    <t>Charlie &amp; Keeper</t>
  </si>
  <si>
    <t>K-9</t>
  </si>
  <si>
    <t>Falconry</t>
  </si>
  <si>
    <t>City Attunement</t>
  </si>
  <si>
    <t>Incriminating Evidence</t>
  </si>
  <si>
    <t>Our Mother's Mind</t>
  </si>
  <si>
    <t>Blood Witness</t>
  </si>
  <si>
    <t>Shed the Virulent Bowels</t>
  </si>
  <si>
    <t>Lady Di</t>
  </si>
  <si>
    <t>31/10/1987</t>
  </si>
  <si>
    <t>MCI L1: Spec</t>
  </si>
  <si>
    <t>Trained Observer</t>
  </si>
  <si>
    <t>Eye for the Strange</t>
  </si>
  <si>
    <t>Gettin' Up</t>
  </si>
  <si>
    <t>Backpacker</t>
  </si>
  <si>
    <t>Wearing a Hat</t>
  </si>
  <si>
    <t>MCI L4</t>
  </si>
  <si>
    <t>"Film Student"</t>
  </si>
  <si>
    <t>Color of Effluence</t>
  </si>
  <si>
    <t>Mutilation</t>
  </si>
  <si>
    <t>Amelia Inglis</t>
  </si>
  <si>
    <t>Lady Julia</t>
  </si>
  <si>
    <t>Renfield's EA</t>
  </si>
  <si>
    <t>Wraith's Presence</t>
  </si>
  <si>
    <t>13/12/1725</t>
  </si>
  <si>
    <t>Peacemaker</t>
  </si>
  <si>
    <t>MCI L5</t>
  </si>
  <si>
    <t>Empath</t>
  </si>
  <si>
    <t>Shared (Ivana)</t>
  </si>
  <si>
    <t>Charlie &amp; Ivana</t>
  </si>
  <si>
    <t>The Taste of Things Lived</t>
  </si>
  <si>
    <t>The Exchange of Things Past</t>
  </si>
  <si>
    <t>Deflection of Wooden Doom</t>
  </si>
  <si>
    <t>Willful Vitae</t>
  </si>
  <si>
    <t>Odeliese (Dead Wife)</t>
  </si>
  <si>
    <t>Mental Torture</t>
  </si>
  <si>
    <t>Sorcerous Eunuch</t>
  </si>
  <si>
    <t>Shield Against Sorcery</t>
  </si>
  <si>
    <t>Silence</t>
  </si>
  <si>
    <t>Unnamed Dockworker</t>
  </si>
  <si>
    <t>Bastard sword (object)</t>
  </si>
  <si>
    <t>Star of David pendant (object)</t>
  </si>
  <si>
    <t>MCI 1 Spec</t>
  </si>
  <si>
    <t>Buried Feelings</t>
  </si>
  <si>
    <t>Vitae Reliquary</t>
  </si>
  <si>
    <t>Damned Radiance</t>
  </si>
  <si>
    <t>Undefined</t>
  </si>
  <si>
    <t>Information Network</t>
  </si>
  <si>
    <t>Alternate Identity</t>
  </si>
  <si>
    <t>Crowdsourcing</t>
  </si>
  <si>
    <t>Former/Current Lover</t>
  </si>
  <si>
    <t>Clinch Strike</t>
  </si>
  <si>
    <t>Urban Guerilla</t>
  </si>
  <si>
    <t>Vitae Spines</t>
  </si>
  <si>
    <t>Weaponise Dissent</t>
  </si>
  <si>
    <t>Fiona (conditional) or union activist</t>
  </si>
  <si>
    <t>8/5/1896</t>
  </si>
  <si>
    <t>Air of Menace</t>
  </si>
  <si>
    <t>NAME GOES HERE</t>
  </si>
  <si>
    <t>Portrait of my Wife</t>
  </si>
  <si>
    <t>Turkish Laundrette Woman</t>
  </si>
  <si>
    <t>Premeditated Murder</t>
  </si>
  <si>
    <t>Fighting Finesse</t>
  </si>
  <si>
    <t>Danger Sense</t>
  </si>
  <si>
    <t>Carver &amp; Hazel</t>
  </si>
  <si>
    <t>Catholic Priest</t>
  </si>
  <si>
    <t>Artwork of Mother</t>
  </si>
  <si>
    <t>FT</t>
  </si>
  <si>
    <t>Finger on the Pulse</t>
  </si>
  <si>
    <t>Always Be Closing</t>
  </si>
  <si>
    <t>Through the Crosshairs</t>
  </si>
  <si>
    <t>Einar</t>
  </si>
  <si>
    <t>Turn of Phrase</t>
  </si>
  <si>
    <t>Quicken Sight</t>
  </si>
  <si>
    <t>Hold my Beer</t>
  </si>
  <si>
    <t>PT free dot</t>
  </si>
  <si>
    <t>Notary</t>
  </si>
  <si>
    <t>HM</t>
  </si>
  <si>
    <t>PT rebate</t>
  </si>
  <si>
    <t>Via Retainer</t>
  </si>
  <si>
    <t>Invested+PT rebate</t>
  </si>
  <si>
    <t>HM, PT</t>
  </si>
  <si>
    <t>Govi Trap</t>
  </si>
  <si>
    <t>Skeleton Key</t>
  </si>
  <si>
    <t>Veve Passageway</t>
  </si>
  <si>
    <t>Shift Threshold</t>
  </si>
  <si>
    <t>Unnamed lawyer/clerk</t>
  </si>
  <si>
    <t>Atrocious</t>
  </si>
  <si>
    <t>Animal Grace</t>
  </si>
  <si>
    <t>Iron Stamina</t>
  </si>
  <si>
    <t>Hindi</t>
  </si>
  <si>
    <t>Pusher</t>
  </si>
  <si>
    <t>Sister Tahliah</t>
  </si>
  <si>
    <t>Old Pine Log</t>
  </si>
  <si>
    <t>A-9A, history</t>
  </si>
  <si>
    <t xml:space="preserve">PT </t>
  </si>
  <si>
    <t>A-9A, symbolism, societies</t>
  </si>
  <si>
    <t>A-9A, fine arts, diplomacy</t>
  </si>
  <si>
    <t>Encyclopaedic Knowledge</t>
  </si>
  <si>
    <t>Multilingual</t>
  </si>
  <si>
    <t>Mandarin, Mongolian</t>
  </si>
  <si>
    <t>politics</t>
  </si>
  <si>
    <t>Unnamed staffer/academic</t>
  </si>
  <si>
    <t>Cover the Angles</t>
  </si>
  <si>
    <t>A Shot Rings Out</t>
  </si>
  <si>
    <t>~ Approved ~</t>
  </si>
  <si>
    <t>Arms of the Abyss</t>
  </si>
  <si>
    <t>~ Cruac ~</t>
  </si>
  <si>
    <t>~Carthian Law~</t>
  </si>
  <si>
    <t>~Sign In~</t>
  </si>
  <si>
    <t>~Feeding~</t>
  </si>
  <si>
    <t>Weak Spot</t>
  </si>
  <si>
    <t>Aggressive Defence</t>
  </si>
  <si>
    <t>Ankou</t>
  </si>
  <si>
    <t>Bells</t>
  </si>
  <si>
    <t>Arms of the Amphisbaena</t>
  </si>
  <si>
    <t>Breaking the Chains</t>
  </si>
  <si>
    <t>Oath of Abstinence</t>
  </si>
  <si>
    <t>Balancing the Four Humours</t>
  </si>
  <si>
    <t>Always Armed</t>
  </si>
  <si>
    <t>Bron</t>
  </si>
  <si>
    <t>Blood of the Unwilling</t>
  </si>
  <si>
    <t>Bloodshell</t>
  </si>
  <si>
    <t>Cease Fire</t>
  </si>
  <si>
    <t>Oath of Action</t>
  </si>
  <si>
    <t>Barrier of Blood</t>
  </si>
  <si>
    <t>K/OF - 1</t>
  </si>
  <si>
    <t>Iron Guard</t>
  </si>
  <si>
    <t>Icelus</t>
  </si>
  <si>
    <t>Crossroads</t>
  </si>
  <si>
    <t>Body of the Gorgon</t>
  </si>
  <si>
    <t>Coda Against Sorcery</t>
  </si>
  <si>
    <t>Birthing the God</t>
  </si>
  <si>
    <t>K/OF - 2</t>
  </si>
  <si>
    <t>Conspirator</t>
  </si>
  <si>
    <t>Press the Advantage</t>
  </si>
  <si>
    <t>Jharana</t>
  </si>
  <si>
    <t>Ordo Dracul</t>
  </si>
  <si>
    <t>Face of Hunger</t>
  </si>
  <si>
    <t>Body of Will</t>
  </si>
  <si>
    <t>Empower Judiciary</t>
  </si>
  <si>
    <t>Oath of Matrimony</t>
  </si>
  <si>
    <t>Birthing the Monstrous Brood</t>
  </si>
  <si>
    <t>Administrator</t>
  </si>
  <si>
    <t>K/OF - 3</t>
  </si>
  <si>
    <t>Insignificance</t>
  </si>
  <si>
    <t>Arcing Fire</t>
  </si>
  <si>
    <t>Chain of Command</t>
  </si>
  <si>
    <t>Establish Precedent</t>
  </si>
  <si>
    <t>Oath of Office</t>
  </si>
  <si>
    <t>Blood Blight</t>
  </si>
  <si>
    <t>I Know a Guy</t>
  </si>
  <si>
    <t>K/OF - 4</t>
  </si>
  <si>
    <t>Coattails</t>
  </si>
  <si>
    <t>Armoured Coffin</t>
  </si>
  <si>
    <t>Khaibit</t>
  </si>
  <si>
    <t>Grave Soil</t>
  </si>
  <si>
    <t>Lex Terrae</t>
  </si>
  <si>
    <t>Oath of Penance</t>
  </si>
  <si>
    <t>Blood Eagle</t>
  </si>
  <si>
    <t>K - Murder</t>
  </si>
  <si>
    <t>Whack-a-Mole</t>
  </si>
  <si>
    <t>Athena's Armour</t>
  </si>
  <si>
    <t>Cloak the Gathering</t>
  </si>
  <si>
    <t>Mandate from the Masses</t>
  </si>
  <si>
    <t>Oath of Serfdom</t>
  </si>
  <si>
    <t>Blood Moon</t>
  </si>
  <si>
    <t>K - Breach</t>
  </si>
  <si>
    <t>Play Dead</t>
  </si>
  <si>
    <t>Balance</t>
  </si>
  <si>
    <t>Lidérc</t>
  </si>
  <si>
    <t>Holy Day</t>
  </si>
  <si>
    <t>Conditioning</t>
  </si>
  <si>
    <t>Plausible Deniability</t>
  </si>
  <si>
    <t>Oath of the Handshake Deal</t>
  </si>
  <si>
    <t>Blood Oath</t>
  </si>
  <si>
    <t>A/OF - 1</t>
  </si>
  <si>
    <t>The Red Mist</t>
  </si>
  <si>
    <t>Balanced Grip</t>
  </si>
  <si>
    <t>Lygos</t>
  </si>
  <si>
    <t>Invitation</t>
  </si>
  <si>
    <t>Cross-Contamination</t>
  </si>
  <si>
    <t>Right of Return</t>
  </si>
  <si>
    <t>Blood Price</t>
  </si>
  <si>
    <t>War Cry</t>
  </si>
  <si>
    <t>Barricade</t>
  </si>
  <si>
    <t>Enchantment</t>
  </si>
  <si>
    <t>Stare Decisis</t>
  </si>
  <si>
    <t>Oath of the Model Prisoner</t>
  </si>
  <si>
    <t>Call the Huntsman</t>
  </si>
  <si>
    <t>A/OF - 3</t>
  </si>
  <si>
    <t>Manic Brutality</t>
  </si>
  <si>
    <t>Bless His Heart</t>
  </si>
  <si>
    <t>Morbus</t>
  </si>
  <si>
    <t>Open Wounds</t>
  </si>
  <si>
    <t>Strength of Resolution</t>
  </si>
  <si>
    <t>Oath of the Refugee</t>
  </si>
  <si>
    <t>Carnivorous Communion</t>
  </si>
  <si>
    <t>A/OF - 4</t>
  </si>
  <si>
    <t>Boar's Snout</t>
  </si>
  <si>
    <t>Erupting Quills</t>
  </si>
  <si>
    <t>Oath of the Righteous Kill</t>
  </si>
  <si>
    <t>Cheval</t>
  </si>
  <si>
    <t>A - Murder</t>
  </si>
  <si>
    <t>Bullseye</t>
  </si>
  <si>
    <t>Breaking Point</t>
  </si>
  <si>
    <t>Nosoi</t>
  </si>
  <si>
    <t>Find your Groove</t>
  </si>
  <si>
    <t>Cradlesong</t>
  </si>
  <si>
    <t>Temple of Damnation</t>
  </si>
  <si>
    <t>~Invictus Oaths~</t>
  </si>
  <si>
    <t>A - Breach</t>
  </si>
  <si>
    <t>Out of Nowhere</t>
  </si>
  <si>
    <t>Bring Down the House</t>
  </si>
  <si>
    <t>Repulsion</t>
  </si>
  <si>
    <t>Force of Nature</t>
  </si>
  <si>
    <t>Crocodile Armour</t>
  </si>
  <si>
    <t>Death from Above</t>
  </si>
  <si>
    <t>Bring the Pain</t>
  </si>
  <si>
    <t>Parliamentarians</t>
  </si>
  <si>
    <t>Symbols</t>
  </si>
  <si>
    <t>Foul Grave</t>
  </si>
  <si>
    <t>Crone's Embrace</t>
  </si>
  <si>
    <t>Nomad</t>
  </si>
  <si>
    <t>Head Protection</t>
  </si>
  <si>
    <t>Penumbrae</t>
  </si>
  <si>
    <t>Gargoyle's Vigilance</t>
  </si>
  <si>
    <t>Crone's Wisdom</t>
  </si>
  <si>
    <t>Defensive Jab</t>
  </si>
  <si>
    <t>Curse of Aphrodite</t>
  </si>
  <si>
    <t>Knockout Artist</t>
  </si>
  <si>
    <t>Cat Leap</t>
  </si>
  <si>
    <t>Webs</t>
  </si>
  <si>
    <t>Hint of Fear</t>
  </si>
  <si>
    <t>Curse of the Withered Soul</t>
  </si>
  <si>
    <t>Combination</t>
  </si>
  <si>
    <t>Vardyvle</t>
  </si>
  <si>
    <t>Out for the Count</t>
  </si>
  <si>
    <t>Combat Posture</t>
  </si>
  <si>
    <t>Vilseduire</t>
  </si>
  <si>
    <t>I See You</t>
  </si>
  <si>
    <t>Drops of Destiny</t>
  </si>
  <si>
    <t>Drunk on Amaranth</t>
  </si>
  <si>
    <t>Rising Star</t>
  </si>
  <si>
    <t>~ Not Approved ~</t>
  </si>
  <si>
    <t>Juggernaut's Gait</t>
  </si>
  <si>
    <t>Essence of the Beast</t>
  </si>
  <si>
    <t>Fame Monster</t>
  </si>
  <si>
    <t>Continuous Bite</t>
  </si>
  <si>
    <t>Acteius</t>
  </si>
  <si>
    <t>Master of the Ship</t>
  </si>
  <si>
    <t>Final Harvest</t>
  </si>
  <si>
    <t>Imposing Defense</t>
  </si>
  <si>
    <t>Adroanzi</t>
  </si>
  <si>
    <t>Firefly</t>
  </si>
  <si>
    <t>Cutting Elbow</t>
  </si>
  <si>
    <t>Adrestoi</t>
  </si>
  <si>
    <t>Medusa's Venom</t>
  </si>
  <si>
    <t>Flower of Demeter</t>
  </si>
  <si>
    <t>Firing Lines</t>
  </si>
  <si>
    <t>Agonistes</t>
  </si>
  <si>
    <t>Fontal Offering</t>
  </si>
  <si>
    <t>Hard Surfaces</t>
  </si>
  <si>
    <t>Alucinor</t>
  </si>
  <si>
    <t>Gorgon's Gaze</t>
  </si>
  <si>
    <t>Defensive Strike</t>
  </si>
  <si>
    <t>Amara Havana</t>
  </si>
  <si>
    <t>Reason's Salon</t>
  </si>
  <si>
    <t>Hawthorn Barrier</t>
  </si>
  <si>
    <t>Prep Work</t>
  </si>
  <si>
    <t>Annunaku</t>
  </si>
  <si>
    <t>Hecate's Sight</t>
  </si>
  <si>
    <t>Turnabout</t>
  </si>
  <si>
    <t>Anvari</t>
  </si>
  <si>
    <t>Leech's Garden</t>
  </si>
  <si>
    <t>Devil's Advocacy</t>
  </si>
  <si>
    <t>Double Strike</t>
  </si>
  <si>
    <t>Architects of the Monolith</t>
  </si>
  <si>
    <t>Shadow Play</t>
  </si>
  <si>
    <t>Mask of Blood</t>
  </si>
  <si>
    <t>Dual Swipe</t>
  </si>
  <si>
    <t>Asnâm</t>
  </si>
  <si>
    <t>Shadow Possession</t>
  </si>
  <si>
    <t>Metamorphosis</t>
  </si>
  <si>
    <t>Duck and Weave</t>
  </si>
  <si>
    <t>Azerkatil</t>
  </si>
  <si>
    <t>Shared Sight</t>
  </si>
  <si>
    <t>Path of Thorns</t>
  </si>
  <si>
    <t>Dynamic Guard</t>
  </si>
  <si>
    <t>Baddacelli</t>
  </si>
  <si>
    <t>Shatter the Shroud</t>
  </si>
  <si>
    <t>Prey's Blood</t>
  </si>
  <si>
    <t>Enyo's Defence</t>
  </si>
  <si>
    <t>Bak-Ra</t>
  </si>
  <si>
    <t>Prey's Skin</t>
  </si>
  <si>
    <t>Value of the Spoken Word</t>
  </si>
  <si>
    <t>Eris's Glory</t>
  </si>
  <si>
    <t>Barjot</t>
  </si>
  <si>
    <t>Red Witness</t>
  </si>
  <si>
    <t>Bohagande</t>
  </si>
  <si>
    <t>Resurrection of the Hollow Flesh</t>
  </si>
  <si>
    <t>Expert Traceur</t>
  </si>
  <si>
    <t>Brothers of Ypres</t>
  </si>
  <si>
    <t>Stalwart Servant</t>
  </si>
  <si>
    <t>Rigor Mortis</t>
  </si>
  <si>
    <t>Feint</t>
  </si>
  <si>
    <t>Bruja</t>
  </si>
  <si>
    <t>Subsume the Lesser Beast</t>
  </si>
  <si>
    <t>Sanguine Exaltation</t>
  </si>
  <si>
    <t>Wrathful Sword</t>
  </si>
  <si>
    <t>Burakumin</t>
  </si>
  <si>
    <t>Summoning</t>
  </si>
  <si>
    <t>Scapegoat</t>
  </si>
  <si>
    <t>Firm Footing</t>
  </si>
  <si>
    <t>Calacas</t>
  </si>
  <si>
    <t>Sun's Brutal Dreamscape</t>
  </si>
  <si>
    <t>Scent of the Beast</t>
  </si>
  <si>
    <t>Losing Your Religion</t>
  </si>
  <si>
    <t>Fixed Charge</t>
  </si>
  <si>
    <t>California Xiao</t>
  </si>
  <si>
    <t>In High Cotton</t>
  </si>
  <si>
    <t>Flow</t>
  </si>
  <si>
    <t>Caporetti</t>
  </si>
  <si>
    <t>The Rejected Malady</t>
  </si>
  <si>
    <t>Soul Harvest</t>
  </si>
  <si>
    <t>Half-Cocked</t>
  </si>
  <si>
    <t>Carnon</t>
  </si>
  <si>
    <t>The Restoration of Things Lost</t>
  </si>
  <si>
    <t>Grace Under Fire</t>
  </si>
  <si>
    <t>Carnival</t>
  </si>
  <si>
    <t>Focused Attack</t>
  </si>
  <si>
    <t>Childer of the Morrigan</t>
  </si>
  <si>
    <t>The Theft of Things Gained</t>
  </si>
  <si>
    <t>Thing of Nightmares</t>
  </si>
  <si>
    <t>Freeflow</t>
  </si>
  <si>
    <t>Children of Judas</t>
  </si>
  <si>
    <t>The Wish</t>
  </si>
  <si>
    <t>Touch of the Morrigan</t>
  </si>
  <si>
    <t>Ghost</t>
  </si>
  <si>
    <t>Cimitière</t>
  </si>
  <si>
    <t>Touch of Deprivation</t>
  </si>
  <si>
    <t>Cockscomb Society</t>
  </si>
  <si>
    <t>Corajoso</t>
  </si>
  <si>
    <t>Undiminished Rage</t>
  </si>
  <si>
    <t>Jargon</t>
  </si>
  <si>
    <t>Család</t>
  </si>
  <si>
    <t>Undying Familiar</t>
  </si>
  <si>
    <t>~ Theban ~</t>
  </si>
  <si>
    <t>Deucalion</t>
  </si>
  <si>
    <t>Aaron's Rod</t>
  </si>
  <si>
    <t>Salting</t>
  </si>
  <si>
    <t>Dragolescu</t>
  </si>
  <si>
    <t>Anoint the Spear</t>
  </si>
  <si>
    <t>The Nigerian Scam</t>
  </si>
  <si>
    <t>High Momentum Strike</t>
  </si>
  <si>
    <t>Duchagne</t>
  </si>
  <si>
    <t>Wet Dream</t>
  </si>
  <si>
    <t>Apparition of the Host</t>
  </si>
  <si>
    <t>Shoot First</t>
  </si>
  <si>
    <t>Impalement Arts</t>
  </si>
  <si>
    <t>Empusae</t>
  </si>
  <si>
    <t>Baptism of Damnation</t>
  </si>
  <si>
    <t>Suppressive Fire</t>
  </si>
  <si>
    <t>En</t>
  </si>
  <si>
    <t>Blandishment of Sin</t>
  </si>
  <si>
    <t>Secondary Target</t>
  </si>
  <si>
    <t>In Harm's Way</t>
  </si>
  <si>
    <t>Erzsébet</t>
  </si>
  <si>
    <t>Blessing the Legion</t>
  </si>
  <si>
    <t>Sprawl</t>
  </si>
  <si>
    <t>Eupraxus</t>
  </si>
  <si>
    <t>Blood Scourge</t>
  </si>
  <si>
    <t>Standing Throw</t>
  </si>
  <si>
    <t>Galloi</t>
  </si>
  <si>
    <t>Bloody Icon</t>
  </si>
  <si>
    <t>Small Joint Manipulation</t>
  </si>
  <si>
    <t>Inch Force</t>
  </si>
  <si>
    <t>Geheim</t>
  </si>
  <si>
    <t>Boon of Lazarus</t>
  </si>
  <si>
    <t>Takedown</t>
  </si>
  <si>
    <t>Gethsemani</t>
  </si>
  <si>
    <t>Curse of Babel</t>
  </si>
  <si>
    <t>Ippon</t>
  </si>
  <si>
    <t>Joint Lock</t>
  </si>
  <si>
    <t>Gulikan</t>
  </si>
  <si>
    <t>Fires of Vengeance</t>
  </si>
  <si>
    <t>Hounds of Actaeon</t>
  </si>
  <si>
    <t>Forbiddance</t>
  </si>
  <si>
    <t>Lock Flow</t>
  </si>
  <si>
    <t>Icarians</t>
  </si>
  <si>
    <t>Hauberk of Blood</t>
  </si>
  <si>
    <t>Positional Dominance</t>
  </si>
  <si>
    <t>Iltani</t>
  </si>
  <si>
    <t>Liar's Plague</t>
  </si>
  <si>
    <t>Tap or Snap</t>
  </si>
  <si>
    <t>Joint Strike</t>
  </si>
  <si>
    <t>Kallisti</t>
  </si>
  <si>
    <t>Malediction of Despair</t>
  </si>
  <si>
    <t>Sure Strike</t>
  </si>
  <si>
    <t>Keep at Bay</t>
  </si>
  <si>
    <t>Kinnaree</t>
  </si>
  <si>
    <t>Marian Apparition</t>
  </si>
  <si>
    <t>Threat Range</t>
  </si>
  <si>
    <t>Kick 'Em While They're Down</t>
  </si>
  <si>
    <t>Kuufukuji</t>
  </si>
  <si>
    <t>Miracle of the Dead Sun</t>
  </si>
  <si>
    <t>Knocking the Wind Out</t>
  </si>
  <si>
    <t>Larvae</t>
  </si>
  <si>
    <t>Resurrect the Flesh</t>
  </si>
  <si>
    <t>Warding Stance</t>
  </si>
  <si>
    <t>Libitinarius</t>
  </si>
  <si>
    <t>Revelatory Shroud</t>
  </si>
  <si>
    <t>Rending</t>
  </si>
  <si>
    <t>Last-Ditch Effort</t>
  </si>
  <si>
    <t>Licinii</t>
  </si>
  <si>
    <t>Sanctuary</t>
  </si>
  <si>
    <t>Leg Kick</t>
  </si>
  <si>
    <t>Lynx</t>
  </si>
  <si>
    <t>Temper's Eye</t>
  </si>
  <si>
    <t>Mabry</t>
  </si>
  <si>
    <t>The Forsworn Compact</t>
  </si>
  <si>
    <t>Like a Book</t>
  </si>
  <si>
    <t>Macellarius</t>
  </si>
  <si>
    <t>The Hand Shed</t>
  </si>
  <si>
    <t>Like the Breeze</t>
  </si>
  <si>
    <t>Malintzin</t>
  </si>
  <si>
    <t>The Walls of Jericho</t>
  </si>
  <si>
    <t>Thief's Mark</t>
  </si>
  <si>
    <t>Malocusians</t>
  </si>
  <si>
    <t>Torment</t>
  </si>
  <si>
    <t>Mara</t>
  </si>
  <si>
    <t>Transubstantiation</t>
  </si>
  <si>
    <t>One-Two Punch</t>
  </si>
  <si>
    <t>Mayarap</t>
  </si>
  <si>
    <t>Melissidae</t>
  </si>
  <si>
    <t>Wolf in Child's Clothing</t>
  </si>
  <si>
    <t>Morotrophians</t>
  </si>
  <si>
    <t>Mortifiers of the Flesh</t>
  </si>
  <si>
    <t>Mystikoi</t>
  </si>
  <si>
    <t>Trained Bite</t>
  </si>
  <si>
    <t>Naditu</t>
  </si>
  <si>
    <t>Ripping</t>
  </si>
  <si>
    <t>Nahualli</t>
  </si>
  <si>
    <t>Trained Gouge</t>
  </si>
  <si>
    <t>Nelapsi</t>
  </si>
  <si>
    <t>Nepheshim</t>
  </si>
  <si>
    <t>Rapidity</t>
  </si>
  <si>
    <t>Practiced Toss</t>
  </si>
  <si>
    <t>Noctuku</t>
  </si>
  <si>
    <t>Precision Shot</t>
  </si>
  <si>
    <t>Oberlochs</t>
  </si>
  <si>
    <t>Osites</t>
  </si>
  <si>
    <t>Players</t>
  </si>
  <si>
    <t>Vital Shot</t>
  </si>
  <si>
    <t>Qedeshah</t>
  </si>
  <si>
    <t>Rakshasa</t>
  </si>
  <si>
    <t>Protective Striking</t>
  </si>
  <si>
    <t>Sangiovanni</t>
  </si>
  <si>
    <t>Septemi</t>
  </si>
  <si>
    <t>Shepherds</t>
  </si>
  <si>
    <t>Sons of Cade</t>
  </si>
  <si>
    <t>Sotoha</t>
  </si>
  <si>
    <t>Spina</t>
  </si>
  <si>
    <t>Sta-Au</t>
  </si>
  <si>
    <t>Trapping</t>
  </si>
  <si>
    <t>Taifa</t>
  </si>
  <si>
    <t>Whirlwind Strike</t>
  </si>
  <si>
    <t>Rearing Beast</t>
  </si>
  <si>
    <t>Telamones</t>
  </si>
  <si>
    <t>Redirect</t>
  </si>
  <si>
    <t>Therion</t>
  </si>
  <si>
    <t>The Hand As Weapon</t>
  </si>
  <si>
    <t>Tianpàn Xiao</t>
  </si>
  <si>
    <t>Tismanu</t>
  </si>
  <si>
    <t>The Touch of Death</t>
  </si>
  <si>
    <t>Toreador</t>
  </si>
  <si>
    <t>Riled Up</t>
  </si>
  <si>
    <t>Usiri</t>
  </si>
  <si>
    <t>Vedma</t>
  </si>
  <si>
    <t>Rolling</t>
  </si>
  <si>
    <t>Yagnatia</t>
  </si>
  <si>
    <t>Steady Saddle</t>
  </si>
  <si>
    <t>Skirmishing</t>
  </si>
  <si>
    <t>Short Grip</t>
  </si>
  <si>
    <t>Wall Run</t>
  </si>
  <si>
    <t>Storm the Walls</t>
  </si>
  <si>
    <t>Strike and Develop</t>
  </si>
  <si>
    <t>Studied Style</t>
  </si>
  <si>
    <t>Thwack Weapon</t>
  </si>
  <si>
    <t>Vaulting Defense</t>
  </si>
  <si>
    <t>Tornado Strike</t>
  </si>
  <si>
    <t>Tortoise Shell</t>
  </si>
  <si>
    <t>Toss That Shit Right Back</t>
  </si>
  <si>
    <t>Touchstone</t>
  </si>
  <si>
    <t>Travel Agent</t>
  </si>
  <si>
    <t>True Fiend</t>
  </si>
  <si>
    <t>Twilight Judge</t>
  </si>
  <si>
    <t>Unassuming Guise</t>
  </si>
  <si>
    <t>Unbridled Chaos</t>
  </si>
  <si>
    <t>Undead Menses</t>
  </si>
  <si>
    <t>Unnatural Affinity</t>
  </si>
  <si>
    <t>Unsettling Gaze</t>
  </si>
  <si>
    <t>Untouchable</t>
  </si>
  <si>
    <t>Vice-Ridden</t>
  </si>
  <si>
    <t>Virtuous</t>
  </si>
  <si>
    <t>Where the Bodies Are Buried</t>
  </si>
  <si>
    <t>Wicked Jaws</t>
  </si>
  <si>
    <t>Attribute Dots</t>
  </si>
  <si>
    <t>Skill Dots</t>
  </si>
  <si>
    <t>D:\Terra Mortis\Character Sheets\Sheet Elements\</t>
  </si>
  <si>
    <t>Number</t>
  </si>
  <si>
    <t>Dots 1</t>
  </si>
  <si>
    <t>Dots 2</t>
  </si>
  <si>
    <t>dots0</t>
  </si>
  <si>
    <t>dots1</t>
  </si>
  <si>
    <t>dots2</t>
  </si>
  <si>
    <t>dots3</t>
  </si>
  <si>
    <t>dots4</t>
  </si>
  <si>
    <t>dots5</t>
  </si>
  <si>
    <t>Attribute 1</t>
  </si>
  <si>
    <t>Attribute 2</t>
  </si>
  <si>
    <t>Discipline 1</t>
  </si>
  <si>
    <t>Discipline 2</t>
  </si>
  <si>
    <t>Discipline 3</t>
  </si>
  <si>
    <t>Shortname</t>
  </si>
  <si>
    <t>Dragon</t>
  </si>
  <si>
    <t>Rank</t>
  </si>
  <si>
    <t>kindred non grata</t>
  </si>
  <si>
    <t>Acknowledged</t>
  </si>
  <si>
    <t>Recognised</t>
  </si>
  <si>
    <t>Valued</t>
  </si>
  <si>
    <t>Respected</t>
  </si>
  <si>
    <t>Eminent</t>
  </si>
  <si>
    <t>Admired</t>
  </si>
  <si>
    <t>Revered</t>
  </si>
  <si>
    <t>Exalted</t>
  </si>
  <si>
    <t>Boxes 1</t>
  </si>
  <si>
    <t>Boxes 2</t>
  </si>
  <si>
    <t>Boxes 3</t>
  </si>
  <si>
    <t>Boxes 4</t>
  </si>
  <si>
    <t>boxes0</t>
  </si>
  <si>
    <t>boxes1</t>
  </si>
  <si>
    <t>boxes2</t>
  </si>
  <si>
    <t>boxes3</t>
  </si>
  <si>
    <t>boxes4</t>
  </si>
  <si>
    <t>boxes5</t>
  </si>
  <si>
    <t>Max Vitae</t>
  </si>
  <si>
    <t>Feed From</t>
  </si>
  <si>
    <t>Column1</t>
  </si>
  <si>
    <t>‡</t>
  </si>
  <si>
    <t>Humans</t>
  </si>
  <si>
    <t>Kindred</t>
  </si>
  <si>
    <t>Bane</t>
  </si>
  <si>
    <t>Description</t>
  </si>
  <si>
    <t>Real bells cause (10 – Humanity) bashing per minute and frenzy risk.</t>
  </si>
  <si>
    <t>First (10 – Humanity) Vitae from unwilling/unknowing give no sustenance.</t>
  </si>
  <si>
    <t>Passing through a crossroads caps all dice pools at Humanity for the scene.</t>
  </si>
  <si>
    <t>Below 5 Vitae, look corpse-like; Social &amp; hunger-frenzy rolls capped at Humanity.</t>
  </si>
  <si>
    <t>Without soil from place of death, all dice pools capped at Humanity next night.</t>
  </si>
  <si>
    <t>On chosen day, cannot awaken unless suffering (10 – Humanity) damage.</t>
  </si>
  <si>
    <t>Entering a dwelling uninvited causes (10 – Humanity) bashing, can't heal inside.</t>
  </si>
  <si>
    <t>Wounds stay open until daysleep, even if Vitae heals Health.</t>
  </si>
  <si>
    <t>Can't approach chosen substance within (10 – Humanity) ft; in wounds = bashing.</t>
  </si>
  <si>
    <t>Dice pools capped at Humanity when facing religious symbols.</t>
  </si>
  <si>
    <t>Touching webs traps you; must break web (Durability = 10 – Humanity) to escape.</t>
  </si>
  <si>
    <t>˄</t>
  </si>
  <si>
    <t>×</t>
  </si>
  <si>
    <t>Position</t>
  </si>
  <si>
    <t>Archetype</t>
  </si>
  <si>
    <t>1 Willpower</t>
  </si>
  <si>
    <t>All Willpower</t>
  </si>
  <si>
    <t>Add a layer of meaningless complexity to a plan.</t>
  </si>
  <si>
    <t>Refuse to take an action in self-defence without excessive, dangerous plotting.</t>
  </si>
  <si>
    <t>Abandon a home.</t>
  </si>
  <si>
    <t>Abandon a society, organisation, or city.</t>
  </si>
  <si>
    <t>Clan 1</t>
  </si>
  <si>
    <t>Clan 2</t>
  </si>
  <si>
    <t>Discipline 4</t>
  </si>
  <si>
    <t>Not Considered</t>
  </si>
  <si>
    <t>Considered</t>
  </si>
  <si>
    <t>Approved</t>
  </si>
  <si>
    <t>Dead Wolves</t>
  </si>
  <si>
    <t>Discipline</t>
  </si>
  <si>
    <t>Cost</t>
  </si>
  <si>
    <t>Prerequisite</t>
  </si>
  <si>
    <t>Attribute</t>
  </si>
  <si>
    <t>Skill</t>
  </si>
  <si>
    <t>Power</t>
  </si>
  <si>
    <t>Resistance</t>
  </si>
  <si>
    <t>Action</t>
  </si>
  <si>
    <t>Duration</t>
  </si>
  <si>
    <t>Exceptional</t>
  </si>
  <si>
    <t>Feral Whispers</t>
  </si>
  <si>
    <t>Instant</t>
  </si>
  <si>
    <t>Scene (may persist)</t>
  </si>
  <si>
    <t>Animal obeys with initiative and creativity.</t>
  </si>
  <si>
    <t>Raise the Familiar</t>
  </si>
  <si>
    <t>1 V</t>
  </si>
  <si>
    <t>Maintained familiars require Retainers merit</t>
  </si>
  <si>
    <t>BP × Stamina nights</t>
  </si>
  <si>
    <t>Turn dead animal into a loyal proto-vampire. Maintained familiars must be purchased as Retainers; -1 starting Vitae per game.</t>
  </si>
  <si>
    <t>Displays heightened loyalty and intelligence.</t>
  </si>
  <si>
    <t>Summon the Hunt</t>
  </si>
  <si>
    <t>2 V</t>
  </si>
  <si>
    <t>1 night / until destroyed</t>
  </si>
  <si>
    <t>Call animals to a location or target with spilled blood.</t>
  </si>
  <si>
    <t>Swarm acts with relentless focus.</t>
  </si>
  <si>
    <t>Feral Infection</t>
  </si>
  <si>
    <t>Scene</t>
  </si>
  <si>
    <t>Target all creatures in range, a specific species (including clan), or a specific individual. Drives targets into frenzy.</t>
  </si>
  <si>
    <t>Vampire gains the Sated condition.</t>
  </si>
  <si>
    <t>Lord of the Land</t>
  </si>
  <si>
    <t>Free (Haven) / 3-9 V &amp; 1 WP</t>
  </si>
  <si>
    <t>1 week per BP</t>
  </si>
  <si>
    <t>Always active on Haven and surrounds at no cost. Further uses at standard cost. Intruders take penalties.</t>
  </si>
  <si>
    <t>Absolute dominion; frenzied creatures cannot attack.</t>
  </si>
  <si>
    <t>Beast's Hackles</t>
  </si>
  <si>
    <t>Free (1 V for Insight)</t>
  </si>
  <si>
    <t>- Composure &amp; Closed Book</t>
  </si>
  <si>
    <t>Ask two questions.</t>
  </si>
  <si>
    <t>Uncanny Perception</t>
  </si>
  <si>
    <t>Must perceive target</t>
  </si>
  <si>
    <t>Gain deeper insight.</t>
  </si>
  <si>
    <t>Spirit's Touch</t>
  </si>
  <si>
    <t>Free (1 WP for clash / 1 V for Insight)</t>
  </si>
  <si>
    <t>Investigate</t>
  </si>
  <si>
    <t>v Resolve + Stealth + Obf</t>
  </si>
  <si>
    <t>Reflexive</t>
  </si>
  <si>
    <t>Immediate</t>
  </si>
  <si>
    <t>+1 when using the object.</t>
  </si>
  <si>
    <t>Lay Open the Mind</t>
  </si>
  <si>
    <t xml:space="preserve"> v Resolve + BP</t>
  </si>
  <si>
    <t>Retrieve multiple deep memories.</t>
  </si>
  <si>
    <t>Twilight Projection</t>
  </si>
  <si>
    <t>Scene (while projected)</t>
  </si>
  <si>
    <t>Instantly return by spending Vitae.</t>
  </si>
  <si>
    <t>Celerity 1</t>
  </si>
  <si>
    <t>1 V per effect</t>
  </si>
  <si>
    <t>1 turn</t>
  </si>
  <si>
    <t>Choose: First in Initiative; interrupt another; 2x Speed</t>
  </si>
  <si>
    <t>Celerity 2</t>
  </si>
  <si>
    <t>Choose: First in Initiative; interrupt another; 3x Speed</t>
  </si>
  <si>
    <t>Celerity 3</t>
  </si>
  <si>
    <t>Choose: First in Initiative; interrupt another; 4x Speed</t>
  </si>
  <si>
    <t>Celerity 4</t>
  </si>
  <si>
    <t>Choose: First in Initiative; interrupt another; 5x Speed</t>
  </si>
  <si>
    <t>Celerity 5</t>
  </si>
  <si>
    <t>Choose: First in Initiative; interrupt another; 6x Speed</t>
  </si>
  <si>
    <t>Creation 1</t>
  </si>
  <si>
    <t>Creation 2</t>
  </si>
  <si>
    <t>Creation 3</t>
  </si>
  <si>
    <t>Summon predatory/scavenging animals and homunculi. Solid homogenous objects. Trigger appropriate weather. Produce diseases.</t>
  </si>
  <si>
    <t>Creation 4</t>
  </si>
  <si>
    <t>Extend Curse to creations as ghouls. Create Vitae (with Destruction/Transmutation). Homunculi gain physical Disciplines 1:1 with Potency. Complex objects (no valuables). Heat/cold/darkness/wind.</t>
  </si>
  <si>
    <t>Creation 5</t>
  </si>
  <si>
    <t>Grant non-physical Disciplines to homunculi 1:1 with Potency. Radical weather. Create valuables (dark/flawed).</t>
  </si>
  <si>
    <t>1 Successes</t>
  </si>
  <si>
    <t xml:space="preserve"> v Stamina + BP</t>
  </si>
  <si>
    <t>Ritual</t>
  </si>
  <si>
    <t>1 night</t>
  </si>
  <si>
    <t>Denies target use of Physical Intensity; cannot use blood to enhance Physical actions</t>
  </si>
  <si>
    <t>Transmutation 1</t>
  </si>
  <si>
    <t>Borrow a touched subject's sight and hearing for the rest of the night.</t>
  </si>
  <si>
    <t>Divination 1</t>
  </si>
  <si>
    <t>Protection 1</t>
  </si>
  <si>
    <t>Taste blood to learn name, age, clan, covenant, or significant event</t>
  </si>
  <si>
    <t>Extract animal's predatory nature; +2 to one Predatory Aura category</t>
  </si>
  <si>
    <t>Create hovering flame for light (no heat); moves within BP metres</t>
  </si>
  <si>
    <t>1 feeding</t>
  </si>
  <si>
    <t>Make animal blood nourishing; gain up to 3 Vitae from animals</t>
  </si>
  <si>
    <t>Potency turns</t>
  </si>
  <si>
    <t>A vampiric victim within a mile stiffens and suffers a -3 Physical penalty.</t>
  </si>
  <si>
    <t>2 Successes</t>
  </si>
  <si>
    <t>1 hour/Vitae</t>
  </si>
  <si>
    <t>Invisible barrier blocks ritualist's bane; Durability = Potency</t>
  </si>
  <si>
    <t>Protection 2</t>
  </si>
  <si>
    <t>Until gorged</t>
  </si>
  <si>
    <t>Steal up to Potency in ingested Vitae from a present vampire or ghoul victim for the night.</t>
  </si>
  <si>
    <t>Transmutation 2</t>
  </si>
  <si>
    <t>1 day per extra Vitae</t>
  </si>
  <si>
    <t>Divination 2</t>
  </si>
  <si>
    <t>Gain sustenance from human flesh; 1 pound = 1 Vitae</t>
  </si>
  <si>
    <t>Scales provide 2/1 armour; -3 Social with mortals</t>
  </si>
  <si>
    <t xml:space="preserve"> v Composure + BP</t>
  </si>
  <si>
    <t>Until sunrise/contact</t>
  </si>
  <si>
    <t>Supernatural lust; -3 to unrelated actions</t>
  </si>
  <si>
    <t>1 lunar month</t>
  </si>
  <si>
    <t>Branch deals Potency lethal to supernatural beings on touch</t>
  </si>
  <si>
    <t>Protection 2, Destruction 1</t>
  </si>
  <si>
    <t>Until sunrise</t>
  </si>
  <si>
    <t>Physically reshape features; obviously unnatural up close</t>
  </si>
  <si>
    <t>Thorny vines deal 1L/turn; path up to Potency × 5 metres</t>
  </si>
  <si>
    <t>Creation 2, Destruction 1</t>
  </si>
  <si>
    <t>Painted Fears</t>
  </si>
  <si>
    <t>Permanent</t>
  </si>
  <si>
    <t>Create a frightening work of art that inflicts anyone who views it with a minor phobia of whatever it depicts.</t>
  </si>
  <si>
    <t>Register as mortal; lose Beast's tells; can eat food</t>
  </si>
  <si>
    <t>Serpentine Union</t>
  </si>
  <si>
    <t>(Gorgon Only); dance with snake during casting; 1 WP to rise</t>
  </si>
  <si>
    <t>Absorb a snake. +2 perception, +1 Dex or Str, +4 Vitae Pool max. Create mundane snakes (Size = Vitae spent). Cannot be improvised.</t>
  </si>
  <si>
    <t>Destruction 2</t>
  </si>
  <si>
    <t>Monstrous form from target's fears; +3 Intimidation/Brawl vs target</t>
  </si>
  <si>
    <t>Creation 2, Transmutation 1</t>
  </si>
  <si>
    <t>Scene or 3 hits</t>
  </si>
  <si>
    <t>Prepare a deadly touch to inflict Potency in lethal damage within the night.</t>
  </si>
  <si>
    <t>3 Successes</t>
  </si>
  <si>
    <t>Inflict Potency in lethal damage or Vitae loss by scouring blood, often provoking frenzy.</t>
  </si>
  <si>
    <t>Destruction 3</t>
  </si>
  <si>
    <t>Until new moon</t>
  </si>
  <si>
    <t>Supernatural pact; violators lose all Vitae and gain Notoriety</t>
  </si>
  <si>
    <t>Transmutation 3</t>
  </si>
  <si>
    <t>Until sunrise/found</t>
  </si>
  <si>
    <t>Shadow hounds track target; alert ritualist when found</t>
  </si>
  <si>
    <t>Ask one question per Potency about past/present/future</t>
  </si>
  <si>
    <t>Divination 3</t>
  </si>
  <si>
    <t>Blood toxic to vampires; feeders take lethal damage</t>
  </si>
  <si>
    <t>Transmutation 2, Destruction 1</t>
  </si>
  <si>
    <t>Rapid thorny plant growth; 1L/turn to move through</t>
  </si>
  <si>
    <t>Until triggered</t>
  </si>
  <si>
    <t>Next diablerie attempt fails; attacker takes agg damage</t>
  </si>
  <si>
    <t>Destruction 2, Protection 2</t>
  </si>
  <si>
    <t>Roll Presence + Occult + Cruac - Stamina against the first person to see your eyes, petrifying a fifth of their body per success.</t>
  </si>
  <si>
    <t>Perceive through any tasted blood; 10 yard range</t>
  </si>
  <si>
    <t>Convert preserved blood to Vitae; up to Potency pints</t>
  </si>
  <si>
    <t>Creation 3, Transmutation 1</t>
  </si>
  <si>
    <t>1 week</t>
  </si>
  <si>
    <t>Mark target; all vampires know location; +3 Predatory Aura vs them</t>
  </si>
  <si>
    <t>Divination 2, Transmutation 1</t>
  </si>
  <si>
    <t>4 Successes</t>
  </si>
  <si>
    <t>Until used</t>
  </si>
  <si>
    <t>Create homunculus servant; ritualist takes 2L unhealable damage</t>
  </si>
  <si>
    <t>Potency aggravated damage; mortals die instantly</t>
  </si>
  <si>
    <t>Destruction 4</t>
  </si>
  <si>
    <t>Rest of night</t>
  </si>
  <si>
    <t>Force vampire into immediate daysleep</t>
  </si>
  <si>
    <t>Transmutation 4</t>
  </si>
  <si>
    <t>Cannot regain Willpower from Virtue/Vice/Touchstones</t>
  </si>
  <si>
    <t>Destruction 4, Transmutation 2</t>
  </si>
  <si>
    <t>See through all supernatural concealment and illusions</t>
  </si>
  <si>
    <t>Divination 4</t>
  </si>
  <si>
    <t>Plants drain 1 Vitae from passing vampires; harvestable</t>
  </si>
  <si>
    <t>Creation 4, Transmutation 2</t>
  </si>
  <si>
    <t>Transform into predator/scavenger; retain mind, no Disciplines</t>
  </si>
  <si>
    <t xml:space="preserve"> v Resolve + Composure</t>
  </si>
  <si>
    <t>Steal memories from torpid vampire</t>
  </si>
  <si>
    <t>Destruction 4, Divination 2</t>
  </si>
  <si>
    <t>3 V</t>
  </si>
  <si>
    <t>5 Successes</t>
  </si>
  <si>
    <t>Gather body parts to violently birth an undead flesh-eating god.</t>
  </si>
  <si>
    <t>City-wide effect; hunger frenzies on failed rolls, not just dramatic failures</t>
  </si>
  <si>
    <t>Transmutation 5, Destruction 1</t>
  </si>
  <si>
    <t>Grant ghoul full vampiric powers for one night</t>
  </si>
  <si>
    <t>Creation 5, Transmutation 3</t>
  </si>
  <si>
    <t>1 year (barren)</t>
  </si>
  <si>
    <t>Destroy all plants in Potency × 100 metres; Potency lethal to living</t>
  </si>
  <si>
    <t>Destruction 5</t>
  </si>
  <si>
    <t>Raise perfect living simulacrum; retains memories, no consciousness</t>
  </si>
  <si>
    <t xml:space="preserve"> - Resolve</t>
  </si>
  <si>
    <t>Feed the ritual Vitae to a mortal vessel. For one night, the mortal suffers any breaking points or inured banes, not you.</t>
  </si>
  <si>
    <t>Transmutation 5, Protection 3</t>
  </si>
  <si>
    <t>Destruction 1</t>
  </si>
  <si>
    <t>Turn blood toxic to feeding vampires. Reduce Durability/armour by Potency. Inflict bashing directly.</t>
  </si>
  <si>
    <t>Grant armour piercing to attacks. Reduce Resistance Attributes by Potency.</t>
  </si>
  <si>
    <t>Inflict lethal directly. Upgrade lethal to aggravated. Destroy Vitae (= Potency). Reduce Willpower.</t>
  </si>
  <si>
    <t>Inflict aggravated directly. Reduce Power or Finesse Attributes.</t>
  </si>
  <si>
    <t>(Lasombra Only)</t>
  </si>
  <si>
    <t>Tentacles from shadows within 10 × BP metres. Wits + Composure - Vigour or Distracted. Attack one target per action using Presence + Occult; +2B weapon, benefits from Vigour.</t>
  </si>
  <si>
    <t>Tentacles gain Knockdown and Grapple. While grappled, cannot attack other targets.</t>
  </si>
  <si>
    <t>Nigh 4, Resl 1</t>
  </si>
  <si>
    <t>(Gorgon Only); incompatible with Claws of the Unholy</t>
  </si>
  <si>
    <t>Hands become snake-like. +2 Intimidation. With Claws or Barbed Hands: +1L and +1 Vitae per feed (mortals and Kindred). Always delivers the Assault; wounds cannot be licked closed.</t>
  </si>
  <si>
    <t>Prot 3</t>
  </si>
  <si>
    <t>Norvegi Bloodline</t>
  </si>
  <si>
    <t>Ichor congeals into a thorny shell. Grants 2/1 Armour but reduces Defence and Speed by 1 each. Cannot be concealed.</t>
  </si>
  <si>
    <t>Vigr 2, Resl 1</t>
  </si>
  <si>
    <t>1 V/scene + 1 WP per Dominate use</t>
  </si>
  <si>
    <t>(Gorgon Only)</t>
  </si>
  <si>
    <t>Instant (no actions for 1 turn)</t>
  </si>
  <si>
    <t>Size 6, Speed +3, Animalism/Social on non-snakes -5. Spray venom dose at close range target with lethal/agg wounds (Dex + Athletics - Defence); can create dose reflexively for 1 V. Target all onlookers with Dominate 1 or 2 as single action.</t>
  </si>
  <si>
    <t>Domn 2, Prot 4</t>
  </si>
  <si>
    <t>1 turn/success</t>
  </si>
  <si>
    <t>No wound penalties for one turn per success. Free Vigour activation on turns where damage is taken.</t>
  </si>
  <si>
    <t>Resl 3, Vigr 1</t>
  </si>
  <si>
    <t>Contested</t>
  </si>
  <si>
    <t>Plant a Dominate effect in victim, triggered at a specified moment. Uses vampire's dice pool.</t>
  </si>
  <si>
    <t>Domn 3, Vigr 1</t>
  </si>
  <si>
    <t>(Scion of the First City Only); city must have 10,000+ inhabitants</t>
  </si>
  <si>
    <t>Ausp 1</t>
  </si>
  <si>
    <t>As base power</t>
  </si>
  <si>
    <t>Expand Touch of Shadow to BP subjects for 2 extra Vitae. Add Cloak of Night for 4 Vitae total. Range: (Obfuscate + BP) metres. Extra Vitae extends to others 1-for-1; may spend over consecutive rounds.</t>
  </si>
  <si>
    <t>Obfs 5</t>
  </si>
  <si>
    <t>Mesmerised; once per two nights</t>
  </si>
  <si>
    <t>Victim gains Subservient (lasts one chapter). Mark a cross above one Willpower dot. When all dots marked, exchange for Enslaved.</t>
  </si>
  <si>
    <t>Mark an extra cross.</t>
  </si>
  <si>
    <t>Domn 4</t>
  </si>
  <si>
    <t>Lower Majesty or Nightmare</t>
  </si>
  <si>
    <t>-1 Composure. Looking away contests Composure + BP vs successes. Resist Persuasion/Intimidation loses 10-again. Cannot combine with Awe or Dread Presence.</t>
  </si>
  <si>
    <t>Maje 1, Nigh 1</t>
  </si>
  <si>
    <t>As Loyalty</t>
  </si>
  <si>
    <t>As Loyalty, but designate another person, place, or thing as source of Enthralled. Must communicate subject to victim.</t>
  </si>
  <si>
    <t>Maje 4, Obfs 2</t>
  </si>
  <si>
    <t>Maje 1, Resl 1</t>
  </si>
  <si>
    <t>Higher of Celerity or Vigour</t>
  </si>
  <si>
    <t>Body explodes into spines. Take 2 aggravated damage (Resilience applies). Everyone within five feet suffers a +2L attack using rolled successes as damage. Defence does not apply; Armour does.</t>
  </si>
  <si>
    <t>No self-damage.</t>
  </si>
  <si>
    <t>Vigr 3, Clty 3</t>
  </si>
  <si>
    <t>(Zelani Only)</t>
  </si>
  <si>
    <t>On Dodge: add Auspex to Defence after doubling. Auspex applies as Defence vs firearms. If Celerity also activated, entire Defence applies vs firearms.</t>
  </si>
  <si>
    <t>Maje 1, Celr 2, Ausp 2</t>
  </si>
  <si>
    <t>8 V</t>
  </si>
  <si>
    <t>Gain any Predatory Aspect, Beast's Skin, or Unnatural Aspect benefits without Vitae cost. Adopt or shed modifications reflexively. Shift Protean dots of Physical Attributes as instant action.</t>
  </si>
  <si>
    <t>Prtn 4, Resl 4, Vigr 2</t>
  </si>
  <si>
    <t>While interred</t>
  </si>
  <si>
    <t>Exert the Predatory Aura while in your Unmarked Grave.</t>
  </si>
  <si>
    <t>Prtn 1, Nigh 1</t>
  </si>
  <si>
    <t>While stationary</t>
  </si>
  <si>
    <t>Stationary 10 mins in Haven. Full Auspex centred anywhere within. +5 detect intruders. +5 Initiative vs intruders. Free Resilience activation. 1 WP to use while asleep. Downtime: use daily while slumbering; -1 starting WP.</t>
  </si>
  <si>
    <t>Ausp 1, Resl 2</t>
  </si>
  <si>
    <t>(Apollinaire Only); ghost within sight; small container with lid</t>
  </si>
  <si>
    <t xml:space="preserve"> v Finesse + Resistance</t>
  </si>
  <si>
    <t>1 hour per Dominate dot</t>
  </si>
  <si>
    <t>Ghost answers one question honestly.</t>
  </si>
  <si>
    <t>Domn 1, Obfs 1</t>
  </si>
  <si>
    <t>1 V + Face of the Beast cost</t>
  </si>
  <si>
    <t>Use Face of the Beast as a reflexive action. Must be able to spend 2 Vitae in a turn.</t>
  </si>
  <si>
    <t>Clty 2, Nigh 2</t>
  </si>
  <si>
    <t>1 WP (optional +1 V)</t>
  </si>
  <si>
    <t>Ignore all Untrained Skill penalties for the scene.</t>
  </si>
  <si>
    <t>Celr 3, Ausp 3, Maje 1</t>
  </si>
  <si>
    <t>(Lygos Only); must fight in utter darkness</t>
  </si>
  <si>
    <t>Split successes between Defence, Initiative, and Speed for the scene while fighting in utter darkness.</t>
  </si>
  <si>
    <t>Ausp 1, Obfs 1</t>
  </si>
  <si>
    <t>Free / 1 V</t>
  </si>
  <si>
    <t>(Scion of the First City Only); must have touched target that night; must be outdoors</t>
  </si>
  <si>
    <t>Ausp 3</t>
  </si>
  <si>
    <t>5 V/turn</t>
  </si>
  <si>
    <t>Per turn</t>
  </si>
  <si>
    <t>Immune to all damage (bashing, lethal, aggravated, fire, sunlight). Must be able to spend 5 Vitae in a turn; may pre-spend 4 on preceding turns.</t>
  </si>
  <si>
    <t>Resl 5, Vigr 3</t>
  </si>
  <si>
    <t>1 WP (to bond)</t>
  </si>
  <si>
    <t>(Ratgrafen Only); 24 hours on ship</t>
  </si>
  <si>
    <t>While on bonded ship: +2 to all rolls, +2 Initiative, +2 Defence, +2 Speed.</t>
  </si>
  <si>
    <t>Prot 1, Resl 1</t>
  </si>
  <si>
    <t>Stamina doses until dawn</t>
  </si>
  <si>
    <t>Create poison (Toxicity = BP + 1). Choose: neurolytic (-Str), paralytic (-Dex), or hemolytic (lethal to living / destroy Vitae in vampires). Attribute damage heals 1 dot per 15 mins. Apply to melee weapon (instant) or deliver via bite (reflexive). Each Str/Dex toxin affects a target once.</t>
  </si>
  <si>
    <t>Prot 2, Resl 2</t>
  </si>
  <si>
    <t>(Scion of the First City Only); walk barefoot, Vitae on feet</t>
  </si>
  <si>
    <t>Until found</t>
  </si>
  <si>
    <t>Ausp 5</t>
  </si>
  <si>
    <t>Ausp 1, Clty 1</t>
  </si>
  <si>
    <t>5 V</t>
  </si>
  <si>
    <t>Night</t>
  </si>
  <si>
    <t>Spread Vitae about a location. Vampires within suffer Resilience dots as penalty to predatory aura rolls and add same to resist frenzy.</t>
  </si>
  <si>
    <t>Anml 4, Resl 2</t>
  </si>
  <si>
    <t>(Order of Sir Martin Only); only affects other Leper Knights with concrete reasons for mistrust</t>
  </si>
  <si>
    <t>Nigh 1, Obfs 4</t>
  </si>
  <si>
    <t>Free</t>
  </si>
  <si>
    <t>(Ratgrafen Only)</t>
  </si>
  <si>
    <t>Prot 3, Resl 1</t>
  </si>
  <si>
    <t>Manipulate shadows; cloak in darkness; bonuses on appropriate checks. Globe of darkness (2 × BP metres): Kindred -2 to vision rolls, mortals/animals gain Blinded and Resolve + Composure or Frightened. Globe moves at Speed reflexively.</t>
  </si>
  <si>
    <t>Resl 1, Nigh 1</t>
  </si>
  <si>
    <t>1 WP + 1 V</t>
  </si>
  <si>
    <t>Become own shadow; move along surfaces at Speed. Immune to physical damage; vulnerable to mystical attacks and banes.</t>
  </si>
  <si>
    <t>For 1 WP assume 3D ephemeral form; use Shadow Play and fly at standard Speed.</t>
  </si>
  <si>
    <t>Domn 5, Resl 1</t>
  </si>
  <si>
    <t>Impart up to successes in Auspex dots to a subject. Borrower rolls with own Attributes and Skills only. Lender loses that many dice from Auspex rolls for the scene.</t>
  </si>
  <si>
    <t>Ausp 4, Domn 1</t>
  </si>
  <si>
    <t>On winning a Clash of Wills to pierce a hiding ability, the victim's hiding effect ends immediately. Can be re-activated next turn.</t>
  </si>
  <si>
    <t>Ausp 2, Vigr 1</t>
  </si>
  <si>
    <t>(Apollinaire Only); must have physically seen target door</t>
  </si>
  <si>
    <t>1 hour per Dominate dot / +1 V permanent</t>
  </si>
  <si>
    <t>Link two doors as a passageway through space. +1 V to make permanent via Eternal Crossroads with a key (knock, symbol, phrase). Only Apollinaire can see Crossroads marks.</t>
  </si>
  <si>
    <t>Domn 1, Obfs 4, Resl 2</t>
  </si>
  <si>
    <t>(Apollinaire Only)</t>
  </si>
  <si>
    <t>Instant / Permanent</t>
  </si>
  <si>
    <t>Name one person who can or cannot use the door.</t>
  </si>
  <si>
    <t>Domn 1, Obfs 2, Resl 1</t>
  </si>
  <si>
    <t>May return through the shadow on the same turn.</t>
  </si>
  <si>
    <t>Nigh 2, Resl 2</t>
  </si>
  <si>
    <t>Impart Resilience dots to a ghoul (includes passive benefits). Subject spends Vitae to activate; receives 1 Vitae with invocation. Maintain up to BP subjects.</t>
  </si>
  <si>
    <t>Domn 3, Resl 1</t>
  </si>
  <si>
    <t>Predator/parasite/carrion/plague animal; feed 1 V</t>
  </si>
  <si>
    <t xml:space="preserve"> v Animal's Resolve</t>
  </si>
  <si>
    <t>1 night per success</t>
  </si>
  <si>
    <t>Possess animal; use its Physical Attributes and Skills. No Disciplines or Blood Sorcery. Own body enters torpor. 1 V per night to remain active. 1 WP at dawn to stay awake during day.</t>
  </si>
  <si>
    <t>Retain access to Auspex in animal body.</t>
  </si>
  <si>
    <t>Anml 4, Domn 2</t>
  </si>
  <si>
    <t>Mesmerised (Dominate) or Awed (Majesty) within last year</t>
  </si>
  <si>
    <t>Dominate or Majesty</t>
  </si>
  <si>
    <t>Victim knows vampire's location and is compelled to travel by most direct means, stopping only for necessities. Can impress need to bring specific items.</t>
  </si>
  <si>
    <t>Compulsion lasts through the day and next night.</t>
  </si>
  <si>
    <t>Domn 4 or Maje 4</t>
  </si>
  <si>
    <t>Kindred victims only; by touch</t>
  </si>
  <si>
    <t>Successes in nights</t>
  </si>
  <si>
    <t>Sleeping victim suffers all sunlight wounds the vampire takes. Vampire still takes damage. Awakened victim gains Frightened.</t>
  </si>
  <si>
    <t>Nigh 5, Resl 2</t>
  </si>
  <si>
    <t>(Mnemosyne Only); blood tie to target; replaces The Lying Mind</t>
  </si>
  <si>
    <t>Scene / Permanent (elective)</t>
  </si>
  <si>
    <t>Lost memories can only be restored by The Restoration of Things Lost.</t>
  </si>
  <si>
    <t>1 V + 1 WP</t>
  </si>
  <si>
    <t>(Order of Sir Martin Only)</t>
  </si>
  <si>
    <t>Purge all natural diseases, poisons, and toxins. Cannot take other actions or benefit from Defence on that turn. Immune to that specific disease/toxin for the night. No effect on supernatural diseases or supernatural creature blood.</t>
  </si>
  <si>
    <t>Immunity lasts one week.</t>
  </si>
  <si>
    <t>Resl 1, Vigr 2</t>
  </si>
  <si>
    <t>(Mnemosyne Only); blood tie to target</t>
  </si>
  <si>
    <t>Restore any lost memories (mundane or supernatural). Resolve all memory-related conditions. Auto-wins Clash of Wills vs supernatural memory loss.</t>
  </si>
  <si>
    <t>At ST discretion, also resolve Mental Conditions (Broken, Fugue, Madness, etc).</t>
  </si>
  <si>
    <t>Ausp 2, Domn 2</t>
  </si>
  <si>
    <t>1 V (reflexive for insight)</t>
  </si>
  <si>
    <t>(Mnemosyne Only)</t>
  </si>
  <si>
    <t>+2 per applicable human/vampire in range.</t>
  </si>
  <si>
    <t>Ausp 1, Domn 1, Celr 1</t>
  </si>
  <si>
    <t>1 WP</t>
  </si>
  <si>
    <t>Target suffers -3 to all Mental and Social pools. Steal Skill and Merit dots equal to successes for the night.</t>
  </si>
  <si>
    <t>Target remains affected for the month.</t>
  </si>
  <si>
    <t>Mortals only; once per victim; must agree without coercion</t>
  </si>
  <si>
    <t>3 nights + permanent</t>
  </si>
  <si>
    <t>Victim gains Celerity 2, Vigour 2, Majesty 3 for three nights (activate with WP). No sleep/food needed. After, gains Persistent Enthralled indefinitely.</t>
  </si>
  <si>
    <t>Clty 2, Maje 4, Vigr 2</t>
  </si>
  <si>
    <t>Requires touch</t>
  </si>
  <si>
    <t>Deny victim one chosen sense for the scene. Can also deny one Auspex ability if known.</t>
  </si>
  <si>
    <t>Obfs 4, Domn 2</t>
  </si>
  <si>
    <t>Maje 1, Vigr 1</t>
  </si>
  <si>
    <t>When facing fire/sunlight frenzy, roll replaces frenzy resistance. Convert fear frenzy to rage frenzy. May Ride the Wave or attack the source.</t>
  </si>
  <si>
    <t>Already considered Riding the Wave; no additional WP needed.</t>
  </si>
  <si>
    <t>Anim 4</t>
  </si>
  <si>
    <t>While ghouled</t>
  </si>
  <si>
    <t>Activate with Raise the Familiar when ghouling. If animal dies while ghouled, rises as familiar with duration in weeks instead of nights.</t>
  </si>
  <si>
    <t>Anml 2, Resl 2</t>
  </si>
  <si>
    <t>(Apollinaire Only); white chalk</t>
  </si>
  <si>
    <t>1 hour per success</t>
  </si>
  <si>
    <t>Domn 1, Obfs 3, Resl 1</t>
  </si>
  <si>
    <t>Vigr 2, Clty 2</t>
  </si>
  <si>
    <t>Until resolved</t>
  </si>
  <si>
    <t>On next sleep, victim gains Spooked and Swooning Conditions. Vampire chooses subject of both. Only one Beat when both resolved.</t>
  </si>
  <si>
    <t>Maje 2, Nigh 2</t>
  </si>
  <si>
    <t>Activate with Cloak of Night</t>
  </si>
  <si>
    <t>Project an image of the subject in another visible location. Image appears realistic but cannot talk or make noise. Vanishes on touch; Clash of Wills to see through otherwise.</t>
  </si>
  <si>
    <t>Obfs 3, Nigh 1</t>
  </si>
  <si>
    <t>View distant locations in present. Detailed future visions. Uncover supernaturally hidden information.</t>
  </si>
  <si>
    <t>Divination 5</t>
  </si>
  <si>
    <t>See specific past or future times without questions. Uncover knowledge no one knows.</t>
  </si>
  <si>
    <t>-3 in combat unless Blinded</t>
  </si>
  <si>
    <t>Command given instantly.</t>
  </si>
  <si>
    <t>Iron Edict</t>
  </si>
  <si>
    <t>1 V (0 in bond)</t>
  </si>
  <si>
    <t>(req: Mesmerised); -3 in combat unless Blinded</t>
  </si>
  <si>
    <t>Entombed Command</t>
  </si>
  <si>
    <t xml:space="preserve">(req: Mesmerised) </t>
  </si>
  <si>
    <t>1 week/success (1 month bonded)</t>
  </si>
  <si>
    <t>Reduce Vitae costs for linked powers.</t>
  </si>
  <si>
    <t>The Lying Mind</t>
  </si>
  <si>
    <t>Multiple memories rewritten.</t>
  </si>
  <si>
    <t>Possession</t>
  </si>
  <si>
    <t>1 V &amp; 1 WP</t>
  </si>
  <si>
    <t xml:space="preserve"> - Resolve + Supernatural Tolerance</t>
  </si>
  <si>
    <t>1 scene per success</t>
  </si>
  <si>
    <t>Regain 1 Willpower on release.</t>
  </si>
  <si>
    <t>Awe</t>
  </si>
  <si>
    <t>Ignore penalties in social scenes.</t>
  </si>
  <si>
    <t>Confidant</t>
  </si>
  <si>
    <t xml:space="preserve">(req: Awed) </t>
  </si>
  <si>
    <t>Charmed lasts nights instead of hours.</t>
  </si>
  <si>
    <t>Green Eyes</t>
  </si>
  <si>
    <t xml:space="preserve">(req: Charmed / Enthralled) </t>
  </si>
  <si>
    <t>Victim follows stronger requests.</t>
  </si>
  <si>
    <t>Loyalty</t>
  </si>
  <si>
    <t xml:space="preserve">(req: Charmed) </t>
  </si>
  <si>
    <t>Impose Enthralled Condition.</t>
  </si>
  <si>
    <t>Lasts a week per BP dot.</t>
  </si>
  <si>
    <t>Idol</t>
  </si>
  <si>
    <t>2 V &amp; 1 WP</t>
  </si>
  <si>
    <t>Enhance Awe's effect (free) or immediately (at cost). Cannot be harmed. Successful resist only allows one action before re-check.</t>
  </si>
  <si>
    <t>Charmed become Enthralled.</t>
  </si>
  <si>
    <t>Dread Presence</t>
  </si>
  <si>
    <t>Victims shaken even if resisting.</t>
  </si>
  <si>
    <t>Face of the Beast</t>
  </si>
  <si>
    <t>Reveal target's specific fear.</t>
  </si>
  <si>
    <t>Grand Delusion</t>
  </si>
  <si>
    <t>Delusion lasts multiple nights.</t>
  </si>
  <si>
    <t>Waking Nightmare</t>
  </si>
  <si>
    <t xml:space="preserve"> v highest Composure + BP</t>
  </si>
  <si>
    <t>Lasts entire night.</t>
  </si>
  <si>
    <t>Mortal Terror</t>
  </si>
  <si>
    <t>(req: Frightened / Delusional); once per scene per user</t>
  </si>
  <si>
    <t xml:space="preserve"> - Composure + Supernatural Tolerance</t>
  </si>
  <si>
    <t>Impose Broken Condition. Full lethal to vampires. Composure damage on vampires heals 1/day, not with Vitae.</t>
  </si>
  <si>
    <t>Victim suffers lasting trauma.</t>
  </si>
  <si>
    <t>Face in the Crowd</t>
  </si>
  <si>
    <t>Forgettable even to Kindred.</t>
  </si>
  <si>
    <t>Touch of Shadow</t>
  </si>
  <si>
    <t>Even video/photos fail to capture.</t>
  </si>
  <si>
    <t>Cloak of Night</t>
  </si>
  <si>
    <t>None</t>
  </si>
  <si>
    <t>Surprise attacks gain Obfuscate dots.</t>
  </si>
  <si>
    <t>The Familiar Stranger</t>
  </si>
  <si>
    <t>Illusion persists under scrutiny.</t>
  </si>
  <si>
    <t>Oubliette</t>
  </si>
  <si>
    <t>Reshape entire space seamlessly.</t>
  </si>
  <si>
    <t>Unmarked Grave</t>
  </si>
  <si>
    <t>Varies</t>
  </si>
  <si>
    <t>Indefinite</t>
  </si>
  <si>
    <t>Sense surroundings clearly.</t>
  </si>
  <si>
    <t>Predatory Aspect</t>
  </si>
  <si>
    <t>Gain extra adaptation.</t>
  </si>
  <si>
    <t>Beast's Skin</t>
  </si>
  <si>
    <t>Retain heightened intelligence.</t>
  </si>
  <si>
    <t>Unnatural Aspect</t>
  </si>
  <si>
    <t>Stronger or multiple traits.</t>
  </si>
  <si>
    <t>Primeval Miasma</t>
  </si>
  <si>
    <t>Transform into smoke. Feeding on open wounds shares all drawbacks of drinking Vitae. Cannot feed from Kindred without open wounds.</t>
  </si>
  <si>
    <t>Move faster or suffocate victims.</t>
  </si>
  <si>
    <t>Protection 3</t>
  </si>
  <si>
    <t>Protection 4</t>
  </si>
  <si>
    <t>Protection 5</t>
  </si>
  <si>
    <t>Protect from blood addiction. Heal aggravated in vampires. Reduce bane damage per turn by Potency (minimum 1).</t>
  </si>
  <si>
    <t>Resilience 1</t>
  </si>
  <si>
    <t>-2 from non-bane damage; -1 for bane damage</t>
  </si>
  <si>
    <t>Resilience 2</t>
  </si>
  <si>
    <t>-3 from non-bane damage; -2 for bane damage</t>
  </si>
  <si>
    <t>Resilience 3</t>
  </si>
  <si>
    <t>-4 from non-bane damage; -3 for bane damage</t>
  </si>
  <si>
    <t>Resilience 4</t>
  </si>
  <si>
    <t>-5 from non-bane damage; -4 for bane damage</t>
  </si>
  <si>
    <t>Resilience 5</t>
  </si>
  <si>
    <t>-6 from non-bane damage; -5 for bane damage</t>
  </si>
  <si>
    <t>Until sunrise/triggered</t>
  </si>
  <si>
    <t>Upgrades the next strike of bashing damage against the victim before sunrise to lethal.</t>
  </si>
  <si>
    <t>Scene/sunrise</t>
  </si>
  <si>
    <t>Before sunrise, conjure a 2L whip of Vitae for a scene.</t>
  </si>
  <si>
    <t xml:space="preserve"> - Humanity</t>
  </si>
  <si>
    <t>Bless the cloth. When torn, the cloth induces shame through a sacred vision, causing Kindred to risk detachment more easily for a scene.</t>
  </si>
  <si>
    <t>Display the face of the last person to touch an object or area.</t>
  </si>
  <si>
    <t>Learn mortal's Vice</t>
  </si>
  <si>
    <t>Infuse an object with Vitae for a month, which can be extracted as if feeding.</t>
  </si>
  <si>
    <t>Bless the switch for a month. When snapped, the switch terrorises a victim with angelic phantasms.</t>
  </si>
  <si>
    <t>Detach from Humanity in a religious reverie wherein the statue weeps Vitae, then crumbles.</t>
  </si>
  <si>
    <t xml:space="preserve"> v Resolve</t>
  </si>
  <si>
    <t>Prevent a victim from communicating until sunrise.</t>
  </si>
  <si>
    <t>Subject a victim for one scene to a curse of beetles if they lie.</t>
  </si>
  <si>
    <t>Mark a horn with the name of a Kindred subject. For a week, blow the horn to damage inanimate surfaces between you and the subject.</t>
  </si>
  <si>
    <t>Until returned</t>
  </si>
  <si>
    <t>Locate stolen item; mark thief's face</t>
  </si>
  <si>
    <t>Remove Resolve/Willpower equal to Potency</t>
  </si>
  <si>
    <t>Exchange blood ties/auras with relative</t>
  </si>
  <si>
    <t>Bless the rod. When cast, it becomes a serpent which either obeys its wielder or instructions you gave during the blessing.</t>
  </si>
  <si>
    <t>Conceives a healthy dhampir child to a participating vampire and mortal.</t>
  </si>
  <si>
    <t>Creation 3, Transmutation 2</t>
  </si>
  <si>
    <t>Until depleted</t>
  </si>
  <si>
    <t>Bless the armour with either your Vitae or the subject's. The subject wearing the armour may heal with its Vitae without counting towards per-turn maximums.</t>
  </si>
  <si>
    <t>Until broken</t>
  </si>
  <si>
    <t>Taboo causes pain when violated</t>
  </si>
  <si>
    <t>Burn Vitae out of ghouls; removes as threat</t>
  </si>
  <si>
    <t>Name an action to curse. The victim's next attempt within the month takes a -5 penalty.</t>
  </si>
  <si>
    <t>10 min/Humanity</t>
  </si>
  <si>
    <t>Bless the jewellery. When destroyed at the cost of a user's Humanity, the domain is shrouded in rainy night for ten minutes per remaining Humanity dot.</t>
  </si>
  <si>
    <t>Protect from Vinculum/blood addiction</t>
  </si>
  <si>
    <t>Destruction 4, Protection 1</t>
  </si>
  <si>
    <t>Animate corpse as servant</t>
  </si>
  <si>
    <t>Protection 3, Destruction 2</t>
  </si>
  <si>
    <t>Until sunrise/permanent</t>
  </si>
  <si>
    <t>Divine punishment for oath-breaking</t>
  </si>
  <si>
    <t>Variable</t>
  </si>
  <si>
    <t>Amputated hand absorbs fire damage</t>
  </si>
  <si>
    <t>Transubstantiate sin into flame; deal lethal damage based on 10 minus target's Humanity.</t>
  </si>
  <si>
    <t>Reveal all torpid vampires in range</t>
  </si>
  <si>
    <t>Impenetrable divine barrier</t>
  </si>
  <si>
    <t>Transmute one substance or being into another until sunrise.</t>
  </si>
  <si>
    <t>Transmutation 5</t>
  </si>
  <si>
    <t>Transform any object/creature into any other. Manipulate Blood Potency and Vices. Animate objects (gargoyles).</t>
  </si>
  <si>
    <t>Vigour 1</t>
  </si>
  <si>
    <t>Choose: -1 to physical attacks; lift/hurl heavy object</t>
  </si>
  <si>
    <t>Vigour 2</t>
  </si>
  <si>
    <t>Choose: -2 to physical attacks; lift/hurl heavy object</t>
  </si>
  <si>
    <t>Vigour 3</t>
  </si>
  <si>
    <t>Choose: -3 to physical attacks; lift/hurl heavy object</t>
  </si>
  <si>
    <t>Vigour 4</t>
  </si>
  <si>
    <t>Choose: -4 to physical attacks; lift/hurl heavy object</t>
  </si>
  <si>
    <t>Vigour 5</t>
  </si>
  <si>
    <t>Choose: -5 to physical attacks; lift/hurl heavy object</t>
  </si>
  <si>
    <t>Merit</t>
  </si>
  <si>
    <t>Type</t>
  </si>
  <si>
    <t>RatingMin</t>
  </si>
  <si>
    <t>RatingMax</t>
  </si>
  <si>
    <t>Exclusion</t>
  </si>
  <si>
    <t>Intimidation 2</t>
  </si>
  <si>
    <t>Alley Cat</t>
  </si>
  <si>
    <t>Reduces the threshold for exceptional success when rolling to prowl city streets.</t>
  </si>
  <si>
    <t>Carthian Status 1, Athletics 2, Stealth 2, Streetwise 2</t>
  </si>
  <si>
    <t>Altar</t>
  </si>
  <si>
    <t>Teamwork on Crúac at the altar, even without Crúac, at cost of increased Risk and doubled time (lowest Crúac rating). Non-attuned may spend Willpower to participate per ritual.</t>
  </si>
  <si>
    <t>Crone Status 1</t>
  </si>
  <si>
    <t>Ambidextrous</t>
  </si>
  <si>
    <t>Ignore offhand penalties. Character creation only.</t>
  </si>
  <si>
    <t>Lance Status 1</t>
  </si>
  <si>
    <t>Anonymity</t>
  </si>
  <si>
    <t>Penalise attempts to find you by paper trail or witnesses by dots in this Merit.</t>
  </si>
  <si>
    <t>Resolve 2, Skill Specialty</t>
  </si>
  <si>
    <t>Army of One</t>
  </si>
  <si>
    <t>Roll Presence + Politics + Covenant Status to summon Carthian backup, up to one per dot in this Merit each story.</t>
  </si>
  <si>
    <t>Carthian Status</t>
  </si>
  <si>
    <t>Take 8-Again to evoke the monstrous Beast, but lose 10-Again to evoke or resist the seductive or competitive Beast.</t>
  </si>
  <si>
    <t>Not Cutthroat or Enticing</t>
  </si>
  <si>
    <t>Cutthroat, Enticing</t>
  </si>
  <si>
    <t>Invictus Status 1</t>
  </si>
  <si>
    <t>Barfly</t>
  </si>
  <si>
    <t>Get in anywhere socially. Penalise attempts to spot you as out of place by Socialise dots.</t>
  </si>
  <si>
    <t>Socialise 2</t>
  </si>
  <si>
    <t>Bloodhound</t>
  </si>
  <si>
    <t>Smelling blood is as good as tasting it for your Kindred Senses.</t>
  </si>
  <si>
    <t>Wits 3</t>
  </si>
  <si>
    <t>Body as Weapon</t>
  </si>
  <si>
    <t>+1 bashing on unarmed strikes.</t>
  </si>
  <si>
    <t>Stamina 3, Brawl 2</t>
  </si>
  <si>
    <t>Carthian Status 1</t>
  </si>
  <si>
    <t>No Carthian Status</t>
  </si>
  <si>
    <t>Cheap Shot</t>
  </si>
  <si>
    <t>Reflexively contest Dexterity + Subterfuge vs Wits + Composure to deny an opponent Defence next turn.</t>
  </si>
  <si>
    <t>Street Fighting 3, Subterfuge 2</t>
  </si>
  <si>
    <t>Choke Hold</t>
  </si>
  <si>
    <t>Add Choke grapple manoeuvre: accumulate successes to knock unconscious.</t>
  </si>
  <si>
    <t>Brawl 2</t>
  </si>
  <si>
    <t>Chorister</t>
  </si>
  <si>
    <t>Benefits of one dot Crone Status for social bonuses. Once per story, call a small favour. Joining Circle grants Covenant Status ••.</t>
  </si>
  <si>
    <t>No Crone Status</t>
  </si>
  <si>
    <t>Protean 4</t>
  </si>
  <si>
    <t>Close Family</t>
  </si>
  <si>
    <t>Blood sympathy one step closer (+1, 8-Again), but can't spend Willpower for bonus dice in scenes where felt.</t>
  </si>
  <si>
    <t>Manipulation 3, Resolve 3</t>
  </si>
  <si>
    <t>Cohesive Unit</t>
  </si>
  <si>
    <t>+2 teamwork. (••) bonus dice per scene. (•••) rerolls.</t>
  </si>
  <si>
    <t>Presence 3</t>
  </si>
  <si>
    <t>Common Sense</t>
  </si>
  <si>
    <t>Once per chapter, roll Wits + Composure to ask Storyteller about risks and choices.</t>
  </si>
  <si>
    <t>Court Jester</t>
  </si>
  <si>
    <t>Official censure attempts against you strip a dot of City Status from the official.</t>
  </si>
  <si>
    <t>Politics 2, City Status 2</t>
  </si>
  <si>
    <t>Covert Operative</t>
  </si>
  <si>
    <t>Ambushes deny 10-Again to detect and grant +3 Initiative first turn.</t>
  </si>
  <si>
    <t>Wits 3, Dexterity 3, Stealth 2</t>
  </si>
  <si>
    <t>Contacts, Resources 3</t>
  </si>
  <si>
    <t>Cutthroat</t>
  </si>
  <si>
    <t>Take 8-Again to evoke the competitive Beast, but lose 10-Again to evoke or resist the monstrous or seductive Beast.</t>
  </si>
  <si>
    <t>Not Atrocious or Enticing</t>
  </si>
  <si>
    <t>Atrocious, Enticing</t>
  </si>
  <si>
    <t>Defender</t>
  </si>
  <si>
    <t>Bonus Willpower for protecting loved ones; losing them causes crisis.</t>
  </si>
  <si>
    <t>Brawl 1 or Weaponry 1</t>
  </si>
  <si>
    <t>Demolisher</t>
  </si>
  <si>
    <t>Ignore one Durability per dot when breaking objects.</t>
  </si>
  <si>
    <t>Strength 3 or Intelligence 3</t>
  </si>
  <si>
    <t>Devotion Experimenter</t>
  </si>
  <si>
    <t>Reroll 9s on Devotions; learn or teach at XP discount.</t>
  </si>
  <si>
    <t>Science 2, Carthian Status 2</t>
  </si>
  <si>
    <t>Direction Sense</t>
  </si>
  <si>
    <t>Always know your location and direction; ignore navigation penalties.</t>
  </si>
  <si>
    <t>Distinguished Palate</t>
  </si>
  <si>
    <t>All Taste of Blood successes exceptional, but lose first Vitae from vessels lacking your chosen delicacy trait.</t>
  </si>
  <si>
    <t>Double Jointed</t>
  </si>
  <si>
    <t>Escape mundane bonds automatically. When grappled, penalise overpowering by Dexterity if defending or if attacking to Break Free.</t>
  </si>
  <si>
    <t>Dexterity 3</t>
  </si>
  <si>
    <t>Dynasty Membership</t>
  </si>
  <si>
    <t>Free; granted by ST. Once per session, substitute dynasty's Clan Status for your own. New Kid applies to any Kindred Status.</t>
  </si>
  <si>
    <t>Clan Status 1</t>
  </si>
  <si>
    <t>Empathy 2</t>
  </si>
  <si>
    <t>Enticing</t>
  </si>
  <si>
    <t>Take 8-Again to evoke the seductive Beast, but lose 10-Again to evoke or resist the monstrous or competitive Beast.</t>
  </si>
  <si>
    <t>Not Atrocious or Cutthroat</t>
  </si>
  <si>
    <t>Atrocious, Cutthroat</t>
  </si>
  <si>
    <t>Resolve 2, Occult 1</t>
  </si>
  <si>
    <t>Dexterity 3, Specialisation (Brawl or Weaponry)</t>
  </si>
  <si>
    <t>Wits 3, Contacts 2</t>
  </si>
  <si>
    <t>Fleet of Foot</t>
  </si>
  <si>
    <t>Add dots to Speed; penalise pursuit rolls against you by dots.</t>
  </si>
  <si>
    <t>Athletics 2</t>
  </si>
  <si>
    <t>Subterfuge 3</t>
  </si>
  <si>
    <t>Giant</t>
  </si>
  <si>
    <t>+1 Size. Character creation only; must be costumed.</t>
  </si>
  <si>
    <t>Good Time Management</t>
  </si>
  <si>
    <t>Mundane extended actions take half time. Does not apply to Social Manoeuvring.</t>
  </si>
  <si>
    <t>Academics 2 or Science 2</t>
  </si>
  <si>
    <t>Honey Trap</t>
  </si>
  <si>
    <t>Vampires tasting your blood regain Willpower; Beat if it advances Vinculum.</t>
  </si>
  <si>
    <t>Not a revenant</t>
  </si>
  <si>
    <t>Across a chapter, you have access to free Retainer dots equal to your Allies.</t>
  </si>
  <si>
    <t>Resolve 3</t>
  </si>
  <si>
    <t>Invictus Status 2, Contacts</t>
  </si>
  <si>
    <t>Specialised Skill 3</t>
  </si>
  <si>
    <t>Iron Chin</t>
  </si>
  <si>
    <t>Immune to Beaten Down from bashing. (••••) immune entirely.</t>
  </si>
  <si>
    <t>Resolve 3, Stamina 3</t>
  </si>
  <si>
    <t>Iron Skin</t>
  </si>
  <si>
    <t>Half dots as Armour vs bashing. Spend Willpower to downgrade half dots of lethal to bashing.</t>
  </si>
  <si>
    <t>Martial Arts 2 or Street Fighting 2, Stamina 3</t>
  </si>
  <si>
    <t>Stamina 3 or Resolve 3</t>
  </si>
  <si>
    <t>Iron Will</t>
  </si>
  <si>
    <t>Willpower spent to resist Social influence adds Resolve instead of +3; 8-Again if contested. Does not apply to supernatural influence.</t>
  </si>
  <si>
    <t>Resolve 4</t>
  </si>
  <si>
    <t>Jack-Booted Thug</t>
  </si>
  <si>
    <t>Spend Willpower, roll Presence + Intimidation + City Status to shut down targets.</t>
  </si>
  <si>
    <t>Intimidation 3, Carthian Status 2, City Status</t>
  </si>
  <si>
    <t>Kiss of the Succubus</t>
  </si>
  <si>
    <t>Feeding that causes Swooning also inflicts Addicted.</t>
  </si>
  <si>
    <t>Laity</t>
  </si>
  <si>
    <t>Benefits of one dot Lancea Status for social bonuses. Once per story, call a small favour.</t>
  </si>
  <si>
    <t>No Sanctified Status</t>
  </si>
  <si>
    <t>Loaded for Bear</t>
  </si>
  <si>
    <t>Gain extra reloads on weapons, including single shot weapons.</t>
  </si>
  <si>
    <t>Athletics 1, Survival 1</t>
  </si>
  <si>
    <t>Safe Place (same level), Cruac 1</t>
  </si>
  <si>
    <t>Moderator</t>
  </si>
  <si>
    <t>Once per chapter, use all dots as temporary Allies, Contacts, or Library.</t>
  </si>
  <si>
    <t>Computer 3, Invictus Status 2, Contacts</t>
  </si>
  <si>
    <t>Carthian Status 2</t>
  </si>
  <si>
    <t>Noblesse Oblige</t>
  </si>
  <si>
    <t>Use your station in the domain as a Touchstone.</t>
  </si>
  <si>
    <t>City Status 3</t>
  </si>
  <si>
    <t>Invictus Status 2</t>
  </si>
  <si>
    <t>Object Fetishism</t>
  </si>
  <si>
    <t>Obsess over a possession for a Specialty. Regain Willpower each session; Willpower on that Specialty exaggerates success and failure.</t>
  </si>
  <si>
    <t>One Foot in the Door</t>
  </si>
  <si>
    <t>Benefits of one dot Invictus Status for social bonuses. Once per story, call a small favour.</t>
  </si>
  <si>
    <t>No Invictus Status</t>
  </si>
  <si>
    <t>Crúac 1</t>
  </si>
  <si>
    <t>Other Crúac Styles</t>
  </si>
  <si>
    <t>Pack Alpha</t>
  </si>
  <si>
    <t>Mark pack members ritually. Pack gets 8-Again on teamwork support. Lose Willpower if questioned and you don't cow them.</t>
  </si>
  <si>
    <t>Patient</t>
  </si>
  <si>
    <t>+2 maximum rolls on extended actions.</t>
  </si>
  <si>
    <t>Wits 3, Empathy 3</t>
  </si>
  <si>
    <t>Prestigious Sire</t>
  </si>
  <si>
    <t>Use sire's Status instead of yours on a Social roll; risk losing this Merit on failure.</t>
  </si>
  <si>
    <t>Invictus Status 1, In-game sire with Kindred Status 4+</t>
  </si>
  <si>
    <t>Primal Creation</t>
  </si>
  <si>
    <t>Crúac rites cause plant overgrowth and fertility proportional to rite. Spend Willpower to mutate life into duplicates. Retainers at or below Style rating get a free identical clone.</t>
  </si>
  <si>
    <t>Punch Drunk</t>
  </si>
  <si>
    <t>Spend Willpower to preserve your last Health point, upgrading preexisting damage instead.</t>
  </si>
  <si>
    <t>Willpower 6</t>
  </si>
  <si>
    <t>Persuasion 2</t>
  </si>
  <si>
    <t>Wits 3, relevant Specialty</t>
  </si>
  <si>
    <t>Relentless</t>
  </si>
  <si>
    <t>+2 successes needed to catch you in a chase.</t>
  </si>
  <si>
    <t>Athletics 2, Stamina 2</t>
  </si>
  <si>
    <t>Shelter one criminal per dot in your Safe Place; they act as Retainers if fed.</t>
  </si>
  <si>
    <t>Lancea Status 2, City Status 3, Safe Place (equal or greater)</t>
  </si>
  <si>
    <t>Crone Status 2 or Invictus Status 2</t>
  </si>
  <si>
    <t>Sell Out</t>
  </si>
  <si>
    <t>Gain one dot Status benefits in all covenants. Choose at will if Carthian Law applies to you.</t>
  </si>
  <si>
    <t>Politics 3, Carthian Status 4, City Status 4</t>
  </si>
  <si>
    <t>Shiv</t>
  </si>
  <si>
    <t>Conceal a 0L (•) or 1L (••) brawling weapon. Penalise detection by Weaponry.</t>
  </si>
  <si>
    <t>Street Fighting 2, Weaponry 1</t>
  </si>
  <si>
    <t>Sleight of Hand</t>
  </si>
  <si>
    <t>Reflexive Larceny once per turn. Victims don't notice unless specifically watching.</t>
  </si>
  <si>
    <t>Larceny 3</t>
  </si>
  <si>
    <t>Small Unit Tactics</t>
  </si>
  <si>
    <t>Once per scene, spend Willpower to grant die bonus to Presence allies.</t>
  </si>
  <si>
    <t>Smooth Criminal</t>
  </si>
  <si>
    <t>Once per story, Manipulation + Subterfuge to shut down allegations against you or a Carthian.</t>
  </si>
  <si>
    <t>Politics 1, Streetwise 2, Subterfuge 2</t>
  </si>
  <si>
    <t>Social Engineering</t>
  </si>
  <si>
    <t>Spend Willpower, roll Manipulation + Investigation to find dirt or openings on a target.</t>
  </si>
  <si>
    <t>Manipulation 3, Wits 3, Investigation 2, Subterfuge 2</t>
  </si>
  <si>
    <t>Speaker for the Silent</t>
  </si>
  <si>
    <t>Channel a torpid elder's will voluntarily. Spend Willpower to end. Discuss with ST before purchasing.</t>
  </si>
  <si>
    <t>Invictus Status 1, Dynasty Membership 1</t>
  </si>
  <si>
    <t>Lancea Status 1, Humanity 3 + Merit rating (or mortal)</t>
  </si>
  <si>
    <t>Spend Willpower on supportive ties to add dots to breaking point rolls.</t>
  </si>
  <si>
    <t>Appropriate Social Merit</t>
  </si>
  <si>
    <t>Survivalist</t>
  </si>
  <si>
    <t>Resist Extreme Cold/Heat for Stamina hours.</t>
  </si>
  <si>
    <t>Survival 3, Iron Stamina 3</t>
  </si>
  <si>
    <t>Protean 3</t>
  </si>
  <si>
    <t>Sympathetic</t>
  </si>
  <si>
    <t>Accept a Condition to immediately open two Doors.</t>
  </si>
  <si>
    <t>Composure 3, Manipulation 3, Wits 3</t>
  </si>
  <si>
    <t>Taste</t>
  </si>
  <si>
    <t>Roll Wits + Crafts/Expression to analyse works in a chosen Specialty.</t>
  </si>
  <si>
    <t>Crafts 2</t>
  </si>
  <si>
    <t>Tech-Savvy</t>
  </si>
  <si>
    <t>Once per chapter, access devices up to Availability +2. Distribute dots among equipment bonus, Structure, Durability. Cannot grant 9-Again to combat equipment.</t>
  </si>
  <si>
    <t>Computer 2, Crafts 2, Science 1, Resources</t>
  </si>
  <si>
    <t>Catch and return thrown attacks when you dodge.</t>
  </si>
  <si>
    <t>Dexterity 3, Athletics 2</t>
  </si>
  <si>
    <t>Extra Touchstone per dot, each at the next Humanity level down. Cannot purchase with XP; ST assigned.</t>
  </si>
  <si>
    <t>Wits 3 or Composure 3</t>
  </si>
  <si>
    <t>Half dots as temporary Allies/Contacts in visited domains. Reduce interception attempts by dots.</t>
  </si>
  <si>
    <t>Trigger Discipline</t>
  </si>
  <si>
    <t>Fighting</t>
  </si>
  <si>
    <t>Increase a firearm's effective capacity, or allow an additional long burst at high capacity.</t>
  </si>
  <si>
    <t>Wits 2, Firearms 2</t>
  </si>
  <si>
    <t>Crúac rites deform the environment proportionally. Spend Willpower to cause weather Tilts you ignore.</t>
  </si>
  <si>
    <t>Once per night, grant 8-Again to Crúac or reduce Discipline Resistance by up to Blood Potency.</t>
  </si>
  <si>
    <t>Exceptional success infecting higher-Humanity victim with monstrous Beast causes them a breaking point (you too if Humanity 3+).</t>
  </si>
  <si>
    <t>Presence 3, Expression 3, Crúac 1</t>
  </si>
  <si>
    <t>Circle Status 1, Crúac 2</t>
  </si>
  <si>
    <t>Once per story per dot, turn up dirt on a vampire whose associations you know.</t>
  </si>
  <si>
    <t>Whipping Boy</t>
  </si>
  <si>
    <t>Gain an additional Dirge: The Whipping Boy. Regain a point of Willpower when serving another vampire earns ostracism, ridicule, or distrust. Regain all spent Willpower on a breaking point suffered in service.</t>
  </si>
  <si>
    <t>Carthian Law</t>
  </si>
  <si>
    <t>Break one Vinculum by accepting a single-step blood bond to a number of fellow Carthians. Actions to betray the old Vinculum act as a supplementary Dirge.</t>
  </si>
  <si>
    <t>Majority Carthian vote disrupts powers of the Blood domain-wide: Disciplines/Devotions cost Willpower and risk aggravated damage. Ends on specified condition, if invoker uses a power, leaves, or is destroyed. Talk to ST about declaration.</t>
  </si>
  <si>
    <t>Carthian Status 5</t>
  </si>
  <si>
    <t>Declare censure against sorcery (general, specific type, or ritual). Apply Merit as resistance.</t>
  </si>
  <si>
    <t>Invest Willpower and Blood Potency dots to empower a legal arbiter. Arbiter makes binding interpretations enforced by Status loss or aggravated damage. Lasts until destroyed or rulership changes.</t>
  </si>
  <si>
    <t>Carthian Status 3</t>
  </si>
  <si>
    <t>Public announcement when law established. Invest Willpower dot (returns after duration) for one Story. Conscious violators take 1 aggravated and gain a chosen Bane for a lunar month as a brand. Only actions punished; one brand per character.</t>
  </si>
  <si>
    <t>Carthian Status 4</t>
  </si>
  <si>
    <t>Vampires feeding in your declared territory without permission vomit the Vitae next night and are marked for a week.</t>
  </si>
  <si>
    <t>Carthian Status 2, Feeding Ground 1</t>
  </si>
  <si>
    <t>Majority Carthian vote to condemn: lose Willpower dot to strip enemy's Blood Potency (15 Status dots per BP stripped). Returns on exile or destruction.</t>
  </si>
  <si>
    <t>Supernatural means can't prove guilt; diablerie doesn't stain aura. Penalise mundane guilt detection by Carthian Status. Can't use Status against those who know.</t>
  </si>
  <si>
    <t>Multi-covenant membership; Carthian Status doesn't count toward cap. Better impression with secondary covenants, but lose 10-Again to hide from them.</t>
  </si>
  <si>
    <t>Carthian Status 2, City Status 1</t>
  </si>
  <si>
    <t>Add Carthian Status to contest supernatural compulsion to break domain law.</t>
  </si>
  <si>
    <t>Invoke insurgency for one Story. Attacks on vampires in your presence add bashing damage equal to positive difference between defender's and attacker's City Status.</t>
  </si>
  <si>
    <t>Invictus Oath</t>
  </si>
  <si>
    <t>No Vitae cost to wake if you drink none.</t>
  </si>
  <si>
    <t>Swear a labor to access one of your liege's Disciplines; liege gains +1 Blood Potency. Ends on completion or after one Story; failing party takes aggravated damage equal to Discipline dots.</t>
  </si>
  <si>
    <t>Mutual oath grants blood sympathy and full Vinculum. Social Merits, Blood Potency, Disciplines match the higher spouse. Broken vows strip Blood Potency.</t>
  </si>
  <si>
    <t>One partner must be Invictus</t>
  </si>
  <si>
    <t>Swear to office duties; treat as supplemental Mask. Violation risks detachment. Ends only by losing position or release by Liege/Notary.</t>
  </si>
  <si>
    <t>City Status 3 or Invictus Status 3</t>
  </si>
  <si>
    <t>Every tenth Vitae transmits to liege. No other Oath benefits. Liege can't use Disciplines against you.</t>
  </si>
  <si>
    <t>Gain territory; free Celerity, Resilience or Vigour dot while there or defending liege. Sense predatory auras entering. Liege adds your Feeding Grounds vs you and ignores your bonds.</t>
  </si>
  <si>
    <t>Both swear service with Social Merit collateral. Violation awards collateral to other party.</t>
  </si>
  <si>
    <t>One must be Invictus</t>
  </si>
  <si>
    <t>Prisoner swears no escape/sabotage (branding if broken) for protection from torture and execution.</t>
  </si>
  <si>
    <t>Accept exile for protection from domain agents.</t>
  </si>
  <si>
    <t>Act as confessor, assuming others' premeditated detachment risks.</t>
  </si>
  <si>
    <t>Empathy 3, Invictus Status 3</t>
  </si>
  <si>
    <t>Manoeuvre</t>
  </si>
  <si>
    <t>Style</t>
  </si>
  <si>
    <t>Tag1</t>
  </si>
  <si>
    <t>Tag2</t>
  </si>
  <si>
    <t>Tag3</t>
  </si>
  <si>
    <t>Tag4</t>
  </si>
  <si>
    <t>Prerequisites</t>
  </si>
  <si>
    <t>Armed Defence</t>
  </si>
  <si>
    <t>Heavy Melee</t>
  </si>
  <si>
    <t>Light Melee</t>
  </si>
  <si>
    <t>Dex 3, Weaponry 2, Defensive Combat (Weaponry)</t>
  </si>
  <si>
    <t>When Dodging, reduce the Defence penalty from multiple attackers by 1.</t>
  </si>
  <si>
    <t>Disarm your opponent when you beat their attack by your Defence.</t>
  </si>
  <si>
    <t>Spend a point of Willpower to inflict lethal damage when you beat an attack by Dodging. Incompatible with Weak Spot and Press the Advantage.</t>
  </si>
  <si>
    <t>Exchange points from your weapon rating for bonus Defence.</t>
  </si>
  <si>
    <t>Once per turn, when you beat an attack by Dodging, spend Willpower to retaliate with an unarmed attack at -2.</t>
  </si>
  <si>
    <t>Avoidance</t>
  </si>
  <si>
    <t>Movement (Agile)</t>
  </si>
  <si>
    <t>Manipulation 3, Athletics 2, Stealth 2</t>
  </si>
  <si>
    <t>Roll Manipulation + Stealth - Composure to seem too helpless to bother attacking.</t>
  </si>
  <si>
    <t>When you Dodge and go prone behind an ally, they may intercept attacks against you.</t>
  </si>
  <si>
    <t>Contest one attack each turn with Manipulation + Persuasion + Avoidance to confound the attack and inflict Arm Wrack.</t>
  </si>
  <si>
    <t>When you suffer lethal damage, contest Manipulation + Subterfuge vs Wits + Composure to seem dead.</t>
  </si>
  <si>
    <t>Berserker</t>
  </si>
  <si>
    <t>Attitude (Enraged)</t>
  </si>
  <si>
    <t>Str 3, Iron Stamina 3</t>
  </si>
  <si>
    <t>Spend Willpower to rouse the Insane Tilt.</t>
  </si>
  <si>
    <t>Contest Strength + Intimidation vs Resolve + Composure as an instant action to penalise non-Dodge actions.</t>
  </si>
  <si>
    <t>Unarmed all-out attacks take +1 to call shots. Armed all-out attacks can substitute Durability as a weapon rating at the cost of damaging the weapon.</t>
  </si>
  <si>
    <t>Bowmanship</t>
  </si>
  <si>
    <t>Dex 3, Firearms 2, Trained Observer 1</t>
  </si>
  <si>
    <t>Double range.</t>
  </si>
  <si>
    <t>You may reduce your weapon rating for +1 and 8-Again on a called shot.</t>
  </si>
  <si>
    <t>When you make an unnoticed ambush shot, roll Dexterity + Stealth to force a Wits + Composure roll, penalised by successes, to avoid being Shaken.</t>
  </si>
  <si>
    <t>Fire over unroofed cover to ignore a point of concealment for every 10 yards of added arc distance.</t>
  </si>
  <si>
    <t>Boxing</t>
  </si>
  <si>
    <t>Striking</t>
  </si>
  <si>
    <t>Str 2, Dex 2, Sta 2, Brawl 2, Athletics 2</t>
  </si>
  <si>
    <t>+1 Defence against brawling, and -1 to strike your head.</t>
  </si>
  <si>
    <t>Deal piercing bashing damage when your Defence or Dodging beats a close-combat attack.</t>
  </si>
  <si>
    <t>Stun an opponent as if they had -1 Size, or with a called head shot, -2 Size.</t>
  </si>
  <si>
    <t>Successful strikes add Dexterity as bonus dice.</t>
  </si>
  <si>
    <t>Stunning attacks stun for their damage in turns, and the opponent must spend Willpower to stay conscious.</t>
  </si>
  <si>
    <t>Cacophony Savvy</t>
  </si>
  <si>
    <t>City Status 1</t>
  </si>
  <si>
    <t>Once per session, roll Wits + Politics to ask a question about current events in the Requiem. Rolls to use that knowledge achieve exceptional success on a threshold of three, not five.</t>
  </si>
  <si>
    <t>Chain Weapons</t>
  </si>
  <si>
    <t>Flexible</t>
  </si>
  <si>
    <t>Str 3, Dex 3, Athletics 2, Weaponry 2</t>
  </si>
  <si>
    <t>Sacrifice Defence to inflict weapon rating +1 in bashing damage when struck in close combat.</t>
  </si>
  <si>
    <t>Attack an overhanging object, penalised by its Size, to deal its Structure in bashing damage to targets below.</t>
  </si>
  <si>
    <t>Close Quarters Combat</t>
  </si>
  <si>
    <t>Grappling</t>
  </si>
  <si>
    <t>Tactical (Military)</t>
  </si>
  <si>
    <t>Wits 3, Athletics 2, Brawl 3</t>
  </si>
  <si>
    <t>You can respond to a ranged attack by seeking cover up to twice your Speed away.</t>
  </si>
  <si>
    <t>You can smash a Damage grappling manoeuvre into a hard surface, dealing lethal damage and ending the grapple.</t>
  </si>
  <si>
    <t>When you grapple an opponent wearing armour, add their general armour as bonus dice to your roll, and ignore armour when you use the grapple to Damage. Incompatible with Hard Surfaces.</t>
  </si>
  <si>
    <t>Take the rote quality to Stealth rolls to launch close combat ambushes.</t>
  </si>
  <si>
    <t>When you roll to disarm, treat a failure as a success, a success as an exceptional success, and an exceptional success as is plus your opponent takes two bashing damage.</t>
  </si>
  <si>
    <t>Combat Archery</t>
  </si>
  <si>
    <t>Str 3, Athletics 2, Quick Draw (Bow)</t>
  </si>
  <si>
    <t>Courtoisie</t>
  </si>
  <si>
    <t>Composure 3, Socialise 2, Weaponry 2, Invictus Status 1</t>
  </si>
  <si>
    <t>By goading mid-combat, you may substitute a Social Skill for Athletics or Weaponry, or a Social Attribute for the corresponding Physical Attribute.</t>
  </si>
  <si>
    <t>Crusade</t>
  </si>
  <si>
    <t>Occult 2, Resolve 3, Weaponry 2, Theban Sorcery 2 or Sorcerous Eunuch, Sanctum Status 1</t>
  </si>
  <si>
    <t>A Hammer Against Witches</t>
  </si>
  <si>
    <t>Spend Willpower to attack a spellcasting opponent at -2. Success aborts spellcasting and applies the ritual's rating as an additional weapon rating.</t>
  </si>
  <si>
    <t>Etiquette</t>
  </si>
  <si>
    <t>Composure 3, Socialise 2</t>
  </si>
  <si>
    <t>You can use Socialise to calculate Doors.</t>
  </si>
  <si>
    <t>You can take +2 dice and 8-Again to lash out socially, in exchange for worsening your social impression.</t>
  </si>
  <si>
    <t>Add one relevant Fame or Status Merit to your pool to contest a social interaction.</t>
  </si>
  <si>
    <t>When your impression in Social Manoeuvreing is good or better, ignore Resolve and Composure on your first roll against the subject.</t>
  </si>
  <si>
    <t>When you offer an alternative after your Doors have been opened, the opposing player suggests three Conditions, of which you choose one.</t>
  </si>
  <si>
    <t>Creature (Claw)</t>
  </si>
  <si>
    <t>Tactical (Police)</t>
  </si>
  <si>
    <t>Wits 3, Animal Ken 3, Bonded Condition</t>
  </si>
  <si>
    <t>Command your bird to bring you an object. Your bird can make the equivalent of an all-out attack to exceptionally Disarm an opponent.</t>
  </si>
  <si>
    <t>Your bird attacks at -1 to blind a target.</t>
  </si>
  <si>
    <t>Fast-Talking</t>
  </si>
  <si>
    <t>Manipulation 3, Subterfuge 2</t>
  </si>
  <si>
    <t>Cross-apply one Specialty from another Skill to a given Social roll.</t>
  </si>
  <si>
    <t>Once per scene, reroll a Subterfuge failure.</t>
  </si>
  <si>
    <t>When you open a Door through conversation, you can spend Willpower to open another.</t>
  </si>
  <si>
    <t>Roll Manipulation + Subterfuge to capitalize on a present mark satisfying their Vice by opening a Door.</t>
  </si>
  <si>
    <t>Firefight</t>
  </si>
  <si>
    <t>Pistol</t>
  </si>
  <si>
    <t>Rifle</t>
  </si>
  <si>
    <t>Composure 3, Dex 3, Athletics 2, Firearms 2</t>
  </si>
  <si>
    <t>Drawing a gun adds Firearms as an Initiative bonus.</t>
  </si>
  <si>
    <t>You can lay Covering Fire with a semi-automatic weapon. When you lay Covering Fire, apply your Defence against Firearms attacks, and deny Aim bonuses.</t>
  </si>
  <si>
    <t>You can attack a target with objects bounced by a shot, dealing bashing damage with no weapon rating applied, but ignoring cover.</t>
  </si>
  <si>
    <t>Sta 3, Str 2, Athletics 2, Brawl 2</t>
  </si>
  <si>
    <t>Deny a grappling opponent the ability to Drop Prone or Take Cover.</t>
  </si>
  <si>
    <t>Gain the Knock Down grapple manoeuvre. If used as first/second manoeuvre when establishing grapple, victim can contest Strength + Brawl reflexively; if successful, you're taken down and prone.</t>
  </si>
  <si>
    <t>Tactical (Street)</t>
  </si>
  <si>
    <t>Take -2 to dislocate fingers as a manoeuvre, inflicting half bashing damage and debilitating pain.</t>
  </si>
  <si>
    <t>Not a grapple manoeuvre; replaces establishing grapple. Knock opponent prone, optionally dealing bashing damage. Exceptional success: free Drop Prone and maintain grapple.</t>
  </si>
  <si>
    <t>Sta 3, Str 2, Athletics 2, Brawl 2; Takedown</t>
  </si>
  <si>
    <t>When Takedown or Standing Throw renders opponent prone while you remain standing, double successes for Stunned Tilt. Treated as called shot to head with no penalty.</t>
  </si>
  <si>
    <t>Use Joint Lock in a grapple. If opponent initiates overpower, they take bashing equal to your successes. Can lead into Restrain. Your successful overpowers cause 1L (1B vs Kindred) additional damage.</t>
  </si>
  <si>
    <t>When you grapple while prone, penalise your grappling opponent by your Dexterity. Cannot get up from prone in any round this is used.</t>
  </si>
  <si>
    <t>Sta 3, Str 2, Athletics 2, Brawl 2; Joint Lock</t>
  </si>
  <si>
    <t>Take +2 to grappling rolls to set up a Joint Lock.</t>
  </si>
  <si>
    <t>Grappling manoeuvres deal half their successes in bonus bashing damage.</t>
  </si>
  <si>
    <t>After Joint Lock, force opponent to surrender or suffer broken limb and lethal damage. Characters immune to Beaten Down can contest Manipulation + Subterfuge vs Wits + Empathy to 'accept' without effect. Damage excludes weapon bonus.</t>
  </si>
  <si>
    <t>Heavy Weapons</t>
  </si>
  <si>
    <t>Sta 3, Str 3, Athletics 2, Weaponry 2</t>
  </si>
  <si>
    <t>Sacrifice up to nine dice (three per point) to add to weapon rating. Pool can't drop below one. Cannot be used while dodging.</t>
  </si>
  <si>
    <t>Deal a point of lethal damage and a temporary Defence penalty to opponents who enter range when you aren't moving or Dodging.</t>
  </si>
  <si>
    <t>Sacrifice Defence to make an attack that also inflicts a temporary dice penalty equal to its damage.</t>
  </si>
  <si>
    <t>Spend Willpower reflexively to apply your weapon rating as close combat Armour.</t>
  </si>
  <si>
    <t>Spend Willpower to make an attack that deals an additional point of aggravated damage.</t>
  </si>
  <si>
    <t>Improvised Weaponry</t>
  </si>
  <si>
    <t>Wits 3, Weaponry 1</t>
  </si>
  <si>
    <t>Reflexively roll Wits + Weaponry to draw a simple improvised weapon that doesn't suffer the improvisational penalty.</t>
  </si>
  <si>
    <t>Once per turn, apply an Always Armed weapon's Structure as close combat Armour, potentially damaging the weapon.</t>
  </si>
  <si>
    <t>When you make an all-out attack with an Always Armed weapon, sacrifice its Structure to temporarily increase its weapon rating.</t>
  </si>
  <si>
    <t>Creature (Bite)</t>
  </si>
  <si>
    <t>Command your dog to initiate a biting grapple. Choose Hold or Drop Prone after rolling. Normal Brawling damage applied.</t>
  </si>
  <si>
    <t>Kindred Dueling</t>
  </si>
  <si>
    <t>Composure 3, Weaponry 2</t>
  </si>
  <si>
    <t>Kino Mutai</t>
  </si>
  <si>
    <t>Dex 2, Resolve 3, Brawl 2</t>
  </si>
  <si>
    <t>Inflict +2 damage with the Damage grapple manoeuvre when biting, or +1 with inhuman bites.</t>
  </si>
  <si>
    <t>Gain the Ripping grapple manoeuvre: inflict a point of bashing damage and incapacitating pain.</t>
  </si>
  <si>
    <t>Gain the Gouge grapple manoeuvre: blind opponent in both eyes while held (as exceptional success Blinded Tilt).</t>
  </si>
  <si>
    <t>Inflict lethal damage with Damage grapple manoeuvre when biting. May upgrade two additional successes to lethal vs Kindred; rest is bashing.</t>
  </si>
  <si>
    <t>Wits 3 or Fighting Finesse, Dex 3, Athletics 2, Weaponry 2</t>
  </si>
  <si>
    <t>Sacrifice your weapon rating to add Weaponry as an Initiative bonus.</t>
  </si>
  <si>
    <t>Feinting attack deals no damage. Next turn: ignore Defence equal to (successes + weapon rating) and increase weapon rating by successes.</t>
  </si>
  <si>
    <t>Sacrifice your Defence to make an attack that deals an additional point of aggravated damage.</t>
  </si>
  <si>
    <t>Marksmanship</t>
  </si>
  <si>
    <t>Composure 3, Resolve 3, Firearms 2</t>
  </si>
  <si>
    <t>Exchange points of weapon rating for points of penalty reduction for a called shot.</t>
  </si>
  <si>
    <t>Ignore penalties to strike a surrounded target. Missed shots never hit unintended targets.</t>
  </si>
  <si>
    <t>Penalise rolls to notice your vantage point or investigate for evidence of it by your Firearms.</t>
  </si>
  <si>
    <t>Martial Arts</t>
  </si>
  <si>
    <t>Resolve 3, Dex 3, Athletics 2, Brawl 2</t>
  </si>
  <si>
    <t>Reduce called shot penalties by one die, and ignore one point of Armour.</t>
  </si>
  <si>
    <t>Sacrifice a point of Defence to inflict Leg Wrack with a brawling attack.</t>
  </si>
  <si>
    <t>Make a called shot at -2 to blind an opponent by drawing blood.</t>
  </si>
  <si>
    <t>Exchange up to two attack pool dice for points of Defence.</t>
  </si>
  <si>
    <t>You may withdraw successes from a successful attack to hold them in reserve for next turn's attack.</t>
  </si>
  <si>
    <t>Inflict one point of bashing damage per turn, or two by spending Willpower, to opponents in range when your Defence is available.</t>
  </si>
  <si>
    <t>Reflexively respond to one grapple attempt each turn with a Brawl attack contesting the opponent's Strength. Success breaks free and damages normally.</t>
  </si>
  <si>
    <t>Inflict lethal damage unarmed.</t>
  </si>
  <si>
    <t>Prepare a counter stance as an instant action. When an opponent first fails to strike you in close combat within the stance, roll a counterattack. Success Knocks Down and deals normal damage plus Brawl damage dice.</t>
  </si>
  <si>
    <t>Unarmed strikes gain a 2L weapon rating.</t>
  </si>
  <si>
    <t>Mobilise Outrage</t>
  </si>
  <si>
    <t>Willpower 5, Brawl 2, Carthian Status 1</t>
  </si>
  <si>
    <t>Mounted Combat</t>
  </si>
  <si>
    <t>Dex 3, Athletics 2, Animal Ken 3</t>
  </si>
  <si>
    <t>+3 to stay mounted during combat.</t>
  </si>
  <si>
    <t>Sacrifice Defence to combine a charge with an all-out attack.</t>
  </si>
  <si>
    <t>Take a -2 attack penalty for +2 Defence and to attack halfway through your mount's movement.</t>
  </si>
  <si>
    <t>Roll Wits + Animal Ken as teamwork to enhance your mount's attack.</t>
  </si>
  <si>
    <t>Parkour</t>
  </si>
  <si>
    <t>Dex 3, Athletics 2</t>
  </si>
  <si>
    <t>Add Parkour dots as automatic successes on movement Athletics rolls. Ignore environmental Athletics penalties equal to Parkour rating.</t>
  </si>
  <si>
    <t>Add Parkour dots to Dexterity + Athletics to mitigate falling damage, plus one automatic success. Add Parkour to damage threshold that can be mitigated. Does not apply to terminal velocity. On running jump over low obstacle, add Parkour dots to Athletics.</t>
  </si>
  <si>
    <t>Scale 10 feet + 5 feet per Athletics dot as instant action without rolling. Can reflexively leap away as if standing.</t>
  </si>
  <si>
    <t>If moved last round, designate one Athletics roll (run, jump, climb) as rote action. Lose Defence that turn.</t>
  </si>
  <si>
    <t>On consecutive turns moving or making non-combat Athletics checks, take Athletics actions reflexively once per turn.</t>
  </si>
  <si>
    <t>Police Tactics</t>
  </si>
  <si>
    <t>Brawl 2, Weaponry 1</t>
  </si>
  <si>
    <t>Against opponent susceptible to Restrain, apply restraints as reflexive action.</t>
  </si>
  <si>
    <t>Powered Projectile</t>
  </si>
  <si>
    <t>Dex 3, Athletics 2, Firearms 2</t>
  </si>
  <si>
    <t>Regular</t>
  </si>
  <si>
    <t>Headbutt</t>
  </si>
  <si>
    <t>Gain Headbutt grapple manoeuvre: inflict Stunned without called shot. Declare before rolling; head only.</t>
  </si>
  <si>
    <t>Phalanx Fighter</t>
  </si>
  <si>
    <t>Weapon and Shield 2, Spear and Bayonet 1</t>
  </si>
  <si>
    <t>Wield spear with shield, substituting in Weapon and Shield manoeuvres.</t>
  </si>
  <si>
    <t>Subduing Strikes</t>
  </si>
  <si>
    <t>Weaponry 2</t>
  </si>
  <si>
    <t>Pull blows for bashing without Willpower.</t>
  </si>
  <si>
    <t>Transfer Manoeuvre</t>
  </si>
  <si>
    <t>Intelligence 2, Wits 3, Brawl 2, Weaponry 2</t>
  </si>
  <si>
    <t>Cross-apply Brawl/Weaponry style manoeuvres.</t>
  </si>
  <si>
    <t>Boot Party</t>
  </si>
  <si>
    <t>Attack prone target at -3 to deal lethal unarmed.</t>
  </si>
  <si>
    <t>Ground and Pound</t>
  </si>
  <si>
    <t>Rote quality to strike prone target with Brawl, falling prone.</t>
  </si>
  <si>
    <t>Ground Fighter</t>
  </si>
  <si>
    <t>Wits 3, Dexterity 3, Brawl 2</t>
  </si>
  <si>
    <t>Deny close combat bonuses from prone; gain Stand Up grapple manoeuvre.</t>
  </si>
  <si>
    <t>Retain Weapon</t>
  </si>
  <si>
    <t>Wits 2, Brawl 2</t>
  </si>
  <si>
    <t>Reduce Disarm/Control Weapon successes by Brawl.</t>
  </si>
  <si>
    <t>Trunk Squeeze</t>
  </si>
  <si>
    <t>Gain Trunk Squeeze grapple manoeuvre: deal bashing and cumulatively penalise opponent's contesting rolls.</t>
  </si>
  <si>
    <t>Riding the Wave</t>
  </si>
  <si>
    <t>Attitude (Calm)</t>
  </si>
  <si>
    <t>Composure 3, Resolve 3</t>
  </si>
  <si>
    <t>You can spend Willpower for both bonus dice on an attack and a bonus to your Defence, not just one or the other.</t>
  </si>
  <si>
    <t>Spear and Bayonet</t>
  </si>
  <si>
    <t>Pole Weapons</t>
  </si>
  <si>
    <t>Str 3, Dex 2, Weaponry 2</t>
  </si>
  <si>
    <t>All-out attacks and charges into your braced weapon inflict your weapon damage, which can exhaust Armour against a subsequent attack.</t>
  </si>
  <si>
    <t>Spend Willpower to threaten an opponent with a shorter weapon. They must retreat or dodge, or else lose Defence for a turn.</t>
  </si>
  <si>
    <t>Sacrifice Defence to twist wound, causing a turn of lethal bleeding per success. Kindred not subject to bleeding.</t>
  </si>
  <si>
    <t>Staff Fighting</t>
  </si>
  <si>
    <t>Str 2, Dex 3, Weaponry 2</t>
  </si>
  <si>
    <t>You may exchange your staff's Defence bonus for a bonus attack die.</t>
  </si>
  <si>
    <t>Contest Strength + Weaponry vs Strength + Athletics to disarm an opponent.</t>
  </si>
  <si>
    <t>Spend Willpower to add your Melee dots as a Defence bonus against a single attack in a turn.</t>
  </si>
  <si>
    <t>Spin your weapon as an effective medium autofire burst against three targets in range.</t>
  </si>
  <si>
    <t>Street Fighting</t>
  </si>
  <si>
    <t>Sta 3, Composure 3, Brawl 2, Streetwise 2</t>
  </si>
  <si>
    <t>Take a one die penalty this turn to calculate Defence with the higher, not lower, of Dexterity and Wits.</t>
  </si>
  <si>
    <t>Unarmed attacks inflict temporary -1 penalty. Does not apply to called shots.</t>
  </si>
  <si>
    <t>Inflict two bashing to opponents rising from prone. Inflict Knocked Down when rolled successes (not bonus successes like Vigour) exceed target's Stamina.</t>
  </si>
  <si>
    <t>Spend Willpower to inflict two extra bashing damage when you hit.</t>
  </si>
  <si>
    <t>When suffering wound penalties and about to be attacked/overpowered, sacrifice Defence and spend Willpower to interrupt with preemptive attack. Decide when attack declared, not after dice roll.</t>
  </si>
  <si>
    <t>Strength Performance</t>
  </si>
  <si>
    <t>Movement (Strong)</t>
  </si>
  <si>
    <t>Str 3, Sta 2, Athletics 2</t>
  </si>
  <si>
    <t>Systema</t>
  </si>
  <si>
    <t>Dex 3, Athletics 3, Wits 2</t>
  </si>
  <si>
    <t>Ignore penalties to attack from prone, and roll Dexterity to mitigate bashing damage from impacts.</t>
  </si>
  <si>
    <t>Contest attempts to bring you prone with two free successes.</t>
  </si>
  <si>
    <t>Knock Down when you roll a victim's Strength in successes to strike them in melee, or add a point of damage if already Knocking Down.</t>
  </si>
  <si>
    <t>Temple Guardian</t>
  </si>
  <si>
    <t>Athletics 2, Brawl 2, Weaponry 2, Crone Status 1</t>
  </si>
  <si>
    <t>During any turn not attacking, gain unmodified Crone Status as armour.</t>
  </si>
  <si>
    <t>When Defence available, reflexively move up to Speed to intercept attack against another. Attack rolls against your Defence; you suffer damage. May Full Dodge.</t>
  </si>
  <si>
    <t>Each turn you suffer lethal or aggravated damage, grant the Inspired Condition to an ally. Crúac rolls by others in your presence add your wound penalties as bonus dice.</t>
  </si>
  <si>
    <t>Three Heads of Kerberos</t>
  </si>
  <si>
    <t>Kerberos Bloodline</t>
  </si>
  <si>
    <t>Honing - Monstrous</t>
  </si>
  <si>
    <t>Honing - Seductive</t>
  </si>
  <si>
    <t>Internalising - Monstrous</t>
  </si>
  <si>
    <t>Internalising - Seductive</t>
  </si>
  <si>
    <t>Cowing - Monstrous</t>
  </si>
  <si>
    <t>Cowing - Seductive</t>
  </si>
  <si>
    <t>Striking - Competitive</t>
  </si>
  <si>
    <t>Spend Willpower to lash out reflexively alongside another action affecting the same victim.</t>
  </si>
  <si>
    <t>Striking - Monstrous</t>
  </si>
  <si>
    <t>Striking - Seductive</t>
  </si>
  <si>
    <t>The Fires of Hell - Competitive</t>
  </si>
  <si>
    <t>When lashing out, affect additional victims equal to Blood Potency. All contest your successes. With Striking, the catalyst action must reach all targets.</t>
  </si>
  <si>
    <t>The Fires of Hell - Monstrous</t>
  </si>
  <si>
    <t>The Fires of Hell - Seductive</t>
  </si>
  <si>
    <t>Thrown Weapons</t>
  </si>
  <si>
    <t>Dex 3, Athletics 2, Quick Draw (Thrown)</t>
  </si>
  <si>
    <t>Add Athletics as an Initiative bonus while wielding these thrown weapons.</t>
  </si>
  <si>
    <t>Sacrifice Defence to inflict Impaled Tilt on called shot. All usual called shot effects apply. Impaled: Speed 0, Defence halved, some actions penalised. Remove with Strength + Stamina - remaining damage; healed damage removes Tilt.</t>
  </si>
  <si>
    <t>Two Weapon Fighting</t>
  </si>
  <si>
    <t>Wits 3, Fighting Finesse, Weaponry 3</t>
  </si>
  <si>
    <t>Don't sum Initiative penalties so long as the off-hand weapon's penalty isn't greater than the main hand weapon's.</t>
  </si>
  <si>
    <t>Add your off-hand weapon rating, minimum +1, to your Defence against the first attack in a turn.</t>
  </si>
  <si>
    <t>All-out attacks with both weapons ignore a point of Defence and add the off-hand weapon rating, minimum +1. Incompatible with Double Strike.</t>
  </si>
  <si>
    <t>Spend Willpower to strike two targets simultaneously, one with each weapon. Apply the higher Defence, plus one, to both attacks.</t>
  </si>
  <si>
    <t>Unarmed Defence</t>
  </si>
  <si>
    <t>Dex 3, Brawl 2, Defensive Combat (Brawl)</t>
  </si>
  <si>
    <t>Add half your Brawl as a Defence bonus when not Dodging.</t>
  </si>
  <si>
    <t>Focus on one opponent; their attacks don't reduce Defence. When Defence reduces attack pool to zero or Dodge reduces successes to zero, they lose 10-again for the scene.</t>
  </si>
  <si>
    <t>Once per turn, when you beat an attack by Dodging, you can force the attacker to reroll the attack against another opponent in range.</t>
  </si>
  <si>
    <t>Spend Willpower and roll Strength + Brawl instead of Defence against an attack. If you win the contest, inflict bashing damage and Arm or Leg Wrack.</t>
  </si>
  <si>
    <t>Declare this manoeuvre at the beginning of a turn when you Dodge. You can Knock Down assailants when you beat their attack.</t>
  </si>
  <si>
    <t>Weapon and Shield</t>
  </si>
  <si>
    <t>Str 3, Sta 3, Weaponry 2</t>
  </si>
  <si>
    <t>You can make all-out attacks without sacrificing the bonus Defence from your shield, adding +1 Defence to any allies also using this manoeuvre.</t>
  </si>
  <si>
    <t>Treat your shield as protective cover with Durability equal to its Size, +1 for each adjacent shielded ally.</t>
  </si>
  <si>
    <t xml:space="preserve">Influence in a sphere . Call favours up to rating per session. </t>
  </si>
  <si>
    <t>One sphere per dot . Roll Social Skill to gather information only, not services.</t>
  </si>
  <si>
    <t xml:space="preserve">Choose three Skills or Resources. Costs a downtime action to use; Mentor provides automatic success. </t>
  </si>
  <si>
    <t xml:space="preserve">Procure items up to your Availability rating per session, or one above at cost of a dot for a month. </t>
  </si>
  <si>
    <t xml:space="preserve">An underling with dice pool of double dots (in purview) or equal to dots (outside). ST develops sheet for combat Retainers. </t>
  </si>
  <si>
    <t xml:space="preserve">Employees for one Skill per dot. Automatic success on relevant actions. </t>
  </si>
  <si>
    <t xml:space="preserve">Standing in a mortal sphere. Only 1-3 at character creation. </t>
  </si>
  <si>
    <t>Add dots to hunt and Predatory Aura clashes in your territory.</t>
  </si>
  <si>
    <t>Add Haven dots to Humanity rolls to notice danger while sleeping, Stamina + Resolve to stay awake, and Kindred senses rolls within.</t>
  </si>
  <si>
    <t>Gain your dots in Vitae weekly, without a roll.</t>
  </si>
  <si>
    <t>Add dots to Initiative while inside; penalise break-in rolls. With Crafts, trap for lethal damage. Can share dots.</t>
  </si>
  <si>
    <t>Initiate</t>
  </si>
  <si>
    <t>Skill Specialty or one-dot Merit.</t>
  </si>
  <si>
    <t>Acolyte</t>
  </si>
  <si>
    <t>One-dot Merit.</t>
  </si>
  <si>
    <t>Adept</t>
  </si>
  <si>
    <t>Skill dot or two-dot Merit.</t>
  </si>
  <si>
    <t>Luminary</t>
  </si>
  <si>
    <t>Three-dot Merit.</t>
  </si>
  <si>
    <t>Master</t>
  </si>
  <si>
    <t>Three dot Merit or major advantage.</t>
  </si>
  <si>
    <t>Networking</t>
  </si>
  <si>
    <t>Mark two Skills as Asset Skills, and gain two dots of Contacts in that field.</t>
  </si>
  <si>
    <t>Continuing Education</t>
  </si>
  <si>
    <t>9-again on Asset Skills.</t>
  </si>
  <si>
    <t>Breadth of Knowledge</t>
  </si>
  <si>
    <t>A third Asset Skill and two Specialties in Asset Skills.</t>
  </si>
  <si>
    <t>On the Job Training</t>
  </si>
  <si>
    <t xml:space="preserve">A Skill dot in an Asset Skill. </t>
  </si>
  <si>
    <t>The Routine</t>
  </si>
  <si>
    <t>1 Willpower to apply rote quality to an Asset Skill.</t>
  </si>
  <si>
    <t>Bureaucracy</t>
  </si>
  <si>
    <t>Industry</t>
  </si>
  <si>
    <t>Military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</si>
</sst>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C09]dd\-mmm\-yy;@"/>
  </numFmts>
  <fonts count="19">
    <font>
      <sz val="11"/>
      <color theme="1"/>
      <name val="Calibri"/>
      <family val="2"/>
      <scheme val="minor"/>
    </font>
    <font>
      <sz val="8"/>
      <name val="Calibri"/>
      <family val="2"/>
      <scheme val="minor"/>
    </font>
    <font>
      <b/>
      <sz val="11"/>
      <color theme="1"/>
      <name val="Calibri"/>
      <family val="2"/>
      <scheme val="minor"/>
    </font>
    <font>
      <b/>
      <sz val="11"/>
      <color theme="0"/>
      <name val="Calibri"/>
      <family val="2"/>
      <scheme val="minor"/>
    </font>
    <font>
      <sz val="11"/>
      <color theme="1"/>
      <name val="Calibri"/>
      <family val="2"/>
    </font>
    <font>
      <b/>
      <i/>
      <sz val="11"/>
      <color theme="1"/>
      <name val="Calibri"/>
      <family val="2"/>
      <scheme val="minor"/>
    </font>
    <font>
      <b/>
      <sz val="11"/>
      <color rgb="FFC00000"/>
      <name val="Calibri"/>
      <family val="2"/>
      <scheme val="minor"/>
    </font>
    <font>
      <sz val="11"/>
      <color theme="5" tint="-0.499984740745262"/>
      <name val="Calibri"/>
      <family val="2"/>
      <scheme val="minor"/>
    </font>
    <font>
      <sz val="11"/>
      <color rgb="FFC00000"/>
      <name val="Calibri"/>
      <family val="2"/>
      <scheme val="minor"/>
    </font>
    <font>
      <sz val="11"/>
      <color theme="5" tint="0.79998168889431442"/>
      <name val="Calibri"/>
      <family val="2"/>
      <scheme val="minor"/>
    </font>
    <font>
      <sz val="11"/>
      <color rgb="FFA8A29E"/>
      <name val="Arial"/>
      <family val="2"/>
    </font>
    <font>
      <i/>
      <sz val="11"/>
      <color theme="5" tint="-0.499984740745262"/>
      <name val="Calibri"/>
      <family val="2"/>
      <scheme val="minor"/>
    </font>
    <font>
      <sz val="10"/>
      <color rgb="FF000000"/>
      <name val="Arial Unicode MS"/>
    </font>
    <font>
      <sz val="11"/>
      <color rgb="FF000000"/>
      <name val="Calibri"/>
      <family val="2"/>
    </font>
    <font>
      <sz val="11"/>
      <color rgb="FF833C0C"/>
      <name val="Calibri"/>
      <family val="2"/>
    </font>
    <font>
      <b/>
      <sz val="11"/>
      <color rgb="FFC00000"/>
      <name val="Calibri"/>
      <family val="2"/>
    </font>
    <font>
      <i/>
      <u/>
      <sz val="11"/>
      <color rgb="FF833C0C"/>
      <name val="Calibri"/>
      <family val="2"/>
    </font>
    <font>
      <b/>
      <i/>
      <sz val="11"/>
      <color theme="5" tint="-0.499984740745262"/>
      <name val="Calibri"/>
      <family val="2"/>
      <scheme val="minor"/>
    </font>
    <font>
      <sz val="11"/>
      <color theme="5" tint="-0.249977111117893"/>
      <name val="Calibri"/>
      <family val="2"/>
      <scheme val="minor"/>
    </font>
  </fonts>
  <fills count="11">
    <fill>
      <patternFill patternType="none"/>
    </fill>
    <fill>
      <patternFill patternType="gray125"/>
    </fill>
    <fill>
      <patternFill patternType="solid">
        <fgColor rgb="FFFF7474"/>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rgb="FFFFC6C6"/>
        <bgColor indexed="64"/>
      </patternFill>
    </fill>
    <fill>
      <patternFill patternType="solid">
        <fgColor rgb="FFFFDCDC"/>
        <bgColor indexed="64"/>
      </patternFill>
    </fill>
    <fill>
      <patternFill patternType="solid">
        <fgColor theme="7" tint="0.79998168889431442"/>
        <bgColor indexed="64"/>
      </patternFill>
    </fill>
    <fill>
      <patternFill patternType="solid">
        <fgColor rgb="FF0C0A09"/>
      </patternFill>
    </fill>
    <fill>
      <patternFill patternType="solid">
        <fgColor rgb="FFFCE4D6"/>
        <bgColor rgb="FF000000"/>
      </patternFill>
    </fill>
    <fill>
      <patternFill patternType="solid">
        <fgColor rgb="FFFFF2CC"/>
        <bgColor rgb="FF000000"/>
      </patternFill>
    </fill>
  </fills>
  <borders count="34">
    <border>
      <left/>
      <right/>
      <top/>
      <bottom/>
      <diagonal/>
    </border>
    <border>
      <left/>
      <right/>
      <top/>
      <bottom style="medium">
        <color indexed="64"/>
      </bottom>
      <diagonal/>
    </border>
    <border>
      <left/>
      <right/>
      <top/>
      <bottom style="thin">
        <color indexed="64"/>
      </bottom>
      <diagonal/>
    </border>
    <border>
      <left style="thin">
        <color rgb="FFC00000"/>
      </left>
      <right style="thin">
        <color rgb="FFC00000"/>
      </right>
      <top style="thin">
        <color rgb="FFC00000"/>
      </top>
      <bottom style="thin">
        <color rgb="FFC00000"/>
      </bottom>
      <diagonal/>
    </border>
    <border>
      <left style="thin">
        <color theme="5" tint="-0.499984740745262"/>
      </left>
      <right style="thin">
        <color theme="5" tint="-0.499984740745262"/>
      </right>
      <top style="thin">
        <color theme="5" tint="-0.499984740745262"/>
      </top>
      <bottom style="thin">
        <color theme="5" tint="-0.499984740745262"/>
      </bottom>
      <diagonal/>
    </border>
    <border>
      <left/>
      <right/>
      <top/>
      <bottom style="thin">
        <color rgb="FFC00000"/>
      </bottom>
      <diagonal/>
    </border>
    <border>
      <left style="thin">
        <color theme="5" tint="0.59996337778862885"/>
      </left>
      <right style="thin">
        <color theme="5" tint="0.59996337778862885"/>
      </right>
      <top style="thin">
        <color theme="5" tint="0.59996337778862885"/>
      </top>
      <bottom style="thin">
        <color theme="5" tint="0.59996337778862885"/>
      </bottom>
      <diagonal/>
    </border>
    <border>
      <left style="thin">
        <color theme="5" tint="-0.499984740745262"/>
      </left>
      <right/>
      <top style="thin">
        <color theme="5" tint="-0.499984740745262"/>
      </top>
      <bottom style="thin">
        <color theme="5" tint="-0.499984740745262"/>
      </bottom>
      <diagonal/>
    </border>
    <border>
      <left style="thin">
        <color rgb="FF1E1E22"/>
      </left>
      <right style="thin">
        <color rgb="FF1E1E22"/>
      </right>
      <top style="thin">
        <color rgb="FF1E1E22"/>
      </top>
      <bottom style="thin">
        <color rgb="FF1E1E22"/>
      </bottom>
      <diagonal/>
    </border>
    <border>
      <left style="thin">
        <color rgb="FFC00000"/>
      </left>
      <right/>
      <top style="thin">
        <color indexed="64"/>
      </top>
      <bottom style="thin">
        <color auto="1"/>
      </bottom>
      <diagonal/>
    </border>
    <border>
      <left/>
      <right/>
      <top style="thin">
        <color indexed="64"/>
      </top>
      <bottom style="thin">
        <color auto="1"/>
      </bottom>
      <diagonal/>
    </border>
    <border>
      <left style="thin">
        <color rgb="FFC00000"/>
      </left>
      <right/>
      <top style="thin">
        <color indexed="64"/>
      </top>
      <bottom style="thin">
        <color rgb="FFC00000"/>
      </bottom>
      <diagonal/>
    </border>
    <border>
      <left/>
      <right style="thin">
        <color rgb="FFC00000"/>
      </right>
      <top style="thin">
        <color indexed="64"/>
      </top>
      <bottom style="thin">
        <color rgb="FFC00000"/>
      </bottom>
      <diagonal/>
    </border>
    <border>
      <left/>
      <right style="thin">
        <color theme="5" tint="-0.499984740745262"/>
      </right>
      <top style="thin">
        <color theme="5" tint="-0.499984740745262"/>
      </top>
      <bottom style="thin">
        <color theme="5" tint="-0.499984740745262"/>
      </bottom>
      <diagonal/>
    </border>
    <border>
      <left/>
      <right/>
      <top style="thin">
        <color theme="5" tint="-0.499984740745262"/>
      </top>
      <bottom style="thin">
        <color theme="5" tint="-0.499984740745262"/>
      </bottom>
      <diagonal/>
    </border>
    <border>
      <left style="thin">
        <color theme="5" tint="-0.499984740745262"/>
      </left>
      <right/>
      <top/>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style="thin">
        <color rgb="FF833C0C"/>
      </right>
      <top style="thin">
        <color rgb="FF833C0C"/>
      </top>
      <bottom style="thin">
        <color rgb="FF833C0C"/>
      </bottom>
      <diagonal/>
    </border>
    <border>
      <left/>
      <right style="thin">
        <color rgb="FF833C0C"/>
      </right>
      <top style="thin">
        <color rgb="FF833C0C"/>
      </top>
      <bottom style="thin">
        <color rgb="FF833C0C"/>
      </bottom>
      <diagonal/>
    </border>
    <border>
      <left/>
      <right style="medium">
        <color indexed="64"/>
      </right>
      <top style="thin">
        <color rgb="FF833C0C"/>
      </top>
      <bottom style="thin">
        <color rgb="FF833C0C"/>
      </bottom>
      <diagonal/>
    </border>
    <border>
      <left/>
      <right style="thin">
        <color rgb="FF833C0C"/>
      </right>
      <top/>
      <bottom style="thin">
        <color rgb="FF833C0C"/>
      </bottom>
      <diagonal/>
    </border>
    <border>
      <left/>
      <right style="thin">
        <color rgb="FF833C0C"/>
      </right>
      <top/>
      <bottom style="medium">
        <color indexed="64"/>
      </bottom>
      <diagonal/>
    </border>
    <border>
      <left style="medium">
        <color indexed="64"/>
      </left>
      <right style="thin">
        <color rgb="FF000000"/>
      </right>
      <top/>
      <bottom style="thin">
        <color rgb="FFC00000"/>
      </bottom>
      <diagonal/>
    </border>
    <border>
      <left style="thin">
        <color rgb="FF000000"/>
      </left>
      <right style="thin">
        <color rgb="FF000000"/>
      </right>
      <top/>
      <bottom style="thin">
        <color rgb="FFC00000"/>
      </bottom>
      <diagonal/>
    </border>
    <border>
      <left style="thin">
        <color rgb="FF000000"/>
      </left>
      <right style="medium">
        <color indexed="64"/>
      </right>
      <top/>
      <bottom style="thin">
        <color rgb="FFC00000"/>
      </bottom>
      <diagonal/>
    </border>
    <border>
      <left/>
      <right style="thin">
        <color rgb="FF000000"/>
      </right>
      <top/>
      <bottom style="thin">
        <color rgb="FFC00000"/>
      </bottom>
      <diagonal/>
    </border>
    <border>
      <left style="medium">
        <color indexed="64"/>
      </left>
      <right style="thin">
        <color rgb="FF833C0C"/>
      </right>
      <top style="thin">
        <color rgb="FF833C0C"/>
      </top>
      <bottom style="medium">
        <color rgb="FF000000"/>
      </bottom>
      <diagonal/>
    </border>
    <border>
      <left/>
      <right style="medium">
        <color indexed="64"/>
      </right>
      <top style="thin">
        <color rgb="FF833C0C"/>
      </top>
      <bottom style="medium">
        <color rgb="FF000000"/>
      </bottom>
      <diagonal/>
    </border>
    <border>
      <left/>
      <right style="thin">
        <color rgb="FFC00000"/>
      </right>
      <top/>
      <bottom/>
      <diagonal/>
    </border>
    <border>
      <left style="thin">
        <color rgb="FFC00000"/>
      </left>
      <right/>
      <top style="thin">
        <color rgb="FFC00000"/>
      </top>
      <bottom style="thin">
        <color rgb="FFC00000"/>
      </bottom>
      <diagonal/>
    </border>
    <border>
      <left/>
      <right style="thin">
        <color rgb="FFC00000"/>
      </right>
      <top style="thin">
        <color rgb="FFC00000"/>
      </top>
      <bottom style="thin">
        <color rgb="FFC00000"/>
      </bottom>
      <diagonal/>
    </border>
  </borders>
  <cellStyleXfs count="13">
    <xf numFmtId="0" fontId="0" fillId="0" borderId="0"/>
    <xf numFmtId="0" fontId="7" fillId="7" borderId="4" applyNumberFormat="0" applyProtection="0">
      <alignment horizontal="left" indent="1"/>
    </xf>
    <xf numFmtId="0" fontId="6" fillId="3" borderId="3" applyNumberFormat="0" applyProtection="0">
      <alignment horizontal="center"/>
    </xf>
    <xf numFmtId="0" fontId="11" fillId="3" borderId="4" applyNumberFormat="0" applyProtection="0">
      <alignment horizontal="center"/>
    </xf>
    <xf numFmtId="0" fontId="2" fillId="2" borderId="1">
      <alignment horizontal="center"/>
    </xf>
    <xf numFmtId="0" fontId="3" fillId="4" borderId="1">
      <alignment horizontal="center"/>
    </xf>
    <xf numFmtId="0" fontId="2" fillId="5" borderId="1">
      <alignment horizontal="center"/>
    </xf>
    <xf numFmtId="0" fontId="2" fillId="5" borderId="1">
      <alignment horizontal="left" indent="1"/>
    </xf>
    <xf numFmtId="0" fontId="8" fillId="3" borderId="5">
      <alignment horizontal="right" indent="1"/>
    </xf>
    <xf numFmtId="0" fontId="2" fillId="6" borderId="2">
      <alignment horizontal="left" indent="1"/>
    </xf>
    <xf numFmtId="0" fontId="3" fillId="0" borderId="0" applyFont="0" applyAlignment="0">
      <alignment horizontal="center"/>
    </xf>
    <xf numFmtId="0" fontId="9" fillId="3" borderId="6">
      <alignment horizontal="center"/>
    </xf>
    <xf numFmtId="0" fontId="10" fillId="8" borderId="8">
      <alignment horizontal="left" vertical="center"/>
    </xf>
  </cellStyleXfs>
  <cellXfs count="77">
    <xf numFmtId="0" fontId="0" fillId="0" borderId="0" xfId="0"/>
    <xf numFmtId="0" fontId="0" fillId="0" borderId="0" xfId="0" applyAlignment="1">
      <alignment horizontal="right" indent="1"/>
    </xf>
    <xf numFmtId="0" fontId="0" fillId="0" borderId="0" xfId="0" applyAlignment="1">
      <alignment horizontal="center"/>
    </xf>
    <xf numFmtId="0" fontId="7" fillId="7" borderId="4" xfId="1">
      <alignment horizontal="left" indent="1"/>
    </xf>
    <xf numFmtId="0" fontId="7" fillId="7" borderId="4" xfId="1" applyAlignment="1">
      <alignment horizontal="center"/>
    </xf>
    <xf numFmtId="0" fontId="0" fillId="0" borderId="0" xfId="0" quotePrefix="1"/>
    <xf numFmtId="0" fontId="4" fillId="0" borderId="0" xfId="0" applyFont="1"/>
    <xf numFmtId="0" fontId="7" fillId="7" borderId="4" xfId="1" applyAlignment="1"/>
    <xf numFmtId="164" fontId="0" fillId="0" borderId="0" xfId="0" applyNumberFormat="1"/>
    <xf numFmtId="49" fontId="0" fillId="0" borderId="0" xfId="0" applyNumberFormat="1"/>
    <xf numFmtId="0" fontId="2" fillId="2" borderId="1" xfId="4">
      <alignment horizontal="center"/>
    </xf>
    <xf numFmtId="0" fontId="3" fillId="4" borderId="1" xfId="4" applyFont="1" applyFill="1">
      <alignment horizontal="center"/>
    </xf>
    <xf numFmtId="0" fontId="3" fillId="4" borderId="1" xfId="5">
      <alignment horizontal="center"/>
    </xf>
    <xf numFmtId="0" fontId="2" fillId="5" borderId="1" xfId="4" applyFill="1">
      <alignment horizontal="center"/>
    </xf>
    <xf numFmtId="0" fontId="2" fillId="5" borderId="1" xfId="4" applyFill="1" applyAlignment="1">
      <alignment horizontal="left" indent="1"/>
    </xf>
    <xf numFmtId="0" fontId="8" fillId="3" borderId="5" xfId="8">
      <alignment horizontal="right" indent="1"/>
    </xf>
    <xf numFmtId="0" fontId="5" fillId="6" borderId="2" xfId="9" applyFont="1">
      <alignment horizontal="left" indent="1"/>
    </xf>
    <xf numFmtId="0" fontId="2" fillId="6" borderId="2" xfId="9">
      <alignment horizontal="left" indent="1"/>
    </xf>
    <xf numFmtId="0" fontId="8" fillId="3" borderId="6" xfId="8" applyBorder="1">
      <alignment horizontal="right" indent="1"/>
    </xf>
    <xf numFmtId="0" fontId="9" fillId="3" borderId="6" xfId="11">
      <alignment horizontal="center"/>
    </xf>
    <xf numFmtId="0" fontId="11" fillId="3" borderId="4" xfId="3" applyAlignment="1">
      <alignment horizontal="left"/>
    </xf>
    <xf numFmtId="0" fontId="0" fillId="0" borderId="0" xfId="0" applyAlignment="1">
      <alignment vertical="center" wrapText="1"/>
    </xf>
    <xf numFmtId="0" fontId="0" fillId="0" borderId="18" xfId="0" applyBorder="1"/>
    <xf numFmtId="0" fontId="0" fillId="0" borderId="17" xfId="0" applyBorder="1"/>
    <xf numFmtId="49" fontId="0" fillId="0" borderId="0" xfId="0" applyNumberFormat="1" applyAlignment="1">
      <alignment vertical="center" wrapText="1"/>
    </xf>
    <xf numFmtId="0" fontId="0" fillId="0" borderId="19" xfId="0" applyBorder="1"/>
    <xf numFmtId="0" fontId="0" fillId="0" borderId="16" xfId="0" applyBorder="1"/>
    <xf numFmtId="0" fontId="8" fillId="3" borderId="0" xfId="8" applyBorder="1">
      <alignment horizontal="right" indent="1"/>
    </xf>
    <xf numFmtId="14" fontId="7" fillId="7" borderId="4" xfId="1" applyNumberFormat="1">
      <alignment horizontal="left" indent="1"/>
    </xf>
    <xf numFmtId="17" fontId="8" fillId="3" borderId="5" xfId="8" applyNumberFormat="1">
      <alignment horizontal="right" indent="1"/>
    </xf>
    <xf numFmtId="0" fontId="13" fillId="0" borderId="0" xfId="0" applyFont="1"/>
    <xf numFmtId="17" fontId="8" fillId="3" borderId="5" xfId="8" applyNumberFormat="1" applyAlignment="1">
      <alignment horizontal="center" vertical="center" indent="1"/>
    </xf>
    <xf numFmtId="0" fontId="14" fillId="10" borderId="20" xfId="0" applyFont="1" applyFill="1" applyBorder="1" applyAlignment="1">
      <alignment horizontal="center" vertical="center"/>
    </xf>
    <xf numFmtId="0" fontId="14" fillId="10" borderId="21" xfId="0" applyFont="1" applyFill="1" applyBorder="1" applyAlignment="1">
      <alignment horizontal="center" vertical="center"/>
    </xf>
    <xf numFmtId="0" fontId="14" fillId="10" borderId="22" xfId="0" applyFont="1" applyFill="1" applyBorder="1" applyAlignment="1">
      <alignment horizontal="center" vertical="center"/>
    </xf>
    <xf numFmtId="0" fontId="14" fillId="10" borderId="23" xfId="0" applyFont="1" applyFill="1" applyBorder="1" applyAlignment="1">
      <alignment horizontal="center" vertical="center"/>
    </xf>
    <xf numFmtId="0" fontId="14" fillId="10" borderId="29" xfId="0" applyFont="1" applyFill="1" applyBorder="1" applyAlignment="1">
      <alignment horizontal="center" vertical="center"/>
    </xf>
    <xf numFmtId="0" fontId="14" fillId="10" borderId="24" xfId="0" applyFont="1" applyFill="1" applyBorder="1" applyAlignment="1">
      <alignment horizontal="center" vertical="center"/>
    </xf>
    <xf numFmtId="0" fontId="0" fillId="0" borderId="0" xfId="0"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17" fontId="8" fillId="3" borderId="5" xfId="8" applyNumberFormat="1" applyAlignment="1">
      <alignment indent="1"/>
    </xf>
    <xf numFmtId="17" fontId="8" fillId="3" borderId="5" xfId="8" applyNumberFormat="1" applyAlignment="1">
      <alignment vertical="center" indent="1"/>
    </xf>
    <xf numFmtId="0" fontId="14" fillId="10" borderId="30" xfId="0" applyFont="1" applyFill="1" applyBorder="1" applyAlignment="1">
      <alignment horizontal="center" vertical="center"/>
    </xf>
    <xf numFmtId="0" fontId="15" fillId="9" borderId="25" xfId="0" applyFont="1" applyFill="1" applyBorder="1" applyAlignment="1">
      <alignment horizontal="center" vertical="center"/>
    </xf>
    <xf numFmtId="0" fontId="15" fillId="9" borderId="26" xfId="0" applyFont="1" applyFill="1" applyBorder="1" applyAlignment="1">
      <alignment horizontal="center" vertical="center"/>
    </xf>
    <xf numFmtId="0" fontId="15" fillId="9" borderId="27" xfId="0" applyFont="1" applyFill="1" applyBorder="1" applyAlignment="1">
      <alignment horizontal="center" vertical="center"/>
    </xf>
    <xf numFmtId="0" fontId="15" fillId="9" borderId="28" xfId="0" applyFont="1" applyFill="1" applyBorder="1" applyAlignment="1">
      <alignment horizontal="center" vertical="center"/>
    </xf>
    <xf numFmtId="0" fontId="16" fillId="10" borderId="23" xfId="0" applyFont="1" applyFill="1" applyBorder="1" applyAlignment="1">
      <alignment horizontal="center" vertical="center"/>
    </xf>
    <xf numFmtId="0" fontId="0" fillId="0" borderId="0" xfId="0" applyAlignment="1">
      <alignment wrapText="1"/>
    </xf>
    <xf numFmtId="44" fontId="11" fillId="3" borderId="4" xfId="3" applyNumberFormat="1">
      <alignment horizontal="center"/>
    </xf>
    <xf numFmtId="0" fontId="6" fillId="3" borderId="31" xfId="2" applyBorder="1">
      <alignment horizontal="center"/>
    </xf>
    <xf numFmtId="44" fontId="17" fillId="3" borderId="4" xfId="3" applyNumberFormat="1" applyFont="1">
      <alignment horizontal="center"/>
    </xf>
    <xf numFmtId="0" fontId="6" fillId="3" borderId="0" xfId="2" applyBorder="1">
      <alignment horizontal="center"/>
    </xf>
    <xf numFmtId="15" fontId="7" fillId="7" borderId="4" xfId="1" applyNumberFormat="1">
      <alignment horizontal="left" indent="1"/>
    </xf>
    <xf numFmtId="0" fontId="7" fillId="3" borderId="6" xfId="11" applyFont="1">
      <alignment horizontal="center"/>
    </xf>
    <xf numFmtId="0" fontId="7" fillId="7" borderId="4" xfId="1" applyAlignment="1">
      <alignment wrapText="1"/>
    </xf>
    <xf numFmtId="0" fontId="8" fillId="3" borderId="6" xfId="11" applyFont="1">
      <alignment horizontal="center"/>
    </xf>
    <xf numFmtId="0" fontId="18" fillId="3" borderId="6" xfId="11" applyFont="1">
      <alignment horizontal="center"/>
    </xf>
    <xf numFmtId="0" fontId="7" fillId="7" borderId="7" xfId="1" applyBorder="1">
      <alignment horizontal="left" indent="1"/>
    </xf>
    <xf numFmtId="0" fontId="6" fillId="3" borderId="3" xfId="2">
      <alignment horizontal="center"/>
    </xf>
    <xf numFmtId="0" fontId="11" fillId="3" borderId="4" xfId="3">
      <alignment horizontal="center"/>
    </xf>
    <xf numFmtId="0" fontId="7" fillId="7" borderId="7" xfId="1" applyBorder="1">
      <alignment horizontal="left" indent="1"/>
    </xf>
    <xf numFmtId="0" fontId="7" fillId="7" borderId="14" xfId="1" applyBorder="1">
      <alignment horizontal="left" indent="1"/>
    </xf>
    <xf numFmtId="0" fontId="7" fillId="7" borderId="13" xfId="1" applyBorder="1">
      <alignment horizontal="left" indent="1"/>
    </xf>
    <xf numFmtId="9" fontId="11" fillId="3" borderId="15" xfId="3" applyNumberFormat="1" applyBorder="1">
      <alignment horizontal="center"/>
    </xf>
    <xf numFmtId="9" fontId="11" fillId="3" borderId="0" xfId="3" applyNumberFormat="1" applyBorder="1">
      <alignment horizontal="center"/>
    </xf>
    <xf numFmtId="0" fontId="6" fillId="3" borderId="3" xfId="2">
      <alignment horizontal="center"/>
    </xf>
    <xf numFmtId="0" fontId="6" fillId="3" borderId="9" xfId="2" applyBorder="1">
      <alignment horizontal="center"/>
    </xf>
    <xf numFmtId="0" fontId="6" fillId="3" borderId="10" xfId="2" applyBorder="1">
      <alignment horizontal="center"/>
    </xf>
    <xf numFmtId="0" fontId="11" fillId="3" borderId="7" xfId="3" applyBorder="1">
      <alignment horizontal="center"/>
    </xf>
    <xf numFmtId="0" fontId="11" fillId="3" borderId="13" xfId="3" applyBorder="1">
      <alignment horizontal="center"/>
    </xf>
    <xf numFmtId="0" fontId="6" fillId="3" borderId="11" xfId="2" applyBorder="1">
      <alignment horizontal="center"/>
    </xf>
    <xf numFmtId="0" fontId="6" fillId="3" borderId="12" xfId="2" applyBorder="1">
      <alignment horizontal="center"/>
    </xf>
    <xf numFmtId="0" fontId="11" fillId="3" borderId="4" xfId="3">
      <alignment horizontal="center"/>
    </xf>
    <xf numFmtId="0" fontId="6" fillId="3" borderId="32" xfId="2" applyBorder="1">
      <alignment horizontal="center"/>
    </xf>
    <xf numFmtId="0" fontId="6" fillId="3" borderId="33" xfId="2" applyBorder="1">
      <alignment horizontal="center"/>
    </xf>
  </cellXfs>
  <cellStyles count="13">
    <cellStyle name="Account Header" xfId="6" xr:uid="{7E81302A-F1A5-46B0-A89B-33CDBE2FC095}"/>
    <cellStyle name="Calculation" xfId="3" builtinId="22" customBuiltin="1"/>
    <cellStyle name="Character Header" xfId="4" xr:uid="{473AC5E6-05F0-4F0D-93E1-4055DA8A2967}"/>
    <cellStyle name="Export Header" xfId="5" xr:uid="{5394E8CA-42FA-419D-A595-B3EF1B12D9DA}"/>
    <cellStyle name="Filler" xfId="11" xr:uid="{6174E2EF-3C1E-48E6-A237-E3E5119554BC}"/>
    <cellStyle name="Hidden" xfId="10" xr:uid="{D626C623-CB54-4CB0-A7EB-5935F59D0EA6}"/>
    <cellStyle name="Input" xfId="1" builtinId="20" customBuiltin="1"/>
    <cellStyle name="Label" xfId="8" xr:uid="{58FBD6CF-FD2D-48C4-90CB-F956EABD1574}"/>
    <cellStyle name="Normal" xfId="0" builtinId="0"/>
    <cellStyle name="Output" xfId="2" builtinId="21" customBuiltin="1"/>
    <cellStyle name="Section Header" xfId="7" xr:uid="{93240FDF-55FC-4295-A61C-67A171DA6D1C}"/>
    <cellStyle name="Subsection Header" xfId="9" xr:uid="{1E865122-447B-4CBF-8D7F-286709F40A6A}"/>
    <cellStyle name="tm_label" xfId="12" xr:uid="{E594743D-C1BD-4FF0-9014-A4988113EB3A}"/>
  </cellStyles>
  <dxfs count="95">
    <dxf>
      <font>
        <b val="0"/>
        <i/>
        <color theme="1" tint="0.499984740745262"/>
      </font>
      <fill>
        <patternFill patternType="solid">
          <bgColor theme="2"/>
        </patternFill>
      </fill>
    </dxf>
    <dxf>
      <font>
        <b/>
        <i val="0"/>
        <color rgb="FF9C0006"/>
      </font>
      <fill>
        <patternFill patternType="solid">
          <bgColor rgb="FFFFC7CE"/>
        </patternFill>
      </fill>
    </dxf>
    <dxf>
      <font>
        <color rgb="FF006100"/>
      </font>
      <fill>
        <patternFill>
          <bgColor rgb="FFC6EFCE"/>
        </patternFill>
      </fill>
    </dxf>
    <dxf>
      <font>
        <b/>
        <i val="0"/>
        <color theme="1"/>
      </font>
      <fill>
        <patternFill patternType="solid">
          <bgColor rgb="FFFFC000"/>
        </patternFill>
      </fill>
    </dxf>
    <dxf>
      <font>
        <b/>
        <i val="0"/>
        <color rgb="FF7030A0"/>
      </font>
      <fill>
        <patternFill patternType="solid">
          <bgColor rgb="FFC6EFCE"/>
        </patternFill>
      </fill>
    </dxf>
    <dxf>
      <font>
        <b/>
        <i val="0"/>
        <color theme="4"/>
      </font>
      <fill>
        <patternFill patternType="solid">
          <bgColor rgb="FFC6EFCE"/>
        </patternFill>
      </fill>
    </dxf>
    <dxf>
      <font>
        <b val="0"/>
        <i/>
        <color theme="1" tint="0.499984740745262"/>
      </font>
      <fill>
        <patternFill patternType="solid">
          <bgColor theme="2"/>
        </patternFill>
      </fill>
    </dxf>
    <dxf>
      <font>
        <b/>
        <i val="0"/>
        <color rgb="FF9C0006"/>
      </font>
      <fill>
        <patternFill patternType="solid">
          <bgColor rgb="FFFFC7CE"/>
        </patternFill>
      </fill>
    </dxf>
    <dxf>
      <font>
        <color rgb="FF006100"/>
      </font>
      <fill>
        <patternFill>
          <bgColor rgb="FFC6EFCE"/>
        </patternFill>
      </fill>
    </dxf>
    <dxf>
      <font>
        <b/>
        <i val="0"/>
        <color theme="1"/>
      </font>
      <fill>
        <patternFill patternType="solid">
          <bgColor rgb="FFFFC000"/>
        </patternFill>
      </fill>
    </dxf>
    <dxf>
      <font>
        <b/>
        <i val="0"/>
        <color rgb="FF7030A0"/>
      </font>
      <fill>
        <patternFill patternType="solid">
          <bgColor rgb="FFC6EFCE"/>
        </patternFill>
      </fill>
    </dxf>
    <dxf>
      <font>
        <b/>
        <i val="0"/>
        <color theme="4"/>
      </font>
      <fill>
        <patternFill patternType="solid">
          <bgColor rgb="FFC6EFCE"/>
        </patternFill>
      </fill>
    </dxf>
    <dxf>
      <font>
        <b val="0"/>
        <i/>
        <color theme="1" tint="0.499984740745262"/>
      </font>
      <fill>
        <patternFill patternType="solid">
          <bgColor theme="2"/>
        </patternFill>
      </fill>
    </dxf>
    <dxf>
      <font>
        <b/>
        <i val="0"/>
        <color rgb="FF9C0006"/>
      </font>
      <fill>
        <patternFill patternType="solid">
          <bgColor rgb="FFFFC7CE"/>
        </patternFill>
      </fill>
    </dxf>
    <dxf>
      <font>
        <color rgb="FF006100"/>
      </font>
      <fill>
        <patternFill>
          <bgColor rgb="FFC6EFCE"/>
        </patternFill>
      </fill>
    </dxf>
    <dxf>
      <font>
        <b/>
        <i val="0"/>
        <color theme="1"/>
      </font>
      <fill>
        <patternFill patternType="solid">
          <bgColor rgb="FFFFC000"/>
        </patternFill>
      </fill>
    </dxf>
    <dxf>
      <font>
        <b/>
        <i val="0"/>
        <color rgb="FF7030A0"/>
      </font>
      <fill>
        <patternFill patternType="solid">
          <bgColor rgb="FFC6EFCE"/>
        </patternFill>
      </fill>
    </dxf>
    <dxf>
      <font>
        <b/>
        <i val="0"/>
        <color theme="4"/>
      </font>
      <fill>
        <patternFill patternType="solid">
          <bgColor rgb="FFC6EFCE"/>
        </patternFill>
      </fill>
    </dxf>
    <dxf>
      <numFmt numFmtId="30" formatCode="@"/>
    </dxf>
    <dxf>
      <numFmt numFmtId="30" formatCode="@"/>
    </dxf>
    <dxf>
      <numFmt numFmtId="30" formatCode="@"/>
    </dxf>
    <dxf>
      <font>
        <b val="0"/>
        <i val="0"/>
        <strike val="0"/>
        <condense val="0"/>
        <extend val="0"/>
        <outline val="0"/>
        <shadow val="0"/>
        <u val="none"/>
        <vertAlign val="baseline"/>
        <sz val="11"/>
        <color theme="1"/>
        <name val="Calibri"/>
        <family val="2"/>
        <scheme val="minor"/>
      </font>
      <numFmt numFmtId="30" formatCode="@"/>
      <alignment horizontal="general" vertical="center" textRotation="0" wrapText="1" indent="0" justifyLastLine="0" shrinkToFit="0" readingOrder="0"/>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alignment horizontal="right" vertical="bottom" textRotation="0" wrapText="0" indent="1" justifyLastLine="0" shrinkToFit="0" readingOrder="0"/>
    </dxf>
    <dxf>
      <border outline="0">
        <bottom style="medium">
          <color rgb="FF000000"/>
        </bottom>
      </border>
    </dxf>
    <dxf>
      <numFmt numFmtId="0" formatCode="General"/>
    </dxf>
    <dxf>
      <numFmt numFmtId="0" formatCode="General"/>
    </dxf>
    <dxf>
      <numFmt numFmtId="0" formatCode="General"/>
    </dxf>
    <dxf>
      <numFmt numFmtId="0" formatCode="General"/>
    </dxf>
    <dxf>
      <numFmt numFmtId="0" formatCode="General"/>
    </dxf>
    <dxf>
      <numFmt numFmtId="164" formatCode="[$-C09]dd\-mmm\-yy;@"/>
    </dxf>
    <dxf>
      <numFmt numFmtId="0" formatCode="General"/>
    </dxf>
    <dxf>
      <alignment horizontal="right" vertical="bottom" textRotation="0" wrapText="0" indent="1" justifyLastLine="0" shrinkToFit="0" readingOrder="0"/>
    </dxf>
  </dxfs>
  <tableStyles count="0" defaultTableStyle="TableStyleMedium2" defaultPivotStyle="PivotStyleLight16"/>
  <colors>
    <mruColors>
      <color rgb="FFFFDCDC"/>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000-000000000000}" autoFormatId="16" applyNumberFormats="0" applyBorderFormats="0" applyFontFormats="0" applyPatternFormats="0" applyAlignmentFormats="0" applyWidthHeightFormats="0">
  <queryTableRefresh nextId="1979">
    <queryTableFields count="365">
      <queryTableField id="43" name="Sheet" tableColumnId="43"/>
      <queryTableField id="197" name="Date" tableColumnId="124"/>
      <queryTableField id="1291" name="XP Left" tableColumnId="45"/>
      <queryTableField id="1720" name="XP Total" tableColumnId="334"/>
      <queryTableField id="624" name="Player Name" tableColumnId="1"/>
      <queryTableField id="625" name="Character Name" tableColumnId="2"/>
      <queryTableField id="3" name="Concept" tableColumnId="3"/>
      <queryTableField id="934" name="Pronouns" tableColumnId="280"/>
      <queryTableField id="6" name="Clan" tableColumnId="6"/>
      <queryTableField id="1605" name="Clan Icon" tableColumnId="200"/>
      <queryTableField id="1293" name="Bloodline" tableColumnId="7"/>
      <queryTableField id="8" name="Covenant" tableColumnId="8"/>
      <queryTableField id="1606" name="Covenant Icon" tableColumnId="201"/>
      <queryTableField id="4" name="Mask" tableColumnId="4"/>
      <queryTableField id="5" name="Dirge" tableColumnId="5"/>
      <queryTableField id="628" name="Court Title" tableColumnId="44"/>
      <queryTableField id="9" name="Intelligence" tableColumnId="10"/>
      <queryTableField id="10" name="Wits" tableColumnId="11"/>
      <queryTableField id="11" name="Resolve" tableColumnId="12"/>
      <queryTableField id="12" name="Strength" tableColumnId="13"/>
      <queryTableField id="13" name="Dexterity" tableColumnId="14"/>
      <queryTableField id="14" name="Stamina" tableColumnId="15"/>
      <queryTableField id="15" name="Presence" tableColumnId="16"/>
      <queryTableField id="16" name="Manipulation" tableColumnId="17"/>
      <queryTableField id="17" name="Composure" tableColumnId="18"/>
      <queryTableField id="19" name="Academics" tableColumnId="19"/>
      <queryTableField id="20" name="Computer" tableColumnId="20"/>
      <queryTableField id="21" name="Crafts" tableColumnId="21"/>
      <queryTableField id="22" name="Investigation" tableColumnId="22"/>
      <queryTableField id="23" name="Medicine" tableColumnId="23"/>
      <queryTableField id="24" name="Occult" tableColumnId="24"/>
      <queryTableField id="25" name="Politics" tableColumnId="25"/>
      <queryTableField id="26" name="Science" tableColumnId="26"/>
      <queryTableField id="27" name="Athletics" tableColumnId="27"/>
      <queryTableField id="28" name="Brawl" tableColumnId="28"/>
      <queryTableField id="29" name="Drive" tableColumnId="29"/>
      <queryTableField id="30" name="Firearms" tableColumnId="30"/>
      <queryTableField id="31" name="Larceny" tableColumnId="31"/>
      <queryTableField id="32" name="Stealth" tableColumnId="32"/>
      <queryTableField id="33" name="Survival" tableColumnId="33"/>
      <queryTableField id="34" name="Weaponry" tableColumnId="34"/>
      <queryTableField id="35" name="Animal Ken" tableColumnId="35"/>
      <queryTableField id="36" name="Empathy" tableColumnId="36"/>
      <queryTableField id="37" name="Expression" tableColumnId="37"/>
      <queryTableField id="38" name="Intimidation" tableColumnId="38"/>
      <queryTableField id="39" name="Persuasion" tableColumnId="39"/>
      <queryTableField id="40" name="Socialise" tableColumnId="40"/>
      <queryTableField id="41" name="Streetwise" tableColumnId="41"/>
      <queryTableField id="42" name="Subterfuge" tableColumnId="42"/>
      <queryTableField id="914" name="Blood Potency" tableColumnId="272"/>
      <queryTableField id="1615" name="BP" tableColumnId="206"/>
      <queryTableField id="1619" name="BP Icon" tableColumnId="208"/>
      <queryTableField id="167" name="Health" tableColumnId="98"/>
      <queryTableField id="171" name="Willpower" tableColumnId="102"/>
      <queryTableField id="1969" name="Willpower Squares" tableColumnId="237"/>
      <queryTableField id="1294" name="Vitae" tableColumnId="9"/>
      <queryTableField id="1970" name="Vitae Squares" tableColumnId="238"/>
      <queryTableField id="920" name="Vitae Per Turn" tableColumnId="278"/>
      <queryTableField id="644" name="Can Feed From" tableColumnId="73"/>
      <queryTableField id="940" name="Academics Spec" tableColumnId="283"/>
      <queryTableField id="941" name="Computer Spec" tableColumnId="284"/>
      <queryTableField id="942" name="Crafts Spec" tableColumnId="285"/>
      <queryTableField id="943" name="Investigation Spec" tableColumnId="286"/>
      <queryTableField id="944" name="Medicine Spec" tableColumnId="287"/>
      <queryTableField id="945" name="Occult Spec" tableColumnId="288"/>
      <queryTableField id="946" name="Politics Spec" tableColumnId="289"/>
      <queryTableField id="947" name="Science Spec" tableColumnId="290"/>
      <queryTableField id="948" name="Athletics Spec" tableColumnId="291"/>
      <queryTableField id="949" name="Brawl Spec" tableColumnId="292"/>
      <queryTableField id="950" name="Drive Spec" tableColumnId="293"/>
      <queryTableField id="951" name="Firearms Spec" tableColumnId="294"/>
      <queryTableField id="952" name="Larceny Spec" tableColumnId="295"/>
      <queryTableField id="953" name="Stealth Spec" tableColumnId="296"/>
      <queryTableField id="954" name="Survival Spec" tableColumnId="297"/>
      <queryTableField id="955" name="Weaponry Spec" tableColumnId="298"/>
      <queryTableField id="956" name="Animal Ken Spec" tableColumnId="299"/>
      <queryTableField id="957" name="Empathy Spec" tableColumnId="300"/>
      <queryTableField id="958" name="Expression Spec" tableColumnId="301"/>
      <queryTableField id="959" name="Intimidation Spec" tableColumnId="302"/>
      <queryTableField id="960" name="Persuasion Spec" tableColumnId="303"/>
      <queryTableField id="961" name="Socialise Spec" tableColumnId="304"/>
      <queryTableField id="962" name="Streetwise Spec" tableColumnId="305"/>
      <queryTableField id="963" name="Subterfuge Spec" tableColumnId="306"/>
      <queryTableField id="141" name="City Status" tableColumnId="61"/>
      <queryTableField id="130" name="Clan Status" tableColumnId="56"/>
      <queryTableField id="1609" name="Covenant Status" tableColumnId="202"/>
      <queryTableField id="1295" name="Covenant 1" tableColumnId="46"/>
      <queryTableField id="1296" name="Covenant Status 1" tableColumnId="47"/>
      <queryTableField id="1297" name="Covenant 2" tableColumnId="53"/>
      <queryTableField id="1298" name="Covenant Status 2" tableColumnId="58"/>
      <queryTableField id="1299" name="Covenant 3" tableColumnId="72"/>
      <queryTableField id="1300" name="Covenant Status 3" tableColumnId="94"/>
      <queryTableField id="1301" name="Covenant 4" tableColumnId="95"/>
      <queryTableField id="1302" name="Covenant Status 4" tableColumnId="96"/>
      <queryTableField id="1721" name="Safe Place" tableColumnId="335"/>
      <queryTableField id="1916" name="Haven" tableColumnId="210"/>
      <queryTableField id="1723" name="Feeding Grounds" tableColumnId="337"/>
      <queryTableField id="1724" name="Herd" tableColumnId="338"/>
      <queryTableField id="1725" name="Mystery Cult Initiation" tableColumnId="339"/>
      <queryTableField id="1971" name="Mystery Cult Name" tableColumnId="239"/>
      <queryTableField id="1726" name="Professional Training" tableColumnId="340"/>
      <queryTableField id="1972" name="Prof Training Role" tableColumnId="240"/>
      <queryTableField id="1616" name="Hum" tableColumnId="207"/>
      <queryTableField id="1620" name="Hum Icon" tableColumnId="209"/>
      <queryTableField id="1303" name="Humanity 10" tableColumnId="97"/>
      <queryTableField id="1304" name="Humanity 9" tableColumnId="99"/>
      <queryTableField id="1305" name="Humanity 8" tableColumnId="100"/>
      <queryTableField id="1306" name="Humanity 7" tableColumnId="101"/>
      <queryTableField id="1307" name="Humanity 6" tableColumnId="103"/>
      <queryTableField id="1308" name="Humanity 5" tableColumnId="104"/>
      <queryTableField id="1309" name="Humanity 4" tableColumnId="105"/>
      <queryTableField id="1310" name="Humanity 3" tableColumnId="106"/>
      <queryTableField id="1311" name="Humanity 2" tableColumnId="107"/>
      <queryTableField id="1312" name="Humanity 1" tableColumnId="108"/>
      <queryTableField id="645" name="Merit 1" tableColumnId="74"/>
      <queryTableField id="646" name="Merit 2" tableColumnId="75"/>
      <queryTableField id="647" name="Merit 3" tableColumnId="76"/>
      <queryTableField id="648" name="Merit 4" tableColumnId="77"/>
      <queryTableField id="649" name="Merit 5" tableColumnId="78"/>
      <queryTableField id="650" name="Merit 6" tableColumnId="79"/>
      <queryTableField id="651" name="Merit 7" tableColumnId="80"/>
      <queryTableField id="652" name="Merit 8" tableColumnId="81"/>
      <queryTableField id="653" name="Merit 9" tableColumnId="82"/>
      <queryTableField id="654" name="Merit 10" tableColumnId="83"/>
      <queryTableField id="655" name="Merit 11" tableColumnId="84"/>
      <queryTableField id="656" name="Merit 12" tableColumnId="85"/>
      <queryTableField id="657" name="Merit 13" tableColumnId="86"/>
      <queryTableField id="658" name="Merit 14" tableColumnId="87"/>
      <queryTableField id="659" name="Merit 15" tableColumnId="88"/>
      <queryTableField id="660" name="Merit 16" tableColumnId="89"/>
      <queryTableField id="661" name="Merit 17" tableColumnId="90"/>
      <queryTableField id="662" name="Merit 18" tableColumnId="91"/>
      <queryTableField id="663" name="Merit 19" tableColumnId="92"/>
      <queryTableField id="664" name="Merit 20" tableColumnId="93"/>
      <queryTableField id="1727" name="Merit 21" tableColumnId="341"/>
      <queryTableField id="1728" name="Merit 22" tableColumnId="342"/>
      <queryTableField id="1729" name="Merit 23" tableColumnId="343"/>
      <queryTableField id="1730" name="Merit 24" tableColumnId="344"/>
      <queryTableField id="1731" name="Merit 25" tableColumnId="345"/>
      <queryTableField id="1732" name="Merit 26" tableColumnId="346"/>
      <queryTableField id="1733" name="Merit 27" tableColumnId="347"/>
      <queryTableField id="1734" name="Merit 28" tableColumnId="348"/>
      <queryTableField id="1735" name="Merit 29" tableColumnId="349"/>
      <queryTableField id="1736" name="Merit 30" tableColumnId="350"/>
      <queryTableField id="1313" name="Merit Effect 1" tableColumnId="109"/>
      <queryTableField id="1314" name="Merit Effect 2" tableColumnId="110"/>
      <queryTableField id="1315" name="Merit Effect 3" tableColumnId="111"/>
      <queryTableField id="1316" name="Merit Effect 4" tableColumnId="112"/>
      <queryTableField id="1317" name="Merit Effect 5" tableColumnId="113"/>
      <queryTableField id="1318" name="Merit Effect 6" tableColumnId="114"/>
      <queryTableField id="1319" name="Merit Effect 7" tableColumnId="115"/>
      <queryTableField id="1320" name="Merit Effect 8" tableColumnId="116"/>
      <queryTableField id="1321" name="Merit Effect 9" tableColumnId="117"/>
      <queryTableField id="1322" name="Merit Effect 10" tableColumnId="118"/>
      <queryTableField id="1323" name="Merit Effect 11" tableColumnId="121"/>
      <queryTableField id="1324" name="Merit Effect 12" tableColumnId="123"/>
      <queryTableField id="1325" name="Merit Effect 13" tableColumnId="125"/>
      <queryTableField id="1326" name="Merit Effect 14" tableColumnId="126"/>
      <queryTableField id="1327" name="Merit Effect 15" tableColumnId="127"/>
      <queryTableField id="1328" name="Merit Effect 16" tableColumnId="128"/>
      <queryTableField id="1329" name="Merit Effect 17" tableColumnId="129"/>
      <queryTableField id="1330" name="Merit Effect 18" tableColumnId="130"/>
      <queryTableField id="1331" name="Merit Effect 19" tableColumnId="131"/>
      <queryTableField id="1332" name="Merit Effect 20" tableColumnId="132"/>
      <queryTableField id="1737" name="Merit Effect 21" tableColumnId="351"/>
      <queryTableField id="1738" name="Merit Effect 22" tableColumnId="352"/>
      <queryTableField id="1739" name="Merit Effect 23" tableColumnId="353"/>
      <queryTableField id="1740" name="Merit Effect 24" tableColumnId="354"/>
      <queryTableField id="1741" name="Merit Effect 25" tableColumnId="355"/>
      <queryTableField id="1742" name="Merit Effect 26" tableColumnId="356"/>
      <queryTableField id="1743" name="Merit Effect 27" tableColumnId="357"/>
      <queryTableField id="1744" name="Merit Effect 28" tableColumnId="358"/>
      <queryTableField id="1745" name="Merit Effect 29" tableColumnId="359"/>
      <queryTableField id="1746" name="Merit Effect 30" tableColumnId="360"/>
      <queryTableField id="1747" name="Influence" tableColumnId="361"/>
      <queryTableField id="1973" name="Influence Squares" tableColumnId="241"/>
      <queryTableField id="1748" name="Influence 1" tableColumnId="362"/>
      <queryTableField id="1749" name="Influence 2" tableColumnId="363"/>
      <queryTableField id="1750" name="Influence 3" tableColumnId="364"/>
      <queryTableField id="1751" name="Influence 4" tableColumnId="365"/>
      <queryTableField id="1752" name="Influence 5" tableColumnId="366"/>
      <queryTableField id="1753" name="Influence 6" tableColumnId="367"/>
      <queryTableField id="1754" name="Influence 7" tableColumnId="368"/>
      <queryTableField id="1755" name="Influence 8" tableColumnId="369"/>
      <queryTableField id="1756" name="Influence 9" tableColumnId="370"/>
      <queryTableField id="1757" name="Influence 10" tableColumnId="371"/>
      <queryTableField id="1758" name="Influence 11" tableColumnId="372"/>
      <queryTableField id="1759" name="Influence 12" tableColumnId="373"/>
      <queryTableField id="1760" name="Influence 13" tableColumnId="374"/>
      <queryTableField id="1761" name="Influence 14" tableColumnId="375"/>
      <queryTableField id="1762" name="Influence 15" tableColumnId="376"/>
      <queryTableField id="1763" name="Influence 16" tableColumnId="377"/>
      <queryTableField id="1764" name="Influence 17" tableColumnId="378"/>
      <queryTableField id="1765" name="Influence 18" tableColumnId="379"/>
      <queryTableField id="1766" name="Influence 19" tableColumnId="380"/>
      <queryTableField id="1767" name="Influence 20" tableColumnId="381"/>
      <queryTableField id="1918" name="Area 1" tableColumnId="211"/>
      <queryTableField id="1919" name="Area 2" tableColumnId="212"/>
      <queryTableField id="1920" name="Area 3" tableColumnId="213"/>
      <queryTableField id="1921" name="Area 4" tableColumnId="214"/>
      <queryTableField id="1922" name="Area 5" tableColumnId="215"/>
      <queryTableField id="1923" name="Area 6" tableColumnId="216"/>
      <queryTableField id="1924" name="Area 7" tableColumnId="217"/>
      <queryTableField id="1925" name="Area 8" tableColumnId="218"/>
      <queryTableField id="1926" name="Area 9" tableColumnId="219"/>
      <queryTableField id="1927" name="Area 10" tableColumnId="220"/>
      <queryTableField id="1928" name="Area 11" tableColumnId="221"/>
      <queryTableField id="1929" name="Area 12" tableColumnId="222"/>
      <queryTableField id="1930" name="Area 13" tableColumnId="223"/>
      <queryTableField id="1931" name="Area 14" tableColumnId="224"/>
      <queryTableField id="1932" name="Area 15" tableColumnId="225"/>
      <queryTableField id="1933" name="Area 16" tableColumnId="226"/>
      <queryTableField id="1934" name="Area 17" tableColumnId="227"/>
      <queryTableField id="1935" name="Area 18" tableColumnId="228"/>
      <queryTableField id="1936" name="Area 19" tableColumnId="229"/>
      <queryTableField id="1937" name="Area 20" tableColumnId="230"/>
      <queryTableField id="1768" name="Influence Dots 1" tableColumnId="382"/>
      <queryTableField id="1769" name="Influence Dots 2" tableColumnId="383"/>
      <queryTableField id="1770" name="Influence Dots 3" tableColumnId="384"/>
      <queryTableField id="1771" name="Influence Dots 4" tableColumnId="385"/>
      <queryTableField id="1772" name="Influence Dots 5" tableColumnId="386"/>
      <queryTableField id="1773" name="Influence Dots 6" tableColumnId="387"/>
      <queryTableField id="1774" name="Influence Dots 7" tableColumnId="388"/>
      <queryTableField id="1775" name="Influence Dots 8" tableColumnId="389"/>
      <queryTableField id="1776" name="Influence Dots 9" tableColumnId="390"/>
      <queryTableField id="1777" name="Influence Dots 10" tableColumnId="391"/>
      <queryTableField id="1778" name="Influence Dots 11" tableColumnId="392"/>
      <queryTableField id="1779" name="Influence Dots 12" tableColumnId="393"/>
      <queryTableField id="1780" name="Influence Dots 13" tableColumnId="394"/>
      <queryTableField id="1781" name="Influence Dots 14" tableColumnId="395"/>
      <queryTableField id="1782" name="Influence Dots 15" tableColumnId="396"/>
      <queryTableField id="1783" name="Influence Dots 16" tableColumnId="397"/>
      <queryTableField id="1784" name="Influence Dots 17" tableColumnId="398"/>
      <queryTableField id="1785" name="Influence Dots 18" tableColumnId="399"/>
      <queryTableField id="1786" name="Influence Dots 19" tableColumnId="400"/>
      <queryTableField id="1787" name="Influence Dots 20" tableColumnId="401"/>
      <queryTableField id="283" name="Animalism" tableColumnId="57"/>
      <queryTableField id="284" name="Auspex" tableColumnId="59"/>
      <queryTableField id="285" name="Celerity" tableColumnId="60"/>
      <queryTableField id="286" name="Dominate" tableColumnId="62"/>
      <queryTableField id="287" name="Majesty" tableColumnId="63"/>
      <queryTableField id="288" name="Nightmare" tableColumnId="64"/>
      <queryTableField id="289" name="Obfuscate" tableColumnId="65"/>
      <queryTableField id="290" name="Protean" tableColumnId="66"/>
      <queryTableField id="291" name="Resilience" tableColumnId="67"/>
      <queryTableField id="292" name="Vigour" tableColumnId="68"/>
      <queryTableField id="705" name="Cruac" tableColumnId="158"/>
      <queryTableField id="706" name="Theban" tableColumnId="159"/>
      <queryTableField id="707" name="Creation" tableColumnId="160"/>
      <queryTableField id="708" name="Destruction" tableColumnId="164"/>
      <queryTableField id="709" name="Divination" tableColumnId="165"/>
      <queryTableField id="710" name="Protection" tableColumnId="166"/>
      <queryTableField id="711" name="Transmutation" tableColumnId="167"/>
      <queryTableField id="1333" name="Blood 1" tableColumnId="133"/>
      <queryTableField id="1334" name="Blood 2" tableColumnId="134"/>
      <queryTableField id="1335" name="Blood 3" tableColumnId="135"/>
      <queryTableField id="1336" name="Blood 4" tableColumnId="136"/>
      <queryTableField id="1337" name="Blood 5" tableColumnId="137"/>
      <queryTableField id="1338" name="Blood 6" tableColumnId="138"/>
      <queryTableField id="1339" name="Blood 7" tableColumnId="139"/>
      <queryTableField id="1340" name="Blood 8" tableColumnId="140"/>
      <queryTableField id="1341" name="Blood 9" tableColumnId="141"/>
      <queryTableField id="1342" name="Blood 10" tableColumnId="142"/>
      <queryTableField id="1343" name="Blood 11" tableColumnId="143"/>
      <queryTableField id="1344" name="Blood 12" tableColumnId="144"/>
      <queryTableField id="1345" name="Blood 13" tableColumnId="145"/>
      <queryTableField id="1346" name="Blood 14" tableColumnId="146"/>
      <queryTableField id="1347" name="Blood 15" tableColumnId="147"/>
      <queryTableField id="1348" name="Blood 16" tableColumnId="148"/>
      <queryTableField id="1349" name="Blood 17" tableColumnId="149"/>
      <queryTableField id="1350" name="Blood 18" tableColumnId="150"/>
      <queryTableField id="1351" name="Blood 19" tableColumnId="151"/>
      <queryTableField id="1352" name="Blood 20" tableColumnId="152"/>
      <queryTableField id="1788" name="Blood 21" tableColumnId="402"/>
      <queryTableField id="1789" name="Blood 22" tableColumnId="403"/>
      <queryTableField id="1790" name="Blood 23" tableColumnId="404"/>
      <queryTableField id="1791" name="Blood 24" tableColumnId="405"/>
      <queryTableField id="1792" name="Blood 25" tableColumnId="406"/>
      <queryTableField id="1793" name="Blood 26" tableColumnId="407"/>
      <queryTableField id="1794" name="Blood 27" tableColumnId="408"/>
      <queryTableField id="1795" name="Blood 28" tableColumnId="409"/>
      <queryTableField id="1796" name="Blood 29" tableColumnId="410"/>
      <queryTableField id="1797" name="Blood 30" tableColumnId="411"/>
      <queryTableField id="1353" name="Blood Stats 1" tableColumnId="153"/>
      <queryTableField id="1354" name="Blood Stats 2" tableColumnId="154"/>
      <queryTableField id="1355" name="Blood Stats 3" tableColumnId="155"/>
      <queryTableField id="1356" name="Blood Stats 4" tableColumnId="156"/>
      <queryTableField id="1357" name="Blood Stats 5" tableColumnId="157"/>
      <queryTableField id="1358" name="Blood Stats 6" tableColumnId="161"/>
      <queryTableField id="1359" name="Blood Stats 7" tableColumnId="162"/>
      <queryTableField id="1360" name="Blood Stats 8" tableColumnId="163"/>
      <queryTableField id="1361" name="Blood Stats 9" tableColumnId="168"/>
      <queryTableField id="1362" name="Blood Stats 10" tableColumnId="169"/>
      <queryTableField id="1363" name="Blood Stats 11" tableColumnId="170"/>
      <queryTableField id="1364" name="Blood Stats 12" tableColumnId="171"/>
      <queryTableField id="1365" name="Blood Stats 13" tableColumnId="172"/>
      <queryTableField id="1366" name="Blood Stats 14" tableColumnId="173"/>
      <queryTableField id="1367" name="Blood Stats 15" tableColumnId="174"/>
      <queryTableField id="1368" name="Blood Stats 16" tableColumnId="175"/>
      <queryTableField id="1369" name="Blood Stats 17" tableColumnId="176"/>
      <queryTableField id="1370" name="Blood Stats 18" tableColumnId="177"/>
      <queryTableField id="1371" name="Blood Stats 19" tableColumnId="178"/>
      <queryTableField id="1372" name="Blood Stats 20" tableColumnId="179"/>
      <queryTableField id="1798" name="Blood Stats 21" tableColumnId="412"/>
      <queryTableField id="1799" name="Blood Stats 22" tableColumnId="413"/>
      <queryTableField id="1800" name="Blood Stats 23" tableColumnId="414"/>
      <queryTableField id="1801" name="Blood Stats 24" tableColumnId="415"/>
      <queryTableField id="1802" name="Blood Stats 25" tableColumnId="416"/>
      <queryTableField id="1803" name="Blood Stats 26" tableColumnId="417"/>
      <queryTableField id="1804" name="Blood Stats 27" tableColumnId="418"/>
      <queryTableField id="1805" name="Blood Stats 28" tableColumnId="419"/>
      <queryTableField id="1806" name="Blood Stats 29" tableColumnId="420"/>
      <queryTableField id="1807" name="Blood Stats 30" tableColumnId="421"/>
      <queryTableField id="1373" name="Blood Effect 1" tableColumnId="180"/>
      <queryTableField id="1374" name="Blood Effect 2" tableColumnId="181"/>
      <queryTableField id="1375" name="Blood Effect 3" tableColumnId="182"/>
      <queryTableField id="1376" name="Blood Effect 4" tableColumnId="183"/>
      <queryTableField id="1377" name="Blood Effect 5" tableColumnId="184"/>
      <queryTableField id="1378" name="Blood Effect 6" tableColumnId="185"/>
      <queryTableField id="1379" name="Blood Effect 7" tableColumnId="186"/>
      <queryTableField id="1380" name="Blood Effect 8" tableColumnId="187"/>
      <queryTableField id="1381" name="Blood Effect 9" tableColumnId="188"/>
      <queryTableField id="1382" name="Blood Effect 10" tableColumnId="189"/>
      <queryTableField id="1383" name="Blood Effect 11" tableColumnId="190"/>
      <queryTableField id="1384" name="Blood Effect 12" tableColumnId="191"/>
      <queryTableField id="1385" name="Blood Effect 13" tableColumnId="192"/>
      <queryTableField id="1386" name="Blood Effect 14" tableColumnId="193"/>
      <queryTableField id="1387" name="Blood Effect 15" tableColumnId="194"/>
      <queryTableField id="1388" name="Blood Effect 16" tableColumnId="195"/>
      <queryTableField id="1389" name="Blood Effect 17" tableColumnId="196"/>
      <queryTableField id="1390" name="Blood Effect 18" tableColumnId="197"/>
      <queryTableField id="1391" name="Blood Effect 19" tableColumnId="198"/>
      <queryTableField id="1392" name="Blood Effect 20" tableColumnId="199"/>
      <queryTableField id="1808" name="Blood Effect 21" tableColumnId="422"/>
      <queryTableField id="1809" name="Blood Effect 22" tableColumnId="423"/>
      <queryTableField id="1810" name="Blood Effect 23" tableColumnId="424"/>
      <queryTableField id="1811" name="Blood Effect 24" tableColumnId="425"/>
      <queryTableField id="1812" name="Blood Effect 25" tableColumnId="426"/>
      <queryTableField id="1813" name="Blood Effect 26" tableColumnId="427"/>
      <queryTableField id="1814" name="Blood Effect 27" tableColumnId="428"/>
      <queryTableField id="1815" name="Blood Effect 28" tableColumnId="429"/>
      <queryTableField id="1816" name="Blood Effect 29" tableColumnId="430"/>
      <queryTableField id="1817" name="Blood Effect 30" tableColumnId="431"/>
      <queryTableField id="632" name="Clan Bane" tableColumnId="48"/>
      <queryTableField id="633" name="Bloodline Bane" tableColumnId="49"/>
      <queryTableField id="634" name="Other Bane 1" tableColumnId="50"/>
      <queryTableField id="635" name="Other Bane 2" tableColumnId="51"/>
      <queryTableField id="636" name="Other Bane 3" tableColumnId="52"/>
      <queryTableField id="638" name="Clan Bane Effect" tableColumnId="54"/>
      <queryTableField id="639" name="Bloodline Bane Effect" tableColumnId="55"/>
      <queryTableField id="640" name="Other Bane Effect 1" tableColumnId="69"/>
      <queryTableField id="641" name="Other Bane Effect 2" tableColumnId="70"/>
      <queryTableField id="642" name="Other Bane Effect 3" tableColumnId="71"/>
      <queryTableField id="191" name="Size" tableColumnId="122"/>
      <queryTableField id="188" name="Speed" tableColumnId="119"/>
      <queryTableField id="189" name="Defence" tableColumnId="120"/>
      <queryTableField id="1959" name="Mask 1WP" tableColumnId="232"/>
      <queryTableField id="1960" name="Mask AllWP" tableColumnId="233"/>
      <queryTableField id="1961" name="Dirge 1WP" tableColumnId="234"/>
      <queryTableField id="1962" name="Dirge AllWP" tableColumnId="235"/>
      <queryTableField id="1610" name="Aspiration 1" tableColumnId="203"/>
      <queryTableField id="1611" name="Aspiration 2" tableColumnId="204"/>
      <queryTableField id="1612" name="Aspiration 3" tableColumnId="205"/>
      <queryTableField id="1958" name="Apparent Age" tableColumnId="231"/>
      <queryTableField id="1967" name="Features" tableColumnId="23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19C580-B4C4-489D-B99B-A01C5F6C872A}" name="tblCharacterCapture" displayName="tblCharacterCapture" ref="A1:NA31" tableType="queryTable" totalsRowShown="0" headerRowDxfId="94">
  <autoFilter ref="A1:NA31" xr:uid="{C619C580-B4C4-489D-B99B-A01C5F6C872A}"/>
  <sortState xmlns:xlrd2="http://schemas.microsoft.com/office/spreadsheetml/2017/richdata2" ref="A2:NA31">
    <sortCondition ref="A1:A31"/>
  </sortState>
  <tableColumns count="365">
    <tableColumn id="43" xr3:uid="{EE8025A0-E0E7-4BC9-AA55-07098F6D48F2}" uniqueName="43" name="Sheet" queryTableFieldId="43" dataDxfId="93"/>
    <tableColumn id="124" xr3:uid="{A6D4B05D-86EE-4B8B-8D81-C452725A7D09}" uniqueName="124" name="Date" queryTableFieldId="197" dataDxfId="92"/>
    <tableColumn id="45" xr3:uid="{48E3995F-ED0B-42AE-BE44-211E1EC3FAFD}" uniqueName="45" name="XP Left" queryTableFieldId="1291"/>
    <tableColumn id="334" xr3:uid="{98D8E959-D1C4-4A02-8DB8-82EF1A401D6A}" uniqueName="334" name="XP Total" queryTableFieldId="1720"/>
    <tableColumn id="1" xr3:uid="{445753D2-77DB-48C6-89EF-7C90E1784686}" uniqueName="1" name="Player Name" queryTableFieldId="624"/>
    <tableColumn id="2" xr3:uid="{96159067-FF4C-4893-AF04-5B53E1FA4BCC}" uniqueName="2" name="Character Name" queryTableFieldId="625"/>
    <tableColumn id="3" xr3:uid="{5117AFD0-8E4D-4742-882C-E5F048AF6106}" uniqueName="3" name="Concept" queryTableFieldId="3" dataDxfId="91"/>
    <tableColumn id="280" xr3:uid="{0EF6049C-897C-4FCE-8F11-AF426AF7D3D6}" uniqueName="280" name="Pronouns" queryTableFieldId="934"/>
    <tableColumn id="6" xr3:uid="{7ABAEEE5-2BE1-40D0-8748-7C2C3894293F}" uniqueName="6" name="Clan" queryTableFieldId="6" dataDxfId="90"/>
    <tableColumn id="200" xr3:uid="{60981256-B73E-4A9D-A681-E7A47DA014E6}" uniqueName="200" name="Clan Icon" queryTableFieldId="1605"/>
    <tableColumn id="7" xr3:uid="{D72EADC1-CF3E-40E3-8438-B479F4C4B0C2}" uniqueName="7" name="Bloodline" queryTableFieldId="1293"/>
    <tableColumn id="8" xr3:uid="{2A83E097-78FC-44AE-B5B1-31983C36641A}" uniqueName="8" name="Covenant" queryTableFieldId="8" dataDxfId="89"/>
    <tableColumn id="201" xr3:uid="{A7FDA2A8-3A4A-4FB1-AD26-D1F033EFEBE3}" uniqueName="201" name="Covenant Icon" queryTableFieldId="1606"/>
    <tableColumn id="4" xr3:uid="{B6F47437-9384-4A09-BE3E-9985ADD1EAB3}" uniqueName="4" name="Mask" queryTableFieldId="4" dataDxfId="88"/>
    <tableColumn id="5" xr3:uid="{CFF82F65-8590-4612-B585-C223925A096D}" uniqueName="5" name="Dirge" queryTableFieldId="5" dataDxfId="87"/>
    <tableColumn id="44" xr3:uid="{9BB83BA9-7A16-4C85-8507-2F9C1291B551}" uniqueName="44" name="Court Title" queryTableFieldId="628"/>
    <tableColumn id="10" xr3:uid="{E54B04F4-5157-4440-8DDA-0DCDAC624CCC}" uniqueName="10" name="Intelligence" queryTableFieldId="9"/>
    <tableColumn id="11" xr3:uid="{4B5880EA-B67C-48BA-BF74-91F9ECEB404D}" uniqueName="11" name="Wits" queryTableFieldId="10"/>
    <tableColumn id="12" xr3:uid="{E872231E-1EB5-4A62-9E22-FE7383BE902A}" uniqueName="12" name="Resolve" queryTableFieldId="11"/>
    <tableColumn id="13" xr3:uid="{8F15E043-A76D-49C3-BCD3-EDDE562042B9}" uniqueName="13" name="Strength" queryTableFieldId="12"/>
    <tableColumn id="14" xr3:uid="{5383758D-C61A-40D2-AD67-5CDA45A70676}" uniqueName="14" name="Dexterity" queryTableFieldId="13"/>
    <tableColumn id="15" xr3:uid="{71A916EE-CC94-45C2-BABA-32ADFB52A176}" uniqueName="15" name="Stamina" queryTableFieldId="14"/>
    <tableColumn id="16" xr3:uid="{D0626A0F-BD52-4F6A-9D64-1985398DDEA0}" uniqueName="16" name="Presence" queryTableFieldId="15"/>
    <tableColumn id="17" xr3:uid="{13861402-B07B-4B95-808F-149D1FEC7A7B}" uniqueName="17" name="Manipulation" queryTableFieldId="16"/>
    <tableColumn id="18" xr3:uid="{784FE9D7-5533-4240-997B-0EEE565976F4}" uniqueName="18" name="Composure" queryTableFieldId="17"/>
    <tableColumn id="19" xr3:uid="{304E633D-CFF8-4E0E-8FCC-B1318102C9CD}" uniqueName="19" name="Academics" queryTableFieldId="19"/>
    <tableColumn id="20" xr3:uid="{8BB183F5-452C-41DD-B964-352113900815}" uniqueName="20" name="Computer" queryTableFieldId="20"/>
    <tableColumn id="21" xr3:uid="{9F01DE48-9AA0-4563-A62B-7C73A1EB5C7F}" uniqueName="21" name="Crafts" queryTableFieldId="21"/>
    <tableColumn id="22" xr3:uid="{B5F387E5-62CE-4B9E-984D-298848DA662F}" uniqueName="22" name="Investigation" queryTableFieldId="22"/>
    <tableColumn id="23" xr3:uid="{B6CA287C-015F-4A04-B694-C96AA0A53ABD}" uniqueName="23" name="Medicine" queryTableFieldId="23"/>
    <tableColumn id="24" xr3:uid="{07B7A843-CB2B-4A43-8C46-413FF33327BC}" uniqueName="24" name="Occult" queryTableFieldId="24"/>
    <tableColumn id="25" xr3:uid="{784ACE69-F8C5-488E-820E-911DC977CFC9}" uniqueName="25" name="Politics" queryTableFieldId="25"/>
    <tableColumn id="26" xr3:uid="{387C2D5D-8CC4-46F3-84CA-CE2D978CF1FD}" uniqueName="26" name="Science" queryTableFieldId="26"/>
    <tableColumn id="27" xr3:uid="{FD984A6B-826C-48A6-B5B8-06BC967308BA}" uniqueName="27" name="Athletics" queryTableFieldId="27"/>
    <tableColumn id="28" xr3:uid="{EB28F487-1B52-411C-9623-4123F86AE8A9}" uniqueName="28" name="Brawl" queryTableFieldId="28"/>
    <tableColumn id="29" xr3:uid="{4C509DA6-7E3F-4063-B770-FC44AAF7DAFA}" uniqueName="29" name="Drive" queryTableFieldId="29"/>
    <tableColumn id="30" xr3:uid="{085371E4-DD5D-4F42-923C-06C7A0B60F1A}" uniqueName="30" name="Firearms" queryTableFieldId="30"/>
    <tableColumn id="31" xr3:uid="{DFF04F83-A04A-4CC9-9872-98EFE789E2D6}" uniqueName="31" name="Larceny" queryTableFieldId="31"/>
    <tableColumn id="32" xr3:uid="{D88E6971-9F6D-4187-8BDE-C2D52A0ACB5E}" uniqueName="32" name="Stealth" queryTableFieldId="32"/>
    <tableColumn id="33" xr3:uid="{0876363E-9279-490A-ACD1-FE3C6B0532FB}" uniqueName="33" name="Survival" queryTableFieldId="33"/>
    <tableColumn id="34" xr3:uid="{87E10151-509E-4EEE-B518-E7B15B77F106}" uniqueName="34" name="Weaponry" queryTableFieldId="34"/>
    <tableColumn id="35" xr3:uid="{575048B3-0545-4690-AE8F-8CA38736D573}" uniqueName="35" name="Animal Ken" queryTableFieldId="35"/>
    <tableColumn id="36" xr3:uid="{A1EE0922-C6F6-443C-AE2E-1035541C4593}" uniqueName="36" name="Empathy" queryTableFieldId="36"/>
    <tableColumn id="37" xr3:uid="{32425A49-DF0E-42B6-B99A-F55DB7C9DE0E}" uniqueName="37" name="Expression" queryTableFieldId="37"/>
    <tableColumn id="38" xr3:uid="{C9BD4DEA-4CDD-4265-824B-19CFFBD6FD89}" uniqueName="38" name="Intimidation" queryTableFieldId="38"/>
    <tableColumn id="39" xr3:uid="{1C80B6F3-673A-47BC-A814-43D19756E1DF}" uniqueName="39" name="Persuasion" queryTableFieldId="39"/>
    <tableColumn id="40" xr3:uid="{2FA5685B-F90A-4AE3-8904-BC6D75A07450}" uniqueName="40" name="Socialise" queryTableFieldId="40"/>
    <tableColumn id="41" xr3:uid="{30BB1F7C-6B93-4675-8BCE-775BB8A02FDF}" uniqueName="41" name="Streetwise" queryTableFieldId="41"/>
    <tableColumn id="42" xr3:uid="{D28FE8CC-0928-45A1-B148-FB161B2754A7}" uniqueName="42" name="Subterfuge" queryTableFieldId="42"/>
    <tableColumn id="272" xr3:uid="{CEDD4C1F-106E-470F-812F-65AE2C82789C}" uniqueName="272" name="Blood Potency" queryTableFieldId="914"/>
    <tableColumn id="206" xr3:uid="{8CCB655A-B2CC-4934-ABDB-2B297278B391}" uniqueName="206" name="BP" queryTableFieldId="1615"/>
    <tableColumn id="208" xr3:uid="{50A65013-53B1-43D1-AA11-7EBC228AE87B}" uniqueName="208" name="BP Icon" queryTableFieldId="1619"/>
    <tableColumn id="98" xr3:uid="{B58C1D8F-D9BA-4072-A3F1-ABC96813F097}" uniqueName="98" name="Health" queryTableFieldId="167"/>
    <tableColumn id="102" xr3:uid="{C46D5D75-8AC5-4EB3-A285-17FBC23A1A55}" uniqueName="102" name="Willpower" queryTableFieldId="171"/>
    <tableColumn id="237" xr3:uid="{9B893892-1252-44A9-9849-698B822C8286}" uniqueName="237" name="Willpower Squares" queryTableFieldId="1969"/>
    <tableColumn id="9" xr3:uid="{7AE9F517-91B2-4016-958C-B2AF315B2189}" uniqueName="9" name="Vitae" queryTableFieldId="1294"/>
    <tableColumn id="238" xr3:uid="{54FAB344-789D-41EF-85DB-654E08B78797}" uniqueName="238" name="Vitae Squares" queryTableFieldId="1970"/>
    <tableColumn id="278" xr3:uid="{8F7728BE-C57E-4A59-B788-B464FEF14749}" uniqueName="278" name="Vitae Per Turn" queryTableFieldId="920"/>
    <tableColumn id="73" xr3:uid="{287C9204-E78C-4170-8D8A-172F53AE407F}" uniqueName="73" name="Can Feed From" queryTableFieldId="644"/>
    <tableColumn id="283" xr3:uid="{3024BB8D-31CD-4F2B-96E3-4ECDAA7E1EA9}" uniqueName="283" name="Academics Spec" queryTableFieldId="940"/>
    <tableColumn id="284" xr3:uid="{CB050B47-6EFC-4712-A732-BD4C85C9F213}" uniqueName="284" name="Computer Spec" queryTableFieldId="941"/>
    <tableColumn id="285" xr3:uid="{E6A972EC-6D69-40A9-87E0-318464DFFD73}" uniqueName="285" name="Crafts Spec" queryTableFieldId="942"/>
    <tableColumn id="286" xr3:uid="{489D113F-CA1C-42B5-B7FF-C8BDF39338A6}" uniqueName="286" name="Investigation Spec" queryTableFieldId="943"/>
    <tableColumn id="287" xr3:uid="{2884C7A2-56FD-4E15-8F57-B8AFBFDA8B1E}" uniqueName="287" name="Medicine Spec" queryTableFieldId="944"/>
    <tableColumn id="288" xr3:uid="{62D692DA-7CFE-4D70-9A99-BB37B51CC955}" uniqueName="288" name="Occult Spec" queryTableFieldId="945"/>
    <tableColumn id="289" xr3:uid="{A404FABC-7F26-4FD4-AC63-B758535CA290}" uniqueName="289" name="Politics Spec" queryTableFieldId="946"/>
    <tableColumn id="290" xr3:uid="{43C7C539-6206-47E1-8E7F-A8517F9035C6}" uniqueName="290" name="Science Spec" queryTableFieldId="947"/>
    <tableColumn id="291" xr3:uid="{47721CE6-CA51-47E1-A49B-B349B9479EFC}" uniqueName="291" name="Athletics Spec" queryTableFieldId="948"/>
    <tableColumn id="292" xr3:uid="{B91E7DB6-6E0B-4914-B828-FEF4D0AE07B8}" uniqueName="292" name="Brawl Spec" queryTableFieldId="949"/>
    <tableColumn id="293" xr3:uid="{44F8AE91-5456-4957-889B-F6E59A23940C}" uniqueName="293" name="Drive Spec" queryTableFieldId="950"/>
    <tableColumn id="294" xr3:uid="{1FDF3B01-3446-4265-BA65-369BB6A5BEB1}" uniqueName="294" name="Firearms Spec" queryTableFieldId="951"/>
    <tableColumn id="295" xr3:uid="{06C65456-C71C-4862-8658-9355C9107246}" uniqueName="295" name="Larceny Spec" queryTableFieldId="952"/>
    <tableColumn id="296" xr3:uid="{721EE9CC-DF20-4EBA-8281-CDE39C02AC63}" uniqueName="296" name="Stealth Spec" queryTableFieldId="953"/>
    <tableColumn id="297" xr3:uid="{6BA7BBA3-FBB9-43CC-BCA9-A69D9F2E3339}" uniqueName="297" name="Survival Spec" queryTableFieldId="954"/>
    <tableColumn id="298" xr3:uid="{B8351D7E-F732-44F4-AA26-4681143A6E10}" uniqueName="298" name="Weaponry Spec" queryTableFieldId="955"/>
    <tableColumn id="299" xr3:uid="{4AEFF285-8723-4879-A270-BDD03E64375D}" uniqueName="299" name="Animal Ken Spec" queryTableFieldId="956"/>
    <tableColumn id="300" xr3:uid="{177E037F-1748-4220-A7D3-EAF20D638EDD}" uniqueName="300" name="Empathy Spec" queryTableFieldId="957"/>
    <tableColumn id="301" xr3:uid="{C60F3FDB-4F8F-4266-83CF-ECB62D96D97C}" uniqueName="301" name="Expression Spec" queryTableFieldId="958"/>
    <tableColumn id="302" xr3:uid="{C29E4F00-A4D5-4614-9CBF-F83FD1CA107B}" uniqueName="302" name="Intimidation Spec" queryTableFieldId="959"/>
    <tableColumn id="303" xr3:uid="{60A44493-B482-4962-8B4B-BAAA33BAF110}" uniqueName="303" name="Persuasion Spec" queryTableFieldId="960"/>
    <tableColumn id="304" xr3:uid="{60373421-3882-4D96-9F3D-EF647AB336B1}" uniqueName="304" name="Socialise Spec" queryTableFieldId="961"/>
    <tableColumn id="305" xr3:uid="{0940B611-26DD-4131-821D-1A70334535C6}" uniqueName="305" name="Streetwise Spec" queryTableFieldId="962"/>
    <tableColumn id="306" xr3:uid="{B3FA618D-B9C1-4020-8808-ECD3C7C4A669}" uniqueName="306" name="Subterfuge Spec" queryTableFieldId="963"/>
    <tableColumn id="61" xr3:uid="{C93D08DA-27FD-4049-997F-A670D30F1636}" uniqueName="61" name="City Status" queryTableFieldId="141"/>
    <tableColumn id="56" xr3:uid="{5293ACA2-E203-4E13-B232-9EB14495C0B0}" uniqueName="56" name="Clan Status" queryTableFieldId="130"/>
    <tableColumn id="202" xr3:uid="{0D96F93E-06F5-4755-8454-67DF563F596F}" uniqueName="202" name="Covenant Status" queryTableFieldId="1609"/>
    <tableColumn id="46" xr3:uid="{D171758A-7028-4A0C-A911-6C0990D1F595}" uniqueName="46" name="Covenant 1" queryTableFieldId="1295"/>
    <tableColumn id="47" xr3:uid="{E435F604-24AA-4251-8685-D5A1FE878DD3}" uniqueName="47" name="Covenant Status 1" queryTableFieldId="1296"/>
    <tableColumn id="53" xr3:uid="{B5DC5F49-7832-46CD-A3AD-B8F37E88B5A9}" uniqueName="53" name="Covenant 2" queryTableFieldId="1297"/>
    <tableColumn id="58" xr3:uid="{03D885B4-9B08-48F8-B493-CD2ECEDE3CAC}" uniqueName="58" name="Covenant Status 2" queryTableFieldId="1298"/>
    <tableColumn id="72" xr3:uid="{9AC93686-80E2-4C8A-BBDC-D3125A7EA57E}" uniqueName="72" name="Covenant 3" queryTableFieldId="1299"/>
    <tableColumn id="94" xr3:uid="{9F8A125B-FDCE-425B-8A2E-085BBDAC86B1}" uniqueName="94" name="Covenant Status 3" queryTableFieldId="1300"/>
    <tableColumn id="95" xr3:uid="{9171827E-3D03-4BA0-B7CF-5B94DD6DAAAD}" uniqueName="95" name="Covenant 4" queryTableFieldId="1301"/>
    <tableColumn id="96" xr3:uid="{16461DD0-91AA-40FA-93A1-A858C576EDBE}" uniqueName="96" name="Covenant Status 4" queryTableFieldId="1302"/>
    <tableColumn id="335" xr3:uid="{D2BA4712-8560-42BB-91A2-37FE6E2915BF}" uniqueName="335" name="Safe Place" queryTableFieldId="1721"/>
    <tableColumn id="210" xr3:uid="{831F60B9-E577-4F87-86A2-07CEB0B7B15D}" uniqueName="210" name="Haven" queryTableFieldId="1916"/>
    <tableColumn id="337" xr3:uid="{2A18D2CE-AFEA-4EDF-937F-C285850D3262}" uniqueName="337" name="Feeding Grounds" queryTableFieldId="1723"/>
    <tableColumn id="338" xr3:uid="{D03D5BEF-114D-445A-BF7D-8302D9E84496}" uniqueName="338" name="Herd" queryTableFieldId="1724"/>
    <tableColumn id="339" xr3:uid="{B905A835-9EFA-4BBC-B87E-D038AE099B08}" uniqueName="339" name="Mystery Cult Initiation" queryTableFieldId="1725"/>
    <tableColumn id="239" xr3:uid="{B8E8F40F-6E6C-44E5-9D03-A5C4CCAAF2F6}" uniqueName="239" name="Mystery Cult Name" queryTableFieldId="1971"/>
    <tableColumn id="340" xr3:uid="{AFC3F347-81F1-4DB5-A108-DED68837075B}" uniqueName="340" name="Professional Training" queryTableFieldId="1726"/>
    <tableColumn id="240" xr3:uid="{1EA66BF6-8285-4BB8-80C4-97E21A118279}" uniqueName="240" name="Prof Training Role" queryTableFieldId="1972"/>
    <tableColumn id="207" xr3:uid="{D7BC63CD-0F81-4ED3-9099-374D6996648E}" uniqueName="207" name="Hum" queryTableFieldId="1616"/>
    <tableColumn id="209" xr3:uid="{944585DF-5D07-49DD-A290-89AFD88F661A}" uniqueName="209" name="Hum Icon" queryTableFieldId="1620"/>
    <tableColumn id="97" xr3:uid="{D87A574F-37E9-46E2-A18C-9F448E4892AB}" uniqueName="97" name="Humanity 10" queryTableFieldId="1303"/>
    <tableColumn id="99" xr3:uid="{B6A6C352-6989-4612-8AC4-82F2762D82FC}" uniqueName="99" name="Humanity 9" queryTableFieldId="1304"/>
    <tableColumn id="100" xr3:uid="{B50D2EA0-7C5A-438D-8BA1-4120D95C9803}" uniqueName="100" name="Humanity 8" queryTableFieldId="1305"/>
    <tableColumn id="101" xr3:uid="{A2BB5025-8A0B-4224-A017-F0837BCBC28A}" uniqueName="101" name="Humanity 7" queryTableFieldId="1306"/>
    <tableColumn id="103" xr3:uid="{5BB8E57A-0681-48A1-9F48-9E302135381F}" uniqueName="103" name="Humanity 6" queryTableFieldId="1307"/>
    <tableColumn id="104" xr3:uid="{147FA706-B1B7-43EF-A3F7-467D8587850A}" uniqueName="104" name="Humanity 5" queryTableFieldId="1308"/>
    <tableColumn id="105" xr3:uid="{CCF88EDC-B604-4CD4-8548-833A25AC9380}" uniqueName="105" name="Humanity 4" queryTableFieldId="1309"/>
    <tableColumn id="106" xr3:uid="{14ACD116-2DD6-4D45-9D87-4DB97231DB2B}" uniqueName="106" name="Humanity 3" queryTableFieldId="1310"/>
    <tableColumn id="107" xr3:uid="{DA3F418B-F3BD-4BCF-BD23-A6205F98680F}" uniqueName="107" name="Humanity 2" queryTableFieldId="1311"/>
    <tableColumn id="108" xr3:uid="{0371D4D1-0E7C-4197-919B-9295B4C83D28}" uniqueName="108" name="Humanity 1" queryTableFieldId="1312"/>
    <tableColumn id="74" xr3:uid="{0DAE52FC-CB86-4CA9-B44E-EFB110444889}" uniqueName="74" name="Merit 1" queryTableFieldId="645"/>
    <tableColumn id="75" xr3:uid="{38BAD5F4-F383-431F-92F1-C9A1740F4BC5}" uniqueName="75" name="Merit 2" queryTableFieldId="646"/>
    <tableColumn id="76" xr3:uid="{19B138BC-5B31-4D8E-BB2E-1A556B6264E4}" uniqueName="76" name="Merit 3" queryTableFieldId="647"/>
    <tableColumn id="77" xr3:uid="{2FCB1978-87D8-455C-890E-D7C92409C800}" uniqueName="77" name="Merit 4" queryTableFieldId="648"/>
    <tableColumn id="78" xr3:uid="{26FD5B1C-8FC2-4234-8181-EC62D8C5F3E3}" uniqueName="78" name="Merit 5" queryTableFieldId="649"/>
    <tableColumn id="79" xr3:uid="{93974DE4-BB82-4E93-9A53-327D0822FEB6}" uniqueName="79" name="Merit 6" queryTableFieldId="650"/>
    <tableColumn id="80" xr3:uid="{DD042D10-F3B0-4059-934B-6132EF85AB85}" uniqueName="80" name="Merit 7" queryTableFieldId="651"/>
    <tableColumn id="81" xr3:uid="{E129D7E1-0AFD-420E-A741-A69173994AFF}" uniqueName="81" name="Merit 8" queryTableFieldId="652"/>
    <tableColumn id="82" xr3:uid="{CFA04980-1D45-4D6B-AF59-995223F9F48E}" uniqueName="82" name="Merit 9" queryTableFieldId="653"/>
    <tableColumn id="83" xr3:uid="{589A502C-C13A-48DE-9D17-3405AE856E30}" uniqueName="83" name="Merit 10" queryTableFieldId="654"/>
    <tableColumn id="84" xr3:uid="{53B7FDFC-1E88-457D-A822-0DA986417BBF}" uniqueName="84" name="Merit 11" queryTableFieldId="655"/>
    <tableColumn id="85" xr3:uid="{FDDCBF60-2ECB-4A78-9BED-605B46EC99C8}" uniqueName="85" name="Merit 12" queryTableFieldId="656"/>
    <tableColumn id="86" xr3:uid="{09A1138D-982E-4475-8E2B-8D1569A75613}" uniqueName="86" name="Merit 13" queryTableFieldId="657"/>
    <tableColumn id="87" xr3:uid="{1EE57F00-8532-4213-85F5-2E98167156AD}" uniqueName="87" name="Merit 14" queryTableFieldId="658"/>
    <tableColumn id="88" xr3:uid="{9AE5501E-42C4-47D2-8921-1E69D3A3D2B1}" uniqueName="88" name="Merit 15" queryTableFieldId="659"/>
    <tableColumn id="89" xr3:uid="{6A7531C1-17FD-4A2F-B5DE-69B8EFACCAF4}" uniqueName="89" name="Merit 16" queryTableFieldId="660"/>
    <tableColumn id="90" xr3:uid="{F4192DA5-5E90-4022-AF18-F76F008C3038}" uniqueName="90" name="Merit 17" queryTableFieldId="661"/>
    <tableColumn id="91" xr3:uid="{901D5C37-A5F9-4F98-B22D-0546120A9CDE}" uniqueName="91" name="Merit 18" queryTableFieldId="662"/>
    <tableColumn id="92" xr3:uid="{277E2F71-EABB-4284-BC9E-500C6CD3FB7C}" uniqueName="92" name="Merit 19" queryTableFieldId="663"/>
    <tableColumn id="93" xr3:uid="{704C1A9A-BFC8-40DE-8541-9C317E93F45E}" uniqueName="93" name="Merit 20" queryTableFieldId="664"/>
    <tableColumn id="341" xr3:uid="{3068C91D-2475-4C76-8CE8-4D988FAF533F}" uniqueName="341" name="Merit 21" queryTableFieldId="1727"/>
    <tableColumn id="342" xr3:uid="{D0B2C9E8-B3E8-40F9-B33A-478C7CB18B9E}" uniqueName="342" name="Merit 22" queryTableFieldId="1728"/>
    <tableColumn id="343" xr3:uid="{578BA3C8-0138-4D87-8234-B7D54F34D661}" uniqueName="343" name="Merit 23" queryTableFieldId="1729"/>
    <tableColumn id="344" xr3:uid="{80D9C9E0-9C49-419A-94C7-8E0AD7523782}" uniqueName="344" name="Merit 24" queryTableFieldId="1730"/>
    <tableColumn id="345" xr3:uid="{241F2B07-EFFA-4AC8-B8CC-73730D0AF998}" uniqueName="345" name="Merit 25" queryTableFieldId="1731"/>
    <tableColumn id="346" xr3:uid="{65951192-13AD-45DB-9DFF-D10E8B25EA42}" uniqueName="346" name="Merit 26" queryTableFieldId="1732"/>
    <tableColumn id="347" xr3:uid="{584CBB7B-7CF0-46AB-BD6F-9790D07C9E03}" uniqueName="347" name="Merit 27" queryTableFieldId="1733"/>
    <tableColumn id="348" xr3:uid="{A7DA25C0-E5F7-4866-A3B6-33910C4466E9}" uniqueName="348" name="Merit 28" queryTableFieldId="1734"/>
    <tableColumn id="349" xr3:uid="{C2F03E8B-EB90-4A44-B6D2-2A4414E839EF}" uniqueName="349" name="Merit 29" queryTableFieldId="1735"/>
    <tableColumn id="350" xr3:uid="{04B83B59-7CD8-4DB0-8DFB-AC1DE2200B8A}" uniqueName="350" name="Merit 30" queryTableFieldId="1736"/>
    <tableColumn id="109" xr3:uid="{EEC31AF4-383A-4ED9-8081-26EBE298AA5C}" uniqueName="109" name="Merit Effect 1" queryTableFieldId="1313"/>
    <tableColumn id="110" xr3:uid="{E7DEC642-DD5E-4111-9D42-3A7206C22FD0}" uniqueName="110" name="Merit Effect 2" queryTableFieldId="1314"/>
    <tableColumn id="111" xr3:uid="{769A06E6-36C3-4469-9969-237D2833F90C}" uniqueName="111" name="Merit Effect 3" queryTableFieldId="1315"/>
    <tableColumn id="112" xr3:uid="{185CF770-A80B-4727-BE92-5492A5EC2707}" uniqueName="112" name="Merit Effect 4" queryTableFieldId="1316"/>
    <tableColumn id="113" xr3:uid="{EFBA2C9F-38EB-4472-9ECF-455542D472CE}" uniqueName="113" name="Merit Effect 5" queryTableFieldId="1317"/>
    <tableColumn id="114" xr3:uid="{CBB3E3A0-7448-4195-8AE3-4F12EFBF1777}" uniqueName="114" name="Merit Effect 6" queryTableFieldId="1318"/>
    <tableColumn id="115" xr3:uid="{226F1A1C-3FC2-4228-ABEA-C48224196DA2}" uniqueName="115" name="Merit Effect 7" queryTableFieldId="1319"/>
    <tableColumn id="116" xr3:uid="{62D6508F-37EA-4D74-9319-62C8B21CE7FA}" uniqueName="116" name="Merit Effect 8" queryTableFieldId="1320"/>
    <tableColumn id="117" xr3:uid="{1B7F61D0-8EB9-41F1-A2A0-4552405AF84F}" uniqueName="117" name="Merit Effect 9" queryTableFieldId="1321"/>
    <tableColumn id="118" xr3:uid="{1DF5A68F-7940-4D5E-8012-832C0D418BF0}" uniqueName="118" name="Merit Effect 10" queryTableFieldId="1322"/>
    <tableColumn id="121" xr3:uid="{5EEA543E-2BEC-4A29-A6D7-B4C8583E0477}" uniqueName="121" name="Merit Effect 11" queryTableFieldId="1323"/>
    <tableColumn id="123" xr3:uid="{2ACD19CA-BCC4-4EE9-B63F-19F3B5596B4B}" uniqueName="123" name="Merit Effect 12" queryTableFieldId="1324"/>
    <tableColumn id="125" xr3:uid="{9221A3C9-56A3-4902-B9F8-69FE7EC30742}" uniqueName="125" name="Merit Effect 13" queryTableFieldId="1325"/>
    <tableColumn id="126" xr3:uid="{CE607F3F-0F6A-402C-99E3-7FA9B884DF87}" uniqueName="126" name="Merit Effect 14" queryTableFieldId="1326"/>
    <tableColumn id="127" xr3:uid="{D28DDE5C-2483-4545-AB21-38C2D45CD639}" uniqueName="127" name="Merit Effect 15" queryTableFieldId="1327"/>
    <tableColumn id="128" xr3:uid="{B4008222-4AE4-491C-AC18-8F23572AF6CA}" uniqueName="128" name="Merit Effect 16" queryTableFieldId="1328"/>
    <tableColumn id="129" xr3:uid="{9018B180-6643-4EEF-B1DA-91F2D34CF128}" uniqueName="129" name="Merit Effect 17" queryTableFieldId="1329"/>
    <tableColumn id="130" xr3:uid="{5AA3A036-3360-4C99-B7F5-040643E7E225}" uniqueName="130" name="Merit Effect 18" queryTableFieldId="1330"/>
    <tableColumn id="131" xr3:uid="{BA6E611A-C50D-4AB1-A5E0-C2E6B9CFFC7B}" uniqueName="131" name="Merit Effect 19" queryTableFieldId="1331"/>
    <tableColumn id="132" xr3:uid="{4D9037DB-B81F-4FAC-8883-F33F1619E5B0}" uniqueName="132" name="Merit Effect 20" queryTableFieldId="1332"/>
    <tableColumn id="351" xr3:uid="{7D36299C-AEDD-44CA-80DE-382A9B580A23}" uniqueName="351" name="Merit Effect 21" queryTableFieldId="1737"/>
    <tableColumn id="352" xr3:uid="{AEAAEE43-ACE2-4FC7-B04A-4B8A85D7DB7F}" uniqueName="352" name="Merit Effect 22" queryTableFieldId="1738"/>
    <tableColumn id="353" xr3:uid="{DF94442C-89D6-403F-973E-324451AA3C96}" uniqueName="353" name="Merit Effect 23" queryTableFieldId="1739"/>
    <tableColumn id="354" xr3:uid="{2EADBDBC-B372-44F5-A647-D7DBC01C09DB}" uniqueName="354" name="Merit Effect 24" queryTableFieldId="1740"/>
    <tableColumn id="355" xr3:uid="{1C86E0E7-DA7D-4AAA-9F28-6061C5DCB596}" uniqueName="355" name="Merit Effect 25" queryTableFieldId="1741"/>
    <tableColumn id="356" xr3:uid="{06C0DED2-7816-493E-BB2E-4F3BC61B9E62}" uniqueName="356" name="Merit Effect 26" queryTableFieldId="1742"/>
    <tableColumn id="357" xr3:uid="{EF4B5D5F-6BF7-4D95-8E60-F95813DEB57B}" uniqueName="357" name="Merit Effect 27" queryTableFieldId="1743"/>
    <tableColumn id="358" xr3:uid="{0CC002F3-DE2D-46CD-853C-6EA9C51C6498}" uniqueName="358" name="Merit Effect 28" queryTableFieldId="1744"/>
    <tableColumn id="359" xr3:uid="{D5DF3AAD-F797-4BBA-9E7A-A230F3849A4A}" uniqueName="359" name="Merit Effect 29" queryTableFieldId="1745"/>
    <tableColumn id="360" xr3:uid="{180BA19B-C80A-47EF-B1B4-E247664096E7}" uniqueName="360" name="Merit Effect 30" queryTableFieldId="1746"/>
    <tableColumn id="361" xr3:uid="{80E645C9-0AC5-463E-9A8F-802328062CDB}" uniqueName="361" name="Influence" queryTableFieldId="1747"/>
    <tableColumn id="241" xr3:uid="{E52C09CF-7449-4015-BBF1-F9304216711D}" uniqueName="241" name="Influence Squares" queryTableFieldId="1973"/>
    <tableColumn id="362" xr3:uid="{0D2B8DFA-C66F-482F-9C45-1488B23C7958}" uniqueName="362" name="Influence 1" queryTableFieldId="1748"/>
    <tableColumn id="363" xr3:uid="{7A2F79A1-EEE8-4E2F-B1F3-4D2213C6CCA7}" uniqueName="363" name="Influence 2" queryTableFieldId="1749"/>
    <tableColumn id="364" xr3:uid="{5CEC8E3A-108B-450B-99E4-10C9691C190D}" uniqueName="364" name="Influence 3" queryTableFieldId="1750"/>
    <tableColumn id="365" xr3:uid="{E1F23C9A-B31F-495B-B495-69CF3ABFDF5A}" uniqueName="365" name="Influence 4" queryTableFieldId="1751"/>
    <tableColumn id="366" xr3:uid="{377A8B0D-77E8-40B4-AA54-3EAFEDF6A627}" uniqueName="366" name="Influence 5" queryTableFieldId="1752"/>
    <tableColumn id="367" xr3:uid="{4D4EB07D-1509-4E36-ACBF-511A0BE55271}" uniqueName="367" name="Influence 6" queryTableFieldId="1753"/>
    <tableColumn id="368" xr3:uid="{EE2C100C-31B1-49E2-B4DB-E95D61788B14}" uniqueName="368" name="Influence 7" queryTableFieldId="1754"/>
    <tableColumn id="369" xr3:uid="{280E58BE-1FC8-4F2E-91C1-DB98F7931FEB}" uniqueName="369" name="Influence 8" queryTableFieldId="1755"/>
    <tableColumn id="370" xr3:uid="{4F2A2101-4E5D-49C7-B053-406D38185F1F}" uniqueName="370" name="Influence 9" queryTableFieldId="1756"/>
    <tableColumn id="371" xr3:uid="{B0C838F1-C817-474B-A5A2-9801D32D89D2}" uniqueName="371" name="Influence 10" queryTableFieldId="1757"/>
    <tableColumn id="372" xr3:uid="{94D51682-52B9-48A1-9A94-4EDDF022C9B4}" uniqueName="372" name="Influence 11" queryTableFieldId="1758"/>
    <tableColumn id="373" xr3:uid="{A4DBBE1C-F62E-43B1-BB6C-E872D6C33852}" uniqueName="373" name="Influence 12" queryTableFieldId="1759"/>
    <tableColumn id="374" xr3:uid="{19B2CF28-B738-4B4D-932D-46DEA739ABC1}" uniqueName="374" name="Influence 13" queryTableFieldId="1760"/>
    <tableColumn id="375" xr3:uid="{54D1F619-2290-4D3D-9900-1829F8BDEEBF}" uniqueName="375" name="Influence 14" queryTableFieldId="1761"/>
    <tableColumn id="376" xr3:uid="{7AE42F79-0595-4DA1-ACFE-5FBEC31A2CB6}" uniqueName="376" name="Influence 15" queryTableFieldId="1762"/>
    <tableColumn id="377" xr3:uid="{3A552CDC-3BBD-4625-BE11-1435502186F9}" uniqueName="377" name="Influence 16" queryTableFieldId="1763"/>
    <tableColumn id="378" xr3:uid="{CE56A560-9C10-47D4-A198-733C0AF3F824}" uniqueName="378" name="Influence 17" queryTableFieldId="1764"/>
    <tableColumn id="379" xr3:uid="{44E62775-0366-43DB-A99D-34C872DB53BA}" uniqueName="379" name="Influence 18" queryTableFieldId="1765"/>
    <tableColumn id="380" xr3:uid="{377ACA95-24E6-4ED6-9D91-565292F4AF5C}" uniqueName="380" name="Influence 19" queryTableFieldId="1766"/>
    <tableColumn id="381" xr3:uid="{BC7474C2-EB6E-4608-B55F-C2091D157756}" uniqueName="381" name="Influence 20" queryTableFieldId="1767"/>
    <tableColumn id="211" xr3:uid="{7864B664-35D5-4F44-9AE1-3A74A5D0A2B3}" uniqueName="211" name="Area 1" queryTableFieldId="1918"/>
    <tableColumn id="212" xr3:uid="{4E78E8D0-1B2C-489A-9888-878B0E40FC42}" uniqueName="212" name="Area 2" queryTableFieldId="1919"/>
    <tableColumn id="213" xr3:uid="{B97561F8-8B75-4361-B44B-EEA16147D5A2}" uniqueName="213" name="Area 3" queryTableFieldId="1920"/>
    <tableColumn id="214" xr3:uid="{74B9DD23-8FC6-445C-9092-474744CFAB49}" uniqueName="214" name="Area 4" queryTableFieldId="1921"/>
    <tableColumn id="215" xr3:uid="{6870B1D5-7B16-416E-88FF-0C17A65D1A85}" uniqueName="215" name="Area 5" queryTableFieldId="1922"/>
    <tableColumn id="216" xr3:uid="{A689A843-0DC8-4E36-B026-C4CE53DBE71B}" uniqueName="216" name="Area 6" queryTableFieldId="1923"/>
    <tableColumn id="217" xr3:uid="{8B9AF09D-56FA-47D5-BC0B-9707C57DF937}" uniqueName="217" name="Area 7" queryTableFieldId="1924"/>
    <tableColumn id="218" xr3:uid="{DEB6A831-8BD9-462F-8B17-390A6FA4EFCF}" uniqueName="218" name="Area 8" queryTableFieldId="1925"/>
    <tableColumn id="219" xr3:uid="{8D6C8C2E-38C0-4E1E-B996-453D5668499B}" uniqueName="219" name="Area 9" queryTableFieldId="1926"/>
    <tableColumn id="220" xr3:uid="{81A2B4B9-45AD-4711-AEF6-A20C7183E6B6}" uniqueName="220" name="Area 10" queryTableFieldId="1927"/>
    <tableColumn id="221" xr3:uid="{E12BF7EB-5665-4D5A-8CBE-3B5F241744BB}" uniqueName="221" name="Area 11" queryTableFieldId="1928"/>
    <tableColumn id="222" xr3:uid="{D3021424-65C1-45C7-9076-8FD43CC1C110}" uniqueName="222" name="Area 12" queryTableFieldId="1929"/>
    <tableColumn id="223" xr3:uid="{C8356C54-E5D1-4245-BEF1-2C8155EA7AD5}" uniqueName="223" name="Area 13" queryTableFieldId="1930"/>
    <tableColumn id="224" xr3:uid="{581EC070-F6D3-4274-8E11-9FE26886E6E1}" uniqueName="224" name="Area 14" queryTableFieldId="1931"/>
    <tableColumn id="225" xr3:uid="{35BDA370-D40E-4E87-9118-3E5C8C7379B2}" uniqueName="225" name="Area 15" queryTableFieldId="1932"/>
    <tableColumn id="226" xr3:uid="{B2811083-A752-4247-9FAF-E965C6FA208A}" uniqueName="226" name="Area 16" queryTableFieldId="1933"/>
    <tableColumn id="227" xr3:uid="{BD1A0E70-F09A-4261-98A7-5D318638C538}" uniqueName="227" name="Area 17" queryTableFieldId="1934"/>
    <tableColumn id="228" xr3:uid="{5E9DA7BB-713D-4C7F-9815-4FCA87DB03C5}" uniqueName="228" name="Area 18" queryTableFieldId="1935"/>
    <tableColumn id="229" xr3:uid="{F90ADDDE-2272-46D4-A5D4-0486C5EE13B5}" uniqueName="229" name="Area 19" queryTableFieldId="1936"/>
    <tableColumn id="230" xr3:uid="{B383AC38-4A92-4ECA-8F42-F2FC63F4D23C}" uniqueName="230" name="Area 20" queryTableFieldId="1937"/>
    <tableColumn id="382" xr3:uid="{8C776CA7-ADD9-4B90-BC74-24E925321D81}" uniqueName="382" name="Influence Dots 1" queryTableFieldId="1768"/>
    <tableColumn id="383" xr3:uid="{30DC85B9-2722-4148-94CF-E66F037B43CC}" uniqueName="383" name="Influence Dots 2" queryTableFieldId="1769"/>
    <tableColumn id="384" xr3:uid="{E80BC113-3794-45BB-9F9C-44ECBB633A74}" uniqueName="384" name="Influence Dots 3" queryTableFieldId="1770"/>
    <tableColumn id="385" xr3:uid="{0A9D4EDA-570C-4134-9082-057811DA7688}" uniqueName="385" name="Influence Dots 4" queryTableFieldId="1771"/>
    <tableColumn id="386" xr3:uid="{7F1ABF1D-EC4F-45C8-AC75-647355ED5276}" uniqueName="386" name="Influence Dots 5" queryTableFieldId="1772"/>
    <tableColumn id="387" xr3:uid="{D4518AE2-BC37-405A-8807-E2F36E82CEED}" uniqueName="387" name="Influence Dots 6" queryTableFieldId="1773"/>
    <tableColumn id="388" xr3:uid="{E0B984BF-08E2-4A22-85AB-F7D9729F2792}" uniqueName="388" name="Influence Dots 7" queryTableFieldId="1774"/>
    <tableColumn id="389" xr3:uid="{5F13DCA6-1EA7-4CE5-9D18-2959E28BF3E7}" uniqueName="389" name="Influence Dots 8" queryTableFieldId="1775"/>
    <tableColumn id="390" xr3:uid="{DC83D8F5-160A-4725-810D-B7CF88DB2C5A}" uniqueName="390" name="Influence Dots 9" queryTableFieldId="1776"/>
    <tableColumn id="391" xr3:uid="{23EC8DB5-05DF-4B39-87C6-F6EDFB08144E}" uniqueName="391" name="Influence Dots 10" queryTableFieldId="1777"/>
    <tableColumn id="392" xr3:uid="{41C9C16D-E796-4A7A-B6DE-DEE9C69B64CF}" uniqueName="392" name="Influence Dots 11" queryTableFieldId="1778"/>
    <tableColumn id="393" xr3:uid="{8F7677AB-81A9-4E82-9FE6-D961933FDE15}" uniqueName="393" name="Influence Dots 12" queryTableFieldId="1779"/>
    <tableColumn id="394" xr3:uid="{FC506FB4-9C50-4D6D-83CC-DF9792B8B995}" uniqueName="394" name="Influence Dots 13" queryTableFieldId="1780"/>
    <tableColumn id="395" xr3:uid="{BDE08C4E-5DEB-4C5F-968F-CAA982789335}" uniqueName="395" name="Influence Dots 14" queryTableFieldId="1781"/>
    <tableColumn id="396" xr3:uid="{A1FE9FE6-AE05-4696-B176-3C0E12707C46}" uniqueName="396" name="Influence Dots 15" queryTableFieldId="1782"/>
    <tableColumn id="397" xr3:uid="{A327E07D-4B87-43B2-9D70-959687F82AF0}" uniqueName="397" name="Influence Dots 16" queryTableFieldId="1783"/>
    <tableColumn id="398" xr3:uid="{D9D147E9-44E9-4D73-AAA3-A1A381A9CB64}" uniqueName="398" name="Influence Dots 17" queryTableFieldId="1784"/>
    <tableColumn id="399" xr3:uid="{B7CBA1E6-A07E-4809-902A-884A677FB932}" uniqueName="399" name="Influence Dots 18" queryTableFieldId="1785"/>
    <tableColumn id="400" xr3:uid="{5D38DEAF-6916-4DC3-8D13-AE11E9120CFF}" uniqueName="400" name="Influence Dots 19" queryTableFieldId="1786"/>
    <tableColumn id="401" xr3:uid="{2D365E27-EA3E-4F0E-B15D-A9214503F31F}" uniqueName="401" name="Influence Dots 20" queryTableFieldId="1787"/>
    <tableColumn id="57" xr3:uid="{B7495795-1BC7-49E5-B015-EFF404565D4C}" uniqueName="57" name="Animalism" queryTableFieldId="283"/>
    <tableColumn id="59" xr3:uid="{E0DD87F7-459D-4C97-939F-EADBB95ECFF8}" uniqueName="59" name="Auspex" queryTableFieldId="284"/>
    <tableColumn id="60" xr3:uid="{0853E617-95BF-4DEE-B634-84A92F05A2FD}" uniqueName="60" name="Celerity" queryTableFieldId="285"/>
    <tableColumn id="62" xr3:uid="{01888088-EF7A-402D-A627-560452BA491D}" uniqueName="62" name="Dominate" queryTableFieldId="286"/>
    <tableColumn id="63" xr3:uid="{30B174DF-71B7-48C8-9D39-6DD679FAB8E9}" uniqueName="63" name="Majesty" queryTableFieldId="287"/>
    <tableColumn id="64" xr3:uid="{3DDF829E-41F3-4DDB-A797-47182F8BEF4D}" uniqueName="64" name="Nightmare" queryTableFieldId="288"/>
    <tableColumn id="65" xr3:uid="{E328B66E-3C87-42D3-A427-0C91F8E53963}" uniqueName="65" name="Obfuscate" queryTableFieldId="289"/>
    <tableColumn id="66" xr3:uid="{CA293805-66DD-42B7-AC74-942C7E923621}" uniqueName="66" name="Protean" queryTableFieldId="290"/>
    <tableColumn id="67" xr3:uid="{4791A172-3F3A-4D6F-B3FC-37CB3E2FB5A9}" uniqueName="67" name="Resilience" queryTableFieldId="291"/>
    <tableColumn id="68" xr3:uid="{9F2C9518-23C5-4011-8704-983FB12EE95E}" uniqueName="68" name="Vigour" queryTableFieldId="292"/>
    <tableColumn id="158" xr3:uid="{ADEBF84C-7DFD-468F-9ECB-88481551BB0B}" uniqueName="158" name="Cruac" queryTableFieldId="705"/>
    <tableColumn id="159" xr3:uid="{BBA4AB12-9E29-4C80-B0A7-998314935DCE}" uniqueName="159" name="Theban" queryTableFieldId="706"/>
    <tableColumn id="160" xr3:uid="{C53D96E1-6D05-4907-88AB-B97D4FD48D1D}" uniqueName="160" name="Creation" queryTableFieldId="707"/>
    <tableColumn id="164" xr3:uid="{193CF2CA-1B07-4E7A-97AB-DDD7A10BBE54}" uniqueName="164" name="Destruction" queryTableFieldId="708"/>
    <tableColumn id="165" xr3:uid="{51CE7287-F2A9-4022-8EB8-B7019C333A7D}" uniqueName="165" name="Divination" queryTableFieldId="709"/>
    <tableColumn id="166" xr3:uid="{463AD8A6-88ED-472B-983C-C5D110856B8E}" uniqueName="166" name="Protection" queryTableFieldId="710"/>
    <tableColumn id="167" xr3:uid="{01031FE7-7C6E-4FB4-BAE4-38087B082CAA}" uniqueName="167" name="Transmutation" queryTableFieldId="711"/>
    <tableColumn id="133" xr3:uid="{BD6B3F5F-7A9F-44EB-9416-B012CD8300CF}" uniqueName="133" name="Blood 1" queryTableFieldId="1333"/>
    <tableColumn id="134" xr3:uid="{1CE1BD22-3B77-44BE-B5B8-1B6AE11A9C2D}" uniqueName="134" name="Blood 2" queryTableFieldId="1334"/>
    <tableColumn id="135" xr3:uid="{D6623FB4-1664-422C-B3FC-453AFFB5219A}" uniqueName="135" name="Blood 3" queryTableFieldId="1335"/>
    <tableColumn id="136" xr3:uid="{39DE9AF0-AD08-4B5B-8A3E-1E20E120F98F}" uniqueName="136" name="Blood 4" queryTableFieldId="1336"/>
    <tableColumn id="137" xr3:uid="{A1E755C1-2BBD-4125-9A2F-E8E0FF763DF7}" uniqueName="137" name="Blood 5" queryTableFieldId="1337"/>
    <tableColumn id="138" xr3:uid="{3FB8CB6B-6B80-4AD2-B757-FDAFEB9A28A0}" uniqueName="138" name="Blood 6" queryTableFieldId="1338"/>
    <tableColumn id="139" xr3:uid="{6B01ADD8-48B8-4F33-81CB-F15679581750}" uniqueName="139" name="Blood 7" queryTableFieldId="1339"/>
    <tableColumn id="140" xr3:uid="{4429DFF1-8BB9-4DE7-A8AE-9F0081F1641C}" uniqueName="140" name="Blood 8" queryTableFieldId="1340"/>
    <tableColumn id="141" xr3:uid="{53654306-5B36-4072-8113-8750879E186C}" uniqueName="141" name="Blood 9" queryTableFieldId="1341"/>
    <tableColumn id="142" xr3:uid="{19C2077F-3D94-4353-82BF-F6EB3BB18D02}" uniqueName="142" name="Blood 10" queryTableFieldId="1342"/>
    <tableColumn id="143" xr3:uid="{9543CF0C-52E8-4A31-8E72-1934DCAD756C}" uniqueName="143" name="Blood 11" queryTableFieldId="1343"/>
    <tableColumn id="144" xr3:uid="{FFA15C24-E816-450E-8A49-95DA68197EAE}" uniqueName="144" name="Blood 12" queryTableFieldId="1344"/>
    <tableColumn id="145" xr3:uid="{4C784450-9474-4A75-84EB-C0B0904B8A14}" uniqueName="145" name="Blood 13" queryTableFieldId="1345"/>
    <tableColumn id="146" xr3:uid="{12CA84F4-8864-48F1-BA31-AA8711836EB2}" uniqueName="146" name="Blood 14" queryTableFieldId="1346"/>
    <tableColumn id="147" xr3:uid="{06C6F32A-BA72-4361-ADD0-AC21B8B66E65}" uniqueName="147" name="Blood 15" queryTableFieldId="1347"/>
    <tableColumn id="148" xr3:uid="{F22C268F-C5A7-480F-9F3F-501493609C6F}" uniqueName="148" name="Blood 16" queryTableFieldId="1348"/>
    <tableColumn id="149" xr3:uid="{BEF1CFE7-6690-40A8-BA79-6DEC4CFB5BA7}" uniqueName="149" name="Blood 17" queryTableFieldId="1349"/>
    <tableColumn id="150" xr3:uid="{B3F7B0DD-5FE6-4EE2-BDE2-0B752C5462E3}" uniqueName="150" name="Blood 18" queryTableFieldId="1350"/>
    <tableColumn id="151" xr3:uid="{F7DECB37-0578-42B5-B06C-2AA4B4C0FA20}" uniqueName="151" name="Blood 19" queryTableFieldId="1351"/>
    <tableColumn id="152" xr3:uid="{DAFD5795-A1F9-4949-A2A0-FF1F809C1CCA}" uniqueName="152" name="Blood 20" queryTableFieldId="1352"/>
    <tableColumn id="402" xr3:uid="{11A4DA3B-6405-4EB8-AC0F-4E61DB089205}" uniqueName="402" name="Blood 21" queryTableFieldId="1788"/>
    <tableColumn id="403" xr3:uid="{640A9587-695E-4898-9F8B-D23B1F3E1D63}" uniqueName="403" name="Blood 22" queryTableFieldId="1789"/>
    <tableColumn id="404" xr3:uid="{B3FE6FC7-4EC2-4C3B-A06C-D29AC83A584B}" uniqueName="404" name="Blood 23" queryTableFieldId="1790"/>
    <tableColumn id="405" xr3:uid="{8247DE82-B87F-4E18-9DCE-0185FB42D0F6}" uniqueName="405" name="Blood 24" queryTableFieldId="1791"/>
    <tableColumn id="406" xr3:uid="{D0D5F9FB-6CB4-4F8C-BCB5-5664A06762A0}" uniqueName="406" name="Blood 25" queryTableFieldId="1792"/>
    <tableColumn id="407" xr3:uid="{04DB1CBA-6850-434F-A3D2-53772AD4AE2B}" uniqueName="407" name="Blood 26" queryTableFieldId="1793"/>
    <tableColumn id="408" xr3:uid="{16F2EA61-17AF-4BD9-B4BD-BD68BD355B70}" uniqueName="408" name="Blood 27" queryTableFieldId="1794"/>
    <tableColumn id="409" xr3:uid="{14205489-4611-4337-924E-9E6B71958C87}" uniqueName="409" name="Blood 28" queryTableFieldId="1795"/>
    <tableColumn id="410" xr3:uid="{9CA2BD12-FBB6-4E18-908E-C47B345F2A7A}" uniqueName="410" name="Blood 29" queryTableFieldId="1796"/>
    <tableColumn id="411" xr3:uid="{E7E0E054-BB6E-434E-9338-61D9C1FEA6B7}" uniqueName="411" name="Blood 30" queryTableFieldId="1797"/>
    <tableColumn id="153" xr3:uid="{75B248C0-14BD-4123-B2DD-6F459FF33BD0}" uniqueName="153" name="Blood Stats 1" queryTableFieldId="1353"/>
    <tableColumn id="154" xr3:uid="{8BCEDA89-9BCC-4DBC-B3CA-05328332AA43}" uniqueName="154" name="Blood Stats 2" queryTableFieldId="1354"/>
    <tableColumn id="155" xr3:uid="{F206EF32-2371-4A57-A3C8-BB5517C571CF}" uniqueName="155" name="Blood Stats 3" queryTableFieldId="1355"/>
    <tableColumn id="156" xr3:uid="{CB689DB9-E09A-46D8-A69F-8B7CF8AC84B9}" uniqueName="156" name="Blood Stats 4" queryTableFieldId="1356"/>
    <tableColumn id="157" xr3:uid="{705947D9-09FF-4BB5-A24A-F17E94629671}" uniqueName="157" name="Blood Stats 5" queryTableFieldId="1357"/>
    <tableColumn id="161" xr3:uid="{1FFCDAF8-7604-47E6-99E3-D406441E050D}" uniqueName="161" name="Blood Stats 6" queryTableFieldId="1358"/>
    <tableColumn id="162" xr3:uid="{3C59BC68-08F8-46DF-8AB6-159924533A07}" uniqueName="162" name="Blood Stats 7" queryTableFieldId="1359"/>
    <tableColumn id="163" xr3:uid="{669B6C7A-A33D-4DC8-9D75-48C3C2497B0E}" uniqueName="163" name="Blood Stats 8" queryTableFieldId="1360"/>
    <tableColumn id="168" xr3:uid="{62E5C58A-CE19-417C-A2B2-CDC4B3C6C42F}" uniqueName="168" name="Blood Stats 9" queryTableFieldId="1361"/>
    <tableColumn id="169" xr3:uid="{449BC7BA-121A-4341-A92C-A096CC4ACB9C}" uniqueName="169" name="Blood Stats 10" queryTableFieldId="1362"/>
    <tableColumn id="170" xr3:uid="{1440A9D4-B01E-4E3E-A2E4-97800698A054}" uniqueName="170" name="Blood Stats 11" queryTableFieldId="1363"/>
    <tableColumn id="171" xr3:uid="{12148B8F-AC3C-4E75-B7D3-B9F6EAFBD985}" uniqueName="171" name="Blood Stats 12" queryTableFieldId="1364"/>
    <tableColumn id="172" xr3:uid="{691825C6-92A0-4EFF-9B9C-4D6FE4D2EAA7}" uniqueName="172" name="Blood Stats 13" queryTableFieldId="1365"/>
    <tableColumn id="173" xr3:uid="{82161E78-DE63-4CDA-8787-F832667E384E}" uniqueName="173" name="Blood Stats 14" queryTableFieldId="1366"/>
    <tableColumn id="174" xr3:uid="{11FC2A7D-8B08-4C94-8DA3-4E755D2037F9}" uniqueName="174" name="Blood Stats 15" queryTableFieldId="1367"/>
    <tableColumn id="175" xr3:uid="{0C9AD7F4-DE49-4056-83A6-6257010649FA}" uniqueName="175" name="Blood Stats 16" queryTableFieldId="1368"/>
    <tableColumn id="176" xr3:uid="{B27B445E-C4CD-4265-8ECA-3E636508D20F}" uniqueName="176" name="Blood Stats 17" queryTableFieldId="1369"/>
    <tableColumn id="177" xr3:uid="{47416D61-C5E9-46FB-9057-FCCCE0C675C6}" uniqueName="177" name="Blood Stats 18" queryTableFieldId="1370"/>
    <tableColumn id="178" xr3:uid="{7E6FE8A9-4F28-4EFA-8C9E-2BE76C32F335}" uniqueName="178" name="Blood Stats 19" queryTableFieldId="1371"/>
    <tableColumn id="179" xr3:uid="{0D7D8E0E-CCB4-4810-9CFD-3EB5294AD653}" uniqueName="179" name="Blood Stats 20" queryTableFieldId="1372"/>
    <tableColumn id="412" xr3:uid="{AFF51917-3DD7-492D-83A0-1A16477F1FB3}" uniqueName="412" name="Blood Stats 21" queryTableFieldId="1798"/>
    <tableColumn id="413" xr3:uid="{58F5F5D9-3F71-41DD-B6A8-709BCF69FEB0}" uniqueName="413" name="Blood Stats 22" queryTableFieldId="1799"/>
    <tableColumn id="414" xr3:uid="{DCA06519-1BA7-49D1-A546-E2213A0E2A54}" uniqueName="414" name="Blood Stats 23" queryTableFieldId="1800"/>
    <tableColumn id="415" xr3:uid="{4D8D3F9C-E134-4D7E-88B4-2B2327012897}" uniqueName="415" name="Blood Stats 24" queryTableFieldId="1801"/>
    <tableColumn id="416" xr3:uid="{26E73782-4D0D-4BB9-942A-F6804B505E96}" uniqueName="416" name="Blood Stats 25" queryTableFieldId="1802"/>
    <tableColumn id="417" xr3:uid="{473BBEB2-176B-4C6D-A284-E450BCD24593}" uniqueName="417" name="Blood Stats 26" queryTableFieldId="1803"/>
    <tableColumn id="418" xr3:uid="{89CD8339-30AA-453B-AC5A-F1474010EABE}" uniqueName="418" name="Blood Stats 27" queryTableFieldId="1804"/>
    <tableColumn id="419" xr3:uid="{C2D19DAC-B2E3-4CA2-9B96-324B80A53DD5}" uniqueName="419" name="Blood Stats 28" queryTableFieldId="1805"/>
    <tableColumn id="420" xr3:uid="{D2940B14-7DEA-42A3-9D97-2B449E61ABE2}" uniqueName="420" name="Blood Stats 29" queryTableFieldId="1806"/>
    <tableColumn id="421" xr3:uid="{17F6017C-16B1-4B02-B250-D79F26FB0AFB}" uniqueName="421" name="Blood Stats 30" queryTableFieldId="1807"/>
    <tableColumn id="180" xr3:uid="{EC31A2E6-CFCA-48F3-A057-A9ED843F66D4}" uniqueName="180" name="Blood Effect 1" queryTableFieldId="1373"/>
    <tableColumn id="181" xr3:uid="{EF9AA6DB-D72E-4DCF-82E8-2E49BDC6D8EB}" uniqueName="181" name="Blood Effect 2" queryTableFieldId="1374"/>
    <tableColumn id="182" xr3:uid="{96D5358E-BBB8-496D-B1AF-1B17E294CC14}" uniqueName="182" name="Blood Effect 3" queryTableFieldId="1375"/>
    <tableColumn id="183" xr3:uid="{71BD095A-B6E8-49E5-A643-0E2020B29F0E}" uniqueName="183" name="Blood Effect 4" queryTableFieldId="1376"/>
    <tableColumn id="184" xr3:uid="{FF7A839C-178A-4D92-8608-DF06001474D4}" uniqueName="184" name="Blood Effect 5" queryTableFieldId="1377"/>
    <tableColumn id="185" xr3:uid="{C4635E3F-14CD-4CD7-BC5C-99949CDE3A4E}" uniqueName="185" name="Blood Effect 6" queryTableFieldId="1378"/>
    <tableColumn id="186" xr3:uid="{CD9694A6-96D2-4CFF-A90C-1D7DB284A196}" uniqueName="186" name="Blood Effect 7" queryTableFieldId="1379"/>
    <tableColumn id="187" xr3:uid="{CCD7D979-219C-49D8-88B6-11E431357E02}" uniqueName="187" name="Blood Effect 8" queryTableFieldId="1380"/>
    <tableColumn id="188" xr3:uid="{080E7E8E-7DEB-4046-9D47-8FAA56A5576A}" uniqueName="188" name="Blood Effect 9" queryTableFieldId="1381"/>
    <tableColumn id="189" xr3:uid="{DA8C59A4-AC0F-476C-9EC3-F774027CF9AF}" uniqueName="189" name="Blood Effect 10" queryTableFieldId="1382"/>
    <tableColumn id="190" xr3:uid="{D6BE39CE-51CA-4065-82E1-CC9DD12EA129}" uniqueName="190" name="Blood Effect 11" queryTableFieldId="1383"/>
    <tableColumn id="191" xr3:uid="{174B322A-52EB-4C93-A399-AD5EF657DC09}" uniqueName="191" name="Blood Effect 12" queryTableFieldId="1384"/>
    <tableColumn id="192" xr3:uid="{1ECB320A-3A96-473E-8888-B8F478D2D08F}" uniqueName="192" name="Blood Effect 13" queryTableFieldId="1385"/>
    <tableColumn id="193" xr3:uid="{660E6434-3075-4495-8C8F-54FCAEC27D1A}" uniqueName="193" name="Blood Effect 14" queryTableFieldId="1386"/>
    <tableColumn id="194" xr3:uid="{99B2CA5F-B7D3-4F06-9EBA-60C382B4F859}" uniqueName="194" name="Blood Effect 15" queryTableFieldId="1387"/>
    <tableColumn id="195" xr3:uid="{CE402690-51F4-4670-A8F7-D5DC09694710}" uniqueName="195" name="Blood Effect 16" queryTableFieldId="1388"/>
    <tableColumn id="196" xr3:uid="{E9563E24-746F-45CB-B5AC-8D15EEBBB2EE}" uniqueName="196" name="Blood Effect 17" queryTableFieldId="1389"/>
    <tableColumn id="197" xr3:uid="{0A9844F8-3653-4282-A485-8A2B261ADDD3}" uniqueName="197" name="Blood Effect 18" queryTableFieldId="1390"/>
    <tableColumn id="198" xr3:uid="{A0FB246B-51F7-4B63-99FC-1AFEC1B41B28}" uniqueName="198" name="Blood Effect 19" queryTableFieldId="1391"/>
    <tableColumn id="199" xr3:uid="{A4126DCF-5731-415C-8FBC-15B8CD3993DE}" uniqueName="199" name="Blood Effect 20" queryTableFieldId="1392"/>
    <tableColumn id="422" xr3:uid="{04285DC7-AC37-473C-8A80-523E7B09B0A1}" uniqueName="422" name="Blood Effect 21" queryTableFieldId="1808"/>
    <tableColumn id="423" xr3:uid="{C18DE14A-8CAA-41FC-BD0E-E1A0C759A99E}" uniqueName="423" name="Blood Effect 22" queryTableFieldId="1809"/>
    <tableColumn id="424" xr3:uid="{CAB30D29-1CD0-40C4-BA37-EEB2E6F280D2}" uniqueName="424" name="Blood Effect 23" queryTableFieldId="1810"/>
    <tableColumn id="425" xr3:uid="{6E3C1C16-BD08-4226-B135-807BC8B6672E}" uniqueName="425" name="Blood Effect 24" queryTableFieldId="1811"/>
    <tableColumn id="426" xr3:uid="{AC91EB4E-C84E-482A-B36E-ED1666B75CF2}" uniqueName="426" name="Blood Effect 25" queryTableFieldId="1812"/>
    <tableColumn id="427" xr3:uid="{8E3DD5B3-2D53-4B21-8FB9-DF5C3CB656E8}" uniqueName="427" name="Blood Effect 26" queryTableFieldId="1813"/>
    <tableColumn id="428" xr3:uid="{F043E517-E2EE-4D5A-927B-29A94F244D44}" uniqueName="428" name="Blood Effect 27" queryTableFieldId="1814"/>
    <tableColumn id="429" xr3:uid="{40EDC221-40BA-4943-98F2-878BA00A48FB}" uniqueName="429" name="Blood Effect 28" queryTableFieldId="1815"/>
    <tableColumn id="430" xr3:uid="{AA38D04A-8A82-454A-9DD8-83044C0DF075}" uniqueName="430" name="Blood Effect 29" queryTableFieldId="1816"/>
    <tableColumn id="431" xr3:uid="{E47151F2-7D50-4E27-B21F-32FDA480BA31}" uniqueName="431" name="Blood Effect 30" queryTableFieldId="1817"/>
    <tableColumn id="48" xr3:uid="{80D5CFAE-D533-4ED6-A634-3BCE8CC00FD5}" uniqueName="48" name="Clan Bane" queryTableFieldId="632"/>
    <tableColumn id="49" xr3:uid="{0220F0B2-10B5-4CC6-8763-EB7F1357D64F}" uniqueName="49" name="Bloodline Bane" queryTableFieldId="633"/>
    <tableColumn id="50" xr3:uid="{A4645AF2-B772-41A6-A08C-F7E73BE13B85}" uniqueName="50" name="Other Bane 1" queryTableFieldId="634"/>
    <tableColumn id="51" xr3:uid="{21D09F6B-5C15-4D5A-8234-66A707783FC5}" uniqueName="51" name="Other Bane 2" queryTableFieldId="635"/>
    <tableColumn id="52" xr3:uid="{E8612918-F0F9-45EB-9CF6-8968B99D9E9F}" uniqueName="52" name="Other Bane 3" queryTableFieldId="636"/>
    <tableColumn id="54" xr3:uid="{73CE5770-B1BA-4B9F-87C2-851259F3BAB3}" uniqueName="54" name="Clan Bane Effect" queryTableFieldId="638"/>
    <tableColumn id="55" xr3:uid="{DFF7C516-6692-4684-8359-CE3277BA4F2A}" uniqueName="55" name="Bloodline Bane Effect" queryTableFieldId="639"/>
    <tableColumn id="69" xr3:uid="{AC9ADD07-ECD3-4ECE-A830-2F65339C41B0}" uniqueName="69" name="Other Bane Effect 1" queryTableFieldId="640"/>
    <tableColumn id="70" xr3:uid="{526E833C-3F84-413C-80F5-2019E75E3648}" uniqueName="70" name="Other Bane Effect 2" queryTableFieldId="641"/>
    <tableColumn id="71" xr3:uid="{632B3306-6863-45CE-BC3B-1BB3F20A9475}" uniqueName="71" name="Other Bane Effect 3" queryTableFieldId="642"/>
    <tableColumn id="122" xr3:uid="{DD5C0C23-C16B-4B87-B0B5-D6E5F688C994}" uniqueName="122" name="Size" queryTableFieldId="191"/>
    <tableColumn id="119" xr3:uid="{173FBD32-A62E-4926-8D77-BA39DC6E581D}" uniqueName="119" name="Speed" queryTableFieldId="188"/>
    <tableColumn id="120" xr3:uid="{8DA9B016-C49C-4DB9-85AC-1473DF2C8759}" uniqueName="120" name="Defence" queryTableFieldId="189"/>
    <tableColumn id="232" xr3:uid="{D5061CA9-E189-4ED1-A3EE-3601A166CA93}" uniqueName="232" name="Mask 1WP" queryTableFieldId="1959"/>
    <tableColumn id="233" xr3:uid="{36004C16-2747-4D98-9FF7-178BC25BAFB1}" uniqueName="233" name="Mask AllWP" queryTableFieldId="1960"/>
    <tableColumn id="234" xr3:uid="{D243D7EE-5B6B-481C-95ED-0F88179B7A17}" uniqueName="234" name="Dirge 1WP" queryTableFieldId="1961"/>
    <tableColumn id="235" xr3:uid="{5115C9E0-6BE0-4BE6-9762-A920DD5DEE37}" uniqueName="235" name="Dirge AllWP" queryTableFieldId="1962"/>
    <tableColumn id="203" xr3:uid="{EC025138-F32A-4354-938C-ED068C6CFFB3}" uniqueName="203" name="Aspiration 1" queryTableFieldId="1610"/>
    <tableColumn id="204" xr3:uid="{1F3E0AC2-7D88-4D7D-8F3C-59AD362C8605}" uniqueName="204" name="Aspiration 2" queryTableFieldId="1611"/>
    <tableColumn id="205" xr3:uid="{7F9C4606-DE7A-463B-A010-F9F13473F2AF}" uniqueName="205" name="Aspiration 3" queryTableFieldId="1612"/>
    <tableColumn id="231" xr3:uid="{0B03F051-3FFB-47E5-AF80-94CE86A0F74D}" uniqueName="231" name="Apparent Age" queryTableFieldId="1958"/>
    <tableColumn id="236" xr3:uid="{3386C0C1-6C33-4908-A261-167829136CF4}" uniqueName="236" name="Features" queryTableFieldId="1967"/>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DB4E912-9E5D-471B-9BDA-90AE40543412}" name="tblCharData" displayName="tblCharData" ref="A1:B365" totalsRowShown="0" headerRowBorderDxfId="86">
  <autoFilter ref="A1:B365" xr:uid="{1DB4E912-9E5D-471B-9BDA-90AE40543412}"/>
  <tableColumns count="2">
    <tableColumn id="1" xr3:uid="{13378999-3734-4361-A6BD-551BC45B8F89}" name="Field" dataDxfId="85"/>
    <tableColumn id="2" xr3:uid="{AFE060E5-B6A8-4B56-BAC4-716F44F7F595}" name="Value"/>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315C2A40-2448-4502-848A-F890AB0892E4}" name="tblCharDataAlice" displayName="tblCharDataAlice" ref="A1:B365" totalsRowShown="0" headerRowBorderDxfId="84">
  <autoFilter ref="A1:B365" xr:uid="{315C2A40-2448-4502-848A-F890AB0892E4}"/>
  <tableColumns count="2">
    <tableColumn id="1" xr3:uid="{F11BB3DB-D14C-4FDF-BB7D-42469877E645}" name="Field" dataDxfId="83"/>
    <tableColumn id="2" xr3:uid="{E9993169-7663-49E8-803E-419CA9C67EC4}" name="Value"/>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A87AAC3-A5CE-49D8-879A-9B6CE0939246}" name="tblCharDataAnichka" displayName="tblCharDataAnichka" ref="A1:B365" totalsRowShown="0" headerRowBorderDxfId="82">
  <autoFilter ref="A1:B365" xr:uid="{7A87AAC3-A5CE-49D8-879A-9B6CE0939246}"/>
  <tableColumns count="2">
    <tableColumn id="1" xr3:uid="{6B61A7AA-9E63-414F-BC95-6E7321803E0E}" name="Field" dataDxfId="81"/>
    <tableColumn id="2" xr3:uid="{29644C8B-F954-4011-9615-2B5C87CB04BD}" name="Value"/>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562FE152-4A0D-46C5-9C43-BF8CE2637DBD}" name="tblCharDataBrandy" displayName="tblCharDataBrandy" ref="A1:B365" totalsRowShown="0" headerRowBorderDxfId="80">
  <autoFilter ref="A1:B365" xr:uid="{562FE152-4A0D-46C5-9C43-BF8CE2637DBD}"/>
  <tableColumns count="2">
    <tableColumn id="1" xr3:uid="{E7CD1355-BD97-4092-BDE1-919486B98388}" name="Field" dataDxfId="79"/>
    <tableColumn id="2" xr3:uid="{11BC8BDA-AE19-4B36-A685-7B93FF9AEDC7}" name="Value"/>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49D787D-3143-4F20-845E-7278E1502C98}" name="tblCharDataCarver" displayName="tblCharDataCarver" ref="A1:B365" totalsRowShown="0" headerRowBorderDxfId="78">
  <autoFilter ref="A1:B365" xr:uid="{049D787D-3143-4F20-845E-7278E1502C98}"/>
  <tableColumns count="2">
    <tableColumn id="1" xr3:uid="{1A8E034C-6169-42D3-924D-899F009C0D9C}" name="Field" dataDxfId="77"/>
    <tableColumn id="2" xr3:uid="{7C1C2DCD-F0B1-4974-9D35-8805239EF235}" name="Value"/>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D25CD60F-CDF8-45B0-88F3-479FBAEA3DD6}" name="tblCharDataCazz" displayName="tblCharDataCazz" ref="A1:B365" totalsRowShown="0" headerRowBorderDxfId="76">
  <autoFilter ref="A1:B365" xr:uid="{D25CD60F-CDF8-45B0-88F3-479FBAEA3DD6}"/>
  <tableColumns count="2">
    <tableColumn id="1" xr3:uid="{4A8A5ED6-EB68-458F-A76E-1A242709A2F7}" name="Field" dataDxfId="75"/>
    <tableColumn id="2" xr3:uid="{9EBA1765-91DE-4751-AB9D-4EBE76CD7303}" name="Value"/>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C7AEAC38-4FF4-4297-854A-B6EF5835E2FD}" name="tblCharDataCharles" displayName="tblCharDataCharles" ref="A1:B365" totalsRowShown="0" headerRowBorderDxfId="74">
  <autoFilter ref="A1:B365" xr:uid="{C7AEAC38-4FF4-4297-854A-B6EF5835E2FD}"/>
  <tableColumns count="2">
    <tableColumn id="1" xr3:uid="{2FF8A574-79D3-4F51-950A-BF9CF5C8C6D8}" name="Field" dataDxfId="73"/>
    <tableColumn id="2" xr3:uid="{EF0D5939-E43A-4A13-9E53-36E64772FE11}" name="Value"/>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C816F33E-A69F-4EBF-B57E-7E0039B0A418}" name="tblCharDataCharlie" displayName="tblCharDataCharlie" ref="A1:B365" totalsRowShown="0" headerRowBorderDxfId="72">
  <autoFilter ref="A1:B365" xr:uid="{C816F33E-A69F-4EBF-B57E-7E0039B0A418}"/>
  <tableColumns count="2">
    <tableColumn id="1" xr3:uid="{9DBB9EF6-4B46-4AFC-93FF-9CB173F134B5}" name="Field" dataDxfId="71"/>
    <tableColumn id="2" xr3:uid="{76821F6F-BCC3-463A-9141-7143DA085403}" name="Value"/>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15D8399B-3E66-49F9-B4F4-F029748A6EF3}" name="tblCharDataConrad" displayName="tblCharDataConrad" ref="A1:B365" totalsRowShown="0" headerRowBorderDxfId="70">
  <autoFilter ref="A1:B365" xr:uid="{15D8399B-3E66-49F9-B4F4-F029748A6EF3}"/>
  <tableColumns count="2">
    <tableColumn id="1" xr3:uid="{3FBE9894-C748-445F-B32D-16CDAFC4B7B3}" name="Field" dataDxfId="69"/>
    <tableColumn id="2" xr3:uid="{D6AD7938-FA37-4DBD-BBB9-260773918C9C}" name="Value"/>
  </tableColumns>
  <tableStyleInfo name="TableStyleMedium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BB8A5E7E-CE45-45F9-AB3C-6C773C85E67A}" name="tblCharDataCyrus" displayName="tblCharDataCyrus" ref="A1:B365" totalsRowShown="0" headerRowBorderDxfId="68">
  <autoFilter ref="A1:B365" xr:uid="{BB8A5E7E-CE45-45F9-AB3C-6C773C85E67A}"/>
  <tableColumns count="2">
    <tableColumn id="1" xr3:uid="{41FDCCC9-3F70-481A-808A-24EE94E5FE79}" name="Field" dataDxfId="67"/>
    <tableColumn id="2" xr3:uid="{0ED0C211-8418-4C72-AE8C-8182DAE3C274}" name="Value"/>
  </tableColumns>
  <tableStyleInfo name="TableStyleMedium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23219B9-5B5E-464F-A771-835DDC9A3CA1}" name="tblCharDataDoc" displayName="tblCharDataDoc" ref="A1:B365" totalsRowShown="0" headerRowBorderDxfId="66">
  <autoFilter ref="A1:B365" xr:uid="{D23219B9-5B5E-464F-A771-835DDC9A3CA1}"/>
  <tableColumns count="2">
    <tableColumn id="1" xr3:uid="{E8C72F57-FBB1-4D47-8C9E-BC63AB70DD38}" name="Field" dataDxfId="65"/>
    <tableColumn id="2" xr3:uid="{15795837-B60E-4FE2-908A-62665620861B}" name="Value"/>
  </tableColumns>
  <tableStyleInfo name="TableStyleMedium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7792726-439B-418B-8D43-A5908232A3AE}" name="tblCharDataEdna" displayName="tblCharDataEdna" ref="A1:B365" totalsRowShown="0" headerRowBorderDxfId="64">
  <autoFilter ref="A1:B365" xr:uid="{1DB4E912-9E5D-471B-9BDA-90AE40543412}"/>
  <tableColumns count="2">
    <tableColumn id="1" xr3:uid="{514CD02F-1BDB-4BC3-B16F-5FED8324468E}" name="Field" dataDxfId="63"/>
    <tableColumn id="2" xr3:uid="{11A0B328-2E64-41B0-9B79-1702499BEADC}" name="Value"/>
  </tableColumns>
  <tableStyleInfo name="TableStyleMedium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1D33069-7134-4B5E-BB86-87506C11E32F}" name="tblCharDataEinar" displayName="tblCharDataEinar" ref="A1:B365" totalsRowShown="0" headerRowBorderDxfId="62">
  <autoFilter ref="A1:B365" xr:uid="{1DB4E912-9E5D-471B-9BDA-90AE40543412}"/>
  <tableColumns count="2">
    <tableColumn id="1" xr3:uid="{9096A11D-6744-421F-AAE6-1CD2D3DF103D}" name="Field" dataDxfId="61"/>
    <tableColumn id="2" xr3:uid="{29FAAE2A-A243-41C5-806A-497C4FA79587}" name="Value"/>
  </tableColumns>
  <tableStyleInfo name="TableStyleMedium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11CE7A6-F1B3-411F-96E9-0D2A6949CDC0}" name="tblCharDataEve" displayName="tblCharDataEve" ref="A1:B365" totalsRowShown="0" headerRowBorderDxfId="60">
  <autoFilter ref="A1:B365" xr:uid="{1DB4E912-9E5D-471B-9BDA-90AE40543412}"/>
  <tableColumns count="2">
    <tableColumn id="1" xr3:uid="{9E31A475-4FAD-4131-BA85-417AE2F2C8DD}" name="Field" dataDxfId="59"/>
    <tableColumn id="2" xr3:uid="{1050E991-A74E-4C27-9ED3-6B6819120A30}" name="Value"/>
  </tableColumns>
  <tableStyleInfo name="TableStyleMedium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C61DAEA4-A1AF-456D-8D83-6229BF0D6428}" name="tblCharDataGel" displayName="tblCharDataGel" ref="A1:B365" totalsRowShown="0" headerRowBorderDxfId="58">
  <autoFilter ref="A1:B365" xr:uid="{1DB4E912-9E5D-471B-9BDA-90AE40543412}"/>
  <tableColumns count="2">
    <tableColumn id="1" xr3:uid="{1A7C1C81-A85E-40B6-BA0A-C56D006BC91B}" name="Field" dataDxfId="57"/>
    <tableColumn id="2" xr3:uid="{68982B61-924F-4D6C-BD63-B04ABE589C3C}" name="Value"/>
  </tableColumns>
  <tableStyleInfo name="TableStyleMedium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412CBAE-061A-45C1-B639-37CD05C7CAAA}" name="tblCharDataHazel" displayName="tblCharDataHazel" ref="A1:B365" totalsRowShown="0" headerRowBorderDxfId="56">
  <autoFilter ref="A1:B365" xr:uid="{1DB4E912-9E5D-471B-9BDA-90AE40543412}"/>
  <tableColumns count="2">
    <tableColumn id="1" xr3:uid="{6A76D32E-AD78-4AF4-B154-81EC52A1238D}" name="Field" dataDxfId="55"/>
    <tableColumn id="2" xr3:uid="{D4BB2808-B23D-4ACC-966F-2B97739F3469}" name="Value"/>
  </tableColumns>
  <tableStyleInfo name="TableStyleMedium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CB9CBD3-F701-470E-A849-ECB21E90C2F9}" name="tblCharDataIvana" displayName="tblCharDataIvana" ref="A1:B365" totalsRowShown="0" headerRowBorderDxfId="54">
  <autoFilter ref="A1:B365" xr:uid="{1DB4E912-9E5D-471B-9BDA-90AE40543412}"/>
  <tableColumns count="2">
    <tableColumn id="1" xr3:uid="{E900AC2A-A491-4E0C-853F-6EA154146BC9}" name="Field" dataDxfId="53"/>
    <tableColumn id="2" xr3:uid="{6CED67A8-409C-4CC2-85CB-939B1D570EE3}" name="Value"/>
  </tableColumns>
  <tableStyleInfo name="TableStyleMedium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96E554C4-3328-4A28-9AB8-FEB9319C0D48}" name="tblCharDataJack" displayName="tblCharDataJack" ref="A1:B365" totalsRowShown="0" headerRowBorderDxfId="52">
  <autoFilter ref="A1:B365" xr:uid="{1DB4E912-9E5D-471B-9BDA-90AE40543412}"/>
  <tableColumns count="2">
    <tableColumn id="1" xr3:uid="{AF213D5D-9CF4-4F8F-B12A-966D07AFD8BD}" name="Field" dataDxfId="51"/>
    <tableColumn id="2" xr3:uid="{B54CB9D8-509B-4625-B9D6-90C59BDD4F77}" name="Value"/>
  </tableColumns>
  <tableStyleInfo name="TableStyleMedium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49EF752-28A5-4D28-B784-4370A9B18DFB}" name="tblCharData27" displayName="tblCharData27" ref="A1:B365" totalsRowShown="0" headerRowBorderDxfId="50">
  <autoFilter ref="A1:B365" xr:uid="{1DB4E912-9E5D-471B-9BDA-90AE40543412}"/>
  <tableColumns count="2">
    <tableColumn id="1" xr3:uid="{64389F43-58F0-42B5-8B54-611BA20A9B85}" name="Field" dataDxfId="49"/>
    <tableColumn id="2" xr3:uid="{BF3CD6E2-9AD1-4A32-B8D0-582CE68C672A}" name="Value"/>
  </tableColumns>
  <tableStyleInfo name="TableStyleMedium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8518A429-FC81-4121-955C-358E1A554E11}" name="tblCharDataKeeper" displayName="tblCharDataKeeper" ref="A1:B365" totalsRowShown="0" headerRowBorderDxfId="48">
  <autoFilter ref="A1:B365" xr:uid="{1DB4E912-9E5D-471B-9BDA-90AE40543412}"/>
  <tableColumns count="2">
    <tableColumn id="1" xr3:uid="{25921CBC-64D0-4D42-AF71-CE17075832EA}" name="Field" dataDxfId="47"/>
    <tableColumn id="2" xr3:uid="{D5DBC102-F308-43A2-87B2-1262BBA26A16}" name="Value"/>
  </tableColumns>
  <tableStyleInfo name="TableStyleMedium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4B25DD7-25EE-40D1-B911-FF754D7F0156}" name="tblCharDataKirk" displayName="tblCharDataKirk" ref="A1:B365" totalsRowShown="0" headerRowBorderDxfId="46">
  <autoFilter ref="A1:B365" xr:uid="{1DB4E912-9E5D-471B-9BDA-90AE40543412}"/>
  <tableColumns count="2">
    <tableColumn id="1" xr3:uid="{C28D00A1-4156-4AE8-B8C5-558096200730}" name="Field" dataDxfId="45"/>
    <tableColumn id="2" xr3:uid="{0B4BC1FF-D867-4F75-8925-8FA6D2BF7DDC}" name="Value"/>
  </tableColumns>
  <tableStyleInfo name="TableStyleMedium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72E4BB0-9447-4F78-BD2C-2F52E2712CF5}" name="tblCharDataLivia" displayName="tblCharDataLivia" ref="A1:B365" totalsRowShown="0" headerRowBorderDxfId="44">
  <autoFilter ref="A1:B365" xr:uid="{1DB4E912-9E5D-471B-9BDA-90AE40543412}"/>
  <tableColumns count="2">
    <tableColumn id="1" xr3:uid="{EA1BDBAA-6632-4685-A7A1-2DEE724D6B1C}" name="Field" dataDxfId="43"/>
    <tableColumn id="2" xr3:uid="{2941CCBF-7E51-4C0D-84B1-72E244805D44}" name="Value"/>
  </tableColumns>
  <tableStyleInfo name="TableStyleMedium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584FBF27-7CF3-47BB-8FBE-255D70168C16}" name="tblCharDataLudica" displayName="tblCharDataLudica" ref="A1:B365" totalsRowShown="0" headerRowBorderDxfId="42">
  <autoFilter ref="A1:B365" xr:uid="{1DB4E912-9E5D-471B-9BDA-90AE40543412}"/>
  <tableColumns count="2">
    <tableColumn id="1" xr3:uid="{341F1A88-B926-4268-A03E-2509BF2833E2}" name="Field" dataDxfId="41"/>
    <tableColumn id="2" xr3:uid="{DC3CD8ED-3CE0-4164-ADFE-5685BB027ABB}" name="Value"/>
  </tableColumns>
  <tableStyleInfo name="TableStyleMedium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3A9A90A-6588-40E3-B269-D4ACD8369768}" name="tblCharDataMac" displayName="tblCharDataMac" ref="A1:B365" totalsRowShown="0" headerRowBorderDxfId="40">
  <autoFilter ref="A1:B365" xr:uid="{1DB4E912-9E5D-471B-9BDA-90AE40543412}"/>
  <tableColumns count="2">
    <tableColumn id="1" xr3:uid="{7C7D72BB-A894-4D9B-98E1-2969DB5570ED}" name="Field" dataDxfId="39"/>
    <tableColumn id="2" xr3:uid="{A18E55F1-CFDE-480D-9F35-43EA2A397736}" name="Value"/>
  </tableColumns>
  <tableStyleInfo name="TableStyleMedium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145275A-722E-46D0-8CB2-378F7CEB623C}" name="tblCharDataMammon" displayName="tblCharDataMammon" ref="A1:B365" totalsRowShown="0" headerRowBorderDxfId="38">
  <autoFilter ref="A1:B365" xr:uid="{1DB4E912-9E5D-471B-9BDA-90AE40543412}"/>
  <tableColumns count="2">
    <tableColumn id="1" xr3:uid="{A634B173-7A4B-4591-85B8-E0A7C64C68D6}" name="Field" dataDxfId="37"/>
    <tableColumn id="2" xr3:uid="{444D4A27-D463-4953-9266-42BB9A6AC6E4}" name="Value"/>
  </tableColumns>
  <tableStyleInfo name="TableStyleMedium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B45DE85-2990-4DD9-AFBC-A9F8B5FDBAFA}" name="tblCharDataMagda" displayName="tblCharDataMagda" ref="A1:B365" totalsRowShown="0" headerRowBorderDxfId="36">
  <autoFilter ref="A1:B365" xr:uid="{1DB4E912-9E5D-471B-9BDA-90AE40543412}"/>
  <tableColumns count="2">
    <tableColumn id="1" xr3:uid="{D1BF659C-718C-49ED-A218-4052F198F263}" name="Field" dataDxfId="35"/>
    <tableColumn id="2" xr3:uid="{2D20A3C6-89E1-478D-88BF-BDD1B11DF048}" name="Value"/>
  </tableColumns>
  <tableStyleInfo name="TableStyleMedium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77C4B339-00C9-44A8-9F34-1885EDE9859B}" name="tblCharDataReed" displayName="tblCharDataReed" ref="A1:B365" totalsRowShown="0" headerRowBorderDxfId="34">
  <autoFilter ref="A1:B365" xr:uid="{1DB4E912-9E5D-471B-9BDA-90AE40543412}"/>
  <tableColumns count="2">
    <tableColumn id="1" xr3:uid="{43548C0E-AB35-4373-A9B5-926BAA4AB9E6}" name="Field" dataDxfId="33"/>
    <tableColumn id="2" xr3:uid="{87689239-01DA-4F25-B0EE-3D065535A7F6}" name="Value"/>
  </tableColumns>
  <tableStyleInfo name="TableStyleMedium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DE4AFAB-97B2-4D6B-8A73-C797B36871DA}" name="tblCharDataReneM" displayName="tblCharDataReneM" ref="A1:B365" totalsRowShown="0" headerRowBorderDxfId="32">
  <autoFilter ref="A1:B365" xr:uid="{1DB4E912-9E5D-471B-9BDA-90AE40543412}"/>
  <tableColumns count="2">
    <tableColumn id="1" xr3:uid="{2C191D3F-9397-4164-B2C4-B10EA910109B}" name="Field" dataDxfId="31"/>
    <tableColumn id="2" xr3:uid="{26AEBA6B-F208-48C3-A9BB-1E212DE06783}" name="Value"/>
  </tableColumns>
  <tableStyleInfo name="TableStyleMedium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E182724-126A-424F-AE2C-DB48291C3AB8}" name="tblCharDataReneSt" displayName="tblCharDataReneSt" ref="A1:B365" totalsRowShown="0" headerRowBorderDxfId="30">
  <autoFilter ref="A1:B365" xr:uid="{1DB4E912-9E5D-471B-9BDA-90AE40543412}"/>
  <tableColumns count="2">
    <tableColumn id="1" xr3:uid="{E41CE4FC-D153-487C-BF07-FB3FAA8F35BD}" name="Field" dataDxfId="29"/>
    <tableColumn id="2" xr3:uid="{DBC8BEC1-C716-4619-AC93-8373683B1BE5}" name="Value"/>
  </tableColumns>
  <tableStyleInfo name="TableStyleMedium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E5094361-D5E2-45B5-A0F4-263269AE5D46}" name="tblCharDataRyan" displayName="tblCharDataRyan" ref="A1:B365" totalsRowShown="0" headerRowBorderDxfId="28">
  <autoFilter ref="A1:B365" xr:uid="{1DB4E912-9E5D-471B-9BDA-90AE40543412}"/>
  <tableColumns count="2">
    <tableColumn id="1" xr3:uid="{80420CC8-D6D1-4846-9CC1-9DDC757B4A58}" name="Field" dataDxfId="27"/>
    <tableColumn id="2" xr3:uid="{8DF1FFDE-5487-485F-84FE-A183CE59DFDC}" name="Value"/>
  </tableColumns>
  <tableStyleInfo name="TableStyleMedium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7AAF959-9F10-46A1-939B-D643038AA578}" name="tblCharDataTegan" displayName="tblCharDataTegan" ref="A1:B365" totalsRowShown="0" headerRowBorderDxfId="26">
  <autoFilter ref="A1:B365" xr:uid="{1DB4E912-9E5D-471B-9BDA-90AE40543412}"/>
  <tableColumns count="2">
    <tableColumn id="1" xr3:uid="{C1DAD3D2-57B2-45BD-AFE7-41D64CFB954F}" name="Field" dataDxfId="25"/>
    <tableColumn id="2" xr3:uid="{1320D286-A6FF-40F7-A2C3-ED105E4A7E25}" name="Value"/>
  </tableColumns>
  <tableStyleInfo name="TableStyleMedium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C4F6630-9D5F-469F-BF82-4CBA2EE1F70E}" name="tblCharDataWan" displayName="tblCharDataWan" ref="A1:B365" totalsRowShown="0" headerRowBorderDxfId="24">
  <autoFilter ref="A1:B365" xr:uid="{1DB4E912-9E5D-471B-9BDA-90AE40543412}"/>
  <tableColumns count="2">
    <tableColumn id="1" xr3:uid="{67F64EFE-31C7-4116-8B9E-1D70FEA0F4A7}" name="Field" dataDxfId="23"/>
    <tableColumn id="2" xr3:uid="{1FDCB54A-32C6-4054-8762-AEE30858D86B}" name="Value"/>
  </tableColumns>
  <tableStyleInfo name="TableStyleMedium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B07B5DB-AF5B-4CB4-979B-4A1DBFC9DC72}" name="tblPriority" displayName="tblPriority" ref="A1:C4" totalsRowShown="0">
  <autoFilter ref="A1:C4" xr:uid="{DB07B5DB-AF5B-4CB4-979B-4A1DBFC9DC72}"/>
  <tableColumns count="3">
    <tableColumn id="1" xr3:uid="{02F4DE77-CFEE-4B65-B29C-3DD923339AA7}" name="Priority"/>
    <tableColumn id="2" xr3:uid="{6CE41EFE-A25E-4696-A965-774258593B99}" name="Attribute Dots"/>
    <tableColumn id="3" xr3:uid="{4836CB95-E98D-421B-BD32-47DC583BD652}" name="Skill Dots"/>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8B7FED-0EC2-4717-832A-33DF97E3E2A2}" name="tblDots" displayName="tblDots" ref="A6:C17" totalsRowShown="0">
  <autoFilter ref="A6:C17" xr:uid="{FD8B7FED-0EC2-4717-832A-33DF97E3E2A2}"/>
  <tableColumns count="3">
    <tableColumn id="1" xr3:uid="{DB7C74CE-8017-4B1A-BB56-A8B4CE48B876}" name="Number"/>
    <tableColumn id="2" xr3:uid="{E6C50749-E106-4591-958F-54B90A0BE06B}" name="Dots 1"/>
    <tableColumn id="3" xr3:uid="{B83A075C-F509-470E-A812-7AC8A4EA8D9B}" name="Dots 2"/>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2B0B96-7E7B-4118-AD65-068F88AD3F71}" name="tblCovenantShortName" displayName="tblCovenantShortName" ref="A26:B31" totalsRowShown="0">
  <autoFilter ref="A26:B31" xr:uid="{972B0B96-7E7B-4118-AD65-068F88AD3F71}"/>
  <tableColumns count="2">
    <tableColumn id="1" xr3:uid="{37FF47D5-8C78-4597-BCCA-58759150ECB1}" name="Covenant"/>
    <tableColumn id="2" xr3:uid="{BC89D44E-303B-4D90-9413-5AAB29F607CE}" name="Shortname"/>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4F2D099-945D-4971-9B4C-2B543F0EB45C}" name="tblRank" displayName="tblRank" ref="A33:B42" totalsRowShown="0">
  <autoFilter ref="A33:B42" xr:uid="{04F2D099-945D-4971-9B4C-2B543F0EB45C}"/>
  <tableColumns count="2">
    <tableColumn id="1" xr3:uid="{327680B2-F760-4AE3-97DC-E06FA2FE4B44}" name="Status"/>
    <tableColumn id="2" xr3:uid="{C9F2F1CA-4BF9-4F5A-B07E-0349B222B95E}" name="Rank"/>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7ADD9C0-040B-4811-B51C-2FCFC9CC763C}" name="tblboxes" displayName="tblboxes" ref="A44:E65" totalsRowShown="0">
  <autoFilter ref="A44:E65" xr:uid="{37ADD9C0-040B-4811-B51C-2FCFC9CC763C}"/>
  <tableColumns count="5">
    <tableColumn id="1" xr3:uid="{ADAFBEB1-C45C-4A98-9CFA-CFD4C8F99B8F}" name="Number"/>
    <tableColumn id="2" xr3:uid="{50E0D744-FD0B-49F4-B9D8-6FE5DC0B8C04}" name="Boxes 1"/>
    <tableColumn id="3" xr3:uid="{A189C791-508A-4CE1-8CC6-61F964478378}" name="Boxes 2"/>
    <tableColumn id="4" xr3:uid="{8F0C5D2E-2E00-448F-A8AF-AB604318D5A2}" name="Boxes 3"/>
    <tableColumn id="5" xr3:uid="{EF81312B-8138-4D99-9CD7-5D53EC3D3D44}" name="Boxes 4"/>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7D292B-C2D2-4E11-BDBB-8D50CAB3E5D9}" name="tblBloodPotency" displayName="tblBloodPotency" ref="A68:E78" totalsRowShown="0">
  <autoFilter ref="A68:E78" xr:uid="{A97D292B-C2D2-4E11-BDBB-8D50CAB3E5D9}"/>
  <tableColumns count="5">
    <tableColumn id="1" xr3:uid="{0BC5E2C9-20BD-4F02-A58B-FAFBF8DC999A}" name="Blood Potency"/>
    <tableColumn id="2" xr3:uid="{EF80DA70-C274-4198-A2DC-F9B977A495B8}" name="Max Vitae"/>
    <tableColumn id="3" xr3:uid="{3AA4ED3B-7ED7-4DDB-874F-4AA7B1CB92E3}" name="Vitae Per Turn"/>
    <tableColumn id="4" xr3:uid="{95866210-6ACD-4A16-BD32-5D0F8F6099A4}" name="Feed From"/>
    <tableColumn id="5" xr3:uid="{FD6A4AA2-59DA-4564-A912-7E9274112EE7}" name="Column1"/>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2B78677-38D1-47ED-B084-4A1179598F18}" name="tblBanes" displayName="tblBanes" ref="A80:B99" totalsRowShown="0">
  <autoFilter ref="A80:B99" xr:uid="{52B78677-38D1-47ED-B084-4A1179598F18}"/>
  <sortState xmlns:xlrd2="http://schemas.microsoft.com/office/spreadsheetml/2017/richdata2" ref="A81:B99">
    <sortCondition ref="A80:A99"/>
  </sortState>
  <tableColumns count="2">
    <tableColumn id="1" xr3:uid="{BB20EB92-86C3-4A7E-BE34-DEBD4EDE0D93}" name="Bane"/>
    <tableColumn id="2" xr3:uid="{26DFACB6-2E74-40BA-9F78-D1C727588F46}" name="Description"/>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E48BB94-AE5A-406B-85C2-6009888A123F}" name="tblClans" displayName="tblClans" ref="A19:G24" totalsRowShown="0">
  <autoFilter ref="A19:G24" xr:uid="{4E48BB94-AE5A-406B-85C2-6009888A123F}"/>
  <tableColumns count="7">
    <tableColumn id="1" xr3:uid="{1221AB66-5338-46CF-9084-8DF6423B5FBA}" name="Clan"/>
    <tableColumn id="2" xr3:uid="{E75CB3F4-9F3B-46B2-965D-F1D94BF2BD3B}" name="Attribute 1"/>
    <tableColumn id="3" xr3:uid="{417AEF8A-CFBF-456F-9EE8-243E78027077}" name="Attribute 2"/>
    <tableColumn id="4" xr3:uid="{12528748-328B-40B2-BF36-ABB6EFC5194D}" name="Clan Bane"/>
    <tableColumn id="5" xr3:uid="{A25BFCFE-30BD-49C3-AD80-F99E4E81BE09}" name="Discipline 1"/>
    <tableColumn id="6" xr3:uid="{20064553-726A-47F2-9B8A-039D485350F1}" name="Discipline 2"/>
    <tableColumn id="7" xr3:uid="{7653865F-A90E-4914-94E4-01027A5241EA}" name="Discipline 3"/>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B505DAA-A896-4CF0-B14B-02371B58247D}" name="tblHumanity" displayName="tblHumanity" ref="A101:B111" totalsRowShown="0">
  <autoFilter ref="A101:B111" xr:uid="{4B505DAA-A896-4CF0-B14B-02371B58247D}"/>
  <tableColumns count="2">
    <tableColumn id="1" xr3:uid="{BC39554F-0507-421D-B8C7-407E376AE46F}" name="Humanity"/>
    <tableColumn id="2" xr3:uid="{52EACE28-744D-404D-9176-D558E7D42A34}" name="Effect"/>
  </tableColumns>
  <tableStyleInfo name="TableStyleMedium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B7C7611-666B-4B16-AF7C-D8C2C7C091F7}" name="tblEffectiveStatus" displayName="tblEffectiveStatus" ref="A113:B119" totalsRowShown="0">
  <autoFilter ref="A113:B119" xr:uid="{AB7C7611-666B-4B16-AF7C-D8C2C7C091F7}"/>
  <tableColumns count="2">
    <tableColumn id="1" xr3:uid="{E3EABBD9-EEB4-42C2-A62A-21BBA649C570}" name="Position"/>
    <tableColumn id="2" xr3:uid="{94EEE149-295D-4FC9-8239-72E1159EF8F5}" name="Status"/>
  </tableColumns>
  <tableStyleInfo name="TableStyleMedium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DC6582-D029-4DB1-8EAF-A8ECD8F29C89}" name="tblAnchors" displayName="tblAnchors" ref="A123:C150" totalsRowShown="0">
  <autoFilter ref="A123:C150" xr:uid="{BADC6582-D029-4DB1-8EAF-A8ECD8F29C89}"/>
  <tableColumns count="3">
    <tableColumn id="1" xr3:uid="{961C9F82-78F4-4C1F-BC6E-E4CDD94AA9E6}" name="Archetype"/>
    <tableColumn id="2" xr3:uid="{5EED794B-1FB6-481C-A01F-B9AD923FFD9A}" name="1 Willpower"/>
    <tableColumn id="3" xr3:uid="{8446A816-4891-4E12-B4BA-D54F81F1FC08}" name="All Willpower"/>
  </tableColumns>
  <tableStyleInfo name="TableStyleMedium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17607D5-EDB3-4EA6-84C2-3402E900ADFF}" name="tblBloodlines" displayName="tblBloodlines" ref="A1:I112" totalsRowShown="0">
  <autoFilter ref="A1:I112" xr:uid="{B17607D5-EDB3-4EA6-84C2-3402E900ADFF}"/>
  <sortState xmlns:xlrd2="http://schemas.microsoft.com/office/spreadsheetml/2017/richdata2" ref="A2:H65">
    <sortCondition ref="A1:A65"/>
  </sortState>
  <tableColumns count="9">
    <tableColumn id="1" xr3:uid="{1CFA70D6-40FC-4FAB-A39E-A940261D68C8}" name="Bloodline"/>
    <tableColumn id="2" xr3:uid="{98A4662A-DCB3-42D1-9CBC-7ADC04CC7434}" name="Clan 1"/>
    <tableColumn id="3" xr3:uid="{03D6E59E-7B60-4FE2-BD91-A0EA879DCCF7}" name="Clan 2"/>
    <tableColumn id="8" xr3:uid="{5BB55AC2-4DD8-443B-88C3-074BC24AD61D}" name="Covenant"/>
    <tableColumn id="4" xr3:uid="{B9A4F9F0-AB6E-4670-8EEC-AB79B7B64D70}" name="Discipline 1"/>
    <tableColumn id="5" xr3:uid="{5831C585-9AB4-4A95-9CC6-34505FE7AC77}" name="Discipline 2"/>
    <tableColumn id="6" xr3:uid="{B53C287B-32E0-4CD2-8589-B9DFA9C4DAEA}" name="Discipline 3"/>
    <tableColumn id="7" xr3:uid="{9081F413-DD99-4C12-8DFD-F70DB44372D5}" name="Discipline 4"/>
    <tableColumn id="9" xr3:uid="{3521494A-0CC9-4074-8C77-CE0234048C41}" name="Status"/>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1A2CFD8-E95C-4404-BB49-CA37E8CEEDD7}" name="tblDisciplines" displayName="tblDisciplines" ref="A1:O218" totalsRowShown="0">
  <autoFilter ref="A1:O218" xr:uid="{2D62AFD7-7A6F-4699-B03F-AE4F308BD56D}"/>
  <sortState xmlns:xlrd2="http://schemas.microsoft.com/office/spreadsheetml/2017/richdata2" ref="A2:O218">
    <sortCondition ref="B1:B218"/>
  </sortState>
  <tableColumns count="15">
    <tableColumn id="1" xr3:uid="{F496FF25-17C8-419F-8833-5DFEEC9F530B}" name="Name"/>
    <tableColumn id="11" xr3:uid="{6796E038-4A48-4053-8676-0919EDF927DE}" name="Discipline"/>
    <tableColumn id="2" xr3:uid="{C22BEF92-6EB0-4985-92F8-EF22C89903C4}" name="Rank"/>
    <tableColumn id="3" xr3:uid="{ED5BF143-3558-4880-ADEA-AD8E9554C668}" name="Cost"/>
    <tableColumn id="4" xr3:uid="{E0F14D26-7A87-4BD2-820B-8C7610969C3E}" name="Prerequisite"/>
    <tableColumn id="5" xr3:uid="{30C777AE-62BA-4DFB-93F8-7E8B4E06845B}" name="Attribute"/>
    <tableColumn id="12" xr3:uid="{B44B4A31-82CA-4C95-B17D-513C68851542}" name="Skill"/>
    <tableColumn id="13" xr3:uid="{6CB3E00B-F003-48EE-AFE9-F30E52CD68B4}" name="Power"/>
    <tableColumn id="14" xr3:uid="{8EC5F56D-9D1C-46EF-9BB7-50B6A9D63C77}" name="Resistance"/>
    <tableColumn id="6" xr3:uid="{CEA96754-15A8-4D46-B461-F2D9AABA4725}" name="Action"/>
    <tableColumn id="7" xr3:uid="{AAEC3621-8443-414E-AA98-A2D11703CACD}" name="Duration"/>
    <tableColumn id="8" xr3:uid="{55C47737-BFF6-4111-932E-A26F2EEAA67B}" name="Effect"/>
    <tableColumn id="9" xr3:uid="{AF39554A-56EC-4A2E-AA3A-B6EBBB7A52E6}" name="Exceptional"/>
    <tableColumn id="15" xr3:uid="{5D26F88D-B64A-4215-87DA-3D6BD28D3260}" name="Disciplines" dataDxfId="22"/>
    <tableColumn id="10" xr3:uid="{952190B2-18FF-4DBE-A74A-557F12DDDC91}" name="XP" dataDxfId="21"/>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4B16C65-E5B9-4F0B-9955-F5B8E43E0D48}" name="tblMerits" displayName="tblMerits" ref="A1:G128" totalsRowShown="0">
  <autoFilter ref="A1:G128" xr:uid="{287D0611-252C-4312-9B16-E5F296DC6949}"/>
  <sortState xmlns:xlrd2="http://schemas.microsoft.com/office/spreadsheetml/2017/richdata2" ref="A2:G128">
    <sortCondition ref="A1:A128"/>
  </sortState>
  <tableColumns count="7">
    <tableColumn id="1" xr3:uid="{C5B26CD6-5F8D-42C9-B6AE-7CFFCDE04289}" name="Merit"/>
    <tableColumn id="6" xr3:uid="{40D1DF7A-C291-4D1E-80E4-B8CF23199E96}" name="Type"/>
    <tableColumn id="2" xr3:uid="{2D950077-A291-42D8-9555-8313AFA29C6C}" name="RatingMin"/>
    <tableColumn id="3" xr3:uid="{631ACEDE-4B15-41A9-A6B1-138F5B079651}" name="RatingMax"/>
    <tableColumn id="11" xr3:uid="{2C8F1F28-E8C5-41F9-A555-580ACCBAB8E1}" name="Description" dataDxfId="20"/>
    <tableColumn id="4" xr3:uid="{39BB7F09-331B-4CA4-9382-2F6004888F84}" name="Prerequisite"/>
    <tableColumn id="7" xr3:uid="{63BB5C3C-3E9A-4D8A-941A-3A5D69AA81DB}" name="Exclusion"/>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930C497-CCC3-41FD-B677-4D7DBCEDB464}" name="tblPacts" displayName="tblPacts" ref="A131:G156" totalsRowShown="0">
  <autoFilter ref="A131:G156" xr:uid="{C930C497-CCC3-41FD-B677-4D7DBCEDB464}"/>
  <tableColumns count="7">
    <tableColumn id="1" xr3:uid="{B2DFEBA8-8942-4C83-A730-5F45DEEBC7DB}" name="Merit"/>
    <tableColumn id="2" xr3:uid="{FCD0440D-FD65-492D-A494-193EF086F16A}" name="Type"/>
    <tableColumn id="3" xr3:uid="{BC3028D6-67EC-4DBF-A025-D757492F22CA}" name="RatingMin"/>
    <tableColumn id="4" xr3:uid="{1E03E7A6-4A56-40CE-B5D8-15068BE2A4EC}" name="RatingMax"/>
    <tableColumn id="5" xr3:uid="{F3B62B7A-A866-49AE-B943-C4C88F718EF9}" name="Description"/>
    <tableColumn id="6" xr3:uid="{4A737C91-31B5-4615-827F-831B9EFCEEFD}" name="Prerequisite"/>
    <tableColumn id="7" xr3:uid="{D28FCDC3-4D72-437C-9A51-07DD0E597E24}" name="Exclusion"/>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724222-D9AC-4CFA-BEDB-D6C04C0C4F26}" name="tblManoeuvre" displayName="tblManoeuvre" ref="A1:I196" totalsRowShown="0">
  <autoFilter ref="A1:I196" xr:uid="{55724222-D9AC-4CFA-BEDB-D6C04C0C4F26}"/>
  <sortState xmlns:xlrd2="http://schemas.microsoft.com/office/spreadsheetml/2017/richdata2" ref="A2:I196">
    <sortCondition ref="B1:B196"/>
  </sortState>
  <tableColumns count="9">
    <tableColumn id="1" xr3:uid="{794B80CF-1B58-4477-A9E4-742D23FB8BFC}" name="Manoeuvre"/>
    <tableColumn id="2" xr3:uid="{2E210D56-60A1-406B-8596-14FB632500ED}" name="Style"/>
    <tableColumn id="3" xr3:uid="{9ED1CDB3-B188-4765-9F3F-AC64B17D62C8}" name="Rank"/>
    <tableColumn id="4" xr3:uid="{72F81CBF-60EC-45EC-BE26-7E291083E749}" name="Tag1"/>
    <tableColumn id="5" xr3:uid="{175BECE8-BF58-4CAF-9AF8-D9610E4E907D}" name="Tag2"/>
    <tableColumn id="6" xr3:uid="{7F9AFE91-E52B-4626-BCF4-8813EE9966B6}" name="Tag3"/>
    <tableColumn id="7" xr3:uid="{DA5027B3-C21E-40A1-BB69-D18A1995087D}" name="Tag4"/>
    <tableColumn id="8" xr3:uid="{89471BB5-7C3C-494C-8094-59D057842336}" name="Prerequisites"/>
    <tableColumn id="9" xr3:uid="{67034335-2C0A-4165-8C42-1DE80B376CC2}" name="Effect"/>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B61EF9-1EE2-411C-A3DB-BE85BF568BE3}" name="tblInfluence" displayName="tblInfluence" ref="A1:E8" totalsRowShown="0">
  <autoFilter ref="A1:E8" xr:uid="{58B61EF9-1EE2-411C-A3DB-BE85BF568BE3}"/>
  <sortState xmlns:xlrd2="http://schemas.microsoft.com/office/spreadsheetml/2017/richdata2" ref="A2:E8">
    <sortCondition ref="A1:A8"/>
  </sortState>
  <tableColumns count="5">
    <tableColumn id="1" xr3:uid="{3C9885AC-409C-40A3-B356-690CEBF576C5}" name="Merit"/>
    <tableColumn id="6" xr3:uid="{A27D4318-9F6B-4F1A-9740-655E1D69253D}" name="Type"/>
    <tableColumn id="2" xr3:uid="{9613BD15-E0C3-4D87-B4F0-A63517741E05}" name="RatingMin"/>
    <tableColumn id="3" xr3:uid="{24EDEE48-CF3D-4B37-A499-56530D3C7BA8}" name="RatingMax"/>
    <tableColumn id="11" xr3:uid="{B955DD9A-0687-4133-8C89-E1AC25038B08}" name="Effect" dataDxfId="19"/>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74D24F8-CAF9-45CE-821A-E8A9042369E8}" name="tblDomain" displayName="tblDomain" ref="A10:E14" totalsRowShown="0">
  <autoFilter ref="A10:E14" xr:uid="{074D24F8-CAF9-45CE-821A-E8A9042369E8}"/>
  <sortState xmlns:xlrd2="http://schemas.microsoft.com/office/spreadsheetml/2017/richdata2" ref="A11:E14">
    <sortCondition ref="A10:A14"/>
  </sortState>
  <tableColumns count="5">
    <tableColumn id="1" xr3:uid="{0F908B6C-BE2F-4D8C-8D8E-28FBB5EF1E35}" name="Merit"/>
    <tableColumn id="6" xr3:uid="{CF9D23E3-F67B-4B01-8B97-E6620FA92976}" name="Type"/>
    <tableColumn id="2" xr3:uid="{102E8C5D-E843-4E21-B7CC-E3FC267E9227}" name="RatingMin"/>
    <tableColumn id="3" xr3:uid="{D533B32D-0CF4-43E5-BD41-81D2D91DD2F5}" name="RatingMax"/>
    <tableColumn id="11" xr3:uid="{8FE537D5-D9FB-464C-846C-6E4445E6CA9B}" name="Effect" dataDxfId="18"/>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E217829-1466-4463-AA51-6F5D25CE2DEB}" name="tblMCI" displayName="tblMCI" ref="A16:E21" totalsRowShown="0">
  <autoFilter ref="A16:E21" xr:uid="{6E217829-1466-4463-AA51-6F5D25CE2DEB}"/>
  <tableColumns count="5">
    <tableColumn id="1" xr3:uid="{27B815AE-557B-4E56-B646-E77BEBF6E771}" name="Merit"/>
    <tableColumn id="2" xr3:uid="{BC4D1162-AA5F-41E2-A000-FD1EC5517F7B}" name="Style"/>
    <tableColumn id="3" xr3:uid="{D5B6DB90-F987-4819-BA94-62C65B250E37}" name="Rank"/>
    <tableColumn id="4" xr3:uid="{8782608D-1F54-4696-96B2-67255E26AA4D}" name="RatingMax"/>
    <tableColumn id="5" xr3:uid="{65DECADC-8E7C-4487-A2C9-8211306DF047}" name="Effect"/>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CD7B293-EDEE-4A8A-8E4B-6FD91D5C0712}" name="tblPT" displayName="tblPT" ref="A23:E28" totalsRowShown="0">
  <autoFilter ref="A23:E28" xr:uid="{6CD7B293-EDEE-4A8A-8E4B-6FD91D5C0712}"/>
  <tableColumns count="5">
    <tableColumn id="1" xr3:uid="{3902D634-A2D2-4644-B919-D8D62D730CA1}" name="Merit"/>
    <tableColumn id="2" xr3:uid="{5F556AB7-BA11-4969-83C7-FDFAFCA24011}" name="Style"/>
    <tableColumn id="3" xr3:uid="{BB427FA5-07AE-47E0-9945-85BFDC9DB86C}" name="Rank"/>
    <tableColumn id="4" xr3:uid="{DE4F53CB-7A9A-41E3-A9CD-C341548E65DC}" name="RatingMax"/>
    <tableColumn id="5" xr3:uid="{2C2FA15A-C921-4D7E-ABDD-56A49DE04AB5}" name="Effec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7.xml.rels><?xml version="1.0" encoding="UTF-8" standalone="yes"?>
<Relationships xmlns="http://schemas.openxmlformats.org/package/2006/relationships"><Relationship Id="rId8" Type="http://schemas.openxmlformats.org/officeDocument/2006/relationships/table" Target="../tables/table40.xml"/><Relationship Id="rId3" Type="http://schemas.openxmlformats.org/officeDocument/2006/relationships/table" Target="../tables/table35.xml"/><Relationship Id="rId7" Type="http://schemas.openxmlformats.org/officeDocument/2006/relationships/table" Target="../tables/table39.xml"/><Relationship Id="rId12" Type="http://schemas.openxmlformats.org/officeDocument/2006/relationships/table" Target="../tables/table44.xml"/><Relationship Id="rId2" Type="http://schemas.openxmlformats.org/officeDocument/2006/relationships/table" Target="../tables/table34.xml"/><Relationship Id="rId1" Type="http://schemas.openxmlformats.org/officeDocument/2006/relationships/printerSettings" Target="../printerSettings/printerSettings1.bin"/><Relationship Id="rId6" Type="http://schemas.openxmlformats.org/officeDocument/2006/relationships/table" Target="../tables/table38.xml"/><Relationship Id="rId11" Type="http://schemas.openxmlformats.org/officeDocument/2006/relationships/table" Target="../tables/table43.xml"/><Relationship Id="rId5" Type="http://schemas.openxmlformats.org/officeDocument/2006/relationships/table" Target="../tables/table37.xml"/><Relationship Id="rId10" Type="http://schemas.openxmlformats.org/officeDocument/2006/relationships/table" Target="../tables/table42.xml"/><Relationship Id="rId4" Type="http://schemas.openxmlformats.org/officeDocument/2006/relationships/table" Target="../tables/table36.xml"/><Relationship Id="rId9" Type="http://schemas.openxmlformats.org/officeDocument/2006/relationships/table" Target="../tables/table41.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39.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printerSettings" Target="../printerSettings/printerSettings2.bin"/></Relationships>
</file>

<file path=xl/worksheets/_rels/sheet40.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table" Target="../tables/table47.xml"/><Relationship Id="rId1" Type="http://schemas.openxmlformats.org/officeDocument/2006/relationships/printerSettings" Target="../printerSettings/printerSettings3.bin"/></Relationships>
</file>

<file path=xl/worksheets/_rels/sheet41.xml.rels><?xml version="1.0" encoding="UTF-8" standalone="yes"?>
<Relationships xmlns="http://schemas.openxmlformats.org/package/2006/relationships"><Relationship Id="rId2" Type="http://schemas.openxmlformats.org/officeDocument/2006/relationships/table" Target="../tables/table49.xml"/><Relationship Id="rId1" Type="http://schemas.openxmlformats.org/officeDocument/2006/relationships/printerSettings" Target="../printerSettings/printerSettings4.bin"/></Relationships>
</file>

<file path=xl/worksheets/_rels/sheet42.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table" Target="../tables/table51.xml"/><Relationship Id="rId1" Type="http://schemas.openxmlformats.org/officeDocument/2006/relationships/table" Target="../tables/table50.xml"/><Relationship Id="rId4" Type="http://schemas.openxmlformats.org/officeDocument/2006/relationships/table" Target="../tables/table5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0FA95-6408-4AA2-A0E5-0829CD659BB4}">
  <dimension ref="A1:NA31"/>
  <sheetViews>
    <sheetView workbookViewId="0">
      <pane xSplit="1" topLeftCell="FA1" activePane="topRight" state="frozen"/>
      <selection pane="topRight" activeCell="MV10" sqref="MV10"/>
    </sheetView>
  </sheetViews>
  <sheetFormatPr defaultRowHeight="15"/>
  <cols>
    <col min="1" max="1" width="20.140625" bestFit="1" customWidth="1"/>
    <col min="2" max="2" width="9.85546875" style="8" bestFit="1" customWidth="1"/>
    <col min="3" max="3" width="8.42578125" bestFit="1" customWidth="1"/>
    <col min="4" max="4" width="9.42578125" bestFit="1" customWidth="1"/>
    <col min="5" max="5" width="13.7109375" bestFit="1" customWidth="1"/>
    <col min="6" max="6" width="23.140625" bestFit="1" customWidth="1"/>
    <col min="7" max="7" width="30.28515625" bestFit="1" customWidth="1"/>
    <col min="8" max="8" width="12.140625" bestFit="1" customWidth="1"/>
    <col min="9" max="9" width="9.85546875" bestFit="1" customWidth="1"/>
    <col min="10" max="10" width="64" bestFit="1" customWidth="1"/>
    <col min="11" max="11" width="20.7109375" bestFit="1" customWidth="1"/>
    <col min="12" max="12" width="18.85546875" bestFit="1" customWidth="1"/>
    <col min="13" max="13" width="62.42578125" bestFit="1" customWidth="1"/>
    <col min="14" max="14" width="12.85546875" bestFit="1" customWidth="1"/>
    <col min="15" max="15" width="16.85546875" bestFit="1" customWidth="1"/>
    <col min="16" max="16" width="11.5703125" bestFit="1" customWidth="1"/>
    <col min="17" max="17" width="12.85546875" bestFit="1" customWidth="1"/>
    <col min="18" max="18" width="6.42578125" bestFit="1" customWidth="1"/>
    <col min="19" max="19" width="9.28515625" bestFit="1" customWidth="1"/>
    <col min="20" max="20" width="9.85546875" bestFit="1" customWidth="1"/>
    <col min="21" max="21" width="10.5703125" bestFit="1" customWidth="1"/>
    <col min="22" max="22" width="9.42578125" bestFit="1" customWidth="1"/>
    <col min="23" max="23" width="10.42578125" bestFit="1" customWidth="1"/>
    <col min="24" max="24" width="14.42578125" bestFit="1" customWidth="1"/>
    <col min="25" max="25" width="12.42578125" bestFit="1" customWidth="1"/>
    <col min="26" max="26" width="11.7109375" bestFit="1" customWidth="1"/>
    <col min="27" max="27" width="11.140625" bestFit="1" customWidth="1"/>
    <col min="28" max="28" width="7.42578125" bestFit="1" customWidth="1"/>
    <col min="29" max="29" width="14" bestFit="1" customWidth="1"/>
    <col min="30" max="30" width="10.7109375" bestFit="1" customWidth="1"/>
    <col min="31" max="31" width="8.28515625" bestFit="1" customWidth="1"/>
    <col min="32" max="32" width="8.7109375" bestFit="1" customWidth="1"/>
    <col min="33" max="33" width="9" bestFit="1" customWidth="1"/>
    <col min="34" max="34" width="10.140625" bestFit="1" customWidth="1"/>
    <col min="35" max="35" width="8.28515625" bestFit="1" customWidth="1"/>
    <col min="36" max="36" width="7" bestFit="1" customWidth="1"/>
    <col min="37" max="37" width="10" bestFit="1" customWidth="1"/>
    <col min="38" max="38" width="9" bestFit="1" customWidth="1"/>
    <col min="39" max="39" width="8.5703125" bestFit="1" customWidth="1"/>
    <col min="40" max="40" width="9.28515625" bestFit="1" customWidth="1"/>
    <col min="41" max="41" width="11.5703125" bestFit="1" customWidth="1"/>
    <col min="42" max="42" width="12.42578125" bestFit="1" customWidth="1"/>
    <col min="43" max="43" width="10" bestFit="1" customWidth="1"/>
    <col min="44" max="44" width="11.85546875" bestFit="1" customWidth="1"/>
    <col min="45" max="45" width="13.42578125" bestFit="1" customWidth="1"/>
    <col min="46" max="46" width="12" bestFit="1" customWidth="1"/>
    <col min="47" max="47" width="10" bestFit="1" customWidth="1"/>
    <col min="48" max="48" width="11.85546875" bestFit="1" customWidth="1"/>
    <col min="49" max="49" width="12.140625" bestFit="1" customWidth="1"/>
    <col min="50" max="50" width="23.28515625" bestFit="1" customWidth="1"/>
    <col min="51" max="51" width="4.5703125" bestFit="1" customWidth="1"/>
    <col min="52" max="52" width="8.7109375" bestFit="1" customWidth="1"/>
    <col min="53" max="53" width="20.5703125" bestFit="1" customWidth="1"/>
    <col min="54" max="54" width="11.7109375" bestFit="1" customWidth="1"/>
    <col min="55" max="55" width="20.42578125" bestFit="1" customWidth="1"/>
    <col min="56" max="56" width="7" bestFit="1" customWidth="1"/>
    <col min="57" max="57" width="27.28515625" bestFit="1" customWidth="1"/>
    <col min="58" max="58" width="15" bestFit="1" customWidth="1"/>
    <col min="59" max="59" width="15.5703125" bestFit="1" customWidth="1"/>
    <col min="60" max="60" width="16.42578125" bestFit="1" customWidth="1"/>
    <col min="61" max="61" width="15.85546875" bestFit="1" customWidth="1"/>
    <col min="62" max="62" width="12" bestFit="1" customWidth="1"/>
    <col min="63" max="63" width="19" bestFit="1" customWidth="1"/>
    <col min="64" max="64" width="18" bestFit="1" customWidth="1"/>
    <col min="65" max="65" width="25.7109375" bestFit="1" customWidth="1"/>
    <col min="66" max="66" width="18.85546875" bestFit="1" customWidth="1"/>
    <col min="67" max="67" width="13.7109375" bestFit="1" customWidth="1"/>
    <col min="68" max="68" width="14.85546875" bestFit="1" customWidth="1"/>
    <col min="69" max="69" width="13.7109375" bestFit="1" customWidth="1"/>
    <col min="70" max="70" width="11.5703125" bestFit="1" customWidth="1"/>
    <col min="71" max="71" width="14.7109375" bestFit="1" customWidth="1"/>
    <col min="72" max="73" width="13.7109375" bestFit="1" customWidth="1"/>
    <col min="74" max="74" width="17" bestFit="1" customWidth="1"/>
    <col min="75" max="75" width="34.28515625" bestFit="1" customWidth="1"/>
    <col min="76" max="76" width="17.28515625" bestFit="1" customWidth="1"/>
    <col min="77" max="77" width="20" bestFit="1" customWidth="1"/>
    <col min="78" max="78" width="16.5703125" bestFit="1" customWidth="1"/>
    <col min="79" max="79" width="18.140625" bestFit="1" customWidth="1"/>
    <col min="80" max="80" width="16.7109375" bestFit="1" customWidth="1"/>
    <col min="81" max="81" width="14.7109375" bestFit="1" customWidth="1"/>
    <col min="82" max="82" width="16.5703125" bestFit="1" customWidth="1"/>
    <col min="83" max="83" width="16.85546875" bestFit="1" customWidth="1"/>
    <col min="84" max="84" width="11.5703125" bestFit="1" customWidth="1"/>
    <col min="85" max="85" width="12" bestFit="1" customWidth="1"/>
    <col min="86" max="86" width="16.7109375" bestFit="1" customWidth="1"/>
    <col min="87" max="87" width="12.140625" bestFit="1" customWidth="1"/>
    <col min="88" max="88" width="18.28515625" bestFit="1" customWidth="1"/>
    <col min="89" max="89" width="12.140625" bestFit="1" customWidth="1"/>
    <col min="90" max="90" width="18.28515625" bestFit="1" customWidth="1"/>
    <col min="91" max="91" width="12.140625" bestFit="1" customWidth="1"/>
    <col min="92" max="92" width="18.28515625" bestFit="1" customWidth="1"/>
    <col min="93" max="93" width="12.140625" bestFit="1" customWidth="1"/>
    <col min="94" max="94" width="18.28515625" bestFit="1" customWidth="1"/>
    <col min="95" max="95" width="11.28515625" bestFit="1" customWidth="1"/>
    <col min="96" max="96" width="7.85546875" bestFit="1" customWidth="1"/>
    <col min="97" max="97" width="17.7109375" bestFit="1" customWidth="1"/>
    <col min="98" max="98" width="7.42578125" bestFit="1" customWidth="1"/>
    <col min="99" max="99" width="22.5703125" bestFit="1" customWidth="1"/>
    <col min="100" max="100" width="33.140625" bestFit="1" customWidth="1"/>
    <col min="101" max="101" width="21.140625" bestFit="1" customWidth="1"/>
    <col min="102" max="102" width="19.140625" bestFit="1" customWidth="1"/>
    <col min="103" max="103" width="6.42578125" bestFit="1" customWidth="1"/>
    <col min="104" max="104" width="10.5703125" bestFit="1" customWidth="1"/>
    <col min="105" max="105" width="13.42578125" bestFit="1" customWidth="1"/>
    <col min="106" max="107" width="12.28515625" bestFit="1" customWidth="1"/>
    <col min="108" max="108" width="34.5703125" bestFit="1" customWidth="1"/>
    <col min="109" max="109" width="35.85546875" bestFit="1" customWidth="1"/>
    <col min="110" max="110" width="28.28515625" bestFit="1" customWidth="1"/>
    <col min="111" max="111" width="31.28515625" bestFit="1" customWidth="1"/>
    <col min="112" max="114" width="12.28515625" bestFit="1" customWidth="1"/>
    <col min="115" max="115" width="40" bestFit="1" customWidth="1"/>
    <col min="116" max="116" width="36.28515625" bestFit="1" customWidth="1"/>
    <col min="117" max="117" width="46" bestFit="1" customWidth="1"/>
    <col min="118" max="118" width="52.42578125" bestFit="1" customWidth="1"/>
    <col min="119" max="119" width="49" bestFit="1" customWidth="1"/>
    <col min="120" max="120" width="36.28515625" bestFit="1" customWidth="1"/>
    <col min="121" max="121" width="33.140625" bestFit="1" customWidth="1"/>
    <col min="122" max="122" width="41" bestFit="1" customWidth="1"/>
    <col min="123" max="123" width="34.7109375" bestFit="1" customWidth="1"/>
    <col min="124" max="124" width="38.5703125" bestFit="1" customWidth="1"/>
    <col min="125" max="125" width="35.28515625" bestFit="1" customWidth="1"/>
    <col min="126" max="126" width="36.140625" bestFit="1" customWidth="1"/>
    <col min="127" max="127" width="24.7109375" bestFit="1" customWidth="1"/>
    <col min="128" max="128" width="27" bestFit="1" customWidth="1"/>
    <col min="129" max="129" width="37.7109375" bestFit="1" customWidth="1"/>
    <col min="130" max="130" width="31.42578125" bestFit="1" customWidth="1"/>
    <col min="131" max="131" width="36" bestFit="1" customWidth="1"/>
    <col min="132" max="132" width="44.85546875" bestFit="1" customWidth="1"/>
    <col min="133" max="133" width="32.42578125" bestFit="1" customWidth="1"/>
    <col min="134" max="134" width="35.5703125" bestFit="1" customWidth="1"/>
    <col min="135" max="144" width="9.7109375" bestFit="1" customWidth="1"/>
    <col min="145" max="156" width="81.140625" bestFit="1" customWidth="1"/>
    <col min="157" max="157" width="45" bestFit="1" customWidth="1"/>
    <col min="158" max="158" width="81.140625" bestFit="1" customWidth="1"/>
    <col min="159" max="159" width="75" bestFit="1" customWidth="1"/>
    <col min="160" max="161" width="81.140625" bestFit="1" customWidth="1"/>
    <col min="162" max="162" width="51.28515625" bestFit="1" customWidth="1"/>
    <col min="163" max="163" width="81.140625" bestFit="1" customWidth="1"/>
    <col min="164" max="164" width="39.85546875" bestFit="1" customWidth="1"/>
    <col min="165" max="174" width="15.42578125" bestFit="1" customWidth="1"/>
    <col min="175" max="175" width="10.7109375" bestFit="1" customWidth="1"/>
    <col min="176" max="176" width="19.28515625" bestFit="1" customWidth="1"/>
    <col min="177" max="185" width="12.140625" bestFit="1" customWidth="1"/>
    <col min="186" max="196" width="13.28515625" bestFit="1" customWidth="1"/>
    <col min="197" max="197" width="40.85546875" bestFit="1" customWidth="1"/>
    <col min="198" max="198" width="27.42578125" bestFit="1" customWidth="1"/>
    <col min="199" max="199" width="24.85546875" bestFit="1" customWidth="1"/>
    <col min="200" max="200" width="38.85546875" bestFit="1" customWidth="1"/>
    <col min="201" max="201" width="21.7109375" bestFit="1" customWidth="1"/>
    <col min="202" max="205" width="8.85546875" bestFit="1" customWidth="1"/>
    <col min="206" max="216" width="9.85546875" bestFit="1" customWidth="1"/>
    <col min="217" max="225" width="16.7109375" bestFit="1" customWidth="1"/>
    <col min="226" max="236" width="17.85546875" bestFit="1" customWidth="1"/>
    <col min="237" max="237" width="11.7109375" bestFit="1" customWidth="1"/>
    <col min="238" max="238" width="8.85546875" bestFit="1" customWidth="1"/>
    <col min="239" max="239" width="9.28515625" bestFit="1" customWidth="1"/>
    <col min="240" max="240" width="11" bestFit="1" customWidth="1"/>
    <col min="241" max="241" width="9.42578125" bestFit="1" customWidth="1"/>
    <col min="242" max="242" width="11.7109375" bestFit="1" customWidth="1"/>
    <col min="243" max="243" width="11.28515625" bestFit="1" customWidth="1"/>
    <col min="244" max="244" width="9.28515625" bestFit="1" customWidth="1"/>
    <col min="245" max="245" width="11.42578125" bestFit="1" customWidth="1"/>
    <col min="246" max="246" width="8.140625" bestFit="1" customWidth="1"/>
    <col min="247" max="247" width="7.140625" bestFit="1" customWidth="1"/>
    <col min="248" max="248" width="8.85546875" bestFit="1" customWidth="1"/>
    <col min="249" max="249" width="9.85546875" bestFit="1" customWidth="1"/>
    <col min="250" max="250" width="12.5703125" bestFit="1" customWidth="1"/>
    <col min="251" max="251" width="11.42578125" bestFit="1" customWidth="1"/>
    <col min="252" max="252" width="11.5703125" bestFit="1" customWidth="1"/>
    <col min="253" max="253" width="15.28515625" bestFit="1" customWidth="1"/>
    <col min="254" max="254" width="28.42578125" bestFit="1" customWidth="1"/>
    <col min="255" max="255" width="31" bestFit="1" customWidth="1"/>
    <col min="256" max="258" width="35.28515625" bestFit="1" customWidth="1"/>
    <col min="259" max="259" width="37" bestFit="1" customWidth="1"/>
    <col min="260" max="260" width="30.42578125" bestFit="1" customWidth="1"/>
    <col min="261" max="261" width="34.28515625" bestFit="1" customWidth="1"/>
    <col min="262" max="262" width="37" bestFit="1" customWidth="1"/>
    <col min="263" max="263" width="35.7109375" bestFit="1" customWidth="1"/>
    <col min="264" max="264" width="31.28515625" bestFit="1" customWidth="1"/>
    <col min="265" max="265" width="31" bestFit="1" customWidth="1"/>
    <col min="266" max="266" width="31.28515625" bestFit="1" customWidth="1"/>
    <col min="267" max="267" width="32.5703125" bestFit="1" customWidth="1"/>
    <col min="268" max="269" width="34" bestFit="1" customWidth="1"/>
    <col min="270" max="270" width="28.5703125" bestFit="1" customWidth="1"/>
    <col min="271" max="271" width="35.140625" bestFit="1" customWidth="1"/>
    <col min="272" max="272" width="24.85546875" bestFit="1" customWidth="1"/>
    <col min="273" max="273" width="23.85546875" bestFit="1" customWidth="1"/>
    <col min="274" max="283" width="9.85546875" bestFit="1" customWidth="1"/>
    <col min="284" max="284" width="76.28515625" bestFit="1" customWidth="1"/>
    <col min="285" max="289" width="81.140625" bestFit="1" customWidth="1"/>
    <col min="290" max="290" width="64.7109375" bestFit="1" customWidth="1"/>
    <col min="291" max="293" width="81.140625" bestFit="1" customWidth="1"/>
    <col min="294" max="294" width="45.7109375" bestFit="1" customWidth="1"/>
    <col min="295" max="295" width="44.85546875" bestFit="1" customWidth="1"/>
    <col min="296" max="297" width="14.7109375" bestFit="1" customWidth="1"/>
    <col min="298" max="298" width="58.140625" bestFit="1" customWidth="1"/>
    <col min="299" max="299" width="45.85546875" bestFit="1" customWidth="1"/>
    <col min="300" max="300" width="46.85546875" bestFit="1" customWidth="1"/>
    <col min="301" max="301" width="45.85546875" bestFit="1" customWidth="1"/>
    <col min="302" max="302" width="49.7109375" bestFit="1" customWidth="1"/>
    <col min="303" max="313" width="14.7109375" bestFit="1" customWidth="1"/>
    <col min="314" max="329" width="81.140625" bestFit="1" customWidth="1"/>
    <col min="330" max="330" width="54.7109375" bestFit="1" customWidth="1"/>
    <col min="331" max="331" width="45.42578125" bestFit="1" customWidth="1"/>
    <col min="332" max="332" width="61.7109375" bestFit="1" customWidth="1"/>
    <col min="333" max="333" width="81.140625" bestFit="1" customWidth="1"/>
    <col min="334" max="343" width="15.5703125" bestFit="1" customWidth="1"/>
    <col min="344" max="344" width="16" bestFit="1" customWidth="1"/>
    <col min="345" max="345" width="15.85546875" bestFit="1" customWidth="1"/>
    <col min="346" max="346" width="15.140625" bestFit="1" customWidth="1"/>
    <col min="347" max="348" width="13.85546875" bestFit="1" customWidth="1"/>
    <col min="349" max="349" width="81.140625" bestFit="1" customWidth="1"/>
    <col min="350" max="350" width="21.7109375" bestFit="1" customWidth="1"/>
    <col min="351" max="351" width="72.5703125" bestFit="1" customWidth="1"/>
    <col min="352" max="353" width="19.5703125" bestFit="1" customWidth="1"/>
    <col min="354" max="354" width="5.85546875" bestFit="1" customWidth="1"/>
    <col min="355" max="355" width="7.85546875" bestFit="1" customWidth="1"/>
    <col min="356" max="356" width="9.7109375" bestFit="1" customWidth="1"/>
    <col min="357" max="357" width="66.28515625" bestFit="1" customWidth="1"/>
    <col min="358" max="358" width="66" bestFit="1" customWidth="1"/>
    <col min="359" max="359" width="65.42578125" bestFit="1" customWidth="1"/>
    <col min="360" max="360" width="73.42578125" bestFit="1" customWidth="1"/>
    <col min="361" max="361" width="40.28515625" bestFit="1" customWidth="1"/>
    <col min="362" max="362" width="34.140625" bestFit="1" customWidth="1"/>
    <col min="363" max="363" width="55.7109375" bestFit="1" customWidth="1"/>
    <col min="364" max="364" width="15.5703125" bestFit="1" customWidth="1"/>
    <col min="365" max="365" width="23.7109375" bestFit="1" customWidth="1"/>
    <col min="366" max="366" width="15" bestFit="1" customWidth="1"/>
    <col min="367" max="373" width="18.85546875" bestFit="1" customWidth="1"/>
    <col min="374" max="374" width="72.42578125" bestFit="1" customWidth="1"/>
    <col min="375" max="375" width="29.7109375" bestFit="1" customWidth="1"/>
    <col min="376" max="376" width="42.42578125" bestFit="1" customWidth="1"/>
    <col min="377" max="377" width="52" bestFit="1" customWidth="1"/>
    <col min="378" max="378" width="44.7109375" bestFit="1" customWidth="1"/>
    <col min="379" max="382" width="19.28515625" bestFit="1" customWidth="1"/>
    <col min="383" max="393" width="20.28515625" bestFit="1" customWidth="1"/>
    <col min="394" max="394" width="72.42578125" bestFit="1" customWidth="1"/>
    <col min="395" max="395" width="29.7109375" bestFit="1" customWidth="1"/>
    <col min="396" max="396" width="42.42578125" bestFit="1" customWidth="1"/>
    <col min="397" max="397" width="52" bestFit="1" customWidth="1"/>
    <col min="398" max="398" width="44.7109375" bestFit="1" customWidth="1"/>
    <col min="399" max="402" width="17" bestFit="1" customWidth="1"/>
    <col min="403" max="413" width="18.140625" bestFit="1" customWidth="1"/>
    <col min="414" max="414" width="52.5703125" bestFit="1" customWidth="1"/>
    <col min="415" max="415" width="53.140625" bestFit="1" customWidth="1"/>
    <col min="416" max="416" width="44.42578125" bestFit="1" customWidth="1"/>
    <col min="417" max="417" width="43.140625" bestFit="1" customWidth="1"/>
    <col min="418" max="418" width="37.28515625" bestFit="1" customWidth="1"/>
    <col min="419" max="422" width="18.28515625" bestFit="1" customWidth="1"/>
    <col min="423" max="433" width="19.28515625" bestFit="1" customWidth="1"/>
    <col min="434" max="434" width="51.42578125" bestFit="1" customWidth="1"/>
    <col min="435" max="435" width="35.7109375" bestFit="1" customWidth="1"/>
    <col min="436" max="436" width="44.5703125" bestFit="1" customWidth="1"/>
    <col min="437" max="437" width="32.5703125" bestFit="1" customWidth="1"/>
    <col min="438" max="438" width="44.5703125" bestFit="1" customWidth="1"/>
    <col min="439" max="442" width="23.5703125" bestFit="1" customWidth="1"/>
    <col min="443" max="452" width="24.5703125" bestFit="1" customWidth="1"/>
    <col min="453" max="453" width="24.5703125" customWidth="1"/>
    <col min="454" max="458" width="25.7109375" bestFit="1" customWidth="1"/>
    <col min="459" max="468" width="14.42578125" bestFit="1" customWidth="1"/>
    <col min="469" max="469" width="12.7109375" bestFit="1" customWidth="1"/>
    <col min="470" max="470" width="9.85546875" bestFit="1" customWidth="1"/>
    <col min="471" max="471" width="10.28515625" bestFit="1" customWidth="1"/>
    <col min="472" max="472" width="12" bestFit="1" customWidth="1"/>
    <col min="473" max="473" width="10.28515625" bestFit="1" customWidth="1"/>
    <col min="474" max="474" width="12.7109375" bestFit="1" customWidth="1"/>
    <col min="475" max="475" width="12.28515625" bestFit="1" customWidth="1"/>
    <col min="476" max="476" width="10.28515625" bestFit="1" customWidth="1"/>
    <col min="477" max="477" width="12.42578125" bestFit="1" customWidth="1"/>
    <col min="478" max="479" width="9.140625" bestFit="1" customWidth="1"/>
    <col min="480" max="482" width="57" bestFit="1" customWidth="1"/>
    <col min="483" max="483" width="12.7109375" bestFit="1" customWidth="1"/>
    <col min="484" max="485" width="57" bestFit="1" customWidth="1"/>
    <col min="486" max="486" width="16.140625" bestFit="1" customWidth="1"/>
    <col min="487" max="487" width="9.28515625" bestFit="1" customWidth="1"/>
    <col min="488" max="491" width="57" bestFit="1" customWidth="1"/>
    <col min="492" max="492" width="16" bestFit="1" customWidth="1"/>
    <col min="493" max="493" width="12.7109375" bestFit="1" customWidth="1"/>
    <col min="494" max="494" width="11.85546875" bestFit="1" customWidth="1"/>
    <col min="495" max="495" width="15.7109375" bestFit="1" customWidth="1"/>
    <col min="496" max="496" width="81.140625" bestFit="1" customWidth="1"/>
    <col min="497" max="497" width="6.85546875" bestFit="1" customWidth="1"/>
    <col min="498" max="498" width="8.85546875" bestFit="1" customWidth="1"/>
    <col min="499" max="499" width="10.7109375" bestFit="1" customWidth="1"/>
    <col min="500" max="500" width="13.140625" bestFit="1" customWidth="1"/>
    <col min="501" max="504" width="13.42578125" bestFit="1" customWidth="1"/>
    <col min="505" max="508" width="8.7109375" bestFit="1" customWidth="1"/>
    <col min="509" max="509" width="81.140625" bestFit="1" customWidth="1"/>
    <col min="510" max="513" width="13.85546875" bestFit="1" customWidth="1"/>
    <col min="514" max="514" width="14.42578125" bestFit="1" customWidth="1"/>
    <col min="515" max="515" width="19" bestFit="1" customWidth="1"/>
    <col min="516" max="516" width="16.85546875" bestFit="1" customWidth="1"/>
    <col min="517" max="517" width="16.140625" bestFit="1" customWidth="1"/>
    <col min="518" max="522" width="13" bestFit="1" customWidth="1"/>
    <col min="523" max="533" width="14" bestFit="1" customWidth="1"/>
    <col min="534" max="534" width="32.28515625" bestFit="1" customWidth="1"/>
    <col min="535" max="535" width="26.42578125" bestFit="1" customWidth="1"/>
    <col min="536" max="537" width="21.5703125" bestFit="1" customWidth="1"/>
    <col min="538" max="539" width="32.28515625" bestFit="1" customWidth="1"/>
    <col min="540" max="542" width="21.5703125" bestFit="1" customWidth="1"/>
    <col min="543" max="553" width="22.5703125" bestFit="1" customWidth="1"/>
    <col min="554" max="554" width="27.7109375" bestFit="1" customWidth="1"/>
    <col min="555" max="555" width="27.28515625" bestFit="1" customWidth="1"/>
    <col min="556" max="556" width="17.140625" bestFit="1" customWidth="1"/>
    <col min="557" max="557" width="29" bestFit="1" customWidth="1"/>
    <col min="558" max="562" width="17.140625" bestFit="1" customWidth="1"/>
    <col min="563" max="573" width="18.140625" bestFit="1" customWidth="1"/>
    <col min="574" max="574" width="38.85546875" bestFit="1" customWidth="1"/>
    <col min="575" max="575" width="52.5703125" bestFit="1" customWidth="1"/>
    <col min="576" max="576" width="38.28515625" bestFit="1" customWidth="1"/>
    <col min="577" max="577" width="33.140625" bestFit="1" customWidth="1"/>
    <col min="578" max="578" width="18.28515625" bestFit="1" customWidth="1"/>
    <col min="579" max="579" width="27.140625" bestFit="1" customWidth="1"/>
    <col min="580" max="582" width="18.28515625" bestFit="1" customWidth="1"/>
    <col min="583" max="593" width="19.28515625" bestFit="1" customWidth="1"/>
    <col min="594" max="594" width="51.42578125" bestFit="1" customWidth="1"/>
    <col min="595" max="595" width="31.7109375" bestFit="1" customWidth="1"/>
    <col min="596" max="596" width="28.5703125" bestFit="1" customWidth="1"/>
    <col min="597" max="597" width="33.28515625" bestFit="1" customWidth="1"/>
    <col min="598" max="598" width="44.5703125" bestFit="1" customWidth="1"/>
    <col min="599" max="599" width="49.28515625" bestFit="1" customWidth="1"/>
    <col min="600" max="600" width="23.7109375" bestFit="1" customWidth="1"/>
    <col min="601" max="602" width="23.7109375" customWidth="1"/>
    <col min="603" max="612" width="24.7109375" bestFit="1" customWidth="1"/>
    <col min="613" max="613" width="24.7109375" customWidth="1"/>
    <col min="614" max="614" width="24.7109375" bestFit="1" customWidth="1"/>
    <col min="615" max="615" width="24.7109375" customWidth="1"/>
    <col min="616" max="616" width="23.7109375" bestFit="1" customWidth="1"/>
    <col min="617" max="627" width="24.7109375" bestFit="1" customWidth="1"/>
    <col min="628" max="628" width="43.85546875" bestFit="1" customWidth="1"/>
    <col min="629" max="632" width="22.5703125" bestFit="1" customWidth="1"/>
    <col min="633" max="633" width="81.140625" bestFit="1" customWidth="1"/>
    <col min="634" max="634" width="76.140625" bestFit="1" customWidth="1"/>
    <col min="635" max="635" width="81.140625" bestFit="1" customWidth="1"/>
    <col min="636" max="636" width="69.7109375" bestFit="1" customWidth="1"/>
    <col min="637" max="642" width="81.140625" bestFit="1" customWidth="1"/>
    <col min="643" max="643" width="75.85546875" bestFit="1" customWidth="1"/>
    <col min="644" max="644" width="81.140625" bestFit="1" customWidth="1"/>
    <col min="645" max="645" width="72.5703125" bestFit="1" customWidth="1"/>
    <col min="646" max="647" width="81.140625" bestFit="1" customWidth="1"/>
    <col min="648" max="648" width="73.85546875" bestFit="1" customWidth="1"/>
    <col min="649" max="652" width="19.28515625" bestFit="1" customWidth="1"/>
    <col min="653" max="661" width="17" bestFit="1" customWidth="1"/>
    <col min="662" max="672" width="18" bestFit="1" customWidth="1"/>
    <col min="673" max="681" width="18.85546875" bestFit="1" customWidth="1"/>
    <col min="682" max="692" width="20" bestFit="1" customWidth="1"/>
    <col min="693" max="701" width="16.5703125" bestFit="1" customWidth="1"/>
    <col min="702" max="702" width="17.5703125" bestFit="1" customWidth="1"/>
    <col min="703" max="704" width="19.42578125" bestFit="1" customWidth="1"/>
    <col min="705" max="705" width="26.7109375" bestFit="1" customWidth="1"/>
    <col min="706" max="712" width="17.5703125" bestFit="1" customWidth="1"/>
    <col min="713" max="713" width="32.140625" bestFit="1" customWidth="1"/>
    <col min="714" max="714" width="38.85546875" bestFit="1" customWidth="1"/>
    <col min="715" max="715" width="43" bestFit="1" customWidth="1"/>
    <col min="716" max="716" width="67.28515625" bestFit="1" customWidth="1"/>
    <col min="717" max="717" width="57.42578125" bestFit="1" customWidth="1"/>
    <col min="718" max="718" width="46" bestFit="1" customWidth="1"/>
    <col min="719" max="719" width="55.85546875" bestFit="1" customWidth="1"/>
    <col min="720" max="720" width="68.7109375" bestFit="1" customWidth="1"/>
    <col min="721" max="721" width="58.42578125" bestFit="1" customWidth="1"/>
    <col min="722" max="722" width="52.5703125" bestFit="1" customWidth="1"/>
    <col min="723" max="723" width="30.28515625" bestFit="1" customWidth="1"/>
    <col min="724" max="724" width="43.7109375" bestFit="1" customWidth="1"/>
    <col min="725" max="725" width="36.28515625" bestFit="1" customWidth="1"/>
    <col min="726" max="726" width="71.28515625" bestFit="1" customWidth="1"/>
    <col min="727" max="727" width="38.28515625" bestFit="1" customWidth="1"/>
    <col min="728" max="728" width="28.7109375" bestFit="1" customWidth="1"/>
    <col min="729" max="732" width="19.28515625" bestFit="1" customWidth="1"/>
    <col min="733" max="733" width="39.85546875" bestFit="1" customWidth="1"/>
    <col min="734" max="734" width="18" bestFit="1" customWidth="1"/>
    <col min="735" max="735" width="19.140625" bestFit="1" customWidth="1"/>
    <col min="736" max="736" width="16" bestFit="1" customWidth="1"/>
    <col min="737" max="737" width="35" bestFit="1" customWidth="1"/>
    <col min="738" max="738" width="30.7109375" bestFit="1" customWidth="1"/>
    <col min="739" max="739" width="35.42578125" bestFit="1" customWidth="1"/>
    <col min="740" max="740" width="31" bestFit="1" customWidth="1"/>
    <col min="741" max="741" width="22.5703125" bestFit="1" customWidth="1"/>
    <col min="742" max="742" width="30.140625" bestFit="1" customWidth="1"/>
    <col min="743" max="743" width="26.28515625" bestFit="1" customWidth="1"/>
    <col min="744" max="744" width="28.28515625" bestFit="1" customWidth="1"/>
    <col min="745" max="745" width="17" bestFit="1" customWidth="1"/>
    <col min="746" max="746" width="27.42578125" bestFit="1" customWidth="1"/>
    <col min="747" max="747" width="27" bestFit="1" customWidth="1"/>
    <col min="748" max="748" width="25.7109375" bestFit="1" customWidth="1"/>
    <col min="749" max="752" width="17" bestFit="1" customWidth="1"/>
    <col min="753" max="758" width="16.5703125" bestFit="1" customWidth="1"/>
    <col min="759" max="759" width="18.140625" bestFit="1" customWidth="1"/>
    <col min="760" max="760" width="16.5703125" bestFit="1" customWidth="1"/>
    <col min="761" max="761" width="18.140625" bestFit="1" customWidth="1"/>
    <col min="762" max="762" width="17.5703125" bestFit="1" customWidth="1"/>
    <col min="763" max="764" width="21.42578125" bestFit="1" customWidth="1"/>
    <col min="765" max="765" width="28.5703125" bestFit="1" customWidth="1"/>
    <col min="766" max="772" width="17.5703125" bestFit="1" customWidth="1"/>
    <col min="773" max="773" width="9.7109375" bestFit="1" customWidth="1"/>
    <col min="774" max="774" width="81.140625" bestFit="1" customWidth="1"/>
    <col min="775" max="775" width="68.140625" bestFit="1" customWidth="1"/>
    <col min="776" max="776" width="74.28515625" bestFit="1" customWidth="1"/>
    <col min="777" max="784" width="62.42578125" bestFit="1" customWidth="1"/>
    <col min="785" max="785" width="14.85546875" customWidth="1"/>
    <col min="786" max="786" width="13.140625" customWidth="1"/>
    <col min="787" max="787" width="14.42578125" bestFit="1" customWidth="1"/>
    <col min="788" max="799" width="55.5703125" customWidth="1"/>
    <col min="800" max="800" width="9.140625" bestFit="1" customWidth="1"/>
    <col min="801" max="803" width="57" bestFit="1" customWidth="1"/>
    <col min="804" max="804" width="12.7109375" bestFit="1" customWidth="1"/>
    <col min="805" max="806" width="57" bestFit="1" customWidth="1"/>
    <col min="807" max="807" width="16.140625" bestFit="1" customWidth="1"/>
    <col min="808" max="811" width="57" bestFit="1" customWidth="1"/>
    <col min="812" max="812" width="16" bestFit="1" customWidth="1"/>
    <col min="813" max="813" width="12.7109375" bestFit="1" customWidth="1"/>
    <col min="814" max="814" width="11.85546875" bestFit="1" customWidth="1"/>
    <col min="815" max="816" width="55.5703125" customWidth="1"/>
    <col min="817" max="817" width="47.7109375" bestFit="1" customWidth="1"/>
    <col min="818" max="818" width="80" bestFit="1" customWidth="1"/>
    <col min="819" max="819" width="6.85546875" bestFit="1" customWidth="1"/>
    <col min="820" max="820" width="8.85546875" bestFit="1" customWidth="1"/>
    <col min="821" max="821" width="10.7109375" bestFit="1" customWidth="1"/>
    <col min="822" max="822" width="13.140625" bestFit="1" customWidth="1"/>
    <col min="823" max="823" width="55.5703125" bestFit="1" customWidth="1"/>
    <col min="824" max="824" width="9.140625" bestFit="1" customWidth="1"/>
    <col min="825" max="827" width="57" bestFit="1" customWidth="1"/>
    <col min="828" max="828" width="12.7109375" bestFit="1" customWidth="1"/>
    <col min="829" max="829" width="57" customWidth="1"/>
    <col min="830" max="830" width="57" bestFit="1" customWidth="1"/>
    <col min="831" max="831" width="16.140625" bestFit="1" customWidth="1"/>
    <col min="832" max="835" width="57" bestFit="1" customWidth="1"/>
    <col min="836" max="836" width="16" bestFit="1" customWidth="1"/>
    <col min="837" max="837" width="12.7109375" bestFit="1" customWidth="1"/>
    <col min="838" max="838" width="11.85546875" bestFit="1" customWidth="1"/>
    <col min="839" max="840" width="55.5703125" bestFit="1" customWidth="1"/>
    <col min="841" max="841" width="49.7109375" bestFit="1" customWidth="1"/>
    <col min="842" max="842" width="80" bestFit="1" customWidth="1"/>
    <col min="843" max="843" width="6.85546875" bestFit="1" customWidth="1"/>
    <col min="844" max="844" width="8.85546875" bestFit="1" customWidth="1"/>
    <col min="845" max="845" width="10.7109375" bestFit="1" customWidth="1"/>
    <col min="846" max="846" width="13.140625" customWidth="1"/>
    <col min="847" max="847" width="80" bestFit="1" customWidth="1"/>
    <col min="848" max="848" width="6.85546875" bestFit="1" customWidth="1"/>
    <col min="849" max="849" width="8.85546875" bestFit="1" customWidth="1"/>
    <col min="850" max="850" width="10.7109375" bestFit="1" customWidth="1"/>
    <col min="851" max="851" width="13.140625" customWidth="1"/>
    <col min="852" max="852" width="55.5703125" customWidth="1"/>
    <col min="853" max="861" width="11.140625" bestFit="1" customWidth="1"/>
    <col min="862" max="864" width="12.140625" bestFit="1" customWidth="1"/>
    <col min="865" max="888" width="11.42578125" bestFit="1" customWidth="1"/>
  </cols>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t="s">
        <v>54</v>
      </c>
      <c r="BD1" s="1" t="s">
        <v>55</v>
      </c>
      <c r="BE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t="s">
        <v>99</v>
      </c>
      <c r="CW1" s="1" t="s">
        <v>100</v>
      </c>
      <c r="CX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t="s">
        <v>356</v>
      </c>
      <c r="MT1" t="s">
        <v>357</v>
      </c>
      <c r="MU1" t="s">
        <v>358</v>
      </c>
      <c r="MV1" t="s">
        <v>359</v>
      </c>
      <c r="MW1" s="1" t="s">
        <v>360</v>
      </c>
      <c r="MX1" s="1" t="s">
        <v>361</v>
      </c>
      <c r="MY1" s="1" t="s">
        <v>362</v>
      </c>
      <c r="MZ1" t="s">
        <v>363</v>
      </c>
      <c r="NA1" t="s">
        <v>364</v>
      </c>
    </row>
    <row r="2" spans="1:365">
      <c r="A2" t="s">
        <v>365</v>
      </c>
      <c r="B2" s="8">
        <v>46104</v>
      </c>
      <c r="C2">
        <v>9</v>
      </c>
      <c r="D2">
        <v>32</v>
      </c>
      <c r="E2" t="s">
        <v>366</v>
      </c>
      <c r="F2" t="s">
        <v>367</v>
      </c>
      <c r="G2" t="s">
        <v>368</v>
      </c>
      <c r="H2" t="s">
        <v>369</v>
      </c>
      <c r="I2" t="s">
        <v>370</v>
      </c>
      <c r="J2" t="s">
        <v>371</v>
      </c>
      <c r="K2" t="s">
        <v>372</v>
      </c>
      <c r="L2" t="s">
        <v>373</v>
      </c>
      <c r="M2" t="s">
        <v>374</v>
      </c>
      <c r="N2" t="s">
        <v>375</v>
      </c>
      <c r="O2" t="s">
        <v>376</v>
      </c>
      <c r="P2" t="s">
        <v>377</v>
      </c>
      <c r="Q2" t="s">
        <v>378</v>
      </c>
      <c r="R2" t="s">
        <v>379</v>
      </c>
      <c r="S2" t="s">
        <v>380</v>
      </c>
      <c r="T2" t="s">
        <v>381</v>
      </c>
      <c r="U2" t="s">
        <v>379</v>
      </c>
      <c r="V2" t="s">
        <v>380</v>
      </c>
      <c r="W2" t="s">
        <v>379</v>
      </c>
      <c r="X2" t="s">
        <v>380</v>
      </c>
      <c r="Y2" t="s">
        <v>380</v>
      </c>
      <c r="Z2" t="s">
        <v>380</v>
      </c>
      <c r="AA2" t="s">
        <v>379</v>
      </c>
      <c r="AB2" t="s">
        <v>382</v>
      </c>
      <c r="AC2" t="s">
        <v>379</v>
      </c>
      <c r="AD2" t="s">
        <v>382</v>
      </c>
      <c r="AE2" t="s">
        <v>379</v>
      </c>
      <c r="AF2" t="s">
        <v>382</v>
      </c>
      <c r="AG2" t="s">
        <v>382</v>
      </c>
      <c r="AH2" t="s">
        <v>382</v>
      </c>
      <c r="AI2" t="s">
        <v>382</v>
      </c>
      <c r="AJ2" t="s">
        <v>382</v>
      </c>
      <c r="AK2" t="s">
        <v>382</v>
      </c>
      <c r="AL2" t="s">
        <v>380</v>
      </c>
      <c r="AM2" t="s">
        <v>380</v>
      </c>
      <c r="AN2" t="s">
        <v>382</v>
      </c>
      <c r="AO2" t="s">
        <v>382</v>
      </c>
      <c r="AP2" t="s">
        <v>382</v>
      </c>
      <c r="AQ2" t="s">
        <v>380</v>
      </c>
      <c r="AR2" t="s">
        <v>379</v>
      </c>
      <c r="AS2" t="s">
        <v>382</v>
      </c>
      <c r="AT2" t="s">
        <v>382</v>
      </c>
      <c r="AU2" t="s">
        <v>380</v>
      </c>
      <c r="AV2" t="s">
        <v>382</v>
      </c>
      <c r="AW2" t="s">
        <v>382</v>
      </c>
      <c r="AX2" t="s">
        <v>383</v>
      </c>
      <c r="AY2">
        <v>1</v>
      </c>
      <c r="AZ2" t="s">
        <v>382</v>
      </c>
      <c r="BA2" t="s">
        <v>384</v>
      </c>
      <c r="BB2" t="s">
        <v>385</v>
      </c>
      <c r="BC2" t="s">
        <v>386</v>
      </c>
      <c r="BD2" t="s">
        <v>387</v>
      </c>
      <c r="BE2" t="s">
        <v>388</v>
      </c>
      <c r="BF2">
        <v>1</v>
      </c>
      <c r="BG2" t="s">
        <v>389</v>
      </c>
      <c r="BH2" t="s">
        <v>390</v>
      </c>
      <c r="BI2" t="s">
        <v>391</v>
      </c>
      <c r="BJ2" t="s">
        <v>382</v>
      </c>
      <c r="BK2" t="s">
        <v>382</v>
      </c>
      <c r="BL2" t="s">
        <v>382</v>
      </c>
      <c r="BM2" t="s">
        <v>382</v>
      </c>
      <c r="BN2" t="s">
        <v>382</v>
      </c>
      <c r="BO2" t="s">
        <v>382</v>
      </c>
      <c r="BP2" t="s">
        <v>382</v>
      </c>
      <c r="BQ2" t="s">
        <v>382</v>
      </c>
      <c r="BR2" t="s">
        <v>382</v>
      </c>
      <c r="BS2" t="s">
        <v>382</v>
      </c>
      <c r="BT2" t="s">
        <v>382</v>
      </c>
      <c r="BU2" t="s">
        <v>382</v>
      </c>
      <c r="BV2" t="s">
        <v>382</v>
      </c>
      <c r="BW2" t="s">
        <v>382</v>
      </c>
      <c r="BX2" t="s">
        <v>382</v>
      </c>
      <c r="BY2" t="s">
        <v>392</v>
      </c>
      <c r="BZ2" t="s">
        <v>382</v>
      </c>
      <c r="CA2" t="s">
        <v>382</v>
      </c>
      <c r="CB2" t="s">
        <v>382</v>
      </c>
      <c r="CC2" t="s">
        <v>382</v>
      </c>
      <c r="CD2" t="s">
        <v>382</v>
      </c>
      <c r="CE2" t="s">
        <v>382</v>
      </c>
      <c r="CF2">
        <v>2</v>
      </c>
      <c r="CG2">
        <v>1</v>
      </c>
      <c r="CH2">
        <v>1</v>
      </c>
      <c r="CI2" t="s">
        <v>393</v>
      </c>
      <c r="CJ2" t="s">
        <v>381</v>
      </c>
      <c r="CK2" t="s">
        <v>394</v>
      </c>
      <c r="CL2" t="s">
        <v>395</v>
      </c>
      <c r="CM2" t="s">
        <v>396</v>
      </c>
      <c r="CN2" t="s">
        <v>395</v>
      </c>
      <c r="CO2" t="s">
        <v>397</v>
      </c>
      <c r="CP2" t="s">
        <v>395</v>
      </c>
      <c r="CQ2" t="s">
        <v>381</v>
      </c>
      <c r="CR2" t="s">
        <v>381</v>
      </c>
      <c r="CS2" t="s">
        <v>395</v>
      </c>
      <c r="CT2" t="s">
        <v>395</v>
      </c>
      <c r="CU2" t="s">
        <v>398</v>
      </c>
      <c r="CV2" t="s">
        <v>399</v>
      </c>
      <c r="CW2" t="s">
        <v>395</v>
      </c>
      <c r="CX2" t="s">
        <v>382</v>
      </c>
      <c r="CY2">
        <v>6</v>
      </c>
      <c r="CZ2" t="s">
        <v>400</v>
      </c>
      <c r="DA2" t="s">
        <v>401</v>
      </c>
      <c r="DB2" t="s">
        <v>401</v>
      </c>
      <c r="DC2" t="s">
        <v>401</v>
      </c>
      <c r="DD2" t="s">
        <v>401</v>
      </c>
      <c r="DE2" t="s">
        <v>402</v>
      </c>
      <c r="DF2" t="s">
        <v>403</v>
      </c>
      <c r="DG2" t="s">
        <v>381</v>
      </c>
      <c r="DH2" t="s">
        <v>381</v>
      </c>
      <c r="DI2" t="s">
        <v>381</v>
      </c>
      <c r="DJ2" t="s">
        <v>381</v>
      </c>
      <c r="DK2" t="s">
        <v>404</v>
      </c>
      <c r="DL2" t="s">
        <v>405</v>
      </c>
      <c r="DM2" t="s">
        <v>406</v>
      </c>
      <c r="DN2" t="s">
        <v>372</v>
      </c>
      <c r="DO2" t="s">
        <v>372</v>
      </c>
      <c r="DP2" t="s">
        <v>372</v>
      </c>
      <c r="DQ2" t="s">
        <v>372</v>
      </c>
      <c r="DR2" t="s">
        <v>372</v>
      </c>
      <c r="DS2" t="s">
        <v>372</v>
      </c>
      <c r="DT2" t="s">
        <v>372</v>
      </c>
      <c r="DU2" t="s">
        <v>372</v>
      </c>
      <c r="DV2" t="s">
        <v>372</v>
      </c>
      <c r="DW2" t="s">
        <v>372</v>
      </c>
      <c r="DX2" t="s">
        <v>372</v>
      </c>
      <c r="DY2" t="s">
        <v>372</v>
      </c>
      <c r="DZ2" t="s">
        <v>372</v>
      </c>
      <c r="EA2" t="s">
        <v>372</v>
      </c>
      <c r="EB2" t="s">
        <v>372</v>
      </c>
      <c r="EC2" t="s">
        <v>372</v>
      </c>
      <c r="ED2" t="s">
        <v>372</v>
      </c>
      <c r="EE2" t="s">
        <v>372</v>
      </c>
      <c r="EF2" t="s">
        <v>372</v>
      </c>
      <c r="EG2" t="s">
        <v>372</v>
      </c>
      <c r="EH2" t="s">
        <v>372</v>
      </c>
      <c r="EI2" t="s">
        <v>372</v>
      </c>
      <c r="EJ2" t="s">
        <v>372</v>
      </c>
      <c r="EK2" t="s">
        <v>372</v>
      </c>
      <c r="EL2" t="s">
        <v>372</v>
      </c>
      <c r="EM2" t="s">
        <v>372</v>
      </c>
      <c r="EN2" t="s">
        <v>372</v>
      </c>
      <c r="EO2" t="s">
        <v>407</v>
      </c>
      <c r="EP2" t="s">
        <v>408</v>
      </c>
      <c r="EQ2" t="s">
        <v>409</v>
      </c>
      <c r="ER2" t="s">
        <v>372</v>
      </c>
      <c r="ES2" t="s">
        <v>372</v>
      </c>
      <c r="ET2" t="s">
        <v>372</v>
      </c>
      <c r="EU2" t="s">
        <v>372</v>
      </c>
      <c r="EV2" t="s">
        <v>372</v>
      </c>
      <c r="EW2" t="s">
        <v>372</v>
      </c>
      <c r="EX2" t="s">
        <v>372</v>
      </c>
      <c r="EY2" t="s">
        <v>372</v>
      </c>
      <c r="EZ2" t="s">
        <v>372</v>
      </c>
      <c r="FA2" t="s">
        <v>372</v>
      </c>
      <c r="FB2" t="s">
        <v>372</v>
      </c>
      <c r="FC2" t="s">
        <v>372</v>
      </c>
      <c r="FD2" t="s">
        <v>372</v>
      </c>
      <c r="FE2" t="s">
        <v>372</v>
      </c>
      <c r="FF2" t="s">
        <v>372</v>
      </c>
      <c r="FG2" t="s">
        <v>372</v>
      </c>
      <c r="FH2" t="s">
        <v>372</v>
      </c>
      <c r="FI2" t="s">
        <v>372</v>
      </c>
      <c r="FJ2" t="s">
        <v>372</v>
      </c>
      <c r="FK2" t="s">
        <v>372</v>
      </c>
      <c r="FL2" t="s">
        <v>372</v>
      </c>
      <c r="FM2" t="s">
        <v>372</v>
      </c>
      <c r="FN2" t="s">
        <v>372</v>
      </c>
      <c r="FO2" t="s">
        <v>372</v>
      </c>
      <c r="FP2" t="s">
        <v>372</v>
      </c>
      <c r="FQ2" t="s">
        <v>372</v>
      </c>
      <c r="FR2" t="s">
        <v>372</v>
      </c>
      <c r="FS2" t="s">
        <v>410</v>
      </c>
      <c r="FT2" t="s">
        <v>411</v>
      </c>
      <c r="FU2" t="s">
        <v>412</v>
      </c>
      <c r="FV2" t="s">
        <v>412</v>
      </c>
      <c r="FW2" t="s">
        <v>412</v>
      </c>
      <c r="FX2" t="s">
        <v>412</v>
      </c>
      <c r="FY2" t="s">
        <v>413</v>
      </c>
      <c r="FZ2" t="s">
        <v>372</v>
      </c>
      <c r="GA2" t="s">
        <v>372</v>
      </c>
      <c r="GB2" t="s">
        <v>372</v>
      </c>
      <c r="GC2" t="s">
        <v>372</v>
      </c>
      <c r="GD2" t="s">
        <v>372</v>
      </c>
      <c r="GE2" t="s">
        <v>372</v>
      </c>
      <c r="GF2" t="s">
        <v>372</v>
      </c>
      <c r="GG2" t="s">
        <v>372</v>
      </c>
      <c r="GH2" t="s">
        <v>372</v>
      </c>
      <c r="GI2" t="s">
        <v>372</v>
      </c>
      <c r="GJ2" t="s">
        <v>372</v>
      </c>
      <c r="GK2" t="s">
        <v>372</v>
      </c>
      <c r="GL2" t="s">
        <v>372</v>
      </c>
      <c r="GM2" t="s">
        <v>372</v>
      </c>
      <c r="GN2" t="s">
        <v>372</v>
      </c>
      <c r="GO2" t="s">
        <v>52</v>
      </c>
      <c r="GP2" t="s">
        <v>31</v>
      </c>
      <c r="GQ2" t="s">
        <v>414</v>
      </c>
      <c r="GR2" t="s">
        <v>415</v>
      </c>
      <c r="GS2" t="s">
        <v>416</v>
      </c>
      <c r="GT2" t="s">
        <v>372</v>
      </c>
      <c r="GU2" t="s">
        <v>372</v>
      </c>
      <c r="GV2" t="s">
        <v>372</v>
      </c>
      <c r="GW2" t="s">
        <v>372</v>
      </c>
      <c r="GX2" t="s">
        <v>372</v>
      </c>
      <c r="GY2" t="s">
        <v>372</v>
      </c>
      <c r="GZ2" t="s">
        <v>372</v>
      </c>
      <c r="HA2" t="s">
        <v>372</v>
      </c>
      <c r="HB2" t="s">
        <v>372</v>
      </c>
      <c r="HC2" t="s">
        <v>372</v>
      </c>
      <c r="HD2" t="s">
        <v>372</v>
      </c>
      <c r="HE2" t="s">
        <v>372</v>
      </c>
      <c r="HF2" t="s">
        <v>372</v>
      </c>
      <c r="HG2" t="s">
        <v>372</v>
      </c>
      <c r="HH2" t="s">
        <v>372</v>
      </c>
      <c r="HI2" t="s">
        <v>379</v>
      </c>
      <c r="HJ2" t="s">
        <v>379</v>
      </c>
      <c r="HK2" t="s">
        <v>379</v>
      </c>
      <c r="HL2" t="s">
        <v>379</v>
      </c>
      <c r="HM2" t="s">
        <v>379</v>
      </c>
      <c r="HN2" t="s">
        <v>382</v>
      </c>
      <c r="HO2" t="s">
        <v>382</v>
      </c>
      <c r="HP2" t="s">
        <v>382</v>
      </c>
      <c r="HQ2" t="s">
        <v>382</v>
      </c>
      <c r="HR2" t="s">
        <v>382</v>
      </c>
      <c r="HS2" t="s">
        <v>382</v>
      </c>
      <c r="HT2" t="s">
        <v>382</v>
      </c>
      <c r="HU2" t="s">
        <v>382</v>
      </c>
      <c r="HV2" t="s">
        <v>382</v>
      </c>
      <c r="HW2" t="s">
        <v>382</v>
      </c>
      <c r="HX2" t="s">
        <v>382</v>
      </c>
      <c r="HY2" t="s">
        <v>382</v>
      </c>
      <c r="HZ2" t="s">
        <v>382</v>
      </c>
      <c r="IA2" t="s">
        <v>382</v>
      </c>
      <c r="IB2" t="s">
        <v>382</v>
      </c>
      <c r="IC2" t="s">
        <v>395</v>
      </c>
      <c r="ID2" t="s">
        <v>381</v>
      </c>
      <c r="IE2" t="s">
        <v>381</v>
      </c>
      <c r="IF2" t="s">
        <v>395</v>
      </c>
      <c r="IG2" t="s">
        <v>395</v>
      </c>
      <c r="IH2" t="s">
        <v>395</v>
      </c>
      <c r="II2" t="s">
        <v>379</v>
      </c>
      <c r="IJ2" t="s">
        <v>395</v>
      </c>
      <c r="IK2" t="s">
        <v>395</v>
      </c>
      <c r="IL2" t="s">
        <v>395</v>
      </c>
      <c r="IM2" t="s">
        <v>381</v>
      </c>
      <c r="IN2" t="s">
        <v>395</v>
      </c>
      <c r="IO2" t="s">
        <v>381</v>
      </c>
      <c r="IP2" t="s">
        <v>395</v>
      </c>
      <c r="IQ2" t="s">
        <v>381</v>
      </c>
      <c r="IR2" t="s">
        <v>381</v>
      </c>
      <c r="IS2" t="s">
        <v>395</v>
      </c>
      <c r="IT2" t="s">
        <v>417</v>
      </c>
      <c r="IU2" t="s">
        <v>418</v>
      </c>
      <c r="IV2" t="s">
        <v>419</v>
      </c>
      <c r="IW2" t="s">
        <v>420</v>
      </c>
      <c r="IX2" t="s">
        <v>421</v>
      </c>
      <c r="IY2" t="s">
        <v>422</v>
      </c>
      <c r="IZ2" t="s">
        <v>423</v>
      </c>
      <c r="JA2" t="s">
        <v>424</v>
      </c>
      <c r="JB2" t="s">
        <v>372</v>
      </c>
      <c r="JC2" t="s">
        <v>372</v>
      </c>
      <c r="JD2" t="s">
        <v>372</v>
      </c>
      <c r="JE2" t="s">
        <v>372</v>
      </c>
      <c r="JF2" t="s">
        <v>372</v>
      </c>
      <c r="JG2" t="s">
        <v>372</v>
      </c>
      <c r="JH2" t="s">
        <v>372</v>
      </c>
      <c r="JI2" t="s">
        <v>372</v>
      </c>
      <c r="JJ2" t="s">
        <v>372</v>
      </c>
      <c r="JK2" t="s">
        <v>372</v>
      </c>
      <c r="JL2" t="s">
        <v>372</v>
      </c>
      <c r="JM2" t="s">
        <v>372</v>
      </c>
      <c r="JN2" t="s">
        <v>372</v>
      </c>
      <c r="JO2" t="s">
        <v>372</v>
      </c>
      <c r="JP2" t="s">
        <v>372</v>
      </c>
      <c r="JQ2" t="s">
        <v>372</v>
      </c>
      <c r="JR2" t="s">
        <v>372</v>
      </c>
      <c r="JS2" t="s">
        <v>372</v>
      </c>
      <c r="JT2" t="s">
        <v>372</v>
      </c>
      <c r="JU2" t="s">
        <v>372</v>
      </c>
      <c r="JV2" t="s">
        <v>372</v>
      </c>
      <c r="JW2" t="s">
        <v>372</v>
      </c>
      <c r="JX2" t="s">
        <v>425</v>
      </c>
      <c r="JY2" t="s">
        <v>426</v>
      </c>
      <c r="JZ2" t="s">
        <v>427</v>
      </c>
      <c r="KA2" t="s">
        <v>428</v>
      </c>
      <c r="KB2" t="s">
        <v>429</v>
      </c>
      <c r="KC2" t="s">
        <v>372</v>
      </c>
      <c r="KD2" t="s">
        <v>372</v>
      </c>
      <c r="KE2" t="s">
        <v>372</v>
      </c>
      <c r="KF2" t="s">
        <v>372</v>
      </c>
      <c r="KG2" t="s">
        <v>372</v>
      </c>
      <c r="KH2" t="s">
        <v>372</v>
      </c>
      <c r="KI2" t="s">
        <v>372</v>
      </c>
      <c r="KJ2" t="s">
        <v>372</v>
      </c>
      <c r="KK2" t="s">
        <v>372</v>
      </c>
      <c r="KL2" t="s">
        <v>372</v>
      </c>
      <c r="KM2" t="s">
        <v>372</v>
      </c>
      <c r="KN2" t="s">
        <v>372</v>
      </c>
      <c r="KO2" t="s">
        <v>372</v>
      </c>
      <c r="KP2" t="s">
        <v>372</v>
      </c>
      <c r="KQ2" t="s">
        <v>372</v>
      </c>
      <c r="KR2" t="s">
        <v>372</v>
      </c>
      <c r="KS2" t="s">
        <v>372</v>
      </c>
      <c r="KT2" t="s">
        <v>372</v>
      </c>
      <c r="KU2" t="s">
        <v>372</v>
      </c>
      <c r="KV2" t="s">
        <v>372</v>
      </c>
      <c r="KW2" t="s">
        <v>372</v>
      </c>
      <c r="KX2" t="s">
        <v>372</v>
      </c>
      <c r="KY2" t="s">
        <v>372</v>
      </c>
      <c r="KZ2" t="s">
        <v>372</v>
      </c>
      <c r="LA2" t="s">
        <v>372</v>
      </c>
      <c r="LB2" t="s">
        <v>430</v>
      </c>
      <c r="LC2" t="s">
        <v>431</v>
      </c>
      <c r="LD2" t="s">
        <v>432</v>
      </c>
      <c r="LE2" t="s">
        <v>433</v>
      </c>
      <c r="LF2" t="s">
        <v>434</v>
      </c>
      <c r="LG2" t="s">
        <v>435</v>
      </c>
      <c r="LH2" t="s">
        <v>436</v>
      </c>
      <c r="LI2" t="s">
        <v>437</v>
      </c>
      <c r="LJ2" t="s">
        <v>372</v>
      </c>
      <c r="LK2" t="s">
        <v>372</v>
      </c>
      <c r="LL2" t="s">
        <v>372</v>
      </c>
      <c r="LM2" t="s">
        <v>372</v>
      </c>
      <c r="LN2" t="s">
        <v>372</v>
      </c>
      <c r="LO2" t="s">
        <v>372</v>
      </c>
      <c r="LP2" t="s">
        <v>372</v>
      </c>
      <c r="LQ2" t="s">
        <v>372</v>
      </c>
      <c r="LR2" t="s">
        <v>372</v>
      </c>
      <c r="LS2" t="s">
        <v>372</v>
      </c>
      <c r="LT2" t="s">
        <v>372</v>
      </c>
      <c r="LU2" t="s">
        <v>372</v>
      </c>
      <c r="LV2" t="s">
        <v>372</v>
      </c>
      <c r="LW2" t="s">
        <v>372</v>
      </c>
      <c r="LX2" t="s">
        <v>372</v>
      </c>
      <c r="LY2" t="s">
        <v>372</v>
      </c>
      <c r="LZ2" t="s">
        <v>372</v>
      </c>
      <c r="MA2" t="s">
        <v>372</v>
      </c>
      <c r="MB2" t="s">
        <v>372</v>
      </c>
      <c r="MC2" t="s">
        <v>372</v>
      </c>
      <c r="MD2" t="s">
        <v>372</v>
      </c>
      <c r="ME2" t="s">
        <v>372</v>
      </c>
      <c r="MF2" t="s">
        <v>438</v>
      </c>
      <c r="MG2" t="s">
        <v>372</v>
      </c>
      <c r="MH2" t="s">
        <v>439</v>
      </c>
      <c r="MI2" t="s">
        <v>372</v>
      </c>
      <c r="MJ2" t="s">
        <v>372</v>
      </c>
      <c r="MK2" t="s">
        <v>440</v>
      </c>
      <c r="ML2" t="s">
        <v>372</v>
      </c>
      <c r="MM2" t="s">
        <v>441</v>
      </c>
      <c r="MN2" t="s">
        <v>372</v>
      </c>
      <c r="MO2" t="s">
        <v>372</v>
      </c>
      <c r="MP2">
        <v>5</v>
      </c>
      <c r="MQ2">
        <v>9</v>
      </c>
      <c r="MR2">
        <v>3</v>
      </c>
      <c r="MS2" t="s">
        <v>442</v>
      </c>
      <c r="MT2" t="s">
        <v>443</v>
      </c>
      <c r="MU2" t="s">
        <v>444</v>
      </c>
      <c r="MV2" t="s">
        <v>445</v>
      </c>
      <c r="MW2" t="s">
        <v>372</v>
      </c>
      <c r="MX2" t="s">
        <v>372</v>
      </c>
      <c r="MY2" t="s">
        <v>372</v>
      </c>
      <c r="MZ2" t="s">
        <v>382</v>
      </c>
      <c r="NA2" t="s">
        <v>382</v>
      </c>
    </row>
    <row r="3" spans="1:365">
      <c r="A3" t="s">
        <v>446</v>
      </c>
      <c r="B3" s="8">
        <v>46104</v>
      </c>
      <c r="C3">
        <v>2</v>
      </c>
      <c r="D3">
        <v>28</v>
      </c>
      <c r="E3" t="s">
        <v>447</v>
      </c>
      <c r="F3" t="s">
        <v>448</v>
      </c>
      <c r="G3" t="s">
        <v>449</v>
      </c>
      <c r="H3" t="s">
        <v>369</v>
      </c>
      <c r="I3" t="s">
        <v>370</v>
      </c>
      <c r="J3" t="s">
        <v>371</v>
      </c>
      <c r="K3" t="s">
        <v>372</v>
      </c>
      <c r="L3" t="s">
        <v>373</v>
      </c>
      <c r="M3" t="s">
        <v>374</v>
      </c>
      <c r="N3" t="s">
        <v>450</v>
      </c>
      <c r="O3" t="s">
        <v>376</v>
      </c>
      <c r="P3" t="s">
        <v>372</v>
      </c>
      <c r="Q3" t="s">
        <v>380</v>
      </c>
      <c r="R3" t="s">
        <v>379</v>
      </c>
      <c r="S3" t="s">
        <v>379</v>
      </c>
      <c r="T3" t="s">
        <v>380</v>
      </c>
      <c r="U3" t="s">
        <v>380</v>
      </c>
      <c r="V3" t="s">
        <v>380</v>
      </c>
      <c r="W3" t="s">
        <v>380</v>
      </c>
      <c r="X3" t="s">
        <v>379</v>
      </c>
      <c r="Y3" t="s">
        <v>379</v>
      </c>
      <c r="Z3" t="s">
        <v>382</v>
      </c>
      <c r="AA3" t="s">
        <v>382</v>
      </c>
      <c r="AB3" t="s">
        <v>382</v>
      </c>
      <c r="AC3" t="s">
        <v>382</v>
      </c>
      <c r="AD3" t="s">
        <v>382</v>
      </c>
      <c r="AE3" t="s">
        <v>378</v>
      </c>
      <c r="AF3" t="s">
        <v>382</v>
      </c>
      <c r="AG3" t="s">
        <v>382</v>
      </c>
      <c r="AH3" t="s">
        <v>380</v>
      </c>
      <c r="AI3" t="s">
        <v>382</v>
      </c>
      <c r="AJ3" t="s">
        <v>382</v>
      </c>
      <c r="AK3" t="s">
        <v>382</v>
      </c>
      <c r="AL3" t="s">
        <v>382</v>
      </c>
      <c r="AM3" t="s">
        <v>380</v>
      </c>
      <c r="AN3" t="s">
        <v>379</v>
      </c>
      <c r="AO3" t="s">
        <v>382</v>
      </c>
      <c r="AP3" t="s">
        <v>380</v>
      </c>
      <c r="AQ3" t="s">
        <v>379</v>
      </c>
      <c r="AR3" t="s">
        <v>380</v>
      </c>
      <c r="AS3" t="s">
        <v>382</v>
      </c>
      <c r="AT3" t="s">
        <v>380</v>
      </c>
      <c r="AU3" t="s">
        <v>381</v>
      </c>
      <c r="AV3" t="s">
        <v>381</v>
      </c>
      <c r="AW3" t="s">
        <v>382</v>
      </c>
      <c r="AX3" t="s">
        <v>383</v>
      </c>
      <c r="AY3">
        <v>1</v>
      </c>
      <c r="AZ3" t="s">
        <v>382</v>
      </c>
      <c r="BA3" t="s">
        <v>384</v>
      </c>
      <c r="BB3" t="s">
        <v>451</v>
      </c>
      <c r="BC3" t="s">
        <v>452</v>
      </c>
      <c r="BD3" t="s">
        <v>453</v>
      </c>
      <c r="BE3" t="s">
        <v>454</v>
      </c>
      <c r="BF3">
        <v>1</v>
      </c>
      <c r="BG3" t="s">
        <v>389</v>
      </c>
      <c r="BH3" t="s">
        <v>382</v>
      </c>
      <c r="BI3" t="s">
        <v>382</v>
      </c>
      <c r="BJ3" t="s">
        <v>382</v>
      </c>
      <c r="BK3" t="s">
        <v>382</v>
      </c>
      <c r="BL3" t="s">
        <v>382</v>
      </c>
      <c r="BM3" t="s">
        <v>455</v>
      </c>
      <c r="BN3" t="s">
        <v>382</v>
      </c>
      <c r="BO3" t="s">
        <v>382</v>
      </c>
      <c r="BP3" t="s">
        <v>382</v>
      </c>
      <c r="BQ3" t="s">
        <v>382</v>
      </c>
      <c r="BR3" t="s">
        <v>382</v>
      </c>
      <c r="BS3" t="s">
        <v>382</v>
      </c>
      <c r="BT3" t="s">
        <v>382</v>
      </c>
      <c r="BU3" t="s">
        <v>382</v>
      </c>
      <c r="BV3" t="s">
        <v>456</v>
      </c>
      <c r="BW3" t="s">
        <v>382</v>
      </c>
      <c r="BX3" t="s">
        <v>382</v>
      </c>
      <c r="BY3" t="s">
        <v>382</v>
      </c>
      <c r="BZ3" t="s">
        <v>382</v>
      </c>
      <c r="CA3" t="s">
        <v>382</v>
      </c>
      <c r="CB3" t="s">
        <v>382</v>
      </c>
      <c r="CC3" t="s">
        <v>382</v>
      </c>
      <c r="CD3" t="s">
        <v>382</v>
      </c>
      <c r="CE3" t="s">
        <v>382</v>
      </c>
      <c r="CF3">
        <v>2</v>
      </c>
      <c r="CG3">
        <v>2</v>
      </c>
      <c r="CH3">
        <v>4</v>
      </c>
      <c r="CI3" t="s">
        <v>393</v>
      </c>
      <c r="CJ3" t="s">
        <v>378</v>
      </c>
      <c r="CK3" t="s">
        <v>394</v>
      </c>
      <c r="CL3" t="s">
        <v>395</v>
      </c>
      <c r="CM3" t="s">
        <v>396</v>
      </c>
      <c r="CN3" t="s">
        <v>395</v>
      </c>
      <c r="CO3" t="s">
        <v>397</v>
      </c>
      <c r="CP3" t="s">
        <v>395</v>
      </c>
      <c r="CQ3" t="s">
        <v>381</v>
      </c>
      <c r="CR3" t="s">
        <v>381</v>
      </c>
      <c r="CS3" t="s">
        <v>395</v>
      </c>
      <c r="CT3" t="s">
        <v>380</v>
      </c>
      <c r="CU3" t="s">
        <v>395</v>
      </c>
      <c r="CV3" t="s">
        <v>382</v>
      </c>
      <c r="CW3" t="s">
        <v>395</v>
      </c>
      <c r="CX3" t="s">
        <v>382</v>
      </c>
      <c r="CY3">
        <v>6</v>
      </c>
      <c r="CZ3" t="s">
        <v>400</v>
      </c>
      <c r="DA3" t="s">
        <v>401</v>
      </c>
      <c r="DB3" t="s">
        <v>401</v>
      </c>
      <c r="DC3" t="s">
        <v>401</v>
      </c>
      <c r="DD3" t="s">
        <v>401</v>
      </c>
      <c r="DE3" t="s">
        <v>457</v>
      </c>
      <c r="DF3" t="s">
        <v>381</v>
      </c>
      <c r="DG3" t="s">
        <v>381</v>
      </c>
      <c r="DH3" t="s">
        <v>381</v>
      </c>
      <c r="DI3" t="s">
        <v>381</v>
      </c>
      <c r="DJ3" t="s">
        <v>381</v>
      </c>
      <c r="DK3" t="s">
        <v>458</v>
      </c>
      <c r="DL3" t="s">
        <v>459</v>
      </c>
      <c r="DM3" t="s">
        <v>459</v>
      </c>
      <c r="DN3" t="s">
        <v>460</v>
      </c>
      <c r="DO3" t="s">
        <v>461</v>
      </c>
      <c r="DP3" t="s">
        <v>372</v>
      </c>
      <c r="DQ3" t="s">
        <v>372</v>
      </c>
      <c r="DR3" t="s">
        <v>372</v>
      </c>
      <c r="DS3" t="s">
        <v>372</v>
      </c>
      <c r="DT3" t="s">
        <v>372</v>
      </c>
      <c r="DU3" t="s">
        <v>372</v>
      </c>
      <c r="DV3" t="s">
        <v>372</v>
      </c>
      <c r="DW3" t="s">
        <v>372</v>
      </c>
      <c r="DX3" t="s">
        <v>372</v>
      </c>
      <c r="DY3" t="s">
        <v>372</v>
      </c>
      <c r="DZ3" t="s">
        <v>372</v>
      </c>
      <c r="EA3" t="s">
        <v>372</v>
      </c>
      <c r="EB3" t="s">
        <v>372</v>
      </c>
      <c r="EC3" t="s">
        <v>372</v>
      </c>
      <c r="ED3" t="s">
        <v>372</v>
      </c>
      <c r="EE3" t="s">
        <v>372</v>
      </c>
      <c r="EF3" t="s">
        <v>372</v>
      </c>
      <c r="EG3" t="s">
        <v>372</v>
      </c>
      <c r="EH3" t="s">
        <v>372</v>
      </c>
      <c r="EI3" t="s">
        <v>372</v>
      </c>
      <c r="EJ3" t="s">
        <v>372</v>
      </c>
      <c r="EK3" t="s">
        <v>372</v>
      </c>
      <c r="EL3" t="s">
        <v>372</v>
      </c>
      <c r="EM3" t="s">
        <v>372</v>
      </c>
      <c r="EN3" t="s">
        <v>372</v>
      </c>
      <c r="EO3" t="s">
        <v>462</v>
      </c>
      <c r="EP3" t="s">
        <v>463</v>
      </c>
      <c r="EQ3" t="s">
        <v>463</v>
      </c>
      <c r="ER3" t="s">
        <v>464</v>
      </c>
      <c r="ES3" t="s">
        <v>465</v>
      </c>
      <c r="ET3" t="s">
        <v>372</v>
      </c>
      <c r="EU3" t="s">
        <v>372</v>
      </c>
      <c r="EV3" t="s">
        <v>372</v>
      </c>
      <c r="EW3" t="s">
        <v>372</v>
      </c>
      <c r="EX3" t="s">
        <v>372</v>
      </c>
      <c r="EY3" t="s">
        <v>372</v>
      </c>
      <c r="EZ3" t="s">
        <v>372</v>
      </c>
      <c r="FA3" t="s">
        <v>372</v>
      </c>
      <c r="FB3" t="s">
        <v>372</v>
      </c>
      <c r="FC3" t="s">
        <v>372</v>
      </c>
      <c r="FD3" t="s">
        <v>372</v>
      </c>
      <c r="FE3" t="s">
        <v>372</v>
      </c>
      <c r="FF3" t="s">
        <v>372</v>
      </c>
      <c r="FG3" t="s">
        <v>372</v>
      </c>
      <c r="FH3" t="s">
        <v>372</v>
      </c>
      <c r="FI3" t="s">
        <v>372</v>
      </c>
      <c r="FJ3" t="s">
        <v>372</v>
      </c>
      <c r="FK3" t="s">
        <v>372</v>
      </c>
      <c r="FL3" t="s">
        <v>372</v>
      </c>
      <c r="FM3" t="s">
        <v>372</v>
      </c>
      <c r="FN3" t="s">
        <v>372</v>
      </c>
      <c r="FO3" t="s">
        <v>372</v>
      </c>
      <c r="FP3" t="s">
        <v>372</v>
      </c>
      <c r="FQ3" t="s">
        <v>372</v>
      </c>
      <c r="FR3" t="s">
        <v>372</v>
      </c>
      <c r="FS3" t="s">
        <v>466</v>
      </c>
      <c r="FT3" t="s">
        <v>467</v>
      </c>
      <c r="FU3" t="s">
        <v>468</v>
      </c>
      <c r="FV3" t="s">
        <v>372</v>
      </c>
      <c r="FW3" t="s">
        <v>372</v>
      </c>
      <c r="FX3" t="s">
        <v>372</v>
      </c>
      <c r="FY3" t="s">
        <v>372</v>
      </c>
      <c r="FZ3" t="s">
        <v>372</v>
      </c>
      <c r="GA3" t="s">
        <v>372</v>
      </c>
      <c r="GB3" t="s">
        <v>372</v>
      </c>
      <c r="GC3" t="s">
        <v>372</v>
      </c>
      <c r="GD3" t="s">
        <v>372</v>
      </c>
      <c r="GE3" t="s">
        <v>372</v>
      </c>
      <c r="GF3" t="s">
        <v>372</v>
      </c>
      <c r="GG3" t="s">
        <v>372</v>
      </c>
      <c r="GH3" t="s">
        <v>372</v>
      </c>
      <c r="GI3" t="s">
        <v>372</v>
      </c>
      <c r="GJ3" t="s">
        <v>372</v>
      </c>
      <c r="GK3" t="s">
        <v>372</v>
      </c>
      <c r="GL3" t="s">
        <v>372</v>
      </c>
      <c r="GM3" t="s">
        <v>372</v>
      </c>
      <c r="GN3" t="s">
        <v>372</v>
      </c>
      <c r="GO3" t="s">
        <v>469</v>
      </c>
      <c r="GP3" t="s">
        <v>372</v>
      </c>
      <c r="GQ3" t="s">
        <v>372</v>
      </c>
      <c r="GR3" t="s">
        <v>372</v>
      </c>
      <c r="GS3" t="s">
        <v>372</v>
      </c>
      <c r="GT3" t="s">
        <v>372</v>
      </c>
      <c r="GU3" t="s">
        <v>372</v>
      </c>
      <c r="GV3" t="s">
        <v>372</v>
      </c>
      <c r="GW3" t="s">
        <v>372</v>
      </c>
      <c r="GX3" t="s">
        <v>372</v>
      </c>
      <c r="GY3" t="s">
        <v>372</v>
      </c>
      <c r="GZ3" t="s">
        <v>372</v>
      </c>
      <c r="HA3" t="s">
        <v>372</v>
      </c>
      <c r="HB3" t="s">
        <v>372</v>
      </c>
      <c r="HC3" t="s">
        <v>372</v>
      </c>
      <c r="HD3" t="s">
        <v>372</v>
      </c>
      <c r="HE3" t="s">
        <v>372</v>
      </c>
      <c r="HF3" t="s">
        <v>372</v>
      </c>
      <c r="HG3" t="s">
        <v>372</v>
      </c>
      <c r="HH3" t="s">
        <v>372</v>
      </c>
      <c r="HI3" t="s">
        <v>379</v>
      </c>
      <c r="HJ3" t="s">
        <v>382</v>
      </c>
      <c r="HK3" t="s">
        <v>382</v>
      </c>
      <c r="HL3" t="s">
        <v>382</v>
      </c>
      <c r="HM3" t="s">
        <v>382</v>
      </c>
      <c r="HN3" t="s">
        <v>382</v>
      </c>
      <c r="HO3" t="s">
        <v>382</v>
      </c>
      <c r="HP3" t="s">
        <v>382</v>
      </c>
      <c r="HQ3" t="s">
        <v>382</v>
      </c>
      <c r="HR3" t="s">
        <v>382</v>
      </c>
      <c r="HS3" t="s">
        <v>382</v>
      </c>
      <c r="HT3" t="s">
        <v>382</v>
      </c>
      <c r="HU3" t="s">
        <v>382</v>
      </c>
      <c r="HV3" t="s">
        <v>382</v>
      </c>
      <c r="HW3" t="s">
        <v>382</v>
      </c>
      <c r="HX3" t="s">
        <v>382</v>
      </c>
      <c r="HY3" t="s">
        <v>382</v>
      </c>
      <c r="HZ3" t="s">
        <v>382</v>
      </c>
      <c r="IA3" t="s">
        <v>382</v>
      </c>
      <c r="IB3" t="s">
        <v>382</v>
      </c>
      <c r="IC3" t="s">
        <v>395</v>
      </c>
      <c r="ID3" t="s">
        <v>380</v>
      </c>
      <c r="IE3" t="s">
        <v>395</v>
      </c>
      <c r="IF3" t="s">
        <v>395</v>
      </c>
      <c r="IG3" t="s">
        <v>395</v>
      </c>
      <c r="IH3" t="s">
        <v>395</v>
      </c>
      <c r="II3" t="s">
        <v>381</v>
      </c>
      <c r="IJ3" t="s">
        <v>381</v>
      </c>
      <c r="IK3" t="s">
        <v>395</v>
      </c>
      <c r="IL3" t="s">
        <v>395</v>
      </c>
      <c r="IM3" t="s">
        <v>379</v>
      </c>
      <c r="IN3" t="s">
        <v>395</v>
      </c>
      <c r="IO3" t="s">
        <v>381</v>
      </c>
      <c r="IP3" t="s">
        <v>395</v>
      </c>
      <c r="IQ3" t="s">
        <v>379</v>
      </c>
      <c r="IR3" t="s">
        <v>381</v>
      </c>
      <c r="IS3" t="s">
        <v>395</v>
      </c>
      <c r="IT3" t="s">
        <v>417</v>
      </c>
      <c r="IU3" t="s">
        <v>470</v>
      </c>
      <c r="IV3" t="s">
        <v>419</v>
      </c>
      <c r="IW3" t="s">
        <v>471</v>
      </c>
      <c r="IX3" t="s">
        <v>422</v>
      </c>
      <c r="IY3" t="s">
        <v>423</v>
      </c>
      <c r="IZ3" t="s">
        <v>472</v>
      </c>
      <c r="JA3" t="s">
        <v>473</v>
      </c>
      <c r="JB3" t="s">
        <v>424</v>
      </c>
      <c r="JC3" t="s">
        <v>474</v>
      </c>
      <c r="JD3" t="s">
        <v>372</v>
      </c>
      <c r="JE3" t="s">
        <v>372</v>
      </c>
      <c r="JF3" t="s">
        <v>372</v>
      </c>
      <c r="JG3" t="s">
        <v>372</v>
      </c>
      <c r="JH3" t="s">
        <v>372</v>
      </c>
      <c r="JI3" t="s">
        <v>372</v>
      </c>
      <c r="JJ3" t="s">
        <v>372</v>
      </c>
      <c r="JK3" t="s">
        <v>372</v>
      </c>
      <c r="JL3" t="s">
        <v>372</v>
      </c>
      <c r="JM3" t="s">
        <v>372</v>
      </c>
      <c r="JN3" t="s">
        <v>372</v>
      </c>
      <c r="JO3" t="s">
        <v>372</v>
      </c>
      <c r="JP3" t="s">
        <v>372</v>
      </c>
      <c r="JQ3" t="s">
        <v>372</v>
      </c>
      <c r="JR3" t="s">
        <v>372</v>
      </c>
      <c r="JS3" t="s">
        <v>372</v>
      </c>
      <c r="JT3" t="s">
        <v>372</v>
      </c>
      <c r="JU3" t="s">
        <v>372</v>
      </c>
      <c r="JV3" t="s">
        <v>372</v>
      </c>
      <c r="JW3" t="s">
        <v>372</v>
      </c>
      <c r="JX3" t="s">
        <v>425</v>
      </c>
      <c r="JY3" t="s">
        <v>475</v>
      </c>
      <c r="JZ3" t="s">
        <v>427</v>
      </c>
      <c r="KA3" t="s">
        <v>476</v>
      </c>
      <c r="KB3" t="s">
        <v>372</v>
      </c>
      <c r="KC3" t="s">
        <v>372</v>
      </c>
      <c r="KD3" t="s">
        <v>372</v>
      </c>
      <c r="KE3" t="s">
        <v>372</v>
      </c>
      <c r="KF3" t="s">
        <v>372</v>
      </c>
      <c r="KG3" t="s">
        <v>477</v>
      </c>
      <c r="KH3" t="s">
        <v>372</v>
      </c>
      <c r="KI3" t="s">
        <v>372</v>
      </c>
      <c r="KJ3" t="s">
        <v>372</v>
      </c>
      <c r="KK3" t="s">
        <v>372</v>
      </c>
      <c r="KL3" t="s">
        <v>372</v>
      </c>
      <c r="KM3" t="s">
        <v>372</v>
      </c>
      <c r="KN3" t="s">
        <v>372</v>
      </c>
      <c r="KO3" t="s">
        <v>372</v>
      </c>
      <c r="KP3" t="s">
        <v>372</v>
      </c>
      <c r="KQ3" t="s">
        <v>372</v>
      </c>
      <c r="KR3" t="s">
        <v>372</v>
      </c>
      <c r="KS3" t="s">
        <v>372</v>
      </c>
      <c r="KT3" t="s">
        <v>372</v>
      </c>
      <c r="KU3" t="s">
        <v>372</v>
      </c>
      <c r="KV3" t="s">
        <v>372</v>
      </c>
      <c r="KW3" t="s">
        <v>372</v>
      </c>
      <c r="KX3" t="s">
        <v>372</v>
      </c>
      <c r="KY3" t="s">
        <v>372</v>
      </c>
      <c r="KZ3" t="s">
        <v>372</v>
      </c>
      <c r="LA3" t="s">
        <v>372</v>
      </c>
      <c r="LB3" t="s">
        <v>430</v>
      </c>
      <c r="LC3" t="s">
        <v>478</v>
      </c>
      <c r="LD3" t="s">
        <v>432</v>
      </c>
      <c r="LE3" t="s">
        <v>479</v>
      </c>
      <c r="LF3" t="s">
        <v>435</v>
      </c>
      <c r="LG3" t="s">
        <v>436</v>
      </c>
      <c r="LH3" t="s">
        <v>480</v>
      </c>
      <c r="LI3" t="s">
        <v>481</v>
      </c>
      <c r="LJ3" t="s">
        <v>437</v>
      </c>
      <c r="LK3" t="s">
        <v>482</v>
      </c>
      <c r="LL3" t="s">
        <v>372</v>
      </c>
      <c r="LM3" t="s">
        <v>372</v>
      </c>
      <c r="LN3" t="s">
        <v>372</v>
      </c>
      <c r="LO3" t="s">
        <v>372</v>
      </c>
      <c r="LP3" t="s">
        <v>372</v>
      </c>
      <c r="LQ3" t="s">
        <v>372</v>
      </c>
      <c r="LR3" t="s">
        <v>372</v>
      </c>
      <c r="LS3" t="s">
        <v>372</v>
      </c>
      <c r="LT3" t="s">
        <v>372</v>
      </c>
      <c r="LU3" t="s">
        <v>372</v>
      </c>
      <c r="LV3" t="s">
        <v>372</v>
      </c>
      <c r="LW3" t="s">
        <v>372</v>
      </c>
      <c r="LX3" t="s">
        <v>372</v>
      </c>
      <c r="LY3" t="s">
        <v>372</v>
      </c>
      <c r="LZ3" t="s">
        <v>372</v>
      </c>
      <c r="MA3" t="s">
        <v>372</v>
      </c>
      <c r="MB3" t="s">
        <v>372</v>
      </c>
      <c r="MC3" t="s">
        <v>372</v>
      </c>
      <c r="MD3" t="s">
        <v>372</v>
      </c>
      <c r="ME3" t="s">
        <v>372</v>
      </c>
      <c r="MF3" t="s">
        <v>438</v>
      </c>
      <c r="MG3" t="s">
        <v>372</v>
      </c>
      <c r="MH3" t="s">
        <v>372</v>
      </c>
      <c r="MI3" t="s">
        <v>372</v>
      </c>
      <c r="MJ3" t="s">
        <v>372</v>
      </c>
      <c r="MK3" t="s">
        <v>440</v>
      </c>
      <c r="ML3" t="s">
        <v>372</v>
      </c>
      <c r="MM3" t="s">
        <v>382</v>
      </c>
      <c r="MN3" t="s">
        <v>372</v>
      </c>
      <c r="MO3" t="s">
        <v>372</v>
      </c>
      <c r="MP3">
        <v>5</v>
      </c>
      <c r="MQ3">
        <v>9</v>
      </c>
      <c r="MR3">
        <v>4</v>
      </c>
      <c r="MS3" t="s">
        <v>483</v>
      </c>
      <c r="MT3" t="s">
        <v>484</v>
      </c>
      <c r="MU3" t="s">
        <v>444</v>
      </c>
      <c r="MV3" t="s">
        <v>445</v>
      </c>
      <c r="MW3" t="s">
        <v>372</v>
      </c>
      <c r="MX3" t="s">
        <v>372</v>
      </c>
      <c r="MY3" t="s">
        <v>372</v>
      </c>
      <c r="MZ3" t="s">
        <v>485</v>
      </c>
      <c r="NA3" t="s">
        <v>486</v>
      </c>
    </row>
    <row r="4" spans="1:365">
      <c r="A4" t="s">
        <v>487</v>
      </c>
      <c r="B4" s="8">
        <v>46104</v>
      </c>
      <c r="C4">
        <v>1</v>
      </c>
      <c r="D4">
        <v>46</v>
      </c>
      <c r="E4" t="s">
        <v>488</v>
      </c>
      <c r="F4" t="s">
        <v>489</v>
      </c>
      <c r="G4" t="s">
        <v>490</v>
      </c>
      <c r="H4" t="s">
        <v>369</v>
      </c>
      <c r="I4" t="s">
        <v>491</v>
      </c>
      <c r="J4" t="s">
        <v>492</v>
      </c>
      <c r="K4" t="s">
        <v>372</v>
      </c>
      <c r="L4" t="s">
        <v>373</v>
      </c>
      <c r="M4" t="s">
        <v>374</v>
      </c>
      <c r="N4" t="s">
        <v>493</v>
      </c>
      <c r="O4" t="s">
        <v>494</v>
      </c>
      <c r="P4" t="s">
        <v>495</v>
      </c>
      <c r="Q4" t="s">
        <v>380</v>
      </c>
      <c r="R4" t="s">
        <v>380</v>
      </c>
      <c r="S4" t="s">
        <v>379</v>
      </c>
      <c r="T4" t="s">
        <v>379</v>
      </c>
      <c r="U4" t="s">
        <v>380</v>
      </c>
      <c r="V4" t="s">
        <v>379</v>
      </c>
      <c r="W4" t="s">
        <v>379</v>
      </c>
      <c r="X4" t="s">
        <v>380</v>
      </c>
      <c r="Y4" t="s">
        <v>379</v>
      </c>
      <c r="Z4" t="s">
        <v>382</v>
      </c>
      <c r="AA4" t="s">
        <v>382</v>
      </c>
      <c r="AB4" t="s">
        <v>381</v>
      </c>
      <c r="AC4" t="s">
        <v>382</v>
      </c>
      <c r="AD4" t="s">
        <v>382</v>
      </c>
      <c r="AE4" t="s">
        <v>379</v>
      </c>
      <c r="AF4" t="s">
        <v>382</v>
      </c>
      <c r="AG4" t="s">
        <v>382</v>
      </c>
      <c r="AH4" t="s">
        <v>382</v>
      </c>
      <c r="AI4" t="s">
        <v>398</v>
      </c>
      <c r="AJ4" t="s">
        <v>382</v>
      </c>
      <c r="AK4" t="s">
        <v>382</v>
      </c>
      <c r="AL4" t="s">
        <v>382</v>
      </c>
      <c r="AM4" t="s">
        <v>381</v>
      </c>
      <c r="AN4" t="s">
        <v>381</v>
      </c>
      <c r="AO4" t="s">
        <v>382</v>
      </c>
      <c r="AP4" t="s">
        <v>382</v>
      </c>
      <c r="AQ4" t="s">
        <v>379</v>
      </c>
      <c r="AR4" t="s">
        <v>380</v>
      </c>
      <c r="AS4" t="s">
        <v>379</v>
      </c>
      <c r="AT4" t="s">
        <v>381</v>
      </c>
      <c r="AU4" t="s">
        <v>381</v>
      </c>
      <c r="AV4" t="s">
        <v>382</v>
      </c>
      <c r="AW4" t="s">
        <v>381</v>
      </c>
      <c r="AX4" t="s">
        <v>383</v>
      </c>
      <c r="AY4">
        <v>1</v>
      </c>
      <c r="AZ4" t="s">
        <v>382</v>
      </c>
      <c r="BA4" t="s">
        <v>496</v>
      </c>
      <c r="BB4" t="s">
        <v>451</v>
      </c>
      <c r="BC4" t="s">
        <v>452</v>
      </c>
      <c r="BD4" t="s">
        <v>387</v>
      </c>
      <c r="BE4" t="s">
        <v>388</v>
      </c>
      <c r="BF4">
        <v>1</v>
      </c>
      <c r="BG4" t="s">
        <v>389</v>
      </c>
      <c r="BH4" t="s">
        <v>382</v>
      </c>
      <c r="BI4" t="s">
        <v>382</v>
      </c>
      <c r="BJ4" t="s">
        <v>382</v>
      </c>
      <c r="BK4" t="s">
        <v>382</v>
      </c>
      <c r="BL4" t="s">
        <v>382</v>
      </c>
      <c r="BM4" t="s">
        <v>497</v>
      </c>
      <c r="BN4" t="s">
        <v>382</v>
      </c>
      <c r="BO4" t="s">
        <v>382</v>
      </c>
      <c r="BP4" t="s">
        <v>382</v>
      </c>
      <c r="BQ4" t="s">
        <v>498</v>
      </c>
      <c r="BR4" t="s">
        <v>382</v>
      </c>
      <c r="BS4" t="s">
        <v>382</v>
      </c>
      <c r="BT4" t="s">
        <v>382</v>
      </c>
      <c r="BU4" t="s">
        <v>382</v>
      </c>
      <c r="BV4" t="s">
        <v>382</v>
      </c>
      <c r="BW4" t="s">
        <v>382</v>
      </c>
      <c r="BX4" t="s">
        <v>382</v>
      </c>
      <c r="BY4" t="s">
        <v>382</v>
      </c>
      <c r="BZ4" t="s">
        <v>382</v>
      </c>
      <c r="CA4" t="s">
        <v>382</v>
      </c>
      <c r="CB4" t="s">
        <v>382</v>
      </c>
      <c r="CC4" t="s">
        <v>382</v>
      </c>
      <c r="CD4" t="s">
        <v>382</v>
      </c>
      <c r="CE4" t="s">
        <v>499</v>
      </c>
      <c r="CF4">
        <v>4</v>
      </c>
      <c r="CG4">
        <v>2</v>
      </c>
      <c r="CH4">
        <v>2</v>
      </c>
      <c r="CI4" t="s">
        <v>393</v>
      </c>
      <c r="CJ4" t="s">
        <v>380</v>
      </c>
      <c r="CK4" t="s">
        <v>394</v>
      </c>
      <c r="CL4" t="s">
        <v>395</v>
      </c>
      <c r="CM4" t="s">
        <v>396</v>
      </c>
      <c r="CN4" t="s">
        <v>395</v>
      </c>
      <c r="CO4" t="s">
        <v>397</v>
      </c>
      <c r="CP4" t="s">
        <v>395</v>
      </c>
      <c r="CQ4" t="s">
        <v>395</v>
      </c>
      <c r="CR4" t="s">
        <v>395</v>
      </c>
      <c r="CS4" t="s">
        <v>395</v>
      </c>
      <c r="CT4" t="s">
        <v>395</v>
      </c>
      <c r="CU4" t="s">
        <v>398</v>
      </c>
      <c r="CV4" t="s">
        <v>500</v>
      </c>
      <c r="CW4" t="s">
        <v>395</v>
      </c>
      <c r="CX4" t="s">
        <v>382</v>
      </c>
      <c r="CY4">
        <v>5</v>
      </c>
      <c r="CZ4" t="s">
        <v>400</v>
      </c>
      <c r="DA4" t="s">
        <v>401</v>
      </c>
      <c r="DB4" t="s">
        <v>401</v>
      </c>
      <c r="DC4" t="s">
        <v>401</v>
      </c>
      <c r="DD4" t="s">
        <v>401</v>
      </c>
      <c r="DE4" t="s">
        <v>501</v>
      </c>
      <c r="DF4" t="s">
        <v>502</v>
      </c>
      <c r="DG4" t="s">
        <v>381</v>
      </c>
      <c r="DH4" t="s">
        <v>381</v>
      </c>
      <c r="DI4" t="s">
        <v>381</v>
      </c>
      <c r="DJ4" t="s">
        <v>381</v>
      </c>
      <c r="DK4" t="s">
        <v>503</v>
      </c>
      <c r="DL4" t="s">
        <v>504</v>
      </c>
      <c r="DM4" t="s">
        <v>505</v>
      </c>
      <c r="DN4" t="s">
        <v>506</v>
      </c>
      <c r="DO4" t="s">
        <v>507</v>
      </c>
      <c r="DP4" t="s">
        <v>508</v>
      </c>
      <c r="DQ4" t="s">
        <v>406</v>
      </c>
      <c r="DR4" t="s">
        <v>509</v>
      </c>
      <c r="DS4" t="s">
        <v>510</v>
      </c>
      <c r="DT4" t="s">
        <v>511</v>
      </c>
      <c r="DU4" t="s">
        <v>512</v>
      </c>
      <c r="DV4" t="s">
        <v>372</v>
      </c>
      <c r="DW4" t="s">
        <v>372</v>
      </c>
      <c r="DX4" t="s">
        <v>372</v>
      </c>
      <c r="DY4" t="s">
        <v>372</v>
      </c>
      <c r="DZ4" t="s">
        <v>372</v>
      </c>
      <c r="EA4" t="s">
        <v>372</v>
      </c>
      <c r="EB4" t="s">
        <v>372</v>
      </c>
      <c r="EC4" t="s">
        <v>372</v>
      </c>
      <c r="ED4" t="s">
        <v>372</v>
      </c>
      <c r="EE4" t="s">
        <v>372</v>
      </c>
      <c r="EF4" t="s">
        <v>372</v>
      </c>
      <c r="EG4" t="s">
        <v>372</v>
      </c>
      <c r="EH4" t="s">
        <v>372</v>
      </c>
      <c r="EI4" t="s">
        <v>372</v>
      </c>
      <c r="EJ4" t="s">
        <v>372</v>
      </c>
      <c r="EK4" t="s">
        <v>372</v>
      </c>
      <c r="EL4" t="s">
        <v>372</v>
      </c>
      <c r="EM4" t="s">
        <v>372</v>
      </c>
      <c r="EN4" t="s">
        <v>372</v>
      </c>
      <c r="EO4" t="s">
        <v>513</v>
      </c>
      <c r="EP4" t="s">
        <v>514</v>
      </c>
      <c r="EQ4" t="s">
        <v>515</v>
      </c>
      <c r="ER4" t="s">
        <v>516</v>
      </c>
      <c r="ES4" t="s">
        <v>517</v>
      </c>
      <c r="ET4" t="s">
        <v>518</v>
      </c>
      <c r="EU4" t="s">
        <v>409</v>
      </c>
      <c r="EV4" t="s">
        <v>519</v>
      </c>
      <c r="EW4" t="s">
        <v>520</v>
      </c>
      <c r="EX4" t="s">
        <v>521</v>
      </c>
      <c r="EY4" t="s">
        <v>522</v>
      </c>
      <c r="EZ4" t="s">
        <v>372</v>
      </c>
      <c r="FA4" t="s">
        <v>372</v>
      </c>
      <c r="FB4" t="s">
        <v>372</v>
      </c>
      <c r="FC4" t="s">
        <v>372</v>
      </c>
      <c r="FD4" t="s">
        <v>372</v>
      </c>
      <c r="FE4" t="s">
        <v>372</v>
      </c>
      <c r="FF4" t="s">
        <v>372</v>
      </c>
      <c r="FG4" t="s">
        <v>372</v>
      </c>
      <c r="FH4" t="s">
        <v>372</v>
      </c>
      <c r="FI4" t="s">
        <v>372</v>
      </c>
      <c r="FJ4" t="s">
        <v>372</v>
      </c>
      <c r="FK4" t="s">
        <v>372</v>
      </c>
      <c r="FL4" t="s">
        <v>372</v>
      </c>
      <c r="FM4" t="s">
        <v>372</v>
      </c>
      <c r="FN4" t="s">
        <v>372</v>
      </c>
      <c r="FO4" t="s">
        <v>372</v>
      </c>
      <c r="FP4" t="s">
        <v>372</v>
      </c>
      <c r="FQ4" t="s">
        <v>372</v>
      </c>
      <c r="FR4" t="s">
        <v>372</v>
      </c>
      <c r="FS4" t="s">
        <v>523</v>
      </c>
      <c r="FT4" t="s">
        <v>524</v>
      </c>
      <c r="FU4" t="s">
        <v>412</v>
      </c>
      <c r="FV4" t="s">
        <v>412</v>
      </c>
      <c r="FW4" t="s">
        <v>412</v>
      </c>
      <c r="FX4" t="s">
        <v>412</v>
      </c>
      <c r="FY4" t="s">
        <v>525</v>
      </c>
      <c r="FZ4" t="s">
        <v>372</v>
      </c>
      <c r="GA4" t="s">
        <v>372</v>
      </c>
      <c r="GB4" t="s">
        <v>372</v>
      </c>
      <c r="GC4" t="s">
        <v>372</v>
      </c>
      <c r="GD4" t="s">
        <v>372</v>
      </c>
      <c r="GE4" t="s">
        <v>372</v>
      </c>
      <c r="GF4" t="s">
        <v>372</v>
      </c>
      <c r="GG4" t="s">
        <v>372</v>
      </c>
      <c r="GH4" t="s">
        <v>372</v>
      </c>
      <c r="GI4" t="s">
        <v>372</v>
      </c>
      <c r="GJ4" t="s">
        <v>372</v>
      </c>
      <c r="GK4" t="s">
        <v>372</v>
      </c>
      <c r="GL4" t="s">
        <v>372</v>
      </c>
      <c r="GM4" t="s">
        <v>372</v>
      </c>
      <c r="GN4" t="s">
        <v>372</v>
      </c>
      <c r="GO4" t="s">
        <v>526</v>
      </c>
      <c r="GP4" t="s">
        <v>527</v>
      </c>
      <c r="GQ4" t="s">
        <v>528</v>
      </c>
      <c r="GR4" t="s">
        <v>415</v>
      </c>
      <c r="GS4" t="s">
        <v>372</v>
      </c>
      <c r="GT4" t="s">
        <v>372</v>
      </c>
      <c r="GU4" t="s">
        <v>372</v>
      </c>
      <c r="GV4" t="s">
        <v>372</v>
      </c>
      <c r="GW4" t="s">
        <v>372</v>
      </c>
      <c r="GX4" t="s">
        <v>372</v>
      </c>
      <c r="GY4" t="s">
        <v>372</v>
      </c>
      <c r="GZ4" t="s">
        <v>372</v>
      </c>
      <c r="HA4" t="s">
        <v>372</v>
      </c>
      <c r="HB4" t="s">
        <v>372</v>
      </c>
      <c r="HC4" t="s">
        <v>372</v>
      </c>
      <c r="HD4" t="s">
        <v>372</v>
      </c>
      <c r="HE4" t="s">
        <v>372</v>
      </c>
      <c r="HF4" t="s">
        <v>372</v>
      </c>
      <c r="HG4" t="s">
        <v>372</v>
      </c>
      <c r="HH4" t="s">
        <v>372</v>
      </c>
      <c r="HI4" t="s">
        <v>379</v>
      </c>
      <c r="HJ4" t="s">
        <v>379</v>
      </c>
      <c r="HK4" t="s">
        <v>379</v>
      </c>
      <c r="HL4" t="s">
        <v>379</v>
      </c>
      <c r="HM4" t="s">
        <v>398</v>
      </c>
      <c r="HN4" t="s">
        <v>382</v>
      </c>
      <c r="HO4" t="s">
        <v>382</v>
      </c>
      <c r="HP4" t="s">
        <v>382</v>
      </c>
      <c r="HQ4" t="s">
        <v>382</v>
      </c>
      <c r="HR4" t="s">
        <v>382</v>
      </c>
      <c r="HS4" t="s">
        <v>382</v>
      </c>
      <c r="HT4" t="s">
        <v>382</v>
      </c>
      <c r="HU4" t="s">
        <v>382</v>
      </c>
      <c r="HV4" t="s">
        <v>382</v>
      </c>
      <c r="HW4" t="s">
        <v>382</v>
      </c>
      <c r="HX4" t="s">
        <v>382</v>
      </c>
      <c r="HY4" t="s">
        <v>382</v>
      </c>
      <c r="HZ4" t="s">
        <v>382</v>
      </c>
      <c r="IA4" t="s">
        <v>382</v>
      </c>
      <c r="IB4" t="s">
        <v>382</v>
      </c>
      <c r="IC4" t="s">
        <v>395</v>
      </c>
      <c r="ID4" t="s">
        <v>395</v>
      </c>
      <c r="IE4" t="s">
        <v>395</v>
      </c>
      <c r="IF4" t="s">
        <v>395</v>
      </c>
      <c r="IG4" t="s">
        <v>381</v>
      </c>
      <c r="IH4" t="s">
        <v>395</v>
      </c>
      <c r="II4" t="s">
        <v>395</v>
      </c>
      <c r="IJ4" t="s">
        <v>379</v>
      </c>
      <c r="IK4" t="s">
        <v>395</v>
      </c>
      <c r="IL4" t="s">
        <v>395</v>
      </c>
      <c r="IM4" t="s">
        <v>381</v>
      </c>
      <c r="IN4" t="s">
        <v>395</v>
      </c>
      <c r="IO4" t="s">
        <v>381</v>
      </c>
      <c r="IP4" t="s">
        <v>381</v>
      </c>
      <c r="IQ4" t="s">
        <v>395</v>
      </c>
      <c r="IR4" t="s">
        <v>381</v>
      </c>
      <c r="IS4" t="s">
        <v>395</v>
      </c>
      <c r="IT4" t="s">
        <v>529</v>
      </c>
      <c r="IU4" t="s">
        <v>471</v>
      </c>
      <c r="IV4" t="s">
        <v>530</v>
      </c>
      <c r="IW4" t="s">
        <v>531</v>
      </c>
      <c r="IX4" t="s">
        <v>422</v>
      </c>
      <c r="IY4" t="s">
        <v>532</v>
      </c>
      <c r="IZ4" t="s">
        <v>424</v>
      </c>
      <c r="JA4" t="s">
        <v>533</v>
      </c>
      <c r="JB4" t="s">
        <v>372</v>
      </c>
      <c r="JC4" t="s">
        <v>372</v>
      </c>
      <c r="JD4" t="s">
        <v>372</v>
      </c>
      <c r="JE4" t="s">
        <v>372</v>
      </c>
      <c r="JF4" t="s">
        <v>372</v>
      </c>
      <c r="JG4" t="s">
        <v>372</v>
      </c>
      <c r="JH4" t="s">
        <v>372</v>
      </c>
      <c r="JI4" t="s">
        <v>372</v>
      </c>
      <c r="JJ4" t="s">
        <v>372</v>
      </c>
      <c r="JK4" t="s">
        <v>372</v>
      </c>
      <c r="JL4" t="s">
        <v>372</v>
      </c>
      <c r="JM4" t="s">
        <v>372</v>
      </c>
      <c r="JN4" t="s">
        <v>372</v>
      </c>
      <c r="JO4" t="s">
        <v>372</v>
      </c>
      <c r="JP4" t="s">
        <v>372</v>
      </c>
      <c r="JQ4" t="s">
        <v>372</v>
      </c>
      <c r="JR4" t="s">
        <v>372</v>
      </c>
      <c r="JS4" t="s">
        <v>372</v>
      </c>
      <c r="JT4" t="s">
        <v>372</v>
      </c>
      <c r="JU4" t="s">
        <v>372</v>
      </c>
      <c r="JV4" t="s">
        <v>372</v>
      </c>
      <c r="JW4" t="s">
        <v>372</v>
      </c>
      <c r="JX4" t="s">
        <v>427</v>
      </c>
      <c r="JY4" t="s">
        <v>476</v>
      </c>
      <c r="JZ4" t="s">
        <v>534</v>
      </c>
      <c r="KA4" t="s">
        <v>535</v>
      </c>
      <c r="KB4" t="s">
        <v>372</v>
      </c>
      <c r="KC4" t="s">
        <v>372</v>
      </c>
      <c r="KD4" t="s">
        <v>372</v>
      </c>
      <c r="KE4" t="s">
        <v>536</v>
      </c>
      <c r="KF4" t="s">
        <v>372</v>
      </c>
      <c r="KG4" t="s">
        <v>372</v>
      </c>
      <c r="KH4" t="s">
        <v>372</v>
      </c>
      <c r="KI4" t="s">
        <v>372</v>
      </c>
      <c r="KJ4" t="s">
        <v>372</v>
      </c>
      <c r="KK4" t="s">
        <v>372</v>
      </c>
      <c r="KL4" t="s">
        <v>372</v>
      </c>
      <c r="KM4" t="s">
        <v>372</v>
      </c>
      <c r="KN4" t="s">
        <v>372</v>
      </c>
      <c r="KO4" t="s">
        <v>372</v>
      </c>
      <c r="KP4" t="s">
        <v>372</v>
      </c>
      <c r="KQ4" t="s">
        <v>372</v>
      </c>
      <c r="KR4" t="s">
        <v>372</v>
      </c>
      <c r="KS4" t="s">
        <v>372</v>
      </c>
      <c r="KT4" t="s">
        <v>372</v>
      </c>
      <c r="KU4" t="s">
        <v>372</v>
      </c>
      <c r="KV4" t="s">
        <v>372</v>
      </c>
      <c r="KW4" t="s">
        <v>372</v>
      </c>
      <c r="KX4" t="s">
        <v>372</v>
      </c>
      <c r="KY4" t="s">
        <v>372</v>
      </c>
      <c r="KZ4" t="s">
        <v>372</v>
      </c>
      <c r="LA4" t="s">
        <v>372</v>
      </c>
      <c r="LB4" t="s">
        <v>537</v>
      </c>
      <c r="LC4" t="s">
        <v>479</v>
      </c>
      <c r="LD4" t="s">
        <v>538</v>
      </c>
      <c r="LE4" t="s">
        <v>539</v>
      </c>
      <c r="LF4" t="s">
        <v>435</v>
      </c>
      <c r="LG4" t="s">
        <v>540</v>
      </c>
      <c r="LH4" t="s">
        <v>437</v>
      </c>
      <c r="LI4" t="s">
        <v>541</v>
      </c>
      <c r="LJ4" t="s">
        <v>372</v>
      </c>
      <c r="LK4" t="s">
        <v>372</v>
      </c>
      <c r="LL4" t="s">
        <v>372</v>
      </c>
      <c r="LM4" t="s">
        <v>372</v>
      </c>
      <c r="LN4" t="s">
        <v>372</v>
      </c>
      <c r="LO4" t="s">
        <v>372</v>
      </c>
      <c r="LP4" t="s">
        <v>372</v>
      </c>
      <c r="LQ4" t="s">
        <v>372</v>
      </c>
      <c r="LR4" t="s">
        <v>372</v>
      </c>
      <c r="LS4" t="s">
        <v>372</v>
      </c>
      <c r="LT4" t="s">
        <v>372</v>
      </c>
      <c r="LU4" t="s">
        <v>372</v>
      </c>
      <c r="LV4" t="s">
        <v>372</v>
      </c>
      <c r="LW4" t="s">
        <v>372</v>
      </c>
      <c r="LX4" t="s">
        <v>372</v>
      </c>
      <c r="LY4" t="s">
        <v>372</v>
      </c>
      <c r="LZ4" t="s">
        <v>372</v>
      </c>
      <c r="MA4" t="s">
        <v>372</v>
      </c>
      <c r="MB4" t="s">
        <v>372</v>
      </c>
      <c r="MC4" t="s">
        <v>372</v>
      </c>
      <c r="MD4" t="s">
        <v>372</v>
      </c>
      <c r="ME4" t="s">
        <v>372</v>
      </c>
      <c r="MF4" t="s">
        <v>542</v>
      </c>
      <c r="MG4" t="s">
        <v>372</v>
      </c>
      <c r="MH4" t="s">
        <v>372</v>
      </c>
      <c r="MI4" t="s">
        <v>372</v>
      </c>
      <c r="MJ4" t="s">
        <v>372</v>
      </c>
      <c r="MK4" t="s">
        <v>543</v>
      </c>
      <c r="ML4" t="s">
        <v>372</v>
      </c>
      <c r="MM4" t="s">
        <v>382</v>
      </c>
      <c r="MN4" t="s">
        <v>372</v>
      </c>
      <c r="MO4" t="s">
        <v>372</v>
      </c>
      <c r="MP4">
        <v>5</v>
      </c>
      <c r="MQ4">
        <v>10</v>
      </c>
      <c r="MR4">
        <v>2</v>
      </c>
      <c r="MS4" t="s">
        <v>544</v>
      </c>
      <c r="MT4" t="s">
        <v>545</v>
      </c>
      <c r="MU4" t="s">
        <v>546</v>
      </c>
      <c r="MV4" t="s">
        <v>547</v>
      </c>
      <c r="MW4" t="s">
        <v>372</v>
      </c>
      <c r="MX4" t="s">
        <v>372</v>
      </c>
      <c r="MY4" t="s">
        <v>372</v>
      </c>
      <c r="MZ4" t="s">
        <v>382</v>
      </c>
      <c r="NA4" t="s">
        <v>382</v>
      </c>
    </row>
    <row r="5" spans="1:365">
      <c r="A5" t="s">
        <v>548</v>
      </c>
      <c r="B5" s="8">
        <v>46104</v>
      </c>
      <c r="C5">
        <v>2</v>
      </c>
      <c r="D5">
        <v>50</v>
      </c>
      <c r="E5" t="s">
        <v>549</v>
      </c>
      <c r="F5" t="s">
        <v>550</v>
      </c>
      <c r="G5" t="s">
        <v>551</v>
      </c>
      <c r="H5" t="s">
        <v>552</v>
      </c>
      <c r="I5" t="s">
        <v>553</v>
      </c>
      <c r="J5" t="s">
        <v>554</v>
      </c>
      <c r="K5" t="s">
        <v>555</v>
      </c>
      <c r="L5" t="s">
        <v>556</v>
      </c>
      <c r="M5" t="s">
        <v>557</v>
      </c>
      <c r="N5" t="s">
        <v>376</v>
      </c>
      <c r="O5" t="s">
        <v>558</v>
      </c>
      <c r="P5" t="s">
        <v>372</v>
      </c>
      <c r="Q5" t="s">
        <v>379</v>
      </c>
      <c r="R5" t="s">
        <v>380</v>
      </c>
      <c r="S5" t="s">
        <v>379</v>
      </c>
      <c r="T5" t="s">
        <v>380</v>
      </c>
      <c r="U5" t="s">
        <v>380</v>
      </c>
      <c r="V5" t="s">
        <v>559</v>
      </c>
      <c r="W5" t="s">
        <v>379</v>
      </c>
      <c r="X5" t="s">
        <v>380</v>
      </c>
      <c r="Y5" t="s">
        <v>379</v>
      </c>
      <c r="Z5" t="s">
        <v>378</v>
      </c>
      <c r="AA5" t="s">
        <v>382</v>
      </c>
      <c r="AB5" t="s">
        <v>382</v>
      </c>
      <c r="AC5" t="s">
        <v>380</v>
      </c>
      <c r="AD5" t="s">
        <v>382</v>
      </c>
      <c r="AE5" t="s">
        <v>378</v>
      </c>
      <c r="AF5" t="s">
        <v>381</v>
      </c>
      <c r="AG5" t="s">
        <v>382</v>
      </c>
      <c r="AH5" t="s">
        <v>382</v>
      </c>
      <c r="AI5" t="s">
        <v>382</v>
      </c>
      <c r="AJ5" t="s">
        <v>382</v>
      </c>
      <c r="AK5" t="s">
        <v>382</v>
      </c>
      <c r="AL5" t="s">
        <v>380</v>
      </c>
      <c r="AM5" t="s">
        <v>380</v>
      </c>
      <c r="AN5" t="s">
        <v>382</v>
      </c>
      <c r="AO5" t="s">
        <v>382</v>
      </c>
      <c r="AP5" t="s">
        <v>382</v>
      </c>
      <c r="AQ5" t="s">
        <v>379</v>
      </c>
      <c r="AR5" t="s">
        <v>382</v>
      </c>
      <c r="AS5" t="s">
        <v>380</v>
      </c>
      <c r="AT5" t="s">
        <v>380</v>
      </c>
      <c r="AU5" t="s">
        <v>382</v>
      </c>
      <c r="AV5" t="s">
        <v>382</v>
      </c>
      <c r="AW5" t="s">
        <v>382</v>
      </c>
      <c r="AX5" t="s">
        <v>560</v>
      </c>
      <c r="AY5">
        <v>2</v>
      </c>
      <c r="AZ5" t="s">
        <v>561</v>
      </c>
      <c r="BA5" t="s">
        <v>562</v>
      </c>
      <c r="BB5" t="s">
        <v>451</v>
      </c>
      <c r="BC5" t="s">
        <v>452</v>
      </c>
      <c r="BD5" t="s">
        <v>523</v>
      </c>
      <c r="BE5" t="s">
        <v>563</v>
      </c>
      <c r="BF5">
        <v>2</v>
      </c>
      <c r="BG5" t="s">
        <v>389</v>
      </c>
      <c r="BH5" t="s">
        <v>564</v>
      </c>
      <c r="BI5" t="s">
        <v>382</v>
      </c>
      <c r="BJ5" t="s">
        <v>382</v>
      </c>
      <c r="BK5" t="s">
        <v>382</v>
      </c>
      <c r="BL5" t="s">
        <v>382</v>
      </c>
      <c r="BM5" t="s">
        <v>565</v>
      </c>
      <c r="BN5" t="s">
        <v>382</v>
      </c>
      <c r="BO5" t="s">
        <v>382</v>
      </c>
      <c r="BP5" t="s">
        <v>382</v>
      </c>
      <c r="BQ5" t="s">
        <v>382</v>
      </c>
      <c r="BR5" t="s">
        <v>382</v>
      </c>
      <c r="BS5" t="s">
        <v>382</v>
      </c>
      <c r="BT5" t="s">
        <v>382</v>
      </c>
      <c r="BU5" t="s">
        <v>382</v>
      </c>
      <c r="BV5" t="s">
        <v>382</v>
      </c>
      <c r="BW5" t="s">
        <v>382</v>
      </c>
      <c r="BX5" t="s">
        <v>382</v>
      </c>
      <c r="BY5" t="s">
        <v>566</v>
      </c>
      <c r="BZ5" t="s">
        <v>382</v>
      </c>
      <c r="CA5" t="s">
        <v>382</v>
      </c>
      <c r="CB5" t="s">
        <v>382</v>
      </c>
      <c r="CC5" t="s">
        <v>382</v>
      </c>
      <c r="CD5" t="s">
        <v>382</v>
      </c>
      <c r="CE5" t="s">
        <v>382</v>
      </c>
      <c r="CF5">
        <v>1</v>
      </c>
      <c r="CG5">
        <v>2</v>
      </c>
      <c r="CH5">
        <v>3</v>
      </c>
      <c r="CI5" t="s">
        <v>397</v>
      </c>
      <c r="CJ5" t="s">
        <v>379</v>
      </c>
      <c r="CK5" t="s">
        <v>394</v>
      </c>
      <c r="CL5" t="s">
        <v>395</v>
      </c>
      <c r="CM5" t="s">
        <v>393</v>
      </c>
      <c r="CN5" t="s">
        <v>395</v>
      </c>
      <c r="CO5" t="s">
        <v>396</v>
      </c>
      <c r="CP5" t="s">
        <v>395</v>
      </c>
      <c r="CQ5" t="s">
        <v>398</v>
      </c>
      <c r="CR5" t="s">
        <v>379</v>
      </c>
      <c r="CS5" t="s">
        <v>395</v>
      </c>
      <c r="CT5" t="s">
        <v>379</v>
      </c>
      <c r="CU5" t="s">
        <v>395</v>
      </c>
      <c r="CV5" t="s">
        <v>382</v>
      </c>
      <c r="CW5" t="s">
        <v>395</v>
      </c>
      <c r="CX5" t="s">
        <v>382</v>
      </c>
      <c r="CY5">
        <v>6</v>
      </c>
      <c r="CZ5" t="s">
        <v>400</v>
      </c>
      <c r="DA5" t="s">
        <v>401</v>
      </c>
      <c r="DB5" t="s">
        <v>401</v>
      </c>
      <c r="DC5" t="s">
        <v>401</v>
      </c>
      <c r="DD5" t="s">
        <v>567</v>
      </c>
      <c r="DE5" t="s">
        <v>381</v>
      </c>
      <c r="DF5" t="s">
        <v>381</v>
      </c>
      <c r="DG5" t="s">
        <v>381</v>
      </c>
      <c r="DH5" t="s">
        <v>381</v>
      </c>
      <c r="DI5" t="s">
        <v>381</v>
      </c>
      <c r="DJ5" t="s">
        <v>381</v>
      </c>
      <c r="DK5" t="s">
        <v>568</v>
      </c>
      <c r="DL5" t="s">
        <v>569</v>
      </c>
      <c r="DM5" t="s">
        <v>570</v>
      </c>
      <c r="DN5" t="s">
        <v>571</v>
      </c>
      <c r="DO5" t="s">
        <v>572</v>
      </c>
      <c r="DP5" t="s">
        <v>573</v>
      </c>
      <c r="DQ5" t="s">
        <v>372</v>
      </c>
      <c r="DR5" t="s">
        <v>372</v>
      </c>
      <c r="DS5" t="s">
        <v>372</v>
      </c>
      <c r="DT5" t="s">
        <v>372</v>
      </c>
      <c r="DU5" t="s">
        <v>372</v>
      </c>
      <c r="DV5" t="s">
        <v>372</v>
      </c>
      <c r="DW5" t="s">
        <v>372</v>
      </c>
      <c r="DX5" t="s">
        <v>372</v>
      </c>
      <c r="DY5" t="s">
        <v>372</v>
      </c>
      <c r="DZ5" t="s">
        <v>372</v>
      </c>
      <c r="EA5" t="s">
        <v>372</v>
      </c>
      <c r="EB5" t="s">
        <v>372</v>
      </c>
      <c r="EC5" t="s">
        <v>372</v>
      </c>
      <c r="ED5" t="s">
        <v>372</v>
      </c>
      <c r="EE5" t="s">
        <v>372</v>
      </c>
      <c r="EF5" t="s">
        <v>372</v>
      </c>
      <c r="EG5" t="s">
        <v>372</v>
      </c>
      <c r="EH5" t="s">
        <v>372</v>
      </c>
      <c r="EI5" t="s">
        <v>372</v>
      </c>
      <c r="EJ5" t="s">
        <v>372</v>
      </c>
      <c r="EK5" t="s">
        <v>372</v>
      </c>
      <c r="EL5" t="s">
        <v>372</v>
      </c>
      <c r="EM5" t="s">
        <v>372</v>
      </c>
      <c r="EN5" t="s">
        <v>372</v>
      </c>
      <c r="EO5" t="s">
        <v>574</v>
      </c>
      <c r="EP5" t="s">
        <v>575</v>
      </c>
      <c r="EQ5" t="s">
        <v>576</v>
      </c>
      <c r="ER5" t="s">
        <v>408</v>
      </c>
      <c r="ES5" t="s">
        <v>408</v>
      </c>
      <c r="ET5" t="s">
        <v>577</v>
      </c>
      <c r="EU5" t="s">
        <v>372</v>
      </c>
      <c r="EV5" t="s">
        <v>372</v>
      </c>
      <c r="EW5" t="s">
        <v>372</v>
      </c>
      <c r="EX5" t="s">
        <v>372</v>
      </c>
      <c r="EY5" t="s">
        <v>372</v>
      </c>
      <c r="EZ5" t="s">
        <v>372</v>
      </c>
      <c r="FA5" t="s">
        <v>372</v>
      </c>
      <c r="FB5" t="s">
        <v>372</v>
      </c>
      <c r="FC5" t="s">
        <v>372</v>
      </c>
      <c r="FD5" t="s">
        <v>372</v>
      </c>
      <c r="FE5" t="s">
        <v>372</v>
      </c>
      <c r="FF5" t="s">
        <v>372</v>
      </c>
      <c r="FG5" t="s">
        <v>372</v>
      </c>
      <c r="FH5" t="s">
        <v>372</v>
      </c>
      <c r="FI5" t="s">
        <v>372</v>
      </c>
      <c r="FJ5" t="s">
        <v>372</v>
      </c>
      <c r="FK5" t="s">
        <v>372</v>
      </c>
      <c r="FL5" t="s">
        <v>372</v>
      </c>
      <c r="FM5" t="s">
        <v>372</v>
      </c>
      <c r="FN5" t="s">
        <v>372</v>
      </c>
      <c r="FO5" t="s">
        <v>372</v>
      </c>
      <c r="FP5" t="s">
        <v>372</v>
      </c>
      <c r="FQ5" t="s">
        <v>372</v>
      </c>
      <c r="FR5" t="s">
        <v>372</v>
      </c>
      <c r="FS5" t="s">
        <v>466</v>
      </c>
      <c r="FT5" t="s">
        <v>467</v>
      </c>
      <c r="FU5" t="s">
        <v>413</v>
      </c>
      <c r="FV5" t="s">
        <v>525</v>
      </c>
      <c r="FW5" t="s">
        <v>468</v>
      </c>
      <c r="FX5" t="s">
        <v>372</v>
      </c>
      <c r="FY5" t="s">
        <v>372</v>
      </c>
      <c r="FZ5" t="s">
        <v>372</v>
      </c>
      <c r="GA5" t="s">
        <v>372</v>
      </c>
      <c r="GB5" t="s">
        <v>372</v>
      </c>
      <c r="GC5" t="s">
        <v>372</v>
      </c>
      <c r="GD5" t="s">
        <v>372</v>
      </c>
      <c r="GE5" t="s">
        <v>372</v>
      </c>
      <c r="GF5" t="s">
        <v>372</v>
      </c>
      <c r="GG5" t="s">
        <v>372</v>
      </c>
      <c r="GH5" t="s">
        <v>372</v>
      </c>
      <c r="GI5" t="s">
        <v>372</v>
      </c>
      <c r="GJ5" t="s">
        <v>372</v>
      </c>
      <c r="GK5" t="s">
        <v>372</v>
      </c>
      <c r="GL5" t="s">
        <v>372</v>
      </c>
      <c r="GM5" t="s">
        <v>372</v>
      </c>
      <c r="GN5" t="s">
        <v>372</v>
      </c>
      <c r="GO5" t="s">
        <v>578</v>
      </c>
      <c r="GP5" t="s">
        <v>372</v>
      </c>
      <c r="GQ5" t="s">
        <v>579</v>
      </c>
      <c r="GR5" t="s">
        <v>372</v>
      </c>
      <c r="GS5" t="s">
        <v>372</v>
      </c>
      <c r="GT5" t="s">
        <v>372</v>
      </c>
      <c r="GU5" t="s">
        <v>372</v>
      </c>
      <c r="GV5" t="s">
        <v>372</v>
      </c>
      <c r="GW5" t="s">
        <v>372</v>
      </c>
      <c r="GX5" t="s">
        <v>372</v>
      </c>
      <c r="GY5" t="s">
        <v>372</v>
      </c>
      <c r="GZ5" t="s">
        <v>372</v>
      </c>
      <c r="HA5" t="s">
        <v>372</v>
      </c>
      <c r="HB5" t="s">
        <v>372</v>
      </c>
      <c r="HC5" t="s">
        <v>372</v>
      </c>
      <c r="HD5" t="s">
        <v>372</v>
      </c>
      <c r="HE5" t="s">
        <v>372</v>
      </c>
      <c r="HF5" t="s">
        <v>372</v>
      </c>
      <c r="HG5" t="s">
        <v>372</v>
      </c>
      <c r="HH5" t="s">
        <v>372</v>
      </c>
      <c r="HI5" t="s">
        <v>398</v>
      </c>
      <c r="HJ5" t="s">
        <v>379</v>
      </c>
      <c r="HK5" t="s">
        <v>379</v>
      </c>
      <c r="HL5" t="s">
        <v>382</v>
      </c>
      <c r="HM5" t="s">
        <v>382</v>
      </c>
      <c r="HN5" t="s">
        <v>382</v>
      </c>
      <c r="HO5" t="s">
        <v>382</v>
      </c>
      <c r="HP5" t="s">
        <v>382</v>
      </c>
      <c r="HQ5" t="s">
        <v>382</v>
      </c>
      <c r="HR5" t="s">
        <v>382</v>
      </c>
      <c r="HS5" t="s">
        <v>382</v>
      </c>
      <c r="HT5" t="s">
        <v>382</v>
      </c>
      <c r="HU5" t="s">
        <v>382</v>
      </c>
      <c r="HV5" t="s">
        <v>382</v>
      </c>
      <c r="HW5" t="s">
        <v>382</v>
      </c>
      <c r="HX5" t="s">
        <v>382</v>
      </c>
      <c r="HY5" t="s">
        <v>382</v>
      </c>
      <c r="HZ5" t="s">
        <v>382</v>
      </c>
      <c r="IA5" t="s">
        <v>382</v>
      </c>
      <c r="IB5" t="s">
        <v>382</v>
      </c>
      <c r="IC5" t="s">
        <v>395</v>
      </c>
      <c r="ID5" t="s">
        <v>395</v>
      </c>
      <c r="IE5" t="s">
        <v>395</v>
      </c>
      <c r="IF5" t="s">
        <v>395</v>
      </c>
      <c r="IG5" t="s">
        <v>395</v>
      </c>
      <c r="IH5" t="s">
        <v>378</v>
      </c>
      <c r="II5" t="s">
        <v>395</v>
      </c>
      <c r="IJ5" t="s">
        <v>395</v>
      </c>
      <c r="IK5" t="s">
        <v>380</v>
      </c>
      <c r="IL5" t="s">
        <v>395</v>
      </c>
      <c r="IM5" t="s">
        <v>395</v>
      </c>
      <c r="IN5" t="s">
        <v>395</v>
      </c>
      <c r="IO5" t="s">
        <v>395</v>
      </c>
      <c r="IP5" t="s">
        <v>395</v>
      </c>
      <c r="IQ5" t="s">
        <v>395</v>
      </c>
      <c r="IR5" t="s">
        <v>395</v>
      </c>
      <c r="IS5" t="s">
        <v>395</v>
      </c>
      <c r="IT5" t="s">
        <v>580</v>
      </c>
      <c r="IU5" t="s">
        <v>581</v>
      </c>
      <c r="IV5" t="s">
        <v>582</v>
      </c>
      <c r="IW5" t="s">
        <v>583</v>
      </c>
      <c r="IX5" t="s">
        <v>584</v>
      </c>
      <c r="IY5" t="s">
        <v>585</v>
      </c>
      <c r="IZ5" t="s">
        <v>372</v>
      </c>
      <c r="JA5" t="s">
        <v>372</v>
      </c>
      <c r="JB5" t="s">
        <v>372</v>
      </c>
      <c r="JC5" t="s">
        <v>372</v>
      </c>
      <c r="JD5" t="s">
        <v>372</v>
      </c>
      <c r="JE5" t="s">
        <v>372</v>
      </c>
      <c r="JF5" t="s">
        <v>372</v>
      </c>
      <c r="JG5" t="s">
        <v>372</v>
      </c>
      <c r="JH5" t="s">
        <v>372</v>
      </c>
      <c r="JI5" t="s">
        <v>372</v>
      </c>
      <c r="JJ5" t="s">
        <v>372</v>
      </c>
      <c r="JK5" t="s">
        <v>372</v>
      </c>
      <c r="JL5" t="s">
        <v>372</v>
      </c>
      <c r="JM5" t="s">
        <v>372</v>
      </c>
      <c r="JN5" t="s">
        <v>372</v>
      </c>
      <c r="JO5" t="s">
        <v>372</v>
      </c>
      <c r="JP5" t="s">
        <v>372</v>
      </c>
      <c r="JQ5" t="s">
        <v>372</v>
      </c>
      <c r="JR5" t="s">
        <v>372</v>
      </c>
      <c r="JS5" t="s">
        <v>372</v>
      </c>
      <c r="JT5" t="s">
        <v>372</v>
      </c>
      <c r="JU5" t="s">
        <v>372</v>
      </c>
      <c r="JV5" t="s">
        <v>372</v>
      </c>
      <c r="JW5" t="s">
        <v>372</v>
      </c>
      <c r="JX5" t="s">
        <v>427</v>
      </c>
      <c r="JY5" t="s">
        <v>586</v>
      </c>
      <c r="JZ5" t="s">
        <v>587</v>
      </c>
      <c r="KA5" t="s">
        <v>588</v>
      </c>
      <c r="KB5" t="s">
        <v>426</v>
      </c>
      <c r="KC5" t="s">
        <v>589</v>
      </c>
      <c r="KD5" t="s">
        <v>372</v>
      </c>
      <c r="KE5" t="s">
        <v>372</v>
      </c>
      <c r="KF5" t="s">
        <v>372</v>
      </c>
      <c r="KG5" t="s">
        <v>372</v>
      </c>
      <c r="KH5" t="s">
        <v>372</v>
      </c>
      <c r="KI5" t="s">
        <v>372</v>
      </c>
      <c r="KJ5" t="s">
        <v>372</v>
      </c>
      <c r="KK5" t="s">
        <v>372</v>
      </c>
      <c r="KL5" t="s">
        <v>372</v>
      </c>
      <c r="KM5" t="s">
        <v>372</v>
      </c>
      <c r="KN5" t="s">
        <v>372</v>
      </c>
      <c r="KO5" t="s">
        <v>372</v>
      </c>
      <c r="KP5" t="s">
        <v>372</v>
      </c>
      <c r="KQ5" t="s">
        <v>372</v>
      </c>
      <c r="KR5" t="s">
        <v>372</v>
      </c>
      <c r="KS5" t="s">
        <v>372</v>
      </c>
      <c r="KT5" t="s">
        <v>372</v>
      </c>
      <c r="KU5" t="s">
        <v>372</v>
      </c>
      <c r="KV5" t="s">
        <v>372</v>
      </c>
      <c r="KW5" t="s">
        <v>372</v>
      </c>
      <c r="KX5" t="s">
        <v>372</v>
      </c>
      <c r="KY5" t="s">
        <v>372</v>
      </c>
      <c r="KZ5" t="s">
        <v>372</v>
      </c>
      <c r="LA5" t="s">
        <v>372</v>
      </c>
      <c r="LB5" t="s">
        <v>590</v>
      </c>
      <c r="LC5" t="s">
        <v>591</v>
      </c>
      <c r="LD5" t="s">
        <v>592</v>
      </c>
      <c r="LE5" t="s">
        <v>593</v>
      </c>
      <c r="LF5" t="s">
        <v>594</v>
      </c>
      <c r="LG5" t="s">
        <v>595</v>
      </c>
      <c r="LH5" t="s">
        <v>372</v>
      </c>
      <c r="LI5" t="s">
        <v>372</v>
      </c>
      <c r="LJ5" t="s">
        <v>372</v>
      </c>
      <c r="LK5" t="s">
        <v>372</v>
      </c>
      <c r="LL5" t="s">
        <v>372</v>
      </c>
      <c r="LM5" t="s">
        <v>372</v>
      </c>
      <c r="LN5" t="s">
        <v>372</v>
      </c>
      <c r="LO5" t="s">
        <v>372</v>
      </c>
      <c r="LP5" t="s">
        <v>372</v>
      </c>
      <c r="LQ5" t="s">
        <v>372</v>
      </c>
      <c r="LR5" t="s">
        <v>372</v>
      </c>
      <c r="LS5" t="s">
        <v>372</v>
      </c>
      <c r="LT5" t="s">
        <v>372</v>
      </c>
      <c r="LU5" t="s">
        <v>372</v>
      </c>
      <c r="LV5" t="s">
        <v>372</v>
      </c>
      <c r="LW5" t="s">
        <v>372</v>
      </c>
      <c r="LX5" t="s">
        <v>372</v>
      </c>
      <c r="LY5" t="s">
        <v>372</v>
      </c>
      <c r="LZ5" t="s">
        <v>372</v>
      </c>
      <c r="MA5" t="s">
        <v>372</v>
      </c>
      <c r="MB5" t="s">
        <v>372</v>
      </c>
      <c r="MC5" t="s">
        <v>372</v>
      </c>
      <c r="MD5" t="s">
        <v>372</v>
      </c>
      <c r="ME5" t="s">
        <v>372</v>
      </c>
      <c r="MF5" t="s">
        <v>596</v>
      </c>
      <c r="MG5" t="s">
        <v>372</v>
      </c>
      <c r="MH5" t="s">
        <v>372</v>
      </c>
      <c r="MI5" t="s">
        <v>372</v>
      </c>
      <c r="MJ5" t="s">
        <v>372</v>
      </c>
      <c r="MK5" t="s">
        <v>597</v>
      </c>
      <c r="ML5" t="s">
        <v>372</v>
      </c>
      <c r="MM5" t="s">
        <v>382</v>
      </c>
      <c r="MN5" t="s">
        <v>372</v>
      </c>
      <c r="MO5" t="s">
        <v>372</v>
      </c>
      <c r="MP5">
        <v>5</v>
      </c>
      <c r="MQ5">
        <v>9</v>
      </c>
      <c r="MR5">
        <v>2</v>
      </c>
      <c r="MS5" t="s">
        <v>444</v>
      </c>
      <c r="MT5" t="s">
        <v>445</v>
      </c>
      <c r="MU5" t="s">
        <v>598</v>
      </c>
      <c r="MV5" t="s">
        <v>599</v>
      </c>
      <c r="MW5" t="s">
        <v>372</v>
      </c>
      <c r="MX5" t="s">
        <v>372</v>
      </c>
      <c r="MY5" t="s">
        <v>372</v>
      </c>
      <c r="MZ5" t="s">
        <v>600</v>
      </c>
      <c r="NA5" t="s">
        <v>382</v>
      </c>
    </row>
    <row r="6" spans="1:365">
      <c r="A6" t="s">
        <v>601</v>
      </c>
      <c r="B6" s="8">
        <v>46104</v>
      </c>
      <c r="C6">
        <v>4</v>
      </c>
      <c r="D6">
        <v>34</v>
      </c>
      <c r="E6" t="s">
        <v>602</v>
      </c>
      <c r="F6" t="s">
        <v>603</v>
      </c>
      <c r="G6" t="s">
        <v>604</v>
      </c>
      <c r="H6" t="s">
        <v>605</v>
      </c>
      <c r="I6" t="s">
        <v>553</v>
      </c>
      <c r="J6" t="s">
        <v>554</v>
      </c>
      <c r="K6" t="s">
        <v>606</v>
      </c>
      <c r="L6" t="s">
        <v>607</v>
      </c>
      <c r="M6" t="s">
        <v>608</v>
      </c>
      <c r="N6" t="s">
        <v>376</v>
      </c>
      <c r="O6" t="s">
        <v>609</v>
      </c>
      <c r="P6" t="s">
        <v>372</v>
      </c>
      <c r="Q6" t="s">
        <v>379</v>
      </c>
      <c r="R6" t="s">
        <v>379</v>
      </c>
      <c r="S6" t="s">
        <v>379</v>
      </c>
      <c r="T6" t="s">
        <v>379</v>
      </c>
      <c r="U6" t="s">
        <v>379</v>
      </c>
      <c r="V6" t="s">
        <v>610</v>
      </c>
      <c r="W6" t="s">
        <v>380</v>
      </c>
      <c r="X6" t="s">
        <v>380</v>
      </c>
      <c r="Y6" t="s">
        <v>380</v>
      </c>
      <c r="Z6" t="s">
        <v>380</v>
      </c>
      <c r="AA6" t="s">
        <v>382</v>
      </c>
      <c r="AB6" t="s">
        <v>381</v>
      </c>
      <c r="AC6" t="s">
        <v>381</v>
      </c>
      <c r="AD6" t="s">
        <v>382</v>
      </c>
      <c r="AE6" t="s">
        <v>380</v>
      </c>
      <c r="AF6" t="s">
        <v>382</v>
      </c>
      <c r="AG6" t="s">
        <v>381</v>
      </c>
      <c r="AH6" t="s">
        <v>398</v>
      </c>
      <c r="AI6" t="s">
        <v>382</v>
      </c>
      <c r="AJ6" t="s">
        <v>382</v>
      </c>
      <c r="AK6" t="s">
        <v>379</v>
      </c>
      <c r="AL6" t="s">
        <v>381</v>
      </c>
      <c r="AM6" t="s">
        <v>381</v>
      </c>
      <c r="AN6" t="s">
        <v>381</v>
      </c>
      <c r="AO6" t="s">
        <v>382</v>
      </c>
      <c r="AP6" t="s">
        <v>382</v>
      </c>
      <c r="AQ6" t="s">
        <v>381</v>
      </c>
      <c r="AR6" t="s">
        <v>382</v>
      </c>
      <c r="AS6" t="s">
        <v>381</v>
      </c>
      <c r="AT6" t="s">
        <v>382</v>
      </c>
      <c r="AU6" t="s">
        <v>382</v>
      </c>
      <c r="AV6" t="s">
        <v>382</v>
      </c>
      <c r="AW6" t="s">
        <v>380</v>
      </c>
      <c r="AX6" t="s">
        <v>560</v>
      </c>
      <c r="AY6">
        <v>2</v>
      </c>
      <c r="AZ6" t="s">
        <v>561</v>
      </c>
      <c r="BA6" t="s">
        <v>562</v>
      </c>
      <c r="BB6" t="s">
        <v>611</v>
      </c>
      <c r="BC6" t="s">
        <v>612</v>
      </c>
      <c r="BD6" t="s">
        <v>523</v>
      </c>
      <c r="BE6" t="s">
        <v>563</v>
      </c>
      <c r="BF6">
        <v>2</v>
      </c>
      <c r="BG6" t="s">
        <v>389</v>
      </c>
      <c r="BH6" t="s">
        <v>382</v>
      </c>
      <c r="BI6" t="s">
        <v>382</v>
      </c>
      <c r="BJ6" t="s">
        <v>382</v>
      </c>
      <c r="BK6" t="s">
        <v>382</v>
      </c>
      <c r="BL6" t="s">
        <v>382</v>
      </c>
      <c r="BM6" t="s">
        <v>613</v>
      </c>
      <c r="BN6" t="s">
        <v>382</v>
      </c>
      <c r="BO6" t="s">
        <v>382</v>
      </c>
      <c r="BP6" t="s">
        <v>614</v>
      </c>
      <c r="BQ6" t="s">
        <v>382</v>
      </c>
      <c r="BR6" t="s">
        <v>382</v>
      </c>
      <c r="BS6" t="s">
        <v>615</v>
      </c>
      <c r="BT6" t="s">
        <v>382</v>
      </c>
      <c r="BU6" t="s">
        <v>382</v>
      </c>
      <c r="BV6" t="s">
        <v>382</v>
      </c>
      <c r="BW6" t="s">
        <v>382</v>
      </c>
      <c r="BX6" t="s">
        <v>382</v>
      </c>
      <c r="BY6" t="s">
        <v>382</v>
      </c>
      <c r="BZ6" t="s">
        <v>382</v>
      </c>
      <c r="CA6" t="s">
        <v>382</v>
      </c>
      <c r="CB6" t="s">
        <v>382</v>
      </c>
      <c r="CC6" t="s">
        <v>382</v>
      </c>
      <c r="CD6" t="s">
        <v>382</v>
      </c>
      <c r="CE6" t="s">
        <v>382</v>
      </c>
      <c r="CF6">
        <v>1</v>
      </c>
      <c r="CG6">
        <v>1</v>
      </c>
      <c r="CH6">
        <v>1</v>
      </c>
      <c r="CI6" t="s">
        <v>394</v>
      </c>
      <c r="CJ6" t="s">
        <v>381</v>
      </c>
      <c r="CK6" t="s">
        <v>393</v>
      </c>
      <c r="CL6" t="s">
        <v>395</v>
      </c>
      <c r="CM6" t="s">
        <v>396</v>
      </c>
      <c r="CN6" t="s">
        <v>395</v>
      </c>
      <c r="CO6" t="s">
        <v>397</v>
      </c>
      <c r="CP6" t="s">
        <v>395</v>
      </c>
      <c r="CQ6" t="s">
        <v>381</v>
      </c>
      <c r="CR6" t="s">
        <v>395</v>
      </c>
      <c r="CS6" t="s">
        <v>395</v>
      </c>
      <c r="CT6" t="s">
        <v>381</v>
      </c>
      <c r="CU6" t="s">
        <v>395</v>
      </c>
      <c r="CV6" t="s">
        <v>382</v>
      </c>
      <c r="CW6" t="s">
        <v>395</v>
      </c>
      <c r="CX6" t="s">
        <v>382</v>
      </c>
      <c r="CY6">
        <v>6</v>
      </c>
      <c r="CZ6" t="s">
        <v>400</v>
      </c>
      <c r="DA6" t="s">
        <v>401</v>
      </c>
      <c r="DB6" t="s">
        <v>401</v>
      </c>
      <c r="DC6" t="s">
        <v>401</v>
      </c>
      <c r="DD6" t="s">
        <v>616</v>
      </c>
      <c r="DE6" t="s">
        <v>381</v>
      </c>
      <c r="DF6" t="s">
        <v>381</v>
      </c>
      <c r="DG6" t="s">
        <v>381</v>
      </c>
      <c r="DH6" t="s">
        <v>381</v>
      </c>
      <c r="DI6" t="s">
        <v>381</v>
      </c>
      <c r="DJ6" t="s">
        <v>381</v>
      </c>
      <c r="DK6" t="s">
        <v>617</v>
      </c>
      <c r="DL6" t="s">
        <v>618</v>
      </c>
      <c r="DM6" t="s">
        <v>619</v>
      </c>
      <c r="DN6" t="s">
        <v>620</v>
      </c>
      <c r="DO6" t="s">
        <v>621</v>
      </c>
      <c r="DP6" t="s">
        <v>622</v>
      </c>
      <c r="DQ6" t="s">
        <v>372</v>
      </c>
      <c r="DR6" t="s">
        <v>372</v>
      </c>
      <c r="DS6" t="s">
        <v>372</v>
      </c>
      <c r="DT6" t="s">
        <v>372</v>
      </c>
      <c r="DU6" t="s">
        <v>372</v>
      </c>
      <c r="DV6" t="s">
        <v>372</v>
      </c>
      <c r="DW6" t="s">
        <v>372</v>
      </c>
      <c r="DX6" t="s">
        <v>372</v>
      </c>
      <c r="DY6" t="s">
        <v>372</v>
      </c>
      <c r="DZ6" t="s">
        <v>372</v>
      </c>
      <c r="EA6" t="s">
        <v>372</v>
      </c>
      <c r="EB6" t="s">
        <v>372</v>
      </c>
      <c r="EC6" t="s">
        <v>372</v>
      </c>
      <c r="ED6" t="s">
        <v>372</v>
      </c>
      <c r="EE6" t="s">
        <v>372</v>
      </c>
      <c r="EF6" t="s">
        <v>372</v>
      </c>
      <c r="EG6" t="s">
        <v>372</v>
      </c>
      <c r="EH6" t="s">
        <v>372</v>
      </c>
      <c r="EI6" t="s">
        <v>372</v>
      </c>
      <c r="EJ6" t="s">
        <v>372</v>
      </c>
      <c r="EK6" t="s">
        <v>372</v>
      </c>
      <c r="EL6" t="s">
        <v>372</v>
      </c>
      <c r="EM6" t="s">
        <v>372</v>
      </c>
      <c r="EN6" t="s">
        <v>372</v>
      </c>
      <c r="EO6" t="s">
        <v>623</v>
      </c>
      <c r="EP6" t="s">
        <v>624</v>
      </c>
      <c r="EQ6" t="s">
        <v>625</v>
      </c>
      <c r="ER6" t="s">
        <v>626</v>
      </c>
      <c r="ES6" t="s">
        <v>627</v>
      </c>
      <c r="ET6" t="s">
        <v>628</v>
      </c>
      <c r="EU6" t="s">
        <v>372</v>
      </c>
      <c r="EV6" t="s">
        <v>372</v>
      </c>
      <c r="EW6" t="s">
        <v>372</v>
      </c>
      <c r="EX6" t="s">
        <v>372</v>
      </c>
      <c r="EY6" t="s">
        <v>372</v>
      </c>
      <c r="EZ6" t="s">
        <v>372</v>
      </c>
      <c r="FA6" t="s">
        <v>372</v>
      </c>
      <c r="FB6" t="s">
        <v>372</v>
      </c>
      <c r="FC6" t="s">
        <v>372</v>
      </c>
      <c r="FD6" t="s">
        <v>372</v>
      </c>
      <c r="FE6" t="s">
        <v>372</v>
      </c>
      <c r="FF6" t="s">
        <v>372</v>
      </c>
      <c r="FG6" t="s">
        <v>372</v>
      </c>
      <c r="FH6" t="s">
        <v>372</v>
      </c>
      <c r="FI6" t="s">
        <v>372</v>
      </c>
      <c r="FJ6" t="s">
        <v>372</v>
      </c>
      <c r="FK6" t="s">
        <v>372</v>
      </c>
      <c r="FL6" t="s">
        <v>372</v>
      </c>
      <c r="FM6" t="s">
        <v>372</v>
      </c>
      <c r="FN6" t="s">
        <v>372</v>
      </c>
      <c r="FO6" t="s">
        <v>372</v>
      </c>
      <c r="FP6" t="s">
        <v>372</v>
      </c>
      <c r="FQ6" t="s">
        <v>372</v>
      </c>
      <c r="FR6" t="s">
        <v>372</v>
      </c>
      <c r="FS6" t="s">
        <v>629</v>
      </c>
      <c r="FT6" t="s">
        <v>630</v>
      </c>
      <c r="FU6" t="s">
        <v>372</v>
      </c>
      <c r="FV6" t="s">
        <v>372</v>
      </c>
      <c r="FW6" t="s">
        <v>372</v>
      </c>
      <c r="FX6" t="s">
        <v>372</v>
      </c>
      <c r="FY6" t="s">
        <v>372</v>
      </c>
      <c r="FZ6" t="s">
        <v>372</v>
      </c>
      <c r="GA6" t="s">
        <v>372</v>
      </c>
      <c r="GB6" t="s">
        <v>372</v>
      </c>
      <c r="GC6" t="s">
        <v>372</v>
      </c>
      <c r="GD6" t="s">
        <v>372</v>
      </c>
      <c r="GE6" t="s">
        <v>372</v>
      </c>
      <c r="GF6" t="s">
        <v>372</v>
      </c>
      <c r="GG6" t="s">
        <v>372</v>
      </c>
      <c r="GH6" t="s">
        <v>372</v>
      </c>
      <c r="GI6" t="s">
        <v>372</v>
      </c>
      <c r="GJ6" t="s">
        <v>372</v>
      </c>
      <c r="GK6" t="s">
        <v>372</v>
      </c>
      <c r="GL6" t="s">
        <v>372</v>
      </c>
      <c r="GM6" t="s">
        <v>372</v>
      </c>
      <c r="GN6" t="s">
        <v>372</v>
      </c>
      <c r="GO6" t="s">
        <v>372</v>
      </c>
      <c r="GP6" t="s">
        <v>372</v>
      </c>
      <c r="GQ6" t="s">
        <v>372</v>
      </c>
      <c r="GR6" t="s">
        <v>372</v>
      </c>
      <c r="GS6" t="s">
        <v>372</v>
      </c>
      <c r="GT6" t="s">
        <v>372</v>
      </c>
      <c r="GU6" t="s">
        <v>372</v>
      </c>
      <c r="GV6" t="s">
        <v>372</v>
      </c>
      <c r="GW6" t="s">
        <v>372</v>
      </c>
      <c r="GX6" t="s">
        <v>372</v>
      </c>
      <c r="GY6" t="s">
        <v>372</v>
      </c>
      <c r="GZ6" t="s">
        <v>372</v>
      </c>
      <c r="HA6" t="s">
        <v>372</v>
      </c>
      <c r="HB6" t="s">
        <v>372</v>
      </c>
      <c r="HC6" t="s">
        <v>372</v>
      </c>
      <c r="HD6" t="s">
        <v>372</v>
      </c>
      <c r="HE6" t="s">
        <v>372</v>
      </c>
      <c r="HF6" t="s">
        <v>372</v>
      </c>
      <c r="HG6" t="s">
        <v>372</v>
      </c>
      <c r="HH6" t="s">
        <v>372</v>
      </c>
      <c r="HI6" t="s">
        <v>382</v>
      </c>
      <c r="HJ6" t="s">
        <v>382</v>
      </c>
      <c r="HK6" t="s">
        <v>382</v>
      </c>
      <c r="HL6" t="s">
        <v>382</v>
      </c>
      <c r="HM6" t="s">
        <v>382</v>
      </c>
      <c r="HN6" t="s">
        <v>382</v>
      </c>
      <c r="HO6" t="s">
        <v>382</v>
      </c>
      <c r="HP6" t="s">
        <v>382</v>
      </c>
      <c r="HQ6" t="s">
        <v>382</v>
      </c>
      <c r="HR6" t="s">
        <v>382</v>
      </c>
      <c r="HS6" t="s">
        <v>382</v>
      </c>
      <c r="HT6" t="s">
        <v>382</v>
      </c>
      <c r="HU6" t="s">
        <v>382</v>
      </c>
      <c r="HV6" t="s">
        <v>382</v>
      </c>
      <c r="HW6" t="s">
        <v>382</v>
      </c>
      <c r="HX6" t="s">
        <v>382</v>
      </c>
      <c r="HY6" t="s">
        <v>382</v>
      </c>
      <c r="HZ6" t="s">
        <v>382</v>
      </c>
      <c r="IA6" t="s">
        <v>382</v>
      </c>
      <c r="IB6" t="s">
        <v>382</v>
      </c>
      <c r="IC6" t="s">
        <v>395</v>
      </c>
      <c r="ID6" t="s">
        <v>381</v>
      </c>
      <c r="IE6" t="s">
        <v>381</v>
      </c>
      <c r="IF6" t="s">
        <v>395</v>
      </c>
      <c r="IG6" t="s">
        <v>395</v>
      </c>
      <c r="IH6" t="s">
        <v>395</v>
      </c>
      <c r="II6" t="s">
        <v>381</v>
      </c>
      <c r="IJ6" t="s">
        <v>395</v>
      </c>
      <c r="IK6" t="s">
        <v>381</v>
      </c>
      <c r="IL6" t="s">
        <v>395</v>
      </c>
      <c r="IM6" t="s">
        <v>395</v>
      </c>
      <c r="IN6" t="s">
        <v>395</v>
      </c>
      <c r="IO6" t="s">
        <v>395</v>
      </c>
      <c r="IP6" t="s">
        <v>395</v>
      </c>
      <c r="IQ6" t="s">
        <v>395</v>
      </c>
      <c r="IR6" t="s">
        <v>395</v>
      </c>
      <c r="IS6" t="s">
        <v>395</v>
      </c>
      <c r="IT6" t="s">
        <v>417</v>
      </c>
      <c r="IU6" t="s">
        <v>418</v>
      </c>
      <c r="IV6" t="s">
        <v>419</v>
      </c>
      <c r="IW6" t="s">
        <v>631</v>
      </c>
      <c r="IX6" t="s">
        <v>372</v>
      </c>
      <c r="IY6" t="s">
        <v>372</v>
      </c>
      <c r="IZ6" t="s">
        <v>372</v>
      </c>
      <c r="JA6" t="s">
        <v>372</v>
      </c>
      <c r="JB6" t="s">
        <v>372</v>
      </c>
      <c r="JC6" t="s">
        <v>372</v>
      </c>
      <c r="JD6" t="s">
        <v>372</v>
      </c>
      <c r="JE6" t="s">
        <v>372</v>
      </c>
      <c r="JF6" t="s">
        <v>372</v>
      </c>
      <c r="JG6" t="s">
        <v>372</v>
      </c>
      <c r="JH6" t="s">
        <v>372</v>
      </c>
      <c r="JI6" t="s">
        <v>372</v>
      </c>
      <c r="JJ6" t="s">
        <v>372</v>
      </c>
      <c r="JK6" t="s">
        <v>372</v>
      </c>
      <c r="JL6" t="s">
        <v>372</v>
      </c>
      <c r="JM6" t="s">
        <v>372</v>
      </c>
      <c r="JN6" t="s">
        <v>372</v>
      </c>
      <c r="JO6" t="s">
        <v>372</v>
      </c>
      <c r="JP6" t="s">
        <v>372</v>
      </c>
      <c r="JQ6" t="s">
        <v>372</v>
      </c>
      <c r="JR6" t="s">
        <v>372</v>
      </c>
      <c r="JS6" t="s">
        <v>372</v>
      </c>
      <c r="JT6" t="s">
        <v>372</v>
      </c>
      <c r="JU6" t="s">
        <v>372</v>
      </c>
      <c r="JV6" t="s">
        <v>372</v>
      </c>
      <c r="JW6" t="s">
        <v>372</v>
      </c>
      <c r="JX6" t="s">
        <v>425</v>
      </c>
      <c r="JY6" t="s">
        <v>426</v>
      </c>
      <c r="JZ6" t="s">
        <v>427</v>
      </c>
      <c r="KA6" t="s">
        <v>426</v>
      </c>
      <c r="KB6" t="s">
        <v>372</v>
      </c>
      <c r="KC6" t="s">
        <v>372</v>
      </c>
      <c r="KD6" t="s">
        <v>372</v>
      </c>
      <c r="KE6" t="s">
        <v>372</v>
      </c>
      <c r="KF6" t="s">
        <v>372</v>
      </c>
      <c r="KG6" t="s">
        <v>372</v>
      </c>
      <c r="KH6" t="s">
        <v>372</v>
      </c>
      <c r="KI6" t="s">
        <v>372</v>
      </c>
      <c r="KJ6" t="s">
        <v>372</v>
      </c>
      <c r="KK6" t="s">
        <v>372</v>
      </c>
      <c r="KL6" t="s">
        <v>372</v>
      </c>
      <c r="KM6" t="s">
        <v>372</v>
      </c>
      <c r="KN6" t="s">
        <v>372</v>
      </c>
      <c r="KO6" t="s">
        <v>372</v>
      </c>
      <c r="KP6" t="s">
        <v>372</v>
      </c>
      <c r="KQ6" t="s">
        <v>372</v>
      </c>
      <c r="KR6" t="s">
        <v>372</v>
      </c>
      <c r="KS6" t="s">
        <v>372</v>
      </c>
      <c r="KT6" t="s">
        <v>372</v>
      </c>
      <c r="KU6" t="s">
        <v>372</v>
      </c>
      <c r="KV6" t="s">
        <v>372</v>
      </c>
      <c r="KW6" t="s">
        <v>372</v>
      </c>
      <c r="KX6" t="s">
        <v>372</v>
      </c>
      <c r="KY6" t="s">
        <v>372</v>
      </c>
      <c r="KZ6" t="s">
        <v>372</v>
      </c>
      <c r="LA6" t="s">
        <v>372</v>
      </c>
      <c r="LB6" t="s">
        <v>430</v>
      </c>
      <c r="LC6" t="s">
        <v>431</v>
      </c>
      <c r="LD6" t="s">
        <v>432</v>
      </c>
      <c r="LE6" t="s">
        <v>594</v>
      </c>
      <c r="LF6" t="s">
        <v>372</v>
      </c>
      <c r="LG6" t="s">
        <v>372</v>
      </c>
      <c r="LH6" t="s">
        <v>372</v>
      </c>
      <c r="LI6" t="s">
        <v>372</v>
      </c>
      <c r="LJ6" t="s">
        <v>372</v>
      </c>
      <c r="LK6" t="s">
        <v>372</v>
      </c>
      <c r="LL6" t="s">
        <v>372</v>
      </c>
      <c r="LM6" t="s">
        <v>372</v>
      </c>
      <c r="LN6" t="s">
        <v>372</v>
      </c>
      <c r="LO6" t="s">
        <v>372</v>
      </c>
      <c r="LP6" t="s">
        <v>372</v>
      </c>
      <c r="LQ6" t="s">
        <v>372</v>
      </c>
      <c r="LR6" t="s">
        <v>372</v>
      </c>
      <c r="LS6" t="s">
        <v>372</v>
      </c>
      <c r="LT6" t="s">
        <v>372</v>
      </c>
      <c r="LU6" t="s">
        <v>372</v>
      </c>
      <c r="LV6" t="s">
        <v>372</v>
      </c>
      <c r="LW6" t="s">
        <v>372</v>
      </c>
      <c r="LX6" t="s">
        <v>372</v>
      </c>
      <c r="LY6" t="s">
        <v>372</v>
      </c>
      <c r="LZ6" t="s">
        <v>372</v>
      </c>
      <c r="MA6" t="s">
        <v>372</v>
      </c>
      <c r="MB6" t="s">
        <v>372</v>
      </c>
      <c r="MC6" t="s">
        <v>372</v>
      </c>
      <c r="MD6" t="s">
        <v>372</v>
      </c>
      <c r="ME6" t="s">
        <v>372</v>
      </c>
      <c r="MF6" t="s">
        <v>596</v>
      </c>
      <c r="MG6" t="s">
        <v>372</v>
      </c>
      <c r="MH6" t="s">
        <v>372</v>
      </c>
      <c r="MI6" t="s">
        <v>372</v>
      </c>
      <c r="MJ6" t="s">
        <v>372</v>
      </c>
      <c r="MK6" t="s">
        <v>597</v>
      </c>
      <c r="ML6" t="s">
        <v>372</v>
      </c>
      <c r="MM6" t="s">
        <v>382</v>
      </c>
      <c r="MN6" t="s">
        <v>372</v>
      </c>
      <c r="MO6" t="s">
        <v>372</v>
      </c>
      <c r="MP6">
        <v>5</v>
      </c>
      <c r="MQ6">
        <v>11</v>
      </c>
      <c r="MR6">
        <v>8</v>
      </c>
      <c r="MS6" t="s">
        <v>444</v>
      </c>
      <c r="MT6" t="s">
        <v>445</v>
      </c>
      <c r="MU6" t="s">
        <v>632</v>
      </c>
      <c r="MV6" t="s">
        <v>633</v>
      </c>
      <c r="MW6" t="s">
        <v>372</v>
      </c>
      <c r="MX6" t="s">
        <v>372</v>
      </c>
      <c r="MY6" t="s">
        <v>372</v>
      </c>
      <c r="MZ6" t="s">
        <v>634</v>
      </c>
      <c r="NA6" t="s">
        <v>382</v>
      </c>
    </row>
    <row r="7" spans="1:365">
      <c r="A7" t="s">
        <v>635</v>
      </c>
      <c r="B7" s="8">
        <v>46104</v>
      </c>
      <c r="C7">
        <v>1</v>
      </c>
      <c r="D7">
        <v>30</v>
      </c>
      <c r="E7" t="s">
        <v>636</v>
      </c>
      <c r="F7" t="s">
        <v>637</v>
      </c>
      <c r="G7" t="s">
        <v>638</v>
      </c>
      <c r="H7" t="s">
        <v>552</v>
      </c>
      <c r="I7" t="s">
        <v>553</v>
      </c>
      <c r="J7" t="s">
        <v>554</v>
      </c>
      <c r="K7" t="s">
        <v>639</v>
      </c>
      <c r="L7" t="s">
        <v>373</v>
      </c>
      <c r="M7" t="s">
        <v>374</v>
      </c>
      <c r="N7" t="s">
        <v>640</v>
      </c>
      <c r="O7" t="s">
        <v>638</v>
      </c>
      <c r="P7" t="s">
        <v>372</v>
      </c>
      <c r="Q7" t="s">
        <v>380</v>
      </c>
      <c r="R7" t="s">
        <v>379</v>
      </c>
      <c r="S7" t="s">
        <v>379</v>
      </c>
      <c r="T7" t="s">
        <v>380</v>
      </c>
      <c r="U7" t="s">
        <v>380</v>
      </c>
      <c r="V7" t="s">
        <v>380</v>
      </c>
      <c r="W7" t="s">
        <v>379</v>
      </c>
      <c r="X7" t="s">
        <v>379</v>
      </c>
      <c r="Y7" t="s">
        <v>380</v>
      </c>
      <c r="Z7" t="s">
        <v>382</v>
      </c>
      <c r="AA7" t="s">
        <v>381</v>
      </c>
      <c r="AB7" t="s">
        <v>379</v>
      </c>
      <c r="AC7" t="s">
        <v>382</v>
      </c>
      <c r="AD7" t="s">
        <v>382</v>
      </c>
      <c r="AE7" t="s">
        <v>379</v>
      </c>
      <c r="AF7" t="s">
        <v>382</v>
      </c>
      <c r="AG7" t="s">
        <v>382</v>
      </c>
      <c r="AH7" t="s">
        <v>381</v>
      </c>
      <c r="AI7" t="s">
        <v>382</v>
      </c>
      <c r="AJ7" t="s">
        <v>382</v>
      </c>
      <c r="AK7" t="s">
        <v>380</v>
      </c>
      <c r="AL7" t="s">
        <v>381</v>
      </c>
      <c r="AM7" t="s">
        <v>382</v>
      </c>
      <c r="AN7" t="s">
        <v>382</v>
      </c>
      <c r="AO7" t="s">
        <v>382</v>
      </c>
      <c r="AP7" t="s">
        <v>381</v>
      </c>
      <c r="AQ7" t="s">
        <v>381</v>
      </c>
      <c r="AR7" t="s">
        <v>378</v>
      </c>
      <c r="AS7" t="s">
        <v>382</v>
      </c>
      <c r="AT7" t="s">
        <v>379</v>
      </c>
      <c r="AU7" t="s">
        <v>381</v>
      </c>
      <c r="AV7" t="s">
        <v>382</v>
      </c>
      <c r="AW7" t="s">
        <v>380</v>
      </c>
      <c r="AX7" t="s">
        <v>383</v>
      </c>
      <c r="AY7">
        <v>1</v>
      </c>
      <c r="AZ7" t="s">
        <v>382</v>
      </c>
      <c r="BA7" t="s">
        <v>384</v>
      </c>
      <c r="BB7" t="s">
        <v>611</v>
      </c>
      <c r="BC7" t="s">
        <v>612</v>
      </c>
      <c r="BD7" t="s">
        <v>453</v>
      </c>
      <c r="BE7" t="s">
        <v>454</v>
      </c>
      <c r="BF7">
        <v>1</v>
      </c>
      <c r="BG7" t="s">
        <v>389</v>
      </c>
      <c r="BH7" t="s">
        <v>382</v>
      </c>
      <c r="BI7" t="s">
        <v>382</v>
      </c>
      <c r="BJ7" t="s">
        <v>641</v>
      </c>
      <c r="BK7" t="s">
        <v>382</v>
      </c>
      <c r="BL7" t="s">
        <v>382</v>
      </c>
      <c r="BM7" t="s">
        <v>642</v>
      </c>
      <c r="BN7" t="s">
        <v>382</v>
      </c>
      <c r="BO7" t="s">
        <v>382</v>
      </c>
      <c r="BP7" t="s">
        <v>382</v>
      </c>
      <c r="BQ7" t="s">
        <v>382</v>
      </c>
      <c r="BR7" t="s">
        <v>382</v>
      </c>
      <c r="BS7" t="s">
        <v>643</v>
      </c>
      <c r="BT7" t="s">
        <v>382</v>
      </c>
      <c r="BU7" t="s">
        <v>382</v>
      </c>
      <c r="BV7" t="s">
        <v>382</v>
      </c>
      <c r="BW7" t="s">
        <v>382</v>
      </c>
      <c r="BX7" t="s">
        <v>382</v>
      </c>
      <c r="BY7" t="s">
        <v>382</v>
      </c>
      <c r="BZ7" t="s">
        <v>644</v>
      </c>
      <c r="CA7" t="s">
        <v>382</v>
      </c>
      <c r="CB7" t="s">
        <v>382</v>
      </c>
      <c r="CC7" t="s">
        <v>382</v>
      </c>
      <c r="CD7" t="s">
        <v>382</v>
      </c>
      <c r="CE7" t="s">
        <v>382</v>
      </c>
      <c r="CF7">
        <v>2</v>
      </c>
      <c r="CG7">
        <v>2</v>
      </c>
      <c r="CH7">
        <v>3</v>
      </c>
      <c r="CI7" t="s">
        <v>393</v>
      </c>
      <c r="CJ7" t="s">
        <v>379</v>
      </c>
      <c r="CK7" t="s">
        <v>394</v>
      </c>
      <c r="CL7" t="s">
        <v>395</v>
      </c>
      <c r="CM7" t="s">
        <v>396</v>
      </c>
      <c r="CN7" t="s">
        <v>395</v>
      </c>
      <c r="CO7" t="s">
        <v>397</v>
      </c>
      <c r="CP7" t="s">
        <v>395</v>
      </c>
      <c r="CQ7" t="s">
        <v>381</v>
      </c>
      <c r="CR7" t="s">
        <v>381</v>
      </c>
      <c r="CS7" t="s">
        <v>395</v>
      </c>
      <c r="CT7" t="s">
        <v>398</v>
      </c>
      <c r="CU7" t="s">
        <v>398</v>
      </c>
      <c r="CV7" t="s">
        <v>645</v>
      </c>
      <c r="CW7" t="s">
        <v>395</v>
      </c>
      <c r="CX7" t="s">
        <v>382</v>
      </c>
      <c r="CY7">
        <v>5</v>
      </c>
      <c r="CZ7" t="s">
        <v>400</v>
      </c>
      <c r="DA7" t="s">
        <v>401</v>
      </c>
      <c r="DB7" t="s">
        <v>401</v>
      </c>
      <c r="DC7" t="s">
        <v>401</v>
      </c>
      <c r="DD7" t="s">
        <v>646</v>
      </c>
      <c r="DE7" t="s">
        <v>647</v>
      </c>
      <c r="DF7" t="s">
        <v>381</v>
      </c>
      <c r="DG7" t="s">
        <v>381</v>
      </c>
      <c r="DH7" t="s">
        <v>381</v>
      </c>
      <c r="DI7" t="s">
        <v>381</v>
      </c>
      <c r="DJ7" t="s">
        <v>381</v>
      </c>
      <c r="DK7" t="s">
        <v>648</v>
      </c>
      <c r="DL7" t="s">
        <v>505</v>
      </c>
      <c r="DM7" t="s">
        <v>507</v>
      </c>
      <c r="DN7" t="s">
        <v>406</v>
      </c>
      <c r="DO7" t="s">
        <v>372</v>
      </c>
      <c r="DP7" t="s">
        <v>372</v>
      </c>
      <c r="DQ7" t="s">
        <v>372</v>
      </c>
      <c r="DR7" t="s">
        <v>372</v>
      </c>
      <c r="DS7" t="s">
        <v>372</v>
      </c>
      <c r="DT7" t="s">
        <v>372</v>
      </c>
      <c r="DU7" t="s">
        <v>372</v>
      </c>
      <c r="DV7" t="s">
        <v>372</v>
      </c>
      <c r="DW7" t="s">
        <v>372</v>
      </c>
      <c r="DX7" t="s">
        <v>372</v>
      </c>
      <c r="DY7" t="s">
        <v>372</v>
      </c>
      <c r="DZ7" t="s">
        <v>372</v>
      </c>
      <c r="EA7" t="s">
        <v>372</v>
      </c>
      <c r="EB7" t="s">
        <v>372</v>
      </c>
      <c r="EC7" t="s">
        <v>372</v>
      </c>
      <c r="ED7" t="s">
        <v>372</v>
      </c>
      <c r="EE7" t="s">
        <v>372</v>
      </c>
      <c r="EF7" t="s">
        <v>372</v>
      </c>
      <c r="EG7" t="s">
        <v>372</v>
      </c>
      <c r="EH7" t="s">
        <v>372</v>
      </c>
      <c r="EI7" t="s">
        <v>372</v>
      </c>
      <c r="EJ7" t="s">
        <v>372</v>
      </c>
      <c r="EK7" t="s">
        <v>372</v>
      </c>
      <c r="EL7" t="s">
        <v>372</v>
      </c>
      <c r="EM7" t="s">
        <v>372</v>
      </c>
      <c r="EN7" t="s">
        <v>372</v>
      </c>
      <c r="EO7" t="s">
        <v>649</v>
      </c>
      <c r="EP7" t="s">
        <v>515</v>
      </c>
      <c r="EQ7" t="s">
        <v>517</v>
      </c>
      <c r="ER7" t="s">
        <v>409</v>
      </c>
      <c r="ES7" t="s">
        <v>372</v>
      </c>
      <c r="ET7" t="s">
        <v>372</v>
      </c>
      <c r="EU7" t="s">
        <v>372</v>
      </c>
      <c r="EV7" t="s">
        <v>372</v>
      </c>
      <c r="EW7" t="s">
        <v>372</v>
      </c>
      <c r="EX7" t="s">
        <v>372</v>
      </c>
      <c r="EY7" t="s">
        <v>372</v>
      </c>
      <c r="EZ7" t="s">
        <v>372</v>
      </c>
      <c r="FA7" t="s">
        <v>372</v>
      </c>
      <c r="FB7" t="s">
        <v>372</v>
      </c>
      <c r="FC7" t="s">
        <v>372</v>
      </c>
      <c r="FD7" t="s">
        <v>372</v>
      </c>
      <c r="FE7" t="s">
        <v>372</v>
      </c>
      <c r="FF7" t="s">
        <v>372</v>
      </c>
      <c r="FG7" t="s">
        <v>372</v>
      </c>
      <c r="FH7" t="s">
        <v>372</v>
      </c>
      <c r="FI7" t="s">
        <v>372</v>
      </c>
      <c r="FJ7" t="s">
        <v>372</v>
      </c>
      <c r="FK7" t="s">
        <v>372</v>
      </c>
      <c r="FL7" t="s">
        <v>372</v>
      </c>
      <c r="FM7" t="s">
        <v>372</v>
      </c>
      <c r="FN7" t="s">
        <v>372</v>
      </c>
      <c r="FO7" t="s">
        <v>372</v>
      </c>
      <c r="FP7" t="s">
        <v>372</v>
      </c>
      <c r="FQ7" t="s">
        <v>372</v>
      </c>
      <c r="FR7" t="s">
        <v>372</v>
      </c>
      <c r="FS7" t="s">
        <v>611</v>
      </c>
      <c r="FT7" t="s">
        <v>650</v>
      </c>
      <c r="FU7" t="s">
        <v>412</v>
      </c>
      <c r="FV7" t="s">
        <v>412</v>
      </c>
      <c r="FW7" t="s">
        <v>412</v>
      </c>
      <c r="FX7" t="s">
        <v>412</v>
      </c>
      <c r="FY7" t="s">
        <v>525</v>
      </c>
      <c r="FZ7" t="s">
        <v>372</v>
      </c>
      <c r="GA7" t="s">
        <v>372</v>
      </c>
      <c r="GB7" t="s">
        <v>372</v>
      </c>
      <c r="GC7" t="s">
        <v>372</v>
      </c>
      <c r="GD7" t="s">
        <v>372</v>
      </c>
      <c r="GE7" t="s">
        <v>372</v>
      </c>
      <c r="GF7" t="s">
        <v>372</v>
      </c>
      <c r="GG7" t="s">
        <v>372</v>
      </c>
      <c r="GH7" t="s">
        <v>372</v>
      </c>
      <c r="GI7" t="s">
        <v>372</v>
      </c>
      <c r="GJ7" t="s">
        <v>372</v>
      </c>
      <c r="GK7" t="s">
        <v>372</v>
      </c>
      <c r="GL7" t="s">
        <v>372</v>
      </c>
      <c r="GM7" t="s">
        <v>372</v>
      </c>
      <c r="GN7" t="s">
        <v>372</v>
      </c>
      <c r="GO7" t="s">
        <v>651</v>
      </c>
      <c r="GP7" t="s">
        <v>527</v>
      </c>
      <c r="GQ7" t="s">
        <v>30</v>
      </c>
      <c r="GR7" t="s">
        <v>415</v>
      </c>
      <c r="GS7" t="s">
        <v>372</v>
      </c>
      <c r="GT7" t="s">
        <v>372</v>
      </c>
      <c r="GU7" t="s">
        <v>372</v>
      </c>
      <c r="GV7" t="s">
        <v>372</v>
      </c>
      <c r="GW7" t="s">
        <v>372</v>
      </c>
      <c r="GX7" t="s">
        <v>372</v>
      </c>
      <c r="GY7" t="s">
        <v>372</v>
      </c>
      <c r="GZ7" t="s">
        <v>372</v>
      </c>
      <c r="HA7" t="s">
        <v>372</v>
      </c>
      <c r="HB7" t="s">
        <v>372</v>
      </c>
      <c r="HC7" t="s">
        <v>372</v>
      </c>
      <c r="HD7" t="s">
        <v>372</v>
      </c>
      <c r="HE7" t="s">
        <v>372</v>
      </c>
      <c r="HF7" t="s">
        <v>372</v>
      </c>
      <c r="HG7" t="s">
        <v>372</v>
      </c>
      <c r="HH7" t="s">
        <v>372</v>
      </c>
      <c r="HI7" t="s">
        <v>379</v>
      </c>
      <c r="HJ7" t="s">
        <v>379</v>
      </c>
      <c r="HK7" t="s">
        <v>379</v>
      </c>
      <c r="HL7" t="s">
        <v>379</v>
      </c>
      <c r="HM7" t="s">
        <v>381</v>
      </c>
      <c r="HN7" t="s">
        <v>382</v>
      </c>
      <c r="HO7" t="s">
        <v>382</v>
      </c>
      <c r="HP7" t="s">
        <v>382</v>
      </c>
      <c r="HQ7" t="s">
        <v>382</v>
      </c>
      <c r="HR7" t="s">
        <v>382</v>
      </c>
      <c r="HS7" t="s">
        <v>382</v>
      </c>
      <c r="HT7" t="s">
        <v>382</v>
      </c>
      <c r="HU7" t="s">
        <v>382</v>
      </c>
      <c r="HV7" t="s">
        <v>382</v>
      </c>
      <c r="HW7" t="s">
        <v>382</v>
      </c>
      <c r="HX7" t="s">
        <v>382</v>
      </c>
      <c r="HY7" t="s">
        <v>382</v>
      </c>
      <c r="HZ7" t="s">
        <v>382</v>
      </c>
      <c r="IA7" t="s">
        <v>382</v>
      </c>
      <c r="IB7" t="s">
        <v>382</v>
      </c>
      <c r="IC7" t="s">
        <v>381</v>
      </c>
      <c r="ID7" t="s">
        <v>395</v>
      </c>
      <c r="IE7" t="s">
        <v>395</v>
      </c>
      <c r="IF7" t="s">
        <v>380</v>
      </c>
      <c r="IG7" t="s">
        <v>395</v>
      </c>
      <c r="IH7" t="s">
        <v>395</v>
      </c>
      <c r="II7" t="s">
        <v>395</v>
      </c>
      <c r="IJ7" t="s">
        <v>380</v>
      </c>
      <c r="IK7" t="s">
        <v>395</v>
      </c>
      <c r="IL7" t="s">
        <v>395</v>
      </c>
      <c r="IM7" t="s">
        <v>380</v>
      </c>
      <c r="IN7" t="s">
        <v>395</v>
      </c>
      <c r="IO7" t="s">
        <v>380</v>
      </c>
      <c r="IP7" t="s">
        <v>395</v>
      </c>
      <c r="IQ7" t="s">
        <v>395</v>
      </c>
      <c r="IR7" t="s">
        <v>381</v>
      </c>
      <c r="IS7" t="s">
        <v>381</v>
      </c>
      <c r="IT7" t="s">
        <v>652</v>
      </c>
      <c r="IU7" t="s">
        <v>653</v>
      </c>
      <c r="IV7" t="s">
        <v>654</v>
      </c>
      <c r="IW7" t="s">
        <v>471</v>
      </c>
      <c r="IX7" t="s">
        <v>530</v>
      </c>
      <c r="IY7" t="s">
        <v>422</v>
      </c>
      <c r="IZ7" t="s">
        <v>655</v>
      </c>
      <c r="JA7" t="s">
        <v>424</v>
      </c>
      <c r="JB7" t="s">
        <v>656</v>
      </c>
      <c r="JC7" t="s">
        <v>657</v>
      </c>
      <c r="JD7" t="s">
        <v>658</v>
      </c>
      <c r="JE7" t="s">
        <v>372</v>
      </c>
      <c r="JF7" t="s">
        <v>372</v>
      </c>
      <c r="JG7" t="s">
        <v>372</v>
      </c>
      <c r="JH7" t="s">
        <v>372</v>
      </c>
      <c r="JI7" t="s">
        <v>372</v>
      </c>
      <c r="JJ7" t="s">
        <v>372</v>
      </c>
      <c r="JK7" t="s">
        <v>372</v>
      </c>
      <c r="JL7" t="s">
        <v>372</v>
      </c>
      <c r="JM7" t="s">
        <v>372</v>
      </c>
      <c r="JN7" t="s">
        <v>372</v>
      </c>
      <c r="JO7" t="s">
        <v>372</v>
      </c>
      <c r="JP7" t="s">
        <v>372</v>
      </c>
      <c r="JQ7" t="s">
        <v>372</v>
      </c>
      <c r="JR7" t="s">
        <v>372</v>
      </c>
      <c r="JS7" t="s">
        <v>372</v>
      </c>
      <c r="JT7" t="s">
        <v>372</v>
      </c>
      <c r="JU7" t="s">
        <v>372</v>
      </c>
      <c r="JV7" t="s">
        <v>372</v>
      </c>
      <c r="JW7" t="s">
        <v>372</v>
      </c>
      <c r="JX7" t="s">
        <v>659</v>
      </c>
      <c r="JY7" t="s">
        <v>660</v>
      </c>
      <c r="JZ7" t="s">
        <v>661</v>
      </c>
      <c r="KA7" t="s">
        <v>476</v>
      </c>
      <c r="KB7" t="s">
        <v>534</v>
      </c>
      <c r="KC7" t="s">
        <v>372</v>
      </c>
      <c r="KD7" t="s">
        <v>372</v>
      </c>
      <c r="KE7" t="s">
        <v>372</v>
      </c>
      <c r="KF7" t="s">
        <v>372</v>
      </c>
      <c r="KG7" t="s">
        <v>662</v>
      </c>
      <c r="KH7" t="s">
        <v>663</v>
      </c>
      <c r="KI7" t="s">
        <v>372</v>
      </c>
      <c r="KJ7" t="s">
        <v>372</v>
      </c>
      <c r="KK7" t="s">
        <v>372</v>
      </c>
      <c r="KL7" t="s">
        <v>372</v>
      </c>
      <c r="KM7" t="s">
        <v>372</v>
      </c>
      <c r="KN7" t="s">
        <v>372</v>
      </c>
      <c r="KO7" t="s">
        <v>372</v>
      </c>
      <c r="KP7" t="s">
        <v>372</v>
      </c>
      <c r="KQ7" t="s">
        <v>372</v>
      </c>
      <c r="KR7" t="s">
        <v>372</v>
      </c>
      <c r="KS7" t="s">
        <v>372</v>
      </c>
      <c r="KT7" t="s">
        <v>372</v>
      </c>
      <c r="KU7" t="s">
        <v>372</v>
      </c>
      <c r="KV7" t="s">
        <v>372</v>
      </c>
      <c r="KW7" t="s">
        <v>372</v>
      </c>
      <c r="KX7" t="s">
        <v>372</v>
      </c>
      <c r="KY7" t="s">
        <v>372</v>
      </c>
      <c r="KZ7" t="s">
        <v>372</v>
      </c>
      <c r="LA7" t="s">
        <v>372</v>
      </c>
      <c r="LB7" t="s">
        <v>664</v>
      </c>
      <c r="LC7" t="s">
        <v>665</v>
      </c>
      <c r="LD7" t="s">
        <v>666</v>
      </c>
      <c r="LE7" t="s">
        <v>479</v>
      </c>
      <c r="LF7" t="s">
        <v>538</v>
      </c>
      <c r="LG7" t="s">
        <v>435</v>
      </c>
      <c r="LH7" t="s">
        <v>667</v>
      </c>
      <c r="LI7" t="s">
        <v>437</v>
      </c>
      <c r="LJ7" t="s">
        <v>668</v>
      </c>
      <c r="LK7" t="s">
        <v>669</v>
      </c>
      <c r="LL7" t="s">
        <v>670</v>
      </c>
      <c r="LM7" t="s">
        <v>372</v>
      </c>
      <c r="LN7" t="s">
        <v>372</v>
      </c>
      <c r="LO7" t="s">
        <v>372</v>
      </c>
      <c r="LP7" t="s">
        <v>372</v>
      </c>
      <c r="LQ7" t="s">
        <v>372</v>
      </c>
      <c r="LR7" t="s">
        <v>372</v>
      </c>
      <c r="LS7" t="s">
        <v>372</v>
      </c>
      <c r="LT7" t="s">
        <v>372</v>
      </c>
      <c r="LU7" t="s">
        <v>372</v>
      </c>
      <c r="LV7" t="s">
        <v>372</v>
      </c>
      <c r="LW7" t="s">
        <v>372</v>
      </c>
      <c r="LX7" t="s">
        <v>372</v>
      </c>
      <c r="LY7" t="s">
        <v>372</v>
      </c>
      <c r="LZ7" t="s">
        <v>372</v>
      </c>
      <c r="MA7" t="s">
        <v>372</v>
      </c>
      <c r="MB7" t="s">
        <v>372</v>
      </c>
      <c r="MC7" t="s">
        <v>372</v>
      </c>
      <c r="MD7" t="s">
        <v>372</v>
      </c>
      <c r="ME7" t="s">
        <v>372</v>
      </c>
      <c r="MF7" t="s">
        <v>596</v>
      </c>
      <c r="MG7" t="s">
        <v>372</v>
      </c>
      <c r="MH7" t="s">
        <v>372</v>
      </c>
      <c r="MI7" t="s">
        <v>372</v>
      </c>
      <c r="MJ7" t="s">
        <v>372</v>
      </c>
      <c r="MK7" t="s">
        <v>597</v>
      </c>
      <c r="ML7" t="s">
        <v>372</v>
      </c>
      <c r="MM7" t="s">
        <v>382</v>
      </c>
      <c r="MN7" t="s">
        <v>372</v>
      </c>
      <c r="MO7" t="s">
        <v>372</v>
      </c>
      <c r="MP7">
        <v>5</v>
      </c>
      <c r="MQ7">
        <v>9</v>
      </c>
      <c r="MR7">
        <v>3</v>
      </c>
      <c r="MS7" t="s">
        <v>671</v>
      </c>
      <c r="MT7" t="s">
        <v>672</v>
      </c>
      <c r="MU7" t="s">
        <v>673</v>
      </c>
      <c r="MV7" t="s">
        <v>674</v>
      </c>
      <c r="MW7" t="s">
        <v>372</v>
      </c>
      <c r="MX7" t="s">
        <v>372</v>
      </c>
      <c r="MY7" t="s">
        <v>372</v>
      </c>
      <c r="MZ7" t="s">
        <v>634</v>
      </c>
      <c r="NA7" t="s">
        <v>382</v>
      </c>
    </row>
    <row r="8" spans="1:365">
      <c r="A8" t="s">
        <v>675</v>
      </c>
      <c r="B8" s="8">
        <v>46104</v>
      </c>
      <c r="C8">
        <v>0</v>
      </c>
      <c r="D8">
        <v>62</v>
      </c>
      <c r="E8" t="s">
        <v>676</v>
      </c>
      <c r="F8" t="s">
        <v>677</v>
      </c>
      <c r="G8" t="s">
        <v>678</v>
      </c>
      <c r="H8" t="s">
        <v>679</v>
      </c>
      <c r="I8" t="s">
        <v>680</v>
      </c>
      <c r="J8" t="s">
        <v>681</v>
      </c>
      <c r="K8" t="s">
        <v>682</v>
      </c>
      <c r="L8" t="s">
        <v>396</v>
      </c>
      <c r="M8" t="s">
        <v>683</v>
      </c>
      <c r="N8" t="s">
        <v>684</v>
      </c>
      <c r="O8" t="s">
        <v>685</v>
      </c>
      <c r="P8" t="s">
        <v>372</v>
      </c>
      <c r="Q8" t="s">
        <v>381</v>
      </c>
      <c r="R8" t="s">
        <v>379</v>
      </c>
      <c r="S8" t="s">
        <v>379</v>
      </c>
      <c r="T8" t="s">
        <v>379</v>
      </c>
      <c r="U8" t="s">
        <v>379</v>
      </c>
      <c r="V8" t="s">
        <v>379</v>
      </c>
      <c r="W8" t="s">
        <v>380</v>
      </c>
      <c r="X8" t="s">
        <v>380</v>
      </c>
      <c r="Y8" t="s">
        <v>379</v>
      </c>
      <c r="Z8" t="s">
        <v>382</v>
      </c>
      <c r="AA8" t="s">
        <v>382</v>
      </c>
      <c r="AB8" t="s">
        <v>686</v>
      </c>
      <c r="AC8" t="s">
        <v>382</v>
      </c>
      <c r="AD8" t="s">
        <v>382</v>
      </c>
      <c r="AE8" t="s">
        <v>382</v>
      </c>
      <c r="AF8" t="s">
        <v>382</v>
      </c>
      <c r="AG8" t="s">
        <v>382</v>
      </c>
      <c r="AH8" t="s">
        <v>380</v>
      </c>
      <c r="AI8" t="s">
        <v>382</v>
      </c>
      <c r="AJ8" t="s">
        <v>382</v>
      </c>
      <c r="AK8" t="s">
        <v>382</v>
      </c>
      <c r="AL8" t="s">
        <v>380</v>
      </c>
      <c r="AM8" t="s">
        <v>687</v>
      </c>
      <c r="AN8" t="s">
        <v>382</v>
      </c>
      <c r="AO8" t="s">
        <v>688</v>
      </c>
      <c r="AP8" t="s">
        <v>382</v>
      </c>
      <c r="AQ8" t="s">
        <v>689</v>
      </c>
      <c r="AR8" t="s">
        <v>382</v>
      </c>
      <c r="AS8" t="s">
        <v>689</v>
      </c>
      <c r="AT8" t="s">
        <v>382</v>
      </c>
      <c r="AU8" t="s">
        <v>379</v>
      </c>
      <c r="AV8" t="s">
        <v>382</v>
      </c>
      <c r="AW8" t="s">
        <v>382</v>
      </c>
      <c r="AX8" t="s">
        <v>383</v>
      </c>
      <c r="AY8">
        <v>1</v>
      </c>
      <c r="AZ8" t="s">
        <v>382</v>
      </c>
      <c r="BA8" t="s">
        <v>496</v>
      </c>
      <c r="BB8" t="s">
        <v>451</v>
      </c>
      <c r="BC8" t="s">
        <v>452</v>
      </c>
      <c r="BD8" t="s">
        <v>387</v>
      </c>
      <c r="BE8" t="s">
        <v>388</v>
      </c>
      <c r="BF8">
        <v>1</v>
      </c>
      <c r="BG8" t="s">
        <v>389</v>
      </c>
      <c r="BH8" t="s">
        <v>382</v>
      </c>
      <c r="BI8" t="s">
        <v>382</v>
      </c>
      <c r="BJ8" t="s">
        <v>690</v>
      </c>
      <c r="BK8" t="s">
        <v>382</v>
      </c>
      <c r="BL8" t="s">
        <v>382</v>
      </c>
      <c r="BM8" t="s">
        <v>382</v>
      </c>
      <c r="BN8" t="s">
        <v>382</v>
      </c>
      <c r="BO8" t="s">
        <v>382</v>
      </c>
      <c r="BP8" t="s">
        <v>382</v>
      </c>
      <c r="BQ8" t="s">
        <v>382</v>
      </c>
      <c r="BR8" t="s">
        <v>382</v>
      </c>
      <c r="BS8" t="s">
        <v>382</v>
      </c>
      <c r="BT8" t="s">
        <v>382</v>
      </c>
      <c r="BU8" t="s">
        <v>691</v>
      </c>
      <c r="BV8" t="s">
        <v>382</v>
      </c>
      <c r="BW8" t="s">
        <v>692</v>
      </c>
      <c r="BX8" t="s">
        <v>382</v>
      </c>
      <c r="BY8" t="s">
        <v>382</v>
      </c>
      <c r="BZ8" t="s">
        <v>382</v>
      </c>
      <c r="CA8" t="s">
        <v>693</v>
      </c>
      <c r="CB8" t="s">
        <v>382</v>
      </c>
      <c r="CC8" t="s">
        <v>382</v>
      </c>
      <c r="CD8" t="s">
        <v>382</v>
      </c>
      <c r="CE8" t="s">
        <v>382</v>
      </c>
      <c r="CF8">
        <v>1</v>
      </c>
      <c r="CG8">
        <v>2</v>
      </c>
      <c r="CH8">
        <v>3</v>
      </c>
      <c r="CI8" t="s">
        <v>396</v>
      </c>
      <c r="CJ8" t="s">
        <v>379</v>
      </c>
      <c r="CK8" t="s">
        <v>394</v>
      </c>
      <c r="CL8" t="s">
        <v>395</v>
      </c>
      <c r="CM8" t="s">
        <v>393</v>
      </c>
      <c r="CN8" t="s">
        <v>395</v>
      </c>
      <c r="CO8" t="s">
        <v>397</v>
      </c>
      <c r="CP8" t="s">
        <v>395</v>
      </c>
      <c r="CQ8" t="s">
        <v>379</v>
      </c>
      <c r="CR8" t="s">
        <v>379</v>
      </c>
      <c r="CS8" t="s">
        <v>395</v>
      </c>
      <c r="CT8" t="s">
        <v>398</v>
      </c>
      <c r="CU8" t="s">
        <v>398</v>
      </c>
      <c r="CV8" t="s">
        <v>694</v>
      </c>
      <c r="CW8" t="s">
        <v>378</v>
      </c>
      <c r="CX8" t="s">
        <v>382</v>
      </c>
      <c r="CY8">
        <v>4</v>
      </c>
      <c r="CZ8" t="s">
        <v>695</v>
      </c>
      <c r="DA8" t="s">
        <v>401</v>
      </c>
      <c r="DB8" t="s">
        <v>401</v>
      </c>
      <c r="DC8" t="s">
        <v>401</v>
      </c>
      <c r="DD8" t="s">
        <v>401</v>
      </c>
      <c r="DE8" t="s">
        <v>696</v>
      </c>
      <c r="DF8" t="s">
        <v>401</v>
      </c>
      <c r="DG8" t="s">
        <v>381</v>
      </c>
      <c r="DH8" t="s">
        <v>381</v>
      </c>
      <c r="DI8" t="s">
        <v>381</v>
      </c>
      <c r="DJ8" t="s">
        <v>381</v>
      </c>
      <c r="DK8" t="s">
        <v>697</v>
      </c>
      <c r="DL8" t="s">
        <v>698</v>
      </c>
      <c r="DM8" t="s">
        <v>699</v>
      </c>
      <c r="DN8" t="s">
        <v>700</v>
      </c>
      <c r="DO8" t="s">
        <v>701</v>
      </c>
      <c r="DP8" t="s">
        <v>702</v>
      </c>
      <c r="DQ8" t="s">
        <v>504</v>
      </c>
      <c r="DR8" t="s">
        <v>703</v>
      </c>
      <c r="DS8" t="s">
        <v>704</v>
      </c>
      <c r="DT8" t="s">
        <v>507</v>
      </c>
      <c r="DU8" t="s">
        <v>705</v>
      </c>
      <c r="DV8" t="s">
        <v>706</v>
      </c>
      <c r="DW8" t="s">
        <v>707</v>
      </c>
      <c r="DX8" t="s">
        <v>708</v>
      </c>
      <c r="DY8" t="s">
        <v>709</v>
      </c>
      <c r="DZ8" t="s">
        <v>710</v>
      </c>
      <c r="EA8" t="s">
        <v>711</v>
      </c>
      <c r="EB8" t="s">
        <v>712</v>
      </c>
      <c r="EC8" t="s">
        <v>713</v>
      </c>
      <c r="ED8" t="s">
        <v>714</v>
      </c>
      <c r="EE8" t="s">
        <v>372</v>
      </c>
      <c r="EF8" t="s">
        <v>372</v>
      </c>
      <c r="EG8" t="s">
        <v>372</v>
      </c>
      <c r="EH8" t="s">
        <v>372</v>
      </c>
      <c r="EI8" t="s">
        <v>372</v>
      </c>
      <c r="EJ8" t="s">
        <v>372</v>
      </c>
      <c r="EK8" t="s">
        <v>372</v>
      </c>
      <c r="EL8" t="s">
        <v>372</v>
      </c>
      <c r="EM8" t="s">
        <v>372</v>
      </c>
      <c r="EN8" t="s">
        <v>372</v>
      </c>
      <c r="EO8" t="s">
        <v>715</v>
      </c>
      <c r="EP8" t="s">
        <v>715</v>
      </c>
      <c r="EQ8" t="s">
        <v>715</v>
      </c>
      <c r="ER8" t="s">
        <v>649</v>
      </c>
      <c r="ES8" t="s">
        <v>513</v>
      </c>
      <c r="ET8" t="s">
        <v>716</v>
      </c>
      <c r="EU8" t="s">
        <v>514</v>
      </c>
      <c r="EV8" t="s">
        <v>717</v>
      </c>
      <c r="EW8" t="s">
        <v>718</v>
      </c>
      <c r="EX8" t="s">
        <v>517</v>
      </c>
      <c r="EY8" t="s">
        <v>719</v>
      </c>
      <c r="EZ8" t="s">
        <v>720</v>
      </c>
      <c r="FA8" t="s">
        <v>721</v>
      </c>
      <c r="FB8" t="s">
        <v>722</v>
      </c>
      <c r="FC8" t="s">
        <v>723</v>
      </c>
      <c r="FD8" t="s">
        <v>724</v>
      </c>
      <c r="FE8" t="s">
        <v>725</v>
      </c>
      <c r="FF8" t="s">
        <v>726</v>
      </c>
      <c r="FG8" t="s">
        <v>727</v>
      </c>
      <c r="FH8" t="s">
        <v>728</v>
      </c>
      <c r="FI8" t="s">
        <v>372</v>
      </c>
      <c r="FJ8" t="s">
        <v>372</v>
      </c>
      <c r="FK8" t="s">
        <v>372</v>
      </c>
      <c r="FL8" t="s">
        <v>372</v>
      </c>
      <c r="FM8" t="s">
        <v>372</v>
      </c>
      <c r="FN8" t="s">
        <v>372</v>
      </c>
      <c r="FO8" t="s">
        <v>372</v>
      </c>
      <c r="FP8" t="s">
        <v>372</v>
      </c>
      <c r="FQ8" t="s">
        <v>372</v>
      </c>
      <c r="FR8" t="s">
        <v>372</v>
      </c>
      <c r="FS8" t="s">
        <v>611</v>
      </c>
      <c r="FT8" t="s">
        <v>650</v>
      </c>
      <c r="FU8" t="s">
        <v>412</v>
      </c>
      <c r="FV8" t="s">
        <v>413</v>
      </c>
      <c r="FW8" t="s">
        <v>525</v>
      </c>
      <c r="FX8" t="s">
        <v>372</v>
      </c>
      <c r="FY8" t="s">
        <v>372</v>
      </c>
      <c r="FZ8" t="s">
        <v>372</v>
      </c>
      <c r="GA8" t="s">
        <v>372</v>
      </c>
      <c r="GB8" t="s">
        <v>372</v>
      </c>
      <c r="GC8" t="s">
        <v>372</v>
      </c>
      <c r="GD8" t="s">
        <v>372</v>
      </c>
      <c r="GE8" t="s">
        <v>372</v>
      </c>
      <c r="GF8" t="s">
        <v>372</v>
      </c>
      <c r="GG8" t="s">
        <v>372</v>
      </c>
      <c r="GH8" t="s">
        <v>372</v>
      </c>
      <c r="GI8" t="s">
        <v>372</v>
      </c>
      <c r="GJ8" t="s">
        <v>372</v>
      </c>
      <c r="GK8" t="s">
        <v>372</v>
      </c>
      <c r="GL8" t="s">
        <v>372</v>
      </c>
      <c r="GM8" t="s">
        <v>372</v>
      </c>
      <c r="GN8" t="s">
        <v>372</v>
      </c>
      <c r="GO8" t="s">
        <v>528</v>
      </c>
      <c r="GP8" t="s">
        <v>729</v>
      </c>
      <c r="GQ8" t="s">
        <v>372</v>
      </c>
      <c r="GR8" t="s">
        <v>372</v>
      </c>
      <c r="GS8" t="s">
        <v>372</v>
      </c>
      <c r="GT8" t="s">
        <v>372</v>
      </c>
      <c r="GU8" t="s">
        <v>372</v>
      </c>
      <c r="GV8" t="s">
        <v>372</v>
      </c>
      <c r="GW8" t="s">
        <v>372</v>
      </c>
      <c r="GX8" t="s">
        <v>372</v>
      </c>
      <c r="GY8" t="s">
        <v>372</v>
      </c>
      <c r="GZ8" t="s">
        <v>372</v>
      </c>
      <c r="HA8" t="s">
        <v>372</v>
      </c>
      <c r="HB8" t="s">
        <v>372</v>
      </c>
      <c r="HC8" t="s">
        <v>372</v>
      </c>
      <c r="HD8" t="s">
        <v>372</v>
      </c>
      <c r="HE8" t="s">
        <v>372</v>
      </c>
      <c r="HF8" t="s">
        <v>372</v>
      </c>
      <c r="HG8" t="s">
        <v>372</v>
      </c>
      <c r="HH8" t="s">
        <v>372</v>
      </c>
      <c r="HI8" t="s">
        <v>381</v>
      </c>
      <c r="HJ8" t="s">
        <v>379</v>
      </c>
      <c r="HK8" t="s">
        <v>398</v>
      </c>
      <c r="HL8" t="s">
        <v>382</v>
      </c>
      <c r="HM8" t="s">
        <v>382</v>
      </c>
      <c r="HN8" t="s">
        <v>382</v>
      </c>
      <c r="HO8" t="s">
        <v>382</v>
      </c>
      <c r="HP8" t="s">
        <v>382</v>
      </c>
      <c r="HQ8" t="s">
        <v>382</v>
      </c>
      <c r="HR8" t="s">
        <v>382</v>
      </c>
      <c r="HS8" t="s">
        <v>382</v>
      </c>
      <c r="HT8" t="s">
        <v>382</v>
      </c>
      <c r="HU8" t="s">
        <v>382</v>
      </c>
      <c r="HV8" t="s">
        <v>382</v>
      </c>
      <c r="HW8" t="s">
        <v>382</v>
      </c>
      <c r="HX8" t="s">
        <v>382</v>
      </c>
      <c r="HY8" t="s">
        <v>382</v>
      </c>
      <c r="HZ8" t="s">
        <v>382</v>
      </c>
      <c r="IA8" t="s">
        <v>382</v>
      </c>
      <c r="IB8" t="s">
        <v>382</v>
      </c>
      <c r="IC8" t="s">
        <v>395</v>
      </c>
      <c r="ID8" t="s">
        <v>395</v>
      </c>
      <c r="IE8" t="s">
        <v>381</v>
      </c>
      <c r="IF8" t="s">
        <v>395</v>
      </c>
      <c r="IG8" t="s">
        <v>395</v>
      </c>
      <c r="IH8" t="s">
        <v>381</v>
      </c>
      <c r="II8" t="s">
        <v>398</v>
      </c>
      <c r="IJ8" t="s">
        <v>395</v>
      </c>
      <c r="IK8" t="s">
        <v>395</v>
      </c>
      <c r="IL8" t="s">
        <v>395</v>
      </c>
      <c r="IM8" t="s">
        <v>395</v>
      </c>
      <c r="IN8" t="s">
        <v>395</v>
      </c>
      <c r="IO8" t="s">
        <v>395</v>
      </c>
      <c r="IP8" t="s">
        <v>395</v>
      </c>
      <c r="IQ8" t="s">
        <v>395</v>
      </c>
      <c r="IR8" t="s">
        <v>395</v>
      </c>
      <c r="IS8" t="s">
        <v>395</v>
      </c>
      <c r="IT8" t="s">
        <v>418</v>
      </c>
      <c r="IU8" t="s">
        <v>580</v>
      </c>
      <c r="IV8" t="s">
        <v>419</v>
      </c>
      <c r="IW8" t="s">
        <v>420</v>
      </c>
      <c r="IX8" t="s">
        <v>421</v>
      </c>
      <c r="IY8" t="s">
        <v>730</v>
      </c>
      <c r="IZ8" t="s">
        <v>731</v>
      </c>
      <c r="JA8" t="s">
        <v>732</v>
      </c>
      <c r="JB8" t="s">
        <v>733</v>
      </c>
      <c r="JC8" t="s">
        <v>734</v>
      </c>
      <c r="JD8" t="s">
        <v>735</v>
      </c>
      <c r="JE8" t="s">
        <v>736</v>
      </c>
      <c r="JF8" t="s">
        <v>372</v>
      </c>
      <c r="JG8" t="s">
        <v>372</v>
      </c>
      <c r="JH8" t="s">
        <v>372</v>
      </c>
      <c r="JI8" t="s">
        <v>372</v>
      </c>
      <c r="JJ8" t="s">
        <v>372</v>
      </c>
      <c r="JK8" t="s">
        <v>372</v>
      </c>
      <c r="JL8" t="s">
        <v>372</v>
      </c>
      <c r="JM8" t="s">
        <v>372</v>
      </c>
      <c r="JN8" t="s">
        <v>372</v>
      </c>
      <c r="JO8" t="s">
        <v>372</v>
      </c>
      <c r="JP8" t="s">
        <v>372</v>
      </c>
      <c r="JQ8" t="s">
        <v>372</v>
      </c>
      <c r="JR8" t="s">
        <v>372</v>
      </c>
      <c r="JS8" t="s">
        <v>372</v>
      </c>
      <c r="JT8" t="s">
        <v>372</v>
      </c>
      <c r="JU8" t="s">
        <v>372</v>
      </c>
      <c r="JV8" t="s">
        <v>372</v>
      </c>
      <c r="JW8" t="s">
        <v>372</v>
      </c>
      <c r="JX8" t="s">
        <v>426</v>
      </c>
      <c r="JY8" t="s">
        <v>427</v>
      </c>
      <c r="JZ8" t="s">
        <v>427</v>
      </c>
      <c r="KA8" t="s">
        <v>737</v>
      </c>
      <c r="KB8" t="s">
        <v>429</v>
      </c>
      <c r="KC8" t="s">
        <v>738</v>
      </c>
      <c r="KD8" t="s">
        <v>739</v>
      </c>
      <c r="KE8" t="s">
        <v>740</v>
      </c>
      <c r="KF8" t="s">
        <v>372</v>
      </c>
      <c r="KG8" t="s">
        <v>372</v>
      </c>
      <c r="KH8" t="s">
        <v>372</v>
      </c>
      <c r="KI8" t="s">
        <v>372</v>
      </c>
      <c r="KJ8" t="s">
        <v>372</v>
      </c>
      <c r="KK8" t="s">
        <v>372</v>
      </c>
      <c r="KL8" t="s">
        <v>372</v>
      </c>
      <c r="KM8" t="s">
        <v>372</v>
      </c>
      <c r="KN8" t="s">
        <v>372</v>
      </c>
      <c r="KO8" t="s">
        <v>372</v>
      </c>
      <c r="KP8" t="s">
        <v>372</v>
      </c>
      <c r="KQ8" t="s">
        <v>372</v>
      </c>
      <c r="KR8" t="s">
        <v>372</v>
      </c>
      <c r="KS8" t="s">
        <v>372</v>
      </c>
      <c r="KT8" t="s">
        <v>372</v>
      </c>
      <c r="KU8" t="s">
        <v>372</v>
      </c>
      <c r="KV8" t="s">
        <v>372</v>
      </c>
      <c r="KW8" t="s">
        <v>372</v>
      </c>
      <c r="KX8" t="s">
        <v>372</v>
      </c>
      <c r="KY8" t="s">
        <v>372</v>
      </c>
      <c r="KZ8" t="s">
        <v>372</v>
      </c>
      <c r="LA8" t="s">
        <v>372</v>
      </c>
      <c r="LB8" t="s">
        <v>431</v>
      </c>
      <c r="LC8" t="s">
        <v>590</v>
      </c>
      <c r="LD8" t="s">
        <v>432</v>
      </c>
      <c r="LE8" t="s">
        <v>433</v>
      </c>
      <c r="LF8" t="s">
        <v>434</v>
      </c>
      <c r="LG8" t="s">
        <v>741</v>
      </c>
      <c r="LH8" t="s">
        <v>742</v>
      </c>
      <c r="LI8" t="s">
        <v>743</v>
      </c>
      <c r="LJ8" t="s">
        <v>744</v>
      </c>
      <c r="LK8" t="s">
        <v>745</v>
      </c>
      <c r="LL8" t="s">
        <v>746</v>
      </c>
      <c r="LM8" t="s">
        <v>747</v>
      </c>
      <c r="LN8" t="s">
        <v>372</v>
      </c>
      <c r="LO8" t="s">
        <v>372</v>
      </c>
      <c r="LP8" t="s">
        <v>372</v>
      </c>
      <c r="LQ8" t="s">
        <v>372</v>
      </c>
      <c r="LR8" t="s">
        <v>372</v>
      </c>
      <c r="LS8" t="s">
        <v>372</v>
      </c>
      <c r="LT8" t="s">
        <v>372</v>
      </c>
      <c r="LU8" t="s">
        <v>372</v>
      </c>
      <c r="LV8" t="s">
        <v>372</v>
      </c>
      <c r="LW8" t="s">
        <v>372</v>
      </c>
      <c r="LX8" t="s">
        <v>372</v>
      </c>
      <c r="LY8" t="s">
        <v>372</v>
      </c>
      <c r="LZ8" t="s">
        <v>372</v>
      </c>
      <c r="MA8" t="s">
        <v>372</v>
      </c>
      <c r="MB8" t="s">
        <v>372</v>
      </c>
      <c r="MC8" t="s">
        <v>372</v>
      </c>
      <c r="MD8" t="s">
        <v>372</v>
      </c>
      <c r="ME8" t="s">
        <v>372</v>
      </c>
      <c r="MF8" t="s">
        <v>748</v>
      </c>
      <c r="MG8" t="s">
        <v>372</v>
      </c>
      <c r="MH8" t="s">
        <v>439</v>
      </c>
      <c r="MI8" t="s">
        <v>372</v>
      </c>
      <c r="MJ8" t="s">
        <v>372</v>
      </c>
      <c r="MK8" t="s">
        <v>749</v>
      </c>
      <c r="ML8" t="s">
        <v>372</v>
      </c>
      <c r="MM8" t="s">
        <v>441</v>
      </c>
      <c r="MN8" t="s">
        <v>372</v>
      </c>
      <c r="MO8" t="s">
        <v>372</v>
      </c>
      <c r="MP8">
        <v>5</v>
      </c>
      <c r="MQ8">
        <v>11</v>
      </c>
      <c r="MR8">
        <v>5</v>
      </c>
      <c r="MS8" t="s">
        <v>750</v>
      </c>
      <c r="MT8" t="s">
        <v>751</v>
      </c>
      <c r="MU8" t="s">
        <v>752</v>
      </c>
      <c r="MV8" t="s">
        <v>753</v>
      </c>
      <c r="MW8" t="s">
        <v>372</v>
      </c>
      <c r="MX8" t="s">
        <v>372</v>
      </c>
      <c r="MY8" t="s">
        <v>372</v>
      </c>
      <c r="MZ8" t="s">
        <v>754</v>
      </c>
      <c r="NA8" t="s">
        <v>382</v>
      </c>
    </row>
    <row r="9" spans="1:365">
      <c r="A9" t="s">
        <v>755</v>
      </c>
      <c r="B9" s="8">
        <v>46104</v>
      </c>
      <c r="C9">
        <v>0</v>
      </c>
      <c r="D9">
        <v>40</v>
      </c>
      <c r="E9" t="s">
        <v>756</v>
      </c>
      <c r="F9" t="s">
        <v>757</v>
      </c>
      <c r="G9" t="s">
        <v>758</v>
      </c>
      <c r="H9" t="s">
        <v>552</v>
      </c>
      <c r="I9" t="s">
        <v>370</v>
      </c>
      <c r="J9" t="s">
        <v>371</v>
      </c>
      <c r="K9" t="s">
        <v>372</v>
      </c>
      <c r="L9" t="s">
        <v>556</v>
      </c>
      <c r="M9" t="s">
        <v>557</v>
      </c>
      <c r="N9" t="s">
        <v>375</v>
      </c>
      <c r="O9" t="s">
        <v>759</v>
      </c>
      <c r="P9" t="s">
        <v>372</v>
      </c>
      <c r="Q9" t="s">
        <v>378</v>
      </c>
      <c r="R9" t="s">
        <v>379</v>
      </c>
      <c r="S9" t="s">
        <v>380</v>
      </c>
      <c r="T9" t="s">
        <v>381</v>
      </c>
      <c r="U9" t="s">
        <v>379</v>
      </c>
      <c r="V9" t="s">
        <v>380</v>
      </c>
      <c r="W9" t="s">
        <v>380</v>
      </c>
      <c r="X9" t="s">
        <v>380</v>
      </c>
      <c r="Y9" t="s">
        <v>379</v>
      </c>
      <c r="Z9" t="s">
        <v>378</v>
      </c>
      <c r="AA9" t="s">
        <v>382</v>
      </c>
      <c r="AB9" t="s">
        <v>382</v>
      </c>
      <c r="AC9" t="s">
        <v>687</v>
      </c>
      <c r="AD9" t="s">
        <v>382</v>
      </c>
      <c r="AE9" t="s">
        <v>378</v>
      </c>
      <c r="AF9" t="s">
        <v>382</v>
      </c>
      <c r="AG9" t="s">
        <v>382</v>
      </c>
      <c r="AH9" t="s">
        <v>382</v>
      </c>
      <c r="AI9" t="s">
        <v>382</v>
      </c>
      <c r="AJ9" t="s">
        <v>382</v>
      </c>
      <c r="AK9" t="s">
        <v>381</v>
      </c>
      <c r="AL9" t="s">
        <v>382</v>
      </c>
      <c r="AM9" t="s">
        <v>687</v>
      </c>
      <c r="AN9" t="s">
        <v>382</v>
      </c>
      <c r="AO9" t="s">
        <v>382</v>
      </c>
      <c r="AP9" t="s">
        <v>382</v>
      </c>
      <c r="AQ9" t="s">
        <v>760</v>
      </c>
      <c r="AR9" t="s">
        <v>382</v>
      </c>
      <c r="AS9" t="s">
        <v>382</v>
      </c>
      <c r="AT9" t="s">
        <v>382</v>
      </c>
      <c r="AU9" t="s">
        <v>382</v>
      </c>
      <c r="AV9" t="s">
        <v>382</v>
      </c>
      <c r="AW9" t="s">
        <v>381</v>
      </c>
      <c r="AX9" t="s">
        <v>560</v>
      </c>
      <c r="AY9">
        <v>2</v>
      </c>
      <c r="AZ9" t="s">
        <v>561</v>
      </c>
      <c r="BA9" t="s">
        <v>384</v>
      </c>
      <c r="BB9" t="s">
        <v>611</v>
      </c>
      <c r="BC9" t="s">
        <v>612</v>
      </c>
      <c r="BD9" t="s">
        <v>523</v>
      </c>
      <c r="BE9" t="s">
        <v>563</v>
      </c>
      <c r="BF9">
        <v>2</v>
      </c>
      <c r="BG9" t="s">
        <v>389</v>
      </c>
      <c r="BH9" t="s">
        <v>761</v>
      </c>
      <c r="BI9" t="s">
        <v>382</v>
      </c>
      <c r="BJ9" t="s">
        <v>382</v>
      </c>
      <c r="BK9" t="s">
        <v>762</v>
      </c>
      <c r="BL9" t="s">
        <v>382</v>
      </c>
      <c r="BM9" t="s">
        <v>382</v>
      </c>
      <c r="BN9" t="s">
        <v>382</v>
      </c>
      <c r="BO9" t="s">
        <v>382</v>
      </c>
      <c r="BP9" t="s">
        <v>382</v>
      </c>
      <c r="BQ9" t="s">
        <v>382</v>
      </c>
      <c r="BR9" t="s">
        <v>382</v>
      </c>
      <c r="BS9" t="s">
        <v>763</v>
      </c>
      <c r="BT9" t="s">
        <v>382</v>
      </c>
      <c r="BU9" t="s">
        <v>764</v>
      </c>
      <c r="BV9" t="s">
        <v>382</v>
      </c>
      <c r="BW9" t="s">
        <v>382</v>
      </c>
      <c r="BX9" t="s">
        <v>382</v>
      </c>
      <c r="BY9" t="s">
        <v>392</v>
      </c>
      <c r="BZ9" t="s">
        <v>382</v>
      </c>
      <c r="CA9" t="s">
        <v>382</v>
      </c>
      <c r="CB9" t="s">
        <v>382</v>
      </c>
      <c r="CC9" t="s">
        <v>382</v>
      </c>
      <c r="CD9" t="s">
        <v>382</v>
      </c>
      <c r="CE9" t="s">
        <v>382</v>
      </c>
      <c r="CF9">
        <v>2</v>
      </c>
      <c r="CG9">
        <v>2</v>
      </c>
      <c r="CH9">
        <v>3</v>
      </c>
      <c r="CI9" t="s">
        <v>397</v>
      </c>
      <c r="CJ9" t="s">
        <v>379</v>
      </c>
      <c r="CK9" t="s">
        <v>394</v>
      </c>
      <c r="CL9" t="s">
        <v>395</v>
      </c>
      <c r="CM9" t="s">
        <v>393</v>
      </c>
      <c r="CN9" t="s">
        <v>395</v>
      </c>
      <c r="CO9" t="s">
        <v>396</v>
      </c>
      <c r="CP9" t="s">
        <v>395</v>
      </c>
      <c r="CQ9" t="s">
        <v>395</v>
      </c>
      <c r="CR9" t="s">
        <v>395</v>
      </c>
      <c r="CS9" t="s">
        <v>395</v>
      </c>
      <c r="CT9" t="s">
        <v>381</v>
      </c>
      <c r="CU9" t="s">
        <v>395</v>
      </c>
      <c r="CV9" t="s">
        <v>382</v>
      </c>
      <c r="CW9" t="s">
        <v>378</v>
      </c>
      <c r="CX9" t="s">
        <v>765</v>
      </c>
      <c r="CY9">
        <v>7</v>
      </c>
      <c r="CZ9" t="s">
        <v>400</v>
      </c>
      <c r="DA9" t="s">
        <v>401</v>
      </c>
      <c r="DB9" t="s">
        <v>401</v>
      </c>
      <c r="DC9" t="s">
        <v>401</v>
      </c>
      <c r="DD9" t="s">
        <v>381</v>
      </c>
      <c r="DE9" t="s">
        <v>766</v>
      </c>
      <c r="DF9" t="s">
        <v>381</v>
      </c>
      <c r="DG9" t="s">
        <v>381</v>
      </c>
      <c r="DH9" t="s">
        <v>381</v>
      </c>
      <c r="DI9" t="s">
        <v>381</v>
      </c>
      <c r="DJ9" t="s">
        <v>381</v>
      </c>
      <c r="DK9" t="s">
        <v>568</v>
      </c>
      <c r="DL9" t="s">
        <v>372</v>
      </c>
      <c r="DM9" t="s">
        <v>372</v>
      </c>
      <c r="DN9" t="s">
        <v>372</v>
      </c>
      <c r="DO9" t="s">
        <v>372</v>
      </c>
      <c r="DP9" t="s">
        <v>372</v>
      </c>
      <c r="DQ9" t="s">
        <v>372</v>
      </c>
      <c r="DR9" t="s">
        <v>372</v>
      </c>
      <c r="DS9" t="s">
        <v>372</v>
      </c>
      <c r="DT9" t="s">
        <v>372</v>
      </c>
      <c r="DU9" t="s">
        <v>372</v>
      </c>
      <c r="DV9" t="s">
        <v>372</v>
      </c>
      <c r="DW9" t="s">
        <v>372</v>
      </c>
      <c r="DX9" t="s">
        <v>372</v>
      </c>
      <c r="DY9" t="s">
        <v>372</v>
      </c>
      <c r="DZ9" t="s">
        <v>372</v>
      </c>
      <c r="EA9" t="s">
        <v>372</v>
      </c>
      <c r="EB9" t="s">
        <v>372</v>
      </c>
      <c r="EC9" t="s">
        <v>372</v>
      </c>
      <c r="ED9" t="s">
        <v>372</v>
      </c>
      <c r="EE9" t="s">
        <v>372</v>
      </c>
      <c r="EF9" t="s">
        <v>372</v>
      </c>
      <c r="EG9" t="s">
        <v>372</v>
      </c>
      <c r="EH9" t="s">
        <v>372</v>
      </c>
      <c r="EI9" t="s">
        <v>372</v>
      </c>
      <c r="EJ9" t="s">
        <v>372</v>
      </c>
      <c r="EK9" t="s">
        <v>372</v>
      </c>
      <c r="EL9" t="s">
        <v>372</v>
      </c>
      <c r="EM9" t="s">
        <v>372</v>
      </c>
      <c r="EN9" t="s">
        <v>372</v>
      </c>
      <c r="EO9" t="s">
        <v>574</v>
      </c>
      <c r="EP9" t="s">
        <v>372</v>
      </c>
      <c r="EQ9" t="s">
        <v>372</v>
      </c>
      <c r="ER9" t="s">
        <v>372</v>
      </c>
      <c r="ES9" t="s">
        <v>372</v>
      </c>
      <c r="ET9" t="s">
        <v>372</v>
      </c>
      <c r="EU9" t="s">
        <v>372</v>
      </c>
      <c r="EV9" t="s">
        <v>372</v>
      </c>
      <c r="EW9" t="s">
        <v>372</v>
      </c>
      <c r="EX9" t="s">
        <v>372</v>
      </c>
      <c r="EY9" t="s">
        <v>372</v>
      </c>
      <c r="EZ9" t="s">
        <v>372</v>
      </c>
      <c r="FA9" t="s">
        <v>372</v>
      </c>
      <c r="FB9" t="s">
        <v>372</v>
      </c>
      <c r="FC9" t="s">
        <v>372</v>
      </c>
      <c r="FD9" t="s">
        <v>372</v>
      </c>
      <c r="FE9" t="s">
        <v>372</v>
      </c>
      <c r="FF9" t="s">
        <v>372</v>
      </c>
      <c r="FG9" t="s">
        <v>372</v>
      </c>
      <c r="FH9" t="s">
        <v>372</v>
      </c>
      <c r="FI9" t="s">
        <v>372</v>
      </c>
      <c r="FJ9" t="s">
        <v>372</v>
      </c>
      <c r="FK9" t="s">
        <v>372</v>
      </c>
      <c r="FL9" t="s">
        <v>372</v>
      </c>
      <c r="FM9" t="s">
        <v>372</v>
      </c>
      <c r="FN9" t="s">
        <v>372</v>
      </c>
      <c r="FO9" t="s">
        <v>372</v>
      </c>
      <c r="FP9" t="s">
        <v>372</v>
      </c>
      <c r="FQ9" t="s">
        <v>372</v>
      </c>
      <c r="FR9" t="s">
        <v>372</v>
      </c>
      <c r="FS9" t="s">
        <v>611</v>
      </c>
      <c r="FT9" t="s">
        <v>650</v>
      </c>
      <c r="FU9" t="s">
        <v>413</v>
      </c>
      <c r="FV9" t="s">
        <v>372</v>
      </c>
      <c r="FW9" t="s">
        <v>372</v>
      </c>
      <c r="FX9" t="s">
        <v>372</v>
      </c>
      <c r="FY9" t="s">
        <v>372</v>
      </c>
      <c r="FZ9" t="s">
        <v>372</v>
      </c>
      <c r="GA9" t="s">
        <v>372</v>
      </c>
      <c r="GB9" t="s">
        <v>372</v>
      </c>
      <c r="GC9" t="s">
        <v>372</v>
      </c>
      <c r="GD9" t="s">
        <v>372</v>
      </c>
      <c r="GE9" t="s">
        <v>372</v>
      </c>
      <c r="GF9" t="s">
        <v>372</v>
      </c>
      <c r="GG9" t="s">
        <v>372</v>
      </c>
      <c r="GH9" t="s">
        <v>372</v>
      </c>
      <c r="GI9" t="s">
        <v>372</v>
      </c>
      <c r="GJ9" t="s">
        <v>372</v>
      </c>
      <c r="GK9" t="s">
        <v>372</v>
      </c>
      <c r="GL9" t="s">
        <v>372</v>
      </c>
      <c r="GM9" t="s">
        <v>372</v>
      </c>
      <c r="GN9" t="s">
        <v>372</v>
      </c>
      <c r="GO9" t="s">
        <v>767</v>
      </c>
      <c r="GP9" t="s">
        <v>372</v>
      </c>
      <c r="GQ9" t="s">
        <v>372</v>
      </c>
      <c r="GR9" t="s">
        <v>372</v>
      </c>
      <c r="GS9" t="s">
        <v>372</v>
      </c>
      <c r="GT9" t="s">
        <v>372</v>
      </c>
      <c r="GU9" t="s">
        <v>372</v>
      </c>
      <c r="GV9" t="s">
        <v>372</v>
      </c>
      <c r="GW9" t="s">
        <v>372</v>
      </c>
      <c r="GX9" t="s">
        <v>372</v>
      </c>
      <c r="GY9" t="s">
        <v>372</v>
      </c>
      <c r="GZ9" t="s">
        <v>372</v>
      </c>
      <c r="HA9" t="s">
        <v>372</v>
      </c>
      <c r="HB9" t="s">
        <v>372</v>
      </c>
      <c r="HC9" t="s">
        <v>372</v>
      </c>
      <c r="HD9" t="s">
        <v>372</v>
      </c>
      <c r="HE9" t="s">
        <v>372</v>
      </c>
      <c r="HF9" t="s">
        <v>372</v>
      </c>
      <c r="HG9" t="s">
        <v>372</v>
      </c>
      <c r="HH9" t="s">
        <v>372</v>
      </c>
      <c r="HI9" t="s">
        <v>380</v>
      </c>
      <c r="HJ9" t="s">
        <v>382</v>
      </c>
      <c r="HK9" t="s">
        <v>382</v>
      </c>
      <c r="HL9" t="s">
        <v>382</v>
      </c>
      <c r="HM9" t="s">
        <v>382</v>
      </c>
      <c r="HN9" t="s">
        <v>382</v>
      </c>
      <c r="HO9" t="s">
        <v>382</v>
      </c>
      <c r="HP9" t="s">
        <v>382</v>
      </c>
      <c r="HQ9" t="s">
        <v>382</v>
      </c>
      <c r="HR9" t="s">
        <v>382</v>
      </c>
      <c r="HS9" t="s">
        <v>382</v>
      </c>
      <c r="HT9" t="s">
        <v>382</v>
      </c>
      <c r="HU9" t="s">
        <v>382</v>
      </c>
      <c r="HV9" t="s">
        <v>382</v>
      </c>
      <c r="HW9" t="s">
        <v>382</v>
      </c>
      <c r="HX9" t="s">
        <v>382</v>
      </c>
      <c r="HY9" t="s">
        <v>382</v>
      </c>
      <c r="HZ9" t="s">
        <v>382</v>
      </c>
      <c r="IA9" t="s">
        <v>382</v>
      </c>
      <c r="IB9" t="s">
        <v>382</v>
      </c>
      <c r="IC9" t="s">
        <v>395</v>
      </c>
      <c r="ID9" t="s">
        <v>398</v>
      </c>
      <c r="IE9" t="s">
        <v>395</v>
      </c>
      <c r="IF9" t="s">
        <v>395</v>
      </c>
      <c r="IG9" t="s">
        <v>395</v>
      </c>
      <c r="IH9" t="s">
        <v>395</v>
      </c>
      <c r="II9" t="s">
        <v>381</v>
      </c>
      <c r="IJ9" t="s">
        <v>395</v>
      </c>
      <c r="IK9" t="s">
        <v>395</v>
      </c>
      <c r="IL9" t="s">
        <v>395</v>
      </c>
      <c r="IM9" t="s">
        <v>395</v>
      </c>
      <c r="IN9" t="s">
        <v>378</v>
      </c>
      <c r="IO9" t="s">
        <v>395</v>
      </c>
      <c r="IP9" t="s">
        <v>395</v>
      </c>
      <c r="IQ9" t="s">
        <v>381</v>
      </c>
      <c r="IR9" t="s">
        <v>378</v>
      </c>
      <c r="IS9" t="s">
        <v>381</v>
      </c>
      <c r="IT9" t="s">
        <v>417</v>
      </c>
      <c r="IU9" t="s">
        <v>470</v>
      </c>
      <c r="IV9" t="s">
        <v>768</v>
      </c>
      <c r="IW9" t="s">
        <v>769</v>
      </c>
      <c r="IX9" t="s">
        <v>770</v>
      </c>
      <c r="IY9" t="s">
        <v>419</v>
      </c>
      <c r="IZ9" t="s">
        <v>423</v>
      </c>
      <c r="JA9" t="s">
        <v>424</v>
      </c>
      <c r="JB9" t="s">
        <v>771</v>
      </c>
      <c r="JC9" t="s">
        <v>772</v>
      </c>
      <c r="JD9" t="s">
        <v>773</v>
      </c>
      <c r="JE9" t="s">
        <v>656</v>
      </c>
      <c r="JF9" t="s">
        <v>372</v>
      </c>
      <c r="JG9" t="s">
        <v>372</v>
      </c>
      <c r="JH9" t="s">
        <v>372</v>
      </c>
      <c r="JI9" t="s">
        <v>372</v>
      </c>
      <c r="JJ9" t="s">
        <v>372</v>
      </c>
      <c r="JK9" t="s">
        <v>372</v>
      </c>
      <c r="JL9" t="s">
        <v>372</v>
      </c>
      <c r="JM9" t="s">
        <v>372</v>
      </c>
      <c r="JN9" t="s">
        <v>372</v>
      </c>
      <c r="JO9" t="s">
        <v>372</v>
      </c>
      <c r="JP9" t="s">
        <v>372</v>
      </c>
      <c r="JQ9" t="s">
        <v>372</v>
      </c>
      <c r="JR9" t="s">
        <v>372</v>
      </c>
      <c r="JS9" t="s">
        <v>372</v>
      </c>
      <c r="JT9" t="s">
        <v>372</v>
      </c>
      <c r="JU9" t="s">
        <v>372</v>
      </c>
      <c r="JV9" t="s">
        <v>372</v>
      </c>
      <c r="JW9" t="s">
        <v>372</v>
      </c>
      <c r="JX9" t="s">
        <v>425</v>
      </c>
      <c r="JY9" t="s">
        <v>475</v>
      </c>
      <c r="JZ9" t="s">
        <v>774</v>
      </c>
      <c r="KA9" t="s">
        <v>775</v>
      </c>
      <c r="KB9" t="s">
        <v>776</v>
      </c>
      <c r="KC9" t="s">
        <v>427</v>
      </c>
      <c r="KD9" t="s">
        <v>372</v>
      </c>
      <c r="KE9" t="s">
        <v>372</v>
      </c>
      <c r="KF9" t="s">
        <v>372</v>
      </c>
      <c r="KG9" t="s">
        <v>372</v>
      </c>
      <c r="KH9" t="s">
        <v>372</v>
      </c>
      <c r="KI9" t="s">
        <v>372</v>
      </c>
      <c r="KJ9" t="s">
        <v>372</v>
      </c>
      <c r="KK9" t="s">
        <v>372</v>
      </c>
      <c r="KL9" t="s">
        <v>372</v>
      </c>
      <c r="KM9" t="s">
        <v>372</v>
      </c>
      <c r="KN9" t="s">
        <v>372</v>
      </c>
      <c r="KO9" t="s">
        <v>372</v>
      </c>
      <c r="KP9" t="s">
        <v>372</v>
      </c>
      <c r="KQ9" t="s">
        <v>372</v>
      </c>
      <c r="KR9" t="s">
        <v>372</v>
      </c>
      <c r="KS9" t="s">
        <v>372</v>
      </c>
      <c r="KT9" t="s">
        <v>372</v>
      </c>
      <c r="KU9" t="s">
        <v>372</v>
      </c>
      <c r="KV9" t="s">
        <v>372</v>
      </c>
      <c r="KW9" t="s">
        <v>372</v>
      </c>
      <c r="KX9" t="s">
        <v>372</v>
      </c>
      <c r="KY9" t="s">
        <v>372</v>
      </c>
      <c r="KZ9" t="s">
        <v>372</v>
      </c>
      <c r="LA9" t="s">
        <v>372</v>
      </c>
      <c r="LB9" t="s">
        <v>430</v>
      </c>
      <c r="LC9" t="s">
        <v>478</v>
      </c>
      <c r="LD9" t="s">
        <v>777</v>
      </c>
      <c r="LE9" t="s">
        <v>778</v>
      </c>
      <c r="LF9" t="s">
        <v>779</v>
      </c>
      <c r="LG9" t="s">
        <v>432</v>
      </c>
      <c r="LH9" t="s">
        <v>436</v>
      </c>
      <c r="LI9" t="s">
        <v>437</v>
      </c>
      <c r="LJ9" t="s">
        <v>780</v>
      </c>
      <c r="LK9" t="s">
        <v>781</v>
      </c>
      <c r="LL9" t="s">
        <v>782</v>
      </c>
      <c r="LM9" t="s">
        <v>668</v>
      </c>
      <c r="LN9" t="s">
        <v>372</v>
      </c>
      <c r="LO9" t="s">
        <v>372</v>
      </c>
      <c r="LP9" t="s">
        <v>372</v>
      </c>
      <c r="LQ9" t="s">
        <v>372</v>
      </c>
      <c r="LR9" t="s">
        <v>372</v>
      </c>
      <c r="LS9" t="s">
        <v>372</v>
      </c>
      <c r="LT9" t="s">
        <v>372</v>
      </c>
      <c r="LU9" t="s">
        <v>372</v>
      </c>
      <c r="LV9" t="s">
        <v>372</v>
      </c>
      <c r="LW9" t="s">
        <v>372</v>
      </c>
      <c r="LX9" t="s">
        <v>372</v>
      </c>
      <c r="LY9" t="s">
        <v>372</v>
      </c>
      <c r="LZ9" t="s">
        <v>372</v>
      </c>
      <c r="MA9" t="s">
        <v>372</v>
      </c>
      <c r="MB9" t="s">
        <v>372</v>
      </c>
      <c r="MC9" t="s">
        <v>372</v>
      </c>
      <c r="MD9" t="s">
        <v>372</v>
      </c>
      <c r="ME9" t="s">
        <v>372</v>
      </c>
      <c r="MF9" t="s">
        <v>438</v>
      </c>
      <c r="MG9" t="s">
        <v>372</v>
      </c>
      <c r="MH9" t="s">
        <v>372</v>
      </c>
      <c r="MI9" t="s">
        <v>372</v>
      </c>
      <c r="MJ9" t="s">
        <v>372</v>
      </c>
      <c r="MK9" t="s">
        <v>440</v>
      </c>
      <c r="ML9" t="s">
        <v>372</v>
      </c>
      <c r="MM9" t="s">
        <v>382</v>
      </c>
      <c r="MN9" t="s">
        <v>372</v>
      </c>
      <c r="MO9" t="s">
        <v>372</v>
      </c>
      <c r="MP9">
        <v>5</v>
      </c>
      <c r="MQ9">
        <v>9</v>
      </c>
      <c r="MR9">
        <v>3</v>
      </c>
      <c r="MS9" t="s">
        <v>442</v>
      </c>
      <c r="MT9" t="s">
        <v>443</v>
      </c>
      <c r="MU9" t="s">
        <v>783</v>
      </c>
      <c r="MV9" t="s">
        <v>784</v>
      </c>
      <c r="MW9" t="s">
        <v>372</v>
      </c>
      <c r="MX9" t="s">
        <v>372</v>
      </c>
      <c r="MY9" t="s">
        <v>372</v>
      </c>
      <c r="MZ9" t="s">
        <v>785</v>
      </c>
      <c r="NA9" t="s">
        <v>382</v>
      </c>
    </row>
    <row r="10" spans="1:365">
      <c r="A10" t="s">
        <v>786</v>
      </c>
      <c r="B10" s="8">
        <v>46104</v>
      </c>
      <c r="C10">
        <v>10</v>
      </c>
      <c r="D10">
        <v>26</v>
      </c>
      <c r="E10" t="s">
        <v>787</v>
      </c>
      <c r="F10" t="s">
        <v>788</v>
      </c>
      <c r="G10" t="s">
        <v>789</v>
      </c>
      <c r="H10" t="s">
        <v>552</v>
      </c>
      <c r="I10" t="s">
        <v>790</v>
      </c>
      <c r="J10" t="s">
        <v>791</v>
      </c>
      <c r="K10" t="s">
        <v>372</v>
      </c>
      <c r="L10" t="s">
        <v>373</v>
      </c>
      <c r="M10" t="s">
        <v>374</v>
      </c>
      <c r="N10" t="s">
        <v>792</v>
      </c>
      <c r="O10" t="s">
        <v>793</v>
      </c>
      <c r="P10" t="s">
        <v>372</v>
      </c>
      <c r="Q10" t="s">
        <v>380</v>
      </c>
      <c r="R10" t="s">
        <v>379</v>
      </c>
      <c r="S10" t="s">
        <v>380</v>
      </c>
      <c r="T10" t="s">
        <v>380</v>
      </c>
      <c r="U10" t="s">
        <v>379</v>
      </c>
      <c r="V10" t="s">
        <v>380</v>
      </c>
      <c r="W10" t="s">
        <v>379</v>
      </c>
      <c r="X10" t="s">
        <v>380</v>
      </c>
      <c r="Y10" t="s">
        <v>379</v>
      </c>
      <c r="Z10" t="s">
        <v>382</v>
      </c>
      <c r="AA10" t="s">
        <v>380</v>
      </c>
      <c r="AB10" t="s">
        <v>382</v>
      </c>
      <c r="AC10" t="s">
        <v>382</v>
      </c>
      <c r="AD10" t="s">
        <v>382</v>
      </c>
      <c r="AE10" t="s">
        <v>380</v>
      </c>
      <c r="AF10" t="s">
        <v>382</v>
      </c>
      <c r="AG10" t="s">
        <v>382</v>
      </c>
      <c r="AH10" t="s">
        <v>379</v>
      </c>
      <c r="AI10" t="s">
        <v>380</v>
      </c>
      <c r="AJ10" t="s">
        <v>382</v>
      </c>
      <c r="AK10" t="s">
        <v>381</v>
      </c>
      <c r="AL10" t="s">
        <v>382</v>
      </c>
      <c r="AM10" t="s">
        <v>381</v>
      </c>
      <c r="AN10" t="s">
        <v>382</v>
      </c>
      <c r="AO10" t="s">
        <v>382</v>
      </c>
      <c r="AP10" t="s">
        <v>382</v>
      </c>
      <c r="AQ10" t="s">
        <v>379</v>
      </c>
      <c r="AR10" t="s">
        <v>379</v>
      </c>
      <c r="AS10" t="s">
        <v>382</v>
      </c>
      <c r="AT10" t="s">
        <v>382</v>
      </c>
      <c r="AU10" t="s">
        <v>379</v>
      </c>
      <c r="AV10" t="s">
        <v>380</v>
      </c>
      <c r="AW10" t="s">
        <v>382</v>
      </c>
      <c r="AX10" t="s">
        <v>383</v>
      </c>
      <c r="AY10">
        <v>1</v>
      </c>
      <c r="AZ10" t="s">
        <v>382</v>
      </c>
      <c r="BA10" t="s">
        <v>384</v>
      </c>
      <c r="BB10" t="s">
        <v>611</v>
      </c>
      <c r="BC10" t="s">
        <v>612</v>
      </c>
      <c r="BD10" t="s">
        <v>453</v>
      </c>
      <c r="BE10" t="s">
        <v>454</v>
      </c>
      <c r="BF10">
        <v>1</v>
      </c>
      <c r="BG10" t="s">
        <v>389</v>
      </c>
      <c r="BH10" t="s">
        <v>382</v>
      </c>
      <c r="BI10" t="s">
        <v>382</v>
      </c>
      <c r="BJ10" t="s">
        <v>382</v>
      </c>
      <c r="BK10" t="s">
        <v>382</v>
      </c>
      <c r="BL10" t="s">
        <v>382</v>
      </c>
      <c r="BM10" t="s">
        <v>382</v>
      </c>
      <c r="BN10" t="s">
        <v>382</v>
      </c>
      <c r="BO10" t="s">
        <v>382</v>
      </c>
      <c r="BP10" t="s">
        <v>382</v>
      </c>
      <c r="BQ10" t="s">
        <v>382</v>
      </c>
      <c r="BR10" t="s">
        <v>382</v>
      </c>
      <c r="BS10" t="s">
        <v>382</v>
      </c>
      <c r="BT10" t="s">
        <v>382</v>
      </c>
      <c r="BU10" t="s">
        <v>382</v>
      </c>
      <c r="BV10" t="s">
        <v>382</v>
      </c>
      <c r="BW10" t="s">
        <v>382</v>
      </c>
      <c r="BX10" t="s">
        <v>382</v>
      </c>
      <c r="BY10" t="s">
        <v>382</v>
      </c>
      <c r="BZ10" t="s">
        <v>382</v>
      </c>
      <c r="CA10" t="s">
        <v>382</v>
      </c>
      <c r="CB10" t="s">
        <v>382</v>
      </c>
      <c r="CC10" t="s">
        <v>382</v>
      </c>
      <c r="CD10" t="s">
        <v>382</v>
      </c>
      <c r="CE10" t="s">
        <v>382</v>
      </c>
      <c r="CF10">
        <v>2</v>
      </c>
      <c r="CG10">
        <v>2</v>
      </c>
      <c r="CH10">
        <v>1</v>
      </c>
      <c r="CI10" t="s">
        <v>393</v>
      </c>
      <c r="CJ10" t="s">
        <v>381</v>
      </c>
      <c r="CK10" t="s">
        <v>394</v>
      </c>
      <c r="CL10" t="s">
        <v>395</v>
      </c>
      <c r="CM10" t="s">
        <v>396</v>
      </c>
      <c r="CN10" t="s">
        <v>395</v>
      </c>
      <c r="CO10" t="s">
        <v>397</v>
      </c>
      <c r="CP10" t="s">
        <v>395</v>
      </c>
      <c r="CQ10" t="s">
        <v>381</v>
      </c>
      <c r="CR10" t="s">
        <v>381</v>
      </c>
      <c r="CS10" t="s">
        <v>395</v>
      </c>
      <c r="CT10" t="s">
        <v>380</v>
      </c>
      <c r="CU10" t="s">
        <v>395</v>
      </c>
      <c r="CV10" t="s">
        <v>382</v>
      </c>
      <c r="CW10" t="s">
        <v>395</v>
      </c>
      <c r="CX10" t="s">
        <v>382</v>
      </c>
      <c r="CY10">
        <v>6</v>
      </c>
      <c r="CZ10" t="s">
        <v>400</v>
      </c>
      <c r="DA10" t="s">
        <v>401</v>
      </c>
      <c r="DB10" t="s">
        <v>401</v>
      </c>
      <c r="DC10" t="s">
        <v>401</v>
      </c>
      <c r="DD10" t="s">
        <v>401</v>
      </c>
      <c r="DE10" t="s">
        <v>794</v>
      </c>
      <c r="DF10" t="s">
        <v>795</v>
      </c>
      <c r="DG10" t="s">
        <v>381</v>
      </c>
      <c r="DH10" t="s">
        <v>381</v>
      </c>
      <c r="DI10" t="s">
        <v>381</v>
      </c>
      <c r="DJ10" t="s">
        <v>381</v>
      </c>
      <c r="DK10" t="s">
        <v>796</v>
      </c>
      <c r="DL10" t="s">
        <v>797</v>
      </c>
      <c r="DM10" t="s">
        <v>798</v>
      </c>
      <c r="DN10" t="s">
        <v>799</v>
      </c>
      <c r="DO10" t="s">
        <v>372</v>
      </c>
      <c r="DP10" t="s">
        <v>372</v>
      </c>
      <c r="DQ10" t="s">
        <v>372</v>
      </c>
      <c r="DR10" t="s">
        <v>372</v>
      </c>
      <c r="DS10" t="s">
        <v>372</v>
      </c>
      <c r="DT10" t="s">
        <v>372</v>
      </c>
      <c r="DU10" t="s">
        <v>372</v>
      </c>
      <c r="DV10" t="s">
        <v>372</v>
      </c>
      <c r="DW10" t="s">
        <v>372</v>
      </c>
      <c r="DX10" t="s">
        <v>372</v>
      </c>
      <c r="DY10" t="s">
        <v>372</v>
      </c>
      <c r="DZ10" t="s">
        <v>372</v>
      </c>
      <c r="EA10" t="s">
        <v>372</v>
      </c>
      <c r="EB10" t="s">
        <v>372</v>
      </c>
      <c r="EC10" t="s">
        <v>372</v>
      </c>
      <c r="ED10" t="s">
        <v>372</v>
      </c>
      <c r="EE10" t="s">
        <v>372</v>
      </c>
      <c r="EF10" t="s">
        <v>372</v>
      </c>
      <c r="EG10" t="s">
        <v>372</v>
      </c>
      <c r="EH10" t="s">
        <v>372</v>
      </c>
      <c r="EI10" t="s">
        <v>372</v>
      </c>
      <c r="EJ10" t="s">
        <v>372</v>
      </c>
      <c r="EK10" t="s">
        <v>372</v>
      </c>
      <c r="EL10" t="s">
        <v>372</v>
      </c>
      <c r="EM10" t="s">
        <v>372</v>
      </c>
      <c r="EN10" t="s">
        <v>372</v>
      </c>
      <c r="EO10" t="s">
        <v>800</v>
      </c>
      <c r="EP10" t="s">
        <v>801</v>
      </c>
      <c r="EQ10" t="s">
        <v>463</v>
      </c>
      <c r="ER10" t="s">
        <v>463</v>
      </c>
      <c r="ES10" t="s">
        <v>372</v>
      </c>
      <c r="ET10" t="s">
        <v>372</v>
      </c>
      <c r="EU10" t="s">
        <v>372</v>
      </c>
      <c r="EV10" t="s">
        <v>372</v>
      </c>
      <c r="EW10" t="s">
        <v>372</v>
      </c>
      <c r="EX10" t="s">
        <v>372</v>
      </c>
      <c r="EY10" t="s">
        <v>372</v>
      </c>
      <c r="EZ10" t="s">
        <v>372</v>
      </c>
      <c r="FA10" t="s">
        <v>372</v>
      </c>
      <c r="FB10" t="s">
        <v>372</v>
      </c>
      <c r="FC10" t="s">
        <v>372</v>
      </c>
      <c r="FD10" t="s">
        <v>372</v>
      </c>
      <c r="FE10" t="s">
        <v>372</v>
      </c>
      <c r="FF10" t="s">
        <v>372</v>
      </c>
      <c r="FG10" t="s">
        <v>372</v>
      </c>
      <c r="FH10" t="s">
        <v>372</v>
      </c>
      <c r="FI10" t="s">
        <v>372</v>
      </c>
      <c r="FJ10" t="s">
        <v>372</v>
      </c>
      <c r="FK10" t="s">
        <v>372</v>
      </c>
      <c r="FL10" t="s">
        <v>372</v>
      </c>
      <c r="FM10" t="s">
        <v>372</v>
      </c>
      <c r="FN10" t="s">
        <v>372</v>
      </c>
      <c r="FO10" t="s">
        <v>372</v>
      </c>
      <c r="FP10" t="s">
        <v>372</v>
      </c>
      <c r="FQ10" t="s">
        <v>372</v>
      </c>
      <c r="FR10" t="s">
        <v>372</v>
      </c>
      <c r="FS10" t="s">
        <v>802</v>
      </c>
      <c r="FT10" t="s">
        <v>803</v>
      </c>
      <c r="FU10" t="s">
        <v>412</v>
      </c>
      <c r="FV10" t="s">
        <v>413</v>
      </c>
      <c r="FW10" t="s">
        <v>525</v>
      </c>
      <c r="FX10" t="s">
        <v>468</v>
      </c>
      <c r="FY10" t="s">
        <v>468</v>
      </c>
      <c r="FZ10" t="s">
        <v>372</v>
      </c>
      <c r="GA10" t="s">
        <v>372</v>
      </c>
      <c r="GB10" t="s">
        <v>372</v>
      </c>
      <c r="GC10" t="s">
        <v>372</v>
      </c>
      <c r="GD10" t="s">
        <v>372</v>
      </c>
      <c r="GE10" t="s">
        <v>372</v>
      </c>
      <c r="GF10" t="s">
        <v>372</v>
      </c>
      <c r="GG10" t="s">
        <v>372</v>
      </c>
      <c r="GH10" t="s">
        <v>372</v>
      </c>
      <c r="GI10" t="s">
        <v>372</v>
      </c>
      <c r="GJ10" t="s">
        <v>372</v>
      </c>
      <c r="GK10" t="s">
        <v>372</v>
      </c>
      <c r="GL10" t="s">
        <v>372</v>
      </c>
      <c r="GM10" t="s">
        <v>372</v>
      </c>
      <c r="GN10" t="s">
        <v>372</v>
      </c>
      <c r="GO10" t="s">
        <v>804</v>
      </c>
      <c r="GP10" t="s">
        <v>372</v>
      </c>
      <c r="GQ10" t="s">
        <v>372</v>
      </c>
      <c r="GR10" t="s">
        <v>805</v>
      </c>
      <c r="GS10" t="s">
        <v>806</v>
      </c>
      <c r="GT10" t="s">
        <v>372</v>
      </c>
      <c r="GU10" t="s">
        <v>372</v>
      </c>
      <c r="GV10" t="s">
        <v>372</v>
      </c>
      <c r="GW10" t="s">
        <v>372</v>
      </c>
      <c r="GX10" t="s">
        <v>372</v>
      </c>
      <c r="GY10" t="s">
        <v>372</v>
      </c>
      <c r="GZ10" t="s">
        <v>372</v>
      </c>
      <c r="HA10" t="s">
        <v>372</v>
      </c>
      <c r="HB10" t="s">
        <v>372</v>
      </c>
      <c r="HC10" t="s">
        <v>372</v>
      </c>
      <c r="HD10" t="s">
        <v>372</v>
      </c>
      <c r="HE10" t="s">
        <v>372</v>
      </c>
      <c r="HF10" t="s">
        <v>372</v>
      </c>
      <c r="HG10" t="s">
        <v>372</v>
      </c>
      <c r="HH10" t="s">
        <v>372</v>
      </c>
      <c r="HI10" t="s">
        <v>380</v>
      </c>
      <c r="HJ10" t="s">
        <v>380</v>
      </c>
      <c r="HK10" t="s">
        <v>381</v>
      </c>
      <c r="HL10" t="s">
        <v>381</v>
      </c>
      <c r="HM10" t="s">
        <v>381</v>
      </c>
      <c r="HN10" t="s">
        <v>382</v>
      </c>
      <c r="HO10" t="s">
        <v>382</v>
      </c>
      <c r="HP10" t="s">
        <v>382</v>
      </c>
      <c r="HQ10" t="s">
        <v>382</v>
      </c>
      <c r="HR10" t="s">
        <v>382</v>
      </c>
      <c r="HS10" t="s">
        <v>382</v>
      </c>
      <c r="HT10" t="s">
        <v>382</v>
      </c>
      <c r="HU10" t="s">
        <v>382</v>
      </c>
      <c r="HV10" t="s">
        <v>382</v>
      </c>
      <c r="HW10" t="s">
        <v>382</v>
      </c>
      <c r="HX10" t="s">
        <v>382</v>
      </c>
      <c r="HY10" t="s">
        <v>382</v>
      </c>
      <c r="HZ10" t="s">
        <v>382</v>
      </c>
      <c r="IA10" t="s">
        <v>382</v>
      </c>
      <c r="IB10" t="s">
        <v>382</v>
      </c>
      <c r="IC10" t="s">
        <v>395</v>
      </c>
      <c r="ID10" t="s">
        <v>395</v>
      </c>
      <c r="IE10" t="s">
        <v>381</v>
      </c>
      <c r="IF10" t="s">
        <v>395</v>
      </c>
      <c r="IG10" t="s">
        <v>380</v>
      </c>
      <c r="IH10" t="s">
        <v>395</v>
      </c>
      <c r="II10" t="s">
        <v>395</v>
      </c>
      <c r="IJ10" t="s">
        <v>395</v>
      </c>
      <c r="IK10" t="s">
        <v>395</v>
      </c>
      <c r="IL10" t="s">
        <v>395</v>
      </c>
      <c r="IM10" t="s">
        <v>381</v>
      </c>
      <c r="IN10" t="s">
        <v>395</v>
      </c>
      <c r="IO10" t="s">
        <v>381</v>
      </c>
      <c r="IP10" t="s">
        <v>395</v>
      </c>
      <c r="IQ10" t="s">
        <v>381</v>
      </c>
      <c r="IR10" t="s">
        <v>381</v>
      </c>
      <c r="IS10" t="s">
        <v>395</v>
      </c>
      <c r="IT10" t="s">
        <v>418</v>
      </c>
      <c r="IU10" t="s">
        <v>529</v>
      </c>
      <c r="IV10" t="s">
        <v>807</v>
      </c>
      <c r="IW10" t="s">
        <v>422</v>
      </c>
      <c r="IX10" t="s">
        <v>423</v>
      </c>
      <c r="IY10" t="s">
        <v>424</v>
      </c>
      <c r="IZ10" t="s">
        <v>808</v>
      </c>
      <c r="JA10" t="s">
        <v>372</v>
      </c>
      <c r="JB10" t="s">
        <v>372</v>
      </c>
      <c r="JC10" t="s">
        <v>372</v>
      </c>
      <c r="JD10" t="s">
        <v>372</v>
      </c>
      <c r="JE10" t="s">
        <v>372</v>
      </c>
      <c r="JF10" t="s">
        <v>372</v>
      </c>
      <c r="JG10" t="s">
        <v>372</v>
      </c>
      <c r="JH10" t="s">
        <v>372</v>
      </c>
      <c r="JI10" t="s">
        <v>372</v>
      </c>
      <c r="JJ10" t="s">
        <v>372</v>
      </c>
      <c r="JK10" t="s">
        <v>372</v>
      </c>
      <c r="JL10" t="s">
        <v>372</v>
      </c>
      <c r="JM10" t="s">
        <v>372</v>
      </c>
      <c r="JN10" t="s">
        <v>372</v>
      </c>
      <c r="JO10" t="s">
        <v>372</v>
      </c>
      <c r="JP10" t="s">
        <v>372</v>
      </c>
      <c r="JQ10" t="s">
        <v>372</v>
      </c>
      <c r="JR10" t="s">
        <v>372</v>
      </c>
      <c r="JS10" t="s">
        <v>372</v>
      </c>
      <c r="JT10" t="s">
        <v>372</v>
      </c>
      <c r="JU10" t="s">
        <v>372</v>
      </c>
      <c r="JV10" t="s">
        <v>372</v>
      </c>
      <c r="JW10" t="s">
        <v>372</v>
      </c>
      <c r="JX10" t="s">
        <v>426</v>
      </c>
      <c r="JY10" t="s">
        <v>427</v>
      </c>
      <c r="JZ10" t="s">
        <v>809</v>
      </c>
      <c r="KA10" t="s">
        <v>372</v>
      </c>
      <c r="KB10" t="s">
        <v>372</v>
      </c>
      <c r="KC10" t="s">
        <v>372</v>
      </c>
      <c r="KD10" t="s">
        <v>810</v>
      </c>
      <c r="KE10" t="s">
        <v>372</v>
      </c>
      <c r="KF10" t="s">
        <v>372</v>
      </c>
      <c r="KG10" t="s">
        <v>372</v>
      </c>
      <c r="KH10" t="s">
        <v>372</v>
      </c>
      <c r="KI10" t="s">
        <v>372</v>
      </c>
      <c r="KJ10" t="s">
        <v>372</v>
      </c>
      <c r="KK10" t="s">
        <v>372</v>
      </c>
      <c r="KL10" t="s">
        <v>372</v>
      </c>
      <c r="KM10" t="s">
        <v>372</v>
      </c>
      <c r="KN10" t="s">
        <v>372</v>
      </c>
      <c r="KO10" t="s">
        <v>372</v>
      </c>
      <c r="KP10" t="s">
        <v>372</v>
      </c>
      <c r="KQ10" t="s">
        <v>372</v>
      </c>
      <c r="KR10" t="s">
        <v>372</v>
      </c>
      <c r="KS10" t="s">
        <v>372</v>
      </c>
      <c r="KT10" t="s">
        <v>372</v>
      </c>
      <c r="KU10" t="s">
        <v>372</v>
      </c>
      <c r="KV10" t="s">
        <v>372</v>
      </c>
      <c r="KW10" t="s">
        <v>372</v>
      </c>
      <c r="KX10" t="s">
        <v>372</v>
      </c>
      <c r="KY10" t="s">
        <v>372</v>
      </c>
      <c r="KZ10" t="s">
        <v>372</v>
      </c>
      <c r="LA10" t="s">
        <v>372</v>
      </c>
      <c r="LB10" t="s">
        <v>431</v>
      </c>
      <c r="LC10" t="s">
        <v>537</v>
      </c>
      <c r="LD10" t="s">
        <v>811</v>
      </c>
      <c r="LE10" t="s">
        <v>435</v>
      </c>
      <c r="LF10" t="s">
        <v>436</v>
      </c>
      <c r="LG10" t="s">
        <v>437</v>
      </c>
      <c r="LH10" t="s">
        <v>812</v>
      </c>
      <c r="LI10" t="s">
        <v>372</v>
      </c>
      <c r="LJ10" t="s">
        <v>372</v>
      </c>
      <c r="LK10" t="s">
        <v>372</v>
      </c>
      <c r="LL10" t="s">
        <v>372</v>
      </c>
      <c r="LM10" t="s">
        <v>372</v>
      </c>
      <c r="LN10" t="s">
        <v>372</v>
      </c>
      <c r="LO10" t="s">
        <v>372</v>
      </c>
      <c r="LP10" t="s">
        <v>372</v>
      </c>
      <c r="LQ10" t="s">
        <v>372</v>
      </c>
      <c r="LR10" t="s">
        <v>372</v>
      </c>
      <c r="LS10" t="s">
        <v>372</v>
      </c>
      <c r="LT10" t="s">
        <v>372</v>
      </c>
      <c r="LU10" t="s">
        <v>372</v>
      </c>
      <c r="LV10" t="s">
        <v>372</v>
      </c>
      <c r="LW10" t="s">
        <v>372</v>
      </c>
      <c r="LX10" t="s">
        <v>372</v>
      </c>
      <c r="LY10" t="s">
        <v>372</v>
      </c>
      <c r="LZ10" t="s">
        <v>372</v>
      </c>
      <c r="MA10" t="s">
        <v>372</v>
      </c>
      <c r="MB10" t="s">
        <v>372</v>
      </c>
      <c r="MC10" t="s">
        <v>372</v>
      </c>
      <c r="MD10" t="s">
        <v>372</v>
      </c>
      <c r="ME10" t="s">
        <v>372</v>
      </c>
      <c r="MF10" t="s">
        <v>813</v>
      </c>
      <c r="MG10" t="s">
        <v>372</v>
      </c>
      <c r="MH10" t="s">
        <v>439</v>
      </c>
      <c r="MI10" t="s">
        <v>372</v>
      </c>
      <c r="MJ10" t="s">
        <v>372</v>
      </c>
      <c r="MK10" t="s">
        <v>814</v>
      </c>
      <c r="ML10" t="s">
        <v>372</v>
      </c>
      <c r="MM10" t="s">
        <v>441</v>
      </c>
      <c r="MN10" t="s">
        <v>372</v>
      </c>
      <c r="MO10" t="s">
        <v>372</v>
      </c>
      <c r="MP10">
        <v>5</v>
      </c>
      <c r="MQ10">
        <v>10</v>
      </c>
      <c r="MR10">
        <v>6</v>
      </c>
      <c r="MS10" t="s">
        <v>815</v>
      </c>
      <c r="MT10" t="s">
        <v>816</v>
      </c>
      <c r="MU10" t="s">
        <v>817</v>
      </c>
      <c r="MV10" t="s">
        <v>818</v>
      </c>
      <c r="MW10" t="s">
        <v>372</v>
      </c>
      <c r="MX10" t="s">
        <v>372</v>
      </c>
      <c r="MY10" t="s">
        <v>372</v>
      </c>
      <c r="MZ10" t="s">
        <v>634</v>
      </c>
      <c r="NA10" t="s">
        <v>819</v>
      </c>
    </row>
    <row r="11" spans="1:365">
      <c r="A11" t="s">
        <v>820</v>
      </c>
      <c r="B11" s="8">
        <v>46104</v>
      </c>
      <c r="C11">
        <v>3</v>
      </c>
      <c r="D11">
        <v>20</v>
      </c>
      <c r="E11" t="s">
        <v>821</v>
      </c>
      <c r="F11" t="s">
        <v>822</v>
      </c>
      <c r="G11" t="s">
        <v>823</v>
      </c>
      <c r="H11" t="s">
        <v>369</v>
      </c>
      <c r="I11" t="s">
        <v>491</v>
      </c>
      <c r="J11" t="s">
        <v>492</v>
      </c>
      <c r="K11" t="s">
        <v>824</v>
      </c>
      <c r="L11" t="s">
        <v>607</v>
      </c>
      <c r="M11" t="s">
        <v>608</v>
      </c>
      <c r="N11" t="s">
        <v>558</v>
      </c>
      <c r="O11" t="s">
        <v>685</v>
      </c>
      <c r="P11" t="s">
        <v>825</v>
      </c>
      <c r="Q11" t="s">
        <v>379</v>
      </c>
      <c r="R11" t="s">
        <v>380</v>
      </c>
      <c r="S11" t="s">
        <v>380</v>
      </c>
      <c r="T11" t="s">
        <v>380</v>
      </c>
      <c r="U11" t="s">
        <v>380</v>
      </c>
      <c r="V11" t="s">
        <v>826</v>
      </c>
      <c r="W11" t="s">
        <v>379</v>
      </c>
      <c r="X11" t="s">
        <v>379</v>
      </c>
      <c r="Y11" t="s">
        <v>379</v>
      </c>
      <c r="Z11" t="s">
        <v>382</v>
      </c>
      <c r="AA11" t="s">
        <v>382</v>
      </c>
      <c r="AB11" t="s">
        <v>382</v>
      </c>
      <c r="AC11" t="s">
        <v>382</v>
      </c>
      <c r="AD11" t="s">
        <v>687</v>
      </c>
      <c r="AE11" t="s">
        <v>382</v>
      </c>
      <c r="AF11" t="s">
        <v>379</v>
      </c>
      <c r="AG11" t="s">
        <v>381</v>
      </c>
      <c r="AH11" t="s">
        <v>380</v>
      </c>
      <c r="AI11" t="s">
        <v>380</v>
      </c>
      <c r="AJ11" t="s">
        <v>382</v>
      </c>
      <c r="AK11" t="s">
        <v>382</v>
      </c>
      <c r="AL11" t="s">
        <v>382</v>
      </c>
      <c r="AM11" t="s">
        <v>382</v>
      </c>
      <c r="AN11" t="s">
        <v>382</v>
      </c>
      <c r="AO11" t="s">
        <v>382</v>
      </c>
      <c r="AP11" t="s">
        <v>382</v>
      </c>
      <c r="AQ11" t="s">
        <v>687</v>
      </c>
      <c r="AR11" t="s">
        <v>382</v>
      </c>
      <c r="AS11" t="s">
        <v>687</v>
      </c>
      <c r="AT11" t="s">
        <v>380</v>
      </c>
      <c r="AU11" t="s">
        <v>382</v>
      </c>
      <c r="AV11" t="s">
        <v>381</v>
      </c>
      <c r="AW11" t="s">
        <v>380</v>
      </c>
      <c r="AX11" t="s">
        <v>560</v>
      </c>
      <c r="AY11">
        <v>2</v>
      </c>
      <c r="AZ11" t="s">
        <v>561</v>
      </c>
      <c r="BA11" t="s">
        <v>496</v>
      </c>
      <c r="BB11" t="s">
        <v>611</v>
      </c>
      <c r="BC11" t="s">
        <v>612</v>
      </c>
      <c r="BD11" t="s">
        <v>523</v>
      </c>
      <c r="BE11" t="s">
        <v>563</v>
      </c>
      <c r="BF11">
        <v>2</v>
      </c>
      <c r="BG11" t="s">
        <v>389</v>
      </c>
      <c r="BH11" t="s">
        <v>382</v>
      </c>
      <c r="BI11" t="s">
        <v>382</v>
      </c>
      <c r="BJ11" t="s">
        <v>382</v>
      </c>
      <c r="BK11" t="s">
        <v>382</v>
      </c>
      <c r="BL11" t="s">
        <v>827</v>
      </c>
      <c r="BM11" t="s">
        <v>382</v>
      </c>
      <c r="BN11" t="s">
        <v>607</v>
      </c>
      <c r="BO11" t="s">
        <v>382</v>
      </c>
      <c r="BP11" t="s">
        <v>382</v>
      </c>
      <c r="BQ11" t="s">
        <v>382</v>
      </c>
      <c r="BR11" t="s">
        <v>382</v>
      </c>
      <c r="BS11" t="s">
        <v>382</v>
      </c>
      <c r="BT11" t="s">
        <v>382</v>
      </c>
      <c r="BU11" t="s">
        <v>382</v>
      </c>
      <c r="BV11" t="s">
        <v>382</v>
      </c>
      <c r="BW11" t="s">
        <v>382</v>
      </c>
      <c r="BX11" t="s">
        <v>382</v>
      </c>
      <c r="BY11" t="s">
        <v>828</v>
      </c>
      <c r="BZ11" t="s">
        <v>382</v>
      </c>
      <c r="CA11" t="s">
        <v>829</v>
      </c>
      <c r="CB11" t="s">
        <v>382</v>
      </c>
      <c r="CC11" t="s">
        <v>382</v>
      </c>
      <c r="CD11" t="s">
        <v>382</v>
      </c>
      <c r="CE11" t="s">
        <v>382</v>
      </c>
      <c r="CF11">
        <v>2</v>
      </c>
      <c r="CG11">
        <v>1</v>
      </c>
      <c r="CH11">
        <v>2</v>
      </c>
      <c r="CI11" t="s">
        <v>394</v>
      </c>
      <c r="CJ11" t="s">
        <v>380</v>
      </c>
      <c r="CK11" t="s">
        <v>393</v>
      </c>
      <c r="CL11" t="s">
        <v>395</v>
      </c>
      <c r="CM11" t="s">
        <v>396</v>
      </c>
      <c r="CN11" t="s">
        <v>395</v>
      </c>
      <c r="CO11" t="s">
        <v>397</v>
      </c>
      <c r="CP11" t="s">
        <v>395</v>
      </c>
      <c r="CQ11" t="s">
        <v>395</v>
      </c>
      <c r="CR11" t="s">
        <v>395</v>
      </c>
      <c r="CS11" t="s">
        <v>395</v>
      </c>
      <c r="CT11" t="s">
        <v>395</v>
      </c>
      <c r="CU11" t="s">
        <v>395</v>
      </c>
      <c r="CV11" t="s">
        <v>382</v>
      </c>
      <c r="CW11" t="s">
        <v>379</v>
      </c>
      <c r="CX11" t="s">
        <v>830</v>
      </c>
      <c r="CY11">
        <v>6</v>
      </c>
      <c r="CZ11" t="s">
        <v>400</v>
      </c>
      <c r="DA11" t="s">
        <v>401</v>
      </c>
      <c r="DB11" t="s">
        <v>401</v>
      </c>
      <c r="DC11" t="s">
        <v>401</v>
      </c>
      <c r="DD11" t="s">
        <v>401</v>
      </c>
      <c r="DE11" t="s">
        <v>381</v>
      </c>
      <c r="DF11" t="s">
        <v>381</v>
      </c>
      <c r="DG11" t="s">
        <v>381</v>
      </c>
      <c r="DH11" t="s">
        <v>381</v>
      </c>
      <c r="DI11" t="s">
        <v>381</v>
      </c>
      <c r="DJ11" t="s">
        <v>381</v>
      </c>
      <c r="DK11" t="s">
        <v>831</v>
      </c>
      <c r="DL11" t="s">
        <v>832</v>
      </c>
      <c r="DM11" t="s">
        <v>833</v>
      </c>
      <c r="DN11" t="s">
        <v>834</v>
      </c>
      <c r="DO11" t="s">
        <v>835</v>
      </c>
      <c r="DP11" t="s">
        <v>372</v>
      </c>
      <c r="DQ11" t="s">
        <v>372</v>
      </c>
      <c r="DR11" t="s">
        <v>372</v>
      </c>
      <c r="DS11" t="s">
        <v>372</v>
      </c>
      <c r="DT11" t="s">
        <v>372</v>
      </c>
      <c r="DU11" t="s">
        <v>372</v>
      </c>
      <c r="DV11" t="s">
        <v>372</v>
      </c>
      <c r="DW11" t="s">
        <v>372</v>
      </c>
      <c r="DX11" t="s">
        <v>372</v>
      </c>
      <c r="DY11" t="s">
        <v>372</v>
      </c>
      <c r="DZ11" t="s">
        <v>372</v>
      </c>
      <c r="EA11" t="s">
        <v>372</v>
      </c>
      <c r="EB11" t="s">
        <v>372</v>
      </c>
      <c r="EC11" t="s">
        <v>372</v>
      </c>
      <c r="ED11" t="s">
        <v>372</v>
      </c>
      <c r="EE11" t="s">
        <v>372</v>
      </c>
      <c r="EF11" t="s">
        <v>372</v>
      </c>
      <c r="EG11" t="s">
        <v>372</v>
      </c>
      <c r="EH11" t="s">
        <v>372</v>
      </c>
      <c r="EI11" t="s">
        <v>372</v>
      </c>
      <c r="EJ11" t="s">
        <v>372</v>
      </c>
      <c r="EK11" t="s">
        <v>372</v>
      </c>
      <c r="EL11" t="s">
        <v>372</v>
      </c>
      <c r="EM11" t="s">
        <v>372</v>
      </c>
      <c r="EN11" t="s">
        <v>372</v>
      </c>
      <c r="EO11" t="s">
        <v>836</v>
      </c>
      <c r="EP11" t="s">
        <v>837</v>
      </c>
      <c r="EQ11" t="s">
        <v>838</v>
      </c>
      <c r="ER11" t="s">
        <v>839</v>
      </c>
      <c r="ES11" t="s">
        <v>840</v>
      </c>
      <c r="ET11" t="s">
        <v>372</v>
      </c>
      <c r="EU11" t="s">
        <v>372</v>
      </c>
      <c r="EV11" t="s">
        <v>372</v>
      </c>
      <c r="EW11" t="s">
        <v>372</v>
      </c>
      <c r="EX11" t="s">
        <v>372</v>
      </c>
      <c r="EY11" t="s">
        <v>372</v>
      </c>
      <c r="EZ11" t="s">
        <v>372</v>
      </c>
      <c r="FA11" t="s">
        <v>372</v>
      </c>
      <c r="FB11" t="s">
        <v>372</v>
      </c>
      <c r="FC11" t="s">
        <v>372</v>
      </c>
      <c r="FD11" t="s">
        <v>372</v>
      </c>
      <c r="FE11" t="s">
        <v>372</v>
      </c>
      <c r="FF11" t="s">
        <v>372</v>
      </c>
      <c r="FG11" t="s">
        <v>372</v>
      </c>
      <c r="FH11" t="s">
        <v>372</v>
      </c>
      <c r="FI11" t="s">
        <v>372</v>
      </c>
      <c r="FJ11" t="s">
        <v>372</v>
      </c>
      <c r="FK11" t="s">
        <v>372</v>
      </c>
      <c r="FL11" t="s">
        <v>372</v>
      </c>
      <c r="FM11" t="s">
        <v>372</v>
      </c>
      <c r="FN11" t="s">
        <v>372</v>
      </c>
      <c r="FO11" t="s">
        <v>372</v>
      </c>
      <c r="FP11" t="s">
        <v>372</v>
      </c>
      <c r="FQ11" t="s">
        <v>372</v>
      </c>
      <c r="FR11" t="s">
        <v>372</v>
      </c>
      <c r="FS11" t="s">
        <v>802</v>
      </c>
      <c r="FT11" t="s">
        <v>803</v>
      </c>
      <c r="FU11" t="s">
        <v>413</v>
      </c>
      <c r="FV11" t="s">
        <v>372</v>
      </c>
      <c r="FW11" t="s">
        <v>372</v>
      </c>
      <c r="FX11" t="s">
        <v>372</v>
      </c>
      <c r="FY11" t="s">
        <v>372</v>
      </c>
      <c r="FZ11" t="s">
        <v>372</v>
      </c>
      <c r="GA11" t="s">
        <v>372</v>
      </c>
      <c r="GB11" t="s">
        <v>372</v>
      </c>
      <c r="GC11" t="s">
        <v>372</v>
      </c>
      <c r="GD11" t="s">
        <v>372</v>
      </c>
      <c r="GE11" t="s">
        <v>372</v>
      </c>
      <c r="GF11" t="s">
        <v>372</v>
      </c>
      <c r="GG11" t="s">
        <v>372</v>
      </c>
      <c r="GH11" t="s">
        <v>372</v>
      </c>
      <c r="GI11" t="s">
        <v>372</v>
      </c>
      <c r="GJ11" t="s">
        <v>372</v>
      </c>
      <c r="GK11" t="s">
        <v>372</v>
      </c>
      <c r="GL11" t="s">
        <v>372</v>
      </c>
      <c r="GM11" t="s">
        <v>372</v>
      </c>
      <c r="GN11" t="s">
        <v>372</v>
      </c>
      <c r="GO11" t="s">
        <v>841</v>
      </c>
      <c r="GP11" t="s">
        <v>372</v>
      </c>
      <c r="GQ11" t="s">
        <v>372</v>
      </c>
      <c r="GR11" t="s">
        <v>372</v>
      </c>
      <c r="GS11" t="s">
        <v>372</v>
      </c>
      <c r="GT11" t="s">
        <v>372</v>
      </c>
      <c r="GU11" t="s">
        <v>372</v>
      </c>
      <c r="GV11" t="s">
        <v>372</v>
      </c>
      <c r="GW11" t="s">
        <v>372</v>
      </c>
      <c r="GX11" t="s">
        <v>372</v>
      </c>
      <c r="GY11" t="s">
        <v>372</v>
      </c>
      <c r="GZ11" t="s">
        <v>372</v>
      </c>
      <c r="HA11" t="s">
        <v>372</v>
      </c>
      <c r="HB11" t="s">
        <v>372</v>
      </c>
      <c r="HC11" t="s">
        <v>372</v>
      </c>
      <c r="HD11" t="s">
        <v>372</v>
      </c>
      <c r="HE11" t="s">
        <v>372</v>
      </c>
      <c r="HF11" t="s">
        <v>372</v>
      </c>
      <c r="HG11" t="s">
        <v>372</v>
      </c>
      <c r="HH11" t="s">
        <v>372</v>
      </c>
      <c r="HI11" t="s">
        <v>380</v>
      </c>
      <c r="HJ11" t="s">
        <v>382</v>
      </c>
      <c r="HK11" t="s">
        <v>382</v>
      </c>
      <c r="HL11" t="s">
        <v>382</v>
      </c>
      <c r="HM11" t="s">
        <v>382</v>
      </c>
      <c r="HN11" t="s">
        <v>382</v>
      </c>
      <c r="HO11" t="s">
        <v>382</v>
      </c>
      <c r="HP11" t="s">
        <v>382</v>
      </c>
      <c r="HQ11" t="s">
        <v>382</v>
      </c>
      <c r="HR11" t="s">
        <v>382</v>
      </c>
      <c r="HS11" t="s">
        <v>382</v>
      </c>
      <c r="HT11" t="s">
        <v>382</v>
      </c>
      <c r="HU11" t="s">
        <v>382</v>
      </c>
      <c r="HV11" t="s">
        <v>382</v>
      </c>
      <c r="HW11" t="s">
        <v>382</v>
      </c>
      <c r="HX11" t="s">
        <v>382</v>
      </c>
      <c r="HY11" t="s">
        <v>382</v>
      </c>
      <c r="HZ11" t="s">
        <v>382</v>
      </c>
      <c r="IA11" t="s">
        <v>382</v>
      </c>
      <c r="IB11" t="s">
        <v>382</v>
      </c>
      <c r="IC11" t="s">
        <v>395</v>
      </c>
      <c r="ID11" t="s">
        <v>395</v>
      </c>
      <c r="IE11" t="s">
        <v>395</v>
      </c>
      <c r="IF11" t="s">
        <v>395</v>
      </c>
      <c r="IG11" t="s">
        <v>379</v>
      </c>
      <c r="IH11" t="s">
        <v>395</v>
      </c>
      <c r="II11" t="s">
        <v>395</v>
      </c>
      <c r="IJ11" t="s">
        <v>381</v>
      </c>
      <c r="IK11" t="s">
        <v>381</v>
      </c>
      <c r="IL11" t="s">
        <v>395</v>
      </c>
      <c r="IM11" t="s">
        <v>395</v>
      </c>
      <c r="IN11" t="s">
        <v>395</v>
      </c>
      <c r="IO11" t="s">
        <v>395</v>
      </c>
      <c r="IP11" t="s">
        <v>395</v>
      </c>
      <c r="IQ11" t="s">
        <v>395</v>
      </c>
      <c r="IR11" t="s">
        <v>395</v>
      </c>
      <c r="IS11" t="s">
        <v>395</v>
      </c>
      <c r="IT11" t="s">
        <v>529</v>
      </c>
      <c r="IU11" t="s">
        <v>807</v>
      </c>
      <c r="IV11" t="s">
        <v>842</v>
      </c>
      <c r="IW11" t="s">
        <v>471</v>
      </c>
      <c r="IX11" t="s">
        <v>631</v>
      </c>
      <c r="IY11" t="s">
        <v>843</v>
      </c>
      <c r="IZ11" t="s">
        <v>372</v>
      </c>
      <c r="JA11" t="s">
        <v>372</v>
      </c>
      <c r="JB11" t="s">
        <v>372</v>
      </c>
      <c r="JC11" t="s">
        <v>372</v>
      </c>
      <c r="JD11" t="s">
        <v>372</v>
      </c>
      <c r="JE11" t="s">
        <v>372</v>
      </c>
      <c r="JF11" t="s">
        <v>372</v>
      </c>
      <c r="JG11" t="s">
        <v>372</v>
      </c>
      <c r="JH11" t="s">
        <v>372</v>
      </c>
      <c r="JI11" t="s">
        <v>372</v>
      </c>
      <c r="JJ11" t="s">
        <v>372</v>
      </c>
      <c r="JK11" t="s">
        <v>372</v>
      </c>
      <c r="JL11" t="s">
        <v>372</v>
      </c>
      <c r="JM11" t="s">
        <v>372</v>
      </c>
      <c r="JN11" t="s">
        <v>372</v>
      </c>
      <c r="JO11" t="s">
        <v>372</v>
      </c>
      <c r="JP11" t="s">
        <v>372</v>
      </c>
      <c r="JQ11" t="s">
        <v>372</v>
      </c>
      <c r="JR11" t="s">
        <v>372</v>
      </c>
      <c r="JS11" t="s">
        <v>372</v>
      </c>
      <c r="JT11" t="s">
        <v>372</v>
      </c>
      <c r="JU11" t="s">
        <v>372</v>
      </c>
      <c r="JV11" t="s">
        <v>372</v>
      </c>
      <c r="JW11" t="s">
        <v>372</v>
      </c>
      <c r="JX11" t="s">
        <v>427</v>
      </c>
      <c r="JY11" t="s">
        <v>844</v>
      </c>
      <c r="JZ11" t="s">
        <v>845</v>
      </c>
      <c r="KA11" t="s">
        <v>476</v>
      </c>
      <c r="KB11" t="s">
        <v>426</v>
      </c>
      <c r="KC11" t="s">
        <v>846</v>
      </c>
      <c r="KD11" t="s">
        <v>372</v>
      </c>
      <c r="KE11" t="s">
        <v>372</v>
      </c>
      <c r="KF11" t="s">
        <v>372</v>
      </c>
      <c r="KG11" t="s">
        <v>372</v>
      </c>
      <c r="KH11" t="s">
        <v>372</v>
      </c>
      <c r="KI11" t="s">
        <v>372</v>
      </c>
      <c r="KJ11" t="s">
        <v>372</v>
      </c>
      <c r="KK11" t="s">
        <v>372</v>
      </c>
      <c r="KL11" t="s">
        <v>372</v>
      </c>
      <c r="KM11" t="s">
        <v>372</v>
      </c>
      <c r="KN11" t="s">
        <v>372</v>
      </c>
      <c r="KO11" t="s">
        <v>372</v>
      </c>
      <c r="KP11" t="s">
        <v>372</v>
      </c>
      <c r="KQ11" t="s">
        <v>372</v>
      </c>
      <c r="KR11" t="s">
        <v>372</v>
      </c>
      <c r="KS11" t="s">
        <v>372</v>
      </c>
      <c r="KT11" t="s">
        <v>372</v>
      </c>
      <c r="KU11" t="s">
        <v>372</v>
      </c>
      <c r="KV11" t="s">
        <v>372</v>
      </c>
      <c r="KW11" t="s">
        <v>372</v>
      </c>
      <c r="KX11" t="s">
        <v>372</v>
      </c>
      <c r="KY11" t="s">
        <v>372</v>
      </c>
      <c r="KZ11" t="s">
        <v>372</v>
      </c>
      <c r="LA11" t="s">
        <v>372</v>
      </c>
      <c r="LB11" t="s">
        <v>537</v>
      </c>
      <c r="LC11" t="s">
        <v>811</v>
      </c>
      <c r="LD11" t="s">
        <v>847</v>
      </c>
      <c r="LE11" t="s">
        <v>479</v>
      </c>
      <c r="LF11" t="s">
        <v>594</v>
      </c>
      <c r="LG11" t="s">
        <v>848</v>
      </c>
      <c r="LH11" t="s">
        <v>372</v>
      </c>
      <c r="LI11" t="s">
        <v>372</v>
      </c>
      <c r="LJ11" t="s">
        <v>372</v>
      </c>
      <c r="LK11" t="s">
        <v>372</v>
      </c>
      <c r="LL11" t="s">
        <v>372</v>
      </c>
      <c r="LM11" t="s">
        <v>372</v>
      </c>
      <c r="LN11" t="s">
        <v>372</v>
      </c>
      <c r="LO11" t="s">
        <v>372</v>
      </c>
      <c r="LP11" t="s">
        <v>372</v>
      </c>
      <c r="LQ11" t="s">
        <v>372</v>
      </c>
      <c r="LR11" t="s">
        <v>372</v>
      </c>
      <c r="LS11" t="s">
        <v>372</v>
      </c>
      <c r="LT11" t="s">
        <v>372</v>
      </c>
      <c r="LU11" t="s">
        <v>372</v>
      </c>
      <c r="LV11" t="s">
        <v>372</v>
      </c>
      <c r="LW11" t="s">
        <v>372</v>
      </c>
      <c r="LX11" t="s">
        <v>372</v>
      </c>
      <c r="LY11" t="s">
        <v>372</v>
      </c>
      <c r="LZ11" t="s">
        <v>372</v>
      </c>
      <c r="MA11" t="s">
        <v>372</v>
      </c>
      <c r="MB11" t="s">
        <v>372</v>
      </c>
      <c r="MC11" t="s">
        <v>372</v>
      </c>
      <c r="MD11" t="s">
        <v>372</v>
      </c>
      <c r="ME11" t="s">
        <v>372</v>
      </c>
      <c r="MF11" t="s">
        <v>542</v>
      </c>
      <c r="MG11" t="s">
        <v>372</v>
      </c>
      <c r="MH11" t="s">
        <v>439</v>
      </c>
      <c r="MI11" t="s">
        <v>372</v>
      </c>
      <c r="MJ11" t="s">
        <v>372</v>
      </c>
      <c r="MK11" t="s">
        <v>543</v>
      </c>
      <c r="ML11" t="s">
        <v>372</v>
      </c>
      <c r="MM11" t="s">
        <v>441</v>
      </c>
      <c r="MN11" t="s">
        <v>372</v>
      </c>
      <c r="MO11" t="s">
        <v>372</v>
      </c>
      <c r="MP11">
        <v>5</v>
      </c>
      <c r="MQ11">
        <v>9</v>
      </c>
      <c r="MR11">
        <v>4</v>
      </c>
      <c r="MS11" t="s">
        <v>598</v>
      </c>
      <c r="MT11" t="s">
        <v>599</v>
      </c>
      <c r="MU11" t="s">
        <v>752</v>
      </c>
      <c r="MV11" t="s">
        <v>753</v>
      </c>
      <c r="MW11" t="s">
        <v>372</v>
      </c>
      <c r="MX11" t="s">
        <v>372</v>
      </c>
      <c r="MY11" t="s">
        <v>372</v>
      </c>
      <c r="MZ11" t="s">
        <v>382</v>
      </c>
      <c r="NA11" t="s">
        <v>382</v>
      </c>
    </row>
    <row r="12" spans="1:365">
      <c r="A12" t="s">
        <v>849</v>
      </c>
      <c r="B12" s="8">
        <v>46104</v>
      </c>
      <c r="C12">
        <v>11</v>
      </c>
      <c r="D12">
        <v>46</v>
      </c>
      <c r="E12" t="s">
        <v>850</v>
      </c>
      <c r="F12" t="s">
        <v>851</v>
      </c>
      <c r="G12" t="s">
        <v>852</v>
      </c>
      <c r="H12" t="s">
        <v>369</v>
      </c>
      <c r="I12" t="s">
        <v>680</v>
      </c>
      <c r="J12" t="s">
        <v>681</v>
      </c>
      <c r="K12" t="s">
        <v>372</v>
      </c>
      <c r="L12" t="s">
        <v>556</v>
      </c>
      <c r="M12" t="s">
        <v>557</v>
      </c>
      <c r="N12" t="s">
        <v>853</v>
      </c>
      <c r="O12" t="s">
        <v>558</v>
      </c>
      <c r="P12" t="s">
        <v>854</v>
      </c>
      <c r="Q12" t="s">
        <v>380</v>
      </c>
      <c r="R12" t="s">
        <v>379</v>
      </c>
      <c r="S12" t="s">
        <v>380</v>
      </c>
      <c r="T12" t="s">
        <v>381</v>
      </c>
      <c r="U12" t="s">
        <v>380</v>
      </c>
      <c r="V12" t="s">
        <v>379</v>
      </c>
      <c r="W12" t="s">
        <v>379</v>
      </c>
      <c r="X12" t="s">
        <v>380</v>
      </c>
      <c r="Y12" t="s">
        <v>378</v>
      </c>
      <c r="Z12" t="s">
        <v>378</v>
      </c>
      <c r="AA12" t="s">
        <v>382</v>
      </c>
      <c r="AB12" t="s">
        <v>380</v>
      </c>
      <c r="AC12" t="s">
        <v>382</v>
      </c>
      <c r="AD12" t="s">
        <v>382</v>
      </c>
      <c r="AE12" t="s">
        <v>380</v>
      </c>
      <c r="AF12" t="s">
        <v>379</v>
      </c>
      <c r="AG12" t="s">
        <v>382</v>
      </c>
      <c r="AH12" t="s">
        <v>382</v>
      </c>
      <c r="AI12" t="s">
        <v>382</v>
      </c>
      <c r="AJ12" t="s">
        <v>382</v>
      </c>
      <c r="AK12" t="s">
        <v>382</v>
      </c>
      <c r="AL12" t="s">
        <v>380</v>
      </c>
      <c r="AM12" t="s">
        <v>380</v>
      </c>
      <c r="AN12" t="s">
        <v>382</v>
      </c>
      <c r="AO12" t="s">
        <v>382</v>
      </c>
      <c r="AP12" t="s">
        <v>382</v>
      </c>
      <c r="AQ12" t="s">
        <v>380</v>
      </c>
      <c r="AR12" t="s">
        <v>379</v>
      </c>
      <c r="AS12" t="s">
        <v>379</v>
      </c>
      <c r="AT12" t="s">
        <v>382</v>
      </c>
      <c r="AU12" t="s">
        <v>382</v>
      </c>
      <c r="AV12" t="s">
        <v>382</v>
      </c>
      <c r="AW12" t="s">
        <v>380</v>
      </c>
      <c r="AX12" t="s">
        <v>855</v>
      </c>
      <c r="AY12">
        <v>1</v>
      </c>
      <c r="AZ12" t="s">
        <v>382</v>
      </c>
      <c r="BA12" t="s">
        <v>496</v>
      </c>
      <c r="BB12" t="s">
        <v>451</v>
      </c>
      <c r="BC12" t="s">
        <v>452</v>
      </c>
      <c r="BD12" t="s">
        <v>453</v>
      </c>
      <c r="BE12" t="s">
        <v>454</v>
      </c>
      <c r="BF12">
        <v>1</v>
      </c>
      <c r="BG12" t="s">
        <v>389</v>
      </c>
      <c r="BH12" t="s">
        <v>856</v>
      </c>
      <c r="BI12" t="s">
        <v>382</v>
      </c>
      <c r="BJ12" t="s">
        <v>382</v>
      </c>
      <c r="BK12" t="s">
        <v>382</v>
      </c>
      <c r="BL12" t="s">
        <v>382</v>
      </c>
      <c r="BM12" t="s">
        <v>382</v>
      </c>
      <c r="BN12" t="s">
        <v>382</v>
      </c>
      <c r="BO12" t="s">
        <v>382</v>
      </c>
      <c r="BP12" t="s">
        <v>382</v>
      </c>
      <c r="BQ12" t="s">
        <v>382</v>
      </c>
      <c r="BR12" t="s">
        <v>382</v>
      </c>
      <c r="BS12" t="s">
        <v>382</v>
      </c>
      <c r="BT12" t="s">
        <v>857</v>
      </c>
      <c r="BU12" t="s">
        <v>382</v>
      </c>
      <c r="BV12" t="s">
        <v>382</v>
      </c>
      <c r="BW12" t="s">
        <v>382</v>
      </c>
      <c r="BX12" t="s">
        <v>382</v>
      </c>
      <c r="BY12" t="s">
        <v>858</v>
      </c>
      <c r="BZ12" t="s">
        <v>382</v>
      </c>
      <c r="CA12" t="s">
        <v>382</v>
      </c>
      <c r="CB12" t="s">
        <v>382</v>
      </c>
      <c r="CC12" t="s">
        <v>382</v>
      </c>
      <c r="CD12" t="s">
        <v>382</v>
      </c>
      <c r="CE12" t="s">
        <v>382</v>
      </c>
      <c r="CF12">
        <v>3</v>
      </c>
      <c r="CG12">
        <v>2</v>
      </c>
      <c r="CH12">
        <v>4</v>
      </c>
      <c r="CI12" t="s">
        <v>397</v>
      </c>
      <c r="CJ12" t="s">
        <v>378</v>
      </c>
      <c r="CK12" t="s">
        <v>394</v>
      </c>
      <c r="CL12" t="s">
        <v>395</v>
      </c>
      <c r="CM12" t="s">
        <v>393</v>
      </c>
      <c r="CN12" t="s">
        <v>395</v>
      </c>
      <c r="CO12" t="s">
        <v>396</v>
      </c>
      <c r="CP12" t="s">
        <v>395</v>
      </c>
      <c r="CQ12" t="s">
        <v>381</v>
      </c>
      <c r="CR12" t="s">
        <v>381</v>
      </c>
      <c r="CS12" t="s">
        <v>395</v>
      </c>
      <c r="CT12" t="s">
        <v>379</v>
      </c>
      <c r="CU12" t="s">
        <v>395</v>
      </c>
      <c r="CV12" t="s">
        <v>382</v>
      </c>
      <c r="CW12" t="s">
        <v>395</v>
      </c>
      <c r="CX12" t="s">
        <v>382</v>
      </c>
      <c r="CY12">
        <v>4</v>
      </c>
      <c r="CZ12" t="s">
        <v>695</v>
      </c>
      <c r="DA12" t="s">
        <v>401</v>
      </c>
      <c r="DB12" t="s">
        <v>401</v>
      </c>
      <c r="DC12" t="s">
        <v>401</v>
      </c>
      <c r="DD12" t="s">
        <v>401</v>
      </c>
      <c r="DE12" t="s">
        <v>401</v>
      </c>
      <c r="DF12" t="s">
        <v>401</v>
      </c>
      <c r="DG12" t="s">
        <v>381</v>
      </c>
      <c r="DH12" t="s">
        <v>381</v>
      </c>
      <c r="DI12" t="s">
        <v>381</v>
      </c>
      <c r="DJ12" t="s">
        <v>381</v>
      </c>
      <c r="DK12" t="s">
        <v>859</v>
      </c>
      <c r="DL12" t="s">
        <v>860</v>
      </c>
      <c r="DM12" t="s">
        <v>372</v>
      </c>
      <c r="DN12" t="s">
        <v>372</v>
      </c>
      <c r="DO12" t="s">
        <v>372</v>
      </c>
      <c r="DP12" t="s">
        <v>372</v>
      </c>
      <c r="DQ12" t="s">
        <v>372</v>
      </c>
      <c r="DR12" t="s">
        <v>372</v>
      </c>
      <c r="DS12" t="s">
        <v>372</v>
      </c>
      <c r="DT12" t="s">
        <v>372</v>
      </c>
      <c r="DU12" t="s">
        <v>372</v>
      </c>
      <c r="DV12" t="s">
        <v>372</v>
      </c>
      <c r="DW12" t="s">
        <v>372</v>
      </c>
      <c r="DX12" t="s">
        <v>372</v>
      </c>
      <c r="DY12" t="s">
        <v>372</v>
      </c>
      <c r="DZ12" t="s">
        <v>372</v>
      </c>
      <c r="EA12" t="s">
        <v>372</v>
      </c>
      <c r="EB12" t="s">
        <v>372</v>
      </c>
      <c r="EC12" t="s">
        <v>372</v>
      </c>
      <c r="ED12" t="s">
        <v>372</v>
      </c>
      <c r="EE12" t="s">
        <v>372</v>
      </c>
      <c r="EF12" t="s">
        <v>372</v>
      </c>
      <c r="EG12" t="s">
        <v>372</v>
      </c>
      <c r="EH12" t="s">
        <v>372</v>
      </c>
      <c r="EI12" t="s">
        <v>372</v>
      </c>
      <c r="EJ12" t="s">
        <v>372</v>
      </c>
      <c r="EK12" t="s">
        <v>372</v>
      </c>
      <c r="EL12" t="s">
        <v>372</v>
      </c>
      <c r="EM12" t="s">
        <v>372</v>
      </c>
      <c r="EN12" t="s">
        <v>372</v>
      </c>
      <c r="EO12" t="s">
        <v>861</v>
      </c>
      <c r="EP12" t="s">
        <v>862</v>
      </c>
      <c r="EQ12" t="s">
        <v>372</v>
      </c>
      <c r="ER12" t="s">
        <v>372</v>
      </c>
      <c r="ES12" t="s">
        <v>372</v>
      </c>
      <c r="ET12" t="s">
        <v>372</v>
      </c>
      <c r="EU12" t="s">
        <v>372</v>
      </c>
      <c r="EV12" t="s">
        <v>372</v>
      </c>
      <c r="EW12" t="s">
        <v>372</v>
      </c>
      <c r="EX12" t="s">
        <v>372</v>
      </c>
      <c r="EY12" t="s">
        <v>372</v>
      </c>
      <c r="EZ12" t="s">
        <v>372</v>
      </c>
      <c r="FA12" t="s">
        <v>372</v>
      </c>
      <c r="FB12" t="s">
        <v>372</v>
      </c>
      <c r="FC12" t="s">
        <v>372</v>
      </c>
      <c r="FD12" t="s">
        <v>372</v>
      </c>
      <c r="FE12" t="s">
        <v>372</v>
      </c>
      <c r="FF12" t="s">
        <v>372</v>
      </c>
      <c r="FG12" t="s">
        <v>372</v>
      </c>
      <c r="FH12" t="s">
        <v>372</v>
      </c>
      <c r="FI12" t="s">
        <v>372</v>
      </c>
      <c r="FJ12" t="s">
        <v>372</v>
      </c>
      <c r="FK12" t="s">
        <v>372</v>
      </c>
      <c r="FL12" t="s">
        <v>372</v>
      </c>
      <c r="FM12" t="s">
        <v>372</v>
      </c>
      <c r="FN12" t="s">
        <v>372</v>
      </c>
      <c r="FO12" t="s">
        <v>372</v>
      </c>
      <c r="FP12" t="s">
        <v>372</v>
      </c>
      <c r="FQ12" t="s">
        <v>372</v>
      </c>
      <c r="FR12" t="s">
        <v>372</v>
      </c>
      <c r="FS12" t="s">
        <v>863</v>
      </c>
      <c r="FT12" t="s">
        <v>864</v>
      </c>
      <c r="FU12" t="s">
        <v>468</v>
      </c>
      <c r="FV12" t="s">
        <v>372</v>
      </c>
      <c r="FW12" t="s">
        <v>372</v>
      </c>
      <c r="FX12" t="s">
        <v>372</v>
      </c>
      <c r="FY12" t="s">
        <v>372</v>
      </c>
      <c r="FZ12" t="s">
        <v>372</v>
      </c>
      <c r="GA12" t="s">
        <v>372</v>
      </c>
      <c r="GB12" t="s">
        <v>372</v>
      </c>
      <c r="GC12" t="s">
        <v>372</v>
      </c>
      <c r="GD12" t="s">
        <v>372</v>
      </c>
      <c r="GE12" t="s">
        <v>372</v>
      </c>
      <c r="GF12" t="s">
        <v>372</v>
      </c>
      <c r="GG12" t="s">
        <v>372</v>
      </c>
      <c r="GH12" t="s">
        <v>372</v>
      </c>
      <c r="GI12" t="s">
        <v>372</v>
      </c>
      <c r="GJ12" t="s">
        <v>372</v>
      </c>
      <c r="GK12" t="s">
        <v>372</v>
      </c>
      <c r="GL12" t="s">
        <v>372</v>
      </c>
      <c r="GM12" t="s">
        <v>372</v>
      </c>
      <c r="GN12" t="s">
        <v>372</v>
      </c>
      <c r="GO12" t="s">
        <v>865</v>
      </c>
      <c r="GP12" t="s">
        <v>372</v>
      </c>
      <c r="GQ12" t="s">
        <v>372</v>
      </c>
      <c r="GR12" t="s">
        <v>372</v>
      </c>
      <c r="GS12" t="s">
        <v>372</v>
      </c>
      <c r="GT12" t="s">
        <v>372</v>
      </c>
      <c r="GU12" t="s">
        <v>372</v>
      </c>
      <c r="GV12" t="s">
        <v>372</v>
      </c>
      <c r="GW12" t="s">
        <v>372</v>
      </c>
      <c r="GX12" t="s">
        <v>372</v>
      </c>
      <c r="GY12" t="s">
        <v>372</v>
      </c>
      <c r="GZ12" t="s">
        <v>372</v>
      </c>
      <c r="HA12" t="s">
        <v>372</v>
      </c>
      <c r="HB12" t="s">
        <v>372</v>
      </c>
      <c r="HC12" t="s">
        <v>372</v>
      </c>
      <c r="HD12" t="s">
        <v>372</v>
      </c>
      <c r="HE12" t="s">
        <v>372</v>
      </c>
      <c r="HF12" t="s">
        <v>372</v>
      </c>
      <c r="HG12" t="s">
        <v>372</v>
      </c>
      <c r="HH12" t="s">
        <v>372</v>
      </c>
      <c r="HI12" t="s">
        <v>381</v>
      </c>
      <c r="HJ12" t="s">
        <v>382</v>
      </c>
      <c r="HK12" t="s">
        <v>382</v>
      </c>
      <c r="HL12" t="s">
        <v>382</v>
      </c>
      <c r="HM12" t="s">
        <v>382</v>
      </c>
      <c r="HN12" t="s">
        <v>382</v>
      </c>
      <c r="HO12" t="s">
        <v>382</v>
      </c>
      <c r="HP12" t="s">
        <v>382</v>
      </c>
      <c r="HQ12" t="s">
        <v>382</v>
      </c>
      <c r="HR12" t="s">
        <v>382</v>
      </c>
      <c r="HS12" t="s">
        <v>382</v>
      </c>
      <c r="HT12" t="s">
        <v>382</v>
      </c>
      <c r="HU12" t="s">
        <v>382</v>
      </c>
      <c r="HV12" t="s">
        <v>382</v>
      </c>
      <c r="HW12" t="s">
        <v>382</v>
      </c>
      <c r="HX12" t="s">
        <v>382</v>
      </c>
      <c r="HY12" t="s">
        <v>382</v>
      </c>
      <c r="HZ12" t="s">
        <v>382</v>
      </c>
      <c r="IA12" t="s">
        <v>382</v>
      </c>
      <c r="IB12" t="s">
        <v>382</v>
      </c>
      <c r="IC12" t="s">
        <v>395</v>
      </c>
      <c r="ID12" t="s">
        <v>395</v>
      </c>
      <c r="IE12" t="s">
        <v>395</v>
      </c>
      <c r="IF12" t="s">
        <v>395</v>
      </c>
      <c r="IG12" t="s">
        <v>395</v>
      </c>
      <c r="IH12" t="s">
        <v>380</v>
      </c>
      <c r="II12" t="s">
        <v>380</v>
      </c>
      <c r="IJ12" t="s">
        <v>395</v>
      </c>
      <c r="IK12" t="s">
        <v>395</v>
      </c>
      <c r="IL12" t="s">
        <v>395</v>
      </c>
      <c r="IM12" t="s">
        <v>395</v>
      </c>
      <c r="IN12" t="s">
        <v>381</v>
      </c>
      <c r="IO12" t="s">
        <v>395</v>
      </c>
      <c r="IP12" t="s">
        <v>395</v>
      </c>
      <c r="IQ12" t="s">
        <v>381</v>
      </c>
      <c r="IR12" t="s">
        <v>381</v>
      </c>
      <c r="IS12" t="s">
        <v>381</v>
      </c>
      <c r="IT12" t="s">
        <v>580</v>
      </c>
      <c r="IU12" t="s">
        <v>581</v>
      </c>
      <c r="IV12" t="s">
        <v>419</v>
      </c>
      <c r="IW12" t="s">
        <v>420</v>
      </c>
      <c r="IX12" t="s">
        <v>423</v>
      </c>
      <c r="IY12" t="s">
        <v>424</v>
      </c>
      <c r="IZ12" t="s">
        <v>656</v>
      </c>
      <c r="JA12" t="s">
        <v>372</v>
      </c>
      <c r="JB12" t="s">
        <v>372</v>
      </c>
      <c r="JC12" t="s">
        <v>372</v>
      </c>
      <c r="JD12" t="s">
        <v>372</v>
      </c>
      <c r="JE12" t="s">
        <v>372</v>
      </c>
      <c r="JF12" t="s">
        <v>372</v>
      </c>
      <c r="JG12" t="s">
        <v>372</v>
      </c>
      <c r="JH12" t="s">
        <v>372</v>
      </c>
      <c r="JI12" t="s">
        <v>372</v>
      </c>
      <c r="JJ12" t="s">
        <v>372</v>
      </c>
      <c r="JK12" t="s">
        <v>372</v>
      </c>
      <c r="JL12" t="s">
        <v>372</v>
      </c>
      <c r="JM12" t="s">
        <v>372</v>
      </c>
      <c r="JN12" t="s">
        <v>372</v>
      </c>
      <c r="JO12" t="s">
        <v>372</v>
      </c>
      <c r="JP12" t="s">
        <v>372</v>
      </c>
      <c r="JQ12" t="s">
        <v>372</v>
      </c>
      <c r="JR12" t="s">
        <v>372</v>
      </c>
      <c r="JS12" t="s">
        <v>372</v>
      </c>
      <c r="JT12" t="s">
        <v>372</v>
      </c>
      <c r="JU12" t="s">
        <v>372</v>
      </c>
      <c r="JV12" t="s">
        <v>372</v>
      </c>
      <c r="JW12" t="s">
        <v>372</v>
      </c>
      <c r="JX12" t="s">
        <v>427</v>
      </c>
      <c r="JY12" t="s">
        <v>866</v>
      </c>
      <c r="JZ12" t="s">
        <v>427</v>
      </c>
      <c r="KA12" t="s">
        <v>867</v>
      </c>
      <c r="KB12" t="s">
        <v>372</v>
      </c>
      <c r="KC12" t="s">
        <v>372</v>
      </c>
      <c r="KD12" t="s">
        <v>372</v>
      </c>
      <c r="KE12" t="s">
        <v>372</v>
      </c>
      <c r="KF12" t="s">
        <v>372</v>
      </c>
      <c r="KG12" t="s">
        <v>372</v>
      </c>
      <c r="KH12" t="s">
        <v>372</v>
      </c>
      <c r="KI12" t="s">
        <v>372</v>
      </c>
      <c r="KJ12" t="s">
        <v>372</v>
      </c>
      <c r="KK12" t="s">
        <v>372</v>
      </c>
      <c r="KL12" t="s">
        <v>372</v>
      </c>
      <c r="KM12" t="s">
        <v>372</v>
      </c>
      <c r="KN12" t="s">
        <v>372</v>
      </c>
      <c r="KO12" t="s">
        <v>372</v>
      </c>
      <c r="KP12" t="s">
        <v>372</v>
      </c>
      <c r="KQ12" t="s">
        <v>372</v>
      </c>
      <c r="KR12" t="s">
        <v>372</v>
      </c>
      <c r="KS12" t="s">
        <v>372</v>
      </c>
      <c r="KT12" t="s">
        <v>372</v>
      </c>
      <c r="KU12" t="s">
        <v>372</v>
      </c>
      <c r="KV12" t="s">
        <v>372</v>
      </c>
      <c r="KW12" t="s">
        <v>372</v>
      </c>
      <c r="KX12" t="s">
        <v>372</v>
      </c>
      <c r="KY12" t="s">
        <v>372</v>
      </c>
      <c r="KZ12" t="s">
        <v>372</v>
      </c>
      <c r="LA12" t="s">
        <v>372</v>
      </c>
      <c r="LB12" t="s">
        <v>590</v>
      </c>
      <c r="LC12" t="s">
        <v>591</v>
      </c>
      <c r="LD12" t="s">
        <v>432</v>
      </c>
      <c r="LE12" t="s">
        <v>433</v>
      </c>
      <c r="LF12" t="s">
        <v>436</v>
      </c>
      <c r="LG12" t="s">
        <v>437</v>
      </c>
      <c r="LH12" t="s">
        <v>668</v>
      </c>
      <c r="LI12" t="s">
        <v>372</v>
      </c>
      <c r="LJ12" t="s">
        <v>372</v>
      </c>
      <c r="LK12" t="s">
        <v>372</v>
      </c>
      <c r="LL12" t="s">
        <v>372</v>
      </c>
      <c r="LM12" t="s">
        <v>372</v>
      </c>
      <c r="LN12" t="s">
        <v>372</v>
      </c>
      <c r="LO12" t="s">
        <v>372</v>
      </c>
      <c r="LP12" t="s">
        <v>372</v>
      </c>
      <c r="LQ12" t="s">
        <v>372</v>
      </c>
      <c r="LR12" t="s">
        <v>372</v>
      </c>
      <c r="LS12" t="s">
        <v>372</v>
      </c>
      <c r="LT12" t="s">
        <v>372</v>
      </c>
      <c r="LU12" t="s">
        <v>372</v>
      </c>
      <c r="LV12" t="s">
        <v>372</v>
      </c>
      <c r="LW12" t="s">
        <v>372</v>
      </c>
      <c r="LX12" t="s">
        <v>372</v>
      </c>
      <c r="LY12" t="s">
        <v>372</v>
      </c>
      <c r="LZ12" t="s">
        <v>372</v>
      </c>
      <c r="MA12" t="s">
        <v>372</v>
      </c>
      <c r="MB12" t="s">
        <v>372</v>
      </c>
      <c r="MC12" t="s">
        <v>372</v>
      </c>
      <c r="MD12" t="s">
        <v>372</v>
      </c>
      <c r="ME12" t="s">
        <v>372</v>
      </c>
      <c r="MF12" t="s">
        <v>748</v>
      </c>
      <c r="MG12" t="s">
        <v>372</v>
      </c>
      <c r="MH12" t="s">
        <v>372</v>
      </c>
      <c r="MI12" t="s">
        <v>372</v>
      </c>
      <c r="MJ12" t="s">
        <v>372</v>
      </c>
      <c r="MK12" t="s">
        <v>749</v>
      </c>
      <c r="ML12" t="s">
        <v>372</v>
      </c>
      <c r="MM12" t="s">
        <v>382</v>
      </c>
      <c r="MN12" t="s">
        <v>372</v>
      </c>
      <c r="MO12" t="s">
        <v>372</v>
      </c>
      <c r="MP12">
        <v>5</v>
      </c>
      <c r="MQ12">
        <v>8</v>
      </c>
      <c r="MR12">
        <v>2</v>
      </c>
      <c r="MS12" t="s">
        <v>868</v>
      </c>
      <c r="MT12" t="s">
        <v>869</v>
      </c>
      <c r="MU12" t="s">
        <v>598</v>
      </c>
      <c r="MV12" t="s">
        <v>599</v>
      </c>
      <c r="MW12" t="s">
        <v>372</v>
      </c>
      <c r="MX12" t="s">
        <v>372</v>
      </c>
      <c r="MY12" t="s">
        <v>372</v>
      </c>
      <c r="MZ12" t="s">
        <v>870</v>
      </c>
      <c r="NA12" t="s">
        <v>382</v>
      </c>
    </row>
    <row r="13" spans="1:365">
      <c r="A13" t="s">
        <v>871</v>
      </c>
      <c r="B13" s="8">
        <v>46104</v>
      </c>
      <c r="C13">
        <v>1</v>
      </c>
      <c r="D13">
        <v>54</v>
      </c>
      <c r="E13" t="s">
        <v>872</v>
      </c>
      <c r="F13" t="s">
        <v>873</v>
      </c>
      <c r="G13" t="s">
        <v>874</v>
      </c>
      <c r="H13" t="s">
        <v>552</v>
      </c>
      <c r="I13" t="s">
        <v>553</v>
      </c>
      <c r="J13" t="s">
        <v>554</v>
      </c>
      <c r="K13" t="s">
        <v>875</v>
      </c>
      <c r="L13" t="s">
        <v>607</v>
      </c>
      <c r="M13" t="s">
        <v>608</v>
      </c>
      <c r="N13" t="s">
        <v>876</v>
      </c>
      <c r="O13" t="s">
        <v>877</v>
      </c>
      <c r="P13" t="s">
        <v>372</v>
      </c>
      <c r="Q13" t="s">
        <v>379</v>
      </c>
      <c r="R13" t="s">
        <v>380</v>
      </c>
      <c r="S13" t="s">
        <v>379</v>
      </c>
      <c r="T13" t="s">
        <v>878</v>
      </c>
      <c r="U13" t="s">
        <v>380</v>
      </c>
      <c r="V13" t="s">
        <v>826</v>
      </c>
      <c r="W13" t="s">
        <v>380</v>
      </c>
      <c r="X13" t="s">
        <v>380</v>
      </c>
      <c r="Y13" t="s">
        <v>379</v>
      </c>
      <c r="Z13" t="s">
        <v>382</v>
      </c>
      <c r="AA13" t="s">
        <v>382</v>
      </c>
      <c r="AB13" t="s">
        <v>381</v>
      </c>
      <c r="AC13" t="s">
        <v>379</v>
      </c>
      <c r="AD13" t="s">
        <v>382</v>
      </c>
      <c r="AE13" t="s">
        <v>382</v>
      </c>
      <c r="AF13" t="s">
        <v>382</v>
      </c>
      <c r="AG13" t="s">
        <v>382</v>
      </c>
      <c r="AH13" t="s">
        <v>381</v>
      </c>
      <c r="AI13" t="s">
        <v>398</v>
      </c>
      <c r="AJ13" t="s">
        <v>382</v>
      </c>
      <c r="AK13" t="s">
        <v>382</v>
      </c>
      <c r="AL13" t="s">
        <v>382</v>
      </c>
      <c r="AM13" t="s">
        <v>381</v>
      </c>
      <c r="AN13" t="s">
        <v>382</v>
      </c>
      <c r="AO13" t="s">
        <v>382</v>
      </c>
      <c r="AP13" t="s">
        <v>382</v>
      </c>
      <c r="AQ13" t="s">
        <v>381</v>
      </c>
      <c r="AR13" t="s">
        <v>379</v>
      </c>
      <c r="AS13" t="s">
        <v>379</v>
      </c>
      <c r="AT13" t="s">
        <v>381</v>
      </c>
      <c r="AU13" t="s">
        <v>382</v>
      </c>
      <c r="AV13" t="s">
        <v>380</v>
      </c>
      <c r="AW13" t="s">
        <v>381</v>
      </c>
      <c r="AX13" t="s">
        <v>879</v>
      </c>
      <c r="AY13">
        <v>2</v>
      </c>
      <c r="AZ13" t="s">
        <v>561</v>
      </c>
      <c r="BA13" t="s">
        <v>496</v>
      </c>
      <c r="BB13" t="s">
        <v>451</v>
      </c>
      <c r="BC13" t="s">
        <v>452</v>
      </c>
      <c r="BD13" t="s">
        <v>523</v>
      </c>
      <c r="BE13" t="s">
        <v>563</v>
      </c>
      <c r="BF13">
        <v>2</v>
      </c>
      <c r="BG13" t="s">
        <v>389</v>
      </c>
      <c r="BH13" t="s">
        <v>382</v>
      </c>
      <c r="BI13" t="s">
        <v>382</v>
      </c>
      <c r="BJ13" t="s">
        <v>880</v>
      </c>
      <c r="BK13" t="s">
        <v>382</v>
      </c>
      <c r="BL13" t="s">
        <v>382</v>
      </c>
      <c r="BM13" t="s">
        <v>382</v>
      </c>
      <c r="BN13" t="s">
        <v>382</v>
      </c>
      <c r="BO13" t="s">
        <v>382</v>
      </c>
      <c r="BP13" t="s">
        <v>382</v>
      </c>
      <c r="BQ13" t="s">
        <v>881</v>
      </c>
      <c r="BR13" t="s">
        <v>382</v>
      </c>
      <c r="BS13" t="s">
        <v>382</v>
      </c>
      <c r="BT13" t="s">
        <v>382</v>
      </c>
      <c r="BU13" t="s">
        <v>382</v>
      </c>
      <c r="BV13" t="s">
        <v>382</v>
      </c>
      <c r="BW13" t="s">
        <v>382</v>
      </c>
      <c r="BX13" t="s">
        <v>382</v>
      </c>
      <c r="BY13" t="s">
        <v>382</v>
      </c>
      <c r="BZ13" t="s">
        <v>382</v>
      </c>
      <c r="CA13" t="s">
        <v>882</v>
      </c>
      <c r="CB13" t="s">
        <v>382</v>
      </c>
      <c r="CC13" t="s">
        <v>382</v>
      </c>
      <c r="CD13" t="s">
        <v>382</v>
      </c>
      <c r="CE13" t="s">
        <v>382</v>
      </c>
      <c r="CF13">
        <v>3</v>
      </c>
      <c r="CG13">
        <v>2</v>
      </c>
      <c r="CH13">
        <v>2</v>
      </c>
      <c r="CI13" t="s">
        <v>394</v>
      </c>
      <c r="CJ13" t="s">
        <v>380</v>
      </c>
      <c r="CK13" t="s">
        <v>393</v>
      </c>
      <c r="CL13" t="s">
        <v>395</v>
      </c>
      <c r="CM13" t="s">
        <v>396</v>
      </c>
      <c r="CN13" t="s">
        <v>395</v>
      </c>
      <c r="CO13" t="s">
        <v>397</v>
      </c>
      <c r="CP13" t="s">
        <v>395</v>
      </c>
      <c r="CQ13" t="s">
        <v>380</v>
      </c>
      <c r="CR13" t="s">
        <v>381</v>
      </c>
      <c r="CS13" t="s">
        <v>395</v>
      </c>
      <c r="CT13" t="s">
        <v>381</v>
      </c>
      <c r="CU13" t="s">
        <v>395</v>
      </c>
      <c r="CV13" t="s">
        <v>382</v>
      </c>
      <c r="CW13" t="s">
        <v>395</v>
      </c>
      <c r="CX13" t="s">
        <v>382</v>
      </c>
      <c r="CY13">
        <v>5</v>
      </c>
      <c r="CZ13" t="s">
        <v>400</v>
      </c>
      <c r="DA13" t="s">
        <v>401</v>
      </c>
      <c r="DB13" t="s">
        <v>401</v>
      </c>
      <c r="DC13" t="s">
        <v>401</v>
      </c>
      <c r="DD13" t="s">
        <v>883</v>
      </c>
      <c r="DE13" t="s">
        <v>401</v>
      </c>
      <c r="DF13" t="s">
        <v>381</v>
      </c>
      <c r="DG13" t="s">
        <v>381</v>
      </c>
      <c r="DH13" t="s">
        <v>381</v>
      </c>
      <c r="DI13" t="s">
        <v>381</v>
      </c>
      <c r="DJ13" t="s">
        <v>381</v>
      </c>
      <c r="DK13" t="s">
        <v>884</v>
      </c>
      <c r="DL13" t="s">
        <v>885</v>
      </c>
      <c r="DM13" t="s">
        <v>503</v>
      </c>
      <c r="DN13" t="s">
        <v>504</v>
      </c>
      <c r="DO13" t="s">
        <v>886</v>
      </c>
      <c r="DP13" t="s">
        <v>887</v>
      </c>
      <c r="DQ13" t="s">
        <v>888</v>
      </c>
      <c r="DR13" t="s">
        <v>889</v>
      </c>
      <c r="DS13" t="s">
        <v>509</v>
      </c>
      <c r="DT13" t="s">
        <v>510</v>
      </c>
      <c r="DU13" t="s">
        <v>511</v>
      </c>
      <c r="DV13" t="s">
        <v>512</v>
      </c>
      <c r="DW13" t="s">
        <v>372</v>
      </c>
      <c r="DX13" t="s">
        <v>372</v>
      </c>
      <c r="DY13" t="s">
        <v>372</v>
      </c>
      <c r="DZ13" t="s">
        <v>372</v>
      </c>
      <c r="EA13" t="s">
        <v>372</v>
      </c>
      <c r="EB13" t="s">
        <v>372</v>
      </c>
      <c r="EC13" t="s">
        <v>372</v>
      </c>
      <c r="ED13" t="s">
        <v>372</v>
      </c>
      <c r="EE13" t="s">
        <v>372</v>
      </c>
      <c r="EF13" t="s">
        <v>372</v>
      </c>
      <c r="EG13" t="s">
        <v>372</v>
      </c>
      <c r="EH13" t="s">
        <v>372</v>
      </c>
      <c r="EI13" t="s">
        <v>372</v>
      </c>
      <c r="EJ13" t="s">
        <v>372</v>
      </c>
      <c r="EK13" t="s">
        <v>372</v>
      </c>
      <c r="EL13" t="s">
        <v>372</v>
      </c>
      <c r="EM13" t="s">
        <v>372</v>
      </c>
      <c r="EN13" t="s">
        <v>372</v>
      </c>
      <c r="EO13" t="s">
        <v>715</v>
      </c>
      <c r="EP13" t="s">
        <v>890</v>
      </c>
      <c r="EQ13" t="s">
        <v>513</v>
      </c>
      <c r="ER13" t="s">
        <v>514</v>
      </c>
      <c r="ES13" t="s">
        <v>891</v>
      </c>
      <c r="ET13" t="s">
        <v>892</v>
      </c>
      <c r="EU13" t="s">
        <v>893</v>
      </c>
      <c r="EV13" t="s">
        <v>894</v>
      </c>
      <c r="EW13" t="s">
        <v>519</v>
      </c>
      <c r="EX13" t="s">
        <v>520</v>
      </c>
      <c r="EY13" t="s">
        <v>521</v>
      </c>
      <c r="EZ13" t="s">
        <v>522</v>
      </c>
      <c r="FA13" t="s">
        <v>372</v>
      </c>
      <c r="FB13" t="s">
        <v>372</v>
      </c>
      <c r="FC13" t="s">
        <v>372</v>
      </c>
      <c r="FD13" t="s">
        <v>372</v>
      </c>
      <c r="FE13" t="s">
        <v>372</v>
      </c>
      <c r="FF13" t="s">
        <v>372</v>
      </c>
      <c r="FG13" t="s">
        <v>372</v>
      </c>
      <c r="FH13" t="s">
        <v>372</v>
      </c>
      <c r="FI13" t="s">
        <v>372</v>
      </c>
      <c r="FJ13" t="s">
        <v>372</v>
      </c>
      <c r="FK13" t="s">
        <v>372</v>
      </c>
      <c r="FL13" t="s">
        <v>372</v>
      </c>
      <c r="FM13" t="s">
        <v>372</v>
      </c>
      <c r="FN13" t="s">
        <v>372</v>
      </c>
      <c r="FO13" t="s">
        <v>372</v>
      </c>
      <c r="FP13" t="s">
        <v>372</v>
      </c>
      <c r="FQ13" t="s">
        <v>372</v>
      </c>
      <c r="FR13" t="s">
        <v>372</v>
      </c>
      <c r="FS13" t="s">
        <v>385</v>
      </c>
      <c r="FT13" t="s">
        <v>895</v>
      </c>
      <c r="FU13" t="s">
        <v>372</v>
      </c>
      <c r="FV13" t="s">
        <v>372</v>
      </c>
      <c r="FW13" t="s">
        <v>372</v>
      </c>
      <c r="FX13" t="s">
        <v>372</v>
      </c>
      <c r="FY13" t="s">
        <v>372</v>
      </c>
      <c r="FZ13" t="s">
        <v>372</v>
      </c>
      <c r="GA13" t="s">
        <v>372</v>
      </c>
      <c r="GB13" t="s">
        <v>372</v>
      </c>
      <c r="GC13" t="s">
        <v>372</v>
      </c>
      <c r="GD13" t="s">
        <v>372</v>
      </c>
      <c r="GE13" t="s">
        <v>372</v>
      </c>
      <c r="GF13" t="s">
        <v>372</v>
      </c>
      <c r="GG13" t="s">
        <v>372</v>
      </c>
      <c r="GH13" t="s">
        <v>372</v>
      </c>
      <c r="GI13" t="s">
        <v>372</v>
      </c>
      <c r="GJ13" t="s">
        <v>372</v>
      </c>
      <c r="GK13" t="s">
        <v>372</v>
      </c>
      <c r="GL13" t="s">
        <v>372</v>
      </c>
      <c r="GM13" t="s">
        <v>372</v>
      </c>
      <c r="GN13" t="s">
        <v>372</v>
      </c>
      <c r="GO13" t="s">
        <v>372</v>
      </c>
      <c r="GP13" t="s">
        <v>372</v>
      </c>
      <c r="GQ13" t="s">
        <v>372</v>
      </c>
      <c r="GR13" t="s">
        <v>372</v>
      </c>
      <c r="GS13" t="s">
        <v>372</v>
      </c>
      <c r="GT13" t="s">
        <v>372</v>
      </c>
      <c r="GU13" t="s">
        <v>372</v>
      </c>
      <c r="GV13" t="s">
        <v>372</v>
      </c>
      <c r="GW13" t="s">
        <v>372</v>
      </c>
      <c r="GX13" t="s">
        <v>372</v>
      </c>
      <c r="GY13" t="s">
        <v>372</v>
      </c>
      <c r="GZ13" t="s">
        <v>372</v>
      </c>
      <c r="HA13" t="s">
        <v>372</v>
      </c>
      <c r="HB13" t="s">
        <v>372</v>
      </c>
      <c r="HC13" t="s">
        <v>372</v>
      </c>
      <c r="HD13" t="s">
        <v>372</v>
      </c>
      <c r="HE13" t="s">
        <v>372</v>
      </c>
      <c r="HF13" t="s">
        <v>372</v>
      </c>
      <c r="HG13" t="s">
        <v>372</v>
      </c>
      <c r="HH13" t="s">
        <v>372</v>
      </c>
      <c r="HI13" t="s">
        <v>382</v>
      </c>
      <c r="HJ13" t="s">
        <v>382</v>
      </c>
      <c r="HK13" t="s">
        <v>382</v>
      </c>
      <c r="HL13" t="s">
        <v>382</v>
      </c>
      <c r="HM13" t="s">
        <v>382</v>
      </c>
      <c r="HN13" t="s">
        <v>382</v>
      </c>
      <c r="HO13" t="s">
        <v>382</v>
      </c>
      <c r="HP13" t="s">
        <v>382</v>
      </c>
      <c r="HQ13" t="s">
        <v>382</v>
      </c>
      <c r="HR13" t="s">
        <v>382</v>
      </c>
      <c r="HS13" t="s">
        <v>382</v>
      </c>
      <c r="HT13" t="s">
        <v>382</v>
      </c>
      <c r="HU13" t="s">
        <v>382</v>
      </c>
      <c r="HV13" t="s">
        <v>382</v>
      </c>
      <c r="HW13" t="s">
        <v>382</v>
      </c>
      <c r="HX13" t="s">
        <v>382</v>
      </c>
      <c r="HY13" t="s">
        <v>382</v>
      </c>
      <c r="HZ13" t="s">
        <v>382</v>
      </c>
      <c r="IA13" t="s">
        <v>382</v>
      </c>
      <c r="IB13" t="s">
        <v>382</v>
      </c>
      <c r="IC13" t="s">
        <v>395</v>
      </c>
      <c r="ID13" t="s">
        <v>395</v>
      </c>
      <c r="IE13" t="s">
        <v>395</v>
      </c>
      <c r="IF13" t="s">
        <v>381</v>
      </c>
      <c r="IG13" t="s">
        <v>395</v>
      </c>
      <c r="IH13" t="s">
        <v>395</v>
      </c>
      <c r="II13" t="s">
        <v>395</v>
      </c>
      <c r="IJ13" t="s">
        <v>378</v>
      </c>
      <c r="IK13" t="s">
        <v>381</v>
      </c>
      <c r="IL13" t="s">
        <v>380</v>
      </c>
      <c r="IM13" t="s">
        <v>395</v>
      </c>
      <c r="IN13" t="s">
        <v>395</v>
      </c>
      <c r="IO13" t="s">
        <v>395</v>
      </c>
      <c r="IP13" t="s">
        <v>395</v>
      </c>
      <c r="IQ13" t="s">
        <v>395</v>
      </c>
      <c r="IR13" t="s">
        <v>395</v>
      </c>
      <c r="IS13" t="s">
        <v>395</v>
      </c>
      <c r="IT13" t="s">
        <v>653</v>
      </c>
      <c r="IU13" t="s">
        <v>471</v>
      </c>
      <c r="IV13" t="s">
        <v>530</v>
      </c>
      <c r="IW13" t="s">
        <v>531</v>
      </c>
      <c r="IX13" t="s">
        <v>896</v>
      </c>
      <c r="IY13" t="s">
        <v>631</v>
      </c>
      <c r="IZ13" t="s">
        <v>897</v>
      </c>
      <c r="JA13" t="s">
        <v>898</v>
      </c>
      <c r="JB13" t="s">
        <v>372</v>
      </c>
      <c r="JC13" t="s">
        <v>372</v>
      </c>
      <c r="JD13" t="s">
        <v>372</v>
      </c>
      <c r="JE13" t="s">
        <v>372</v>
      </c>
      <c r="JF13" t="s">
        <v>372</v>
      </c>
      <c r="JG13" t="s">
        <v>372</v>
      </c>
      <c r="JH13" t="s">
        <v>372</v>
      </c>
      <c r="JI13" t="s">
        <v>372</v>
      </c>
      <c r="JJ13" t="s">
        <v>372</v>
      </c>
      <c r="JK13" t="s">
        <v>372</v>
      </c>
      <c r="JL13" t="s">
        <v>372</v>
      </c>
      <c r="JM13" t="s">
        <v>372</v>
      </c>
      <c r="JN13" t="s">
        <v>372</v>
      </c>
      <c r="JO13" t="s">
        <v>372</v>
      </c>
      <c r="JP13" t="s">
        <v>372</v>
      </c>
      <c r="JQ13" t="s">
        <v>372</v>
      </c>
      <c r="JR13" t="s">
        <v>372</v>
      </c>
      <c r="JS13" t="s">
        <v>372</v>
      </c>
      <c r="JT13" t="s">
        <v>372</v>
      </c>
      <c r="JU13" t="s">
        <v>372</v>
      </c>
      <c r="JV13" t="s">
        <v>372</v>
      </c>
      <c r="JW13" t="s">
        <v>372</v>
      </c>
      <c r="JX13" t="s">
        <v>899</v>
      </c>
      <c r="JY13" t="s">
        <v>476</v>
      </c>
      <c r="JZ13" t="s">
        <v>534</v>
      </c>
      <c r="KA13" t="s">
        <v>535</v>
      </c>
      <c r="KB13" t="s">
        <v>900</v>
      </c>
      <c r="KC13" t="s">
        <v>426</v>
      </c>
      <c r="KD13" t="s">
        <v>426</v>
      </c>
      <c r="KE13" t="s">
        <v>901</v>
      </c>
      <c r="KF13" t="s">
        <v>372</v>
      </c>
      <c r="KG13" t="s">
        <v>372</v>
      </c>
      <c r="KH13" t="s">
        <v>372</v>
      </c>
      <c r="KI13" t="s">
        <v>372</v>
      </c>
      <c r="KJ13" t="s">
        <v>372</v>
      </c>
      <c r="KK13" t="s">
        <v>372</v>
      </c>
      <c r="KL13" t="s">
        <v>372</v>
      </c>
      <c r="KM13" t="s">
        <v>372</v>
      </c>
      <c r="KN13" t="s">
        <v>372</v>
      </c>
      <c r="KO13" t="s">
        <v>372</v>
      </c>
      <c r="KP13" t="s">
        <v>372</v>
      </c>
      <c r="KQ13" t="s">
        <v>372</v>
      </c>
      <c r="KR13" t="s">
        <v>372</v>
      </c>
      <c r="KS13" t="s">
        <v>372</v>
      </c>
      <c r="KT13" t="s">
        <v>372</v>
      </c>
      <c r="KU13" t="s">
        <v>372</v>
      </c>
      <c r="KV13" t="s">
        <v>372</v>
      </c>
      <c r="KW13" t="s">
        <v>372</v>
      </c>
      <c r="KX13" t="s">
        <v>372</v>
      </c>
      <c r="KY13" t="s">
        <v>372</v>
      </c>
      <c r="KZ13" t="s">
        <v>372</v>
      </c>
      <c r="LA13" t="s">
        <v>372</v>
      </c>
      <c r="LB13" t="s">
        <v>665</v>
      </c>
      <c r="LC13" t="s">
        <v>479</v>
      </c>
      <c r="LD13" t="s">
        <v>538</v>
      </c>
      <c r="LE13" t="s">
        <v>539</v>
      </c>
      <c r="LF13" t="s">
        <v>902</v>
      </c>
      <c r="LG13" t="s">
        <v>594</v>
      </c>
      <c r="LH13" t="s">
        <v>903</v>
      </c>
      <c r="LI13" t="s">
        <v>904</v>
      </c>
      <c r="LJ13" t="s">
        <v>372</v>
      </c>
      <c r="LK13" t="s">
        <v>372</v>
      </c>
      <c r="LL13" t="s">
        <v>372</v>
      </c>
      <c r="LM13" t="s">
        <v>372</v>
      </c>
      <c r="LN13" t="s">
        <v>372</v>
      </c>
      <c r="LO13" t="s">
        <v>372</v>
      </c>
      <c r="LP13" t="s">
        <v>372</v>
      </c>
      <c r="LQ13" t="s">
        <v>372</v>
      </c>
      <c r="LR13" t="s">
        <v>372</v>
      </c>
      <c r="LS13" t="s">
        <v>372</v>
      </c>
      <c r="LT13" t="s">
        <v>372</v>
      </c>
      <c r="LU13" t="s">
        <v>372</v>
      </c>
      <c r="LV13" t="s">
        <v>372</v>
      </c>
      <c r="LW13" t="s">
        <v>372</v>
      </c>
      <c r="LX13" t="s">
        <v>372</v>
      </c>
      <c r="LY13" t="s">
        <v>372</v>
      </c>
      <c r="LZ13" t="s">
        <v>372</v>
      </c>
      <c r="MA13" t="s">
        <v>372</v>
      </c>
      <c r="MB13" t="s">
        <v>372</v>
      </c>
      <c r="MC13" t="s">
        <v>372</v>
      </c>
      <c r="MD13" t="s">
        <v>372</v>
      </c>
      <c r="ME13" t="s">
        <v>372</v>
      </c>
      <c r="MF13" t="s">
        <v>596</v>
      </c>
      <c r="MG13" t="s">
        <v>372</v>
      </c>
      <c r="MH13" t="s">
        <v>372</v>
      </c>
      <c r="MI13" t="s">
        <v>372</v>
      </c>
      <c r="MJ13" t="s">
        <v>372</v>
      </c>
      <c r="MK13" t="s">
        <v>597</v>
      </c>
      <c r="ML13" t="s">
        <v>372</v>
      </c>
      <c r="MM13" t="s">
        <v>382</v>
      </c>
      <c r="MN13" t="s">
        <v>372</v>
      </c>
      <c r="MO13" t="s">
        <v>372</v>
      </c>
      <c r="MP13">
        <v>5</v>
      </c>
      <c r="MQ13">
        <v>12</v>
      </c>
      <c r="MR13">
        <v>3</v>
      </c>
      <c r="MS13" t="s">
        <v>905</v>
      </c>
      <c r="MT13" t="s">
        <v>906</v>
      </c>
      <c r="MU13" t="s">
        <v>907</v>
      </c>
      <c r="MV13" t="s">
        <v>908</v>
      </c>
      <c r="MW13" t="s">
        <v>372</v>
      </c>
      <c r="MX13" t="s">
        <v>372</v>
      </c>
      <c r="MY13" t="s">
        <v>372</v>
      </c>
      <c r="MZ13" t="s">
        <v>909</v>
      </c>
      <c r="NA13" t="s">
        <v>382</v>
      </c>
    </row>
    <row r="14" spans="1:365">
      <c r="A14" t="s">
        <v>910</v>
      </c>
      <c r="B14" s="8">
        <v>46104</v>
      </c>
      <c r="C14">
        <v>2</v>
      </c>
      <c r="D14">
        <v>24</v>
      </c>
      <c r="E14" t="s">
        <v>911</v>
      </c>
      <c r="F14" t="s">
        <v>912</v>
      </c>
      <c r="G14" t="s">
        <v>913</v>
      </c>
      <c r="H14" t="s">
        <v>914</v>
      </c>
      <c r="I14" t="s">
        <v>790</v>
      </c>
      <c r="J14" t="s">
        <v>791</v>
      </c>
      <c r="K14" t="s">
        <v>372</v>
      </c>
      <c r="L14" t="s">
        <v>607</v>
      </c>
      <c r="M14" t="s">
        <v>608</v>
      </c>
      <c r="N14" t="s">
        <v>372</v>
      </c>
      <c r="O14" t="s">
        <v>372</v>
      </c>
      <c r="P14" t="s">
        <v>915</v>
      </c>
      <c r="Q14" t="s">
        <v>380</v>
      </c>
      <c r="R14" t="s">
        <v>379</v>
      </c>
      <c r="S14" t="s">
        <v>380</v>
      </c>
      <c r="T14" t="s">
        <v>381</v>
      </c>
      <c r="U14" t="s">
        <v>379</v>
      </c>
      <c r="V14" t="s">
        <v>380</v>
      </c>
      <c r="W14" t="s">
        <v>379</v>
      </c>
      <c r="X14" t="s">
        <v>379</v>
      </c>
      <c r="Y14" t="s">
        <v>379</v>
      </c>
      <c r="Z14" t="s">
        <v>382</v>
      </c>
      <c r="AA14" t="s">
        <v>380</v>
      </c>
      <c r="AB14" t="s">
        <v>382</v>
      </c>
      <c r="AC14" t="s">
        <v>380</v>
      </c>
      <c r="AD14" t="s">
        <v>382</v>
      </c>
      <c r="AE14" t="s">
        <v>382</v>
      </c>
      <c r="AF14" t="s">
        <v>379</v>
      </c>
      <c r="AG14" t="s">
        <v>382</v>
      </c>
      <c r="AH14" t="s">
        <v>380</v>
      </c>
      <c r="AI14" t="s">
        <v>382</v>
      </c>
      <c r="AJ14" t="s">
        <v>382</v>
      </c>
      <c r="AK14" t="s">
        <v>380</v>
      </c>
      <c r="AL14" t="s">
        <v>382</v>
      </c>
      <c r="AM14" t="s">
        <v>382</v>
      </c>
      <c r="AN14" t="s">
        <v>382</v>
      </c>
      <c r="AO14" t="s">
        <v>382</v>
      </c>
      <c r="AP14" t="s">
        <v>382</v>
      </c>
      <c r="AQ14" t="s">
        <v>379</v>
      </c>
      <c r="AR14" t="s">
        <v>380</v>
      </c>
      <c r="AS14" t="s">
        <v>382</v>
      </c>
      <c r="AT14" t="s">
        <v>379</v>
      </c>
      <c r="AU14" t="s">
        <v>379</v>
      </c>
      <c r="AV14" t="s">
        <v>382</v>
      </c>
      <c r="AW14" t="s">
        <v>382</v>
      </c>
      <c r="AX14" t="s">
        <v>855</v>
      </c>
      <c r="AY14">
        <v>1</v>
      </c>
      <c r="AZ14" t="s">
        <v>382</v>
      </c>
      <c r="BA14" t="s">
        <v>384</v>
      </c>
      <c r="BB14" t="s">
        <v>611</v>
      </c>
      <c r="BC14" t="s">
        <v>612</v>
      </c>
      <c r="BD14" t="s">
        <v>387</v>
      </c>
      <c r="BE14" t="s">
        <v>388</v>
      </c>
      <c r="BF14">
        <v>1</v>
      </c>
      <c r="BG14" t="s">
        <v>389</v>
      </c>
      <c r="BH14" t="s">
        <v>382</v>
      </c>
      <c r="BI14" t="s">
        <v>382</v>
      </c>
      <c r="BJ14" t="s">
        <v>382</v>
      </c>
      <c r="BK14" t="s">
        <v>382</v>
      </c>
      <c r="BL14" t="s">
        <v>382</v>
      </c>
      <c r="BM14" t="s">
        <v>382</v>
      </c>
      <c r="BN14" t="s">
        <v>382</v>
      </c>
      <c r="BO14" t="s">
        <v>382</v>
      </c>
      <c r="BP14" t="s">
        <v>382</v>
      </c>
      <c r="BQ14" t="s">
        <v>382</v>
      </c>
      <c r="BR14" t="s">
        <v>382</v>
      </c>
      <c r="BS14" t="s">
        <v>382</v>
      </c>
      <c r="BT14" t="s">
        <v>382</v>
      </c>
      <c r="BU14" t="s">
        <v>382</v>
      </c>
      <c r="BV14" t="s">
        <v>382</v>
      </c>
      <c r="BW14" t="s">
        <v>382</v>
      </c>
      <c r="BX14" t="s">
        <v>382</v>
      </c>
      <c r="BY14" t="s">
        <v>382</v>
      </c>
      <c r="BZ14" t="s">
        <v>382</v>
      </c>
      <c r="CA14" t="s">
        <v>382</v>
      </c>
      <c r="CB14" t="s">
        <v>382</v>
      </c>
      <c r="CC14" t="s">
        <v>382</v>
      </c>
      <c r="CD14" t="s">
        <v>382</v>
      </c>
      <c r="CE14" t="s">
        <v>382</v>
      </c>
      <c r="CF14">
        <v>3</v>
      </c>
      <c r="CG14">
        <v>2</v>
      </c>
      <c r="CH14">
        <v>3</v>
      </c>
      <c r="CI14" t="s">
        <v>394</v>
      </c>
      <c r="CJ14" t="s">
        <v>379</v>
      </c>
      <c r="CK14" t="s">
        <v>393</v>
      </c>
      <c r="CL14" t="s">
        <v>395</v>
      </c>
      <c r="CM14" t="s">
        <v>396</v>
      </c>
      <c r="CN14" t="s">
        <v>395</v>
      </c>
      <c r="CO14" t="s">
        <v>397</v>
      </c>
      <c r="CP14" t="s">
        <v>395</v>
      </c>
      <c r="CQ14" t="s">
        <v>381</v>
      </c>
      <c r="CR14" t="s">
        <v>395</v>
      </c>
      <c r="CS14" t="s">
        <v>395</v>
      </c>
      <c r="CT14" t="s">
        <v>398</v>
      </c>
      <c r="CU14" t="s">
        <v>398</v>
      </c>
      <c r="CV14" t="s">
        <v>382</v>
      </c>
      <c r="CW14" t="s">
        <v>395</v>
      </c>
      <c r="CX14" t="s">
        <v>382</v>
      </c>
      <c r="CY14">
        <v>6</v>
      </c>
      <c r="CZ14" t="s">
        <v>400</v>
      </c>
      <c r="DA14" t="s">
        <v>401</v>
      </c>
      <c r="DB14" t="s">
        <v>401</v>
      </c>
      <c r="DC14" t="s">
        <v>401</v>
      </c>
      <c r="DD14" t="s">
        <v>401</v>
      </c>
      <c r="DE14" t="s">
        <v>916</v>
      </c>
      <c r="DF14" t="s">
        <v>381</v>
      </c>
      <c r="DG14" t="s">
        <v>381</v>
      </c>
      <c r="DH14" t="s">
        <v>381</v>
      </c>
      <c r="DI14" t="s">
        <v>381</v>
      </c>
      <c r="DJ14" t="s">
        <v>381</v>
      </c>
      <c r="DK14" t="s">
        <v>831</v>
      </c>
      <c r="DL14" t="s">
        <v>917</v>
      </c>
      <c r="DM14" t="s">
        <v>918</v>
      </c>
      <c r="DN14" t="s">
        <v>919</v>
      </c>
      <c r="DO14" t="s">
        <v>920</v>
      </c>
      <c r="DP14" t="s">
        <v>507</v>
      </c>
      <c r="DQ14" t="s">
        <v>372</v>
      </c>
      <c r="DR14" t="s">
        <v>372</v>
      </c>
      <c r="DS14" t="s">
        <v>372</v>
      </c>
      <c r="DT14" t="s">
        <v>372</v>
      </c>
      <c r="DU14" t="s">
        <v>372</v>
      </c>
      <c r="DV14" t="s">
        <v>372</v>
      </c>
      <c r="DW14" t="s">
        <v>372</v>
      </c>
      <c r="DX14" t="s">
        <v>372</v>
      </c>
      <c r="DY14" t="s">
        <v>372</v>
      </c>
      <c r="DZ14" t="s">
        <v>372</v>
      </c>
      <c r="EA14" t="s">
        <v>372</v>
      </c>
      <c r="EB14" t="s">
        <v>372</v>
      </c>
      <c r="EC14" t="s">
        <v>372</v>
      </c>
      <c r="ED14" t="s">
        <v>372</v>
      </c>
      <c r="EE14" t="s">
        <v>372</v>
      </c>
      <c r="EF14" t="s">
        <v>372</v>
      </c>
      <c r="EG14" t="s">
        <v>372</v>
      </c>
      <c r="EH14" t="s">
        <v>372</v>
      </c>
      <c r="EI14" t="s">
        <v>372</v>
      </c>
      <c r="EJ14" t="s">
        <v>372</v>
      </c>
      <c r="EK14" t="s">
        <v>372</v>
      </c>
      <c r="EL14" t="s">
        <v>372</v>
      </c>
      <c r="EM14" t="s">
        <v>372</v>
      </c>
      <c r="EN14" t="s">
        <v>372</v>
      </c>
      <c r="EO14" t="s">
        <v>836</v>
      </c>
      <c r="EP14" t="s">
        <v>921</v>
      </c>
      <c r="EQ14" t="s">
        <v>922</v>
      </c>
      <c r="ER14" t="s">
        <v>923</v>
      </c>
      <c r="ES14" t="s">
        <v>924</v>
      </c>
      <c r="ET14" t="s">
        <v>517</v>
      </c>
      <c r="EU14" t="s">
        <v>372</v>
      </c>
      <c r="EV14" t="s">
        <v>372</v>
      </c>
      <c r="EW14" t="s">
        <v>372</v>
      </c>
      <c r="EX14" t="s">
        <v>372</v>
      </c>
      <c r="EY14" t="s">
        <v>372</v>
      </c>
      <c r="EZ14" t="s">
        <v>372</v>
      </c>
      <c r="FA14" t="s">
        <v>372</v>
      </c>
      <c r="FB14" t="s">
        <v>372</v>
      </c>
      <c r="FC14" t="s">
        <v>372</v>
      </c>
      <c r="FD14" t="s">
        <v>372</v>
      </c>
      <c r="FE14" t="s">
        <v>372</v>
      </c>
      <c r="FF14" t="s">
        <v>372</v>
      </c>
      <c r="FG14" t="s">
        <v>372</v>
      </c>
      <c r="FH14" t="s">
        <v>372</v>
      </c>
      <c r="FI14" t="s">
        <v>372</v>
      </c>
      <c r="FJ14" t="s">
        <v>372</v>
      </c>
      <c r="FK14" t="s">
        <v>372</v>
      </c>
      <c r="FL14" t="s">
        <v>372</v>
      </c>
      <c r="FM14" t="s">
        <v>372</v>
      </c>
      <c r="FN14" t="s">
        <v>372</v>
      </c>
      <c r="FO14" t="s">
        <v>372</v>
      </c>
      <c r="FP14" t="s">
        <v>372</v>
      </c>
      <c r="FQ14" t="s">
        <v>372</v>
      </c>
      <c r="FR14" t="s">
        <v>372</v>
      </c>
      <c r="FS14" t="s">
        <v>925</v>
      </c>
      <c r="FT14" t="s">
        <v>926</v>
      </c>
      <c r="FU14" t="s">
        <v>412</v>
      </c>
      <c r="FV14" t="s">
        <v>413</v>
      </c>
      <c r="FW14" t="s">
        <v>525</v>
      </c>
      <c r="FX14" t="s">
        <v>927</v>
      </c>
      <c r="FY14" t="s">
        <v>372</v>
      </c>
      <c r="FZ14" t="s">
        <v>372</v>
      </c>
      <c r="GA14" t="s">
        <v>372</v>
      </c>
      <c r="GB14" t="s">
        <v>372</v>
      </c>
      <c r="GC14" t="s">
        <v>372</v>
      </c>
      <c r="GD14" t="s">
        <v>372</v>
      </c>
      <c r="GE14" t="s">
        <v>372</v>
      </c>
      <c r="GF14" t="s">
        <v>372</v>
      </c>
      <c r="GG14" t="s">
        <v>372</v>
      </c>
      <c r="GH14" t="s">
        <v>372</v>
      </c>
      <c r="GI14" t="s">
        <v>372</v>
      </c>
      <c r="GJ14" t="s">
        <v>372</v>
      </c>
      <c r="GK14" t="s">
        <v>372</v>
      </c>
      <c r="GL14" t="s">
        <v>372</v>
      </c>
      <c r="GM14" t="s">
        <v>372</v>
      </c>
      <c r="GN14" t="s">
        <v>372</v>
      </c>
      <c r="GO14" t="s">
        <v>415</v>
      </c>
      <c r="GP14" t="s">
        <v>928</v>
      </c>
      <c r="GQ14" t="s">
        <v>372</v>
      </c>
      <c r="GR14" t="s">
        <v>929</v>
      </c>
      <c r="GS14" t="s">
        <v>372</v>
      </c>
      <c r="GT14" t="s">
        <v>372</v>
      </c>
      <c r="GU14" t="s">
        <v>372</v>
      </c>
      <c r="GV14" t="s">
        <v>372</v>
      </c>
      <c r="GW14" t="s">
        <v>372</v>
      </c>
      <c r="GX14" t="s">
        <v>372</v>
      </c>
      <c r="GY14" t="s">
        <v>372</v>
      </c>
      <c r="GZ14" t="s">
        <v>372</v>
      </c>
      <c r="HA14" t="s">
        <v>372</v>
      </c>
      <c r="HB14" t="s">
        <v>372</v>
      </c>
      <c r="HC14" t="s">
        <v>372</v>
      </c>
      <c r="HD14" t="s">
        <v>372</v>
      </c>
      <c r="HE14" t="s">
        <v>372</v>
      </c>
      <c r="HF14" t="s">
        <v>372</v>
      </c>
      <c r="HG14" t="s">
        <v>372</v>
      </c>
      <c r="HH14" t="s">
        <v>372</v>
      </c>
      <c r="HI14" t="s">
        <v>379</v>
      </c>
      <c r="HJ14" t="s">
        <v>380</v>
      </c>
      <c r="HK14" t="s">
        <v>398</v>
      </c>
      <c r="HL14" t="s">
        <v>398</v>
      </c>
      <c r="HM14" t="s">
        <v>382</v>
      </c>
      <c r="HN14" t="s">
        <v>382</v>
      </c>
      <c r="HO14" t="s">
        <v>382</v>
      </c>
      <c r="HP14" t="s">
        <v>382</v>
      </c>
      <c r="HQ14" t="s">
        <v>382</v>
      </c>
      <c r="HR14" t="s">
        <v>382</v>
      </c>
      <c r="HS14" t="s">
        <v>382</v>
      </c>
      <c r="HT14" t="s">
        <v>382</v>
      </c>
      <c r="HU14" t="s">
        <v>382</v>
      </c>
      <c r="HV14" t="s">
        <v>382</v>
      </c>
      <c r="HW14" t="s">
        <v>382</v>
      </c>
      <c r="HX14" t="s">
        <v>382</v>
      </c>
      <c r="HY14" t="s">
        <v>382</v>
      </c>
      <c r="HZ14" t="s">
        <v>382</v>
      </c>
      <c r="IA14" t="s">
        <v>382</v>
      </c>
      <c r="IB14" t="s">
        <v>382</v>
      </c>
      <c r="IC14" t="s">
        <v>395</v>
      </c>
      <c r="ID14" t="s">
        <v>395</v>
      </c>
      <c r="IE14" t="s">
        <v>381</v>
      </c>
      <c r="IF14" t="s">
        <v>381</v>
      </c>
      <c r="IG14" t="s">
        <v>379</v>
      </c>
      <c r="IH14" t="s">
        <v>395</v>
      </c>
      <c r="II14" t="s">
        <v>395</v>
      </c>
      <c r="IJ14" t="s">
        <v>395</v>
      </c>
      <c r="IK14" t="s">
        <v>395</v>
      </c>
      <c r="IL14" t="s">
        <v>395</v>
      </c>
      <c r="IM14" t="s">
        <v>395</v>
      </c>
      <c r="IN14" t="s">
        <v>395</v>
      </c>
      <c r="IO14" t="s">
        <v>395</v>
      </c>
      <c r="IP14" t="s">
        <v>395</v>
      </c>
      <c r="IQ14" t="s">
        <v>395</v>
      </c>
      <c r="IR14" t="s">
        <v>395</v>
      </c>
      <c r="IS14" t="s">
        <v>395</v>
      </c>
      <c r="IT14" t="s">
        <v>418</v>
      </c>
      <c r="IU14" t="s">
        <v>653</v>
      </c>
      <c r="IV14" t="s">
        <v>529</v>
      </c>
      <c r="IW14" t="s">
        <v>807</v>
      </c>
      <c r="IX14" t="s">
        <v>842</v>
      </c>
      <c r="IY14" t="s">
        <v>372</v>
      </c>
      <c r="IZ14" t="s">
        <v>372</v>
      </c>
      <c r="JA14" t="s">
        <v>372</v>
      </c>
      <c r="JB14" t="s">
        <v>372</v>
      </c>
      <c r="JC14" t="s">
        <v>372</v>
      </c>
      <c r="JD14" t="s">
        <v>372</v>
      </c>
      <c r="JE14" t="s">
        <v>372</v>
      </c>
      <c r="JF14" t="s">
        <v>372</v>
      </c>
      <c r="JG14" t="s">
        <v>372</v>
      </c>
      <c r="JH14" t="s">
        <v>372</v>
      </c>
      <c r="JI14" t="s">
        <v>372</v>
      </c>
      <c r="JJ14" t="s">
        <v>372</v>
      </c>
      <c r="JK14" t="s">
        <v>372</v>
      </c>
      <c r="JL14" t="s">
        <v>372</v>
      </c>
      <c r="JM14" t="s">
        <v>372</v>
      </c>
      <c r="JN14" t="s">
        <v>372</v>
      </c>
      <c r="JO14" t="s">
        <v>372</v>
      </c>
      <c r="JP14" t="s">
        <v>372</v>
      </c>
      <c r="JQ14" t="s">
        <v>372</v>
      </c>
      <c r="JR14" t="s">
        <v>372</v>
      </c>
      <c r="JS14" t="s">
        <v>372</v>
      </c>
      <c r="JT14" t="s">
        <v>372</v>
      </c>
      <c r="JU14" t="s">
        <v>372</v>
      </c>
      <c r="JV14" t="s">
        <v>372</v>
      </c>
      <c r="JW14" t="s">
        <v>372</v>
      </c>
      <c r="JX14" t="s">
        <v>426</v>
      </c>
      <c r="JY14" t="s">
        <v>930</v>
      </c>
      <c r="JZ14" t="s">
        <v>427</v>
      </c>
      <c r="KA14" t="s">
        <v>844</v>
      </c>
      <c r="KB14" t="s">
        <v>845</v>
      </c>
      <c r="KC14" t="s">
        <v>372</v>
      </c>
      <c r="KD14" t="s">
        <v>372</v>
      </c>
      <c r="KE14" t="s">
        <v>372</v>
      </c>
      <c r="KF14" t="s">
        <v>372</v>
      </c>
      <c r="KG14" t="s">
        <v>372</v>
      </c>
      <c r="KH14" t="s">
        <v>372</v>
      </c>
      <c r="KI14" t="s">
        <v>372</v>
      </c>
      <c r="KJ14" t="s">
        <v>372</v>
      </c>
      <c r="KK14" t="s">
        <v>372</v>
      </c>
      <c r="KL14" t="s">
        <v>372</v>
      </c>
      <c r="KM14" t="s">
        <v>372</v>
      </c>
      <c r="KN14" t="s">
        <v>372</v>
      </c>
      <c r="KO14" t="s">
        <v>372</v>
      </c>
      <c r="KP14" t="s">
        <v>372</v>
      </c>
      <c r="KQ14" t="s">
        <v>372</v>
      </c>
      <c r="KR14" t="s">
        <v>372</v>
      </c>
      <c r="KS14" t="s">
        <v>372</v>
      </c>
      <c r="KT14" t="s">
        <v>372</v>
      </c>
      <c r="KU14" t="s">
        <v>372</v>
      </c>
      <c r="KV14" t="s">
        <v>372</v>
      </c>
      <c r="KW14" t="s">
        <v>372</v>
      </c>
      <c r="KX14" t="s">
        <v>372</v>
      </c>
      <c r="KY14" t="s">
        <v>372</v>
      </c>
      <c r="KZ14" t="s">
        <v>372</v>
      </c>
      <c r="LA14" t="s">
        <v>372</v>
      </c>
      <c r="LB14" t="s">
        <v>431</v>
      </c>
      <c r="LC14" t="s">
        <v>665</v>
      </c>
      <c r="LD14" t="s">
        <v>537</v>
      </c>
      <c r="LE14" t="s">
        <v>811</v>
      </c>
      <c r="LF14" t="s">
        <v>847</v>
      </c>
      <c r="LG14" t="s">
        <v>372</v>
      </c>
      <c r="LH14" t="s">
        <v>372</v>
      </c>
      <c r="LI14" t="s">
        <v>372</v>
      </c>
      <c r="LJ14" t="s">
        <v>372</v>
      </c>
      <c r="LK14" t="s">
        <v>372</v>
      </c>
      <c r="LL14" t="s">
        <v>372</v>
      </c>
      <c r="LM14" t="s">
        <v>372</v>
      </c>
      <c r="LN14" t="s">
        <v>372</v>
      </c>
      <c r="LO14" t="s">
        <v>372</v>
      </c>
      <c r="LP14" t="s">
        <v>372</v>
      </c>
      <c r="LQ14" t="s">
        <v>372</v>
      </c>
      <c r="LR14" t="s">
        <v>372</v>
      </c>
      <c r="LS14" t="s">
        <v>372</v>
      </c>
      <c r="LT14" t="s">
        <v>372</v>
      </c>
      <c r="LU14" t="s">
        <v>372</v>
      </c>
      <c r="LV14" t="s">
        <v>372</v>
      </c>
      <c r="LW14" t="s">
        <v>372</v>
      </c>
      <c r="LX14" t="s">
        <v>372</v>
      </c>
      <c r="LY14" t="s">
        <v>372</v>
      </c>
      <c r="LZ14" t="s">
        <v>372</v>
      </c>
      <c r="MA14" t="s">
        <v>372</v>
      </c>
      <c r="MB14" t="s">
        <v>372</v>
      </c>
      <c r="MC14" t="s">
        <v>372</v>
      </c>
      <c r="MD14" t="s">
        <v>372</v>
      </c>
      <c r="ME14" t="s">
        <v>372</v>
      </c>
      <c r="MF14" t="s">
        <v>813</v>
      </c>
      <c r="MG14" t="s">
        <v>372</v>
      </c>
      <c r="MH14" t="s">
        <v>372</v>
      </c>
      <c r="MI14" t="s">
        <v>372</v>
      </c>
      <c r="MJ14" t="s">
        <v>372</v>
      </c>
      <c r="MK14" t="s">
        <v>814</v>
      </c>
      <c r="ML14" t="s">
        <v>372</v>
      </c>
      <c r="MM14" t="s">
        <v>382</v>
      </c>
      <c r="MN14" t="s">
        <v>372</v>
      </c>
      <c r="MO14" t="s">
        <v>372</v>
      </c>
      <c r="MP14">
        <v>5</v>
      </c>
      <c r="MQ14">
        <v>9</v>
      </c>
      <c r="MR14">
        <v>5</v>
      </c>
      <c r="MS14" t="s">
        <v>372</v>
      </c>
      <c r="MT14" t="s">
        <v>372</v>
      </c>
      <c r="MU14" t="s">
        <v>372</v>
      </c>
      <c r="MV14" t="s">
        <v>372</v>
      </c>
      <c r="MW14" t="s">
        <v>372</v>
      </c>
      <c r="MX14" t="s">
        <v>372</v>
      </c>
      <c r="MY14" t="s">
        <v>372</v>
      </c>
      <c r="MZ14" t="s">
        <v>931</v>
      </c>
      <c r="NA14" t="s">
        <v>382</v>
      </c>
    </row>
    <row r="15" spans="1:365">
      <c r="A15" t="s">
        <v>932</v>
      </c>
      <c r="B15" s="8">
        <v>46104</v>
      </c>
      <c r="C15">
        <v>0</v>
      </c>
      <c r="D15">
        <v>14</v>
      </c>
      <c r="E15" t="s">
        <v>933</v>
      </c>
      <c r="F15" t="s">
        <v>934</v>
      </c>
      <c r="G15" t="s">
        <v>935</v>
      </c>
      <c r="H15" t="s">
        <v>552</v>
      </c>
      <c r="I15" t="s">
        <v>790</v>
      </c>
      <c r="J15" t="s">
        <v>791</v>
      </c>
      <c r="K15" t="s">
        <v>372</v>
      </c>
      <c r="L15" t="s">
        <v>396</v>
      </c>
      <c r="M15" t="s">
        <v>683</v>
      </c>
      <c r="N15" t="s">
        <v>375</v>
      </c>
      <c r="O15" t="s">
        <v>936</v>
      </c>
      <c r="P15" t="s">
        <v>372</v>
      </c>
      <c r="Q15" t="s">
        <v>380</v>
      </c>
      <c r="R15" t="s">
        <v>379</v>
      </c>
      <c r="S15" t="s">
        <v>380</v>
      </c>
      <c r="T15" t="s">
        <v>380</v>
      </c>
      <c r="U15" t="s">
        <v>380</v>
      </c>
      <c r="V15" t="s">
        <v>380</v>
      </c>
      <c r="W15" t="s">
        <v>380</v>
      </c>
      <c r="X15" t="s">
        <v>379</v>
      </c>
      <c r="Y15" t="s">
        <v>378</v>
      </c>
      <c r="Z15" t="s">
        <v>382</v>
      </c>
      <c r="AA15" t="s">
        <v>380</v>
      </c>
      <c r="AB15" t="s">
        <v>382</v>
      </c>
      <c r="AC15" t="s">
        <v>688</v>
      </c>
      <c r="AD15" t="s">
        <v>382</v>
      </c>
      <c r="AE15" t="s">
        <v>379</v>
      </c>
      <c r="AF15" t="s">
        <v>382</v>
      </c>
      <c r="AG15" t="s">
        <v>380</v>
      </c>
      <c r="AH15" t="s">
        <v>381</v>
      </c>
      <c r="AI15" t="s">
        <v>689</v>
      </c>
      <c r="AJ15" t="s">
        <v>382</v>
      </c>
      <c r="AK15" t="s">
        <v>382</v>
      </c>
      <c r="AL15" t="s">
        <v>382</v>
      </c>
      <c r="AM15" t="s">
        <v>382</v>
      </c>
      <c r="AN15" t="s">
        <v>382</v>
      </c>
      <c r="AO15" t="s">
        <v>381</v>
      </c>
      <c r="AP15" t="s">
        <v>382</v>
      </c>
      <c r="AQ15" t="s">
        <v>937</v>
      </c>
      <c r="AR15" t="s">
        <v>382</v>
      </c>
      <c r="AS15" t="s">
        <v>381</v>
      </c>
      <c r="AT15" t="s">
        <v>381</v>
      </c>
      <c r="AU15" t="s">
        <v>382</v>
      </c>
      <c r="AV15" t="s">
        <v>382</v>
      </c>
      <c r="AW15" t="s">
        <v>381</v>
      </c>
      <c r="AX15" t="s">
        <v>855</v>
      </c>
      <c r="AY15">
        <v>1</v>
      </c>
      <c r="AZ15" t="s">
        <v>382</v>
      </c>
      <c r="BA15" t="s">
        <v>384</v>
      </c>
      <c r="BB15" t="s">
        <v>451</v>
      </c>
      <c r="BC15" t="s">
        <v>452</v>
      </c>
      <c r="BD15" t="s">
        <v>387</v>
      </c>
      <c r="BE15" t="s">
        <v>388</v>
      </c>
      <c r="BF15">
        <v>1</v>
      </c>
      <c r="BG15" t="s">
        <v>389</v>
      </c>
      <c r="BH15" t="s">
        <v>382</v>
      </c>
      <c r="BI15" t="s">
        <v>382</v>
      </c>
      <c r="BJ15" t="s">
        <v>382</v>
      </c>
      <c r="BK15" t="s">
        <v>938</v>
      </c>
      <c r="BL15" t="s">
        <v>382</v>
      </c>
      <c r="BM15" t="s">
        <v>939</v>
      </c>
      <c r="BN15" t="s">
        <v>382</v>
      </c>
      <c r="BO15" t="s">
        <v>382</v>
      </c>
      <c r="BP15" t="s">
        <v>382</v>
      </c>
      <c r="BQ15" t="s">
        <v>940</v>
      </c>
      <c r="BR15" t="s">
        <v>382</v>
      </c>
      <c r="BS15" t="s">
        <v>382</v>
      </c>
      <c r="BT15" t="s">
        <v>382</v>
      </c>
      <c r="BU15" t="s">
        <v>382</v>
      </c>
      <c r="BV15" t="s">
        <v>382</v>
      </c>
      <c r="BW15" t="s">
        <v>382</v>
      </c>
      <c r="BX15" t="s">
        <v>382</v>
      </c>
      <c r="BY15" t="s">
        <v>566</v>
      </c>
      <c r="BZ15" t="s">
        <v>382</v>
      </c>
      <c r="CA15" t="s">
        <v>941</v>
      </c>
      <c r="CB15" t="s">
        <v>382</v>
      </c>
      <c r="CC15" t="s">
        <v>382</v>
      </c>
      <c r="CD15" t="s">
        <v>382</v>
      </c>
      <c r="CE15" t="s">
        <v>382</v>
      </c>
      <c r="CF15">
        <v>1</v>
      </c>
      <c r="CG15">
        <v>1</v>
      </c>
      <c r="CH15">
        <v>1</v>
      </c>
      <c r="CI15" t="s">
        <v>396</v>
      </c>
      <c r="CJ15" t="s">
        <v>381</v>
      </c>
      <c r="CK15" t="s">
        <v>394</v>
      </c>
      <c r="CL15" t="s">
        <v>395</v>
      </c>
      <c r="CM15" t="s">
        <v>393</v>
      </c>
      <c r="CN15" t="s">
        <v>395</v>
      </c>
      <c r="CO15" t="s">
        <v>397</v>
      </c>
      <c r="CP15" t="s">
        <v>395</v>
      </c>
      <c r="CQ15" t="s">
        <v>380</v>
      </c>
      <c r="CR15" t="s">
        <v>380</v>
      </c>
      <c r="CS15" t="s">
        <v>395</v>
      </c>
      <c r="CT15" t="s">
        <v>380</v>
      </c>
      <c r="CU15" t="s">
        <v>395</v>
      </c>
      <c r="CV15" t="s">
        <v>382</v>
      </c>
      <c r="CW15" t="s">
        <v>378</v>
      </c>
      <c r="CX15" t="s">
        <v>528</v>
      </c>
      <c r="CY15">
        <v>7</v>
      </c>
      <c r="CZ15" t="s">
        <v>400</v>
      </c>
      <c r="DA15" t="s">
        <v>401</v>
      </c>
      <c r="DB15" t="s">
        <v>401</v>
      </c>
      <c r="DC15" t="s">
        <v>401</v>
      </c>
      <c r="DD15" t="s">
        <v>381</v>
      </c>
      <c r="DE15" t="s">
        <v>381</v>
      </c>
      <c r="DF15" t="s">
        <v>381</v>
      </c>
      <c r="DG15" t="s">
        <v>381</v>
      </c>
      <c r="DH15" t="s">
        <v>381</v>
      </c>
      <c r="DI15" t="s">
        <v>381</v>
      </c>
      <c r="DJ15" t="s">
        <v>381</v>
      </c>
      <c r="DK15" t="s">
        <v>942</v>
      </c>
      <c r="DL15" t="s">
        <v>943</v>
      </c>
      <c r="DM15" t="s">
        <v>372</v>
      </c>
      <c r="DN15" t="s">
        <v>372</v>
      </c>
      <c r="DO15" t="s">
        <v>372</v>
      </c>
      <c r="DP15" t="s">
        <v>372</v>
      </c>
      <c r="DQ15" t="s">
        <v>372</v>
      </c>
      <c r="DR15" t="s">
        <v>372</v>
      </c>
      <c r="DS15" t="s">
        <v>372</v>
      </c>
      <c r="DT15" t="s">
        <v>372</v>
      </c>
      <c r="DU15" t="s">
        <v>372</v>
      </c>
      <c r="DV15" t="s">
        <v>372</v>
      </c>
      <c r="DW15" t="s">
        <v>372</v>
      </c>
      <c r="DX15" t="s">
        <v>372</v>
      </c>
      <c r="DY15" t="s">
        <v>372</v>
      </c>
      <c r="DZ15" t="s">
        <v>372</v>
      </c>
      <c r="EA15" t="s">
        <v>372</v>
      </c>
      <c r="EB15" t="s">
        <v>372</v>
      </c>
      <c r="EC15" t="s">
        <v>372</v>
      </c>
      <c r="ED15" t="s">
        <v>372</v>
      </c>
      <c r="EE15" t="s">
        <v>372</v>
      </c>
      <c r="EF15" t="s">
        <v>372</v>
      </c>
      <c r="EG15" t="s">
        <v>372</v>
      </c>
      <c r="EH15" t="s">
        <v>372</v>
      </c>
      <c r="EI15" t="s">
        <v>372</v>
      </c>
      <c r="EJ15" t="s">
        <v>372</v>
      </c>
      <c r="EK15" t="s">
        <v>372</v>
      </c>
      <c r="EL15" t="s">
        <v>372</v>
      </c>
      <c r="EM15" t="s">
        <v>372</v>
      </c>
      <c r="EN15" t="s">
        <v>372</v>
      </c>
      <c r="EO15" t="s">
        <v>944</v>
      </c>
      <c r="EP15" t="s">
        <v>945</v>
      </c>
      <c r="EQ15" t="s">
        <v>372</v>
      </c>
      <c r="ER15" t="s">
        <v>372</v>
      </c>
      <c r="ES15" t="s">
        <v>372</v>
      </c>
      <c r="ET15" t="s">
        <v>372</v>
      </c>
      <c r="EU15" t="s">
        <v>372</v>
      </c>
      <c r="EV15" t="s">
        <v>372</v>
      </c>
      <c r="EW15" t="s">
        <v>372</v>
      </c>
      <c r="EX15" t="s">
        <v>372</v>
      </c>
      <c r="EY15" t="s">
        <v>372</v>
      </c>
      <c r="EZ15" t="s">
        <v>372</v>
      </c>
      <c r="FA15" t="s">
        <v>372</v>
      </c>
      <c r="FB15" t="s">
        <v>372</v>
      </c>
      <c r="FC15" t="s">
        <v>372</v>
      </c>
      <c r="FD15" t="s">
        <v>372</v>
      </c>
      <c r="FE15" t="s">
        <v>372</v>
      </c>
      <c r="FF15" t="s">
        <v>372</v>
      </c>
      <c r="FG15" t="s">
        <v>372</v>
      </c>
      <c r="FH15" t="s">
        <v>372</v>
      </c>
      <c r="FI15" t="s">
        <v>372</v>
      </c>
      <c r="FJ15" t="s">
        <v>372</v>
      </c>
      <c r="FK15" t="s">
        <v>372</v>
      </c>
      <c r="FL15" t="s">
        <v>372</v>
      </c>
      <c r="FM15" t="s">
        <v>372</v>
      </c>
      <c r="FN15" t="s">
        <v>372</v>
      </c>
      <c r="FO15" t="s">
        <v>372</v>
      </c>
      <c r="FP15" t="s">
        <v>372</v>
      </c>
      <c r="FQ15" t="s">
        <v>372</v>
      </c>
      <c r="FR15" t="s">
        <v>372</v>
      </c>
      <c r="FS15" t="s">
        <v>802</v>
      </c>
      <c r="FT15" t="s">
        <v>803</v>
      </c>
      <c r="FU15" t="s">
        <v>412</v>
      </c>
      <c r="FV15" t="s">
        <v>412</v>
      </c>
      <c r="FW15" t="s">
        <v>413</v>
      </c>
      <c r="FX15" t="s">
        <v>372</v>
      </c>
      <c r="FY15" t="s">
        <v>372</v>
      </c>
      <c r="FZ15" t="s">
        <v>372</v>
      </c>
      <c r="GA15" t="s">
        <v>372</v>
      </c>
      <c r="GB15" t="s">
        <v>372</v>
      </c>
      <c r="GC15" t="s">
        <v>372</v>
      </c>
      <c r="GD15" t="s">
        <v>372</v>
      </c>
      <c r="GE15" t="s">
        <v>372</v>
      </c>
      <c r="GF15" t="s">
        <v>372</v>
      </c>
      <c r="GG15" t="s">
        <v>372</v>
      </c>
      <c r="GH15" t="s">
        <v>372</v>
      </c>
      <c r="GI15" t="s">
        <v>372</v>
      </c>
      <c r="GJ15" t="s">
        <v>372</v>
      </c>
      <c r="GK15" t="s">
        <v>372</v>
      </c>
      <c r="GL15" t="s">
        <v>372</v>
      </c>
      <c r="GM15" t="s">
        <v>372</v>
      </c>
      <c r="GN15" t="s">
        <v>372</v>
      </c>
      <c r="GO15" t="s">
        <v>528</v>
      </c>
      <c r="GP15" t="s">
        <v>415</v>
      </c>
      <c r="GQ15" t="s">
        <v>946</v>
      </c>
      <c r="GR15" t="s">
        <v>372</v>
      </c>
      <c r="GS15" t="s">
        <v>372</v>
      </c>
      <c r="GT15" t="s">
        <v>372</v>
      </c>
      <c r="GU15" t="s">
        <v>372</v>
      </c>
      <c r="GV15" t="s">
        <v>372</v>
      </c>
      <c r="GW15" t="s">
        <v>372</v>
      </c>
      <c r="GX15" t="s">
        <v>372</v>
      </c>
      <c r="GY15" t="s">
        <v>372</v>
      </c>
      <c r="GZ15" t="s">
        <v>372</v>
      </c>
      <c r="HA15" t="s">
        <v>372</v>
      </c>
      <c r="HB15" t="s">
        <v>372</v>
      </c>
      <c r="HC15" t="s">
        <v>372</v>
      </c>
      <c r="HD15" t="s">
        <v>372</v>
      </c>
      <c r="HE15" t="s">
        <v>372</v>
      </c>
      <c r="HF15" t="s">
        <v>372</v>
      </c>
      <c r="HG15" t="s">
        <v>372</v>
      </c>
      <c r="HH15" t="s">
        <v>372</v>
      </c>
      <c r="HI15" t="s">
        <v>379</v>
      </c>
      <c r="HJ15" t="s">
        <v>381</v>
      </c>
      <c r="HK15" t="s">
        <v>380</v>
      </c>
      <c r="HL15" t="s">
        <v>382</v>
      </c>
      <c r="HM15" t="s">
        <v>382</v>
      </c>
      <c r="HN15" t="s">
        <v>382</v>
      </c>
      <c r="HO15" t="s">
        <v>382</v>
      </c>
      <c r="HP15" t="s">
        <v>382</v>
      </c>
      <c r="HQ15" t="s">
        <v>382</v>
      </c>
      <c r="HR15" t="s">
        <v>382</v>
      </c>
      <c r="HS15" t="s">
        <v>382</v>
      </c>
      <c r="HT15" t="s">
        <v>382</v>
      </c>
      <c r="HU15" t="s">
        <v>382</v>
      </c>
      <c r="HV15" t="s">
        <v>382</v>
      </c>
      <c r="HW15" t="s">
        <v>382</v>
      </c>
      <c r="HX15" t="s">
        <v>382</v>
      </c>
      <c r="HY15" t="s">
        <v>382</v>
      </c>
      <c r="HZ15" t="s">
        <v>382</v>
      </c>
      <c r="IA15" t="s">
        <v>382</v>
      </c>
      <c r="IB15" t="s">
        <v>382</v>
      </c>
      <c r="IC15" t="s">
        <v>395</v>
      </c>
      <c r="ID15" t="s">
        <v>395</v>
      </c>
      <c r="IE15" t="s">
        <v>380</v>
      </c>
      <c r="IF15" t="s">
        <v>395</v>
      </c>
      <c r="IG15" t="s">
        <v>381</v>
      </c>
      <c r="IH15" t="s">
        <v>395</v>
      </c>
      <c r="II15" t="s">
        <v>395</v>
      </c>
      <c r="IJ15" t="s">
        <v>395</v>
      </c>
      <c r="IK15" t="s">
        <v>395</v>
      </c>
      <c r="IL15" t="s">
        <v>395</v>
      </c>
      <c r="IM15" t="s">
        <v>395</v>
      </c>
      <c r="IN15" t="s">
        <v>395</v>
      </c>
      <c r="IO15" t="s">
        <v>395</v>
      </c>
      <c r="IP15" t="s">
        <v>395</v>
      </c>
      <c r="IQ15" t="s">
        <v>395</v>
      </c>
      <c r="IR15" t="s">
        <v>395</v>
      </c>
      <c r="IS15" t="s">
        <v>395</v>
      </c>
      <c r="IT15" t="s">
        <v>947</v>
      </c>
      <c r="IU15" t="s">
        <v>529</v>
      </c>
      <c r="IV15" t="s">
        <v>372</v>
      </c>
      <c r="IW15" t="s">
        <v>372</v>
      </c>
      <c r="IX15" t="s">
        <v>372</v>
      </c>
      <c r="IY15" t="s">
        <v>372</v>
      </c>
      <c r="IZ15" t="s">
        <v>372</v>
      </c>
      <c r="JA15" t="s">
        <v>372</v>
      </c>
      <c r="JB15" t="s">
        <v>372</v>
      </c>
      <c r="JC15" t="s">
        <v>372</v>
      </c>
      <c r="JD15" t="s">
        <v>372</v>
      </c>
      <c r="JE15" t="s">
        <v>372</v>
      </c>
      <c r="JF15" t="s">
        <v>372</v>
      </c>
      <c r="JG15" t="s">
        <v>372</v>
      </c>
      <c r="JH15" t="s">
        <v>372</v>
      </c>
      <c r="JI15" t="s">
        <v>372</v>
      </c>
      <c r="JJ15" t="s">
        <v>372</v>
      </c>
      <c r="JK15" t="s">
        <v>372</v>
      </c>
      <c r="JL15" t="s">
        <v>372</v>
      </c>
      <c r="JM15" t="s">
        <v>372</v>
      </c>
      <c r="JN15" t="s">
        <v>372</v>
      </c>
      <c r="JO15" t="s">
        <v>372</v>
      </c>
      <c r="JP15" t="s">
        <v>372</v>
      </c>
      <c r="JQ15" t="s">
        <v>372</v>
      </c>
      <c r="JR15" t="s">
        <v>372</v>
      </c>
      <c r="JS15" t="s">
        <v>372</v>
      </c>
      <c r="JT15" t="s">
        <v>372</v>
      </c>
      <c r="JU15" t="s">
        <v>372</v>
      </c>
      <c r="JV15" t="s">
        <v>372</v>
      </c>
      <c r="JW15" t="s">
        <v>372</v>
      </c>
      <c r="JX15" t="s">
        <v>426</v>
      </c>
      <c r="JY15" t="s">
        <v>427</v>
      </c>
      <c r="JZ15" t="s">
        <v>372</v>
      </c>
      <c r="KA15" t="s">
        <v>372</v>
      </c>
      <c r="KB15" t="s">
        <v>372</v>
      </c>
      <c r="KC15" t="s">
        <v>372</v>
      </c>
      <c r="KD15" t="s">
        <v>372</v>
      </c>
      <c r="KE15" t="s">
        <v>372</v>
      </c>
      <c r="KF15" t="s">
        <v>372</v>
      </c>
      <c r="KG15" t="s">
        <v>372</v>
      </c>
      <c r="KH15" t="s">
        <v>372</v>
      </c>
      <c r="KI15" t="s">
        <v>372</v>
      </c>
      <c r="KJ15" t="s">
        <v>372</v>
      </c>
      <c r="KK15" t="s">
        <v>372</v>
      </c>
      <c r="KL15" t="s">
        <v>372</v>
      </c>
      <c r="KM15" t="s">
        <v>372</v>
      </c>
      <c r="KN15" t="s">
        <v>372</v>
      </c>
      <c r="KO15" t="s">
        <v>372</v>
      </c>
      <c r="KP15" t="s">
        <v>372</v>
      </c>
      <c r="KQ15" t="s">
        <v>372</v>
      </c>
      <c r="KR15" t="s">
        <v>372</v>
      </c>
      <c r="KS15" t="s">
        <v>372</v>
      </c>
      <c r="KT15" t="s">
        <v>372</v>
      </c>
      <c r="KU15" t="s">
        <v>372</v>
      </c>
      <c r="KV15" t="s">
        <v>372</v>
      </c>
      <c r="KW15" t="s">
        <v>372</v>
      </c>
      <c r="KX15" t="s">
        <v>372</v>
      </c>
      <c r="KY15" t="s">
        <v>372</v>
      </c>
      <c r="KZ15" t="s">
        <v>372</v>
      </c>
      <c r="LA15" t="s">
        <v>372</v>
      </c>
      <c r="LB15" t="s">
        <v>431</v>
      </c>
      <c r="LC15" t="s">
        <v>537</v>
      </c>
      <c r="LD15" t="s">
        <v>372</v>
      </c>
      <c r="LE15" t="s">
        <v>372</v>
      </c>
      <c r="LF15" t="s">
        <v>372</v>
      </c>
      <c r="LG15" t="s">
        <v>372</v>
      </c>
      <c r="LH15" t="s">
        <v>372</v>
      </c>
      <c r="LI15" t="s">
        <v>372</v>
      </c>
      <c r="LJ15" t="s">
        <v>372</v>
      </c>
      <c r="LK15" t="s">
        <v>372</v>
      </c>
      <c r="LL15" t="s">
        <v>372</v>
      </c>
      <c r="LM15" t="s">
        <v>372</v>
      </c>
      <c r="LN15" t="s">
        <v>372</v>
      </c>
      <c r="LO15" t="s">
        <v>372</v>
      </c>
      <c r="LP15" t="s">
        <v>372</v>
      </c>
      <c r="LQ15" t="s">
        <v>372</v>
      </c>
      <c r="LR15" t="s">
        <v>372</v>
      </c>
      <c r="LS15" t="s">
        <v>372</v>
      </c>
      <c r="LT15" t="s">
        <v>372</v>
      </c>
      <c r="LU15" t="s">
        <v>372</v>
      </c>
      <c r="LV15" t="s">
        <v>372</v>
      </c>
      <c r="LW15" t="s">
        <v>372</v>
      </c>
      <c r="LX15" t="s">
        <v>372</v>
      </c>
      <c r="LY15" t="s">
        <v>372</v>
      </c>
      <c r="LZ15" t="s">
        <v>372</v>
      </c>
      <c r="MA15" t="s">
        <v>372</v>
      </c>
      <c r="MB15" t="s">
        <v>372</v>
      </c>
      <c r="MC15" t="s">
        <v>372</v>
      </c>
      <c r="MD15" t="s">
        <v>372</v>
      </c>
      <c r="ME15" t="s">
        <v>372</v>
      </c>
      <c r="MF15" t="s">
        <v>813</v>
      </c>
      <c r="MG15" t="s">
        <v>372</v>
      </c>
      <c r="MH15" t="s">
        <v>372</v>
      </c>
      <c r="MI15" t="s">
        <v>372</v>
      </c>
      <c r="MJ15" t="s">
        <v>372</v>
      </c>
      <c r="MK15" t="s">
        <v>814</v>
      </c>
      <c r="ML15" t="s">
        <v>372</v>
      </c>
      <c r="MM15" t="s">
        <v>382</v>
      </c>
      <c r="MN15" t="s">
        <v>372</v>
      </c>
      <c r="MO15" t="s">
        <v>372</v>
      </c>
      <c r="MP15">
        <v>5</v>
      </c>
      <c r="MQ15">
        <v>9</v>
      </c>
      <c r="MR15">
        <v>3</v>
      </c>
      <c r="MS15" t="s">
        <v>442</v>
      </c>
      <c r="MT15" t="s">
        <v>443</v>
      </c>
      <c r="MU15" t="s">
        <v>948</v>
      </c>
      <c r="MV15" t="s">
        <v>949</v>
      </c>
      <c r="MW15" t="s">
        <v>372</v>
      </c>
      <c r="MX15" t="s">
        <v>372</v>
      </c>
      <c r="MY15" t="s">
        <v>372</v>
      </c>
      <c r="MZ15" t="s">
        <v>634</v>
      </c>
      <c r="NA15" t="s">
        <v>382</v>
      </c>
    </row>
    <row r="16" spans="1:365">
      <c r="A16" t="s">
        <v>950</v>
      </c>
      <c r="B16" s="8">
        <v>46104</v>
      </c>
      <c r="C16">
        <v>0</v>
      </c>
      <c r="D16">
        <v>28</v>
      </c>
      <c r="E16" t="s">
        <v>951</v>
      </c>
      <c r="F16" t="s">
        <v>952</v>
      </c>
      <c r="G16" t="s">
        <v>953</v>
      </c>
      <c r="H16" t="s">
        <v>369</v>
      </c>
      <c r="I16" t="s">
        <v>553</v>
      </c>
      <c r="J16" t="s">
        <v>554</v>
      </c>
      <c r="K16" t="s">
        <v>372</v>
      </c>
      <c r="L16" t="s">
        <v>556</v>
      </c>
      <c r="M16" t="s">
        <v>557</v>
      </c>
      <c r="N16" t="s">
        <v>954</v>
      </c>
      <c r="O16" t="s">
        <v>558</v>
      </c>
      <c r="P16" t="s">
        <v>372</v>
      </c>
      <c r="Q16" t="s">
        <v>378</v>
      </c>
      <c r="R16" t="s">
        <v>380</v>
      </c>
      <c r="S16" t="s">
        <v>379</v>
      </c>
      <c r="T16" t="s">
        <v>379</v>
      </c>
      <c r="U16" t="s">
        <v>380</v>
      </c>
      <c r="V16" t="s">
        <v>380</v>
      </c>
      <c r="W16" t="s">
        <v>380</v>
      </c>
      <c r="X16" t="s">
        <v>381</v>
      </c>
      <c r="Y16" t="s">
        <v>379</v>
      </c>
      <c r="Z16" t="s">
        <v>382</v>
      </c>
      <c r="AA16" t="s">
        <v>382</v>
      </c>
      <c r="AB16" t="s">
        <v>382</v>
      </c>
      <c r="AC16" t="s">
        <v>380</v>
      </c>
      <c r="AD16" t="s">
        <v>382</v>
      </c>
      <c r="AE16" t="s">
        <v>380</v>
      </c>
      <c r="AF16" t="s">
        <v>382</v>
      </c>
      <c r="AG16" t="s">
        <v>382</v>
      </c>
      <c r="AH16" t="s">
        <v>382</v>
      </c>
      <c r="AI16" t="s">
        <v>382</v>
      </c>
      <c r="AJ16" t="s">
        <v>382</v>
      </c>
      <c r="AK16" t="s">
        <v>382</v>
      </c>
      <c r="AL16" t="s">
        <v>382</v>
      </c>
      <c r="AM16" t="s">
        <v>380</v>
      </c>
      <c r="AN16" t="s">
        <v>382</v>
      </c>
      <c r="AO16" t="s">
        <v>398</v>
      </c>
      <c r="AP16" t="s">
        <v>382</v>
      </c>
      <c r="AQ16" t="s">
        <v>381</v>
      </c>
      <c r="AR16" t="s">
        <v>379</v>
      </c>
      <c r="AS16" t="s">
        <v>382</v>
      </c>
      <c r="AT16" t="s">
        <v>381</v>
      </c>
      <c r="AU16" t="s">
        <v>382</v>
      </c>
      <c r="AV16" t="s">
        <v>382</v>
      </c>
      <c r="AW16" t="s">
        <v>379</v>
      </c>
      <c r="AX16" t="s">
        <v>879</v>
      </c>
      <c r="AY16">
        <v>2</v>
      </c>
      <c r="AZ16" t="s">
        <v>561</v>
      </c>
      <c r="BA16" t="s">
        <v>384</v>
      </c>
      <c r="BB16" t="s">
        <v>451</v>
      </c>
      <c r="BC16" t="s">
        <v>452</v>
      </c>
      <c r="BD16" t="s">
        <v>523</v>
      </c>
      <c r="BE16" t="s">
        <v>563</v>
      </c>
      <c r="BF16">
        <v>2</v>
      </c>
      <c r="BG16" t="s">
        <v>389</v>
      </c>
      <c r="BH16" t="s">
        <v>382</v>
      </c>
      <c r="BI16" t="s">
        <v>382</v>
      </c>
      <c r="BJ16" t="s">
        <v>382</v>
      </c>
      <c r="BK16" t="s">
        <v>382</v>
      </c>
      <c r="BL16" t="s">
        <v>382</v>
      </c>
      <c r="BM16" t="s">
        <v>382</v>
      </c>
      <c r="BN16" t="s">
        <v>382</v>
      </c>
      <c r="BO16" t="s">
        <v>382</v>
      </c>
      <c r="BP16" t="s">
        <v>382</v>
      </c>
      <c r="BQ16" t="s">
        <v>382</v>
      </c>
      <c r="BR16" t="s">
        <v>382</v>
      </c>
      <c r="BS16" t="s">
        <v>382</v>
      </c>
      <c r="BT16" t="s">
        <v>382</v>
      </c>
      <c r="BU16" t="s">
        <v>382</v>
      </c>
      <c r="BV16" t="s">
        <v>382</v>
      </c>
      <c r="BW16" t="s">
        <v>955</v>
      </c>
      <c r="BX16" t="s">
        <v>382</v>
      </c>
      <c r="BY16" t="s">
        <v>382</v>
      </c>
      <c r="BZ16" t="s">
        <v>382</v>
      </c>
      <c r="CA16" t="s">
        <v>382</v>
      </c>
      <c r="CB16" t="s">
        <v>382</v>
      </c>
      <c r="CC16" t="s">
        <v>382</v>
      </c>
      <c r="CD16" t="s">
        <v>382</v>
      </c>
      <c r="CE16" t="s">
        <v>382</v>
      </c>
      <c r="CF16">
        <v>2</v>
      </c>
      <c r="CG16">
        <v>2</v>
      </c>
      <c r="CH16">
        <v>1</v>
      </c>
      <c r="CI16" t="s">
        <v>397</v>
      </c>
      <c r="CJ16" t="s">
        <v>381</v>
      </c>
      <c r="CK16" t="s">
        <v>394</v>
      </c>
      <c r="CL16" t="s">
        <v>395</v>
      </c>
      <c r="CM16" t="s">
        <v>393</v>
      </c>
      <c r="CN16" t="s">
        <v>395</v>
      </c>
      <c r="CO16" t="s">
        <v>396</v>
      </c>
      <c r="CP16" t="s">
        <v>395</v>
      </c>
      <c r="CQ16" t="s">
        <v>398</v>
      </c>
      <c r="CR16" t="s">
        <v>379</v>
      </c>
      <c r="CS16" t="s">
        <v>395</v>
      </c>
      <c r="CT16" t="s">
        <v>378</v>
      </c>
      <c r="CU16" t="s">
        <v>395</v>
      </c>
      <c r="CV16" t="s">
        <v>382</v>
      </c>
      <c r="CW16" t="s">
        <v>395</v>
      </c>
      <c r="CX16" t="s">
        <v>382</v>
      </c>
      <c r="CY16">
        <v>4</v>
      </c>
      <c r="CZ16" t="s">
        <v>695</v>
      </c>
      <c r="DA16" t="s">
        <v>401</v>
      </c>
      <c r="DB16" t="s">
        <v>401</v>
      </c>
      <c r="DC16" t="s">
        <v>401</v>
      </c>
      <c r="DD16" t="s">
        <v>956</v>
      </c>
      <c r="DE16" t="s">
        <v>401</v>
      </c>
      <c r="DF16" t="s">
        <v>401</v>
      </c>
      <c r="DG16" t="s">
        <v>381</v>
      </c>
      <c r="DH16" t="s">
        <v>381</v>
      </c>
      <c r="DI16" t="s">
        <v>381</v>
      </c>
      <c r="DJ16" t="s">
        <v>381</v>
      </c>
      <c r="DK16" t="s">
        <v>957</v>
      </c>
      <c r="DL16" t="s">
        <v>701</v>
      </c>
      <c r="DM16" t="s">
        <v>958</v>
      </c>
      <c r="DN16" t="s">
        <v>959</v>
      </c>
      <c r="DO16" t="s">
        <v>860</v>
      </c>
      <c r="DP16" t="s">
        <v>960</v>
      </c>
      <c r="DQ16" t="s">
        <v>961</v>
      </c>
      <c r="DR16" t="s">
        <v>962</v>
      </c>
      <c r="DS16" t="s">
        <v>963</v>
      </c>
      <c r="DT16" t="s">
        <v>964</v>
      </c>
      <c r="DU16" t="s">
        <v>372</v>
      </c>
      <c r="DV16" t="s">
        <v>372</v>
      </c>
      <c r="DW16" t="s">
        <v>372</v>
      </c>
      <c r="DX16" t="s">
        <v>372</v>
      </c>
      <c r="DY16" t="s">
        <v>372</v>
      </c>
      <c r="DZ16" t="s">
        <v>372</v>
      </c>
      <c r="EA16" t="s">
        <v>372</v>
      </c>
      <c r="EB16" t="s">
        <v>372</v>
      </c>
      <c r="EC16" t="s">
        <v>372</v>
      </c>
      <c r="ED16" t="s">
        <v>372</v>
      </c>
      <c r="EE16" t="s">
        <v>372</v>
      </c>
      <c r="EF16" t="s">
        <v>372</v>
      </c>
      <c r="EG16" t="s">
        <v>372</v>
      </c>
      <c r="EH16" t="s">
        <v>372</v>
      </c>
      <c r="EI16" t="s">
        <v>372</v>
      </c>
      <c r="EJ16" t="s">
        <v>372</v>
      </c>
      <c r="EK16" t="s">
        <v>372</v>
      </c>
      <c r="EL16" t="s">
        <v>372</v>
      </c>
      <c r="EM16" t="s">
        <v>372</v>
      </c>
      <c r="EN16" t="s">
        <v>372</v>
      </c>
      <c r="EO16" t="s">
        <v>965</v>
      </c>
      <c r="EP16" t="s">
        <v>513</v>
      </c>
      <c r="EQ16" t="s">
        <v>861</v>
      </c>
      <c r="ER16" t="s">
        <v>623</v>
      </c>
      <c r="ES16" t="s">
        <v>862</v>
      </c>
      <c r="ET16" t="s">
        <v>966</v>
      </c>
      <c r="EU16" t="s">
        <v>967</v>
      </c>
      <c r="EV16" t="s">
        <v>968</v>
      </c>
      <c r="EW16" t="s">
        <v>969</v>
      </c>
      <c r="EX16" t="s">
        <v>970</v>
      </c>
      <c r="EY16" t="s">
        <v>372</v>
      </c>
      <c r="EZ16" t="s">
        <v>372</v>
      </c>
      <c r="FA16" t="s">
        <v>372</v>
      </c>
      <c r="FB16" t="s">
        <v>372</v>
      </c>
      <c r="FC16" t="s">
        <v>372</v>
      </c>
      <c r="FD16" t="s">
        <v>372</v>
      </c>
      <c r="FE16" t="s">
        <v>372</v>
      </c>
      <c r="FF16" t="s">
        <v>372</v>
      </c>
      <c r="FG16" t="s">
        <v>372</v>
      </c>
      <c r="FH16" t="s">
        <v>372</v>
      </c>
      <c r="FI16" t="s">
        <v>372</v>
      </c>
      <c r="FJ16" t="s">
        <v>372</v>
      </c>
      <c r="FK16" t="s">
        <v>372</v>
      </c>
      <c r="FL16" t="s">
        <v>372</v>
      </c>
      <c r="FM16" t="s">
        <v>372</v>
      </c>
      <c r="FN16" t="s">
        <v>372</v>
      </c>
      <c r="FO16" t="s">
        <v>372</v>
      </c>
      <c r="FP16" t="s">
        <v>372</v>
      </c>
      <c r="FQ16" t="s">
        <v>372</v>
      </c>
      <c r="FR16" t="s">
        <v>372</v>
      </c>
      <c r="FS16" t="s">
        <v>971</v>
      </c>
      <c r="FT16" t="s">
        <v>972</v>
      </c>
      <c r="FU16" t="s">
        <v>412</v>
      </c>
      <c r="FV16" t="s">
        <v>468</v>
      </c>
      <c r="FW16" t="s">
        <v>372</v>
      </c>
      <c r="FX16" t="s">
        <v>372</v>
      </c>
      <c r="FY16" t="s">
        <v>372</v>
      </c>
      <c r="FZ16" t="s">
        <v>372</v>
      </c>
      <c r="GA16" t="s">
        <v>372</v>
      </c>
      <c r="GB16" t="s">
        <v>372</v>
      </c>
      <c r="GC16" t="s">
        <v>372</v>
      </c>
      <c r="GD16" t="s">
        <v>372</v>
      </c>
      <c r="GE16" t="s">
        <v>372</v>
      </c>
      <c r="GF16" t="s">
        <v>372</v>
      </c>
      <c r="GG16" t="s">
        <v>372</v>
      </c>
      <c r="GH16" t="s">
        <v>372</v>
      </c>
      <c r="GI16" t="s">
        <v>372</v>
      </c>
      <c r="GJ16" t="s">
        <v>372</v>
      </c>
      <c r="GK16" t="s">
        <v>372</v>
      </c>
      <c r="GL16" t="s">
        <v>372</v>
      </c>
      <c r="GM16" t="s">
        <v>372</v>
      </c>
      <c r="GN16" t="s">
        <v>372</v>
      </c>
      <c r="GO16" t="s">
        <v>973</v>
      </c>
      <c r="GP16" t="s">
        <v>372</v>
      </c>
      <c r="GQ16" t="s">
        <v>372</v>
      </c>
      <c r="GR16" t="s">
        <v>372</v>
      </c>
      <c r="GS16" t="s">
        <v>372</v>
      </c>
      <c r="GT16" t="s">
        <v>372</v>
      </c>
      <c r="GU16" t="s">
        <v>372</v>
      </c>
      <c r="GV16" t="s">
        <v>372</v>
      </c>
      <c r="GW16" t="s">
        <v>372</v>
      </c>
      <c r="GX16" t="s">
        <v>372</v>
      </c>
      <c r="GY16" t="s">
        <v>372</v>
      </c>
      <c r="GZ16" t="s">
        <v>372</v>
      </c>
      <c r="HA16" t="s">
        <v>372</v>
      </c>
      <c r="HB16" t="s">
        <v>372</v>
      </c>
      <c r="HC16" t="s">
        <v>372</v>
      </c>
      <c r="HD16" t="s">
        <v>372</v>
      </c>
      <c r="HE16" t="s">
        <v>372</v>
      </c>
      <c r="HF16" t="s">
        <v>372</v>
      </c>
      <c r="HG16" t="s">
        <v>372</v>
      </c>
      <c r="HH16" t="s">
        <v>372</v>
      </c>
      <c r="HI16" t="s">
        <v>379</v>
      </c>
      <c r="HJ16" t="s">
        <v>380</v>
      </c>
      <c r="HK16" t="s">
        <v>382</v>
      </c>
      <c r="HL16" t="s">
        <v>382</v>
      </c>
      <c r="HM16" t="s">
        <v>382</v>
      </c>
      <c r="HN16" t="s">
        <v>382</v>
      </c>
      <c r="HO16" t="s">
        <v>382</v>
      </c>
      <c r="HP16" t="s">
        <v>382</v>
      </c>
      <c r="HQ16" t="s">
        <v>382</v>
      </c>
      <c r="HR16" t="s">
        <v>382</v>
      </c>
      <c r="HS16" t="s">
        <v>382</v>
      </c>
      <c r="HT16" t="s">
        <v>382</v>
      </c>
      <c r="HU16" t="s">
        <v>382</v>
      </c>
      <c r="HV16" t="s">
        <v>382</v>
      </c>
      <c r="HW16" t="s">
        <v>382</v>
      </c>
      <c r="HX16" t="s">
        <v>382</v>
      </c>
      <c r="HY16" t="s">
        <v>382</v>
      </c>
      <c r="HZ16" t="s">
        <v>382</v>
      </c>
      <c r="IA16" t="s">
        <v>382</v>
      </c>
      <c r="IB16" t="s">
        <v>382</v>
      </c>
      <c r="IC16" t="s">
        <v>395</v>
      </c>
      <c r="ID16" t="s">
        <v>395</v>
      </c>
      <c r="IE16" t="s">
        <v>381</v>
      </c>
      <c r="IF16" t="s">
        <v>379</v>
      </c>
      <c r="IG16" t="s">
        <v>395</v>
      </c>
      <c r="IH16" t="s">
        <v>395</v>
      </c>
      <c r="II16" t="s">
        <v>395</v>
      </c>
      <c r="IJ16" t="s">
        <v>395</v>
      </c>
      <c r="IK16" t="s">
        <v>395</v>
      </c>
      <c r="IL16" t="s">
        <v>395</v>
      </c>
      <c r="IM16" t="s">
        <v>395</v>
      </c>
      <c r="IN16" t="s">
        <v>395</v>
      </c>
      <c r="IO16" t="s">
        <v>395</v>
      </c>
      <c r="IP16" t="s">
        <v>395</v>
      </c>
      <c r="IQ16" t="s">
        <v>395</v>
      </c>
      <c r="IR16" t="s">
        <v>395</v>
      </c>
      <c r="IS16" t="s">
        <v>395</v>
      </c>
      <c r="IT16" t="s">
        <v>418</v>
      </c>
      <c r="IU16" t="s">
        <v>653</v>
      </c>
      <c r="IV16" t="s">
        <v>654</v>
      </c>
      <c r="IW16" t="s">
        <v>974</v>
      </c>
      <c r="IX16" t="s">
        <v>372</v>
      </c>
      <c r="IY16" t="s">
        <v>372</v>
      </c>
      <c r="IZ16" t="s">
        <v>372</v>
      </c>
      <c r="JA16" t="s">
        <v>372</v>
      </c>
      <c r="JB16" t="s">
        <v>372</v>
      </c>
      <c r="JC16" t="s">
        <v>372</v>
      </c>
      <c r="JD16" t="s">
        <v>372</v>
      </c>
      <c r="JE16" t="s">
        <v>372</v>
      </c>
      <c r="JF16" t="s">
        <v>372</v>
      </c>
      <c r="JG16" t="s">
        <v>372</v>
      </c>
      <c r="JH16" t="s">
        <v>372</v>
      </c>
      <c r="JI16" t="s">
        <v>372</v>
      </c>
      <c r="JJ16" t="s">
        <v>372</v>
      </c>
      <c r="JK16" t="s">
        <v>372</v>
      </c>
      <c r="JL16" t="s">
        <v>372</v>
      </c>
      <c r="JM16" t="s">
        <v>372</v>
      </c>
      <c r="JN16" t="s">
        <v>372</v>
      </c>
      <c r="JO16" t="s">
        <v>372</v>
      </c>
      <c r="JP16" t="s">
        <v>372</v>
      </c>
      <c r="JQ16" t="s">
        <v>372</v>
      </c>
      <c r="JR16" t="s">
        <v>372</v>
      </c>
      <c r="JS16" t="s">
        <v>372</v>
      </c>
      <c r="JT16" t="s">
        <v>372</v>
      </c>
      <c r="JU16" t="s">
        <v>372</v>
      </c>
      <c r="JV16" t="s">
        <v>372</v>
      </c>
      <c r="JW16" t="s">
        <v>372</v>
      </c>
      <c r="JX16" t="s">
        <v>426</v>
      </c>
      <c r="JY16" t="s">
        <v>975</v>
      </c>
      <c r="JZ16" t="s">
        <v>661</v>
      </c>
      <c r="KA16" t="s">
        <v>976</v>
      </c>
      <c r="KB16" t="s">
        <v>372</v>
      </c>
      <c r="KC16" t="s">
        <v>372</v>
      </c>
      <c r="KD16" t="s">
        <v>372</v>
      </c>
      <c r="KE16" t="s">
        <v>372</v>
      </c>
      <c r="KF16" t="s">
        <v>372</v>
      </c>
      <c r="KG16" t="s">
        <v>372</v>
      </c>
      <c r="KH16" t="s">
        <v>372</v>
      </c>
      <c r="KI16" t="s">
        <v>372</v>
      </c>
      <c r="KJ16" t="s">
        <v>372</v>
      </c>
      <c r="KK16" t="s">
        <v>372</v>
      </c>
      <c r="KL16" t="s">
        <v>372</v>
      </c>
      <c r="KM16" t="s">
        <v>372</v>
      </c>
      <c r="KN16" t="s">
        <v>372</v>
      </c>
      <c r="KO16" t="s">
        <v>372</v>
      </c>
      <c r="KP16" t="s">
        <v>372</v>
      </c>
      <c r="KQ16" t="s">
        <v>372</v>
      </c>
      <c r="KR16" t="s">
        <v>372</v>
      </c>
      <c r="KS16" t="s">
        <v>372</v>
      </c>
      <c r="KT16" t="s">
        <v>372</v>
      </c>
      <c r="KU16" t="s">
        <v>372</v>
      </c>
      <c r="KV16" t="s">
        <v>372</v>
      </c>
      <c r="KW16" t="s">
        <v>372</v>
      </c>
      <c r="KX16" t="s">
        <v>372</v>
      </c>
      <c r="KY16" t="s">
        <v>372</v>
      </c>
      <c r="KZ16" t="s">
        <v>372</v>
      </c>
      <c r="LA16" t="s">
        <v>372</v>
      </c>
      <c r="LB16" t="s">
        <v>431</v>
      </c>
      <c r="LC16" t="s">
        <v>665</v>
      </c>
      <c r="LD16" t="s">
        <v>666</v>
      </c>
      <c r="LE16" t="s">
        <v>977</v>
      </c>
      <c r="LF16" t="s">
        <v>372</v>
      </c>
      <c r="LG16" t="s">
        <v>372</v>
      </c>
      <c r="LH16" t="s">
        <v>372</v>
      </c>
      <c r="LI16" t="s">
        <v>372</v>
      </c>
      <c r="LJ16" t="s">
        <v>372</v>
      </c>
      <c r="LK16" t="s">
        <v>372</v>
      </c>
      <c r="LL16" t="s">
        <v>372</v>
      </c>
      <c r="LM16" t="s">
        <v>372</v>
      </c>
      <c r="LN16" t="s">
        <v>372</v>
      </c>
      <c r="LO16" t="s">
        <v>372</v>
      </c>
      <c r="LP16" t="s">
        <v>372</v>
      </c>
      <c r="LQ16" t="s">
        <v>372</v>
      </c>
      <c r="LR16" t="s">
        <v>372</v>
      </c>
      <c r="LS16" t="s">
        <v>372</v>
      </c>
      <c r="LT16" t="s">
        <v>372</v>
      </c>
      <c r="LU16" t="s">
        <v>372</v>
      </c>
      <c r="LV16" t="s">
        <v>372</v>
      </c>
      <c r="LW16" t="s">
        <v>372</v>
      </c>
      <c r="LX16" t="s">
        <v>372</v>
      </c>
      <c r="LY16" t="s">
        <v>372</v>
      </c>
      <c r="LZ16" t="s">
        <v>372</v>
      </c>
      <c r="MA16" t="s">
        <v>372</v>
      </c>
      <c r="MB16" t="s">
        <v>372</v>
      </c>
      <c r="MC16" t="s">
        <v>372</v>
      </c>
      <c r="MD16" t="s">
        <v>372</v>
      </c>
      <c r="ME16" t="s">
        <v>372</v>
      </c>
      <c r="MF16" t="s">
        <v>596</v>
      </c>
      <c r="MG16" t="s">
        <v>372</v>
      </c>
      <c r="MH16" t="s">
        <v>372</v>
      </c>
      <c r="MI16" t="s">
        <v>372</v>
      </c>
      <c r="MJ16" t="s">
        <v>372</v>
      </c>
      <c r="MK16" t="s">
        <v>597</v>
      </c>
      <c r="ML16" t="s">
        <v>372</v>
      </c>
      <c r="MM16" t="s">
        <v>382</v>
      </c>
      <c r="MN16" t="s">
        <v>372</v>
      </c>
      <c r="MO16" t="s">
        <v>372</v>
      </c>
      <c r="MP16">
        <v>5</v>
      </c>
      <c r="MQ16">
        <v>10</v>
      </c>
      <c r="MR16">
        <v>2</v>
      </c>
      <c r="MS16" t="s">
        <v>978</v>
      </c>
      <c r="MT16" t="s">
        <v>979</v>
      </c>
      <c r="MU16" t="s">
        <v>598</v>
      </c>
      <c r="MV16" t="s">
        <v>599</v>
      </c>
      <c r="MW16" t="s">
        <v>372</v>
      </c>
      <c r="MX16" t="s">
        <v>372</v>
      </c>
      <c r="MY16" t="s">
        <v>372</v>
      </c>
      <c r="MZ16" t="s">
        <v>382</v>
      </c>
      <c r="NA16" t="s">
        <v>382</v>
      </c>
    </row>
    <row r="17" spans="1:365">
      <c r="A17" t="s">
        <v>980</v>
      </c>
      <c r="B17" s="8">
        <v>46104</v>
      </c>
      <c r="C17">
        <v>4</v>
      </c>
      <c r="D17">
        <v>54</v>
      </c>
      <c r="E17" t="s">
        <v>981</v>
      </c>
      <c r="F17" t="s">
        <v>982</v>
      </c>
      <c r="G17" t="s">
        <v>983</v>
      </c>
      <c r="H17" t="s">
        <v>369</v>
      </c>
      <c r="I17" t="s">
        <v>491</v>
      </c>
      <c r="J17" t="s">
        <v>492</v>
      </c>
      <c r="K17" t="s">
        <v>984</v>
      </c>
      <c r="L17" t="s">
        <v>373</v>
      </c>
      <c r="M17" t="s">
        <v>374</v>
      </c>
      <c r="N17" t="s">
        <v>985</v>
      </c>
      <c r="O17" t="s">
        <v>877</v>
      </c>
      <c r="P17" t="s">
        <v>372</v>
      </c>
      <c r="Q17" t="s">
        <v>379</v>
      </c>
      <c r="R17" t="s">
        <v>379</v>
      </c>
      <c r="S17" t="s">
        <v>380</v>
      </c>
      <c r="T17" t="s">
        <v>380</v>
      </c>
      <c r="U17" t="s">
        <v>379</v>
      </c>
      <c r="V17" t="s">
        <v>380</v>
      </c>
      <c r="W17" t="s">
        <v>381</v>
      </c>
      <c r="X17" t="s">
        <v>378</v>
      </c>
      <c r="Y17" t="s">
        <v>380</v>
      </c>
      <c r="Z17" t="s">
        <v>382</v>
      </c>
      <c r="AA17" t="s">
        <v>382</v>
      </c>
      <c r="AB17" t="s">
        <v>382</v>
      </c>
      <c r="AC17" t="s">
        <v>381</v>
      </c>
      <c r="AD17" t="s">
        <v>382</v>
      </c>
      <c r="AE17" t="s">
        <v>379</v>
      </c>
      <c r="AF17" t="s">
        <v>382</v>
      </c>
      <c r="AG17" t="s">
        <v>382</v>
      </c>
      <c r="AH17" t="s">
        <v>380</v>
      </c>
      <c r="AI17" t="s">
        <v>382</v>
      </c>
      <c r="AJ17" t="s">
        <v>382</v>
      </c>
      <c r="AK17" t="s">
        <v>379</v>
      </c>
      <c r="AL17" t="s">
        <v>380</v>
      </c>
      <c r="AM17" t="s">
        <v>382</v>
      </c>
      <c r="AN17" t="s">
        <v>382</v>
      </c>
      <c r="AO17" t="s">
        <v>382</v>
      </c>
      <c r="AP17" t="s">
        <v>379</v>
      </c>
      <c r="AQ17" t="s">
        <v>379</v>
      </c>
      <c r="AR17" t="s">
        <v>382</v>
      </c>
      <c r="AS17" t="s">
        <v>379</v>
      </c>
      <c r="AT17" t="s">
        <v>382</v>
      </c>
      <c r="AU17" t="s">
        <v>380</v>
      </c>
      <c r="AV17" t="s">
        <v>382</v>
      </c>
      <c r="AW17" t="s">
        <v>382</v>
      </c>
      <c r="AX17" t="s">
        <v>855</v>
      </c>
      <c r="AY17">
        <v>1</v>
      </c>
      <c r="AZ17" t="s">
        <v>382</v>
      </c>
      <c r="BA17" t="s">
        <v>384</v>
      </c>
      <c r="BB17" t="s">
        <v>385</v>
      </c>
      <c r="BC17" t="s">
        <v>386</v>
      </c>
      <c r="BD17" t="s">
        <v>387</v>
      </c>
      <c r="BE17" t="s">
        <v>388</v>
      </c>
      <c r="BF17">
        <v>1</v>
      </c>
      <c r="BG17" t="s">
        <v>389</v>
      </c>
      <c r="BH17" t="s">
        <v>382</v>
      </c>
      <c r="BI17" t="s">
        <v>382</v>
      </c>
      <c r="BJ17" t="s">
        <v>382</v>
      </c>
      <c r="BK17" t="s">
        <v>382</v>
      </c>
      <c r="BL17" t="s">
        <v>382</v>
      </c>
      <c r="BM17" t="s">
        <v>382</v>
      </c>
      <c r="BN17" t="s">
        <v>382</v>
      </c>
      <c r="BO17" t="s">
        <v>382</v>
      </c>
      <c r="BP17" t="s">
        <v>382</v>
      </c>
      <c r="BQ17" t="s">
        <v>382</v>
      </c>
      <c r="BR17" t="s">
        <v>382</v>
      </c>
      <c r="BS17" t="s">
        <v>986</v>
      </c>
      <c r="BT17" t="s">
        <v>382</v>
      </c>
      <c r="BU17" t="s">
        <v>987</v>
      </c>
      <c r="BV17" t="s">
        <v>382</v>
      </c>
      <c r="BW17" t="s">
        <v>382</v>
      </c>
      <c r="BX17" t="s">
        <v>988</v>
      </c>
      <c r="BY17" t="s">
        <v>382</v>
      </c>
      <c r="BZ17" t="s">
        <v>382</v>
      </c>
      <c r="CA17" t="s">
        <v>382</v>
      </c>
      <c r="CB17" t="s">
        <v>382</v>
      </c>
      <c r="CC17" t="s">
        <v>382</v>
      </c>
      <c r="CD17" t="s">
        <v>382</v>
      </c>
      <c r="CE17" t="s">
        <v>382</v>
      </c>
      <c r="CF17">
        <v>1</v>
      </c>
      <c r="CG17">
        <v>1</v>
      </c>
      <c r="CH17">
        <v>1</v>
      </c>
      <c r="CI17" t="s">
        <v>393</v>
      </c>
      <c r="CJ17" t="s">
        <v>381</v>
      </c>
      <c r="CK17" t="s">
        <v>394</v>
      </c>
      <c r="CL17" t="s">
        <v>395</v>
      </c>
      <c r="CM17" t="s">
        <v>396</v>
      </c>
      <c r="CN17" t="s">
        <v>395</v>
      </c>
      <c r="CO17" t="s">
        <v>397</v>
      </c>
      <c r="CP17" t="s">
        <v>395</v>
      </c>
      <c r="CQ17" t="s">
        <v>379</v>
      </c>
      <c r="CR17" t="s">
        <v>379</v>
      </c>
      <c r="CS17" t="s">
        <v>395</v>
      </c>
      <c r="CT17" t="s">
        <v>395</v>
      </c>
      <c r="CU17" t="s">
        <v>378</v>
      </c>
      <c r="CV17" t="s">
        <v>694</v>
      </c>
      <c r="CW17" t="s">
        <v>395</v>
      </c>
      <c r="CX17" t="s">
        <v>382</v>
      </c>
      <c r="CY17">
        <v>5</v>
      </c>
      <c r="CZ17" t="s">
        <v>400</v>
      </c>
      <c r="DA17" t="s">
        <v>401</v>
      </c>
      <c r="DB17" t="s">
        <v>401</v>
      </c>
      <c r="DC17" t="s">
        <v>401</v>
      </c>
      <c r="DD17" t="s">
        <v>401</v>
      </c>
      <c r="DE17" t="s">
        <v>989</v>
      </c>
      <c r="DF17" t="s">
        <v>381</v>
      </c>
      <c r="DG17" t="s">
        <v>381</v>
      </c>
      <c r="DH17" t="s">
        <v>381</v>
      </c>
      <c r="DI17" t="s">
        <v>381</v>
      </c>
      <c r="DJ17" t="s">
        <v>381</v>
      </c>
      <c r="DK17" t="s">
        <v>990</v>
      </c>
      <c r="DL17" t="s">
        <v>991</v>
      </c>
      <c r="DM17" t="s">
        <v>992</v>
      </c>
      <c r="DN17" t="s">
        <v>993</v>
      </c>
      <c r="DO17" t="s">
        <v>994</v>
      </c>
      <c r="DP17" t="s">
        <v>995</v>
      </c>
      <c r="DQ17" t="s">
        <v>996</v>
      </c>
      <c r="DR17" t="s">
        <v>997</v>
      </c>
      <c r="DS17" t="s">
        <v>998</v>
      </c>
      <c r="DT17" t="s">
        <v>999</v>
      </c>
      <c r="DU17" t="s">
        <v>1000</v>
      </c>
      <c r="DV17" t="s">
        <v>1001</v>
      </c>
      <c r="DW17" t="s">
        <v>372</v>
      </c>
      <c r="DX17" t="s">
        <v>372</v>
      </c>
      <c r="DY17" t="s">
        <v>372</v>
      </c>
      <c r="DZ17" t="s">
        <v>372</v>
      </c>
      <c r="EA17" t="s">
        <v>372</v>
      </c>
      <c r="EB17" t="s">
        <v>372</v>
      </c>
      <c r="EC17" t="s">
        <v>372</v>
      </c>
      <c r="ED17" t="s">
        <v>372</v>
      </c>
      <c r="EE17" t="s">
        <v>372</v>
      </c>
      <c r="EF17" t="s">
        <v>372</v>
      </c>
      <c r="EG17" t="s">
        <v>372</v>
      </c>
      <c r="EH17" t="s">
        <v>372</v>
      </c>
      <c r="EI17" t="s">
        <v>372</v>
      </c>
      <c r="EJ17" t="s">
        <v>372</v>
      </c>
      <c r="EK17" t="s">
        <v>372</v>
      </c>
      <c r="EL17" t="s">
        <v>372</v>
      </c>
      <c r="EM17" t="s">
        <v>372</v>
      </c>
      <c r="EN17" t="s">
        <v>372</v>
      </c>
      <c r="EO17" t="s">
        <v>1002</v>
      </c>
      <c r="EP17" t="s">
        <v>1003</v>
      </c>
      <c r="EQ17" t="s">
        <v>1004</v>
      </c>
      <c r="ER17" t="s">
        <v>1005</v>
      </c>
      <c r="ES17" t="s">
        <v>1006</v>
      </c>
      <c r="ET17" t="s">
        <v>1007</v>
      </c>
      <c r="EU17" t="s">
        <v>1008</v>
      </c>
      <c r="EV17" t="s">
        <v>1009</v>
      </c>
      <c r="EW17" t="s">
        <v>1010</v>
      </c>
      <c r="EX17" t="s">
        <v>1011</v>
      </c>
      <c r="EY17" t="s">
        <v>1012</v>
      </c>
      <c r="EZ17" t="s">
        <v>1013</v>
      </c>
      <c r="FA17" t="s">
        <v>372</v>
      </c>
      <c r="FB17" t="s">
        <v>372</v>
      </c>
      <c r="FC17" t="s">
        <v>372</v>
      </c>
      <c r="FD17" t="s">
        <v>372</v>
      </c>
      <c r="FE17" t="s">
        <v>372</v>
      </c>
      <c r="FF17" t="s">
        <v>372</v>
      </c>
      <c r="FG17" t="s">
        <v>372</v>
      </c>
      <c r="FH17" t="s">
        <v>372</v>
      </c>
      <c r="FI17" t="s">
        <v>372</v>
      </c>
      <c r="FJ17" t="s">
        <v>372</v>
      </c>
      <c r="FK17" t="s">
        <v>372</v>
      </c>
      <c r="FL17" t="s">
        <v>372</v>
      </c>
      <c r="FM17" t="s">
        <v>372</v>
      </c>
      <c r="FN17" t="s">
        <v>372</v>
      </c>
      <c r="FO17" t="s">
        <v>372</v>
      </c>
      <c r="FP17" t="s">
        <v>372</v>
      </c>
      <c r="FQ17" t="s">
        <v>372</v>
      </c>
      <c r="FR17" t="s">
        <v>372</v>
      </c>
      <c r="FS17" t="s">
        <v>1014</v>
      </c>
      <c r="FT17" t="s">
        <v>1015</v>
      </c>
      <c r="FU17" t="s">
        <v>1016</v>
      </c>
      <c r="FV17" t="s">
        <v>468</v>
      </c>
      <c r="FW17" t="s">
        <v>468</v>
      </c>
      <c r="FX17" t="s">
        <v>372</v>
      </c>
      <c r="FY17" t="s">
        <v>372</v>
      </c>
      <c r="FZ17" t="s">
        <v>372</v>
      </c>
      <c r="GA17" t="s">
        <v>372</v>
      </c>
      <c r="GB17" t="s">
        <v>372</v>
      </c>
      <c r="GC17" t="s">
        <v>372</v>
      </c>
      <c r="GD17" t="s">
        <v>372</v>
      </c>
      <c r="GE17" t="s">
        <v>372</v>
      </c>
      <c r="GF17" t="s">
        <v>372</v>
      </c>
      <c r="GG17" t="s">
        <v>372</v>
      </c>
      <c r="GH17" t="s">
        <v>372</v>
      </c>
      <c r="GI17" t="s">
        <v>372</v>
      </c>
      <c r="GJ17" t="s">
        <v>372</v>
      </c>
      <c r="GK17" t="s">
        <v>372</v>
      </c>
      <c r="GL17" t="s">
        <v>372</v>
      </c>
      <c r="GM17" t="s">
        <v>372</v>
      </c>
      <c r="GN17" t="s">
        <v>372</v>
      </c>
      <c r="GO17" t="s">
        <v>1017</v>
      </c>
      <c r="GP17" t="s">
        <v>1018</v>
      </c>
      <c r="GQ17" t="s">
        <v>1019</v>
      </c>
      <c r="GR17" t="s">
        <v>372</v>
      </c>
      <c r="GS17" t="s">
        <v>372</v>
      </c>
      <c r="GT17" t="s">
        <v>372</v>
      </c>
      <c r="GU17" t="s">
        <v>372</v>
      </c>
      <c r="GV17" t="s">
        <v>372</v>
      </c>
      <c r="GW17" t="s">
        <v>372</v>
      </c>
      <c r="GX17" t="s">
        <v>372</v>
      </c>
      <c r="GY17" t="s">
        <v>372</v>
      </c>
      <c r="GZ17" t="s">
        <v>372</v>
      </c>
      <c r="HA17" t="s">
        <v>372</v>
      </c>
      <c r="HB17" t="s">
        <v>372</v>
      </c>
      <c r="HC17" t="s">
        <v>372</v>
      </c>
      <c r="HD17" t="s">
        <v>372</v>
      </c>
      <c r="HE17" t="s">
        <v>372</v>
      </c>
      <c r="HF17" t="s">
        <v>372</v>
      </c>
      <c r="HG17" t="s">
        <v>372</v>
      </c>
      <c r="HH17" t="s">
        <v>372</v>
      </c>
      <c r="HI17" t="s">
        <v>380</v>
      </c>
      <c r="HJ17" t="s">
        <v>381</v>
      </c>
      <c r="HK17" t="s">
        <v>381</v>
      </c>
      <c r="HL17" t="s">
        <v>382</v>
      </c>
      <c r="HM17" t="s">
        <v>382</v>
      </c>
      <c r="HN17" t="s">
        <v>382</v>
      </c>
      <c r="HO17" t="s">
        <v>382</v>
      </c>
      <c r="HP17" t="s">
        <v>382</v>
      </c>
      <c r="HQ17" t="s">
        <v>382</v>
      </c>
      <c r="HR17" t="s">
        <v>382</v>
      </c>
      <c r="HS17" t="s">
        <v>382</v>
      </c>
      <c r="HT17" t="s">
        <v>382</v>
      </c>
      <c r="HU17" t="s">
        <v>382</v>
      </c>
      <c r="HV17" t="s">
        <v>382</v>
      </c>
      <c r="HW17" t="s">
        <v>382</v>
      </c>
      <c r="HX17" t="s">
        <v>382</v>
      </c>
      <c r="HY17" t="s">
        <v>382</v>
      </c>
      <c r="HZ17" t="s">
        <v>382</v>
      </c>
      <c r="IA17" t="s">
        <v>382</v>
      </c>
      <c r="IB17" t="s">
        <v>382</v>
      </c>
      <c r="IC17" t="s">
        <v>395</v>
      </c>
      <c r="ID17" t="s">
        <v>398</v>
      </c>
      <c r="IE17" t="s">
        <v>395</v>
      </c>
      <c r="IF17" t="s">
        <v>395</v>
      </c>
      <c r="IG17" t="s">
        <v>395</v>
      </c>
      <c r="IH17" t="s">
        <v>395</v>
      </c>
      <c r="II17" t="s">
        <v>380</v>
      </c>
      <c r="IJ17" t="s">
        <v>395</v>
      </c>
      <c r="IK17" t="s">
        <v>395</v>
      </c>
      <c r="IL17" t="s">
        <v>395</v>
      </c>
      <c r="IM17" t="s">
        <v>380</v>
      </c>
      <c r="IN17" t="s">
        <v>395</v>
      </c>
      <c r="IO17" t="s">
        <v>381</v>
      </c>
      <c r="IP17" t="s">
        <v>395</v>
      </c>
      <c r="IQ17" t="s">
        <v>381</v>
      </c>
      <c r="IR17" t="s">
        <v>380</v>
      </c>
      <c r="IS17" t="s">
        <v>395</v>
      </c>
      <c r="IT17" t="s">
        <v>417</v>
      </c>
      <c r="IU17" t="s">
        <v>470</v>
      </c>
      <c r="IV17" t="s">
        <v>768</v>
      </c>
      <c r="IW17" t="s">
        <v>769</v>
      </c>
      <c r="IX17" t="s">
        <v>770</v>
      </c>
      <c r="IY17" t="s">
        <v>419</v>
      </c>
      <c r="IZ17" t="s">
        <v>420</v>
      </c>
      <c r="JA17" t="s">
        <v>1020</v>
      </c>
      <c r="JB17" t="s">
        <v>1021</v>
      </c>
      <c r="JC17" t="s">
        <v>1022</v>
      </c>
      <c r="JD17" t="s">
        <v>422</v>
      </c>
      <c r="JE17" t="s">
        <v>423</v>
      </c>
      <c r="JF17" t="s">
        <v>424</v>
      </c>
      <c r="JG17" t="s">
        <v>771</v>
      </c>
      <c r="JH17" t="s">
        <v>1023</v>
      </c>
      <c r="JI17" t="s">
        <v>1024</v>
      </c>
      <c r="JJ17" t="s">
        <v>372</v>
      </c>
      <c r="JK17" t="s">
        <v>372</v>
      </c>
      <c r="JL17" t="s">
        <v>372</v>
      </c>
      <c r="JM17" t="s">
        <v>372</v>
      </c>
      <c r="JN17" t="s">
        <v>372</v>
      </c>
      <c r="JO17" t="s">
        <v>372</v>
      </c>
      <c r="JP17" t="s">
        <v>372</v>
      </c>
      <c r="JQ17" t="s">
        <v>372</v>
      </c>
      <c r="JR17" t="s">
        <v>372</v>
      </c>
      <c r="JS17" t="s">
        <v>372</v>
      </c>
      <c r="JT17" t="s">
        <v>372</v>
      </c>
      <c r="JU17" t="s">
        <v>372</v>
      </c>
      <c r="JV17" t="s">
        <v>372</v>
      </c>
      <c r="JW17" t="s">
        <v>372</v>
      </c>
      <c r="JX17" t="s">
        <v>425</v>
      </c>
      <c r="JY17" t="s">
        <v>475</v>
      </c>
      <c r="JZ17" t="s">
        <v>774</v>
      </c>
      <c r="KA17" t="s">
        <v>1025</v>
      </c>
      <c r="KB17" t="s">
        <v>1026</v>
      </c>
      <c r="KC17" t="s">
        <v>427</v>
      </c>
      <c r="KD17" t="s">
        <v>867</v>
      </c>
      <c r="KE17" t="s">
        <v>1027</v>
      </c>
      <c r="KF17" t="s">
        <v>1028</v>
      </c>
      <c r="KG17" t="s">
        <v>1029</v>
      </c>
      <c r="KH17" t="s">
        <v>372</v>
      </c>
      <c r="KI17" t="s">
        <v>372</v>
      </c>
      <c r="KJ17" t="s">
        <v>372</v>
      </c>
      <c r="KK17" t="s">
        <v>372</v>
      </c>
      <c r="KL17" t="s">
        <v>1030</v>
      </c>
      <c r="KM17" t="s">
        <v>1031</v>
      </c>
      <c r="KN17" t="s">
        <v>372</v>
      </c>
      <c r="KO17" t="s">
        <v>372</v>
      </c>
      <c r="KP17" t="s">
        <v>372</v>
      </c>
      <c r="KQ17" t="s">
        <v>372</v>
      </c>
      <c r="KR17" t="s">
        <v>372</v>
      </c>
      <c r="KS17" t="s">
        <v>372</v>
      </c>
      <c r="KT17" t="s">
        <v>372</v>
      </c>
      <c r="KU17" t="s">
        <v>372</v>
      </c>
      <c r="KV17" t="s">
        <v>372</v>
      </c>
      <c r="KW17" t="s">
        <v>372</v>
      </c>
      <c r="KX17" t="s">
        <v>372</v>
      </c>
      <c r="KY17" t="s">
        <v>372</v>
      </c>
      <c r="KZ17" t="s">
        <v>372</v>
      </c>
      <c r="LA17" t="s">
        <v>372</v>
      </c>
      <c r="LB17" t="s">
        <v>430</v>
      </c>
      <c r="LC17" t="s">
        <v>478</v>
      </c>
      <c r="LD17" t="s">
        <v>777</v>
      </c>
      <c r="LE17" t="s">
        <v>778</v>
      </c>
      <c r="LF17" t="s">
        <v>779</v>
      </c>
      <c r="LG17" t="s">
        <v>432</v>
      </c>
      <c r="LH17" t="s">
        <v>433</v>
      </c>
      <c r="LI17" t="s">
        <v>1032</v>
      </c>
      <c r="LJ17" t="s">
        <v>1033</v>
      </c>
      <c r="LK17" t="s">
        <v>1034</v>
      </c>
      <c r="LL17" t="s">
        <v>435</v>
      </c>
      <c r="LM17" t="s">
        <v>436</v>
      </c>
      <c r="LN17" t="s">
        <v>437</v>
      </c>
      <c r="LO17" t="s">
        <v>780</v>
      </c>
      <c r="LP17" t="s">
        <v>1035</v>
      </c>
      <c r="LQ17" t="s">
        <v>1036</v>
      </c>
      <c r="LR17" t="s">
        <v>372</v>
      </c>
      <c r="LS17" t="s">
        <v>372</v>
      </c>
      <c r="LT17" t="s">
        <v>372</v>
      </c>
      <c r="LU17" t="s">
        <v>372</v>
      </c>
      <c r="LV17" t="s">
        <v>372</v>
      </c>
      <c r="LW17" t="s">
        <v>372</v>
      </c>
      <c r="LX17" t="s">
        <v>372</v>
      </c>
      <c r="LY17" t="s">
        <v>372</v>
      </c>
      <c r="LZ17" t="s">
        <v>372</v>
      </c>
      <c r="MA17" t="s">
        <v>372</v>
      </c>
      <c r="MB17" t="s">
        <v>372</v>
      </c>
      <c r="MC17" t="s">
        <v>372</v>
      </c>
      <c r="MD17" t="s">
        <v>372</v>
      </c>
      <c r="ME17" t="s">
        <v>372</v>
      </c>
      <c r="MF17" t="s">
        <v>542</v>
      </c>
      <c r="MG17" t="s">
        <v>372</v>
      </c>
      <c r="MH17" t="s">
        <v>372</v>
      </c>
      <c r="MI17" t="s">
        <v>372</v>
      </c>
      <c r="MJ17" t="s">
        <v>372</v>
      </c>
      <c r="MK17" t="s">
        <v>543</v>
      </c>
      <c r="ML17" t="s">
        <v>372</v>
      </c>
      <c r="MM17" t="s">
        <v>382</v>
      </c>
      <c r="MN17" t="s">
        <v>372</v>
      </c>
      <c r="MO17" t="s">
        <v>372</v>
      </c>
      <c r="MP17">
        <v>5</v>
      </c>
      <c r="MQ17">
        <v>10</v>
      </c>
      <c r="MR17">
        <v>5</v>
      </c>
      <c r="MS17" t="s">
        <v>1037</v>
      </c>
      <c r="MT17" t="s">
        <v>1038</v>
      </c>
      <c r="MU17" t="s">
        <v>907</v>
      </c>
      <c r="MV17" t="s">
        <v>908</v>
      </c>
      <c r="MW17" t="s">
        <v>372</v>
      </c>
      <c r="MX17" t="s">
        <v>372</v>
      </c>
      <c r="MY17" t="s">
        <v>372</v>
      </c>
      <c r="MZ17" t="s">
        <v>382</v>
      </c>
      <c r="NA17" t="s">
        <v>382</v>
      </c>
    </row>
    <row r="18" spans="1:365">
      <c r="A18" t="s">
        <v>1039</v>
      </c>
      <c r="B18" s="8">
        <v>46104</v>
      </c>
      <c r="C18">
        <v>1</v>
      </c>
      <c r="D18">
        <v>40</v>
      </c>
      <c r="E18" t="s">
        <v>1040</v>
      </c>
      <c r="F18" t="s">
        <v>1041</v>
      </c>
      <c r="G18" t="s">
        <v>1042</v>
      </c>
      <c r="H18" t="s">
        <v>552</v>
      </c>
      <c r="I18" t="s">
        <v>370</v>
      </c>
      <c r="J18" t="s">
        <v>371</v>
      </c>
      <c r="K18" t="s">
        <v>372</v>
      </c>
      <c r="L18" t="s">
        <v>373</v>
      </c>
      <c r="M18" t="s">
        <v>374</v>
      </c>
      <c r="N18" t="s">
        <v>759</v>
      </c>
      <c r="O18" t="s">
        <v>494</v>
      </c>
      <c r="P18" t="s">
        <v>377</v>
      </c>
      <c r="Q18" t="s">
        <v>380</v>
      </c>
      <c r="R18" t="s">
        <v>379</v>
      </c>
      <c r="S18" t="s">
        <v>379</v>
      </c>
      <c r="T18" t="s">
        <v>381</v>
      </c>
      <c r="U18" t="s">
        <v>380</v>
      </c>
      <c r="V18" t="s">
        <v>379</v>
      </c>
      <c r="W18" t="s">
        <v>379</v>
      </c>
      <c r="X18" t="s">
        <v>379</v>
      </c>
      <c r="Y18" t="s">
        <v>380</v>
      </c>
      <c r="Z18" t="s">
        <v>382</v>
      </c>
      <c r="AA18" t="s">
        <v>379</v>
      </c>
      <c r="AB18" t="s">
        <v>380</v>
      </c>
      <c r="AC18" t="s">
        <v>381</v>
      </c>
      <c r="AD18" t="s">
        <v>380</v>
      </c>
      <c r="AE18" t="s">
        <v>379</v>
      </c>
      <c r="AF18" t="s">
        <v>382</v>
      </c>
      <c r="AG18" t="s">
        <v>382</v>
      </c>
      <c r="AH18" t="s">
        <v>381</v>
      </c>
      <c r="AI18" t="s">
        <v>382</v>
      </c>
      <c r="AJ18" t="s">
        <v>382</v>
      </c>
      <c r="AK18" t="s">
        <v>382</v>
      </c>
      <c r="AL18" t="s">
        <v>380</v>
      </c>
      <c r="AM18" t="s">
        <v>381</v>
      </c>
      <c r="AN18" t="s">
        <v>382</v>
      </c>
      <c r="AO18" t="s">
        <v>382</v>
      </c>
      <c r="AP18" t="s">
        <v>382</v>
      </c>
      <c r="AQ18" t="s">
        <v>380</v>
      </c>
      <c r="AR18" t="s">
        <v>380</v>
      </c>
      <c r="AS18" t="s">
        <v>382</v>
      </c>
      <c r="AT18" t="s">
        <v>381</v>
      </c>
      <c r="AU18" t="s">
        <v>381</v>
      </c>
      <c r="AV18" t="s">
        <v>382</v>
      </c>
      <c r="AW18" t="s">
        <v>381</v>
      </c>
      <c r="AX18" t="s">
        <v>855</v>
      </c>
      <c r="AY18">
        <v>1</v>
      </c>
      <c r="AZ18" t="s">
        <v>382</v>
      </c>
      <c r="BA18" t="s">
        <v>496</v>
      </c>
      <c r="BB18" t="s">
        <v>611</v>
      </c>
      <c r="BC18" t="s">
        <v>612</v>
      </c>
      <c r="BD18" t="s">
        <v>453</v>
      </c>
      <c r="BE18" t="s">
        <v>454</v>
      </c>
      <c r="BF18">
        <v>1</v>
      </c>
      <c r="BG18" t="s">
        <v>389</v>
      </c>
      <c r="BH18" t="s">
        <v>382</v>
      </c>
      <c r="BI18" t="s">
        <v>391</v>
      </c>
      <c r="BJ18" t="s">
        <v>382</v>
      </c>
      <c r="BK18" t="s">
        <v>1043</v>
      </c>
      <c r="BL18" t="s">
        <v>1044</v>
      </c>
      <c r="BM18" t="s">
        <v>382</v>
      </c>
      <c r="BN18" t="s">
        <v>382</v>
      </c>
      <c r="BO18" t="s">
        <v>382</v>
      </c>
      <c r="BP18" t="s">
        <v>382</v>
      </c>
      <c r="BQ18" t="s">
        <v>382</v>
      </c>
      <c r="BR18" t="s">
        <v>382</v>
      </c>
      <c r="BS18" t="s">
        <v>382</v>
      </c>
      <c r="BT18" t="s">
        <v>382</v>
      </c>
      <c r="BU18" t="s">
        <v>382</v>
      </c>
      <c r="BV18" t="s">
        <v>382</v>
      </c>
      <c r="BW18" t="s">
        <v>382</v>
      </c>
      <c r="BX18" t="s">
        <v>382</v>
      </c>
      <c r="BY18" t="s">
        <v>382</v>
      </c>
      <c r="BZ18" t="s">
        <v>382</v>
      </c>
      <c r="CA18" t="s">
        <v>382</v>
      </c>
      <c r="CB18" t="s">
        <v>382</v>
      </c>
      <c r="CC18" t="s">
        <v>382</v>
      </c>
      <c r="CD18" t="s">
        <v>382</v>
      </c>
      <c r="CE18" t="s">
        <v>382</v>
      </c>
      <c r="CF18">
        <v>3</v>
      </c>
      <c r="CG18">
        <v>2</v>
      </c>
      <c r="CH18">
        <v>3</v>
      </c>
      <c r="CI18" t="s">
        <v>393</v>
      </c>
      <c r="CJ18" t="s">
        <v>379</v>
      </c>
      <c r="CK18" t="s">
        <v>394</v>
      </c>
      <c r="CL18" t="s">
        <v>395</v>
      </c>
      <c r="CM18" t="s">
        <v>396</v>
      </c>
      <c r="CN18" t="s">
        <v>395</v>
      </c>
      <c r="CO18" t="s">
        <v>397</v>
      </c>
      <c r="CP18" t="s">
        <v>395</v>
      </c>
      <c r="CQ18" t="s">
        <v>381</v>
      </c>
      <c r="CR18" t="s">
        <v>395</v>
      </c>
      <c r="CS18" t="s">
        <v>395</v>
      </c>
      <c r="CT18" t="s">
        <v>398</v>
      </c>
      <c r="CU18" t="s">
        <v>398</v>
      </c>
      <c r="CV18" t="s">
        <v>1045</v>
      </c>
      <c r="CW18" t="s">
        <v>395</v>
      </c>
      <c r="CX18" t="s">
        <v>382</v>
      </c>
      <c r="CY18">
        <v>4</v>
      </c>
      <c r="CZ18" t="s">
        <v>695</v>
      </c>
      <c r="DA18" t="s">
        <v>401</v>
      </c>
      <c r="DB18" t="s">
        <v>401</v>
      </c>
      <c r="DC18" t="s">
        <v>401</v>
      </c>
      <c r="DD18" t="s">
        <v>401</v>
      </c>
      <c r="DE18" t="s">
        <v>401</v>
      </c>
      <c r="DF18" t="s">
        <v>401</v>
      </c>
      <c r="DG18" t="s">
        <v>381</v>
      </c>
      <c r="DH18" t="s">
        <v>381</v>
      </c>
      <c r="DI18" t="s">
        <v>381</v>
      </c>
      <c r="DJ18" t="s">
        <v>381</v>
      </c>
      <c r="DK18" t="s">
        <v>1046</v>
      </c>
      <c r="DL18" t="s">
        <v>504</v>
      </c>
      <c r="DM18" t="s">
        <v>1047</v>
      </c>
      <c r="DN18" t="s">
        <v>507</v>
      </c>
      <c r="DO18" t="s">
        <v>1048</v>
      </c>
      <c r="DP18" t="s">
        <v>406</v>
      </c>
      <c r="DQ18" t="s">
        <v>1049</v>
      </c>
      <c r="DR18" t="s">
        <v>1050</v>
      </c>
      <c r="DS18" t="s">
        <v>372</v>
      </c>
      <c r="DT18" t="s">
        <v>372</v>
      </c>
      <c r="DU18" t="s">
        <v>372</v>
      </c>
      <c r="DV18" t="s">
        <v>372</v>
      </c>
      <c r="DW18" t="s">
        <v>372</v>
      </c>
      <c r="DX18" t="s">
        <v>372</v>
      </c>
      <c r="DY18" t="s">
        <v>372</v>
      </c>
      <c r="DZ18" t="s">
        <v>372</v>
      </c>
      <c r="EA18" t="s">
        <v>372</v>
      </c>
      <c r="EB18" t="s">
        <v>372</v>
      </c>
      <c r="EC18" t="s">
        <v>372</v>
      </c>
      <c r="ED18" t="s">
        <v>372</v>
      </c>
      <c r="EE18" t="s">
        <v>372</v>
      </c>
      <c r="EF18" t="s">
        <v>372</v>
      </c>
      <c r="EG18" t="s">
        <v>372</v>
      </c>
      <c r="EH18" t="s">
        <v>372</v>
      </c>
      <c r="EI18" t="s">
        <v>372</v>
      </c>
      <c r="EJ18" t="s">
        <v>372</v>
      </c>
      <c r="EK18" t="s">
        <v>372</v>
      </c>
      <c r="EL18" t="s">
        <v>372</v>
      </c>
      <c r="EM18" t="s">
        <v>372</v>
      </c>
      <c r="EN18" t="s">
        <v>372</v>
      </c>
      <c r="EO18" t="s">
        <v>1051</v>
      </c>
      <c r="EP18" t="s">
        <v>514</v>
      </c>
      <c r="EQ18" t="s">
        <v>1002</v>
      </c>
      <c r="ER18" t="s">
        <v>517</v>
      </c>
      <c r="ES18" t="s">
        <v>1052</v>
      </c>
      <c r="ET18" t="s">
        <v>409</v>
      </c>
      <c r="EU18" t="s">
        <v>1053</v>
      </c>
      <c r="EV18" t="s">
        <v>1054</v>
      </c>
      <c r="EW18" t="s">
        <v>372</v>
      </c>
      <c r="EX18" t="s">
        <v>372</v>
      </c>
      <c r="EY18" t="s">
        <v>372</v>
      </c>
      <c r="EZ18" t="s">
        <v>372</v>
      </c>
      <c r="FA18" t="s">
        <v>372</v>
      </c>
      <c r="FB18" t="s">
        <v>372</v>
      </c>
      <c r="FC18" t="s">
        <v>372</v>
      </c>
      <c r="FD18" t="s">
        <v>372</v>
      </c>
      <c r="FE18" t="s">
        <v>372</v>
      </c>
      <c r="FF18" t="s">
        <v>372</v>
      </c>
      <c r="FG18" t="s">
        <v>372</v>
      </c>
      <c r="FH18" t="s">
        <v>372</v>
      </c>
      <c r="FI18" t="s">
        <v>372</v>
      </c>
      <c r="FJ18" t="s">
        <v>372</v>
      </c>
      <c r="FK18" t="s">
        <v>372</v>
      </c>
      <c r="FL18" t="s">
        <v>372</v>
      </c>
      <c r="FM18" t="s">
        <v>372</v>
      </c>
      <c r="FN18" t="s">
        <v>372</v>
      </c>
      <c r="FO18" t="s">
        <v>372</v>
      </c>
      <c r="FP18" t="s">
        <v>372</v>
      </c>
      <c r="FQ18" t="s">
        <v>372</v>
      </c>
      <c r="FR18" t="s">
        <v>372</v>
      </c>
      <c r="FS18" t="s">
        <v>387</v>
      </c>
      <c r="FT18" t="s">
        <v>1055</v>
      </c>
      <c r="FU18" t="s">
        <v>412</v>
      </c>
      <c r="FV18" t="s">
        <v>412</v>
      </c>
      <c r="FW18" t="s">
        <v>412</v>
      </c>
      <c r="FX18" t="s">
        <v>412</v>
      </c>
      <c r="FY18" t="s">
        <v>372</v>
      </c>
      <c r="FZ18" t="s">
        <v>372</v>
      </c>
      <c r="GA18" t="s">
        <v>372</v>
      </c>
      <c r="GB18" t="s">
        <v>372</v>
      </c>
      <c r="GC18" t="s">
        <v>372</v>
      </c>
      <c r="GD18" t="s">
        <v>372</v>
      </c>
      <c r="GE18" t="s">
        <v>372</v>
      </c>
      <c r="GF18" t="s">
        <v>372</v>
      </c>
      <c r="GG18" t="s">
        <v>372</v>
      </c>
      <c r="GH18" t="s">
        <v>372</v>
      </c>
      <c r="GI18" t="s">
        <v>372</v>
      </c>
      <c r="GJ18" t="s">
        <v>372</v>
      </c>
      <c r="GK18" t="s">
        <v>372</v>
      </c>
      <c r="GL18" t="s">
        <v>372</v>
      </c>
      <c r="GM18" t="s">
        <v>372</v>
      </c>
      <c r="GN18" t="s">
        <v>372</v>
      </c>
      <c r="GO18" t="s">
        <v>526</v>
      </c>
      <c r="GP18" t="s">
        <v>527</v>
      </c>
      <c r="GQ18" t="s">
        <v>30</v>
      </c>
      <c r="GR18" t="s">
        <v>528</v>
      </c>
      <c r="GS18" t="s">
        <v>372</v>
      </c>
      <c r="GT18" t="s">
        <v>372</v>
      </c>
      <c r="GU18" t="s">
        <v>372</v>
      </c>
      <c r="GV18" t="s">
        <v>372</v>
      </c>
      <c r="GW18" t="s">
        <v>372</v>
      </c>
      <c r="GX18" t="s">
        <v>372</v>
      </c>
      <c r="GY18" t="s">
        <v>372</v>
      </c>
      <c r="GZ18" t="s">
        <v>372</v>
      </c>
      <c r="HA18" t="s">
        <v>372</v>
      </c>
      <c r="HB18" t="s">
        <v>372</v>
      </c>
      <c r="HC18" t="s">
        <v>372</v>
      </c>
      <c r="HD18" t="s">
        <v>372</v>
      </c>
      <c r="HE18" t="s">
        <v>372</v>
      </c>
      <c r="HF18" t="s">
        <v>372</v>
      </c>
      <c r="HG18" t="s">
        <v>372</v>
      </c>
      <c r="HH18" t="s">
        <v>372</v>
      </c>
      <c r="HI18" t="s">
        <v>379</v>
      </c>
      <c r="HJ18" t="s">
        <v>379</v>
      </c>
      <c r="HK18" t="s">
        <v>379</v>
      </c>
      <c r="HL18" t="s">
        <v>379</v>
      </c>
      <c r="HM18" t="s">
        <v>382</v>
      </c>
      <c r="HN18" t="s">
        <v>382</v>
      </c>
      <c r="HO18" t="s">
        <v>382</v>
      </c>
      <c r="HP18" t="s">
        <v>382</v>
      </c>
      <c r="HQ18" t="s">
        <v>382</v>
      </c>
      <c r="HR18" t="s">
        <v>382</v>
      </c>
      <c r="HS18" t="s">
        <v>382</v>
      </c>
      <c r="HT18" t="s">
        <v>382</v>
      </c>
      <c r="HU18" t="s">
        <v>382</v>
      </c>
      <c r="HV18" t="s">
        <v>382</v>
      </c>
      <c r="HW18" t="s">
        <v>382</v>
      </c>
      <c r="HX18" t="s">
        <v>382</v>
      </c>
      <c r="HY18" t="s">
        <v>382</v>
      </c>
      <c r="HZ18" t="s">
        <v>382</v>
      </c>
      <c r="IA18" t="s">
        <v>382</v>
      </c>
      <c r="IB18" t="s">
        <v>382</v>
      </c>
      <c r="IC18" t="s">
        <v>395</v>
      </c>
      <c r="ID18" t="s">
        <v>378</v>
      </c>
      <c r="IE18" t="s">
        <v>381</v>
      </c>
      <c r="IF18" t="s">
        <v>395</v>
      </c>
      <c r="IG18" t="s">
        <v>395</v>
      </c>
      <c r="IH18" t="s">
        <v>395</v>
      </c>
      <c r="II18" t="s">
        <v>381</v>
      </c>
      <c r="IJ18" t="s">
        <v>395</v>
      </c>
      <c r="IK18" t="s">
        <v>395</v>
      </c>
      <c r="IL18" t="s">
        <v>395</v>
      </c>
      <c r="IM18" t="s">
        <v>380</v>
      </c>
      <c r="IN18" t="s">
        <v>395</v>
      </c>
      <c r="IO18" t="s">
        <v>381</v>
      </c>
      <c r="IP18" t="s">
        <v>395</v>
      </c>
      <c r="IQ18" t="s">
        <v>381</v>
      </c>
      <c r="IR18" t="s">
        <v>381</v>
      </c>
      <c r="IS18" t="s">
        <v>380</v>
      </c>
      <c r="IT18" t="s">
        <v>417</v>
      </c>
      <c r="IU18" t="s">
        <v>470</v>
      </c>
      <c r="IV18" t="s">
        <v>768</v>
      </c>
      <c r="IW18" t="s">
        <v>769</v>
      </c>
      <c r="IX18" t="s">
        <v>418</v>
      </c>
      <c r="IY18" t="s">
        <v>419</v>
      </c>
      <c r="IZ18" t="s">
        <v>422</v>
      </c>
      <c r="JA18" t="s">
        <v>423</v>
      </c>
      <c r="JB18" t="s">
        <v>424</v>
      </c>
      <c r="JC18" t="s">
        <v>656</v>
      </c>
      <c r="JD18" t="s">
        <v>1056</v>
      </c>
      <c r="JE18" t="s">
        <v>533</v>
      </c>
      <c r="JF18" t="s">
        <v>372</v>
      </c>
      <c r="JG18" t="s">
        <v>372</v>
      </c>
      <c r="JH18" t="s">
        <v>372</v>
      </c>
      <c r="JI18" t="s">
        <v>372</v>
      </c>
      <c r="JJ18" t="s">
        <v>372</v>
      </c>
      <c r="JK18" t="s">
        <v>372</v>
      </c>
      <c r="JL18" t="s">
        <v>372</v>
      </c>
      <c r="JM18" t="s">
        <v>372</v>
      </c>
      <c r="JN18" t="s">
        <v>372</v>
      </c>
      <c r="JO18" t="s">
        <v>372</v>
      </c>
      <c r="JP18" t="s">
        <v>372</v>
      </c>
      <c r="JQ18" t="s">
        <v>372</v>
      </c>
      <c r="JR18" t="s">
        <v>372</v>
      </c>
      <c r="JS18" t="s">
        <v>372</v>
      </c>
      <c r="JT18" t="s">
        <v>372</v>
      </c>
      <c r="JU18" t="s">
        <v>372</v>
      </c>
      <c r="JV18" t="s">
        <v>372</v>
      </c>
      <c r="JW18" t="s">
        <v>372</v>
      </c>
      <c r="JX18" t="s">
        <v>425</v>
      </c>
      <c r="JY18" t="s">
        <v>475</v>
      </c>
      <c r="JZ18" t="s">
        <v>774</v>
      </c>
      <c r="KA18" t="s">
        <v>1057</v>
      </c>
      <c r="KB18" t="s">
        <v>426</v>
      </c>
      <c r="KC18" t="s">
        <v>427</v>
      </c>
      <c r="KD18" t="s">
        <v>372</v>
      </c>
      <c r="KE18" t="s">
        <v>372</v>
      </c>
      <c r="KF18" t="s">
        <v>372</v>
      </c>
      <c r="KG18" t="s">
        <v>372</v>
      </c>
      <c r="KH18" t="s">
        <v>372</v>
      </c>
      <c r="KI18" t="s">
        <v>1058</v>
      </c>
      <c r="KJ18" t="s">
        <v>372</v>
      </c>
      <c r="KK18" t="s">
        <v>372</v>
      </c>
      <c r="KL18" t="s">
        <v>372</v>
      </c>
      <c r="KM18" t="s">
        <v>372</v>
      </c>
      <c r="KN18" t="s">
        <v>372</v>
      </c>
      <c r="KO18" t="s">
        <v>372</v>
      </c>
      <c r="KP18" t="s">
        <v>372</v>
      </c>
      <c r="KQ18" t="s">
        <v>372</v>
      </c>
      <c r="KR18" t="s">
        <v>372</v>
      </c>
      <c r="KS18" t="s">
        <v>372</v>
      </c>
      <c r="KT18" t="s">
        <v>372</v>
      </c>
      <c r="KU18" t="s">
        <v>372</v>
      </c>
      <c r="KV18" t="s">
        <v>372</v>
      </c>
      <c r="KW18" t="s">
        <v>372</v>
      </c>
      <c r="KX18" t="s">
        <v>372</v>
      </c>
      <c r="KY18" t="s">
        <v>372</v>
      </c>
      <c r="KZ18" t="s">
        <v>372</v>
      </c>
      <c r="LA18" t="s">
        <v>372</v>
      </c>
      <c r="LB18" t="s">
        <v>430</v>
      </c>
      <c r="LC18" t="s">
        <v>478</v>
      </c>
      <c r="LD18" t="s">
        <v>777</v>
      </c>
      <c r="LE18" t="s">
        <v>778</v>
      </c>
      <c r="LF18" t="s">
        <v>431</v>
      </c>
      <c r="LG18" t="s">
        <v>432</v>
      </c>
      <c r="LH18" t="s">
        <v>435</v>
      </c>
      <c r="LI18" t="s">
        <v>436</v>
      </c>
      <c r="LJ18" t="s">
        <v>437</v>
      </c>
      <c r="LK18" t="s">
        <v>668</v>
      </c>
      <c r="LL18" t="s">
        <v>1059</v>
      </c>
      <c r="LM18" t="s">
        <v>541</v>
      </c>
      <c r="LN18" t="s">
        <v>372</v>
      </c>
      <c r="LO18" t="s">
        <v>372</v>
      </c>
      <c r="LP18" t="s">
        <v>372</v>
      </c>
      <c r="LQ18" t="s">
        <v>372</v>
      </c>
      <c r="LR18" t="s">
        <v>372</v>
      </c>
      <c r="LS18" t="s">
        <v>372</v>
      </c>
      <c r="LT18" t="s">
        <v>372</v>
      </c>
      <c r="LU18" t="s">
        <v>372</v>
      </c>
      <c r="LV18" t="s">
        <v>372</v>
      </c>
      <c r="LW18" t="s">
        <v>372</v>
      </c>
      <c r="LX18" t="s">
        <v>372</v>
      </c>
      <c r="LY18" t="s">
        <v>372</v>
      </c>
      <c r="LZ18" t="s">
        <v>372</v>
      </c>
      <c r="MA18" t="s">
        <v>372</v>
      </c>
      <c r="MB18" t="s">
        <v>372</v>
      </c>
      <c r="MC18" t="s">
        <v>372</v>
      </c>
      <c r="MD18" t="s">
        <v>372</v>
      </c>
      <c r="ME18" t="s">
        <v>372</v>
      </c>
      <c r="MF18" t="s">
        <v>438</v>
      </c>
      <c r="MG18" t="s">
        <v>372</v>
      </c>
      <c r="MH18" t="s">
        <v>1060</v>
      </c>
      <c r="MI18" t="s">
        <v>372</v>
      </c>
      <c r="MJ18" t="s">
        <v>372</v>
      </c>
      <c r="MK18" t="s">
        <v>440</v>
      </c>
      <c r="ML18" t="s">
        <v>372</v>
      </c>
      <c r="MM18" t="s">
        <v>1061</v>
      </c>
      <c r="MN18" t="s">
        <v>372</v>
      </c>
      <c r="MO18" t="s">
        <v>372</v>
      </c>
      <c r="MP18">
        <v>5</v>
      </c>
      <c r="MQ18">
        <v>8</v>
      </c>
      <c r="MR18">
        <v>3</v>
      </c>
      <c r="MS18" t="s">
        <v>783</v>
      </c>
      <c r="MT18" t="s">
        <v>784</v>
      </c>
      <c r="MU18" t="s">
        <v>546</v>
      </c>
      <c r="MV18" t="s">
        <v>547</v>
      </c>
      <c r="MW18" t="s">
        <v>1062</v>
      </c>
      <c r="MX18" t="s">
        <v>1063</v>
      </c>
      <c r="MY18" t="s">
        <v>1064</v>
      </c>
      <c r="MZ18" t="s">
        <v>1065</v>
      </c>
      <c r="NA18" t="s">
        <v>382</v>
      </c>
    </row>
    <row r="19" spans="1:365">
      <c r="A19" t="s">
        <v>1066</v>
      </c>
      <c r="B19" s="8">
        <v>46104</v>
      </c>
      <c r="C19">
        <v>1</v>
      </c>
      <c r="D19">
        <v>62</v>
      </c>
      <c r="E19" t="s">
        <v>1067</v>
      </c>
      <c r="F19" t="s">
        <v>1068</v>
      </c>
      <c r="G19" t="s">
        <v>1069</v>
      </c>
      <c r="H19" t="s">
        <v>1070</v>
      </c>
      <c r="I19" t="s">
        <v>370</v>
      </c>
      <c r="J19" t="s">
        <v>371</v>
      </c>
      <c r="K19" t="s">
        <v>1071</v>
      </c>
      <c r="L19" t="s">
        <v>373</v>
      </c>
      <c r="M19" t="s">
        <v>374</v>
      </c>
      <c r="N19" t="s">
        <v>876</v>
      </c>
      <c r="O19" t="s">
        <v>1072</v>
      </c>
      <c r="P19" t="s">
        <v>372</v>
      </c>
      <c r="Q19" t="s">
        <v>378</v>
      </c>
      <c r="R19" t="s">
        <v>380</v>
      </c>
      <c r="S19" t="s">
        <v>380</v>
      </c>
      <c r="T19" t="s">
        <v>380</v>
      </c>
      <c r="U19" t="s">
        <v>380</v>
      </c>
      <c r="V19" t="s">
        <v>380</v>
      </c>
      <c r="W19" t="s">
        <v>379</v>
      </c>
      <c r="X19" t="s">
        <v>379</v>
      </c>
      <c r="Y19" t="s">
        <v>380</v>
      </c>
      <c r="Z19" t="s">
        <v>382</v>
      </c>
      <c r="AA19" t="s">
        <v>382</v>
      </c>
      <c r="AB19" t="s">
        <v>382</v>
      </c>
      <c r="AC19" t="s">
        <v>382</v>
      </c>
      <c r="AD19" t="s">
        <v>382</v>
      </c>
      <c r="AE19" t="s">
        <v>378</v>
      </c>
      <c r="AF19" t="s">
        <v>382</v>
      </c>
      <c r="AG19" t="s">
        <v>382</v>
      </c>
      <c r="AH19" t="s">
        <v>398</v>
      </c>
      <c r="AI19" t="s">
        <v>382</v>
      </c>
      <c r="AJ19" t="s">
        <v>382</v>
      </c>
      <c r="AK19" t="s">
        <v>382</v>
      </c>
      <c r="AL19" t="s">
        <v>382</v>
      </c>
      <c r="AM19" t="s">
        <v>380</v>
      </c>
      <c r="AN19" t="s">
        <v>382</v>
      </c>
      <c r="AO19" t="s">
        <v>382</v>
      </c>
      <c r="AP19" t="s">
        <v>382</v>
      </c>
      <c r="AQ19" t="s">
        <v>379</v>
      </c>
      <c r="AR19" t="s">
        <v>378</v>
      </c>
      <c r="AS19" t="s">
        <v>381</v>
      </c>
      <c r="AT19" t="s">
        <v>382</v>
      </c>
      <c r="AU19" t="s">
        <v>381</v>
      </c>
      <c r="AV19" t="s">
        <v>382</v>
      </c>
      <c r="AW19" t="s">
        <v>380</v>
      </c>
      <c r="AX19" t="s">
        <v>879</v>
      </c>
      <c r="AY19">
        <v>2</v>
      </c>
      <c r="AZ19" t="s">
        <v>561</v>
      </c>
      <c r="BA19" t="s">
        <v>384</v>
      </c>
      <c r="BB19" t="s">
        <v>385</v>
      </c>
      <c r="BC19" t="s">
        <v>386</v>
      </c>
      <c r="BD19" t="s">
        <v>1073</v>
      </c>
      <c r="BE19" t="s">
        <v>1074</v>
      </c>
      <c r="BF19">
        <v>2</v>
      </c>
      <c r="BG19" t="s">
        <v>389</v>
      </c>
      <c r="BH19" t="s">
        <v>382</v>
      </c>
      <c r="BI19" t="s">
        <v>382</v>
      </c>
      <c r="BJ19" t="s">
        <v>382</v>
      </c>
      <c r="BK19" t="s">
        <v>382</v>
      </c>
      <c r="BL19" t="s">
        <v>382</v>
      </c>
      <c r="BM19" t="s">
        <v>382</v>
      </c>
      <c r="BN19" t="s">
        <v>382</v>
      </c>
      <c r="BO19" t="s">
        <v>382</v>
      </c>
      <c r="BP19" t="s">
        <v>1075</v>
      </c>
      <c r="BQ19" t="s">
        <v>382</v>
      </c>
      <c r="BR19" t="s">
        <v>382</v>
      </c>
      <c r="BS19" t="s">
        <v>382</v>
      </c>
      <c r="BT19" t="s">
        <v>382</v>
      </c>
      <c r="BU19" t="s">
        <v>382</v>
      </c>
      <c r="BV19" t="s">
        <v>382</v>
      </c>
      <c r="BW19" t="s">
        <v>382</v>
      </c>
      <c r="BX19" t="s">
        <v>382</v>
      </c>
      <c r="BY19" t="s">
        <v>1076</v>
      </c>
      <c r="BZ19" t="s">
        <v>1077</v>
      </c>
      <c r="CA19" t="s">
        <v>382</v>
      </c>
      <c r="CB19" t="s">
        <v>382</v>
      </c>
      <c r="CC19" t="s">
        <v>382</v>
      </c>
      <c r="CD19" t="s">
        <v>382</v>
      </c>
      <c r="CE19" t="s">
        <v>382</v>
      </c>
      <c r="CF19">
        <v>1</v>
      </c>
      <c r="CG19">
        <v>3</v>
      </c>
      <c r="CH19">
        <v>3</v>
      </c>
      <c r="CI19" t="s">
        <v>393</v>
      </c>
      <c r="CJ19" t="s">
        <v>379</v>
      </c>
      <c r="CK19" t="s">
        <v>394</v>
      </c>
      <c r="CL19" t="s">
        <v>395</v>
      </c>
      <c r="CM19" t="s">
        <v>396</v>
      </c>
      <c r="CN19" t="s">
        <v>381</v>
      </c>
      <c r="CO19" t="s">
        <v>397</v>
      </c>
      <c r="CP19" t="s">
        <v>395</v>
      </c>
      <c r="CQ19" t="s">
        <v>379</v>
      </c>
      <c r="CR19" t="s">
        <v>380</v>
      </c>
      <c r="CS19" t="s">
        <v>395</v>
      </c>
      <c r="CT19" t="s">
        <v>398</v>
      </c>
      <c r="CU19" t="s">
        <v>398</v>
      </c>
      <c r="CV19" t="s">
        <v>1078</v>
      </c>
      <c r="CW19" t="s">
        <v>395</v>
      </c>
      <c r="CX19" t="s">
        <v>382</v>
      </c>
      <c r="CY19">
        <v>3</v>
      </c>
      <c r="CZ19" t="s">
        <v>695</v>
      </c>
      <c r="DA19" t="s">
        <v>401</v>
      </c>
      <c r="DB19" t="s">
        <v>401</v>
      </c>
      <c r="DC19" t="s">
        <v>401</v>
      </c>
      <c r="DD19" t="s">
        <v>401</v>
      </c>
      <c r="DE19" t="s">
        <v>1079</v>
      </c>
      <c r="DF19" t="s">
        <v>401</v>
      </c>
      <c r="DG19" t="s">
        <v>401</v>
      </c>
      <c r="DH19" t="s">
        <v>381</v>
      </c>
      <c r="DI19" t="s">
        <v>381</v>
      </c>
      <c r="DJ19" t="s">
        <v>381</v>
      </c>
      <c r="DK19" t="s">
        <v>700</v>
      </c>
      <c r="DL19" t="s">
        <v>569</v>
      </c>
      <c r="DM19" t="s">
        <v>1080</v>
      </c>
      <c r="DN19" t="s">
        <v>504</v>
      </c>
      <c r="DO19" t="s">
        <v>1081</v>
      </c>
      <c r="DP19" t="s">
        <v>1082</v>
      </c>
      <c r="DQ19" t="s">
        <v>507</v>
      </c>
      <c r="DR19" t="s">
        <v>508</v>
      </c>
      <c r="DS19" t="s">
        <v>372</v>
      </c>
      <c r="DT19" t="s">
        <v>372</v>
      </c>
      <c r="DU19" t="s">
        <v>372</v>
      </c>
      <c r="DV19" t="s">
        <v>372</v>
      </c>
      <c r="DW19" t="s">
        <v>372</v>
      </c>
      <c r="DX19" t="s">
        <v>372</v>
      </c>
      <c r="DY19" t="s">
        <v>372</v>
      </c>
      <c r="DZ19" t="s">
        <v>372</v>
      </c>
      <c r="EA19" t="s">
        <v>372</v>
      </c>
      <c r="EB19" t="s">
        <v>372</v>
      </c>
      <c r="EC19" t="s">
        <v>372</v>
      </c>
      <c r="ED19" t="s">
        <v>372</v>
      </c>
      <c r="EE19" t="s">
        <v>372</v>
      </c>
      <c r="EF19" t="s">
        <v>372</v>
      </c>
      <c r="EG19" t="s">
        <v>372</v>
      </c>
      <c r="EH19" t="s">
        <v>372</v>
      </c>
      <c r="EI19" t="s">
        <v>372</v>
      </c>
      <c r="EJ19" t="s">
        <v>372</v>
      </c>
      <c r="EK19" t="s">
        <v>372</v>
      </c>
      <c r="EL19" t="s">
        <v>372</v>
      </c>
      <c r="EM19" t="s">
        <v>372</v>
      </c>
      <c r="EN19" t="s">
        <v>372</v>
      </c>
      <c r="EO19" t="s">
        <v>649</v>
      </c>
      <c r="EP19" t="s">
        <v>575</v>
      </c>
      <c r="EQ19" t="s">
        <v>1083</v>
      </c>
      <c r="ER19" t="s">
        <v>514</v>
      </c>
      <c r="ES19" t="s">
        <v>1002</v>
      </c>
      <c r="ET19" t="s">
        <v>1084</v>
      </c>
      <c r="EU19" t="s">
        <v>517</v>
      </c>
      <c r="EV19" t="s">
        <v>518</v>
      </c>
      <c r="EW19" t="s">
        <v>372</v>
      </c>
      <c r="EX19" t="s">
        <v>372</v>
      </c>
      <c r="EY19" t="s">
        <v>372</v>
      </c>
      <c r="EZ19" t="s">
        <v>372</v>
      </c>
      <c r="FA19" t="s">
        <v>372</v>
      </c>
      <c r="FB19" t="s">
        <v>372</v>
      </c>
      <c r="FC19" t="s">
        <v>372</v>
      </c>
      <c r="FD19" t="s">
        <v>372</v>
      </c>
      <c r="FE19" t="s">
        <v>372</v>
      </c>
      <c r="FF19" t="s">
        <v>372</v>
      </c>
      <c r="FG19" t="s">
        <v>372</v>
      </c>
      <c r="FH19" t="s">
        <v>372</v>
      </c>
      <c r="FI19" t="s">
        <v>372</v>
      </c>
      <c r="FJ19" t="s">
        <v>372</v>
      </c>
      <c r="FK19" t="s">
        <v>372</v>
      </c>
      <c r="FL19" t="s">
        <v>372</v>
      </c>
      <c r="FM19" t="s">
        <v>372</v>
      </c>
      <c r="FN19" t="s">
        <v>372</v>
      </c>
      <c r="FO19" t="s">
        <v>372</v>
      </c>
      <c r="FP19" t="s">
        <v>372</v>
      </c>
      <c r="FQ19" t="s">
        <v>372</v>
      </c>
      <c r="FR19" t="s">
        <v>372</v>
      </c>
      <c r="FS19" t="s">
        <v>387</v>
      </c>
      <c r="FT19" t="s">
        <v>1055</v>
      </c>
      <c r="FU19" t="s">
        <v>525</v>
      </c>
      <c r="FV19" t="s">
        <v>372</v>
      </c>
      <c r="FW19" t="s">
        <v>372</v>
      </c>
      <c r="FX19" t="s">
        <v>372</v>
      </c>
      <c r="FY19" t="s">
        <v>372</v>
      </c>
      <c r="FZ19" t="s">
        <v>372</v>
      </c>
      <c r="GA19" t="s">
        <v>372</v>
      </c>
      <c r="GB19" t="s">
        <v>372</v>
      </c>
      <c r="GC19" t="s">
        <v>372</v>
      </c>
      <c r="GD19" t="s">
        <v>372</v>
      </c>
      <c r="GE19" t="s">
        <v>372</v>
      </c>
      <c r="GF19" t="s">
        <v>372</v>
      </c>
      <c r="GG19" t="s">
        <v>372</v>
      </c>
      <c r="GH19" t="s">
        <v>372</v>
      </c>
      <c r="GI19" t="s">
        <v>372</v>
      </c>
      <c r="GJ19" t="s">
        <v>372</v>
      </c>
      <c r="GK19" t="s">
        <v>372</v>
      </c>
      <c r="GL19" t="s">
        <v>372</v>
      </c>
      <c r="GM19" t="s">
        <v>372</v>
      </c>
      <c r="GN19" t="s">
        <v>372</v>
      </c>
      <c r="GO19" t="s">
        <v>372</v>
      </c>
      <c r="GP19" t="s">
        <v>372</v>
      </c>
      <c r="GQ19" t="s">
        <v>372</v>
      </c>
      <c r="GR19" t="s">
        <v>372</v>
      </c>
      <c r="GS19" t="s">
        <v>372</v>
      </c>
      <c r="GT19" t="s">
        <v>372</v>
      </c>
      <c r="GU19" t="s">
        <v>372</v>
      </c>
      <c r="GV19" t="s">
        <v>372</v>
      </c>
      <c r="GW19" t="s">
        <v>372</v>
      </c>
      <c r="GX19" t="s">
        <v>372</v>
      </c>
      <c r="GY19" t="s">
        <v>372</v>
      </c>
      <c r="GZ19" t="s">
        <v>372</v>
      </c>
      <c r="HA19" t="s">
        <v>372</v>
      </c>
      <c r="HB19" t="s">
        <v>372</v>
      </c>
      <c r="HC19" t="s">
        <v>372</v>
      </c>
      <c r="HD19" t="s">
        <v>372</v>
      </c>
      <c r="HE19" t="s">
        <v>372</v>
      </c>
      <c r="HF19" t="s">
        <v>372</v>
      </c>
      <c r="HG19" t="s">
        <v>372</v>
      </c>
      <c r="HH19" t="s">
        <v>372</v>
      </c>
      <c r="HI19" t="s">
        <v>398</v>
      </c>
      <c r="HJ19" t="s">
        <v>382</v>
      </c>
      <c r="HK19" t="s">
        <v>382</v>
      </c>
      <c r="HL19" t="s">
        <v>382</v>
      </c>
      <c r="HM19" t="s">
        <v>382</v>
      </c>
      <c r="HN19" t="s">
        <v>382</v>
      </c>
      <c r="HO19" t="s">
        <v>382</v>
      </c>
      <c r="HP19" t="s">
        <v>382</v>
      </c>
      <c r="HQ19" t="s">
        <v>382</v>
      </c>
      <c r="HR19" t="s">
        <v>382</v>
      </c>
      <c r="HS19" t="s">
        <v>382</v>
      </c>
      <c r="HT19" t="s">
        <v>382</v>
      </c>
      <c r="HU19" t="s">
        <v>382</v>
      </c>
      <c r="HV19" t="s">
        <v>382</v>
      </c>
      <c r="HW19" t="s">
        <v>382</v>
      </c>
      <c r="HX19" t="s">
        <v>382</v>
      </c>
      <c r="HY19" t="s">
        <v>382</v>
      </c>
      <c r="HZ19" t="s">
        <v>382</v>
      </c>
      <c r="IA19" t="s">
        <v>382</v>
      </c>
      <c r="IB19" t="s">
        <v>382</v>
      </c>
      <c r="IC19" t="s">
        <v>395</v>
      </c>
      <c r="ID19" t="s">
        <v>381</v>
      </c>
      <c r="IE19" t="s">
        <v>381</v>
      </c>
      <c r="IF19" t="s">
        <v>378</v>
      </c>
      <c r="IG19" t="s">
        <v>395</v>
      </c>
      <c r="IH19" t="s">
        <v>395</v>
      </c>
      <c r="II19" t="s">
        <v>381</v>
      </c>
      <c r="IJ19" t="s">
        <v>395</v>
      </c>
      <c r="IK19" t="s">
        <v>395</v>
      </c>
      <c r="IL19" t="s">
        <v>395</v>
      </c>
      <c r="IM19" t="s">
        <v>378</v>
      </c>
      <c r="IN19" t="s">
        <v>395</v>
      </c>
      <c r="IO19" t="s">
        <v>381</v>
      </c>
      <c r="IP19" t="s">
        <v>395</v>
      </c>
      <c r="IQ19" t="s">
        <v>395</v>
      </c>
      <c r="IR19" t="s">
        <v>381</v>
      </c>
      <c r="IS19" t="s">
        <v>378</v>
      </c>
      <c r="IT19" t="s">
        <v>417</v>
      </c>
      <c r="IU19" t="s">
        <v>418</v>
      </c>
      <c r="IV19" t="s">
        <v>653</v>
      </c>
      <c r="IW19" t="s">
        <v>654</v>
      </c>
      <c r="IX19" t="s">
        <v>974</v>
      </c>
      <c r="IY19" t="s">
        <v>1085</v>
      </c>
      <c r="IZ19" t="s">
        <v>419</v>
      </c>
      <c r="JA19" t="s">
        <v>1086</v>
      </c>
      <c r="JB19" t="s">
        <v>1087</v>
      </c>
      <c r="JC19" t="s">
        <v>422</v>
      </c>
      <c r="JD19" t="s">
        <v>424</v>
      </c>
      <c r="JE19" t="s">
        <v>656</v>
      </c>
      <c r="JF19" t="s">
        <v>1056</v>
      </c>
      <c r="JG19" t="s">
        <v>1088</v>
      </c>
      <c r="JH19" t="s">
        <v>1089</v>
      </c>
      <c r="JI19" t="s">
        <v>533</v>
      </c>
      <c r="JJ19" t="s">
        <v>658</v>
      </c>
      <c r="JK19" t="s">
        <v>1090</v>
      </c>
      <c r="JL19" t="s">
        <v>1091</v>
      </c>
      <c r="JM19" t="s">
        <v>735</v>
      </c>
      <c r="JN19" t="s">
        <v>372</v>
      </c>
      <c r="JO19" t="s">
        <v>372</v>
      </c>
      <c r="JP19" t="s">
        <v>372</v>
      </c>
      <c r="JQ19" t="s">
        <v>372</v>
      </c>
      <c r="JR19" t="s">
        <v>372</v>
      </c>
      <c r="JS19" t="s">
        <v>372</v>
      </c>
      <c r="JT19" t="s">
        <v>372</v>
      </c>
      <c r="JU19" t="s">
        <v>372</v>
      </c>
      <c r="JV19" t="s">
        <v>372</v>
      </c>
      <c r="JW19" t="s">
        <v>372</v>
      </c>
      <c r="JX19" t="s">
        <v>425</v>
      </c>
      <c r="JY19" t="s">
        <v>426</v>
      </c>
      <c r="JZ19" t="s">
        <v>1092</v>
      </c>
      <c r="KA19" t="s">
        <v>661</v>
      </c>
      <c r="KB19" t="s">
        <v>976</v>
      </c>
      <c r="KC19" t="s">
        <v>1093</v>
      </c>
      <c r="KD19" t="s">
        <v>427</v>
      </c>
      <c r="KE19" t="s">
        <v>1094</v>
      </c>
      <c r="KF19" t="s">
        <v>1095</v>
      </c>
      <c r="KG19" t="s">
        <v>372</v>
      </c>
      <c r="KH19" t="s">
        <v>372</v>
      </c>
      <c r="KI19" t="s">
        <v>372</v>
      </c>
      <c r="KJ19" t="s">
        <v>372</v>
      </c>
      <c r="KK19" t="s">
        <v>372</v>
      </c>
      <c r="KL19" t="s">
        <v>372</v>
      </c>
      <c r="KM19" t="s">
        <v>1096</v>
      </c>
      <c r="KN19" t="s">
        <v>1097</v>
      </c>
      <c r="KO19" t="s">
        <v>1096</v>
      </c>
      <c r="KP19" t="s">
        <v>1098</v>
      </c>
      <c r="KQ19" t="s">
        <v>372</v>
      </c>
      <c r="KR19" t="s">
        <v>372</v>
      </c>
      <c r="KS19" t="s">
        <v>372</v>
      </c>
      <c r="KT19" t="s">
        <v>372</v>
      </c>
      <c r="KU19" t="s">
        <v>372</v>
      </c>
      <c r="KV19" t="s">
        <v>372</v>
      </c>
      <c r="KW19" t="s">
        <v>372</v>
      </c>
      <c r="KX19" t="s">
        <v>372</v>
      </c>
      <c r="KY19" t="s">
        <v>372</v>
      </c>
      <c r="KZ19" t="s">
        <v>372</v>
      </c>
      <c r="LA19" t="s">
        <v>372</v>
      </c>
      <c r="LB19" t="s">
        <v>430</v>
      </c>
      <c r="LC19" t="s">
        <v>431</v>
      </c>
      <c r="LD19" t="s">
        <v>665</v>
      </c>
      <c r="LE19" t="s">
        <v>666</v>
      </c>
      <c r="LF19" t="s">
        <v>977</v>
      </c>
      <c r="LG19" t="s">
        <v>1099</v>
      </c>
      <c r="LH19" t="s">
        <v>432</v>
      </c>
      <c r="LI19" t="s">
        <v>1100</v>
      </c>
      <c r="LJ19" t="s">
        <v>1101</v>
      </c>
      <c r="LK19" t="s">
        <v>435</v>
      </c>
      <c r="LL19" t="s">
        <v>437</v>
      </c>
      <c r="LM19" t="s">
        <v>668</v>
      </c>
      <c r="LN19" t="s">
        <v>1059</v>
      </c>
      <c r="LO19" t="s">
        <v>1102</v>
      </c>
      <c r="LP19" t="s">
        <v>1103</v>
      </c>
      <c r="LQ19" t="s">
        <v>541</v>
      </c>
      <c r="LR19" t="s">
        <v>670</v>
      </c>
      <c r="LS19" t="s">
        <v>1104</v>
      </c>
      <c r="LT19" t="s">
        <v>1105</v>
      </c>
      <c r="LU19" t="s">
        <v>746</v>
      </c>
      <c r="LV19" t="s">
        <v>372</v>
      </c>
      <c r="LW19" t="s">
        <v>372</v>
      </c>
      <c r="LX19" t="s">
        <v>372</v>
      </c>
      <c r="LY19" t="s">
        <v>372</v>
      </c>
      <c r="LZ19" t="s">
        <v>372</v>
      </c>
      <c r="MA19" t="s">
        <v>372</v>
      </c>
      <c r="MB19" t="s">
        <v>372</v>
      </c>
      <c r="MC19" t="s">
        <v>372</v>
      </c>
      <c r="MD19" t="s">
        <v>372</v>
      </c>
      <c r="ME19" t="s">
        <v>372</v>
      </c>
      <c r="MF19" t="s">
        <v>438</v>
      </c>
      <c r="MG19" t="s">
        <v>372</v>
      </c>
      <c r="MH19" t="s">
        <v>1106</v>
      </c>
      <c r="MI19" t="s">
        <v>372</v>
      </c>
      <c r="MJ19" t="s">
        <v>372</v>
      </c>
      <c r="MK19" t="s">
        <v>440</v>
      </c>
      <c r="ML19" t="s">
        <v>372</v>
      </c>
      <c r="MM19" t="s">
        <v>1107</v>
      </c>
      <c r="MN19" t="s">
        <v>372</v>
      </c>
      <c r="MO19" t="s">
        <v>372</v>
      </c>
      <c r="MP19">
        <v>5</v>
      </c>
      <c r="MQ19">
        <v>9</v>
      </c>
      <c r="MR19">
        <v>7</v>
      </c>
      <c r="MS19" t="s">
        <v>905</v>
      </c>
      <c r="MT19" t="s">
        <v>906</v>
      </c>
      <c r="MU19" t="s">
        <v>1108</v>
      </c>
      <c r="MV19" t="s">
        <v>1109</v>
      </c>
      <c r="MW19" t="s">
        <v>1110</v>
      </c>
      <c r="MX19" t="s">
        <v>1111</v>
      </c>
      <c r="MY19" t="s">
        <v>1112</v>
      </c>
      <c r="MZ19" t="s">
        <v>1113</v>
      </c>
      <c r="NA19" t="s">
        <v>1114</v>
      </c>
    </row>
    <row r="20" spans="1:365">
      <c r="A20" t="s">
        <v>1115</v>
      </c>
      <c r="B20" s="8">
        <v>46104</v>
      </c>
      <c r="C20">
        <v>10</v>
      </c>
      <c r="D20">
        <v>53</v>
      </c>
      <c r="E20" t="s">
        <v>1116</v>
      </c>
      <c r="F20" t="s">
        <v>1117</v>
      </c>
      <c r="G20" t="s">
        <v>1118</v>
      </c>
      <c r="H20" t="s">
        <v>552</v>
      </c>
      <c r="I20" t="s">
        <v>491</v>
      </c>
      <c r="J20" t="s">
        <v>492</v>
      </c>
      <c r="K20" t="s">
        <v>372</v>
      </c>
      <c r="L20" t="s">
        <v>556</v>
      </c>
      <c r="M20" t="s">
        <v>557</v>
      </c>
      <c r="N20" t="s">
        <v>936</v>
      </c>
      <c r="O20" t="s">
        <v>954</v>
      </c>
      <c r="P20" t="s">
        <v>372</v>
      </c>
      <c r="Q20" t="s">
        <v>380</v>
      </c>
      <c r="R20" t="s">
        <v>380</v>
      </c>
      <c r="S20" t="s">
        <v>379</v>
      </c>
      <c r="T20" t="s">
        <v>379</v>
      </c>
      <c r="U20" t="s">
        <v>380</v>
      </c>
      <c r="V20" t="s">
        <v>1119</v>
      </c>
      <c r="W20" t="s">
        <v>379</v>
      </c>
      <c r="X20" t="s">
        <v>381</v>
      </c>
      <c r="Y20" t="s">
        <v>379</v>
      </c>
      <c r="Z20" t="s">
        <v>382</v>
      </c>
      <c r="AA20" t="s">
        <v>381</v>
      </c>
      <c r="AB20" t="s">
        <v>381</v>
      </c>
      <c r="AC20" t="s">
        <v>382</v>
      </c>
      <c r="AD20" t="s">
        <v>381</v>
      </c>
      <c r="AE20" t="s">
        <v>380</v>
      </c>
      <c r="AF20" t="s">
        <v>381</v>
      </c>
      <c r="AG20" t="s">
        <v>382</v>
      </c>
      <c r="AH20" t="s">
        <v>381</v>
      </c>
      <c r="AI20" t="s">
        <v>380</v>
      </c>
      <c r="AJ20" t="s">
        <v>382</v>
      </c>
      <c r="AK20" t="s">
        <v>381</v>
      </c>
      <c r="AL20" t="s">
        <v>382</v>
      </c>
      <c r="AM20" t="s">
        <v>381</v>
      </c>
      <c r="AN20" t="s">
        <v>381</v>
      </c>
      <c r="AO20" t="s">
        <v>398</v>
      </c>
      <c r="AP20" t="s">
        <v>380</v>
      </c>
      <c r="AQ20" t="s">
        <v>381</v>
      </c>
      <c r="AR20" t="s">
        <v>382</v>
      </c>
      <c r="AS20" t="s">
        <v>380</v>
      </c>
      <c r="AT20" t="s">
        <v>382</v>
      </c>
      <c r="AU20" t="s">
        <v>382</v>
      </c>
      <c r="AV20" t="s">
        <v>381</v>
      </c>
      <c r="AW20" t="s">
        <v>381</v>
      </c>
      <c r="AX20" t="s">
        <v>879</v>
      </c>
      <c r="AY20">
        <v>2</v>
      </c>
      <c r="AZ20" t="s">
        <v>561</v>
      </c>
      <c r="BA20" t="s">
        <v>1120</v>
      </c>
      <c r="BB20" t="s">
        <v>451</v>
      </c>
      <c r="BC20" t="s">
        <v>452</v>
      </c>
      <c r="BD20" t="s">
        <v>523</v>
      </c>
      <c r="BE20" t="s">
        <v>563</v>
      </c>
      <c r="BF20">
        <v>2</v>
      </c>
      <c r="BG20" t="s">
        <v>389</v>
      </c>
      <c r="BH20" t="s">
        <v>382</v>
      </c>
      <c r="BI20" t="s">
        <v>382</v>
      </c>
      <c r="BJ20" t="s">
        <v>1121</v>
      </c>
      <c r="BK20" t="s">
        <v>382</v>
      </c>
      <c r="BL20" t="s">
        <v>382</v>
      </c>
      <c r="BM20" t="s">
        <v>382</v>
      </c>
      <c r="BN20" t="s">
        <v>382</v>
      </c>
      <c r="BO20" t="s">
        <v>382</v>
      </c>
      <c r="BP20" t="s">
        <v>382</v>
      </c>
      <c r="BQ20" t="s">
        <v>382</v>
      </c>
      <c r="BR20" t="s">
        <v>382</v>
      </c>
      <c r="BS20" t="s">
        <v>382</v>
      </c>
      <c r="BT20" t="s">
        <v>382</v>
      </c>
      <c r="BU20" t="s">
        <v>382</v>
      </c>
      <c r="BV20" t="s">
        <v>382</v>
      </c>
      <c r="BW20" t="s">
        <v>382</v>
      </c>
      <c r="BX20" t="s">
        <v>1122</v>
      </c>
      <c r="BY20" t="s">
        <v>382</v>
      </c>
      <c r="BZ20" t="s">
        <v>382</v>
      </c>
      <c r="CA20" t="s">
        <v>382</v>
      </c>
      <c r="CB20" t="s">
        <v>382</v>
      </c>
      <c r="CC20" t="s">
        <v>382</v>
      </c>
      <c r="CD20" t="s">
        <v>1123</v>
      </c>
      <c r="CE20" t="s">
        <v>382</v>
      </c>
      <c r="CF20">
        <v>1</v>
      </c>
      <c r="CG20">
        <v>3</v>
      </c>
      <c r="CH20">
        <v>2</v>
      </c>
      <c r="CI20" t="s">
        <v>397</v>
      </c>
      <c r="CJ20" t="s">
        <v>380</v>
      </c>
      <c r="CK20" t="s">
        <v>394</v>
      </c>
      <c r="CL20" t="s">
        <v>395</v>
      </c>
      <c r="CM20" t="s">
        <v>393</v>
      </c>
      <c r="CN20" t="s">
        <v>395</v>
      </c>
      <c r="CO20" t="s">
        <v>396</v>
      </c>
      <c r="CP20" t="s">
        <v>395</v>
      </c>
      <c r="CQ20" t="s">
        <v>381</v>
      </c>
      <c r="CR20" t="s">
        <v>395</v>
      </c>
      <c r="CS20" t="s">
        <v>395</v>
      </c>
      <c r="CT20" t="s">
        <v>380</v>
      </c>
      <c r="CU20" t="s">
        <v>395</v>
      </c>
      <c r="CV20" t="s">
        <v>382</v>
      </c>
      <c r="CW20" t="s">
        <v>395</v>
      </c>
      <c r="CX20" t="s">
        <v>382</v>
      </c>
      <c r="CY20">
        <v>6</v>
      </c>
      <c r="CZ20" t="s">
        <v>400</v>
      </c>
      <c r="DA20" t="s">
        <v>401</v>
      </c>
      <c r="DB20" t="s">
        <v>401</v>
      </c>
      <c r="DC20" t="s">
        <v>401</v>
      </c>
      <c r="DD20" t="s">
        <v>401</v>
      </c>
      <c r="DE20" t="s">
        <v>1124</v>
      </c>
      <c r="DF20" t="s">
        <v>1125</v>
      </c>
      <c r="DG20" t="s">
        <v>1126</v>
      </c>
      <c r="DH20" t="s">
        <v>381</v>
      </c>
      <c r="DI20" t="s">
        <v>381</v>
      </c>
      <c r="DJ20" t="s">
        <v>381</v>
      </c>
      <c r="DK20" t="s">
        <v>1127</v>
      </c>
      <c r="DL20" t="s">
        <v>1128</v>
      </c>
      <c r="DM20" t="s">
        <v>1129</v>
      </c>
      <c r="DN20" t="s">
        <v>960</v>
      </c>
      <c r="DO20" t="s">
        <v>961</v>
      </c>
      <c r="DP20" t="s">
        <v>372</v>
      </c>
      <c r="DQ20" t="s">
        <v>372</v>
      </c>
      <c r="DR20" t="s">
        <v>372</v>
      </c>
      <c r="DS20" t="s">
        <v>372</v>
      </c>
      <c r="DT20" t="s">
        <v>372</v>
      </c>
      <c r="DU20" t="s">
        <v>372</v>
      </c>
      <c r="DV20" t="s">
        <v>372</v>
      </c>
      <c r="DW20" t="s">
        <v>372</v>
      </c>
      <c r="DX20" t="s">
        <v>372</v>
      </c>
      <c r="DY20" t="s">
        <v>372</v>
      </c>
      <c r="DZ20" t="s">
        <v>372</v>
      </c>
      <c r="EA20" t="s">
        <v>372</v>
      </c>
      <c r="EB20" t="s">
        <v>372</v>
      </c>
      <c r="EC20" t="s">
        <v>372</v>
      </c>
      <c r="ED20" t="s">
        <v>372</v>
      </c>
      <c r="EE20" t="s">
        <v>372</v>
      </c>
      <c r="EF20" t="s">
        <v>372</v>
      </c>
      <c r="EG20" t="s">
        <v>372</v>
      </c>
      <c r="EH20" t="s">
        <v>372</v>
      </c>
      <c r="EI20" t="s">
        <v>372</v>
      </c>
      <c r="EJ20" t="s">
        <v>372</v>
      </c>
      <c r="EK20" t="s">
        <v>372</v>
      </c>
      <c r="EL20" t="s">
        <v>372</v>
      </c>
      <c r="EM20" t="s">
        <v>372</v>
      </c>
      <c r="EN20" t="s">
        <v>372</v>
      </c>
      <c r="EO20" t="s">
        <v>1130</v>
      </c>
      <c r="EP20" t="s">
        <v>1131</v>
      </c>
      <c r="EQ20" t="s">
        <v>1132</v>
      </c>
      <c r="ER20" t="s">
        <v>966</v>
      </c>
      <c r="ES20" t="s">
        <v>967</v>
      </c>
      <c r="ET20" t="s">
        <v>372</v>
      </c>
      <c r="EU20" t="s">
        <v>372</v>
      </c>
      <c r="EV20" t="s">
        <v>372</v>
      </c>
      <c r="EW20" t="s">
        <v>372</v>
      </c>
      <c r="EX20" t="s">
        <v>372</v>
      </c>
      <c r="EY20" t="s">
        <v>372</v>
      </c>
      <c r="EZ20" t="s">
        <v>372</v>
      </c>
      <c r="FA20" t="s">
        <v>372</v>
      </c>
      <c r="FB20" t="s">
        <v>372</v>
      </c>
      <c r="FC20" t="s">
        <v>372</v>
      </c>
      <c r="FD20" t="s">
        <v>372</v>
      </c>
      <c r="FE20" t="s">
        <v>372</v>
      </c>
      <c r="FF20" t="s">
        <v>372</v>
      </c>
      <c r="FG20" t="s">
        <v>372</v>
      </c>
      <c r="FH20" t="s">
        <v>372</v>
      </c>
      <c r="FI20" t="s">
        <v>372</v>
      </c>
      <c r="FJ20" t="s">
        <v>372</v>
      </c>
      <c r="FK20" t="s">
        <v>372</v>
      </c>
      <c r="FL20" t="s">
        <v>372</v>
      </c>
      <c r="FM20" t="s">
        <v>372</v>
      </c>
      <c r="FN20" t="s">
        <v>372</v>
      </c>
      <c r="FO20" t="s">
        <v>372</v>
      </c>
      <c r="FP20" t="s">
        <v>372</v>
      </c>
      <c r="FQ20" t="s">
        <v>372</v>
      </c>
      <c r="FR20" t="s">
        <v>372</v>
      </c>
      <c r="FS20" t="s">
        <v>1133</v>
      </c>
      <c r="FT20" t="s">
        <v>1134</v>
      </c>
      <c r="FU20" t="s">
        <v>372</v>
      </c>
      <c r="FV20" t="s">
        <v>372</v>
      </c>
      <c r="FW20" t="s">
        <v>372</v>
      </c>
      <c r="FX20" t="s">
        <v>372</v>
      </c>
      <c r="FY20" t="s">
        <v>372</v>
      </c>
      <c r="FZ20" t="s">
        <v>372</v>
      </c>
      <c r="GA20" t="s">
        <v>372</v>
      </c>
      <c r="GB20" t="s">
        <v>372</v>
      </c>
      <c r="GC20" t="s">
        <v>372</v>
      </c>
      <c r="GD20" t="s">
        <v>372</v>
      </c>
      <c r="GE20" t="s">
        <v>372</v>
      </c>
      <c r="GF20" t="s">
        <v>372</v>
      </c>
      <c r="GG20" t="s">
        <v>372</v>
      </c>
      <c r="GH20" t="s">
        <v>372</v>
      </c>
      <c r="GI20" t="s">
        <v>372</v>
      </c>
      <c r="GJ20" t="s">
        <v>372</v>
      </c>
      <c r="GK20" t="s">
        <v>372</v>
      </c>
      <c r="GL20" t="s">
        <v>372</v>
      </c>
      <c r="GM20" t="s">
        <v>372</v>
      </c>
      <c r="GN20" t="s">
        <v>372</v>
      </c>
      <c r="GO20" t="s">
        <v>372</v>
      </c>
      <c r="GP20" t="s">
        <v>372</v>
      </c>
      <c r="GQ20" t="s">
        <v>372</v>
      </c>
      <c r="GR20" t="s">
        <v>372</v>
      </c>
      <c r="GS20" t="s">
        <v>372</v>
      </c>
      <c r="GT20" t="s">
        <v>372</v>
      </c>
      <c r="GU20" t="s">
        <v>372</v>
      </c>
      <c r="GV20" t="s">
        <v>372</v>
      </c>
      <c r="GW20" t="s">
        <v>372</v>
      </c>
      <c r="GX20" t="s">
        <v>372</v>
      </c>
      <c r="GY20" t="s">
        <v>372</v>
      </c>
      <c r="GZ20" t="s">
        <v>372</v>
      </c>
      <c r="HA20" t="s">
        <v>372</v>
      </c>
      <c r="HB20" t="s">
        <v>372</v>
      </c>
      <c r="HC20" t="s">
        <v>372</v>
      </c>
      <c r="HD20" t="s">
        <v>372</v>
      </c>
      <c r="HE20" t="s">
        <v>372</v>
      </c>
      <c r="HF20" t="s">
        <v>372</v>
      </c>
      <c r="HG20" t="s">
        <v>372</v>
      </c>
      <c r="HH20" t="s">
        <v>372</v>
      </c>
      <c r="HI20" t="s">
        <v>382</v>
      </c>
      <c r="HJ20" t="s">
        <v>382</v>
      </c>
      <c r="HK20" t="s">
        <v>382</v>
      </c>
      <c r="HL20" t="s">
        <v>382</v>
      </c>
      <c r="HM20" t="s">
        <v>382</v>
      </c>
      <c r="HN20" t="s">
        <v>382</v>
      </c>
      <c r="HO20" t="s">
        <v>382</v>
      </c>
      <c r="HP20" t="s">
        <v>382</v>
      </c>
      <c r="HQ20" t="s">
        <v>382</v>
      </c>
      <c r="HR20" t="s">
        <v>382</v>
      </c>
      <c r="HS20" t="s">
        <v>382</v>
      </c>
      <c r="HT20" t="s">
        <v>382</v>
      </c>
      <c r="HU20" t="s">
        <v>382</v>
      </c>
      <c r="HV20" t="s">
        <v>382</v>
      </c>
      <c r="HW20" t="s">
        <v>382</v>
      </c>
      <c r="HX20" t="s">
        <v>382</v>
      </c>
      <c r="HY20" t="s">
        <v>382</v>
      </c>
      <c r="HZ20" t="s">
        <v>382</v>
      </c>
      <c r="IA20" t="s">
        <v>382</v>
      </c>
      <c r="IB20" t="s">
        <v>382</v>
      </c>
      <c r="IC20" t="s">
        <v>381</v>
      </c>
      <c r="ID20" t="s">
        <v>395</v>
      </c>
      <c r="IE20" t="s">
        <v>395</v>
      </c>
      <c r="IF20" t="s">
        <v>395</v>
      </c>
      <c r="IG20" t="s">
        <v>395</v>
      </c>
      <c r="IH20" t="s">
        <v>395</v>
      </c>
      <c r="II20" t="s">
        <v>395</v>
      </c>
      <c r="IJ20" t="s">
        <v>381</v>
      </c>
      <c r="IK20" t="s">
        <v>380</v>
      </c>
      <c r="IL20" t="s">
        <v>395</v>
      </c>
      <c r="IM20" t="s">
        <v>395</v>
      </c>
      <c r="IN20" t="s">
        <v>395</v>
      </c>
      <c r="IO20" t="s">
        <v>395</v>
      </c>
      <c r="IP20" t="s">
        <v>395</v>
      </c>
      <c r="IQ20" t="s">
        <v>395</v>
      </c>
      <c r="IR20" t="s">
        <v>395</v>
      </c>
      <c r="IS20" t="s">
        <v>395</v>
      </c>
      <c r="IT20" t="s">
        <v>652</v>
      </c>
      <c r="IU20" t="s">
        <v>471</v>
      </c>
      <c r="IV20" t="s">
        <v>584</v>
      </c>
      <c r="IW20" t="s">
        <v>372</v>
      </c>
      <c r="IX20" t="s">
        <v>372</v>
      </c>
      <c r="IY20" t="s">
        <v>372</v>
      </c>
      <c r="IZ20" t="s">
        <v>372</v>
      </c>
      <c r="JA20" t="s">
        <v>372</v>
      </c>
      <c r="JB20" t="s">
        <v>372</v>
      </c>
      <c r="JC20" t="s">
        <v>372</v>
      </c>
      <c r="JD20" t="s">
        <v>372</v>
      </c>
      <c r="JE20" t="s">
        <v>372</v>
      </c>
      <c r="JF20" t="s">
        <v>372</v>
      </c>
      <c r="JG20" t="s">
        <v>372</v>
      </c>
      <c r="JH20" t="s">
        <v>372</v>
      </c>
      <c r="JI20" t="s">
        <v>372</v>
      </c>
      <c r="JJ20" t="s">
        <v>372</v>
      </c>
      <c r="JK20" t="s">
        <v>372</v>
      </c>
      <c r="JL20" t="s">
        <v>372</v>
      </c>
      <c r="JM20" t="s">
        <v>372</v>
      </c>
      <c r="JN20" t="s">
        <v>372</v>
      </c>
      <c r="JO20" t="s">
        <v>372</v>
      </c>
      <c r="JP20" t="s">
        <v>372</v>
      </c>
      <c r="JQ20" t="s">
        <v>372</v>
      </c>
      <c r="JR20" t="s">
        <v>372</v>
      </c>
      <c r="JS20" t="s">
        <v>372</v>
      </c>
      <c r="JT20" t="s">
        <v>372</v>
      </c>
      <c r="JU20" t="s">
        <v>372</v>
      </c>
      <c r="JV20" t="s">
        <v>372</v>
      </c>
      <c r="JW20" t="s">
        <v>372</v>
      </c>
      <c r="JX20" t="s">
        <v>1135</v>
      </c>
      <c r="JY20" t="s">
        <v>476</v>
      </c>
      <c r="JZ20" t="s">
        <v>426</v>
      </c>
      <c r="KA20" t="s">
        <v>372</v>
      </c>
      <c r="KB20" t="s">
        <v>372</v>
      </c>
      <c r="KC20" t="s">
        <v>372</v>
      </c>
      <c r="KD20" t="s">
        <v>372</v>
      </c>
      <c r="KE20" t="s">
        <v>372</v>
      </c>
      <c r="KF20" t="s">
        <v>372</v>
      </c>
      <c r="KG20" t="s">
        <v>372</v>
      </c>
      <c r="KH20" t="s">
        <v>372</v>
      </c>
      <c r="KI20" t="s">
        <v>372</v>
      </c>
      <c r="KJ20" t="s">
        <v>372</v>
      </c>
      <c r="KK20" t="s">
        <v>372</v>
      </c>
      <c r="KL20" t="s">
        <v>372</v>
      </c>
      <c r="KM20" t="s">
        <v>372</v>
      </c>
      <c r="KN20" t="s">
        <v>372</v>
      </c>
      <c r="KO20" t="s">
        <v>372</v>
      </c>
      <c r="KP20" t="s">
        <v>372</v>
      </c>
      <c r="KQ20" t="s">
        <v>372</v>
      </c>
      <c r="KR20" t="s">
        <v>372</v>
      </c>
      <c r="KS20" t="s">
        <v>372</v>
      </c>
      <c r="KT20" t="s">
        <v>372</v>
      </c>
      <c r="KU20" t="s">
        <v>372</v>
      </c>
      <c r="KV20" t="s">
        <v>372</v>
      </c>
      <c r="KW20" t="s">
        <v>372</v>
      </c>
      <c r="KX20" t="s">
        <v>372</v>
      </c>
      <c r="KY20" t="s">
        <v>372</v>
      </c>
      <c r="KZ20" t="s">
        <v>372</v>
      </c>
      <c r="LA20" t="s">
        <v>372</v>
      </c>
      <c r="LB20" t="s">
        <v>664</v>
      </c>
      <c r="LC20" t="s">
        <v>479</v>
      </c>
      <c r="LD20" t="s">
        <v>594</v>
      </c>
      <c r="LE20" t="s">
        <v>372</v>
      </c>
      <c r="LF20" t="s">
        <v>372</v>
      </c>
      <c r="LG20" t="s">
        <v>372</v>
      </c>
      <c r="LH20" t="s">
        <v>372</v>
      </c>
      <c r="LI20" t="s">
        <v>372</v>
      </c>
      <c r="LJ20" t="s">
        <v>372</v>
      </c>
      <c r="LK20" t="s">
        <v>372</v>
      </c>
      <c r="LL20" t="s">
        <v>372</v>
      </c>
      <c r="LM20" t="s">
        <v>372</v>
      </c>
      <c r="LN20" t="s">
        <v>372</v>
      </c>
      <c r="LO20" t="s">
        <v>372</v>
      </c>
      <c r="LP20" t="s">
        <v>372</v>
      </c>
      <c r="LQ20" t="s">
        <v>372</v>
      </c>
      <c r="LR20" t="s">
        <v>372</v>
      </c>
      <c r="LS20" t="s">
        <v>372</v>
      </c>
      <c r="LT20" t="s">
        <v>372</v>
      </c>
      <c r="LU20" t="s">
        <v>372</v>
      </c>
      <c r="LV20" t="s">
        <v>372</v>
      </c>
      <c r="LW20" t="s">
        <v>372</v>
      </c>
      <c r="LX20" t="s">
        <v>372</v>
      </c>
      <c r="LY20" t="s">
        <v>372</v>
      </c>
      <c r="LZ20" t="s">
        <v>372</v>
      </c>
      <c r="MA20" t="s">
        <v>372</v>
      </c>
      <c r="MB20" t="s">
        <v>372</v>
      </c>
      <c r="MC20" t="s">
        <v>372</v>
      </c>
      <c r="MD20" t="s">
        <v>372</v>
      </c>
      <c r="ME20" t="s">
        <v>372</v>
      </c>
      <c r="MF20" t="s">
        <v>542</v>
      </c>
      <c r="MG20" t="s">
        <v>372</v>
      </c>
      <c r="MH20" t="s">
        <v>372</v>
      </c>
      <c r="MI20" t="s">
        <v>372</v>
      </c>
      <c r="MJ20" t="s">
        <v>372</v>
      </c>
      <c r="MK20" t="s">
        <v>543</v>
      </c>
      <c r="ML20" t="s">
        <v>372</v>
      </c>
      <c r="MM20" t="s">
        <v>382</v>
      </c>
      <c r="MN20" t="s">
        <v>372</v>
      </c>
      <c r="MO20" t="s">
        <v>372</v>
      </c>
      <c r="MP20">
        <v>5</v>
      </c>
      <c r="MQ20">
        <v>10</v>
      </c>
      <c r="MR20">
        <v>3</v>
      </c>
      <c r="MS20" t="s">
        <v>948</v>
      </c>
      <c r="MT20" t="s">
        <v>949</v>
      </c>
      <c r="MU20" t="s">
        <v>978</v>
      </c>
      <c r="MV20" t="s">
        <v>979</v>
      </c>
      <c r="MW20" t="s">
        <v>372</v>
      </c>
      <c r="MX20" t="s">
        <v>372</v>
      </c>
      <c r="MY20" t="s">
        <v>372</v>
      </c>
      <c r="MZ20" t="s">
        <v>382</v>
      </c>
      <c r="NA20" t="s">
        <v>382</v>
      </c>
    </row>
    <row r="21" spans="1:365">
      <c r="A21" t="s">
        <v>1136</v>
      </c>
      <c r="B21" s="8">
        <v>46104</v>
      </c>
      <c r="C21">
        <v>3</v>
      </c>
      <c r="D21">
        <v>20</v>
      </c>
      <c r="E21" t="s">
        <v>1137</v>
      </c>
      <c r="F21" t="s">
        <v>1138</v>
      </c>
      <c r="G21" t="s">
        <v>1139</v>
      </c>
      <c r="H21" t="s">
        <v>369</v>
      </c>
      <c r="I21" t="s">
        <v>790</v>
      </c>
      <c r="J21" t="s">
        <v>791</v>
      </c>
      <c r="K21" t="s">
        <v>372</v>
      </c>
      <c r="L21" t="s">
        <v>556</v>
      </c>
      <c r="M21" t="s">
        <v>557</v>
      </c>
      <c r="N21" t="s">
        <v>1140</v>
      </c>
      <c r="O21" t="s">
        <v>376</v>
      </c>
      <c r="P21" t="s">
        <v>372</v>
      </c>
      <c r="Q21" t="s">
        <v>379</v>
      </c>
      <c r="R21" t="s">
        <v>380</v>
      </c>
      <c r="S21" t="s">
        <v>379</v>
      </c>
      <c r="T21" t="s">
        <v>380</v>
      </c>
      <c r="U21" t="s">
        <v>380</v>
      </c>
      <c r="V21" t="s">
        <v>380</v>
      </c>
      <c r="W21" t="s">
        <v>379</v>
      </c>
      <c r="X21" t="s">
        <v>379</v>
      </c>
      <c r="Y21" t="s">
        <v>380</v>
      </c>
      <c r="Z21" t="s">
        <v>378</v>
      </c>
      <c r="AA21" t="s">
        <v>382</v>
      </c>
      <c r="AB21" t="s">
        <v>382</v>
      </c>
      <c r="AC21" t="s">
        <v>381</v>
      </c>
      <c r="AD21" t="s">
        <v>380</v>
      </c>
      <c r="AE21" t="s">
        <v>380</v>
      </c>
      <c r="AF21" t="s">
        <v>382</v>
      </c>
      <c r="AG21" t="s">
        <v>380</v>
      </c>
      <c r="AH21" t="s">
        <v>379</v>
      </c>
      <c r="AI21" t="s">
        <v>382</v>
      </c>
      <c r="AJ21" t="s">
        <v>382</v>
      </c>
      <c r="AK21" t="s">
        <v>382</v>
      </c>
      <c r="AL21" t="s">
        <v>382</v>
      </c>
      <c r="AM21" t="s">
        <v>381</v>
      </c>
      <c r="AN21" t="s">
        <v>382</v>
      </c>
      <c r="AO21" t="s">
        <v>382</v>
      </c>
      <c r="AP21" t="s">
        <v>382</v>
      </c>
      <c r="AQ21" t="s">
        <v>380</v>
      </c>
      <c r="AR21" t="s">
        <v>382</v>
      </c>
      <c r="AS21" t="s">
        <v>382</v>
      </c>
      <c r="AT21" t="s">
        <v>379</v>
      </c>
      <c r="AU21" t="s">
        <v>382</v>
      </c>
      <c r="AV21" t="s">
        <v>382</v>
      </c>
      <c r="AW21" t="s">
        <v>380</v>
      </c>
      <c r="AX21" t="s">
        <v>855</v>
      </c>
      <c r="AY21">
        <v>1</v>
      </c>
      <c r="AZ21" t="s">
        <v>382</v>
      </c>
      <c r="BA21" t="s">
        <v>384</v>
      </c>
      <c r="BB21" t="s">
        <v>611</v>
      </c>
      <c r="BC21" t="s">
        <v>612</v>
      </c>
      <c r="BD21" t="s">
        <v>387</v>
      </c>
      <c r="BE21" t="s">
        <v>388</v>
      </c>
      <c r="BF21">
        <v>1</v>
      </c>
      <c r="BG21" t="s">
        <v>389</v>
      </c>
      <c r="BH21" t="s">
        <v>382</v>
      </c>
      <c r="BI21" t="s">
        <v>382</v>
      </c>
      <c r="BJ21" t="s">
        <v>382</v>
      </c>
      <c r="BK21" t="s">
        <v>382</v>
      </c>
      <c r="BL21" t="s">
        <v>1141</v>
      </c>
      <c r="BM21" t="s">
        <v>382</v>
      </c>
      <c r="BN21" t="s">
        <v>382</v>
      </c>
      <c r="BO21" t="s">
        <v>1142</v>
      </c>
      <c r="BP21" t="s">
        <v>382</v>
      </c>
      <c r="BQ21" t="s">
        <v>382</v>
      </c>
      <c r="BR21" t="s">
        <v>382</v>
      </c>
      <c r="BS21" t="s">
        <v>382</v>
      </c>
      <c r="BT21" t="s">
        <v>382</v>
      </c>
      <c r="BU21" t="s">
        <v>382</v>
      </c>
      <c r="BV21" t="s">
        <v>382</v>
      </c>
      <c r="BW21" t="s">
        <v>382</v>
      </c>
      <c r="BX21" t="s">
        <v>382</v>
      </c>
      <c r="BY21" t="s">
        <v>1143</v>
      </c>
      <c r="BZ21" t="s">
        <v>382</v>
      </c>
      <c r="CA21" t="s">
        <v>382</v>
      </c>
      <c r="CB21" t="s">
        <v>1144</v>
      </c>
      <c r="CC21" t="s">
        <v>382</v>
      </c>
      <c r="CD21" t="s">
        <v>382</v>
      </c>
      <c r="CE21" t="s">
        <v>382</v>
      </c>
      <c r="CF21">
        <v>1</v>
      </c>
      <c r="CG21">
        <v>2</v>
      </c>
      <c r="CH21">
        <v>1</v>
      </c>
      <c r="CI21" t="s">
        <v>397</v>
      </c>
      <c r="CJ21" t="s">
        <v>381</v>
      </c>
      <c r="CK21" t="s">
        <v>394</v>
      </c>
      <c r="CL21" t="s">
        <v>395</v>
      </c>
      <c r="CM21" t="s">
        <v>393</v>
      </c>
      <c r="CN21" t="s">
        <v>395</v>
      </c>
      <c r="CO21" t="s">
        <v>396</v>
      </c>
      <c r="CP21" t="s">
        <v>395</v>
      </c>
      <c r="CQ21" t="s">
        <v>381</v>
      </c>
      <c r="CR21" t="s">
        <v>395</v>
      </c>
      <c r="CS21" t="s">
        <v>395</v>
      </c>
      <c r="CT21" t="s">
        <v>379</v>
      </c>
      <c r="CU21" t="s">
        <v>398</v>
      </c>
      <c r="CV21" t="s">
        <v>382</v>
      </c>
      <c r="CW21" t="s">
        <v>395</v>
      </c>
      <c r="CX21" t="s">
        <v>382</v>
      </c>
      <c r="CY21">
        <v>6</v>
      </c>
      <c r="CZ21" t="s">
        <v>400</v>
      </c>
      <c r="DA21" t="s">
        <v>401</v>
      </c>
      <c r="DB21" t="s">
        <v>401</v>
      </c>
      <c r="DC21" t="s">
        <v>401</v>
      </c>
      <c r="DD21" t="s">
        <v>401</v>
      </c>
      <c r="DE21" t="s">
        <v>1145</v>
      </c>
      <c r="DF21" t="s">
        <v>381</v>
      </c>
      <c r="DG21" t="s">
        <v>381</v>
      </c>
      <c r="DH21" t="s">
        <v>381</v>
      </c>
      <c r="DI21" t="s">
        <v>381</v>
      </c>
      <c r="DJ21" t="s">
        <v>381</v>
      </c>
      <c r="DK21" t="s">
        <v>1146</v>
      </c>
      <c r="DL21" t="s">
        <v>504</v>
      </c>
      <c r="DM21" t="s">
        <v>505</v>
      </c>
      <c r="DN21" t="s">
        <v>1147</v>
      </c>
      <c r="DO21" t="s">
        <v>573</v>
      </c>
      <c r="DP21" t="s">
        <v>1148</v>
      </c>
      <c r="DQ21" t="s">
        <v>372</v>
      </c>
      <c r="DR21" t="s">
        <v>372</v>
      </c>
      <c r="DS21" t="s">
        <v>372</v>
      </c>
      <c r="DT21" t="s">
        <v>372</v>
      </c>
      <c r="DU21" t="s">
        <v>372</v>
      </c>
      <c r="DV21" t="s">
        <v>372</v>
      </c>
      <c r="DW21" t="s">
        <v>372</v>
      </c>
      <c r="DX21" t="s">
        <v>372</v>
      </c>
      <c r="DY21" t="s">
        <v>372</v>
      </c>
      <c r="DZ21" t="s">
        <v>372</v>
      </c>
      <c r="EA21" t="s">
        <v>372</v>
      </c>
      <c r="EB21" t="s">
        <v>372</v>
      </c>
      <c r="EC21" t="s">
        <v>372</v>
      </c>
      <c r="ED21" t="s">
        <v>372</v>
      </c>
      <c r="EE21" t="s">
        <v>372</v>
      </c>
      <c r="EF21" t="s">
        <v>372</v>
      </c>
      <c r="EG21" t="s">
        <v>372</v>
      </c>
      <c r="EH21" t="s">
        <v>372</v>
      </c>
      <c r="EI21" t="s">
        <v>372</v>
      </c>
      <c r="EJ21" t="s">
        <v>372</v>
      </c>
      <c r="EK21" t="s">
        <v>372</v>
      </c>
      <c r="EL21" t="s">
        <v>372</v>
      </c>
      <c r="EM21" t="s">
        <v>372</v>
      </c>
      <c r="EN21" t="s">
        <v>372</v>
      </c>
      <c r="EO21" t="s">
        <v>649</v>
      </c>
      <c r="EP21" t="s">
        <v>514</v>
      </c>
      <c r="EQ21" t="s">
        <v>515</v>
      </c>
      <c r="ER21" t="s">
        <v>408</v>
      </c>
      <c r="ES21" t="s">
        <v>577</v>
      </c>
      <c r="ET21" t="s">
        <v>1149</v>
      </c>
      <c r="EU21" t="s">
        <v>372</v>
      </c>
      <c r="EV21" t="s">
        <v>372</v>
      </c>
      <c r="EW21" t="s">
        <v>372</v>
      </c>
      <c r="EX21" t="s">
        <v>372</v>
      </c>
      <c r="EY21" t="s">
        <v>372</v>
      </c>
      <c r="EZ21" t="s">
        <v>372</v>
      </c>
      <c r="FA21" t="s">
        <v>372</v>
      </c>
      <c r="FB21" t="s">
        <v>372</v>
      </c>
      <c r="FC21" t="s">
        <v>372</v>
      </c>
      <c r="FD21" t="s">
        <v>372</v>
      </c>
      <c r="FE21" t="s">
        <v>372</v>
      </c>
      <c r="FF21" t="s">
        <v>372</v>
      </c>
      <c r="FG21" t="s">
        <v>372</v>
      </c>
      <c r="FH21" t="s">
        <v>372</v>
      </c>
      <c r="FI21" t="s">
        <v>372</v>
      </c>
      <c r="FJ21" t="s">
        <v>372</v>
      </c>
      <c r="FK21" t="s">
        <v>372</v>
      </c>
      <c r="FL21" t="s">
        <v>372</v>
      </c>
      <c r="FM21" t="s">
        <v>372</v>
      </c>
      <c r="FN21" t="s">
        <v>372</v>
      </c>
      <c r="FO21" t="s">
        <v>372</v>
      </c>
      <c r="FP21" t="s">
        <v>372</v>
      </c>
      <c r="FQ21" t="s">
        <v>372</v>
      </c>
      <c r="FR21" t="s">
        <v>372</v>
      </c>
      <c r="FS21" t="s">
        <v>611</v>
      </c>
      <c r="FT21" t="s">
        <v>650</v>
      </c>
      <c r="FU21" t="s">
        <v>412</v>
      </c>
      <c r="FV21" t="s">
        <v>372</v>
      </c>
      <c r="FW21" t="s">
        <v>372</v>
      </c>
      <c r="FX21" t="s">
        <v>372</v>
      </c>
      <c r="FY21" t="s">
        <v>372</v>
      </c>
      <c r="FZ21" t="s">
        <v>372</v>
      </c>
      <c r="GA21" t="s">
        <v>372</v>
      </c>
      <c r="GB21" t="s">
        <v>372</v>
      </c>
      <c r="GC21" t="s">
        <v>372</v>
      </c>
      <c r="GD21" t="s">
        <v>372</v>
      </c>
      <c r="GE21" t="s">
        <v>372</v>
      </c>
      <c r="GF21" t="s">
        <v>372</v>
      </c>
      <c r="GG21" t="s">
        <v>372</v>
      </c>
      <c r="GH21" t="s">
        <v>372</v>
      </c>
      <c r="GI21" t="s">
        <v>372</v>
      </c>
      <c r="GJ21" t="s">
        <v>372</v>
      </c>
      <c r="GK21" t="s">
        <v>372</v>
      </c>
      <c r="GL21" t="s">
        <v>372</v>
      </c>
      <c r="GM21" t="s">
        <v>372</v>
      </c>
      <c r="GN21" t="s">
        <v>372</v>
      </c>
      <c r="GO21" t="s">
        <v>52</v>
      </c>
      <c r="GP21" t="s">
        <v>372</v>
      </c>
      <c r="GQ21" t="s">
        <v>372</v>
      </c>
      <c r="GR21" t="s">
        <v>372</v>
      </c>
      <c r="GS21" t="s">
        <v>372</v>
      </c>
      <c r="GT21" t="s">
        <v>372</v>
      </c>
      <c r="GU21" t="s">
        <v>372</v>
      </c>
      <c r="GV21" t="s">
        <v>372</v>
      </c>
      <c r="GW21" t="s">
        <v>372</v>
      </c>
      <c r="GX21" t="s">
        <v>372</v>
      </c>
      <c r="GY21" t="s">
        <v>372</v>
      </c>
      <c r="GZ21" t="s">
        <v>372</v>
      </c>
      <c r="HA21" t="s">
        <v>372</v>
      </c>
      <c r="HB21" t="s">
        <v>372</v>
      </c>
      <c r="HC21" t="s">
        <v>372</v>
      </c>
      <c r="HD21" t="s">
        <v>372</v>
      </c>
      <c r="HE21" t="s">
        <v>372</v>
      </c>
      <c r="HF21" t="s">
        <v>372</v>
      </c>
      <c r="HG21" t="s">
        <v>372</v>
      </c>
      <c r="HH21" t="s">
        <v>372</v>
      </c>
      <c r="HI21" t="s">
        <v>379</v>
      </c>
      <c r="HJ21" t="s">
        <v>382</v>
      </c>
      <c r="HK21" t="s">
        <v>382</v>
      </c>
      <c r="HL21" t="s">
        <v>382</v>
      </c>
      <c r="HM21" t="s">
        <v>382</v>
      </c>
      <c r="HN21" t="s">
        <v>382</v>
      </c>
      <c r="HO21" t="s">
        <v>382</v>
      </c>
      <c r="HP21" t="s">
        <v>382</v>
      </c>
      <c r="HQ21" t="s">
        <v>382</v>
      </c>
      <c r="HR21" t="s">
        <v>382</v>
      </c>
      <c r="HS21" t="s">
        <v>382</v>
      </c>
      <c r="HT21" t="s">
        <v>382</v>
      </c>
      <c r="HU21" t="s">
        <v>382</v>
      </c>
      <c r="HV21" t="s">
        <v>382</v>
      </c>
      <c r="HW21" t="s">
        <v>382</v>
      </c>
      <c r="HX21" t="s">
        <v>382</v>
      </c>
      <c r="HY21" t="s">
        <v>382</v>
      </c>
      <c r="HZ21" t="s">
        <v>382</v>
      </c>
      <c r="IA21" t="s">
        <v>382</v>
      </c>
      <c r="IB21" t="s">
        <v>382</v>
      </c>
      <c r="IC21" t="s">
        <v>395</v>
      </c>
      <c r="ID21" t="s">
        <v>395</v>
      </c>
      <c r="IE21" t="s">
        <v>381</v>
      </c>
      <c r="IF21" t="s">
        <v>395</v>
      </c>
      <c r="IG21" t="s">
        <v>379</v>
      </c>
      <c r="IH21" t="s">
        <v>395</v>
      </c>
      <c r="II21" t="s">
        <v>395</v>
      </c>
      <c r="IJ21" t="s">
        <v>395</v>
      </c>
      <c r="IK21" t="s">
        <v>395</v>
      </c>
      <c r="IL21" t="s">
        <v>395</v>
      </c>
      <c r="IM21" t="s">
        <v>395</v>
      </c>
      <c r="IN21" t="s">
        <v>380</v>
      </c>
      <c r="IO21" t="s">
        <v>395</v>
      </c>
      <c r="IP21" t="s">
        <v>395</v>
      </c>
      <c r="IQ21" t="s">
        <v>381</v>
      </c>
      <c r="IR21" t="s">
        <v>395</v>
      </c>
      <c r="IS21" t="s">
        <v>381</v>
      </c>
      <c r="IT21" t="s">
        <v>418</v>
      </c>
      <c r="IU21" t="s">
        <v>529</v>
      </c>
      <c r="IV21" t="s">
        <v>807</v>
      </c>
      <c r="IW21" t="s">
        <v>842</v>
      </c>
      <c r="IX21" t="s">
        <v>423</v>
      </c>
      <c r="IY21" t="s">
        <v>656</v>
      </c>
      <c r="IZ21" t="s">
        <v>1150</v>
      </c>
      <c r="JA21" t="s">
        <v>1151</v>
      </c>
      <c r="JB21" t="s">
        <v>372</v>
      </c>
      <c r="JC21" t="s">
        <v>372</v>
      </c>
      <c r="JD21" t="s">
        <v>372</v>
      </c>
      <c r="JE21" t="s">
        <v>372</v>
      </c>
      <c r="JF21" t="s">
        <v>372</v>
      </c>
      <c r="JG21" t="s">
        <v>372</v>
      </c>
      <c r="JH21" t="s">
        <v>372</v>
      </c>
      <c r="JI21" t="s">
        <v>372</v>
      </c>
      <c r="JJ21" t="s">
        <v>372</v>
      </c>
      <c r="JK21" t="s">
        <v>372</v>
      </c>
      <c r="JL21" t="s">
        <v>372</v>
      </c>
      <c r="JM21" t="s">
        <v>372</v>
      </c>
      <c r="JN21" t="s">
        <v>372</v>
      </c>
      <c r="JO21" t="s">
        <v>372</v>
      </c>
      <c r="JP21" t="s">
        <v>372</v>
      </c>
      <c r="JQ21" t="s">
        <v>372</v>
      </c>
      <c r="JR21" t="s">
        <v>372</v>
      </c>
      <c r="JS21" t="s">
        <v>372</v>
      </c>
      <c r="JT21" t="s">
        <v>372</v>
      </c>
      <c r="JU21" t="s">
        <v>372</v>
      </c>
      <c r="JV21" t="s">
        <v>372</v>
      </c>
      <c r="JW21" t="s">
        <v>372</v>
      </c>
      <c r="JX21" t="s">
        <v>426</v>
      </c>
      <c r="JY21" t="s">
        <v>427</v>
      </c>
      <c r="JZ21" t="s">
        <v>809</v>
      </c>
      <c r="KA21" t="s">
        <v>845</v>
      </c>
      <c r="KB21" t="s">
        <v>372</v>
      </c>
      <c r="KC21" t="s">
        <v>372</v>
      </c>
      <c r="KD21" t="s">
        <v>1152</v>
      </c>
      <c r="KE21" t="s">
        <v>1153</v>
      </c>
      <c r="KF21" t="s">
        <v>372</v>
      </c>
      <c r="KG21" t="s">
        <v>372</v>
      </c>
      <c r="KH21" t="s">
        <v>372</v>
      </c>
      <c r="KI21" t="s">
        <v>372</v>
      </c>
      <c r="KJ21" t="s">
        <v>372</v>
      </c>
      <c r="KK21" t="s">
        <v>372</v>
      </c>
      <c r="KL21" t="s">
        <v>372</v>
      </c>
      <c r="KM21" t="s">
        <v>372</v>
      </c>
      <c r="KN21" t="s">
        <v>372</v>
      </c>
      <c r="KO21" t="s">
        <v>372</v>
      </c>
      <c r="KP21" t="s">
        <v>372</v>
      </c>
      <c r="KQ21" t="s">
        <v>372</v>
      </c>
      <c r="KR21" t="s">
        <v>372</v>
      </c>
      <c r="KS21" t="s">
        <v>372</v>
      </c>
      <c r="KT21" t="s">
        <v>372</v>
      </c>
      <c r="KU21" t="s">
        <v>372</v>
      </c>
      <c r="KV21" t="s">
        <v>372</v>
      </c>
      <c r="KW21" t="s">
        <v>372</v>
      </c>
      <c r="KX21" t="s">
        <v>372</v>
      </c>
      <c r="KY21" t="s">
        <v>372</v>
      </c>
      <c r="KZ21" t="s">
        <v>372</v>
      </c>
      <c r="LA21" t="s">
        <v>372</v>
      </c>
      <c r="LB21" t="s">
        <v>431</v>
      </c>
      <c r="LC21" t="s">
        <v>537</v>
      </c>
      <c r="LD21" t="s">
        <v>811</v>
      </c>
      <c r="LE21" t="s">
        <v>847</v>
      </c>
      <c r="LF21" t="s">
        <v>436</v>
      </c>
      <c r="LG21" t="s">
        <v>668</v>
      </c>
      <c r="LH21" t="s">
        <v>1154</v>
      </c>
      <c r="LI21" t="s">
        <v>1155</v>
      </c>
      <c r="LJ21" t="s">
        <v>372</v>
      </c>
      <c r="LK21" t="s">
        <v>372</v>
      </c>
      <c r="LL21" t="s">
        <v>372</v>
      </c>
      <c r="LM21" t="s">
        <v>372</v>
      </c>
      <c r="LN21" t="s">
        <v>372</v>
      </c>
      <c r="LO21" t="s">
        <v>372</v>
      </c>
      <c r="LP21" t="s">
        <v>372</v>
      </c>
      <c r="LQ21" t="s">
        <v>372</v>
      </c>
      <c r="LR21" t="s">
        <v>372</v>
      </c>
      <c r="LS21" t="s">
        <v>372</v>
      </c>
      <c r="LT21" t="s">
        <v>372</v>
      </c>
      <c r="LU21" t="s">
        <v>372</v>
      </c>
      <c r="LV21" t="s">
        <v>372</v>
      </c>
      <c r="LW21" t="s">
        <v>372</v>
      </c>
      <c r="LX21" t="s">
        <v>372</v>
      </c>
      <c r="LY21" t="s">
        <v>372</v>
      </c>
      <c r="LZ21" t="s">
        <v>372</v>
      </c>
      <c r="MA21" t="s">
        <v>372</v>
      </c>
      <c r="MB21" t="s">
        <v>372</v>
      </c>
      <c r="MC21" t="s">
        <v>372</v>
      </c>
      <c r="MD21" t="s">
        <v>372</v>
      </c>
      <c r="ME21" t="s">
        <v>372</v>
      </c>
      <c r="MF21" t="s">
        <v>813</v>
      </c>
      <c r="MG21" t="s">
        <v>372</v>
      </c>
      <c r="MH21" t="s">
        <v>372</v>
      </c>
      <c r="MI21" t="s">
        <v>372</v>
      </c>
      <c r="MJ21" t="s">
        <v>372</v>
      </c>
      <c r="MK21" t="s">
        <v>814</v>
      </c>
      <c r="ML21" t="s">
        <v>372</v>
      </c>
      <c r="MM21" t="s">
        <v>382</v>
      </c>
      <c r="MN21" t="s">
        <v>372</v>
      </c>
      <c r="MO21" t="s">
        <v>372</v>
      </c>
      <c r="MP21">
        <v>5</v>
      </c>
      <c r="MQ21">
        <v>9</v>
      </c>
      <c r="MR21">
        <v>5</v>
      </c>
      <c r="MS21" t="s">
        <v>1156</v>
      </c>
      <c r="MT21" t="s">
        <v>1157</v>
      </c>
      <c r="MU21" t="s">
        <v>444</v>
      </c>
      <c r="MV21" t="s">
        <v>445</v>
      </c>
      <c r="MW21" t="s">
        <v>372</v>
      </c>
      <c r="MX21" t="s">
        <v>372</v>
      </c>
      <c r="MY21" t="s">
        <v>372</v>
      </c>
      <c r="MZ21" t="s">
        <v>382</v>
      </c>
      <c r="NA21" t="s">
        <v>1158</v>
      </c>
    </row>
    <row r="22" spans="1:365">
      <c r="A22" t="s">
        <v>1159</v>
      </c>
      <c r="B22" s="8">
        <v>46104</v>
      </c>
      <c r="C22">
        <v>3</v>
      </c>
      <c r="D22">
        <v>30</v>
      </c>
      <c r="E22" t="s">
        <v>1160</v>
      </c>
      <c r="F22" t="s">
        <v>1161</v>
      </c>
      <c r="G22" t="s">
        <v>1162</v>
      </c>
      <c r="H22" t="s">
        <v>369</v>
      </c>
      <c r="I22" t="s">
        <v>370</v>
      </c>
      <c r="J22" t="s">
        <v>371</v>
      </c>
      <c r="K22" t="s">
        <v>372</v>
      </c>
      <c r="L22" t="s">
        <v>396</v>
      </c>
      <c r="M22" t="s">
        <v>683</v>
      </c>
      <c r="N22" t="s">
        <v>376</v>
      </c>
      <c r="O22" t="s">
        <v>759</v>
      </c>
      <c r="P22" t="s">
        <v>372</v>
      </c>
      <c r="Q22" t="s">
        <v>380</v>
      </c>
      <c r="R22" t="s">
        <v>378</v>
      </c>
      <c r="S22" t="s">
        <v>379</v>
      </c>
      <c r="T22" t="s">
        <v>381</v>
      </c>
      <c r="U22" t="s">
        <v>379</v>
      </c>
      <c r="V22" t="s">
        <v>380</v>
      </c>
      <c r="W22" t="s">
        <v>380</v>
      </c>
      <c r="X22" t="s">
        <v>379</v>
      </c>
      <c r="Y22" t="s">
        <v>380</v>
      </c>
      <c r="Z22" t="s">
        <v>380</v>
      </c>
      <c r="AA22" t="s">
        <v>382</v>
      </c>
      <c r="AB22" t="s">
        <v>382</v>
      </c>
      <c r="AC22" t="s">
        <v>378</v>
      </c>
      <c r="AD22" t="s">
        <v>382</v>
      </c>
      <c r="AE22" t="s">
        <v>379</v>
      </c>
      <c r="AF22" t="s">
        <v>380</v>
      </c>
      <c r="AG22" t="s">
        <v>382</v>
      </c>
      <c r="AH22" t="s">
        <v>380</v>
      </c>
      <c r="AI22" t="s">
        <v>382</v>
      </c>
      <c r="AJ22" t="s">
        <v>382</v>
      </c>
      <c r="AK22" t="s">
        <v>382</v>
      </c>
      <c r="AL22" t="s">
        <v>382</v>
      </c>
      <c r="AM22" t="s">
        <v>380</v>
      </c>
      <c r="AN22" t="s">
        <v>382</v>
      </c>
      <c r="AO22" t="s">
        <v>382</v>
      </c>
      <c r="AP22" t="s">
        <v>382</v>
      </c>
      <c r="AQ22" t="s">
        <v>379</v>
      </c>
      <c r="AR22" t="s">
        <v>382</v>
      </c>
      <c r="AS22" t="s">
        <v>380</v>
      </c>
      <c r="AT22" t="s">
        <v>382</v>
      </c>
      <c r="AU22" t="s">
        <v>380</v>
      </c>
      <c r="AV22" t="s">
        <v>382</v>
      </c>
      <c r="AW22" t="s">
        <v>381</v>
      </c>
      <c r="AX22" t="s">
        <v>855</v>
      </c>
      <c r="AY22">
        <v>1</v>
      </c>
      <c r="AZ22" t="s">
        <v>382</v>
      </c>
      <c r="BA22" t="s">
        <v>384</v>
      </c>
      <c r="BB22" t="s">
        <v>611</v>
      </c>
      <c r="BC22" t="s">
        <v>612</v>
      </c>
      <c r="BD22" t="s">
        <v>387</v>
      </c>
      <c r="BE22" t="s">
        <v>388</v>
      </c>
      <c r="BF22">
        <v>1</v>
      </c>
      <c r="BG22" t="s">
        <v>389</v>
      </c>
      <c r="BH22" t="s">
        <v>382</v>
      </c>
      <c r="BI22" t="s">
        <v>382</v>
      </c>
      <c r="BJ22" t="s">
        <v>382</v>
      </c>
      <c r="BK22" t="s">
        <v>1163</v>
      </c>
      <c r="BL22" t="s">
        <v>382</v>
      </c>
      <c r="BM22" t="s">
        <v>1164</v>
      </c>
      <c r="BN22" t="s">
        <v>382</v>
      </c>
      <c r="BO22" t="s">
        <v>382</v>
      </c>
      <c r="BP22" t="s">
        <v>382</v>
      </c>
      <c r="BQ22" t="s">
        <v>382</v>
      </c>
      <c r="BR22" t="s">
        <v>382</v>
      </c>
      <c r="BS22" t="s">
        <v>382</v>
      </c>
      <c r="BT22" t="s">
        <v>382</v>
      </c>
      <c r="BU22" t="s">
        <v>382</v>
      </c>
      <c r="BV22" t="s">
        <v>382</v>
      </c>
      <c r="BW22" t="s">
        <v>382</v>
      </c>
      <c r="BX22" t="s">
        <v>382</v>
      </c>
      <c r="BY22" t="s">
        <v>382</v>
      </c>
      <c r="BZ22" t="s">
        <v>382</v>
      </c>
      <c r="CA22" t="s">
        <v>1165</v>
      </c>
      <c r="CB22" t="s">
        <v>382</v>
      </c>
      <c r="CC22" t="s">
        <v>382</v>
      </c>
      <c r="CD22" t="s">
        <v>382</v>
      </c>
      <c r="CE22" t="s">
        <v>382</v>
      </c>
      <c r="CF22">
        <v>3</v>
      </c>
      <c r="CG22">
        <v>1</v>
      </c>
      <c r="CH22">
        <v>1</v>
      </c>
      <c r="CI22" t="s">
        <v>396</v>
      </c>
      <c r="CJ22" t="s">
        <v>381</v>
      </c>
      <c r="CK22" t="s">
        <v>394</v>
      </c>
      <c r="CL22" t="s">
        <v>395</v>
      </c>
      <c r="CM22" t="s">
        <v>393</v>
      </c>
      <c r="CN22" t="s">
        <v>395</v>
      </c>
      <c r="CO22" t="s">
        <v>397</v>
      </c>
      <c r="CP22" t="s">
        <v>395</v>
      </c>
      <c r="CQ22" t="s">
        <v>381</v>
      </c>
      <c r="CR22" t="s">
        <v>381</v>
      </c>
      <c r="CS22" t="s">
        <v>395</v>
      </c>
      <c r="CT22" t="s">
        <v>398</v>
      </c>
      <c r="CU22" t="s">
        <v>398</v>
      </c>
      <c r="CV22" t="s">
        <v>645</v>
      </c>
      <c r="CW22" t="s">
        <v>395</v>
      </c>
      <c r="CX22" t="s">
        <v>382</v>
      </c>
      <c r="CY22">
        <v>5</v>
      </c>
      <c r="CZ22" t="s">
        <v>400</v>
      </c>
      <c r="DA22" t="s">
        <v>401</v>
      </c>
      <c r="DB22" t="s">
        <v>401</v>
      </c>
      <c r="DC22" t="s">
        <v>401</v>
      </c>
      <c r="DD22" t="s">
        <v>401</v>
      </c>
      <c r="DE22" t="s">
        <v>1166</v>
      </c>
      <c r="DF22" t="s">
        <v>381</v>
      </c>
      <c r="DG22" t="s">
        <v>381</v>
      </c>
      <c r="DH22" t="s">
        <v>381</v>
      </c>
      <c r="DI22" t="s">
        <v>381</v>
      </c>
      <c r="DJ22" t="s">
        <v>381</v>
      </c>
      <c r="DK22" t="s">
        <v>1167</v>
      </c>
      <c r="DL22" t="s">
        <v>1168</v>
      </c>
      <c r="DM22" t="s">
        <v>1169</v>
      </c>
      <c r="DN22" t="s">
        <v>1082</v>
      </c>
      <c r="DO22" t="s">
        <v>507</v>
      </c>
      <c r="DP22" t="s">
        <v>1049</v>
      </c>
      <c r="DQ22" t="s">
        <v>372</v>
      </c>
      <c r="DR22" t="s">
        <v>372</v>
      </c>
      <c r="DS22" t="s">
        <v>372</v>
      </c>
      <c r="DT22" t="s">
        <v>372</v>
      </c>
      <c r="DU22" t="s">
        <v>372</v>
      </c>
      <c r="DV22" t="s">
        <v>372</v>
      </c>
      <c r="DW22" t="s">
        <v>372</v>
      </c>
      <c r="DX22" t="s">
        <v>372</v>
      </c>
      <c r="DY22" t="s">
        <v>372</v>
      </c>
      <c r="DZ22" t="s">
        <v>372</v>
      </c>
      <c r="EA22" t="s">
        <v>372</v>
      </c>
      <c r="EB22" t="s">
        <v>372</v>
      </c>
      <c r="EC22" t="s">
        <v>372</v>
      </c>
      <c r="ED22" t="s">
        <v>372</v>
      </c>
      <c r="EE22" t="s">
        <v>372</v>
      </c>
      <c r="EF22" t="s">
        <v>372</v>
      </c>
      <c r="EG22" t="s">
        <v>372</v>
      </c>
      <c r="EH22" t="s">
        <v>372</v>
      </c>
      <c r="EI22" t="s">
        <v>372</v>
      </c>
      <c r="EJ22" t="s">
        <v>372</v>
      </c>
      <c r="EK22" t="s">
        <v>372</v>
      </c>
      <c r="EL22" t="s">
        <v>372</v>
      </c>
      <c r="EM22" t="s">
        <v>372</v>
      </c>
      <c r="EN22" t="s">
        <v>372</v>
      </c>
      <c r="EO22" t="s">
        <v>1170</v>
      </c>
      <c r="EP22" t="s">
        <v>1171</v>
      </c>
      <c r="EQ22" t="s">
        <v>1172</v>
      </c>
      <c r="ER22" t="s">
        <v>1084</v>
      </c>
      <c r="ES22" t="s">
        <v>517</v>
      </c>
      <c r="ET22" t="s">
        <v>1053</v>
      </c>
      <c r="EU22" t="s">
        <v>372</v>
      </c>
      <c r="EV22" t="s">
        <v>372</v>
      </c>
      <c r="EW22" t="s">
        <v>372</v>
      </c>
      <c r="EX22" t="s">
        <v>372</v>
      </c>
      <c r="EY22" t="s">
        <v>372</v>
      </c>
      <c r="EZ22" t="s">
        <v>372</v>
      </c>
      <c r="FA22" t="s">
        <v>372</v>
      </c>
      <c r="FB22" t="s">
        <v>372</v>
      </c>
      <c r="FC22" t="s">
        <v>372</v>
      </c>
      <c r="FD22" t="s">
        <v>372</v>
      </c>
      <c r="FE22" t="s">
        <v>372</v>
      </c>
      <c r="FF22" t="s">
        <v>372</v>
      </c>
      <c r="FG22" t="s">
        <v>372</v>
      </c>
      <c r="FH22" t="s">
        <v>372</v>
      </c>
      <c r="FI22" t="s">
        <v>372</v>
      </c>
      <c r="FJ22" t="s">
        <v>372</v>
      </c>
      <c r="FK22" t="s">
        <v>372</v>
      </c>
      <c r="FL22" t="s">
        <v>372</v>
      </c>
      <c r="FM22" t="s">
        <v>372</v>
      </c>
      <c r="FN22" t="s">
        <v>372</v>
      </c>
      <c r="FO22" t="s">
        <v>372</v>
      </c>
      <c r="FP22" t="s">
        <v>372</v>
      </c>
      <c r="FQ22" t="s">
        <v>372</v>
      </c>
      <c r="FR22" t="s">
        <v>372</v>
      </c>
      <c r="FS22" t="s">
        <v>1173</v>
      </c>
      <c r="FT22" t="s">
        <v>1174</v>
      </c>
      <c r="FU22" t="s">
        <v>412</v>
      </c>
      <c r="FV22" t="s">
        <v>413</v>
      </c>
      <c r="FW22" t="s">
        <v>525</v>
      </c>
      <c r="FX22" t="s">
        <v>372</v>
      </c>
      <c r="FY22" t="s">
        <v>372</v>
      </c>
      <c r="FZ22" t="s">
        <v>372</v>
      </c>
      <c r="GA22" t="s">
        <v>372</v>
      </c>
      <c r="GB22" t="s">
        <v>372</v>
      </c>
      <c r="GC22" t="s">
        <v>372</v>
      </c>
      <c r="GD22" t="s">
        <v>372</v>
      </c>
      <c r="GE22" t="s">
        <v>372</v>
      </c>
      <c r="GF22" t="s">
        <v>372</v>
      </c>
      <c r="GG22" t="s">
        <v>372</v>
      </c>
      <c r="GH22" t="s">
        <v>372</v>
      </c>
      <c r="GI22" t="s">
        <v>372</v>
      </c>
      <c r="GJ22" t="s">
        <v>372</v>
      </c>
      <c r="GK22" t="s">
        <v>372</v>
      </c>
      <c r="GL22" t="s">
        <v>372</v>
      </c>
      <c r="GM22" t="s">
        <v>372</v>
      </c>
      <c r="GN22" t="s">
        <v>372</v>
      </c>
      <c r="GO22" t="s">
        <v>415</v>
      </c>
      <c r="GP22" t="s">
        <v>1175</v>
      </c>
      <c r="GQ22" t="s">
        <v>372</v>
      </c>
      <c r="GR22" t="s">
        <v>372</v>
      </c>
      <c r="GS22" t="s">
        <v>372</v>
      </c>
      <c r="GT22" t="s">
        <v>372</v>
      </c>
      <c r="GU22" t="s">
        <v>372</v>
      </c>
      <c r="GV22" t="s">
        <v>372</v>
      </c>
      <c r="GW22" t="s">
        <v>372</v>
      </c>
      <c r="GX22" t="s">
        <v>372</v>
      </c>
      <c r="GY22" t="s">
        <v>372</v>
      </c>
      <c r="GZ22" t="s">
        <v>372</v>
      </c>
      <c r="HA22" t="s">
        <v>372</v>
      </c>
      <c r="HB22" t="s">
        <v>372</v>
      </c>
      <c r="HC22" t="s">
        <v>372</v>
      </c>
      <c r="HD22" t="s">
        <v>372</v>
      </c>
      <c r="HE22" t="s">
        <v>372</v>
      </c>
      <c r="HF22" t="s">
        <v>372</v>
      </c>
      <c r="HG22" t="s">
        <v>372</v>
      </c>
      <c r="HH22" t="s">
        <v>372</v>
      </c>
      <c r="HI22" t="s">
        <v>379</v>
      </c>
      <c r="HJ22" t="s">
        <v>379</v>
      </c>
      <c r="HK22" t="s">
        <v>398</v>
      </c>
      <c r="HL22" t="s">
        <v>382</v>
      </c>
      <c r="HM22" t="s">
        <v>382</v>
      </c>
      <c r="HN22" t="s">
        <v>382</v>
      </c>
      <c r="HO22" t="s">
        <v>382</v>
      </c>
      <c r="HP22" t="s">
        <v>382</v>
      </c>
      <c r="HQ22" t="s">
        <v>382</v>
      </c>
      <c r="HR22" t="s">
        <v>382</v>
      </c>
      <c r="HS22" t="s">
        <v>382</v>
      </c>
      <c r="HT22" t="s">
        <v>382</v>
      </c>
      <c r="HU22" t="s">
        <v>382</v>
      </c>
      <c r="HV22" t="s">
        <v>382</v>
      </c>
      <c r="HW22" t="s">
        <v>382</v>
      </c>
      <c r="HX22" t="s">
        <v>382</v>
      </c>
      <c r="HY22" t="s">
        <v>382</v>
      </c>
      <c r="HZ22" t="s">
        <v>382</v>
      </c>
      <c r="IA22" t="s">
        <v>382</v>
      </c>
      <c r="IB22" t="s">
        <v>382</v>
      </c>
      <c r="IC22" t="s">
        <v>395</v>
      </c>
      <c r="ID22" t="s">
        <v>378</v>
      </c>
      <c r="IE22" t="s">
        <v>395</v>
      </c>
      <c r="IF22" t="s">
        <v>395</v>
      </c>
      <c r="IG22" t="s">
        <v>395</v>
      </c>
      <c r="IH22" t="s">
        <v>395</v>
      </c>
      <c r="II22" t="s">
        <v>381</v>
      </c>
      <c r="IJ22" t="s">
        <v>395</v>
      </c>
      <c r="IK22" t="s">
        <v>395</v>
      </c>
      <c r="IL22" t="s">
        <v>395</v>
      </c>
      <c r="IM22" t="s">
        <v>395</v>
      </c>
      <c r="IN22" t="s">
        <v>395</v>
      </c>
      <c r="IO22" t="s">
        <v>395</v>
      </c>
      <c r="IP22" t="s">
        <v>395</v>
      </c>
      <c r="IQ22" t="s">
        <v>395</v>
      </c>
      <c r="IR22" t="s">
        <v>395</v>
      </c>
      <c r="IS22" t="s">
        <v>395</v>
      </c>
      <c r="IT22" t="s">
        <v>417</v>
      </c>
      <c r="IU22" t="s">
        <v>470</v>
      </c>
      <c r="IV22" t="s">
        <v>768</v>
      </c>
      <c r="IW22" t="s">
        <v>769</v>
      </c>
      <c r="IX22" t="s">
        <v>419</v>
      </c>
      <c r="IY22" t="s">
        <v>372</v>
      </c>
      <c r="IZ22" t="s">
        <v>372</v>
      </c>
      <c r="JA22" t="s">
        <v>372</v>
      </c>
      <c r="JB22" t="s">
        <v>372</v>
      </c>
      <c r="JC22" t="s">
        <v>372</v>
      </c>
      <c r="JD22" t="s">
        <v>372</v>
      </c>
      <c r="JE22" t="s">
        <v>372</v>
      </c>
      <c r="JF22" t="s">
        <v>372</v>
      </c>
      <c r="JG22" t="s">
        <v>372</v>
      </c>
      <c r="JH22" t="s">
        <v>372</v>
      </c>
      <c r="JI22" t="s">
        <v>372</v>
      </c>
      <c r="JJ22" t="s">
        <v>372</v>
      </c>
      <c r="JK22" t="s">
        <v>372</v>
      </c>
      <c r="JL22" t="s">
        <v>372</v>
      </c>
      <c r="JM22" t="s">
        <v>372</v>
      </c>
      <c r="JN22" t="s">
        <v>372</v>
      </c>
      <c r="JO22" t="s">
        <v>372</v>
      </c>
      <c r="JP22" t="s">
        <v>372</v>
      </c>
      <c r="JQ22" t="s">
        <v>372</v>
      </c>
      <c r="JR22" t="s">
        <v>372</v>
      </c>
      <c r="JS22" t="s">
        <v>372</v>
      </c>
      <c r="JT22" t="s">
        <v>372</v>
      </c>
      <c r="JU22" t="s">
        <v>372</v>
      </c>
      <c r="JV22" t="s">
        <v>372</v>
      </c>
      <c r="JW22" t="s">
        <v>372</v>
      </c>
      <c r="JX22" t="s">
        <v>425</v>
      </c>
      <c r="JY22" t="s">
        <v>475</v>
      </c>
      <c r="JZ22" t="s">
        <v>774</v>
      </c>
      <c r="KA22" t="s">
        <v>775</v>
      </c>
      <c r="KB22" t="s">
        <v>427</v>
      </c>
      <c r="KC22" t="s">
        <v>372</v>
      </c>
      <c r="KD22" t="s">
        <v>372</v>
      </c>
      <c r="KE22" t="s">
        <v>372</v>
      </c>
      <c r="KF22" t="s">
        <v>372</v>
      </c>
      <c r="KG22" t="s">
        <v>372</v>
      </c>
      <c r="KH22" t="s">
        <v>372</v>
      </c>
      <c r="KI22" t="s">
        <v>372</v>
      </c>
      <c r="KJ22" t="s">
        <v>372</v>
      </c>
      <c r="KK22" t="s">
        <v>372</v>
      </c>
      <c r="KL22" t="s">
        <v>372</v>
      </c>
      <c r="KM22" t="s">
        <v>372</v>
      </c>
      <c r="KN22" t="s">
        <v>372</v>
      </c>
      <c r="KO22" t="s">
        <v>372</v>
      </c>
      <c r="KP22" t="s">
        <v>372</v>
      </c>
      <c r="KQ22" t="s">
        <v>372</v>
      </c>
      <c r="KR22" t="s">
        <v>372</v>
      </c>
      <c r="KS22" t="s">
        <v>372</v>
      </c>
      <c r="KT22" t="s">
        <v>372</v>
      </c>
      <c r="KU22" t="s">
        <v>372</v>
      </c>
      <c r="KV22" t="s">
        <v>372</v>
      </c>
      <c r="KW22" t="s">
        <v>372</v>
      </c>
      <c r="KX22" t="s">
        <v>372</v>
      </c>
      <c r="KY22" t="s">
        <v>372</v>
      </c>
      <c r="KZ22" t="s">
        <v>372</v>
      </c>
      <c r="LA22" t="s">
        <v>372</v>
      </c>
      <c r="LB22" t="s">
        <v>430</v>
      </c>
      <c r="LC22" t="s">
        <v>478</v>
      </c>
      <c r="LD22" t="s">
        <v>777</v>
      </c>
      <c r="LE22" t="s">
        <v>778</v>
      </c>
      <c r="LF22" t="s">
        <v>432</v>
      </c>
      <c r="LG22" t="s">
        <v>372</v>
      </c>
      <c r="LH22" t="s">
        <v>372</v>
      </c>
      <c r="LI22" t="s">
        <v>372</v>
      </c>
      <c r="LJ22" t="s">
        <v>372</v>
      </c>
      <c r="LK22" t="s">
        <v>372</v>
      </c>
      <c r="LL22" t="s">
        <v>372</v>
      </c>
      <c r="LM22" t="s">
        <v>372</v>
      </c>
      <c r="LN22" t="s">
        <v>372</v>
      </c>
      <c r="LO22" t="s">
        <v>372</v>
      </c>
      <c r="LP22" t="s">
        <v>372</v>
      </c>
      <c r="LQ22" t="s">
        <v>372</v>
      </c>
      <c r="LR22" t="s">
        <v>372</v>
      </c>
      <c r="LS22" t="s">
        <v>372</v>
      </c>
      <c r="LT22" t="s">
        <v>372</v>
      </c>
      <c r="LU22" t="s">
        <v>372</v>
      </c>
      <c r="LV22" t="s">
        <v>372</v>
      </c>
      <c r="LW22" t="s">
        <v>372</v>
      </c>
      <c r="LX22" t="s">
        <v>372</v>
      </c>
      <c r="LY22" t="s">
        <v>372</v>
      </c>
      <c r="LZ22" t="s">
        <v>372</v>
      </c>
      <c r="MA22" t="s">
        <v>372</v>
      </c>
      <c r="MB22" t="s">
        <v>372</v>
      </c>
      <c r="MC22" t="s">
        <v>372</v>
      </c>
      <c r="MD22" t="s">
        <v>372</v>
      </c>
      <c r="ME22" t="s">
        <v>372</v>
      </c>
      <c r="MF22" t="s">
        <v>438</v>
      </c>
      <c r="MG22" t="s">
        <v>372</v>
      </c>
      <c r="MH22" t="s">
        <v>372</v>
      </c>
      <c r="MI22" t="s">
        <v>372</v>
      </c>
      <c r="MJ22" t="s">
        <v>372</v>
      </c>
      <c r="MK22" t="s">
        <v>440</v>
      </c>
      <c r="ML22" t="s">
        <v>372</v>
      </c>
      <c r="MM22" t="s">
        <v>382</v>
      </c>
      <c r="MN22" t="s">
        <v>372</v>
      </c>
      <c r="MO22" t="s">
        <v>372</v>
      </c>
      <c r="MP22">
        <v>5</v>
      </c>
      <c r="MQ22">
        <v>9</v>
      </c>
      <c r="MR22">
        <v>5</v>
      </c>
      <c r="MS22" t="s">
        <v>444</v>
      </c>
      <c r="MT22" t="s">
        <v>445</v>
      </c>
      <c r="MU22" t="s">
        <v>783</v>
      </c>
      <c r="MV22" t="s">
        <v>784</v>
      </c>
      <c r="MW22" t="s">
        <v>372</v>
      </c>
      <c r="MX22" t="s">
        <v>372</v>
      </c>
      <c r="MY22" t="s">
        <v>372</v>
      </c>
      <c r="MZ22" t="s">
        <v>931</v>
      </c>
      <c r="NA22" t="s">
        <v>382</v>
      </c>
    </row>
    <row r="23" spans="1:365">
      <c r="A23" t="s">
        <v>1176</v>
      </c>
      <c r="B23" s="8">
        <v>46104</v>
      </c>
      <c r="C23">
        <v>2</v>
      </c>
      <c r="D23">
        <v>54</v>
      </c>
      <c r="E23" t="s">
        <v>1177</v>
      </c>
      <c r="F23" t="s">
        <v>1178</v>
      </c>
      <c r="G23" t="s">
        <v>1179</v>
      </c>
      <c r="H23" t="s">
        <v>552</v>
      </c>
      <c r="I23" t="s">
        <v>370</v>
      </c>
      <c r="J23" t="s">
        <v>371</v>
      </c>
      <c r="K23" t="s">
        <v>1180</v>
      </c>
      <c r="L23" t="s">
        <v>607</v>
      </c>
      <c r="M23" t="s">
        <v>608</v>
      </c>
      <c r="N23" t="s">
        <v>685</v>
      </c>
      <c r="O23" t="s">
        <v>936</v>
      </c>
      <c r="P23" t="s">
        <v>372</v>
      </c>
      <c r="Q23" t="s">
        <v>380</v>
      </c>
      <c r="R23" t="s">
        <v>379</v>
      </c>
      <c r="S23" t="s">
        <v>379</v>
      </c>
      <c r="T23" t="s">
        <v>1181</v>
      </c>
      <c r="U23" t="s">
        <v>379</v>
      </c>
      <c r="V23" t="s">
        <v>380</v>
      </c>
      <c r="W23" t="s">
        <v>380</v>
      </c>
      <c r="X23" t="s">
        <v>381</v>
      </c>
      <c r="Y23" t="s">
        <v>379</v>
      </c>
      <c r="Z23" t="s">
        <v>382</v>
      </c>
      <c r="AA23" t="s">
        <v>382</v>
      </c>
      <c r="AB23" t="s">
        <v>381</v>
      </c>
      <c r="AC23" t="s">
        <v>689</v>
      </c>
      <c r="AD23" t="s">
        <v>382</v>
      </c>
      <c r="AE23" t="s">
        <v>381</v>
      </c>
      <c r="AF23" t="s">
        <v>382</v>
      </c>
      <c r="AG23" t="s">
        <v>382</v>
      </c>
      <c r="AH23" t="s">
        <v>379</v>
      </c>
      <c r="AI23" t="s">
        <v>688</v>
      </c>
      <c r="AJ23" t="s">
        <v>382</v>
      </c>
      <c r="AK23" t="s">
        <v>382</v>
      </c>
      <c r="AL23" t="s">
        <v>380</v>
      </c>
      <c r="AM23" t="s">
        <v>689</v>
      </c>
      <c r="AN23" t="s">
        <v>382</v>
      </c>
      <c r="AO23" t="s">
        <v>382</v>
      </c>
      <c r="AP23" t="s">
        <v>382</v>
      </c>
      <c r="AQ23" t="s">
        <v>380</v>
      </c>
      <c r="AR23" t="s">
        <v>382</v>
      </c>
      <c r="AS23" t="s">
        <v>380</v>
      </c>
      <c r="AT23" t="s">
        <v>382</v>
      </c>
      <c r="AU23" t="s">
        <v>382</v>
      </c>
      <c r="AV23" t="s">
        <v>380</v>
      </c>
      <c r="AW23" t="s">
        <v>381</v>
      </c>
      <c r="AX23" t="s">
        <v>879</v>
      </c>
      <c r="AY23">
        <v>2</v>
      </c>
      <c r="AZ23" t="s">
        <v>561</v>
      </c>
      <c r="BA23" t="s">
        <v>384</v>
      </c>
      <c r="BB23" t="s">
        <v>451</v>
      </c>
      <c r="BC23" t="s">
        <v>452</v>
      </c>
      <c r="BD23" t="s">
        <v>523</v>
      </c>
      <c r="BE23" t="s">
        <v>563</v>
      </c>
      <c r="BF23">
        <v>2</v>
      </c>
      <c r="BG23" t="s">
        <v>389</v>
      </c>
      <c r="BH23" t="s">
        <v>382</v>
      </c>
      <c r="BI23" t="s">
        <v>382</v>
      </c>
      <c r="BJ23" t="s">
        <v>382</v>
      </c>
      <c r="BK23" t="s">
        <v>382</v>
      </c>
      <c r="BL23" t="s">
        <v>382</v>
      </c>
      <c r="BM23" t="s">
        <v>382</v>
      </c>
      <c r="BN23" t="s">
        <v>382</v>
      </c>
      <c r="BO23" t="s">
        <v>382</v>
      </c>
      <c r="BP23" t="s">
        <v>382</v>
      </c>
      <c r="BQ23" t="s">
        <v>1182</v>
      </c>
      <c r="BR23" t="s">
        <v>382</v>
      </c>
      <c r="BS23" t="s">
        <v>382</v>
      </c>
      <c r="BT23" t="s">
        <v>382</v>
      </c>
      <c r="BU23" t="s">
        <v>1183</v>
      </c>
      <c r="BV23" t="s">
        <v>382</v>
      </c>
      <c r="BW23" t="s">
        <v>382</v>
      </c>
      <c r="BX23" t="s">
        <v>382</v>
      </c>
      <c r="BY23" t="s">
        <v>1184</v>
      </c>
      <c r="BZ23" t="s">
        <v>382</v>
      </c>
      <c r="CA23" t="s">
        <v>1185</v>
      </c>
      <c r="CB23" t="s">
        <v>382</v>
      </c>
      <c r="CC23" t="s">
        <v>382</v>
      </c>
      <c r="CD23" t="s">
        <v>382</v>
      </c>
      <c r="CE23" t="s">
        <v>1186</v>
      </c>
      <c r="CF23">
        <v>2</v>
      </c>
      <c r="CG23">
        <v>2</v>
      </c>
      <c r="CH23">
        <v>3</v>
      </c>
      <c r="CI23" t="s">
        <v>394</v>
      </c>
      <c r="CJ23" t="s">
        <v>379</v>
      </c>
      <c r="CK23" t="s">
        <v>393</v>
      </c>
      <c r="CL23" t="s">
        <v>395</v>
      </c>
      <c r="CM23" t="s">
        <v>396</v>
      </c>
      <c r="CN23" t="s">
        <v>395</v>
      </c>
      <c r="CO23" t="s">
        <v>397</v>
      </c>
      <c r="CP23" t="s">
        <v>395</v>
      </c>
      <c r="CQ23" t="s">
        <v>395</v>
      </c>
      <c r="CR23" t="s">
        <v>395</v>
      </c>
      <c r="CS23" t="s">
        <v>395</v>
      </c>
      <c r="CT23" t="s">
        <v>395</v>
      </c>
      <c r="CU23" t="s">
        <v>395</v>
      </c>
      <c r="CV23" t="s">
        <v>382</v>
      </c>
      <c r="CW23" t="s">
        <v>398</v>
      </c>
      <c r="CX23" t="s">
        <v>1187</v>
      </c>
      <c r="CY23">
        <v>5</v>
      </c>
      <c r="CZ23" t="s">
        <v>400</v>
      </c>
      <c r="DA23" t="s">
        <v>401</v>
      </c>
      <c r="DB23" t="s">
        <v>401</v>
      </c>
      <c r="DC23" t="s">
        <v>401</v>
      </c>
      <c r="DD23" t="s">
        <v>401</v>
      </c>
      <c r="DE23" t="s">
        <v>1188</v>
      </c>
      <c r="DF23" t="s">
        <v>381</v>
      </c>
      <c r="DG23" t="s">
        <v>381</v>
      </c>
      <c r="DH23" t="s">
        <v>381</v>
      </c>
      <c r="DI23" t="s">
        <v>381</v>
      </c>
      <c r="DJ23" t="s">
        <v>381</v>
      </c>
      <c r="DK23" t="s">
        <v>831</v>
      </c>
      <c r="DL23" t="s">
        <v>887</v>
      </c>
      <c r="DM23" t="s">
        <v>888</v>
      </c>
      <c r="DN23" t="s">
        <v>889</v>
      </c>
      <c r="DO23" t="s">
        <v>1189</v>
      </c>
      <c r="DP23" t="s">
        <v>372</v>
      </c>
      <c r="DQ23" t="s">
        <v>372</v>
      </c>
      <c r="DR23" t="s">
        <v>372</v>
      </c>
      <c r="DS23" t="s">
        <v>372</v>
      </c>
      <c r="DT23" t="s">
        <v>372</v>
      </c>
      <c r="DU23" t="s">
        <v>372</v>
      </c>
      <c r="DV23" t="s">
        <v>372</v>
      </c>
      <c r="DW23" t="s">
        <v>372</v>
      </c>
      <c r="DX23" t="s">
        <v>372</v>
      </c>
      <c r="DY23" t="s">
        <v>372</v>
      </c>
      <c r="DZ23" t="s">
        <v>372</v>
      </c>
      <c r="EA23" t="s">
        <v>372</v>
      </c>
      <c r="EB23" t="s">
        <v>372</v>
      </c>
      <c r="EC23" t="s">
        <v>372</v>
      </c>
      <c r="ED23" t="s">
        <v>372</v>
      </c>
      <c r="EE23" t="s">
        <v>372</v>
      </c>
      <c r="EF23" t="s">
        <v>372</v>
      </c>
      <c r="EG23" t="s">
        <v>372</v>
      </c>
      <c r="EH23" t="s">
        <v>372</v>
      </c>
      <c r="EI23" t="s">
        <v>372</v>
      </c>
      <c r="EJ23" t="s">
        <v>372</v>
      </c>
      <c r="EK23" t="s">
        <v>372</v>
      </c>
      <c r="EL23" t="s">
        <v>372</v>
      </c>
      <c r="EM23" t="s">
        <v>372</v>
      </c>
      <c r="EN23" t="s">
        <v>372</v>
      </c>
      <c r="EO23" t="s">
        <v>836</v>
      </c>
      <c r="EP23" t="s">
        <v>892</v>
      </c>
      <c r="EQ23" t="s">
        <v>893</v>
      </c>
      <c r="ER23" t="s">
        <v>894</v>
      </c>
      <c r="ES23" t="s">
        <v>1190</v>
      </c>
      <c r="ET23" t="s">
        <v>372</v>
      </c>
      <c r="EU23" t="s">
        <v>372</v>
      </c>
      <c r="EV23" t="s">
        <v>372</v>
      </c>
      <c r="EW23" t="s">
        <v>372</v>
      </c>
      <c r="EX23" t="s">
        <v>372</v>
      </c>
      <c r="EY23" t="s">
        <v>372</v>
      </c>
      <c r="EZ23" t="s">
        <v>372</v>
      </c>
      <c r="FA23" t="s">
        <v>372</v>
      </c>
      <c r="FB23" t="s">
        <v>372</v>
      </c>
      <c r="FC23" t="s">
        <v>372</v>
      </c>
      <c r="FD23" t="s">
        <v>372</v>
      </c>
      <c r="FE23" t="s">
        <v>372</v>
      </c>
      <c r="FF23" t="s">
        <v>372</v>
      </c>
      <c r="FG23" t="s">
        <v>372</v>
      </c>
      <c r="FH23" t="s">
        <v>372</v>
      </c>
      <c r="FI23" t="s">
        <v>372</v>
      </c>
      <c r="FJ23" t="s">
        <v>372</v>
      </c>
      <c r="FK23" t="s">
        <v>372</v>
      </c>
      <c r="FL23" t="s">
        <v>372</v>
      </c>
      <c r="FM23" t="s">
        <v>372</v>
      </c>
      <c r="FN23" t="s">
        <v>372</v>
      </c>
      <c r="FO23" t="s">
        <v>372</v>
      </c>
      <c r="FP23" t="s">
        <v>372</v>
      </c>
      <c r="FQ23" t="s">
        <v>372</v>
      </c>
      <c r="FR23" t="s">
        <v>372</v>
      </c>
      <c r="FS23" t="s">
        <v>611</v>
      </c>
      <c r="FT23" t="s">
        <v>650</v>
      </c>
      <c r="FU23" t="s">
        <v>412</v>
      </c>
      <c r="FV23" t="s">
        <v>413</v>
      </c>
      <c r="FW23" t="s">
        <v>372</v>
      </c>
      <c r="FX23" t="s">
        <v>372</v>
      </c>
      <c r="FY23" t="s">
        <v>372</v>
      </c>
      <c r="FZ23" t="s">
        <v>372</v>
      </c>
      <c r="GA23" t="s">
        <v>372</v>
      </c>
      <c r="GB23" t="s">
        <v>372</v>
      </c>
      <c r="GC23" t="s">
        <v>372</v>
      </c>
      <c r="GD23" t="s">
        <v>372</v>
      </c>
      <c r="GE23" t="s">
        <v>372</v>
      </c>
      <c r="GF23" t="s">
        <v>372</v>
      </c>
      <c r="GG23" t="s">
        <v>372</v>
      </c>
      <c r="GH23" t="s">
        <v>372</v>
      </c>
      <c r="GI23" t="s">
        <v>372</v>
      </c>
      <c r="GJ23" t="s">
        <v>372</v>
      </c>
      <c r="GK23" t="s">
        <v>372</v>
      </c>
      <c r="GL23" t="s">
        <v>372</v>
      </c>
      <c r="GM23" t="s">
        <v>372</v>
      </c>
      <c r="GN23" t="s">
        <v>372</v>
      </c>
      <c r="GO23" t="s">
        <v>1191</v>
      </c>
      <c r="GP23" t="s">
        <v>1192</v>
      </c>
      <c r="GQ23" t="s">
        <v>372</v>
      </c>
      <c r="GR23" t="s">
        <v>372</v>
      </c>
      <c r="GS23" t="s">
        <v>372</v>
      </c>
      <c r="GT23" t="s">
        <v>372</v>
      </c>
      <c r="GU23" t="s">
        <v>372</v>
      </c>
      <c r="GV23" t="s">
        <v>372</v>
      </c>
      <c r="GW23" t="s">
        <v>372</v>
      </c>
      <c r="GX23" t="s">
        <v>372</v>
      </c>
      <c r="GY23" t="s">
        <v>372</v>
      </c>
      <c r="GZ23" t="s">
        <v>372</v>
      </c>
      <c r="HA23" t="s">
        <v>372</v>
      </c>
      <c r="HB23" t="s">
        <v>372</v>
      </c>
      <c r="HC23" t="s">
        <v>372</v>
      </c>
      <c r="HD23" t="s">
        <v>372</v>
      </c>
      <c r="HE23" t="s">
        <v>372</v>
      </c>
      <c r="HF23" t="s">
        <v>372</v>
      </c>
      <c r="HG23" t="s">
        <v>372</v>
      </c>
      <c r="HH23" t="s">
        <v>372</v>
      </c>
      <c r="HI23" t="s">
        <v>381</v>
      </c>
      <c r="HJ23" t="s">
        <v>379</v>
      </c>
      <c r="HK23" t="s">
        <v>382</v>
      </c>
      <c r="HL23" t="s">
        <v>382</v>
      </c>
      <c r="HM23" t="s">
        <v>382</v>
      </c>
      <c r="HN23" t="s">
        <v>382</v>
      </c>
      <c r="HO23" t="s">
        <v>382</v>
      </c>
      <c r="HP23" t="s">
        <v>382</v>
      </c>
      <c r="HQ23" t="s">
        <v>382</v>
      </c>
      <c r="HR23" t="s">
        <v>382</v>
      </c>
      <c r="HS23" t="s">
        <v>382</v>
      </c>
      <c r="HT23" t="s">
        <v>382</v>
      </c>
      <c r="HU23" t="s">
        <v>382</v>
      </c>
      <c r="HV23" t="s">
        <v>382</v>
      </c>
      <c r="HW23" t="s">
        <v>382</v>
      </c>
      <c r="HX23" t="s">
        <v>382</v>
      </c>
      <c r="HY23" t="s">
        <v>382</v>
      </c>
      <c r="HZ23" t="s">
        <v>382</v>
      </c>
      <c r="IA23" t="s">
        <v>382</v>
      </c>
      <c r="IB23" t="s">
        <v>382</v>
      </c>
      <c r="IC23" t="s">
        <v>395</v>
      </c>
      <c r="ID23" t="s">
        <v>379</v>
      </c>
      <c r="IE23" t="s">
        <v>380</v>
      </c>
      <c r="IF23" t="s">
        <v>395</v>
      </c>
      <c r="IG23" t="s">
        <v>395</v>
      </c>
      <c r="IH23" t="s">
        <v>395</v>
      </c>
      <c r="II23" t="s">
        <v>381</v>
      </c>
      <c r="IJ23" t="s">
        <v>381</v>
      </c>
      <c r="IK23" t="s">
        <v>395</v>
      </c>
      <c r="IL23" t="s">
        <v>379</v>
      </c>
      <c r="IM23" t="s">
        <v>395</v>
      </c>
      <c r="IN23" t="s">
        <v>395</v>
      </c>
      <c r="IO23" t="s">
        <v>395</v>
      </c>
      <c r="IP23" t="s">
        <v>395</v>
      </c>
      <c r="IQ23" t="s">
        <v>395</v>
      </c>
      <c r="IR23" t="s">
        <v>395</v>
      </c>
      <c r="IS23" t="s">
        <v>395</v>
      </c>
      <c r="IT23" t="s">
        <v>417</v>
      </c>
      <c r="IU23" t="s">
        <v>470</v>
      </c>
      <c r="IV23" t="s">
        <v>768</v>
      </c>
      <c r="IW23" t="s">
        <v>947</v>
      </c>
      <c r="IX23" t="s">
        <v>419</v>
      </c>
      <c r="IY23" t="s">
        <v>471</v>
      </c>
      <c r="IZ23" t="s">
        <v>1193</v>
      </c>
      <c r="JA23" t="s">
        <v>1194</v>
      </c>
      <c r="JB23" t="s">
        <v>372</v>
      </c>
      <c r="JC23" t="s">
        <v>372</v>
      </c>
      <c r="JD23" t="s">
        <v>372</v>
      </c>
      <c r="JE23" t="s">
        <v>372</v>
      </c>
      <c r="JF23" t="s">
        <v>372</v>
      </c>
      <c r="JG23" t="s">
        <v>372</v>
      </c>
      <c r="JH23" t="s">
        <v>372</v>
      </c>
      <c r="JI23" t="s">
        <v>372</v>
      </c>
      <c r="JJ23" t="s">
        <v>372</v>
      </c>
      <c r="JK23" t="s">
        <v>372</v>
      </c>
      <c r="JL23" t="s">
        <v>372</v>
      </c>
      <c r="JM23" t="s">
        <v>372</v>
      </c>
      <c r="JN23" t="s">
        <v>372</v>
      </c>
      <c r="JO23" t="s">
        <v>372</v>
      </c>
      <c r="JP23" t="s">
        <v>372</v>
      </c>
      <c r="JQ23" t="s">
        <v>372</v>
      </c>
      <c r="JR23" t="s">
        <v>372</v>
      </c>
      <c r="JS23" t="s">
        <v>372</v>
      </c>
      <c r="JT23" t="s">
        <v>372</v>
      </c>
      <c r="JU23" t="s">
        <v>372</v>
      </c>
      <c r="JV23" t="s">
        <v>372</v>
      </c>
      <c r="JW23" t="s">
        <v>372</v>
      </c>
      <c r="JX23" t="s">
        <v>425</v>
      </c>
      <c r="JY23" t="s">
        <v>475</v>
      </c>
      <c r="JZ23" t="s">
        <v>774</v>
      </c>
      <c r="KA23" t="s">
        <v>426</v>
      </c>
      <c r="KB23" t="s">
        <v>427</v>
      </c>
      <c r="KC23" t="s">
        <v>476</v>
      </c>
      <c r="KD23" t="s">
        <v>426</v>
      </c>
      <c r="KE23" t="s">
        <v>1195</v>
      </c>
      <c r="KF23" t="s">
        <v>372</v>
      </c>
      <c r="KG23" t="s">
        <v>372</v>
      </c>
      <c r="KH23" t="s">
        <v>372</v>
      </c>
      <c r="KI23" t="s">
        <v>372</v>
      </c>
      <c r="KJ23" t="s">
        <v>372</v>
      </c>
      <c r="KK23" t="s">
        <v>372</v>
      </c>
      <c r="KL23" t="s">
        <v>372</v>
      </c>
      <c r="KM23" t="s">
        <v>372</v>
      </c>
      <c r="KN23" t="s">
        <v>372</v>
      </c>
      <c r="KO23" t="s">
        <v>372</v>
      </c>
      <c r="KP23" t="s">
        <v>372</v>
      </c>
      <c r="KQ23" t="s">
        <v>372</v>
      </c>
      <c r="KR23" t="s">
        <v>372</v>
      </c>
      <c r="KS23" t="s">
        <v>372</v>
      </c>
      <c r="KT23" t="s">
        <v>372</v>
      </c>
      <c r="KU23" t="s">
        <v>372</v>
      </c>
      <c r="KV23" t="s">
        <v>372</v>
      </c>
      <c r="KW23" t="s">
        <v>372</v>
      </c>
      <c r="KX23" t="s">
        <v>372</v>
      </c>
      <c r="KY23" t="s">
        <v>372</v>
      </c>
      <c r="KZ23" t="s">
        <v>372</v>
      </c>
      <c r="LA23" t="s">
        <v>372</v>
      </c>
      <c r="LB23" t="s">
        <v>430</v>
      </c>
      <c r="LC23" t="s">
        <v>478</v>
      </c>
      <c r="LD23" t="s">
        <v>777</v>
      </c>
      <c r="LE23" t="s">
        <v>431</v>
      </c>
      <c r="LF23" t="s">
        <v>432</v>
      </c>
      <c r="LG23" t="s">
        <v>479</v>
      </c>
      <c r="LH23" t="s">
        <v>903</v>
      </c>
      <c r="LI23" t="s">
        <v>1196</v>
      </c>
      <c r="LJ23" t="s">
        <v>372</v>
      </c>
      <c r="LK23" t="s">
        <v>372</v>
      </c>
      <c r="LL23" t="s">
        <v>372</v>
      </c>
      <c r="LM23" t="s">
        <v>372</v>
      </c>
      <c r="LN23" t="s">
        <v>372</v>
      </c>
      <c r="LO23" t="s">
        <v>372</v>
      </c>
      <c r="LP23" t="s">
        <v>372</v>
      </c>
      <c r="LQ23" t="s">
        <v>372</v>
      </c>
      <c r="LR23" t="s">
        <v>372</v>
      </c>
      <c r="LS23" t="s">
        <v>372</v>
      </c>
      <c r="LT23" t="s">
        <v>372</v>
      </c>
      <c r="LU23" t="s">
        <v>372</v>
      </c>
      <c r="LV23" t="s">
        <v>372</v>
      </c>
      <c r="LW23" t="s">
        <v>372</v>
      </c>
      <c r="LX23" t="s">
        <v>372</v>
      </c>
      <c r="LY23" t="s">
        <v>372</v>
      </c>
      <c r="LZ23" t="s">
        <v>372</v>
      </c>
      <c r="MA23" t="s">
        <v>372</v>
      </c>
      <c r="MB23" t="s">
        <v>372</v>
      </c>
      <c r="MC23" t="s">
        <v>372</v>
      </c>
      <c r="MD23" t="s">
        <v>372</v>
      </c>
      <c r="ME23" t="s">
        <v>372</v>
      </c>
      <c r="MF23" t="s">
        <v>438</v>
      </c>
      <c r="MG23" t="s">
        <v>372</v>
      </c>
      <c r="MH23" t="s">
        <v>372</v>
      </c>
      <c r="MI23" t="s">
        <v>372</v>
      </c>
      <c r="MJ23" t="s">
        <v>372</v>
      </c>
      <c r="MK23" t="s">
        <v>440</v>
      </c>
      <c r="ML23" t="s">
        <v>372</v>
      </c>
      <c r="MM23" t="s">
        <v>382</v>
      </c>
      <c r="MN23" t="s">
        <v>372</v>
      </c>
      <c r="MO23" t="s">
        <v>372</v>
      </c>
      <c r="MP23">
        <v>5</v>
      </c>
      <c r="MQ23">
        <v>14</v>
      </c>
      <c r="MR23">
        <v>6</v>
      </c>
      <c r="MS23" t="s">
        <v>752</v>
      </c>
      <c r="MT23" t="s">
        <v>753</v>
      </c>
      <c r="MU23" t="s">
        <v>948</v>
      </c>
      <c r="MV23" t="s">
        <v>949</v>
      </c>
      <c r="MW23" t="s">
        <v>372</v>
      </c>
      <c r="MX23" t="s">
        <v>372</v>
      </c>
      <c r="MY23" t="s">
        <v>372</v>
      </c>
      <c r="MZ23" t="s">
        <v>382</v>
      </c>
      <c r="NA23" t="s">
        <v>382</v>
      </c>
    </row>
    <row r="24" spans="1:365">
      <c r="A24" t="s">
        <v>1197</v>
      </c>
      <c r="B24" s="8">
        <v>46104</v>
      </c>
      <c r="C24">
        <v>0</v>
      </c>
      <c r="D24">
        <v>17</v>
      </c>
      <c r="E24" t="s">
        <v>1198</v>
      </c>
      <c r="F24" t="s">
        <v>1199</v>
      </c>
      <c r="G24" t="s">
        <v>1200</v>
      </c>
      <c r="H24" t="s">
        <v>369</v>
      </c>
      <c r="I24" t="s">
        <v>680</v>
      </c>
      <c r="J24" t="s">
        <v>681</v>
      </c>
      <c r="K24" t="s">
        <v>372</v>
      </c>
      <c r="L24" t="s">
        <v>556</v>
      </c>
      <c r="M24" t="s">
        <v>557</v>
      </c>
      <c r="N24" t="s">
        <v>1201</v>
      </c>
      <c r="O24" t="s">
        <v>1072</v>
      </c>
      <c r="P24" t="s">
        <v>372</v>
      </c>
      <c r="Q24" t="s">
        <v>379</v>
      </c>
      <c r="R24" t="s">
        <v>380</v>
      </c>
      <c r="S24" t="s">
        <v>379</v>
      </c>
      <c r="T24" t="s">
        <v>380</v>
      </c>
      <c r="U24" t="s">
        <v>379</v>
      </c>
      <c r="V24" t="s">
        <v>380</v>
      </c>
      <c r="W24" t="s">
        <v>379</v>
      </c>
      <c r="X24" t="s">
        <v>380</v>
      </c>
      <c r="Y24" t="s">
        <v>380</v>
      </c>
      <c r="Z24" t="s">
        <v>378</v>
      </c>
      <c r="AA24" t="s">
        <v>382</v>
      </c>
      <c r="AB24" t="s">
        <v>381</v>
      </c>
      <c r="AC24" t="s">
        <v>381</v>
      </c>
      <c r="AD24" t="s">
        <v>382</v>
      </c>
      <c r="AE24" t="s">
        <v>381</v>
      </c>
      <c r="AF24" t="s">
        <v>382</v>
      </c>
      <c r="AG24" t="s">
        <v>382</v>
      </c>
      <c r="AH24" t="s">
        <v>382</v>
      </c>
      <c r="AI24" t="s">
        <v>380</v>
      </c>
      <c r="AJ24" t="s">
        <v>382</v>
      </c>
      <c r="AK24" t="s">
        <v>379</v>
      </c>
      <c r="AL24" t="s">
        <v>380</v>
      </c>
      <c r="AM24" t="s">
        <v>380</v>
      </c>
      <c r="AN24" t="s">
        <v>382</v>
      </c>
      <c r="AO24" t="s">
        <v>380</v>
      </c>
      <c r="AP24" t="s">
        <v>382</v>
      </c>
      <c r="AQ24" t="s">
        <v>380</v>
      </c>
      <c r="AR24" t="s">
        <v>382</v>
      </c>
      <c r="AS24" t="s">
        <v>380</v>
      </c>
      <c r="AT24" t="s">
        <v>382</v>
      </c>
      <c r="AU24" t="s">
        <v>382</v>
      </c>
      <c r="AV24" t="s">
        <v>382</v>
      </c>
      <c r="AW24" t="s">
        <v>382</v>
      </c>
      <c r="AX24" t="s">
        <v>855</v>
      </c>
      <c r="AY24">
        <v>1</v>
      </c>
      <c r="AZ24" t="s">
        <v>382</v>
      </c>
      <c r="BA24" t="s">
        <v>384</v>
      </c>
      <c r="BB24" t="s">
        <v>611</v>
      </c>
      <c r="BC24" t="s">
        <v>612</v>
      </c>
      <c r="BD24" t="s">
        <v>387</v>
      </c>
      <c r="BE24" t="s">
        <v>388</v>
      </c>
      <c r="BF24">
        <v>1</v>
      </c>
      <c r="BG24" t="s">
        <v>389</v>
      </c>
      <c r="BH24" t="s">
        <v>1202</v>
      </c>
      <c r="BI24" t="s">
        <v>382</v>
      </c>
      <c r="BJ24" t="s">
        <v>382</v>
      </c>
      <c r="BK24" t="s">
        <v>382</v>
      </c>
      <c r="BL24" t="s">
        <v>382</v>
      </c>
      <c r="BM24" t="s">
        <v>382</v>
      </c>
      <c r="BN24" t="s">
        <v>382</v>
      </c>
      <c r="BO24" t="s">
        <v>382</v>
      </c>
      <c r="BP24" t="s">
        <v>382</v>
      </c>
      <c r="BQ24" t="s">
        <v>382</v>
      </c>
      <c r="BR24" t="s">
        <v>382</v>
      </c>
      <c r="BS24" t="s">
        <v>643</v>
      </c>
      <c r="BT24" t="s">
        <v>382</v>
      </c>
      <c r="BU24" t="s">
        <v>382</v>
      </c>
      <c r="BV24" t="s">
        <v>382</v>
      </c>
      <c r="BW24" t="s">
        <v>1203</v>
      </c>
      <c r="BX24" t="s">
        <v>382</v>
      </c>
      <c r="BY24" t="s">
        <v>566</v>
      </c>
      <c r="BZ24" t="s">
        <v>382</v>
      </c>
      <c r="CA24" t="s">
        <v>382</v>
      </c>
      <c r="CB24" t="s">
        <v>382</v>
      </c>
      <c r="CC24" t="s">
        <v>382</v>
      </c>
      <c r="CD24" t="s">
        <v>382</v>
      </c>
      <c r="CE24" t="s">
        <v>382</v>
      </c>
      <c r="CF24">
        <v>1</v>
      </c>
      <c r="CG24">
        <v>1</v>
      </c>
      <c r="CH24">
        <v>2</v>
      </c>
      <c r="CI24" t="s">
        <v>397</v>
      </c>
      <c r="CJ24" t="s">
        <v>380</v>
      </c>
      <c r="CK24" t="s">
        <v>394</v>
      </c>
      <c r="CL24" t="s">
        <v>395</v>
      </c>
      <c r="CM24" t="s">
        <v>393</v>
      </c>
      <c r="CN24" t="s">
        <v>395</v>
      </c>
      <c r="CO24" t="s">
        <v>396</v>
      </c>
      <c r="CP24" t="s">
        <v>395</v>
      </c>
      <c r="CQ24" t="s">
        <v>398</v>
      </c>
      <c r="CR24" t="s">
        <v>379</v>
      </c>
      <c r="CS24" t="s">
        <v>395</v>
      </c>
      <c r="CT24" t="s">
        <v>380</v>
      </c>
      <c r="CU24" t="s">
        <v>395</v>
      </c>
      <c r="CV24" t="s">
        <v>382</v>
      </c>
      <c r="CW24" t="s">
        <v>395</v>
      </c>
      <c r="CX24" t="s">
        <v>382</v>
      </c>
      <c r="CY24">
        <v>7</v>
      </c>
      <c r="CZ24" t="s">
        <v>400</v>
      </c>
      <c r="DA24" t="s">
        <v>401</v>
      </c>
      <c r="DB24" t="s">
        <v>401</v>
      </c>
      <c r="DC24" t="s">
        <v>401</v>
      </c>
      <c r="DD24" t="s">
        <v>381</v>
      </c>
      <c r="DE24" t="s">
        <v>1204</v>
      </c>
      <c r="DF24" t="s">
        <v>381</v>
      </c>
      <c r="DG24" t="s">
        <v>381</v>
      </c>
      <c r="DH24" t="s">
        <v>381</v>
      </c>
      <c r="DI24" t="s">
        <v>381</v>
      </c>
      <c r="DJ24" t="s">
        <v>381</v>
      </c>
      <c r="DK24" t="s">
        <v>1205</v>
      </c>
      <c r="DL24" t="s">
        <v>1206</v>
      </c>
      <c r="DM24" t="s">
        <v>958</v>
      </c>
      <c r="DN24" t="s">
        <v>372</v>
      </c>
      <c r="DO24" t="s">
        <v>372</v>
      </c>
      <c r="DP24" t="s">
        <v>372</v>
      </c>
      <c r="DQ24" t="s">
        <v>372</v>
      </c>
      <c r="DR24" t="s">
        <v>372</v>
      </c>
      <c r="DS24" t="s">
        <v>372</v>
      </c>
      <c r="DT24" t="s">
        <v>372</v>
      </c>
      <c r="DU24" t="s">
        <v>372</v>
      </c>
      <c r="DV24" t="s">
        <v>372</v>
      </c>
      <c r="DW24" t="s">
        <v>372</v>
      </c>
      <c r="DX24" t="s">
        <v>372</v>
      </c>
      <c r="DY24" t="s">
        <v>372</v>
      </c>
      <c r="DZ24" t="s">
        <v>372</v>
      </c>
      <c r="EA24" t="s">
        <v>372</v>
      </c>
      <c r="EB24" t="s">
        <v>372</v>
      </c>
      <c r="EC24" t="s">
        <v>372</v>
      </c>
      <c r="ED24" t="s">
        <v>372</v>
      </c>
      <c r="EE24" t="s">
        <v>372</v>
      </c>
      <c r="EF24" t="s">
        <v>372</v>
      </c>
      <c r="EG24" t="s">
        <v>372</v>
      </c>
      <c r="EH24" t="s">
        <v>372</v>
      </c>
      <c r="EI24" t="s">
        <v>372</v>
      </c>
      <c r="EJ24" t="s">
        <v>372</v>
      </c>
      <c r="EK24" t="s">
        <v>372</v>
      </c>
      <c r="EL24" t="s">
        <v>372</v>
      </c>
      <c r="EM24" t="s">
        <v>372</v>
      </c>
      <c r="EN24" t="s">
        <v>372</v>
      </c>
      <c r="EO24" t="s">
        <v>1207</v>
      </c>
      <c r="EP24" t="s">
        <v>1208</v>
      </c>
      <c r="EQ24" t="s">
        <v>861</v>
      </c>
      <c r="ER24" t="s">
        <v>372</v>
      </c>
      <c r="ES24" t="s">
        <v>372</v>
      </c>
      <c r="ET24" t="s">
        <v>372</v>
      </c>
      <c r="EU24" t="s">
        <v>372</v>
      </c>
      <c r="EV24" t="s">
        <v>372</v>
      </c>
      <c r="EW24" t="s">
        <v>372</v>
      </c>
      <c r="EX24" t="s">
        <v>372</v>
      </c>
      <c r="EY24" t="s">
        <v>372</v>
      </c>
      <c r="EZ24" t="s">
        <v>372</v>
      </c>
      <c r="FA24" t="s">
        <v>372</v>
      </c>
      <c r="FB24" t="s">
        <v>372</v>
      </c>
      <c r="FC24" t="s">
        <v>372</v>
      </c>
      <c r="FD24" t="s">
        <v>372</v>
      </c>
      <c r="FE24" t="s">
        <v>372</v>
      </c>
      <c r="FF24" t="s">
        <v>372</v>
      </c>
      <c r="FG24" t="s">
        <v>372</v>
      </c>
      <c r="FH24" t="s">
        <v>372</v>
      </c>
      <c r="FI24" t="s">
        <v>372</v>
      </c>
      <c r="FJ24" t="s">
        <v>372</v>
      </c>
      <c r="FK24" t="s">
        <v>372</v>
      </c>
      <c r="FL24" t="s">
        <v>372</v>
      </c>
      <c r="FM24" t="s">
        <v>372</v>
      </c>
      <c r="FN24" t="s">
        <v>372</v>
      </c>
      <c r="FO24" t="s">
        <v>372</v>
      </c>
      <c r="FP24" t="s">
        <v>372</v>
      </c>
      <c r="FQ24" t="s">
        <v>372</v>
      </c>
      <c r="FR24" t="s">
        <v>372</v>
      </c>
      <c r="FS24" t="s">
        <v>802</v>
      </c>
      <c r="FT24" t="s">
        <v>803</v>
      </c>
      <c r="FU24" t="s">
        <v>372</v>
      </c>
      <c r="FV24" t="s">
        <v>372</v>
      </c>
      <c r="FW24" t="s">
        <v>372</v>
      </c>
      <c r="FX24" t="s">
        <v>372</v>
      </c>
      <c r="FY24" t="s">
        <v>372</v>
      </c>
      <c r="FZ24" t="s">
        <v>372</v>
      </c>
      <c r="GA24" t="s">
        <v>372</v>
      </c>
      <c r="GB24" t="s">
        <v>372</v>
      </c>
      <c r="GC24" t="s">
        <v>372</v>
      </c>
      <c r="GD24" t="s">
        <v>372</v>
      </c>
      <c r="GE24" t="s">
        <v>372</v>
      </c>
      <c r="GF24" t="s">
        <v>372</v>
      </c>
      <c r="GG24" t="s">
        <v>372</v>
      </c>
      <c r="GH24" t="s">
        <v>372</v>
      </c>
      <c r="GI24" t="s">
        <v>372</v>
      </c>
      <c r="GJ24" t="s">
        <v>372</v>
      </c>
      <c r="GK24" t="s">
        <v>372</v>
      </c>
      <c r="GL24" t="s">
        <v>372</v>
      </c>
      <c r="GM24" t="s">
        <v>372</v>
      </c>
      <c r="GN24" t="s">
        <v>372</v>
      </c>
      <c r="GO24" t="s">
        <v>372</v>
      </c>
      <c r="GP24" t="s">
        <v>372</v>
      </c>
      <c r="GQ24" t="s">
        <v>372</v>
      </c>
      <c r="GR24" t="s">
        <v>372</v>
      </c>
      <c r="GS24" t="s">
        <v>372</v>
      </c>
      <c r="GT24" t="s">
        <v>372</v>
      </c>
      <c r="GU24" t="s">
        <v>372</v>
      </c>
      <c r="GV24" t="s">
        <v>372</v>
      </c>
      <c r="GW24" t="s">
        <v>372</v>
      </c>
      <c r="GX24" t="s">
        <v>372</v>
      </c>
      <c r="GY24" t="s">
        <v>372</v>
      </c>
      <c r="GZ24" t="s">
        <v>372</v>
      </c>
      <c r="HA24" t="s">
        <v>372</v>
      </c>
      <c r="HB24" t="s">
        <v>372</v>
      </c>
      <c r="HC24" t="s">
        <v>372</v>
      </c>
      <c r="HD24" t="s">
        <v>372</v>
      </c>
      <c r="HE24" t="s">
        <v>372</v>
      </c>
      <c r="HF24" t="s">
        <v>372</v>
      </c>
      <c r="HG24" t="s">
        <v>372</v>
      </c>
      <c r="HH24" t="s">
        <v>372</v>
      </c>
      <c r="HI24" t="s">
        <v>382</v>
      </c>
      <c r="HJ24" t="s">
        <v>382</v>
      </c>
      <c r="HK24" t="s">
        <v>382</v>
      </c>
      <c r="HL24" t="s">
        <v>382</v>
      </c>
      <c r="HM24" t="s">
        <v>382</v>
      </c>
      <c r="HN24" t="s">
        <v>382</v>
      </c>
      <c r="HO24" t="s">
        <v>382</v>
      </c>
      <c r="HP24" t="s">
        <v>382</v>
      </c>
      <c r="HQ24" t="s">
        <v>382</v>
      </c>
      <c r="HR24" t="s">
        <v>382</v>
      </c>
      <c r="HS24" t="s">
        <v>382</v>
      </c>
      <c r="HT24" t="s">
        <v>382</v>
      </c>
      <c r="HU24" t="s">
        <v>382</v>
      </c>
      <c r="HV24" t="s">
        <v>382</v>
      </c>
      <c r="HW24" t="s">
        <v>382</v>
      </c>
      <c r="HX24" t="s">
        <v>382</v>
      </c>
      <c r="HY24" t="s">
        <v>382</v>
      </c>
      <c r="HZ24" t="s">
        <v>382</v>
      </c>
      <c r="IA24" t="s">
        <v>382</v>
      </c>
      <c r="IB24" t="s">
        <v>382</v>
      </c>
      <c r="IC24" t="s">
        <v>395</v>
      </c>
      <c r="ID24" t="s">
        <v>395</v>
      </c>
      <c r="IE24" t="s">
        <v>395</v>
      </c>
      <c r="IF24" t="s">
        <v>395</v>
      </c>
      <c r="IG24" t="s">
        <v>395</v>
      </c>
      <c r="IH24" t="s">
        <v>381</v>
      </c>
      <c r="II24" t="s">
        <v>381</v>
      </c>
      <c r="IJ24" t="s">
        <v>395</v>
      </c>
      <c r="IK24" t="s">
        <v>395</v>
      </c>
      <c r="IL24" t="s">
        <v>395</v>
      </c>
      <c r="IM24" t="s">
        <v>395</v>
      </c>
      <c r="IN24" t="s">
        <v>378</v>
      </c>
      <c r="IO24" t="s">
        <v>395</v>
      </c>
      <c r="IP24" t="s">
        <v>395</v>
      </c>
      <c r="IQ24" t="s">
        <v>381</v>
      </c>
      <c r="IR24" t="s">
        <v>395</v>
      </c>
      <c r="IS24" t="s">
        <v>381</v>
      </c>
      <c r="IT24" t="s">
        <v>580</v>
      </c>
      <c r="IU24" t="s">
        <v>419</v>
      </c>
      <c r="IV24" t="s">
        <v>423</v>
      </c>
      <c r="IW24" t="s">
        <v>656</v>
      </c>
      <c r="IX24" t="s">
        <v>372</v>
      </c>
      <c r="IY24" t="s">
        <v>372</v>
      </c>
      <c r="IZ24" t="s">
        <v>372</v>
      </c>
      <c r="JA24" t="s">
        <v>372</v>
      </c>
      <c r="JB24" t="s">
        <v>372</v>
      </c>
      <c r="JC24" t="s">
        <v>372</v>
      </c>
      <c r="JD24" t="s">
        <v>372</v>
      </c>
      <c r="JE24" t="s">
        <v>372</v>
      </c>
      <c r="JF24" t="s">
        <v>372</v>
      </c>
      <c r="JG24" t="s">
        <v>372</v>
      </c>
      <c r="JH24" t="s">
        <v>372</v>
      </c>
      <c r="JI24" t="s">
        <v>372</v>
      </c>
      <c r="JJ24" t="s">
        <v>372</v>
      </c>
      <c r="JK24" t="s">
        <v>372</v>
      </c>
      <c r="JL24" t="s">
        <v>372</v>
      </c>
      <c r="JM24" t="s">
        <v>372</v>
      </c>
      <c r="JN24" t="s">
        <v>372</v>
      </c>
      <c r="JO24" t="s">
        <v>372</v>
      </c>
      <c r="JP24" t="s">
        <v>372</v>
      </c>
      <c r="JQ24" t="s">
        <v>372</v>
      </c>
      <c r="JR24" t="s">
        <v>372</v>
      </c>
      <c r="JS24" t="s">
        <v>372</v>
      </c>
      <c r="JT24" t="s">
        <v>372</v>
      </c>
      <c r="JU24" t="s">
        <v>372</v>
      </c>
      <c r="JV24" t="s">
        <v>372</v>
      </c>
      <c r="JW24" t="s">
        <v>372</v>
      </c>
      <c r="JX24" t="s">
        <v>427</v>
      </c>
      <c r="JY24" t="s">
        <v>427</v>
      </c>
      <c r="JZ24" t="s">
        <v>372</v>
      </c>
      <c r="KA24" t="s">
        <v>372</v>
      </c>
      <c r="KB24" t="s">
        <v>372</v>
      </c>
      <c r="KC24" t="s">
        <v>372</v>
      </c>
      <c r="KD24" t="s">
        <v>372</v>
      </c>
      <c r="KE24" t="s">
        <v>372</v>
      </c>
      <c r="KF24" t="s">
        <v>372</v>
      </c>
      <c r="KG24" t="s">
        <v>372</v>
      </c>
      <c r="KH24" t="s">
        <v>372</v>
      </c>
      <c r="KI24" t="s">
        <v>372</v>
      </c>
      <c r="KJ24" t="s">
        <v>372</v>
      </c>
      <c r="KK24" t="s">
        <v>372</v>
      </c>
      <c r="KL24" t="s">
        <v>372</v>
      </c>
      <c r="KM24" t="s">
        <v>372</v>
      </c>
      <c r="KN24" t="s">
        <v>372</v>
      </c>
      <c r="KO24" t="s">
        <v>372</v>
      </c>
      <c r="KP24" t="s">
        <v>372</v>
      </c>
      <c r="KQ24" t="s">
        <v>372</v>
      </c>
      <c r="KR24" t="s">
        <v>372</v>
      </c>
      <c r="KS24" t="s">
        <v>372</v>
      </c>
      <c r="KT24" t="s">
        <v>372</v>
      </c>
      <c r="KU24" t="s">
        <v>372</v>
      </c>
      <c r="KV24" t="s">
        <v>372</v>
      </c>
      <c r="KW24" t="s">
        <v>372</v>
      </c>
      <c r="KX24" t="s">
        <v>372</v>
      </c>
      <c r="KY24" t="s">
        <v>372</v>
      </c>
      <c r="KZ24" t="s">
        <v>372</v>
      </c>
      <c r="LA24" t="s">
        <v>372</v>
      </c>
      <c r="LB24" t="s">
        <v>590</v>
      </c>
      <c r="LC24" t="s">
        <v>432</v>
      </c>
      <c r="LD24" t="s">
        <v>436</v>
      </c>
      <c r="LE24" t="s">
        <v>668</v>
      </c>
      <c r="LF24" t="s">
        <v>372</v>
      </c>
      <c r="LG24" t="s">
        <v>372</v>
      </c>
      <c r="LH24" t="s">
        <v>372</v>
      </c>
      <c r="LI24" t="s">
        <v>372</v>
      </c>
      <c r="LJ24" t="s">
        <v>372</v>
      </c>
      <c r="LK24" t="s">
        <v>372</v>
      </c>
      <c r="LL24" t="s">
        <v>372</v>
      </c>
      <c r="LM24" t="s">
        <v>372</v>
      </c>
      <c r="LN24" t="s">
        <v>372</v>
      </c>
      <c r="LO24" t="s">
        <v>372</v>
      </c>
      <c r="LP24" t="s">
        <v>372</v>
      </c>
      <c r="LQ24" t="s">
        <v>372</v>
      </c>
      <c r="LR24" t="s">
        <v>372</v>
      </c>
      <c r="LS24" t="s">
        <v>372</v>
      </c>
      <c r="LT24" t="s">
        <v>372</v>
      </c>
      <c r="LU24" t="s">
        <v>372</v>
      </c>
      <c r="LV24" t="s">
        <v>372</v>
      </c>
      <c r="LW24" t="s">
        <v>372</v>
      </c>
      <c r="LX24" t="s">
        <v>372</v>
      </c>
      <c r="LY24" t="s">
        <v>372</v>
      </c>
      <c r="LZ24" t="s">
        <v>372</v>
      </c>
      <c r="MA24" t="s">
        <v>372</v>
      </c>
      <c r="MB24" t="s">
        <v>372</v>
      </c>
      <c r="MC24" t="s">
        <v>372</v>
      </c>
      <c r="MD24" t="s">
        <v>372</v>
      </c>
      <c r="ME24" t="s">
        <v>372</v>
      </c>
      <c r="MF24" t="s">
        <v>748</v>
      </c>
      <c r="MG24" t="s">
        <v>372</v>
      </c>
      <c r="MH24" t="s">
        <v>372</v>
      </c>
      <c r="MI24" t="s">
        <v>372</v>
      </c>
      <c r="MJ24" t="s">
        <v>372</v>
      </c>
      <c r="MK24" t="s">
        <v>749</v>
      </c>
      <c r="ML24" t="s">
        <v>372</v>
      </c>
      <c r="MM24" t="s">
        <v>382</v>
      </c>
      <c r="MN24" t="s">
        <v>372</v>
      </c>
      <c r="MO24" t="s">
        <v>372</v>
      </c>
      <c r="MP24">
        <v>5</v>
      </c>
      <c r="MQ24">
        <v>10</v>
      </c>
      <c r="MR24">
        <v>2</v>
      </c>
      <c r="MS24" t="s">
        <v>1209</v>
      </c>
      <c r="MT24" t="s">
        <v>1210</v>
      </c>
      <c r="MU24" t="s">
        <v>1108</v>
      </c>
      <c r="MV24" t="s">
        <v>1109</v>
      </c>
      <c r="MW24" t="s">
        <v>372</v>
      </c>
      <c r="MX24" t="s">
        <v>372</v>
      </c>
      <c r="MY24" t="s">
        <v>372</v>
      </c>
      <c r="MZ24" t="s">
        <v>382</v>
      </c>
      <c r="NA24" t="s">
        <v>382</v>
      </c>
    </row>
    <row r="25" spans="1:365">
      <c r="A25" t="s">
        <v>1211</v>
      </c>
      <c r="B25" s="8">
        <v>46104</v>
      </c>
      <c r="C25">
        <v>0</v>
      </c>
      <c r="D25">
        <v>54</v>
      </c>
      <c r="E25" t="s">
        <v>1212</v>
      </c>
      <c r="F25" t="s">
        <v>1213</v>
      </c>
      <c r="G25" t="s">
        <v>1214</v>
      </c>
      <c r="H25" t="s">
        <v>552</v>
      </c>
      <c r="I25" t="s">
        <v>680</v>
      </c>
      <c r="J25" t="s">
        <v>681</v>
      </c>
      <c r="K25" t="s">
        <v>372</v>
      </c>
      <c r="L25" t="s">
        <v>607</v>
      </c>
      <c r="M25" t="s">
        <v>608</v>
      </c>
      <c r="N25" t="s">
        <v>638</v>
      </c>
      <c r="O25" t="s">
        <v>954</v>
      </c>
      <c r="P25" t="s">
        <v>372</v>
      </c>
      <c r="Q25" t="s">
        <v>380</v>
      </c>
      <c r="R25" t="s">
        <v>380</v>
      </c>
      <c r="S25" t="s">
        <v>379</v>
      </c>
      <c r="T25" t="s">
        <v>381</v>
      </c>
      <c r="U25" t="s">
        <v>379</v>
      </c>
      <c r="V25" t="s">
        <v>380</v>
      </c>
      <c r="W25" t="s">
        <v>378</v>
      </c>
      <c r="X25" t="s">
        <v>379</v>
      </c>
      <c r="Y25" t="s">
        <v>380</v>
      </c>
      <c r="Z25" t="s">
        <v>382</v>
      </c>
      <c r="AA25" t="s">
        <v>382</v>
      </c>
      <c r="AB25" t="s">
        <v>382</v>
      </c>
      <c r="AC25" t="s">
        <v>379</v>
      </c>
      <c r="AD25" t="s">
        <v>382</v>
      </c>
      <c r="AE25" t="s">
        <v>380</v>
      </c>
      <c r="AF25" t="s">
        <v>380</v>
      </c>
      <c r="AG25" t="s">
        <v>382</v>
      </c>
      <c r="AH25" t="s">
        <v>380</v>
      </c>
      <c r="AI25" t="s">
        <v>382</v>
      </c>
      <c r="AJ25" t="s">
        <v>382</v>
      </c>
      <c r="AK25" t="s">
        <v>382</v>
      </c>
      <c r="AL25" t="s">
        <v>382</v>
      </c>
      <c r="AM25" t="s">
        <v>380</v>
      </c>
      <c r="AN25" t="s">
        <v>382</v>
      </c>
      <c r="AO25" t="s">
        <v>382</v>
      </c>
      <c r="AP25" t="s">
        <v>382</v>
      </c>
      <c r="AQ25" t="s">
        <v>378</v>
      </c>
      <c r="AR25" t="s">
        <v>382</v>
      </c>
      <c r="AS25" t="s">
        <v>378</v>
      </c>
      <c r="AT25" t="s">
        <v>382</v>
      </c>
      <c r="AU25" t="s">
        <v>382</v>
      </c>
      <c r="AV25" t="s">
        <v>382</v>
      </c>
      <c r="AW25" t="s">
        <v>379</v>
      </c>
      <c r="AX25" t="s">
        <v>879</v>
      </c>
      <c r="AY25">
        <v>2</v>
      </c>
      <c r="AZ25" t="s">
        <v>561</v>
      </c>
      <c r="BA25" t="s">
        <v>384</v>
      </c>
      <c r="BB25" t="s">
        <v>611</v>
      </c>
      <c r="BC25" t="s">
        <v>612</v>
      </c>
      <c r="BD25" t="s">
        <v>523</v>
      </c>
      <c r="BE25" t="s">
        <v>563</v>
      </c>
      <c r="BF25">
        <v>2</v>
      </c>
      <c r="BG25" t="s">
        <v>389</v>
      </c>
      <c r="BH25" t="s">
        <v>382</v>
      </c>
      <c r="BI25" t="s">
        <v>382</v>
      </c>
      <c r="BJ25" t="s">
        <v>382</v>
      </c>
      <c r="BK25" t="s">
        <v>1215</v>
      </c>
      <c r="BL25" t="s">
        <v>382</v>
      </c>
      <c r="BM25" t="s">
        <v>382</v>
      </c>
      <c r="BN25" t="s">
        <v>382</v>
      </c>
      <c r="BO25" t="s">
        <v>382</v>
      </c>
      <c r="BP25" t="s">
        <v>382</v>
      </c>
      <c r="BQ25" t="s">
        <v>382</v>
      </c>
      <c r="BR25" t="s">
        <v>382</v>
      </c>
      <c r="BS25" t="s">
        <v>382</v>
      </c>
      <c r="BT25" t="s">
        <v>382</v>
      </c>
      <c r="BU25" t="s">
        <v>382</v>
      </c>
      <c r="BV25" t="s">
        <v>382</v>
      </c>
      <c r="BW25" t="s">
        <v>382</v>
      </c>
      <c r="BX25" t="s">
        <v>382</v>
      </c>
      <c r="BY25" t="s">
        <v>392</v>
      </c>
      <c r="BZ25" t="s">
        <v>382</v>
      </c>
      <c r="CA25" t="s">
        <v>829</v>
      </c>
      <c r="CB25" t="s">
        <v>382</v>
      </c>
      <c r="CC25" t="s">
        <v>382</v>
      </c>
      <c r="CD25" t="s">
        <v>382</v>
      </c>
      <c r="CE25" t="s">
        <v>382</v>
      </c>
      <c r="CF25">
        <v>2</v>
      </c>
      <c r="CG25">
        <v>2</v>
      </c>
      <c r="CH25">
        <v>1</v>
      </c>
      <c r="CI25" t="s">
        <v>394</v>
      </c>
      <c r="CJ25" t="s">
        <v>381</v>
      </c>
      <c r="CK25" t="s">
        <v>393</v>
      </c>
      <c r="CL25" t="s">
        <v>395</v>
      </c>
      <c r="CM25" t="s">
        <v>396</v>
      </c>
      <c r="CN25" t="s">
        <v>395</v>
      </c>
      <c r="CO25" t="s">
        <v>397</v>
      </c>
      <c r="CP25" t="s">
        <v>395</v>
      </c>
      <c r="CQ25" t="s">
        <v>381</v>
      </c>
      <c r="CR25" t="s">
        <v>395</v>
      </c>
      <c r="CS25" t="s">
        <v>395</v>
      </c>
      <c r="CT25" t="s">
        <v>398</v>
      </c>
      <c r="CU25" t="s">
        <v>398</v>
      </c>
      <c r="CV25" t="s">
        <v>382</v>
      </c>
      <c r="CW25" t="s">
        <v>395</v>
      </c>
      <c r="CX25" t="s">
        <v>382</v>
      </c>
      <c r="CY25">
        <v>4</v>
      </c>
      <c r="CZ25" t="s">
        <v>695</v>
      </c>
      <c r="DA25" t="s">
        <v>401</v>
      </c>
      <c r="DB25" t="s">
        <v>401</v>
      </c>
      <c r="DC25" t="s">
        <v>401</v>
      </c>
      <c r="DD25" t="s">
        <v>401</v>
      </c>
      <c r="DE25" t="s">
        <v>1216</v>
      </c>
      <c r="DF25" t="s">
        <v>1217</v>
      </c>
      <c r="DG25" t="s">
        <v>381</v>
      </c>
      <c r="DH25" t="s">
        <v>381</v>
      </c>
      <c r="DI25" t="s">
        <v>381</v>
      </c>
      <c r="DJ25" t="s">
        <v>381</v>
      </c>
      <c r="DK25" t="s">
        <v>1218</v>
      </c>
      <c r="DL25" t="s">
        <v>1219</v>
      </c>
      <c r="DM25" t="s">
        <v>919</v>
      </c>
      <c r="DN25" t="s">
        <v>504</v>
      </c>
      <c r="DO25" t="s">
        <v>507</v>
      </c>
      <c r="DP25" t="s">
        <v>372</v>
      </c>
      <c r="DQ25" t="s">
        <v>372</v>
      </c>
      <c r="DR25" t="s">
        <v>372</v>
      </c>
      <c r="DS25" t="s">
        <v>372</v>
      </c>
      <c r="DT25" t="s">
        <v>372</v>
      </c>
      <c r="DU25" t="s">
        <v>372</v>
      </c>
      <c r="DV25" t="s">
        <v>372</v>
      </c>
      <c r="DW25" t="s">
        <v>372</v>
      </c>
      <c r="DX25" t="s">
        <v>372</v>
      </c>
      <c r="DY25" t="s">
        <v>372</v>
      </c>
      <c r="DZ25" t="s">
        <v>372</v>
      </c>
      <c r="EA25" t="s">
        <v>372</v>
      </c>
      <c r="EB25" t="s">
        <v>372</v>
      </c>
      <c r="EC25" t="s">
        <v>372</v>
      </c>
      <c r="ED25" t="s">
        <v>372</v>
      </c>
      <c r="EE25" t="s">
        <v>372</v>
      </c>
      <c r="EF25" t="s">
        <v>372</v>
      </c>
      <c r="EG25" t="s">
        <v>372</v>
      </c>
      <c r="EH25" t="s">
        <v>372</v>
      </c>
      <c r="EI25" t="s">
        <v>372</v>
      </c>
      <c r="EJ25" t="s">
        <v>372</v>
      </c>
      <c r="EK25" t="s">
        <v>372</v>
      </c>
      <c r="EL25" t="s">
        <v>372</v>
      </c>
      <c r="EM25" t="s">
        <v>372</v>
      </c>
      <c r="EN25" t="s">
        <v>372</v>
      </c>
      <c r="EO25" t="s">
        <v>1220</v>
      </c>
      <c r="EP25" t="s">
        <v>922</v>
      </c>
      <c r="EQ25" t="s">
        <v>923</v>
      </c>
      <c r="ER25" t="s">
        <v>514</v>
      </c>
      <c r="ES25" t="s">
        <v>517</v>
      </c>
      <c r="ET25" t="s">
        <v>372</v>
      </c>
      <c r="EU25" t="s">
        <v>372</v>
      </c>
      <c r="EV25" t="s">
        <v>372</v>
      </c>
      <c r="EW25" t="s">
        <v>372</v>
      </c>
      <c r="EX25" t="s">
        <v>372</v>
      </c>
      <c r="EY25" t="s">
        <v>372</v>
      </c>
      <c r="EZ25" t="s">
        <v>372</v>
      </c>
      <c r="FA25" t="s">
        <v>372</v>
      </c>
      <c r="FB25" t="s">
        <v>372</v>
      </c>
      <c r="FC25" t="s">
        <v>372</v>
      </c>
      <c r="FD25" t="s">
        <v>372</v>
      </c>
      <c r="FE25" t="s">
        <v>372</v>
      </c>
      <c r="FF25" t="s">
        <v>372</v>
      </c>
      <c r="FG25" t="s">
        <v>372</v>
      </c>
      <c r="FH25" t="s">
        <v>372</v>
      </c>
      <c r="FI25" t="s">
        <v>372</v>
      </c>
      <c r="FJ25" t="s">
        <v>372</v>
      </c>
      <c r="FK25" t="s">
        <v>372</v>
      </c>
      <c r="FL25" t="s">
        <v>372</v>
      </c>
      <c r="FM25" t="s">
        <v>372</v>
      </c>
      <c r="FN25" t="s">
        <v>372</v>
      </c>
      <c r="FO25" t="s">
        <v>372</v>
      </c>
      <c r="FP25" t="s">
        <v>372</v>
      </c>
      <c r="FQ25" t="s">
        <v>372</v>
      </c>
      <c r="FR25" t="s">
        <v>372</v>
      </c>
      <c r="FS25" t="s">
        <v>387</v>
      </c>
      <c r="FT25" t="s">
        <v>1055</v>
      </c>
      <c r="FU25" t="s">
        <v>412</v>
      </c>
      <c r="FV25" t="s">
        <v>412</v>
      </c>
      <c r="FW25" t="s">
        <v>412</v>
      </c>
      <c r="FX25" t="s">
        <v>413</v>
      </c>
      <c r="FY25" t="s">
        <v>525</v>
      </c>
      <c r="FZ25" t="s">
        <v>372</v>
      </c>
      <c r="GA25" t="s">
        <v>372</v>
      </c>
      <c r="GB25" t="s">
        <v>372</v>
      </c>
      <c r="GC25" t="s">
        <v>372</v>
      </c>
      <c r="GD25" t="s">
        <v>372</v>
      </c>
      <c r="GE25" t="s">
        <v>372</v>
      </c>
      <c r="GF25" t="s">
        <v>372</v>
      </c>
      <c r="GG25" t="s">
        <v>372</v>
      </c>
      <c r="GH25" t="s">
        <v>372</v>
      </c>
      <c r="GI25" t="s">
        <v>372</v>
      </c>
      <c r="GJ25" t="s">
        <v>372</v>
      </c>
      <c r="GK25" t="s">
        <v>372</v>
      </c>
      <c r="GL25" t="s">
        <v>372</v>
      </c>
      <c r="GM25" t="s">
        <v>372</v>
      </c>
      <c r="GN25" t="s">
        <v>372</v>
      </c>
      <c r="GO25" t="s">
        <v>1221</v>
      </c>
      <c r="GP25" t="s">
        <v>31</v>
      </c>
      <c r="GQ25" t="s">
        <v>415</v>
      </c>
      <c r="GR25" t="s">
        <v>1222</v>
      </c>
      <c r="GS25" t="s">
        <v>372</v>
      </c>
      <c r="GT25" t="s">
        <v>372</v>
      </c>
      <c r="GU25" t="s">
        <v>372</v>
      </c>
      <c r="GV25" t="s">
        <v>372</v>
      </c>
      <c r="GW25" t="s">
        <v>372</v>
      </c>
      <c r="GX25" t="s">
        <v>372</v>
      </c>
      <c r="GY25" t="s">
        <v>372</v>
      </c>
      <c r="GZ25" t="s">
        <v>372</v>
      </c>
      <c r="HA25" t="s">
        <v>372</v>
      </c>
      <c r="HB25" t="s">
        <v>372</v>
      </c>
      <c r="HC25" t="s">
        <v>372</v>
      </c>
      <c r="HD25" t="s">
        <v>372</v>
      </c>
      <c r="HE25" t="s">
        <v>372</v>
      </c>
      <c r="HF25" t="s">
        <v>372</v>
      </c>
      <c r="HG25" t="s">
        <v>372</v>
      </c>
      <c r="HH25" t="s">
        <v>372</v>
      </c>
      <c r="HI25" t="s">
        <v>379</v>
      </c>
      <c r="HJ25" t="s">
        <v>380</v>
      </c>
      <c r="HK25" t="s">
        <v>380</v>
      </c>
      <c r="HL25" t="s">
        <v>398</v>
      </c>
      <c r="HM25" t="s">
        <v>379</v>
      </c>
      <c r="HN25" t="s">
        <v>382</v>
      </c>
      <c r="HO25" t="s">
        <v>382</v>
      </c>
      <c r="HP25" t="s">
        <v>382</v>
      </c>
      <c r="HQ25" t="s">
        <v>382</v>
      </c>
      <c r="HR25" t="s">
        <v>382</v>
      </c>
      <c r="HS25" t="s">
        <v>382</v>
      </c>
      <c r="HT25" t="s">
        <v>382</v>
      </c>
      <c r="HU25" t="s">
        <v>382</v>
      </c>
      <c r="HV25" t="s">
        <v>382</v>
      </c>
      <c r="HW25" t="s">
        <v>382</v>
      </c>
      <c r="HX25" t="s">
        <v>382</v>
      </c>
      <c r="HY25" t="s">
        <v>382</v>
      </c>
      <c r="HZ25" t="s">
        <v>382</v>
      </c>
      <c r="IA25" t="s">
        <v>382</v>
      </c>
      <c r="IB25" t="s">
        <v>382</v>
      </c>
      <c r="IC25" t="s">
        <v>395</v>
      </c>
      <c r="ID25" t="s">
        <v>381</v>
      </c>
      <c r="IE25" t="s">
        <v>395</v>
      </c>
      <c r="IF25" t="s">
        <v>395</v>
      </c>
      <c r="IG25" t="s">
        <v>395</v>
      </c>
      <c r="IH25" t="s">
        <v>378</v>
      </c>
      <c r="II25" t="s">
        <v>378</v>
      </c>
      <c r="IJ25" t="s">
        <v>395</v>
      </c>
      <c r="IK25" t="s">
        <v>395</v>
      </c>
      <c r="IL25" t="s">
        <v>395</v>
      </c>
      <c r="IM25" t="s">
        <v>395</v>
      </c>
      <c r="IN25" t="s">
        <v>395</v>
      </c>
      <c r="IO25" t="s">
        <v>395</v>
      </c>
      <c r="IP25" t="s">
        <v>395</v>
      </c>
      <c r="IQ25" t="s">
        <v>395</v>
      </c>
      <c r="IR25" t="s">
        <v>395</v>
      </c>
      <c r="IS25" t="s">
        <v>395</v>
      </c>
      <c r="IT25" t="s">
        <v>417</v>
      </c>
      <c r="IU25" t="s">
        <v>580</v>
      </c>
      <c r="IV25" t="s">
        <v>581</v>
      </c>
      <c r="IW25" t="s">
        <v>582</v>
      </c>
      <c r="IX25" t="s">
        <v>583</v>
      </c>
      <c r="IY25" t="s">
        <v>419</v>
      </c>
      <c r="IZ25" t="s">
        <v>420</v>
      </c>
      <c r="JA25" t="s">
        <v>421</v>
      </c>
      <c r="JB25" t="s">
        <v>730</v>
      </c>
      <c r="JC25" t="s">
        <v>372</v>
      </c>
      <c r="JD25" t="s">
        <v>372</v>
      </c>
      <c r="JE25" t="s">
        <v>372</v>
      </c>
      <c r="JF25" t="s">
        <v>372</v>
      </c>
      <c r="JG25" t="s">
        <v>372</v>
      </c>
      <c r="JH25" t="s">
        <v>372</v>
      </c>
      <c r="JI25" t="s">
        <v>372</v>
      </c>
      <c r="JJ25" t="s">
        <v>372</v>
      </c>
      <c r="JK25" t="s">
        <v>372</v>
      </c>
      <c r="JL25" t="s">
        <v>372</v>
      </c>
      <c r="JM25" t="s">
        <v>372</v>
      </c>
      <c r="JN25" t="s">
        <v>372</v>
      </c>
      <c r="JO25" t="s">
        <v>372</v>
      </c>
      <c r="JP25" t="s">
        <v>372</v>
      </c>
      <c r="JQ25" t="s">
        <v>372</v>
      </c>
      <c r="JR25" t="s">
        <v>372</v>
      </c>
      <c r="JS25" t="s">
        <v>372</v>
      </c>
      <c r="JT25" t="s">
        <v>372</v>
      </c>
      <c r="JU25" t="s">
        <v>372</v>
      </c>
      <c r="JV25" t="s">
        <v>372</v>
      </c>
      <c r="JW25" t="s">
        <v>372</v>
      </c>
      <c r="JX25" t="s">
        <v>425</v>
      </c>
      <c r="JY25" t="s">
        <v>427</v>
      </c>
      <c r="JZ25" t="s">
        <v>1223</v>
      </c>
      <c r="KA25" t="s">
        <v>1224</v>
      </c>
      <c r="KB25" t="s">
        <v>1225</v>
      </c>
      <c r="KC25" t="s">
        <v>427</v>
      </c>
      <c r="KD25" t="s">
        <v>1226</v>
      </c>
      <c r="KE25" t="s">
        <v>429</v>
      </c>
      <c r="KF25" t="s">
        <v>738</v>
      </c>
      <c r="KG25" t="s">
        <v>372</v>
      </c>
      <c r="KH25" t="s">
        <v>372</v>
      </c>
      <c r="KI25" t="s">
        <v>372</v>
      </c>
      <c r="KJ25" t="s">
        <v>372</v>
      </c>
      <c r="KK25" t="s">
        <v>372</v>
      </c>
      <c r="KL25" t="s">
        <v>372</v>
      </c>
      <c r="KM25" t="s">
        <v>372</v>
      </c>
      <c r="KN25" t="s">
        <v>372</v>
      </c>
      <c r="KO25" t="s">
        <v>372</v>
      </c>
      <c r="KP25" t="s">
        <v>372</v>
      </c>
      <c r="KQ25" t="s">
        <v>372</v>
      </c>
      <c r="KR25" t="s">
        <v>372</v>
      </c>
      <c r="KS25" t="s">
        <v>372</v>
      </c>
      <c r="KT25" t="s">
        <v>372</v>
      </c>
      <c r="KU25" t="s">
        <v>372</v>
      </c>
      <c r="KV25" t="s">
        <v>372</v>
      </c>
      <c r="KW25" t="s">
        <v>372</v>
      </c>
      <c r="KX25" t="s">
        <v>372</v>
      </c>
      <c r="KY25" t="s">
        <v>372</v>
      </c>
      <c r="KZ25" t="s">
        <v>372</v>
      </c>
      <c r="LA25" t="s">
        <v>372</v>
      </c>
      <c r="LB25" t="s">
        <v>430</v>
      </c>
      <c r="LC25" t="s">
        <v>590</v>
      </c>
      <c r="LD25" t="s">
        <v>591</v>
      </c>
      <c r="LE25" t="s">
        <v>592</v>
      </c>
      <c r="LF25" t="s">
        <v>593</v>
      </c>
      <c r="LG25" t="s">
        <v>432</v>
      </c>
      <c r="LH25" t="s">
        <v>433</v>
      </c>
      <c r="LI25" t="s">
        <v>434</v>
      </c>
      <c r="LJ25" t="s">
        <v>741</v>
      </c>
      <c r="LK25" t="s">
        <v>372</v>
      </c>
      <c r="LL25" t="s">
        <v>372</v>
      </c>
      <c r="LM25" t="s">
        <v>372</v>
      </c>
      <c r="LN25" t="s">
        <v>372</v>
      </c>
      <c r="LO25" t="s">
        <v>372</v>
      </c>
      <c r="LP25" t="s">
        <v>372</v>
      </c>
      <c r="LQ25" t="s">
        <v>372</v>
      </c>
      <c r="LR25" t="s">
        <v>372</v>
      </c>
      <c r="LS25" t="s">
        <v>372</v>
      </c>
      <c r="LT25" t="s">
        <v>372</v>
      </c>
      <c r="LU25" t="s">
        <v>372</v>
      </c>
      <c r="LV25" t="s">
        <v>372</v>
      </c>
      <c r="LW25" t="s">
        <v>372</v>
      </c>
      <c r="LX25" t="s">
        <v>372</v>
      </c>
      <c r="LY25" t="s">
        <v>372</v>
      </c>
      <c r="LZ25" t="s">
        <v>372</v>
      </c>
      <c r="MA25" t="s">
        <v>372</v>
      </c>
      <c r="MB25" t="s">
        <v>372</v>
      </c>
      <c r="MC25" t="s">
        <v>372</v>
      </c>
      <c r="MD25" t="s">
        <v>372</v>
      </c>
      <c r="ME25" t="s">
        <v>372</v>
      </c>
      <c r="MF25" t="s">
        <v>748</v>
      </c>
      <c r="MG25" t="s">
        <v>372</v>
      </c>
      <c r="MH25" t="s">
        <v>1060</v>
      </c>
      <c r="MI25" t="s">
        <v>372</v>
      </c>
      <c r="MJ25" t="s">
        <v>372</v>
      </c>
      <c r="MK25" t="s">
        <v>749</v>
      </c>
      <c r="ML25" t="s">
        <v>372</v>
      </c>
      <c r="MM25" t="s">
        <v>1061</v>
      </c>
      <c r="MN25" t="s">
        <v>372</v>
      </c>
      <c r="MO25" t="s">
        <v>372</v>
      </c>
      <c r="MP25">
        <v>5</v>
      </c>
      <c r="MQ25">
        <v>9</v>
      </c>
      <c r="MR25">
        <v>4</v>
      </c>
      <c r="MS25" t="s">
        <v>673</v>
      </c>
      <c r="MT25" t="s">
        <v>674</v>
      </c>
      <c r="MU25" t="s">
        <v>978</v>
      </c>
      <c r="MV25" t="s">
        <v>979</v>
      </c>
      <c r="MW25" t="s">
        <v>372</v>
      </c>
      <c r="MX25" t="s">
        <v>372</v>
      </c>
      <c r="MY25" t="s">
        <v>372</v>
      </c>
      <c r="MZ25" t="s">
        <v>754</v>
      </c>
      <c r="NA25" t="s">
        <v>1227</v>
      </c>
    </row>
    <row r="26" spans="1:365">
      <c r="A26" t="s">
        <v>1228</v>
      </c>
      <c r="B26" s="8">
        <v>46104</v>
      </c>
      <c r="C26">
        <v>2</v>
      </c>
      <c r="D26">
        <v>30</v>
      </c>
      <c r="E26" t="s">
        <v>1229</v>
      </c>
      <c r="F26" t="s">
        <v>1230</v>
      </c>
      <c r="G26" t="s">
        <v>1231</v>
      </c>
      <c r="H26" t="s">
        <v>552</v>
      </c>
      <c r="I26" t="s">
        <v>553</v>
      </c>
      <c r="J26" t="s">
        <v>554</v>
      </c>
      <c r="K26" t="s">
        <v>372</v>
      </c>
      <c r="L26" t="s">
        <v>396</v>
      </c>
      <c r="M26" t="s">
        <v>683</v>
      </c>
      <c r="N26" t="s">
        <v>853</v>
      </c>
      <c r="O26" t="s">
        <v>558</v>
      </c>
      <c r="P26" t="s">
        <v>377</v>
      </c>
      <c r="Q26" t="s">
        <v>398</v>
      </c>
      <c r="R26" t="s">
        <v>380</v>
      </c>
      <c r="S26" t="s">
        <v>380</v>
      </c>
      <c r="T26" t="s">
        <v>380</v>
      </c>
      <c r="U26" t="s">
        <v>380</v>
      </c>
      <c r="V26" t="s">
        <v>826</v>
      </c>
      <c r="W26" t="s">
        <v>380</v>
      </c>
      <c r="X26" t="s">
        <v>379</v>
      </c>
      <c r="Y26" t="s">
        <v>380</v>
      </c>
      <c r="Z26" t="s">
        <v>380</v>
      </c>
      <c r="AA26" t="s">
        <v>379</v>
      </c>
      <c r="AB26" t="s">
        <v>382</v>
      </c>
      <c r="AC26" t="s">
        <v>382</v>
      </c>
      <c r="AD26" t="s">
        <v>382</v>
      </c>
      <c r="AE26" t="s">
        <v>382</v>
      </c>
      <c r="AF26" t="s">
        <v>380</v>
      </c>
      <c r="AG26" t="s">
        <v>382</v>
      </c>
      <c r="AH26" t="s">
        <v>381</v>
      </c>
      <c r="AI26" t="s">
        <v>382</v>
      </c>
      <c r="AJ26" t="s">
        <v>381</v>
      </c>
      <c r="AK26" t="s">
        <v>380</v>
      </c>
      <c r="AL26" t="s">
        <v>382</v>
      </c>
      <c r="AM26" t="s">
        <v>382</v>
      </c>
      <c r="AN26" t="s">
        <v>382</v>
      </c>
      <c r="AO26" t="s">
        <v>382</v>
      </c>
      <c r="AP26" t="s">
        <v>382</v>
      </c>
      <c r="AQ26" t="s">
        <v>382</v>
      </c>
      <c r="AR26" t="s">
        <v>378</v>
      </c>
      <c r="AS26" t="s">
        <v>380</v>
      </c>
      <c r="AT26" t="s">
        <v>381</v>
      </c>
      <c r="AU26" t="s">
        <v>382</v>
      </c>
      <c r="AV26" t="s">
        <v>381</v>
      </c>
      <c r="AW26" t="s">
        <v>378</v>
      </c>
      <c r="AX26" t="s">
        <v>855</v>
      </c>
      <c r="AY26">
        <v>1</v>
      </c>
      <c r="AZ26" t="s">
        <v>382</v>
      </c>
      <c r="BA26" t="s">
        <v>496</v>
      </c>
      <c r="BB26" t="s">
        <v>385</v>
      </c>
      <c r="BC26" t="s">
        <v>386</v>
      </c>
      <c r="BD26" t="s">
        <v>387</v>
      </c>
      <c r="BE26" t="s">
        <v>388</v>
      </c>
      <c r="BF26">
        <v>1</v>
      </c>
      <c r="BG26" t="s">
        <v>389</v>
      </c>
      <c r="BH26" t="s">
        <v>382</v>
      </c>
      <c r="BI26" t="s">
        <v>1232</v>
      </c>
      <c r="BJ26" t="s">
        <v>382</v>
      </c>
      <c r="BK26" t="s">
        <v>382</v>
      </c>
      <c r="BL26" t="s">
        <v>382</v>
      </c>
      <c r="BM26" t="s">
        <v>382</v>
      </c>
      <c r="BN26" t="s">
        <v>382</v>
      </c>
      <c r="BO26" t="s">
        <v>382</v>
      </c>
      <c r="BP26" t="s">
        <v>382</v>
      </c>
      <c r="BQ26" t="s">
        <v>382</v>
      </c>
      <c r="BR26" t="s">
        <v>382</v>
      </c>
      <c r="BS26" t="s">
        <v>382</v>
      </c>
      <c r="BT26" t="s">
        <v>382</v>
      </c>
      <c r="BU26" t="s">
        <v>382</v>
      </c>
      <c r="BV26" t="s">
        <v>382</v>
      </c>
      <c r="BW26" t="s">
        <v>382</v>
      </c>
      <c r="BX26" t="s">
        <v>382</v>
      </c>
      <c r="BY26" t="s">
        <v>382</v>
      </c>
      <c r="BZ26" t="s">
        <v>1233</v>
      </c>
      <c r="CA26" t="s">
        <v>382</v>
      </c>
      <c r="CB26" t="s">
        <v>382</v>
      </c>
      <c r="CC26" t="s">
        <v>382</v>
      </c>
      <c r="CD26" t="s">
        <v>382</v>
      </c>
      <c r="CE26" t="s">
        <v>1234</v>
      </c>
      <c r="CF26">
        <v>2</v>
      </c>
      <c r="CG26">
        <v>2</v>
      </c>
      <c r="CH26">
        <v>2</v>
      </c>
      <c r="CI26" t="s">
        <v>396</v>
      </c>
      <c r="CJ26" t="s">
        <v>380</v>
      </c>
      <c r="CK26" t="s">
        <v>394</v>
      </c>
      <c r="CL26" t="s">
        <v>395</v>
      </c>
      <c r="CM26" t="s">
        <v>393</v>
      </c>
      <c r="CN26" t="s">
        <v>395</v>
      </c>
      <c r="CO26" t="s">
        <v>397</v>
      </c>
      <c r="CP26" t="s">
        <v>395</v>
      </c>
      <c r="CQ26" t="s">
        <v>381</v>
      </c>
      <c r="CR26" t="s">
        <v>381</v>
      </c>
      <c r="CS26" t="s">
        <v>395</v>
      </c>
      <c r="CT26" t="s">
        <v>395</v>
      </c>
      <c r="CU26" t="s">
        <v>395</v>
      </c>
      <c r="CV26" t="s">
        <v>382</v>
      </c>
      <c r="CW26" t="s">
        <v>395</v>
      </c>
      <c r="CX26" t="s">
        <v>382</v>
      </c>
      <c r="CY26">
        <v>6</v>
      </c>
      <c r="CZ26" t="s">
        <v>400</v>
      </c>
      <c r="DA26" t="s">
        <v>401</v>
      </c>
      <c r="DB26" t="s">
        <v>401</v>
      </c>
      <c r="DC26" t="s">
        <v>401</v>
      </c>
      <c r="DD26" t="s">
        <v>1235</v>
      </c>
      <c r="DE26" t="s">
        <v>381</v>
      </c>
      <c r="DF26" t="s">
        <v>381</v>
      </c>
      <c r="DG26" t="s">
        <v>381</v>
      </c>
      <c r="DH26" t="s">
        <v>381</v>
      </c>
      <c r="DI26" t="s">
        <v>381</v>
      </c>
      <c r="DJ26" t="s">
        <v>381</v>
      </c>
      <c r="DK26" t="s">
        <v>372</v>
      </c>
      <c r="DL26" t="s">
        <v>372</v>
      </c>
      <c r="DM26" t="s">
        <v>372</v>
      </c>
      <c r="DN26" t="s">
        <v>372</v>
      </c>
      <c r="DO26" t="s">
        <v>372</v>
      </c>
      <c r="DP26" t="s">
        <v>372</v>
      </c>
      <c r="DQ26" t="s">
        <v>372</v>
      </c>
      <c r="DR26" t="s">
        <v>372</v>
      </c>
      <c r="DS26" t="s">
        <v>372</v>
      </c>
      <c r="DT26" t="s">
        <v>372</v>
      </c>
      <c r="DU26" t="s">
        <v>372</v>
      </c>
      <c r="DV26" t="s">
        <v>372</v>
      </c>
      <c r="DW26" t="s">
        <v>372</v>
      </c>
      <c r="DX26" t="s">
        <v>372</v>
      </c>
      <c r="DY26" t="s">
        <v>372</v>
      </c>
      <c r="DZ26" t="s">
        <v>372</v>
      </c>
      <c r="EA26" t="s">
        <v>372</v>
      </c>
      <c r="EB26" t="s">
        <v>372</v>
      </c>
      <c r="EC26" t="s">
        <v>372</v>
      </c>
      <c r="ED26" t="s">
        <v>372</v>
      </c>
      <c r="EE26" t="s">
        <v>372</v>
      </c>
      <c r="EF26" t="s">
        <v>372</v>
      </c>
      <c r="EG26" t="s">
        <v>372</v>
      </c>
      <c r="EH26" t="s">
        <v>372</v>
      </c>
      <c r="EI26" t="s">
        <v>372</v>
      </c>
      <c r="EJ26" t="s">
        <v>372</v>
      </c>
      <c r="EK26" t="s">
        <v>372</v>
      </c>
      <c r="EL26" t="s">
        <v>372</v>
      </c>
      <c r="EM26" t="s">
        <v>372</v>
      </c>
      <c r="EN26" t="s">
        <v>372</v>
      </c>
      <c r="EO26" t="s">
        <v>372</v>
      </c>
      <c r="EP26" t="s">
        <v>372</v>
      </c>
      <c r="EQ26" t="s">
        <v>372</v>
      </c>
      <c r="ER26" t="s">
        <v>372</v>
      </c>
      <c r="ES26" t="s">
        <v>372</v>
      </c>
      <c r="ET26" t="s">
        <v>372</v>
      </c>
      <c r="EU26" t="s">
        <v>372</v>
      </c>
      <c r="EV26" t="s">
        <v>372</v>
      </c>
      <c r="EW26" t="s">
        <v>372</v>
      </c>
      <c r="EX26" t="s">
        <v>372</v>
      </c>
      <c r="EY26" t="s">
        <v>372</v>
      </c>
      <c r="EZ26" t="s">
        <v>372</v>
      </c>
      <c r="FA26" t="s">
        <v>372</v>
      </c>
      <c r="FB26" t="s">
        <v>372</v>
      </c>
      <c r="FC26" t="s">
        <v>372</v>
      </c>
      <c r="FD26" t="s">
        <v>372</v>
      </c>
      <c r="FE26" t="s">
        <v>372</v>
      </c>
      <c r="FF26" t="s">
        <v>372</v>
      </c>
      <c r="FG26" t="s">
        <v>372</v>
      </c>
      <c r="FH26" t="s">
        <v>372</v>
      </c>
      <c r="FI26" t="s">
        <v>372</v>
      </c>
      <c r="FJ26" t="s">
        <v>372</v>
      </c>
      <c r="FK26" t="s">
        <v>372</v>
      </c>
      <c r="FL26" t="s">
        <v>372</v>
      </c>
      <c r="FM26" t="s">
        <v>372</v>
      </c>
      <c r="FN26" t="s">
        <v>372</v>
      </c>
      <c r="FO26" t="s">
        <v>372</v>
      </c>
      <c r="FP26" t="s">
        <v>372</v>
      </c>
      <c r="FQ26" t="s">
        <v>372</v>
      </c>
      <c r="FR26" t="s">
        <v>372</v>
      </c>
      <c r="FS26" t="s">
        <v>1236</v>
      </c>
      <c r="FT26" t="s">
        <v>1237</v>
      </c>
      <c r="FU26" t="s">
        <v>525</v>
      </c>
      <c r="FV26" t="s">
        <v>927</v>
      </c>
      <c r="FW26" t="s">
        <v>927</v>
      </c>
      <c r="FX26" t="s">
        <v>927</v>
      </c>
      <c r="FY26" t="s">
        <v>372</v>
      </c>
      <c r="FZ26" t="s">
        <v>372</v>
      </c>
      <c r="GA26" t="s">
        <v>372</v>
      </c>
      <c r="GB26" t="s">
        <v>372</v>
      </c>
      <c r="GC26" t="s">
        <v>372</v>
      </c>
      <c r="GD26" t="s">
        <v>372</v>
      </c>
      <c r="GE26" t="s">
        <v>372</v>
      </c>
      <c r="GF26" t="s">
        <v>372</v>
      </c>
      <c r="GG26" t="s">
        <v>372</v>
      </c>
      <c r="GH26" t="s">
        <v>372</v>
      </c>
      <c r="GI26" t="s">
        <v>372</v>
      </c>
      <c r="GJ26" t="s">
        <v>372</v>
      </c>
      <c r="GK26" t="s">
        <v>372</v>
      </c>
      <c r="GL26" t="s">
        <v>372</v>
      </c>
      <c r="GM26" t="s">
        <v>372</v>
      </c>
      <c r="GN26" t="s">
        <v>372</v>
      </c>
      <c r="GO26" t="s">
        <v>372</v>
      </c>
      <c r="GP26" t="s">
        <v>1238</v>
      </c>
      <c r="GQ26" t="s">
        <v>1239</v>
      </c>
      <c r="GR26" t="s">
        <v>1240</v>
      </c>
      <c r="GS26" t="s">
        <v>372</v>
      </c>
      <c r="GT26" t="s">
        <v>372</v>
      </c>
      <c r="GU26" t="s">
        <v>372</v>
      </c>
      <c r="GV26" t="s">
        <v>372</v>
      </c>
      <c r="GW26" t="s">
        <v>372</v>
      </c>
      <c r="GX26" t="s">
        <v>372</v>
      </c>
      <c r="GY26" t="s">
        <v>372</v>
      </c>
      <c r="GZ26" t="s">
        <v>372</v>
      </c>
      <c r="HA26" t="s">
        <v>372</v>
      </c>
      <c r="HB26" t="s">
        <v>372</v>
      </c>
      <c r="HC26" t="s">
        <v>372</v>
      </c>
      <c r="HD26" t="s">
        <v>372</v>
      </c>
      <c r="HE26" t="s">
        <v>372</v>
      </c>
      <c r="HF26" t="s">
        <v>372</v>
      </c>
      <c r="HG26" t="s">
        <v>372</v>
      </c>
      <c r="HH26" t="s">
        <v>372</v>
      </c>
      <c r="HI26" t="s">
        <v>398</v>
      </c>
      <c r="HJ26" t="s">
        <v>379</v>
      </c>
      <c r="HK26" t="s">
        <v>379</v>
      </c>
      <c r="HL26" t="s">
        <v>379</v>
      </c>
      <c r="HM26" t="s">
        <v>382</v>
      </c>
      <c r="HN26" t="s">
        <v>382</v>
      </c>
      <c r="HO26" t="s">
        <v>382</v>
      </c>
      <c r="HP26" t="s">
        <v>382</v>
      </c>
      <c r="HQ26" t="s">
        <v>382</v>
      </c>
      <c r="HR26" t="s">
        <v>382</v>
      </c>
      <c r="HS26" t="s">
        <v>382</v>
      </c>
      <c r="HT26" t="s">
        <v>382</v>
      </c>
      <c r="HU26" t="s">
        <v>382</v>
      </c>
      <c r="HV26" t="s">
        <v>382</v>
      </c>
      <c r="HW26" t="s">
        <v>382</v>
      </c>
      <c r="HX26" t="s">
        <v>382</v>
      </c>
      <c r="HY26" t="s">
        <v>382</v>
      </c>
      <c r="HZ26" t="s">
        <v>382</v>
      </c>
      <c r="IA26" t="s">
        <v>382</v>
      </c>
      <c r="IB26" t="s">
        <v>382</v>
      </c>
      <c r="IC26" t="s">
        <v>395</v>
      </c>
      <c r="ID26" t="s">
        <v>395</v>
      </c>
      <c r="IE26" t="s">
        <v>395</v>
      </c>
      <c r="IF26" t="s">
        <v>398</v>
      </c>
      <c r="IG26" t="s">
        <v>395</v>
      </c>
      <c r="IH26" t="s">
        <v>395</v>
      </c>
      <c r="II26" t="s">
        <v>395</v>
      </c>
      <c r="IJ26" t="s">
        <v>395</v>
      </c>
      <c r="IK26" t="s">
        <v>381</v>
      </c>
      <c r="IL26" t="s">
        <v>395</v>
      </c>
      <c r="IM26" t="s">
        <v>395</v>
      </c>
      <c r="IN26" t="s">
        <v>395</v>
      </c>
      <c r="IO26" t="s">
        <v>395</v>
      </c>
      <c r="IP26" t="s">
        <v>395</v>
      </c>
      <c r="IQ26" t="s">
        <v>395</v>
      </c>
      <c r="IR26" t="s">
        <v>395</v>
      </c>
      <c r="IS26" t="s">
        <v>395</v>
      </c>
      <c r="IT26" t="s">
        <v>653</v>
      </c>
      <c r="IU26" t="s">
        <v>654</v>
      </c>
      <c r="IV26" t="s">
        <v>974</v>
      </c>
      <c r="IW26" t="s">
        <v>1085</v>
      </c>
      <c r="IX26" t="s">
        <v>1241</v>
      </c>
      <c r="IY26" t="s">
        <v>631</v>
      </c>
      <c r="IZ26" t="s">
        <v>372</v>
      </c>
      <c r="JA26" t="s">
        <v>372</v>
      </c>
      <c r="JB26" t="s">
        <v>372</v>
      </c>
      <c r="JC26" t="s">
        <v>372</v>
      </c>
      <c r="JD26" t="s">
        <v>372</v>
      </c>
      <c r="JE26" t="s">
        <v>372</v>
      </c>
      <c r="JF26" t="s">
        <v>372</v>
      </c>
      <c r="JG26" t="s">
        <v>372</v>
      </c>
      <c r="JH26" t="s">
        <v>372</v>
      </c>
      <c r="JI26" t="s">
        <v>372</v>
      </c>
      <c r="JJ26" t="s">
        <v>372</v>
      </c>
      <c r="JK26" t="s">
        <v>372</v>
      </c>
      <c r="JL26" t="s">
        <v>372</v>
      </c>
      <c r="JM26" t="s">
        <v>372</v>
      </c>
      <c r="JN26" t="s">
        <v>372</v>
      </c>
      <c r="JO26" t="s">
        <v>372</v>
      </c>
      <c r="JP26" t="s">
        <v>372</v>
      </c>
      <c r="JQ26" t="s">
        <v>372</v>
      </c>
      <c r="JR26" t="s">
        <v>372</v>
      </c>
      <c r="JS26" t="s">
        <v>372</v>
      </c>
      <c r="JT26" t="s">
        <v>372</v>
      </c>
      <c r="JU26" t="s">
        <v>372</v>
      </c>
      <c r="JV26" t="s">
        <v>372</v>
      </c>
      <c r="JW26" t="s">
        <v>372</v>
      </c>
      <c r="JX26" t="s">
        <v>1242</v>
      </c>
      <c r="JY26" t="s">
        <v>661</v>
      </c>
      <c r="JZ26" t="s">
        <v>1243</v>
      </c>
      <c r="KA26" t="s">
        <v>1093</v>
      </c>
      <c r="KB26" t="s">
        <v>1244</v>
      </c>
      <c r="KC26" t="s">
        <v>426</v>
      </c>
      <c r="KD26" t="s">
        <v>372</v>
      </c>
      <c r="KE26" t="s">
        <v>372</v>
      </c>
      <c r="KF26" t="s">
        <v>372</v>
      </c>
      <c r="KG26" t="s">
        <v>372</v>
      </c>
      <c r="KH26" t="s">
        <v>372</v>
      </c>
      <c r="KI26" t="s">
        <v>372</v>
      </c>
      <c r="KJ26" t="s">
        <v>372</v>
      </c>
      <c r="KK26" t="s">
        <v>372</v>
      </c>
      <c r="KL26" t="s">
        <v>372</v>
      </c>
      <c r="KM26" t="s">
        <v>372</v>
      </c>
      <c r="KN26" t="s">
        <v>372</v>
      </c>
      <c r="KO26" t="s">
        <v>372</v>
      </c>
      <c r="KP26" t="s">
        <v>372</v>
      </c>
      <c r="KQ26" t="s">
        <v>372</v>
      </c>
      <c r="KR26" t="s">
        <v>372</v>
      </c>
      <c r="KS26" t="s">
        <v>372</v>
      </c>
      <c r="KT26" t="s">
        <v>372</v>
      </c>
      <c r="KU26" t="s">
        <v>372</v>
      </c>
      <c r="KV26" t="s">
        <v>372</v>
      </c>
      <c r="KW26" t="s">
        <v>372</v>
      </c>
      <c r="KX26" t="s">
        <v>372</v>
      </c>
      <c r="KY26" t="s">
        <v>372</v>
      </c>
      <c r="KZ26" t="s">
        <v>372</v>
      </c>
      <c r="LA26" t="s">
        <v>372</v>
      </c>
      <c r="LB26" t="s">
        <v>665</v>
      </c>
      <c r="LC26" t="s">
        <v>666</v>
      </c>
      <c r="LD26" t="s">
        <v>977</v>
      </c>
      <c r="LE26" t="s">
        <v>1099</v>
      </c>
      <c r="LF26" t="s">
        <v>1245</v>
      </c>
      <c r="LG26" t="s">
        <v>594</v>
      </c>
      <c r="LH26" t="s">
        <v>372</v>
      </c>
      <c r="LI26" t="s">
        <v>372</v>
      </c>
      <c r="LJ26" t="s">
        <v>372</v>
      </c>
      <c r="LK26" t="s">
        <v>372</v>
      </c>
      <c r="LL26" t="s">
        <v>372</v>
      </c>
      <c r="LM26" t="s">
        <v>372</v>
      </c>
      <c r="LN26" t="s">
        <v>372</v>
      </c>
      <c r="LO26" t="s">
        <v>372</v>
      </c>
      <c r="LP26" t="s">
        <v>372</v>
      </c>
      <c r="LQ26" t="s">
        <v>372</v>
      </c>
      <c r="LR26" t="s">
        <v>372</v>
      </c>
      <c r="LS26" t="s">
        <v>372</v>
      </c>
      <c r="LT26" t="s">
        <v>372</v>
      </c>
      <c r="LU26" t="s">
        <v>372</v>
      </c>
      <c r="LV26" t="s">
        <v>372</v>
      </c>
      <c r="LW26" t="s">
        <v>372</v>
      </c>
      <c r="LX26" t="s">
        <v>372</v>
      </c>
      <c r="LY26" t="s">
        <v>372</v>
      </c>
      <c r="LZ26" t="s">
        <v>372</v>
      </c>
      <c r="MA26" t="s">
        <v>372</v>
      </c>
      <c r="MB26" t="s">
        <v>372</v>
      </c>
      <c r="MC26" t="s">
        <v>372</v>
      </c>
      <c r="MD26" t="s">
        <v>372</v>
      </c>
      <c r="ME26" t="s">
        <v>372</v>
      </c>
      <c r="MF26" t="s">
        <v>596</v>
      </c>
      <c r="MG26" t="s">
        <v>372</v>
      </c>
      <c r="MH26" t="s">
        <v>372</v>
      </c>
      <c r="MI26" t="s">
        <v>372</v>
      </c>
      <c r="MJ26" t="s">
        <v>372</v>
      </c>
      <c r="MK26" t="s">
        <v>597</v>
      </c>
      <c r="ML26" t="s">
        <v>372</v>
      </c>
      <c r="MM26" t="s">
        <v>382</v>
      </c>
      <c r="MN26" t="s">
        <v>372</v>
      </c>
      <c r="MO26" t="s">
        <v>372</v>
      </c>
      <c r="MP26">
        <v>5</v>
      </c>
      <c r="MQ26">
        <v>9</v>
      </c>
      <c r="MR26">
        <v>3</v>
      </c>
      <c r="MS26" t="s">
        <v>868</v>
      </c>
      <c r="MT26" t="s">
        <v>869</v>
      </c>
      <c r="MU26" t="s">
        <v>598</v>
      </c>
      <c r="MV26" t="s">
        <v>599</v>
      </c>
      <c r="MW26" t="s">
        <v>372</v>
      </c>
      <c r="MX26" t="s">
        <v>372</v>
      </c>
      <c r="MY26" t="s">
        <v>372</v>
      </c>
      <c r="MZ26" t="s">
        <v>909</v>
      </c>
      <c r="NA26" t="s">
        <v>382</v>
      </c>
    </row>
    <row r="27" spans="1:365">
      <c r="A27" t="s">
        <v>1246</v>
      </c>
      <c r="B27" s="8">
        <v>46104</v>
      </c>
      <c r="C27">
        <v>2</v>
      </c>
      <c r="D27">
        <v>56</v>
      </c>
      <c r="E27" t="s">
        <v>1247</v>
      </c>
      <c r="F27" t="s">
        <v>1248</v>
      </c>
      <c r="G27" t="s">
        <v>1249</v>
      </c>
      <c r="H27" t="s">
        <v>369</v>
      </c>
      <c r="I27" t="s">
        <v>790</v>
      </c>
      <c r="J27" t="s">
        <v>791</v>
      </c>
      <c r="K27" t="s">
        <v>1250</v>
      </c>
      <c r="L27" t="s">
        <v>607</v>
      </c>
      <c r="M27" t="s">
        <v>608</v>
      </c>
      <c r="N27" t="s">
        <v>640</v>
      </c>
      <c r="O27" t="s">
        <v>936</v>
      </c>
      <c r="P27" t="s">
        <v>377</v>
      </c>
      <c r="Q27" t="s">
        <v>380</v>
      </c>
      <c r="R27" t="s">
        <v>379</v>
      </c>
      <c r="S27" t="s">
        <v>379</v>
      </c>
      <c r="T27" t="s">
        <v>1251</v>
      </c>
      <c r="U27" t="s">
        <v>379</v>
      </c>
      <c r="V27" t="s">
        <v>380</v>
      </c>
      <c r="W27" t="s">
        <v>380</v>
      </c>
      <c r="X27" t="s">
        <v>379</v>
      </c>
      <c r="Y27" t="s">
        <v>379</v>
      </c>
      <c r="Z27" t="s">
        <v>382</v>
      </c>
      <c r="AA27" t="s">
        <v>382</v>
      </c>
      <c r="AB27" t="s">
        <v>382</v>
      </c>
      <c r="AC27" t="s">
        <v>382</v>
      </c>
      <c r="AD27" t="s">
        <v>382</v>
      </c>
      <c r="AE27" t="s">
        <v>380</v>
      </c>
      <c r="AF27" t="s">
        <v>380</v>
      </c>
      <c r="AG27" t="s">
        <v>382</v>
      </c>
      <c r="AH27" t="s">
        <v>380</v>
      </c>
      <c r="AI27" t="s">
        <v>382</v>
      </c>
      <c r="AJ27" t="s">
        <v>382</v>
      </c>
      <c r="AK27" t="s">
        <v>380</v>
      </c>
      <c r="AL27" t="s">
        <v>379</v>
      </c>
      <c r="AM27" t="s">
        <v>382</v>
      </c>
      <c r="AN27" t="s">
        <v>382</v>
      </c>
      <c r="AO27" t="s">
        <v>382</v>
      </c>
      <c r="AP27" t="s">
        <v>382</v>
      </c>
      <c r="AQ27" t="s">
        <v>687</v>
      </c>
      <c r="AR27" t="s">
        <v>382</v>
      </c>
      <c r="AS27" t="s">
        <v>382</v>
      </c>
      <c r="AT27" t="s">
        <v>380</v>
      </c>
      <c r="AU27" t="s">
        <v>382</v>
      </c>
      <c r="AV27" t="s">
        <v>687</v>
      </c>
      <c r="AW27" t="s">
        <v>379</v>
      </c>
      <c r="AX27" t="s">
        <v>855</v>
      </c>
      <c r="AY27">
        <v>1</v>
      </c>
      <c r="AZ27" t="s">
        <v>382</v>
      </c>
      <c r="BA27" t="s">
        <v>384</v>
      </c>
      <c r="BB27" t="s">
        <v>451</v>
      </c>
      <c r="BC27" t="s">
        <v>452</v>
      </c>
      <c r="BD27" t="s">
        <v>387</v>
      </c>
      <c r="BE27" t="s">
        <v>388</v>
      </c>
      <c r="BF27">
        <v>1</v>
      </c>
      <c r="BG27" t="s">
        <v>389</v>
      </c>
      <c r="BH27" t="s">
        <v>382</v>
      </c>
      <c r="BI27" t="s">
        <v>382</v>
      </c>
      <c r="BJ27" t="s">
        <v>382</v>
      </c>
      <c r="BK27" t="s">
        <v>382</v>
      </c>
      <c r="BL27" t="s">
        <v>382</v>
      </c>
      <c r="BM27" t="s">
        <v>1252</v>
      </c>
      <c r="BN27" t="s">
        <v>1253</v>
      </c>
      <c r="BO27" t="s">
        <v>382</v>
      </c>
      <c r="BP27" t="s">
        <v>382</v>
      </c>
      <c r="BQ27" t="s">
        <v>382</v>
      </c>
      <c r="BR27" t="s">
        <v>382</v>
      </c>
      <c r="BS27" t="s">
        <v>382</v>
      </c>
      <c r="BT27" t="s">
        <v>382</v>
      </c>
      <c r="BU27" t="s">
        <v>382</v>
      </c>
      <c r="BV27" t="s">
        <v>382</v>
      </c>
      <c r="BW27" t="s">
        <v>382</v>
      </c>
      <c r="BX27" t="s">
        <v>382</v>
      </c>
      <c r="BY27" t="s">
        <v>382</v>
      </c>
      <c r="BZ27" t="s">
        <v>382</v>
      </c>
      <c r="CA27" t="s">
        <v>382</v>
      </c>
      <c r="CB27" t="s">
        <v>382</v>
      </c>
      <c r="CC27" t="s">
        <v>382</v>
      </c>
      <c r="CD27" t="s">
        <v>1254</v>
      </c>
      <c r="CE27" t="s">
        <v>382</v>
      </c>
      <c r="CF27">
        <v>1</v>
      </c>
      <c r="CG27">
        <v>2</v>
      </c>
      <c r="CH27">
        <v>2</v>
      </c>
      <c r="CI27" t="s">
        <v>394</v>
      </c>
      <c r="CJ27" t="s">
        <v>380</v>
      </c>
      <c r="CK27" t="s">
        <v>393</v>
      </c>
      <c r="CL27" t="s">
        <v>395</v>
      </c>
      <c r="CM27" t="s">
        <v>396</v>
      </c>
      <c r="CN27" t="s">
        <v>395</v>
      </c>
      <c r="CO27" t="s">
        <v>397</v>
      </c>
      <c r="CP27" t="s">
        <v>395</v>
      </c>
      <c r="CQ27" t="s">
        <v>380</v>
      </c>
      <c r="CR27" t="s">
        <v>381</v>
      </c>
      <c r="CS27" t="s">
        <v>395</v>
      </c>
      <c r="CT27" t="s">
        <v>395</v>
      </c>
      <c r="CU27" t="s">
        <v>395</v>
      </c>
      <c r="CV27" t="s">
        <v>382</v>
      </c>
      <c r="CW27" t="s">
        <v>380</v>
      </c>
      <c r="CX27" t="s">
        <v>382</v>
      </c>
      <c r="CY27">
        <v>5</v>
      </c>
      <c r="CZ27" t="s">
        <v>400</v>
      </c>
      <c r="DA27" t="s">
        <v>401</v>
      </c>
      <c r="DB27" t="s">
        <v>401</v>
      </c>
      <c r="DC27" t="s">
        <v>401</v>
      </c>
      <c r="DD27" t="s">
        <v>401</v>
      </c>
      <c r="DE27" t="s">
        <v>401</v>
      </c>
      <c r="DF27" t="s">
        <v>381</v>
      </c>
      <c r="DG27" t="s">
        <v>381</v>
      </c>
      <c r="DH27" t="s">
        <v>381</v>
      </c>
      <c r="DI27" t="s">
        <v>381</v>
      </c>
      <c r="DJ27" t="s">
        <v>381</v>
      </c>
      <c r="DK27" t="s">
        <v>1255</v>
      </c>
      <c r="DL27" t="s">
        <v>1256</v>
      </c>
      <c r="DM27" t="s">
        <v>919</v>
      </c>
      <c r="DN27" t="s">
        <v>504</v>
      </c>
      <c r="DO27" t="s">
        <v>1127</v>
      </c>
      <c r="DP27" t="s">
        <v>508</v>
      </c>
      <c r="DQ27" t="s">
        <v>1049</v>
      </c>
      <c r="DR27" t="s">
        <v>1050</v>
      </c>
      <c r="DS27" t="s">
        <v>1257</v>
      </c>
      <c r="DT27" t="s">
        <v>1258</v>
      </c>
      <c r="DU27" t="s">
        <v>372</v>
      </c>
      <c r="DV27" t="s">
        <v>372</v>
      </c>
      <c r="DW27" t="s">
        <v>372</v>
      </c>
      <c r="DX27" t="s">
        <v>372</v>
      </c>
      <c r="DY27" t="s">
        <v>372</v>
      </c>
      <c r="DZ27" t="s">
        <v>372</v>
      </c>
      <c r="EA27" t="s">
        <v>372</v>
      </c>
      <c r="EB27" t="s">
        <v>372</v>
      </c>
      <c r="EC27" t="s">
        <v>372</v>
      </c>
      <c r="ED27" t="s">
        <v>372</v>
      </c>
      <c r="EE27" t="s">
        <v>372</v>
      </c>
      <c r="EF27" t="s">
        <v>372</v>
      </c>
      <c r="EG27" t="s">
        <v>372</v>
      </c>
      <c r="EH27" t="s">
        <v>372</v>
      </c>
      <c r="EI27" t="s">
        <v>372</v>
      </c>
      <c r="EJ27" t="s">
        <v>372</v>
      </c>
      <c r="EK27" t="s">
        <v>372</v>
      </c>
      <c r="EL27" t="s">
        <v>372</v>
      </c>
      <c r="EM27" t="s">
        <v>372</v>
      </c>
      <c r="EN27" t="s">
        <v>372</v>
      </c>
      <c r="EO27" t="s">
        <v>1259</v>
      </c>
      <c r="EP27" t="s">
        <v>922</v>
      </c>
      <c r="EQ27" t="s">
        <v>923</v>
      </c>
      <c r="ER27" t="s">
        <v>514</v>
      </c>
      <c r="ES27" t="s">
        <v>1130</v>
      </c>
      <c r="ET27" t="s">
        <v>518</v>
      </c>
      <c r="EU27" t="s">
        <v>1053</v>
      </c>
      <c r="EV27" t="s">
        <v>1054</v>
      </c>
      <c r="EW27" t="s">
        <v>1260</v>
      </c>
      <c r="EX27" t="s">
        <v>1261</v>
      </c>
      <c r="EY27" t="s">
        <v>372</v>
      </c>
      <c r="EZ27" t="s">
        <v>372</v>
      </c>
      <c r="FA27" t="s">
        <v>372</v>
      </c>
      <c r="FB27" t="s">
        <v>372</v>
      </c>
      <c r="FC27" t="s">
        <v>372</v>
      </c>
      <c r="FD27" t="s">
        <v>372</v>
      </c>
      <c r="FE27" t="s">
        <v>372</v>
      </c>
      <c r="FF27" t="s">
        <v>372</v>
      </c>
      <c r="FG27" t="s">
        <v>372</v>
      </c>
      <c r="FH27" t="s">
        <v>372</v>
      </c>
      <c r="FI27" t="s">
        <v>372</v>
      </c>
      <c r="FJ27" t="s">
        <v>372</v>
      </c>
      <c r="FK27" t="s">
        <v>372</v>
      </c>
      <c r="FL27" t="s">
        <v>372</v>
      </c>
      <c r="FM27" t="s">
        <v>372</v>
      </c>
      <c r="FN27" t="s">
        <v>372</v>
      </c>
      <c r="FO27" t="s">
        <v>372</v>
      </c>
      <c r="FP27" t="s">
        <v>372</v>
      </c>
      <c r="FQ27" t="s">
        <v>372</v>
      </c>
      <c r="FR27" t="s">
        <v>372</v>
      </c>
      <c r="FS27" t="s">
        <v>1262</v>
      </c>
      <c r="FT27" t="s">
        <v>1263</v>
      </c>
      <c r="FU27" t="s">
        <v>413</v>
      </c>
      <c r="FV27" t="s">
        <v>927</v>
      </c>
      <c r="FW27" t="s">
        <v>372</v>
      </c>
      <c r="FX27" t="s">
        <v>372</v>
      </c>
      <c r="FY27" t="s">
        <v>372</v>
      </c>
      <c r="FZ27" t="s">
        <v>372</v>
      </c>
      <c r="GA27" t="s">
        <v>372</v>
      </c>
      <c r="GB27" t="s">
        <v>372</v>
      </c>
      <c r="GC27" t="s">
        <v>372</v>
      </c>
      <c r="GD27" t="s">
        <v>372</v>
      </c>
      <c r="GE27" t="s">
        <v>372</v>
      </c>
      <c r="GF27" t="s">
        <v>372</v>
      </c>
      <c r="GG27" t="s">
        <v>372</v>
      </c>
      <c r="GH27" t="s">
        <v>372</v>
      </c>
      <c r="GI27" t="s">
        <v>372</v>
      </c>
      <c r="GJ27" t="s">
        <v>372</v>
      </c>
      <c r="GK27" t="s">
        <v>372</v>
      </c>
      <c r="GL27" t="s">
        <v>372</v>
      </c>
      <c r="GM27" t="s">
        <v>372</v>
      </c>
      <c r="GN27" t="s">
        <v>372</v>
      </c>
      <c r="GO27" t="s">
        <v>1264</v>
      </c>
      <c r="GP27" t="s">
        <v>1265</v>
      </c>
      <c r="GQ27" t="s">
        <v>372</v>
      </c>
      <c r="GR27" t="s">
        <v>372</v>
      </c>
      <c r="GS27" t="s">
        <v>372</v>
      </c>
      <c r="GT27" t="s">
        <v>372</v>
      </c>
      <c r="GU27" t="s">
        <v>372</v>
      </c>
      <c r="GV27" t="s">
        <v>372</v>
      </c>
      <c r="GW27" t="s">
        <v>372</v>
      </c>
      <c r="GX27" t="s">
        <v>372</v>
      </c>
      <c r="GY27" t="s">
        <v>372</v>
      </c>
      <c r="GZ27" t="s">
        <v>372</v>
      </c>
      <c r="HA27" t="s">
        <v>372</v>
      </c>
      <c r="HB27" t="s">
        <v>372</v>
      </c>
      <c r="HC27" t="s">
        <v>372</v>
      </c>
      <c r="HD27" t="s">
        <v>372</v>
      </c>
      <c r="HE27" t="s">
        <v>372</v>
      </c>
      <c r="HF27" t="s">
        <v>372</v>
      </c>
      <c r="HG27" t="s">
        <v>372</v>
      </c>
      <c r="HH27" t="s">
        <v>372</v>
      </c>
      <c r="HI27" t="s">
        <v>378</v>
      </c>
      <c r="HJ27" t="s">
        <v>380</v>
      </c>
      <c r="HK27" t="s">
        <v>382</v>
      </c>
      <c r="HL27" t="s">
        <v>382</v>
      </c>
      <c r="HM27" t="s">
        <v>382</v>
      </c>
      <c r="HN27" t="s">
        <v>382</v>
      </c>
      <c r="HO27" t="s">
        <v>382</v>
      </c>
      <c r="HP27" t="s">
        <v>382</v>
      </c>
      <c r="HQ27" t="s">
        <v>382</v>
      </c>
      <c r="HR27" t="s">
        <v>382</v>
      </c>
      <c r="HS27" t="s">
        <v>382</v>
      </c>
      <c r="HT27" t="s">
        <v>382</v>
      </c>
      <c r="HU27" t="s">
        <v>382</v>
      </c>
      <c r="HV27" t="s">
        <v>382</v>
      </c>
      <c r="HW27" t="s">
        <v>382</v>
      </c>
      <c r="HX27" t="s">
        <v>382</v>
      </c>
      <c r="HY27" t="s">
        <v>382</v>
      </c>
      <c r="HZ27" t="s">
        <v>382</v>
      </c>
      <c r="IA27" t="s">
        <v>382</v>
      </c>
      <c r="IB27" t="s">
        <v>382</v>
      </c>
      <c r="IC27" t="s">
        <v>395</v>
      </c>
      <c r="ID27" t="s">
        <v>379</v>
      </c>
      <c r="IE27" t="s">
        <v>379</v>
      </c>
      <c r="IF27" t="s">
        <v>395</v>
      </c>
      <c r="IG27" t="s">
        <v>381</v>
      </c>
      <c r="IH27" t="s">
        <v>395</v>
      </c>
      <c r="II27" t="s">
        <v>381</v>
      </c>
      <c r="IJ27" t="s">
        <v>395</v>
      </c>
      <c r="IK27" t="s">
        <v>395</v>
      </c>
      <c r="IL27" t="s">
        <v>381</v>
      </c>
      <c r="IM27" t="s">
        <v>395</v>
      </c>
      <c r="IN27" t="s">
        <v>395</v>
      </c>
      <c r="IO27" t="s">
        <v>395</v>
      </c>
      <c r="IP27" t="s">
        <v>395</v>
      </c>
      <c r="IQ27" t="s">
        <v>395</v>
      </c>
      <c r="IR27" t="s">
        <v>395</v>
      </c>
      <c r="IS27" t="s">
        <v>395</v>
      </c>
      <c r="IT27" t="s">
        <v>417</v>
      </c>
      <c r="IU27" t="s">
        <v>470</v>
      </c>
      <c r="IV27" t="s">
        <v>768</v>
      </c>
      <c r="IW27" t="s">
        <v>1266</v>
      </c>
      <c r="IX27" t="s">
        <v>529</v>
      </c>
      <c r="IY27" t="s">
        <v>419</v>
      </c>
      <c r="IZ27" t="s">
        <v>1267</v>
      </c>
      <c r="JA27" t="s">
        <v>1268</v>
      </c>
      <c r="JB27" t="s">
        <v>1269</v>
      </c>
      <c r="JC27" t="s">
        <v>1270</v>
      </c>
      <c r="JD27" t="s">
        <v>372</v>
      </c>
      <c r="JE27" t="s">
        <v>372</v>
      </c>
      <c r="JF27" t="s">
        <v>372</v>
      </c>
      <c r="JG27" t="s">
        <v>372</v>
      </c>
      <c r="JH27" t="s">
        <v>372</v>
      </c>
      <c r="JI27" t="s">
        <v>372</v>
      </c>
      <c r="JJ27" t="s">
        <v>372</v>
      </c>
      <c r="JK27" t="s">
        <v>372</v>
      </c>
      <c r="JL27" t="s">
        <v>372</v>
      </c>
      <c r="JM27" t="s">
        <v>372</v>
      </c>
      <c r="JN27" t="s">
        <v>372</v>
      </c>
      <c r="JO27" t="s">
        <v>372</v>
      </c>
      <c r="JP27" t="s">
        <v>372</v>
      </c>
      <c r="JQ27" t="s">
        <v>372</v>
      </c>
      <c r="JR27" t="s">
        <v>372</v>
      </c>
      <c r="JS27" t="s">
        <v>372</v>
      </c>
      <c r="JT27" t="s">
        <v>372</v>
      </c>
      <c r="JU27" t="s">
        <v>372</v>
      </c>
      <c r="JV27" t="s">
        <v>372</v>
      </c>
      <c r="JW27" t="s">
        <v>372</v>
      </c>
      <c r="JX27" t="s">
        <v>425</v>
      </c>
      <c r="JY27" t="s">
        <v>475</v>
      </c>
      <c r="JZ27" t="s">
        <v>774</v>
      </c>
      <c r="KA27" t="s">
        <v>426</v>
      </c>
      <c r="KB27" t="s">
        <v>427</v>
      </c>
      <c r="KC27" t="s">
        <v>427</v>
      </c>
      <c r="KD27" t="s">
        <v>426</v>
      </c>
      <c r="KE27" t="s">
        <v>1271</v>
      </c>
      <c r="KF27" t="s">
        <v>1272</v>
      </c>
      <c r="KG27" t="s">
        <v>1273</v>
      </c>
      <c r="KH27" t="s">
        <v>372</v>
      </c>
      <c r="KI27" t="s">
        <v>372</v>
      </c>
      <c r="KJ27" t="s">
        <v>372</v>
      </c>
      <c r="KK27" t="s">
        <v>372</v>
      </c>
      <c r="KL27" t="s">
        <v>372</v>
      </c>
      <c r="KM27" t="s">
        <v>372</v>
      </c>
      <c r="KN27" t="s">
        <v>372</v>
      </c>
      <c r="KO27" t="s">
        <v>372</v>
      </c>
      <c r="KP27" t="s">
        <v>372</v>
      </c>
      <c r="KQ27" t="s">
        <v>372</v>
      </c>
      <c r="KR27" t="s">
        <v>372</v>
      </c>
      <c r="KS27" t="s">
        <v>372</v>
      </c>
      <c r="KT27" t="s">
        <v>372</v>
      </c>
      <c r="KU27" t="s">
        <v>372</v>
      </c>
      <c r="KV27" t="s">
        <v>372</v>
      </c>
      <c r="KW27" t="s">
        <v>372</v>
      </c>
      <c r="KX27" t="s">
        <v>372</v>
      </c>
      <c r="KY27" t="s">
        <v>372</v>
      </c>
      <c r="KZ27" t="s">
        <v>372</v>
      </c>
      <c r="LA27" t="s">
        <v>372</v>
      </c>
      <c r="LB27" t="s">
        <v>430</v>
      </c>
      <c r="LC27" t="s">
        <v>478</v>
      </c>
      <c r="LD27" t="s">
        <v>777</v>
      </c>
      <c r="LE27" t="s">
        <v>431</v>
      </c>
      <c r="LF27" t="s">
        <v>537</v>
      </c>
      <c r="LG27" t="s">
        <v>432</v>
      </c>
      <c r="LH27" t="s">
        <v>903</v>
      </c>
      <c r="LI27" t="s">
        <v>1274</v>
      </c>
      <c r="LJ27" t="s">
        <v>1275</v>
      </c>
      <c r="LK27" t="s">
        <v>1276</v>
      </c>
      <c r="LL27" t="s">
        <v>372</v>
      </c>
      <c r="LM27" t="s">
        <v>372</v>
      </c>
      <c r="LN27" t="s">
        <v>372</v>
      </c>
      <c r="LO27" t="s">
        <v>372</v>
      </c>
      <c r="LP27" t="s">
        <v>372</v>
      </c>
      <c r="LQ27" t="s">
        <v>372</v>
      </c>
      <c r="LR27" t="s">
        <v>372</v>
      </c>
      <c r="LS27" t="s">
        <v>372</v>
      </c>
      <c r="LT27" t="s">
        <v>372</v>
      </c>
      <c r="LU27" t="s">
        <v>372</v>
      </c>
      <c r="LV27" t="s">
        <v>372</v>
      </c>
      <c r="LW27" t="s">
        <v>372</v>
      </c>
      <c r="LX27" t="s">
        <v>372</v>
      </c>
      <c r="LY27" t="s">
        <v>372</v>
      </c>
      <c r="LZ27" t="s">
        <v>372</v>
      </c>
      <c r="MA27" t="s">
        <v>372</v>
      </c>
      <c r="MB27" t="s">
        <v>372</v>
      </c>
      <c r="MC27" t="s">
        <v>372</v>
      </c>
      <c r="MD27" t="s">
        <v>372</v>
      </c>
      <c r="ME27" t="s">
        <v>372</v>
      </c>
      <c r="MF27" t="s">
        <v>813</v>
      </c>
      <c r="MG27" t="s">
        <v>372</v>
      </c>
      <c r="MH27" t="s">
        <v>372</v>
      </c>
      <c r="MI27" t="s">
        <v>372</v>
      </c>
      <c r="MJ27" t="s">
        <v>372</v>
      </c>
      <c r="MK27" t="s">
        <v>814</v>
      </c>
      <c r="ML27" t="s">
        <v>372</v>
      </c>
      <c r="MM27" t="s">
        <v>382</v>
      </c>
      <c r="MN27" t="s">
        <v>372</v>
      </c>
      <c r="MO27" t="s">
        <v>372</v>
      </c>
      <c r="MP27">
        <v>5</v>
      </c>
      <c r="MQ27">
        <v>10</v>
      </c>
      <c r="MR27">
        <v>5</v>
      </c>
      <c r="MS27" t="s">
        <v>671</v>
      </c>
      <c r="MT27" t="s">
        <v>672</v>
      </c>
      <c r="MU27" t="s">
        <v>948</v>
      </c>
      <c r="MV27" t="s">
        <v>949</v>
      </c>
      <c r="MW27" t="s">
        <v>372</v>
      </c>
      <c r="MX27" t="s">
        <v>372</v>
      </c>
      <c r="MY27" t="s">
        <v>372</v>
      </c>
      <c r="MZ27" t="s">
        <v>785</v>
      </c>
      <c r="NA27" t="s">
        <v>382</v>
      </c>
    </row>
    <row r="28" spans="1:365">
      <c r="A28" t="s">
        <v>1277</v>
      </c>
      <c r="B28" s="8">
        <v>46104</v>
      </c>
      <c r="C28">
        <v>0</v>
      </c>
      <c r="D28">
        <v>34</v>
      </c>
      <c r="E28" t="s">
        <v>1278</v>
      </c>
      <c r="F28" t="s">
        <v>1279</v>
      </c>
      <c r="G28" t="s">
        <v>1280</v>
      </c>
      <c r="H28" t="s">
        <v>552</v>
      </c>
      <c r="I28" t="s">
        <v>553</v>
      </c>
      <c r="J28" t="s">
        <v>554</v>
      </c>
      <c r="K28" t="s">
        <v>1281</v>
      </c>
      <c r="L28" t="s">
        <v>396</v>
      </c>
      <c r="M28" t="s">
        <v>683</v>
      </c>
      <c r="N28" t="s">
        <v>792</v>
      </c>
      <c r="O28" t="s">
        <v>1282</v>
      </c>
      <c r="P28" t="s">
        <v>854</v>
      </c>
      <c r="Q28" t="s">
        <v>379</v>
      </c>
      <c r="R28" t="s">
        <v>379</v>
      </c>
      <c r="S28" t="s">
        <v>379</v>
      </c>
      <c r="T28" t="s">
        <v>380</v>
      </c>
      <c r="U28" t="s">
        <v>379</v>
      </c>
      <c r="V28" t="s">
        <v>1251</v>
      </c>
      <c r="W28" t="s">
        <v>379</v>
      </c>
      <c r="X28" t="s">
        <v>380</v>
      </c>
      <c r="Y28" t="s">
        <v>380</v>
      </c>
      <c r="Z28" t="s">
        <v>382</v>
      </c>
      <c r="AA28" t="s">
        <v>382</v>
      </c>
      <c r="AB28" t="s">
        <v>378</v>
      </c>
      <c r="AC28" t="s">
        <v>382</v>
      </c>
      <c r="AD28" t="s">
        <v>382</v>
      </c>
      <c r="AE28" t="s">
        <v>398</v>
      </c>
      <c r="AF28" t="s">
        <v>381</v>
      </c>
      <c r="AG28" t="s">
        <v>382</v>
      </c>
      <c r="AH28" t="s">
        <v>382</v>
      </c>
      <c r="AI28" t="s">
        <v>382</v>
      </c>
      <c r="AJ28" t="s">
        <v>382</v>
      </c>
      <c r="AK28" t="s">
        <v>382</v>
      </c>
      <c r="AL28" t="s">
        <v>380</v>
      </c>
      <c r="AM28" t="s">
        <v>380</v>
      </c>
      <c r="AN28" t="s">
        <v>382</v>
      </c>
      <c r="AO28" t="s">
        <v>382</v>
      </c>
      <c r="AP28" t="s">
        <v>382</v>
      </c>
      <c r="AQ28" t="s">
        <v>382</v>
      </c>
      <c r="AR28" t="s">
        <v>398</v>
      </c>
      <c r="AS28" t="s">
        <v>380</v>
      </c>
      <c r="AT28" t="s">
        <v>379</v>
      </c>
      <c r="AU28" t="s">
        <v>382</v>
      </c>
      <c r="AV28" t="s">
        <v>382</v>
      </c>
      <c r="AW28" t="s">
        <v>379</v>
      </c>
      <c r="AX28" t="s">
        <v>879</v>
      </c>
      <c r="AY28">
        <v>2</v>
      </c>
      <c r="AZ28" t="s">
        <v>561</v>
      </c>
      <c r="BA28" t="s">
        <v>384</v>
      </c>
      <c r="BB28" t="s">
        <v>611</v>
      </c>
      <c r="BC28" t="s">
        <v>612</v>
      </c>
      <c r="BD28" t="s">
        <v>523</v>
      </c>
      <c r="BE28" t="s">
        <v>563</v>
      </c>
      <c r="BF28">
        <v>2</v>
      </c>
      <c r="BG28" t="s">
        <v>389</v>
      </c>
      <c r="BH28" t="s">
        <v>382</v>
      </c>
      <c r="BI28" t="s">
        <v>382</v>
      </c>
      <c r="BJ28" t="s">
        <v>382</v>
      </c>
      <c r="BK28" t="s">
        <v>382</v>
      </c>
      <c r="BL28" t="s">
        <v>382</v>
      </c>
      <c r="BM28" t="s">
        <v>1283</v>
      </c>
      <c r="BN28" t="s">
        <v>1284</v>
      </c>
      <c r="BO28" t="s">
        <v>382</v>
      </c>
      <c r="BP28" t="s">
        <v>382</v>
      </c>
      <c r="BQ28" t="s">
        <v>382</v>
      </c>
      <c r="BR28" t="s">
        <v>382</v>
      </c>
      <c r="BS28" t="s">
        <v>382</v>
      </c>
      <c r="BT28" t="s">
        <v>382</v>
      </c>
      <c r="BU28" t="s">
        <v>382</v>
      </c>
      <c r="BV28" t="s">
        <v>382</v>
      </c>
      <c r="BW28" t="s">
        <v>382</v>
      </c>
      <c r="BX28" t="s">
        <v>382</v>
      </c>
      <c r="BY28" t="s">
        <v>382</v>
      </c>
      <c r="BZ28" t="s">
        <v>1285</v>
      </c>
      <c r="CA28" t="s">
        <v>382</v>
      </c>
      <c r="CB28" t="s">
        <v>1285</v>
      </c>
      <c r="CC28" t="s">
        <v>382</v>
      </c>
      <c r="CD28" t="s">
        <v>382</v>
      </c>
      <c r="CE28" t="s">
        <v>382</v>
      </c>
      <c r="CF28">
        <v>1</v>
      </c>
      <c r="CG28">
        <v>2</v>
      </c>
      <c r="CH28">
        <v>4</v>
      </c>
      <c r="CI28" t="s">
        <v>396</v>
      </c>
      <c r="CJ28" t="s">
        <v>378</v>
      </c>
      <c r="CK28" t="s">
        <v>394</v>
      </c>
      <c r="CL28" t="s">
        <v>395</v>
      </c>
      <c r="CM28" t="s">
        <v>393</v>
      </c>
      <c r="CN28" t="s">
        <v>395</v>
      </c>
      <c r="CO28" t="s">
        <v>397</v>
      </c>
      <c r="CP28" t="s">
        <v>395</v>
      </c>
      <c r="CQ28" t="s">
        <v>398</v>
      </c>
      <c r="CR28" t="s">
        <v>381</v>
      </c>
      <c r="CS28" t="s">
        <v>395</v>
      </c>
      <c r="CT28" t="s">
        <v>381</v>
      </c>
      <c r="CU28" t="s">
        <v>395</v>
      </c>
      <c r="CV28" t="s">
        <v>382</v>
      </c>
      <c r="CW28" t="s">
        <v>378</v>
      </c>
      <c r="CX28" t="s">
        <v>1286</v>
      </c>
      <c r="CY28">
        <v>5</v>
      </c>
      <c r="CZ28" t="s">
        <v>400</v>
      </c>
      <c r="DA28" t="s">
        <v>401</v>
      </c>
      <c r="DB28" t="s">
        <v>401</v>
      </c>
      <c r="DC28" t="s">
        <v>401</v>
      </c>
      <c r="DD28" t="s">
        <v>1287</v>
      </c>
      <c r="DE28" t="s">
        <v>401</v>
      </c>
      <c r="DF28" t="s">
        <v>381</v>
      </c>
      <c r="DG28" t="s">
        <v>381</v>
      </c>
      <c r="DH28" t="s">
        <v>381</v>
      </c>
      <c r="DI28" t="s">
        <v>381</v>
      </c>
      <c r="DJ28" t="s">
        <v>381</v>
      </c>
      <c r="DK28" t="s">
        <v>1288</v>
      </c>
      <c r="DL28" t="s">
        <v>702</v>
      </c>
      <c r="DM28" t="s">
        <v>704</v>
      </c>
      <c r="DN28" t="s">
        <v>1289</v>
      </c>
      <c r="DO28" t="s">
        <v>372</v>
      </c>
      <c r="DP28" t="s">
        <v>372</v>
      </c>
      <c r="DQ28" t="s">
        <v>372</v>
      </c>
      <c r="DR28" t="s">
        <v>372</v>
      </c>
      <c r="DS28" t="s">
        <v>372</v>
      </c>
      <c r="DT28" t="s">
        <v>372</v>
      </c>
      <c r="DU28" t="s">
        <v>372</v>
      </c>
      <c r="DV28" t="s">
        <v>372</v>
      </c>
      <c r="DW28" t="s">
        <v>372</v>
      </c>
      <c r="DX28" t="s">
        <v>372</v>
      </c>
      <c r="DY28" t="s">
        <v>372</v>
      </c>
      <c r="DZ28" t="s">
        <v>372</v>
      </c>
      <c r="EA28" t="s">
        <v>372</v>
      </c>
      <c r="EB28" t="s">
        <v>372</v>
      </c>
      <c r="EC28" t="s">
        <v>372</v>
      </c>
      <c r="ED28" t="s">
        <v>372</v>
      </c>
      <c r="EE28" t="s">
        <v>372</v>
      </c>
      <c r="EF28" t="s">
        <v>372</v>
      </c>
      <c r="EG28" t="s">
        <v>372</v>
      </c>
      <c r="EH28" t="s">
        <v>372</v>
      </c>
      <c r="EI28" t="s">
        <v>372</v>
      </c>
      <c r="EJ28" t="s">
        <v>372</v>
      </c>
      <c r="EK28" t="s">
        <v>372</v>
      </c>
      <c r="EL28" t="s">
        <v>372</v>
      </c>
      <c r="EM28" t="s">
        <v>372</v>
      </c>
      <c r="EN28" t="s">
        <v>372</v>
      </c>
      <c r="EO28" t="s">
        <v>1290</v>
      </c>
      <c r="EP28" t="s">
        <v>716</v>
      </c>
      <c r="EQ28" t="s">
        <v>718</v>
      </c>
      <c r="ER28" t="s">
        <v>1291</v>
      </c>
      <c r="ES28" t="s">
        <v>372</v>
      </c>
      <c r="ET28" t="s">
        <v>372</v>
      </c>
      <c r="EU28" t="s">
        <v>372</v>
      </c>
      <c r="EV28" t="s">
        <v>372</v>
      </c>
      <c r="EW28" t="s">
        <v>372</v>
      </c>
      <c r="EX28" t="s">
        <v>372</v>
      </c>
      <c r="EY28" t="s">
        <v>372</v>
      </c>
      <c r="EZ28" t="s">
        <v>372</v>
      </c>
      <c r="FA28" t="s">
        <v>372</v>
      </c>
      <c r="FB28" t="s">
        <v>372</v>
      </c>
      <c r="FC28" t="s">
        <v>372</v>
      </c>
      <c r="FD28" t="s">
        <v>372</v>
      </c>
      <c r="FE28" t="s">
        <v>372</v>
      </c>
      <c r="FF28" t="s">
        <v>372</v>
      </c>
      <c r="FG28" t="s">
        <v>372</v>
      </c>
      <c r="FH28" t="s">
        <v>372</v>
      </c>
      <c r="FI28" t="s">
        <v>372</v>
      </c>
      <c r="FJ28" t="s">
        <v>372</v>
      </c>
      <c r="FK28" t="s">
        <v>372</v>
      </c>
      <c r="FL28" t="s">
        <v>372</v>
      </c>
      <c r="FM28" t="s">
        <v>372</v>
      </c>
      <c r="FN28" t="s">
        <v>372</v>
      </c>
      <c r="FO28" t="s">
        <v>372</v>
      </c>
      <c r="FP28" t="s">
        <v>372</v>
      </c>
      <c r="FQ28" t="s">
        <v>372</v>
      </c>
      <c r="FR28" t="s">
        <v>372</v>
      </c>
      <c r="FS28" t="s">
        <v>1236</v>
      </c>
      <c r="FT28" t="s">
        <v>1237</v>
      </c>
      <c r="FU28" t="s">
        <v>412</v>
      </c>
      <c r="FV28" t="s">
        <v>413</v>
      </c>
      <c r="FW28" t="s">
        <v>525</v>
      </c>
      <c r="FX28" t="s">
        <v>468</v>
      </c>
      <c r="FY28" t="s">
        <v>372</v>
      </c>
      <c r="FZ28" t="s">
        <v>372</v>
      </c>
      <c r="GA28" t="s">
        <v>372</v>
      </c>
      <c r="GB28" t="s">
        <v>372</v>
      </c>
      <c r="GC28" t="s">
        <v>372</v>
      </c>
      <c r="GD28" t="s">
        <v>372</v>
      </c>
      <c r="GE28" t="s">
        <v>372</v>
      </c>
      <c r="GF28" t="s">
        <v>372</v>
      </c>
      <c r="GG28" t="s">
        <v>372</v>
      </c>
      <c r="GH28" t="s">
        <v>372</v>
      </c>
      <c r="GI28" t="s">
        <v>372</v>
      </c>
      <c r="GJ28" t="s">
        <v>372</v>
      </c>
      <c r="GK28" t="s">
        <v>372</v>
      </c>
      <c r="GL28" t="s">
        <v>372</v>
      </c>
      <c r="GM28" t="s">
        <v>372</v>
      </c>
      <c r="GN28" t="s">
        <v>372</v>
      </c>
      <c r="GO28" t="s">
        <v>372</v>
      </c>
      <c r="GP28" t="s">
        <v>372</v>
      </c>
      <c r="GQ28" t="s">
        <v>372</v>
      </c>
      <c r="GR28" t="s">
        <v>372</v>
      </c>
      <c r="GS28" t="s">
        <v>372</v>
      </c>
      <c r="GT28" t="s">
        <v>372</v>
      </c>
      <c r="GU28" t="s">
        <v>372</v>
      </c>
      <c r="GV28" t="s">
        <v>372</v>
      </c>
      <c r="GW28" t="s">
        <v>372</v>
      </c>
      <c r="GX28" t="s">
        <v>372</v>
      </c>
      <c r="GY28" t="s">
        <v>372</v>
      </c>
      <c r="GZ28" t="s">
        <v>372</v>
      </c>
      <c r="HA28" t="s">
        <v>372</v>
      </c>
      <c r="HB28" t="s">
        <v>372</v>
      </c>
      <c r="HC28" t="s">
        <v>372</v>
      </c>
      <c r="HD28" t="s">
        <v>372</v>
      </c>
      <c r="HE28" t="s">
        <v>372</v>
      </c>
      <c r="HF28" t="s">
        <v>372</v>
      </c>
      <c r="HG28" t="s">
        <v>372</v>
      </c>
      <c r="HH28" t="s">
        <v>372</v>
      </c>
      <c r="HI28" t="s">
        <v>381</v>
      </c>
      <c r="HJ28" t="s">
        <v>379</v>
      </c>
      <c r="HK28" t="s">
        <v>381</v>
      </c>
      <c r="HL28" t="s">
        <v>398</v>
      </c>
      <c r="HM28" t="s">
        <v>382</v>
      </c>
      <c r="HN28" t="s">
        <v>382</v>
      </c>
      <c r="HO28" t="s">
        <v>382</v>
      </c>
      <c r="HP28" t="s">
        <v>382</v>
      </c>
      <c r="HQ28" t="s">
        <v>382</v>
      </c>
      <c r="HR28" t="s">
        <v>382</v>
      </c>
      <c r="HS28" t="s">
        <v>382</v>
      </c>
      <c r="HT28" t="s">
        <v>382</v>
      </c>
      <c r="HU28" t="s">
        <v>382</v>
      </c>
      <c r="HV28" t="s">
        <v>382</v>
      </c>
      <c r="HW28" t="s">
        <v>382</v>
      </c>
      <c r="HX28" t="s">
        <v>382</v>
      </c>
      <c r="HY28" t="s">
        <v>382</v>
      </c>
      <c r="HZ28" t="s">
        <v>382</v>
      </c>
      <c r="IA28" t="s">
        <v>382</v>
      </c>
      <c r="IB28" t="s">
        <v>382</v>
      </c>
      <c r="IC28" t="s">
        <v>395</v>
      </c>
      <c r="ID28" t="s">
        <v>395</v>
      </c>
      <c r="IE28" t="s">
        <v>395</v>
      </c>
      <c r="IF28" t="s">
        <v>381</v>
      </c>
      <c r="IG28" t="s">
        <v>395</v>
      </c>
      <c r="IH28" t="s">
        <v>395</v>
      </c>
      <c r="II28" t="s">
        <v>379</v>
      </c>
      <c r="IJ28" t="s">
        <v>395</v>
      </c>
      <c r="IK28" t="s">
        <v>381</v>
      </c>
      <c r="IL28" t="s">
        <v>395</v>
      </c>
      <c r="IM28" t="s">
        <v>395</v>
      </c>
      <c r="IN28" t="s">
        <v>395</v>
      </c>
      <c r="IO28" t="s">
        <v>395</v>
      </c>
      <c r="IP28" t="s">
        <v>395</v>
      </c>
      <c r="IQ28" t="s">
        <v>395</v>
      </c>
      <c r="IR28" t="s">
        <v>395</v>
      </c>
      <c r="IS28" t="s">
        <v>395</v>
      </c>
      <c r="IT28" t="s">
        <v>653</v>
      </c>
      <c r="IU28" t="s">
        <v>419</v>
      </c>
      <c r="IV28" t="s">
        <v>420</v>
      </c>
      <c r="IW28" t="s">
        <v>421</v>
      </c>
      <c r="IX28" t="s">
        <v>631</v>
      </c>
      <c r="IY28" t="s">
        <v>1292</v>
      </c>
      <c r="IZ28" t="s">
        <v>1293</v>
      </c>
      <c r="JA28" t="s">
        <v>1294</v>
      </c>
      <c r="JB28" t="s">
        <v>734</v>
      </c>
      <c r="JC28" t="s">
        <v>372</v>
      </c>
      <c r="JD28" t="s">
        <v>372</v>
      </c>
      <c r="JE28" t="s">
        <v>372</v>
      </c>
      <c r="JF28" t="s">
        <v>372</v>
      </c>
      <c r="JG28" t="s">
        <v>372</v>
      </c>
      <c r="JH28" t="s">
        <v>372</v>
      </c>
      <c r="JI28" t="s">
        <v>372</v>
      </c>
      <c r="JJ28" t="s">
        <v>372</v>
      </c>
      <c r="JK28" t="s">
        <v>372</v>
      </c>
      <c r="JL28" t="s">
        <v>372</v>
      </c>
      <c r="JM28" t="s">
        <v>372</v>
      </c>
      <c r="JN28" t="s">
        <v>372</v>
      </c>
      <c r="JO28" t="s">
        <v>372</v>
      </c>
      <c r="JP28" t="s">
        <v>372</v>
      </c>
      <c r="JQ28" t="s">
        <v>372</v>
      </c>
      <c r="JR28" t="s">
        <v>372</v>
      </c>
      <c r="JS28" t="s">
        <v>372</v>
      </c>
      <c r="JT28" t="s">
        <v>372</v>
      </c>
      <c r="JU28" t="s">
        <v>372</v>
      </c>
      <c r="JV28" t="s">
        <v>372</v>
      </c>
      <c r="JW28" t="s">
        <v>372</v>
      </c>
      <c r="JX28" t="s">
        <v>1295</v>
      </c>
      <c r="JY28" t="s">
        <v>427</v>
      </c>
      <c r="JZ28" t="s">
        <v>428</v>
      </c>
      <c r="KA28" t="s">
        <v>429</v>
      </c>
      <c r="KB28" t="s">
        <v>426</v>
      </c>
      <c r="KC28" t="s">
        <v>1296</v>
      </c>
      <c r="KD28" t="s">
        <v>1297</v>
      </c>
      <c r="KE28" t="s">
        <v>1298</v>
      </c>
      <c r="KF28" t="s">
        <v>372</v>
      </c>
      <c r="KG28" t="s">
        <v>372</v>
      </c>
      <c r="KH28" t="s">
        <v>372</v>
      </c>
      <c r="KI28" t="s">
        <v>372</v>
      </c>
      <c r="KJ28" t="s">
        <v>372</v>
      </c>
      <c r="KK28" t="s">
        <v>372</v>
      </c>
      <c r="KL28" t="s">
        <v>372</v>
      </c>
      <c r="KM28" t="s">
        <v>372</v>
      </c>
      <c r="KN28" t="s">
        <v>372</v>
      </c>
      <c r="KO28" t="s">
        <v>372</v>
      </c>
      <c r="KP28" t="s">
        <v>372</v>
      </c>
      <c r="KQ28" t="s">
        <v>372</v>
      </c>
      <c r="KR28" t="s">
        <v>372</v>
      </c>
      <c r="KS28" t="s">
        <v>372</v>
      </c>
      <c r="KT28" t="s">
        <v>372</v>
      </c>
      <c r="KU28" t="s">
        <v>372</v>
      </c>
      <c r="KV28" t="s">
        <v>372</v>
      </c>
      <c r="KW28" t="s">
        <v>372</v>
      </c>
      <c r="KX28" t="s">
        <v>372</v>
      </c>
      <c r="KY28" t="s">
        <v>372</v>
      </c>
      <c r="KZ28" t="s">
        <v>372</v>
      </c>
      <c r="LA28" t="s">
        <v>372</v>
      </c>
      <c r="LB28" t="s">
        <v>665</v>
      </c>
      <c r="LC28" t="s">
        <v>432</v>
      </c>
      <c r="LD28" t="s">
        <v>433</v>
      </c>
      <c r="LE28" t="s">
        <v>434</v>
      </c>
      <c r="LF28" t="s">
        <v>594</v>
      </c>
      <c r="LG28" t="s">
        <v>1299</v>
      </c>
      <c r="LH28" t="s">
        <v>1300</v>
      </c>
      <c r="LI28" t="s">
        <v>1301</v>
      </c>
      <c r="LJ28" t="s">
        <v>745</v>
      </c>
      <c r="LK28" t="s">
        <v>372</v>
      </c>
      <c r="LL28" t="s">
        <v>372</v>
      </c>
      <c r="LM28" t="s">
        <v>372</v>
      </c>
      <c r="LN28" t="s">
        <v>372</v>
      </c>
      <c r="LO28" t="s">
        <v>372</v>
      </c>
      <c r="LP28" t="s">
        <v>372</v>
      </c>
      <c r="LQ28" t="s">
        <v>372</v>
      </c>
      <c r="LR28" t="s">
        <v>372</v>
      </c>
      <c r="LS28" t="s">
        <v>372</v>
      </c>
      <c r="LT28" t="s">
        <v>372</v>
      </c>
      <c r="LU28" t="s">
        <v>372</v>
      </c>
      <c r="LV28" t="s">
        <v>372</v>
      </c>
      <c r="LW28" t="s">
        <v>372</v>
      </c>
      <c r="LX28" t="s">
        <v>372</v>
      </c>
      <c r="LY28" t="s">
        <v>372</v>
      </c>
      <c r="LZ28" t="s">
        <v>372</v>
      </c>
      <c r="MA28" t="s">
        <v>372</v>
      </c>
      <c r="MB28" t="s">
        <v>372</v>
      </c>
      <c r="MC28" t="s">
        <v>372</v>
      </c>
      <c r="MD28" t="s">
        <v>372</v>
      </c>
      <c r="ME28" t="s">
        <v>372</v>
      </c>
      <c r="MF28" t="s">
        <v>596</v>
      </c>
      <c r="MG28" t="s">
        <v>372</v>
      </c>
      <c r="MH28" t="s">
        <v>372</v>
      </c>
      <c r="MI28" t="s">
        <v>372</v>
      </c>
      <c r="MJ28" t="s">
        <v>372</v>
      </c>
      <c r="MK28" t="s">
        <v>597</v>
      </c>
      <c r="ML28" t="s">
        <v>372</v>
      </c>
      <c r="MM28" t="s">
        <v>382</v>
      </c>
      <c r="MN28" t="s">
        <v>372</v>
      </c>
      <c r="MO28" t="s">
        <v>372</v>
      </c>
      <c r="MP28">
        <v>5</v>
      </c>
      <c r="MQ28">
        <v>10</v>
      </c>
      <c r="MR28">
        <v>3</v>
      </c>
      <c r="MS28" t="s">
        <v>815</v>
      </c>
      <c r="MT28" t="s">
        <v>816</v>
      </c>
      <c r="MU28" t="s">
        <v>1302</v>
      </c>
      <c r="MV28" t="s">
        <v>1303</v>
      </c>
      <c r="MW28" t="s">
        <v>372</v>
      </c>
      <c r="MX28" t="s">
        <v>372</v>
      </c>
      <c r="MY28" t="s">
        <v>372</v>
      </c>
      <c r="MZ28" t="s">
        <v>382</v>
      </c>
      <c r="NA28" t="s">
        <v>382</v>
      </c>
    </row>
    <row r="29" spans="1:365">
      <c r="A29" t="s">
        <v>1304</v>
      </c>
      <c r="B29" s="8">
        <v>46104</v>
      </c>
      <c r="C29">
        <v>1</v>
      </c>
      <c r="D29">
        <v>16</v>
      </c>
      <c r="E29" t="s">
        <v>1305</v>
      </c>
      <c r="F29" t="s">
        <v>1306</v>
      </c>
      <c r="G29" t="s">
        <v>1307</v>
      </c>
      <c r="H29" t="s">
        <v>372</v>
      </c>
      <c r="I29" t="s">
        <v>491</v>
      </c>
      <c r="J29" t="s">
        <v>492</v>
      </c>
      <c r="K29" t="s">
        <v>372</v>
      </c>
      <c r="L29" t="s">
        <v>396</v>
      </c>
      <c r="M29" t="s">
        <v>683</v>
      </c>
      <c r="N29" t="s">
        <v>877</v>
      </c>
      <c r="O29" t="s">
        <v>375</v>
      </c>
      <c r="P29" t="s">
        <v>372</v>
      </c>
      <c r="Q29" t="s">
        <v>381</v>
      </c>
      <c r="R29" t="s">
        <v>379</v>
      </c>
      <c r="S29" t="s">
        <v>379</v>
      </c>
      <c r="T29" t="s">
        <v>378</v>
      </c>
      <c r="U29" t="s">
        <v>380</v>
      </c>
      <c r="V29" t="s">
        <v>826</v>
      </c>
      <c r="W29" t="s">
        <v>379</v>
      </c>
      <c r="X29" t="s">
        <v>380</v>
      </c>
      <c r="Y29" t="s">
        <v>379</v>
      </c>
      <c r="Z29" t="s">
        <v>382</v>
      </c>
      <c r="AA29" t="s">
        <v>380</v>
      </c>
      <c r="AB29" t="s">
        <v>382</v>
      </c>
      <c r="AC29" t="s">
        <v>381</v>
      </c>
      <c r="AD29" t="s">
        <v>382</v>
      </c>
      <c r="AE29" t="s">
        <v>382</v>
      </c>
      <c r="AF29" t="s">
        <v>381</v>
      </c>
      <c r="AG29" t="s">
        <v>382</v>
      </c>
      <c r="AH29" t="s">
        <v>379</v>
      </c>
      <c r="AI29" t="s">
        <v>379</v>
      </c>
      <c r="AJ29" t="s">
        <v>381</v>
      </c>
      <c r="AK29" t="s">
        <v>381</v>
      </c>
      <c r="AL29" t="s">
        <v>382</v>
      </c>
      <c r="AM29" t="s">
        <v>382</v>
      </c>
      <c r="AN29" t="s">
        <v>382</v>
      </c>
      <c r="AO29" t="s">
        <v>382</v>
      </c>
      <c r="AP29" t="s">
        <v>382</v>
      </c>
      <c r="AQ29" t="s">
        <v>382</v>
      </c>
      <c r="AR29" t="s">
        <v>380</v>
      </c>
      <c r="AS29" t="s">
        <v>379</v>
      </c>
      <c r="AT29" t="s">
        <v>381</v>
      </c>
      <c r="AU29" t="s">
        <v>380</v>
      </c>
      <c r="AV29" t="s">
        <v>379</v>
      </c>
      <c r="AW29" t="s">
        <v>382</v>
      </c>
      <c r="AX29" t="s">
        <v>855</v>
      </c>
      <c r="AY29">
        <v>1</v>
      </c>
      <c r="AZ29" t="s">
        <v>382</v>
      </c>
      <c r="BA29" t="s">
        <v>496</v>
      </c>
      <c r="BB29" t="s">
        <v>451</v>
      </c>
      <c r="BC29" t="s">
        <v>452</v>
      </c>
      <c r="BD29" t="s">
        <v>387</v>
      </c>
      <c r="BE29" t="s">
        <v>388</v>
      </c>
      <c r="BF29">
        <v>1</v>
      </c>
      <c r="BG29" t="s">
        <v>389</v>
      </c>
      <c r="BH29" t="s">
        <v>382</v>
      </c>
      <c r="BI29" t="s">
        <v>382</v>
      </c>
      <c r="BJ29" t="s">
        <v>382</v>
      </c>
      <c r="BK29" t="s">
        <v>382</v>
      </c>
      <c r="BL29" t="s">
        <v>382</v>
      </c>
      <c r="BM29" t="s">
        <v>382</v>
      </c>
      <c r="BN29" t="s">
        <v>382</v>
      </c>
      <c r="BO29" t="s">
        <v>382</v>
      </c>
      <c r="BP29" t="s">
        <v>382</v>
      </c>
      <c r="BQ29" t="s">
        <v>382</v>
      </c>
      <c r="BR29" t="s">
        <v>1308</v>
      </c>
      <c r="BS29" t="s">
        <v>382</v>
      </c>
      <c r="BT29" t="s">
        <v>382</v>
      </c>
      <c r="BU29" t="s">
        <v>382</v>
      </c>
      <c r="BV29" t="s">
        <v>382</v>
      </c>
      <c r="BW29" t="s">
        <v>382</v>
      </c>
      <c r="BX29" t="s">
        <v>382</v>
      </c>
      <c r="BY29" t="s">
        <v>382</v>
      </c>
      <c r="BZ29" t="s">
        <v>382</v>
      </c>
      <c r="CA29" t="s">
        <v>1309</v>
      </c>
      <c r="CB29" t="s">
        <v>382</v>
      </c>
      <c r="CC29" t="s">
        <v>382</v>
      </c>
      <c r="CD29" t="s">
        <v>1310</v>
      </c>
      <c r="CE29" t="s">
        <v>382</v>
      </c>
      <c r="CF29">
        <v>1</v>
      </c>
      <c r="CG29">
        <v>2</v>
      </c>
      <c r="CH29">
        <v>0</v>
      </c>
      <c r="CI29" t="s">
        <v>396</v>
      </c>
      <c r="CJ29" t="s">
        <v>382</v>
      </c>
      <c r="CK29" t="s">
        <v>394</v>
      </c>
      <c r="CL29" t="s">
        <v>395</v>
      </c>
      <c r="CM29" t="s">
        <v>393</v>
      </c>
      <c r="CN29" t="s">
        <v>395</v>
      </c>
      <c r="CO29" t="s">
        <v>397</v>
      </c>
      <c r="CP29" t="s">
        <v>395</v>
      </c>
      <c r="CQ29" t="s">
        <v>381</v>
      </c>
      <c r="CR29" t="s">
        <v>381</v>
      </c>
      <c r="CS29" t="s">
        <v>395</v>
      </c>
      <c r="CT29" t="s">
        <v>395</v>
      </c>
      <c r="CU29" t="s">
        <v>395</v>
      </c>
      <c r="CV29" t="s">
        <v>382</v>
      </c>
      <c r="CW29" t="s">
        <v>395</v>
      </c>
      <c r="CX29" t="s">
        <v>382</v>
      </c>
      <c r="CY29">
        <v>7</v>
      </c>
      <c r="CZ29" t="s">
        <v>400</v>
      </c>
      <c r="DA29" t="s">
        <v>401</v>
      </c>
      <c r="DB29" t="s">
        <v>401</v>
      </c>
      <c r="DC29" t="s">
        <v>401</v>
      </c>
      <c r="DD29" t="s">
        <v>381</v>
      </c>
      <c r="DE29" t="s">
        <v>381</v>
      </c>
      <c r="DF29" t="s">
        <v>381</v>
      </c>
      <c r="DG29" t="s">
        <v>381</v>
      </c>
      <c r="DH29" t="s">
        <v>381</v>
      </c>
      <c r="DI29" t="s">
        <v>381</v>
      </c>
      <c r="DJ29" t="s">
        <v>381</v>
      </c>
      <c r="DK29" t="s">
        <v>509</v>
      </c>
      <c r="DL29" t="s">
        <v>510</v>
      </c>
      <c r="DM29" t="s">
        <v>511</v>
      </c>
      <c r="DN29" t="s">
        <v>372</v>
      </c>
      <c r="DO29" t="s">
        <v>372</v>
      </c>
      <c r="DP29" t="s">
        <v>372</v>
      </c>
      <c r="DQ29" t="s">
        <v>372</v>
      </c>
      <c r="DR29" t="s">
        <v>372</v>
      </c>
      <c r="DS29" t="s">
        <v>372</v>
      </c>
      <c r="DT29" t="s">
        <v>372</v>
      </c>
      <c r="DU29" t="s">
        <v>372</v>
      </c>
      <c r="DV29" t="s">
        <v>372</v>
      </c>
      <c r="DW29" t="s">
        <v>372</v>
      </c>
      <c r="DX29" t="s">
        <v>372</v>
      </c>
      <c r="DY29" t="s">
        <v>372</v>
      </c>
      <c r="DZ29" t="s">
        <v>372</v>
      </c>
      <c r="EA29" t="s">
        <v>372</v>
      </c>
      <c r="EB29" t="s">
        <v>372</v>
      </c>
      <c r="EC29" t="s">
        <v>372</v>
      </c>
      <c r="ED29" t="s">
        <v>372</v>
      </c>
      <c r="EE29" t="s">
        <v>372</v>
      </c>
      <c r="EF29" t="s">
        <v>372</v>
      </c>
      <c r="EG29" t="s">
        <v>372</v>
      </c>
      <c r="EH29" t="s">
        <v>372</v>
      </c>
      <c r="EI29" t="s">
        <v>372</v>
      </c>
      <c r="EJ29" t="s">
        <v>372</v>
      </c>
      <c r="EK29" t="s">
        <v>372</v>
      </c>
      <c r="EL29" t="s">
        <v>372</v>
      </c>
      <c r="EM29" t="s">
        <v>372</v>
      </c>
      <c r="EN29" t="s">
        <v>372</v>
      </c>
      <c r="EO29" t="s">
        <v>519</v>
      </c>
      <c r="EP29" t="s">
        <v>520</v>
      </c>
      <c r="EQ29" t="s">
        <v>521</v>
      </c>
      <c r="ER29" t="s">
        <v>372</v>
      </c>
      <c r="ES29" t="s">
        <v>372</v>
      </c>
      <c r="ET29" t="s">
        <v>372</v>
      </c>
      <c r="EU29" t="s">
        <v>372</v>
      </c>
      <c r="EV29" t="s">
        <v>372</v>
      </c>
      <c r="EW29" t="s">
        <v>372</v>
      </c>
      <c r="EX29" t="s">
        <v>372</v>
      </c>
      <c r="EY29" t="s">
        <v>372</v>
      </c>
      <c r="EZ29" t="s">
        <v>372</v>
      </c>
      <c r="FA29" t="s">
        <v>372</v>
      </c>
      <c r="FB29" t="s">
        <v>372</v>
      </c>
      <c r="FC29" t="s">
        <v>372</v>
      </c>
      <c r="FD29" t="s">
        <v>372</v>
      </c>
      <c r="FE29" t="s">
        <v>372</v>
      </c>
      <c r="FF29" t="s">
        <v>372</v>
      </c>
      <c r="FG29" t="s">
        <v>372</v>
      </c>
      <c r="FH29" t="s">
        <v>372</v>
      </c>
      <c r="FI29" t="s">
        <v>372</v>
      </c>
      <c r="FJ29" t="s">
        <v>372</v>
      </c>
      <c r="FK29" t="s">
        <v>372</v>
      </c>
      <c r="FL29" t="s">
        <v>372</v>
      </c>
      <c r="FM29" t="s">
        <v>372</v>
      </c>
      <c r="FN29" t="s">
        <v>372</v>
      </c>
      <c r="FO29" t="s">
        <v>372</v>
      </c>
      <c r="FP29" t="s">
        <v>372</v>
      </c>
      <c r="FQ29" t="s">
        <v>372</v>
      </c>
      <c r="FR29" t="s">
        <v>372</v>
      </c>
      <c r="FS29" t="s">
        <v>1014</v>
      </c>
      <c r="FT29" t="s">
        <v>1015</v>
      </c>
      <c r="FU29" t="s">
        <v>525</v>
      </c>
      <c r="FV29" t="s">
        <v>1311</v>
      </c>
      <c r="FW29" t="s">
        <v>372</v>
      </c>
      <c r="FX29" t="s">
        <v>372</v>
      </c>
      <c r="FY29" t="s">
        <v>372</v>
      </c>
      <c r="FZ29" t="s">
        <v>372</v>
      </c>
      <c r="GA29" t="s">
        <v>372</v>
      </c>
      <c r="GB29" t="s">
        <v>372</v>
      </c>
      <c r="GC29" t="s">
        <v>372</v>
      </c>
      <c r="GD29" t="s">
        <v>372</v>
      </c>
      <c r="GE29" t="s">
        <v>372</v>
      </c>
      <c r="GF29" t="s">
        <v>372</v>
      </c>
      <c r="GG29" t="s">
        <v>372</v>
      </c>
      <c r="GH29" t="s">
        <v>372</v>
      </c>
      <c r="GI29" t="s">
        <v>372</v>
      </c>
      <c r="GJ29" t="s">
        <v>372</v>
      </c>
      <c r="GK29" t="s">
        <v>372</v>
      </c>
      <c r="GL29" t="s">
        <v>372</v>
      </c>
      <c r="GM29" t="s">
        <v>372</v>
      </c>
      <c r="GN29" t="s">
        <v>372</v>
      </c>
      <c r="GO29" t="s">
        <v>372</v>
      </c>
      <c r="GP29" t="s">
        <v>37</v>
      </c>
      <c r="GQ29" t="s">
        <v>372</v>
      </c>
      <c r="GR29" t="s">
        <v>372</v>
      </c>
      <c r="GS29" t="s">
        <v>372</v>
      </c>
      <c r="GT29" t="s">
        <v>372</v>
      </c>
      <c r="GU29" t="s">
        <v>372</v>
      </c>
      <c r="GV29" t="s">
        <v>372</v>
      </c>
      <c r="GW29" t="s">
        <v>372</v>
      </c>
      <c r="GX29" t="s">
        <v>372</v>
      </c>
      <c r="GY29" t="s">
        <v>372</v>
      </c>
      <c r="GZ29" t="s">
        <v>372</v>
      </c>
      <c r="HA29" t="s">
        <v>372</v>
      </c>
      <c r="HB29" t="s">
        <v>372</v>
      </c>
      <c r="HC29" t="s">
        <v>372</v>
      </c>
      <c r="HD29" t="s">
        <v>372</v>
      </c>
      <c r="HE29" t="s">
        <v>372</v>
      </c>
      <c r="HF29" t="s">
        <v>372</v>
      </c>
      <c r="HG29" t="s">
        <v>372</v>
      </c>
      <c r="HH29" t="s">
        <v>372</v>
      </c>
      <c r="HI29" t="s">
        <v>381</v>
      </c>
      <c r="HJ29" t="s">
        <v>381</v>
      </c>
      <c r="HK29" t="s">
        <v>382</v>
      </c>
      <c r="HL29" t="s">
        <v>382</v>
      </c>
      <c r="HM29" t="s">
        <v>382</v>
      </c>
      <c r="HN29" t="s">
        <v>382</v>
      </c>
      <c r="HO29" t="s">
        <v>382</v>
      </c>
      <c r="HP29" t="s">
        <v>382</v>
      </c>
      <c r="HQ29" t="s">
        <v>382</v>
      </c>
      <c r="HR29" t="s">
        <v>382</v>
      </c>
      <c r="HS29" t="s">
        <v>382</v>
      </c>
      <c r="HT29" t="s">
        <v>382</v>
      </c>
      <c r="HU29" t="s">
        <v>382</v>
      </c>
      <c r="HV29" t="s">
        <v>382</v>
      </c>
      <c r="HW29" t="s">
        <v>382</v>
      </c>
      <c r="HX29" t="s">
        <v>382</v>
      </c>
      <c r="HY29" t="s">
        <v>382</v>
      </c>
      <c r="HZ29" t="s">
        <v>382</v>
      </c>
      <c r="IA29" t="s">
        <v>382</v>
      </c>
      <c r="IB29" t="s">
        <v>382</v>
      </c>
      <c r="IC29" t="s">
        <v>395</v>
      </c>
      <c r="ID29" t="s">
        <v>395</v>
      </c>
      <c r="IE29" t="s">
        <v>395</v>
      </c>
      <c r="IF29" t="s">
        <v>395</v>
      </c>
      <c r="IG29" t="s">
        <v>395</v>
      </c>
      <c r="IH29" t="s">
        <v>395</v>
      </c>
      <c r="II29" t="s">
        <v>395</v>
      </c>
      <c r="IJ29" t="s">
        <v>379</v>
      </c>
      <c r="IK29" t="s">
        <v>381</v>
      </c>
      <c r="IL29" t="s">
        <v>395</v>
      </c>
      <c r="IM29" t="s">
        <v>395</v>
      </c>
      <c r="IN29" t="s">
        <v>395</v>
      </c>
      <c r="IO29" t="s">
        <v>395</v>
      </c>
      <c r="IP29" t="s">
        <v>395</v>
      </c>
      <c r="IQ29" t="s">
        <v>395</v>
      </c>
      <c r="IR29" t="s">
        <v>395</v>
      </c>
      <c r="IS29" t="s">
        <v>395</v>
      </c>
      <c r="IT29" t="s">
        <v>471</v>
      </c>
      <c r="IU29" t="s">
        <v>530</v>
      </c>
      <c r="IV29" t="s">
        <v>531</v>
      </c>
      <c r="IW29" t="s">
        <v>631</v>
      </c>
      <c r="IX29" t="s">
        <v>734</v>
      </c>
      <c r="IY29" t="s">
        <v>372</v>
      </c>
      <c r="IZ29" t="s">
        <v>372</v>
      </c>
      <c r="JA29" t="s">
        <v>372</v>
      </c>
      <c r="JB29" t="s">
        <v>372</v>
      </c>
      <c r="JC29" t="s">
        <v>372</v>
      </c>
      <c r="JD29" t="s">
        <v>372</v>
      </c>
      <c r="JE29" t="s">
        <v>372</v>
      </c>
      <c r="JF29" t="s">
        <v>372</v>
      </c>
      <c r="JG29" t="s">
        <v>372</v>
      </c>
      <c r="JH29" t="s">
        <v>372</v>
      </c>
      <c r="JI29" t="s">
        <v>372</v>
      </c>
      <c r="JJ29" t="s">
        <v>372</v>
      </c>
      <c r="JK29" t="s">
        <v>372</v>
      </c>
      <c r="JL29" t="s">
        <v>372</v>
      </c>
      <c r="JM29" t="s">
        <v>372</v>
      </c>
      <c r="JN29" t="s">
        <v>372</v>
      </c>
      <c r="JO29" t="s">
        <v>372</v>
      </c>
      <c r="JP29" t="s">
        <v>372</v>
      </c>
      <c r="JQ29" t="s">
        <v>372</v>
      </c>
      <c r="JR29" t="s">
        <v>372</v>
      </c>
      <c r="JS29" t="s">
        <v>372</v>
      </c>
      <c r="JT29" t="s">
        <v>372</v>
      </c>
      <c r="JU29" t="s">
        <v>372</v>
      </c>
      <c r="JV29" t="s">
        <v>372</v>
      </c>
      <c r="JW29" t="s">
        <v>372</v>
      </c>
      <c r="JX29" t="s">
        <v>476</v>
      </c>
      <c r="JY29" t="s">
        <v>534</v>
      </c>
      <c r="JZ29" t="s">
        <v>535</v>
      </c>
      <c r="KA29" t="s">
        <v>426</v>
      </c>
      <c r="KB29" t="s">
        <v>372</v>
      </c>
      <c r="KC29" t="s">
        <v>372</v>
      </c>
      <c r="KD29" t="s">
        <v>372</v>
      </c>
      <c r="KE29" t="s">
        <v>372</v>
      </c>
      <c r="KF29" t="s">
        <v>372</v>
      </c>
      <c r="KG29" t="s">
        <v>372</v>
      </c>
      <c r="KH29" t="s">
        <v>372</v>
      </c>
      <c r="KI29" t="s">
        <v>372</v>
      </c>
      <c r="KJ29" t="s">
        <v>372</v>
      </c>
      <c r="KK29" t="s">
        <v>372</v>
      </c>
      <c r="KL29" t="s">
        <v>372</v>
      </c>
      <c r="KM29" t="s">
        <v>372</v>
      </c>
      <c r="KN29" t="s">
        <v>372</v>
      </c>
      <c r="KO29" t="s">
        <v>372</v>
      </c>
      <c r="KP29" t="s">
        <v>372</v>
      </c>
      <c r="KQ29" t="s">
        <v>372</v>
      </c>
      <c r="KR29" t="s">
        <v>372</v>
      </c>
      <c r="KS29" t="s">
        <v>372</v>
      </c>
      <c r="KT29" t="s">
        <v>372</v>
      </c>
      <c r="KU29" t="s">
        <v>372</v>
      </c>
      <c r="KV29" t="s">
        <v>372</v>
      </c>
      <c r="KW29" t="s">
        <v>372</v>
      </c>
      <c r="KX29" t="s">
        <v>372</v>
      </c>
      <c r="KY29" t="s">
        <v>372</v>
      </c>
      <c r="KZ29" t="s">
        <v>372</v>
      </c>
      <c r="LA29" t="s">
        <v>372</v>
      </c>
      <c r="LB29" t="s">
        <v>479</v>
      </c>
      <c r="LC29" t="s">
        <v>538</v>
      </c>
      <c r="LD29" t="s">
        <v>539</v>
      </c>
      <c r="LE29" t="s">
        <v>594</v>
      </c>
      <c r="LF29" t="s">
        <v>745</v>
      </c>
      <c r="LG29" t="s">
        <v>372</v>
      </c>
      <c r="LH29" t="s">
        <v>372</v>
      </c>
      <c r="LI29" t="s">
        <v>372</v>
      </c>
      <c r="LJ29" t="s">
        <v>372</v>
      </c>
      <c r="LK29" t="s">
        <v>372</v>
      </c>
      <c r="LL29" t="s">
        <v>372</v>
      </c>
      <c r="LM29" t="s">
        <v>372</v>
      </c>
      <c r="LN29" t="s">
        <v>372</v>
      </c>
      <c r="LO29" t="s">
        <v>372</v>
      </c>
      <c r="LP29" t="s">
        <v>372</v>
      </c>
      <c r="LQ29" t="s">
        <v>372</v>
      </c>
      <c r="LR29" t="s">
        <v>372</v>
      </c>
      <c r="LS29" t="s">
        <v>372</v>
      </c>
      <c r="LT29" t="s">
        <v>372</v>
      </c>
      <c r="LU29" t="s">
        <v>372</v>
      </c>
      <c r="LV29" t="s">
        <v>372</v>
      </c>
      <c r="LW29" t="s">
        <v>372</v>
      </c>
      <c r="LX29" t="s">
        <v>372</v>
      </c>
      <c r="LY29" t="s">
        <v>372</v>
      </c>
      <c r="LZ29" t="s">
        <v>372</v>
      </c>
      <c r="MA29" t="s">
        <v>372</v>
      </c>
      <c r="MB29" t="s">
        <v>372</v>
      </c>
      <c r="MC29" t="s">
        <v>372</v>
      </c>
      <c r="MD29" t="s">
        <v>372</v>
      </c>
      <c r="ME29" t="s">
        <v>372</v>
      </c>
      <c r="MF29" t="s">
        <v>542</v>
      </c>
      <c r="MG29" t="s">
        <v>372</v>
      </c>
      <c r="MH29" t="s">
        <v>372</v>
      </c>
      <c r="MI29" t="s">
        <v>372</v>
      </c>
      <c r="MJ29" t="s">
        <v>372</v>
      </c>
      <c r="MK29" t="s">
        <v>543</v>
      </c>
      <c r="ML29" t="s">
        <v>372</v>
      </c>
      <c r="MM29" t="s">
        <v>382</v>
      </c>
      <c r="MN29" t="s">
        <v>372</v>
      </c>
      <c r="MO29" t="s">
        <v>372</v>
      </c>
      <c r="MP29">
        <v>5</v>
      </c>
      <c r="MQ29">
        <v>11</v>
      </c>
      <c r="MR29">
        <v>5</v>
      </c>
      <c r="MS29" t="s">
        <v>907</v>
      </c>
      <c r="MT29" t="s">
        <v>908</v>
      </c>
      <c r="MU29" t="s">
        <v>442</v>
      </c>
      <c r="MV29" t="s">
        <v>443</v>
      </c>
      <c r="MW29" t="s">
        <v>372</v>
      </c>
      <c r="MX29" t="s">
        <v>372</v>
      </c>
      <c r="MY29" t="s">
        <v>372</v>
      </c>
      <c r="MZ29" t="s">
        <v>382</v>
      </c>
      <c r="NA29" t="s">
        <v>382</v>
      </c>
    </row>
    <row r="30" spans="1:365">
      <c r="A30" t="s">
        <v>1312</v>
      </c>
      <c r="B30" s="8">
        <v>46104</v>
      </c>
      <c r="C30">
        <v>4</v>
      </c>
      <c r="D30">
        <v>42</v>
      </c>
      <c r="E30" t="s">
        <v>1313</v>
      </c>
      <c r="F30" t="s">
        <v>1314</v>
      </c>
      <c r="G30" t="s">
        <v>372</v>
      </c>
      <c r="H30" t="s">
        <v>369</v>
      </c>
      <c r="I30" t="s">
        <v>491</v>
      </c>
      <c r="J30" t="s">
        <v>492</v>
      </c>
      <c r="K30" t="s">
        <v>372</v>
      </c>
      <c r="L30" t="s">
        <v>556</v>
      </c>
      <c r="M30" t="s">
        <v>557</v>
      </c>
      <c r="N30" t="s">
        <v>640</v>
      </c>
      <c r="O30" t="s">
        <v>1315</v>
      </c>
      <c r="P30" t="s">
        <v>372</v>
      </c>
      <c r="Q30" t="s">
        <v>381</v>
      </c>
      <c r="R30" t="s">
        <v>379</v>
      </c>
      <c r="S30" t="s">
        <v>379</v>
      </c>
      <c r="T30" t="s">
        <v>379</v>
      </c>
      <c r="U30" t="s">
        <v>380</v>
      </c>
      <c r="V30" t="s">
        <v>1119</v>
      </c>
      <c r="W30" t="s">
        <v>380</v>
      </c>
      <c r="X30" t="s">
        <v>379</v>
      </c>
      <c r="Y30" t="s">
        <v>379</v>
      </c>
      <c r="Z30" t="s">
        <v>382</v>
      </c>
      <c r="AA30" t="s">
        <v>381</v>
      </c>
      <c r="AB30" t="s">
        <v>381</v>
      </c>
      <c r="AC30" t="s">
        <v>380</v>
      </c>
      <c r="AD30" t="s">
        <v>382</v>
      </c>
      <c r="AE30" t="s">
        <v>382</v>
      </c>
      <c r="AF30" t="s">
        <v>382</v>
      </c>
      <c r="AG30" t="s">
        <v>382</v>
      </c>
      <c r="AH30" t="s">
        <v>381</v>
      </c>
      <c r="AI30" t="s">
        <v>380</v>
      </c>
      <c r="AJ30" t="s">
        <v>381</v>
      </c>
      <c r="AK30" t="s">
        <v>382</v>
      </c>
      <c r="AL30" t="s">
        <v>382</v>
      </c>
      <c r="AM30" t="s">
        <v>381</v>
      </c>
      <c r="AN30" t="s">
        <v>380</v>
      </c>
      <c r="AO30" t="s">
        <v>382</v>
      </c>
      <c r="AP30" t="s">
        <v>380</v>
      </c>
      <c r="AQ30" t="s">
        <v>381</v>
      </c>
      <c r="AR30" t="s">
        <v>380</v>
      </c>
      <c r="AS30" t="s">
        <v>382</v>
      </c>
      <c r="AT30" t="s">
        <v>379</v>
      </c>
      <c r="AU30" t="s">
        <v>381</v>
      </c>
      <c r="AV30" t="s">
        <v>381</v>
      </c>
      <c r="AW30" t="s">
        <v>380</v>
      </c>
      <c r="AX30" t="s">
        <v>855</v>
      </c>
      <c r="AY30">
        <v>1</v>
      </c>
      <c r="AZ30" t="s">
        <v>382</v>
      </c>
      <c r="BA30" t="s">
        <v>1120</v>
      </c>
      <c r="BB30" t="s">
        <v>451</v>
      </c>
      <c r="BC30" t="s">
        <v>452</v>
      </c>
      <c r="BD30" t="s">
        <v>387</v>
      </c>
      <c r="BE30" t="s">
        <v>388</v>
      </c>
      <c r="BF30">
        <v>1</v>
      </c>
      <c r="BG30" t="s">
        <v>389</v>
      </c>
      <c r="BH30" t="s">
        <v>382</v>
      </c>
      <c r="BI30" t="s">
        <v>382</v>
      </c>
      <c r="BJ30" t="s">
        <v>382</v>
      </c>
      <c r="BK30" t="s">
        <v>382</v>
      </c>
      <c r="BL30" t="s">
        <v>382</v>
      </c>
      <c r="BM30" t="s">
        <v>382</v>
      </c>
      <c r="BN30" t="s">
        <v>382</v>
      </c>
      <c r="BO30" t="s">
        <v>382</v>
      </c>
      <c r="BP30" t="s">
        <v>382</v>
      </c>
      <c r="BQ30" t="s">
        <v>382</v>
      </c>
      <c r="BR30" t="s">
        <v>382</v>
      </c>
      <c r="BS30" t="s">
        <v>382</v>
      </c>
      <c r="BT30" t="s">
        <v>382</v>
      </c>
      <c r="BU30" t="s">
        <v>382</v>
      </c>
      <c r="BV30" t="s">
        <v>382</v>
      </c>
      <c r="BW30" t="s">
        <v>382</v>
      </c>
      <c r="BX30" t="s">
        <v>382</v>
      </c>
      <c r="BY30" t="s">
        <v>382</v>
      </c>
      <c r="BZ30" t="s">
        <v>382</v>
      </c>
      <c r="CA30" t="s">
        <v>382</v>
      </c>
      <c r="CB30" t="s">
        <v>382</v>
      </c>
      <c r="CC30" t="s">
        <v>382</v>
      </c>
      <c r="CD30" t="s">
        <v>382</v>
      </c>
      <c r="CE30" t="s">
        <v>382</v>
      </c>
      <c r="CF30">
        <v>3</v>
      </c>
      <c r="CG30">
        <v>2</v>
      </c>
      <c r="CH30">
        <v>1</v>
      </c>
      <c r="CI30" t="s">
        <v>397</v>
      </c>
      <c r="CJ30" t="s">
        <v>381</v>
      </c>
      <c r="CK30" t="s">
        <v>394</v>
      </c>
      <c r="CL30" t="s">
        <v>395</v>
      </c>
      <c r="CM30" t="s">
        <v>393</v>
      </c>
      <c r="CN30" t="s">
        <v>395</v>
      </c>
      <c r="CO30" t="s">
        <v>396</v>
      </c>
      <c r="CP30" t="s">
        <v>395</v>
      </c>
      <c r="CQ30" t="s">
        <v>381</v>
      </c>
      <c r="CR30" t="s">
        <v>381</v>
      </c>
      <c r="CS30" t="s">
        <v>395</v>
      </c>
      <c r="CT30" t="s">
        <v>395</v>
      </c>
      <c r="CU30" t="s">
        <v>395</v>
      </c>
      <c r="CV30" t="s">
        <v>382</v>
      </c>
      <c r="CW30" t="s">
        <v>395</v>
      </c>
      <c r="CX30" t="s">
        <v>382</v>
      </c>
      <c r="CY30">
        <v>6</v>
      </c>
      <c r="CZ30" t="s">
        <v>400</v>
      </c>
      <c r="DA30" t="s">
        <v>401</v>
      </c>
      <c r="DB30" t="s">
        <v>401</v>
      </c>
      <c r="DC30" t="s">
        <v>401</v>
      </c>
      <c r="DD30" t="s">
        <v>401</v>
      </c>
      <c r="DE30" t="s">
        <v>1316</v>
      </c>
      <c r="DF30" t="s">
        <v>1317</v>
      </c>
      <c r="DG30" t="s">
        <v>381</v>
      </c>
      <c r="DH30" t="s">
        <v>381</v>
      </c>
      <c r="DI30" t="s">
        <v>381</v>
      </c>
      <c r="DJ30" t="s">
        <v>381</v>
      </c>
      <c r="DK30" t="s">
        <v>504</v>
      </c>
      <c r="DL30" t="s">
        <v>1318</v>
      </c>
      <c r="DM30" t="s">
        <v>1319</v>
      </c>
      <c r="DN30" t="s">
        <v>1320</v>
      </c>
      <c r="DO30" t="s">
        <v>372</v>
      </c>
      <c r="DP30" t="s">
        <v>372</v>
      </c>
      <c r="DQ30" t="s">
        <v>372</v>
      </c>
      <c r="DR30" t="s">
        <v>372</v>
      </c>
      <c r="DS30" t="s">
        <v>372</v>
      </c>
      <c r="DT30" t="s">
        <v>372</v>
      </c>
      <c r="DU30" t="s">
        <v>372</v>
      </c>
      <c r="DV30" t="s">
        <v>372</v>
      </c>
      <c r="DW30" t="s">
        <v>372</v>
      </c>
      <c r="DX30" t="s">
        <v>372</v>
      </c>
      <c r="DY30" t="s">
        <v>372</v>
      </c>
      <c r="DZ30" t="s">
        <v>372</v>
      </c>
      <c r="EA30" t="s">
        <v>372</v>
      </c>
      <c r="EB30" t="s">
        <v>372</v>
      </c>
      <c r="EC30" t="s">
        <v>372</v>
      </c>
      <c r="ED30" t="s">
        <v>372</v>
      </c>
      <c r="EE30" t="s">
        <v>372</v>
      </c>
      <c r="EF30" t="s">
        <v>372</v>
      </c>
      <c r="EG30" t="s">
        <v>372</v>
      </c>
      <c r="EH30" t="s">
        <v>372</v>
      </c>
      <c r="EI30" t="s">
        <v>372</v>
      </c>
      <c r="EJ30" t="s">
        <v>372</v>
      </c>
      <c r="EK30" t="s">
        <v>372</v>
      </c>
      <c r="EL30" t="s">
        <v>372</v>
      </c>
      <c r="EM30" t="s">
        <v>372</v>
      </c>
      <c r="EN30" t="s">
        <v>372</v>
      </c>
      <c r="EO30" t="s">
        <v>514</v>
      </c>
      <c r="EP30" t="s">
        <v>1321</v>
      </c>
      <c r="EQ30" t="s">
        <v>463</v>
      </c>
      <c r="ER30" t="s">
        <v>1322</v>
      </c>
      <c r="ES30" t="s">
        <v>372</v>
      </c>
      <c r="ET30" t="s">
        <v>372</v>
      </c>
      <c r="EU30" t="s">
        <v>372</v>
      </c>
      <c r="EV30" t="s">
        <v>372</v>
      </c>
      <c r="EW30" t="s">
        <v>372</v>
      </c>
      <c r="EX30" t="s">
        <v>372</v>
      </c>
      <c r="EY30" t="s">
        <v>372</v>
      </c>
      <c r="EZ30" t="s">
        <v>372</v>
      </c>
      <c r="FA30" t="s">
        <v>372</v>
      </c>
      <c r="FB30" t="s">
        <v>372</v>
      </c>
      <c r="FC30" t="s">
        <v>372</v>
      </c>
      <c r="FD30" t="s">
        <v>372</v>
      </c>
      <c r="FE30" t="s">
        <v>372</v>
      </c>
      <c r="FF30" t="s">
        <v>372</v>
      </c>
      <c r="FG30" t="s">
        <v>372</v>
      </c>
      <c r="FH30" t="s">
        <v>372</v>
      </c>
      <c r="FI30" t="s">
        <v>372</v>
      </c>
      <c r="FJ30" t="s">
        <v>372</v>
      </c>
      <c r="FK30" t="s">
        <v>372</v>
      </c>
      <c r="FL30" t="s">
        <v>372</v>
      </c>
      <c r="FM30" t="s">
        <v>372</v>
      </c>
      <c r="FN30" t="s">
        <v>372</v>
      </c>
      <c r="FO30" t="s">
        <v>372</v>
      </c>
      <c r="FP30" t="s">
        <v>372</v>
      </c>
      <c r="FQ30" t="s">
        <v>372</v>
      </c>
      <c r="FR30" t="s">
        <v>372</v>
      </c>
      <c r="FS30" t="s">
        <v>385</v>
      </c>
      <c r="FT30" t="s">
        <v>895</v>
      </c>
      <c r="FU30" t="s">
        <v>412</v>
      </c>
      <c r="FV30" t="s">
        <v>372</v>
      </c>
      <c r="FW30" t="s">
        <v>372</v>
      </c>
      <c r="FX30" t="s">
        <v>372</v>
      </c>
      <c r="FY30" t="s">
        <v>372</v>
      </c>
      <c r="FZ30" t="s">
        <v>372</v>
      </c>
      <c r="GA30" t="s">
        <v>372</v>
      </c>
      <c r="GB30" t="s">
        <v>372</v>
      </c>
      <c r="GC30" t="s">
        <v>372</v>
      </c>
      <c r="GD30" t="s">
        <v>372</v>
      </c>
      <c r="GE30" t="s">
        <v>372</v>
      </c>
      <c r="GF30" t="s">
        <v>372</v>
      </c>
      <c r="GG30" t="s">
        <v>372</v>
      </c>
      <c r="GH30" t="s">
        <v>372</v>
      </c>
      <c r="GI30" t="s">
        <v>372</v>
      </c>
      <c r="GJ30" t="s">
        <v>372</v>
      </c>
      <c r="GK30" t="s">
        <v>372</v>
      </c>
      <c r="GL30" t="s">
        <v>372</v>
      </c>
      <c r="GM30" t="s">
        <v>372</v>
      </c>
      <c r="GN30" t="s">
        <v>372</v>
      </c>
      <c r="GO30" t="s">
        <v>1323</v>
      </c>
      <c r="GP30" t="s">
        <v>372</v>
      </c>
      <c r="GQ30" t="s">
        <v>372</v>
      </c>
      <c r="GR30" t="s">
        <v>372</v>
      </c>
      <c r="GS30" t="s">
        <v>372</v>
      </c>
      <c r="GT30" t="s">
        <v>372</v>
      </c>
      <c r="GU30" t="s">
        <v>372</v>
      </c>
      <c r="GV30" t="s">
        <v>372</v>
      </c>
      <c r="GW30" t="s">
        <v>372</v>
      </c>
      <c r="GX30" t="s">
        <v>372</v>
      </c>
      <c r="GY30" t="s">
        <v>372</v>
      </c>
      <c r="GZ30" t="s">
        <v>372</v>
      </c>
      <c r="HA30" t="s">
        <v>372</v>
      </c>
      <c r="HB30" t="s">
        <v>372</v>
      </c>
      <c r="HC30" t="s">
        <v>372</v>
      </c>
      <c r="HD30" t="s">
        <v>372</v>
      </c>
      <c r="HE30" t="s">
        <v>372</v>
      </c>
      <c r="HF30" t="s">
        <v>372</v>
      </c>
      <c r="HG30" t="s">
        <v>372</v>
      </c>
      <c r="HH30" t="s">
        <v>372</v>
      </c>
      <c r="HI30" t="s">
        <v>379</v>
      </c>
      <c r="HJ30" t="s">
        <v>382</v>
      </c>
      <c r="HK30" t="s">
        <v>382</v>
      </c>
      <c r="HL30" t="s">
        <v>382</v>
      </c>
      <c r="HM30" t="s">
        <v>382</v>
      </c>
      <c r="HN30" t="s">
        <v>382</v>
      </c>
      <c r="HO30" t="s">
        <v>382</v>
      </c>
      <c r="HP30" t="s">
        <v>382</v>
      </c>
      <c r="HQ30" t="s">
        <v>382</v>
      </c>
      <c r="HR30" t="s">
        <v>382</v>
      </c>
      <c r="HS30" t="s">
        <v>382</v>
      </c>
      <c r="HT30" t="s">
        <v>382</v>
      </c>
      <c r="HU30" t="s">
        <v>382</v>
      </c>
      <c r="HV30" t="s">
        <v>382</v>
      </c>
      <c r="HW30" t="s">
        <v>382</v>
      </c>
      <c r="HX30" t="s">
        <v>382</v>
      </c>
      <c r="HY30" t="s">
        <v>382</v>
      </c>
      <c r="HZ30" t="s">
        <v>382</v>
      </c>
      <c r="IA30" t="s">
        <v>382</v>
      </c>
      <c r="IB30" t="s">
        <v>382</v>
      </c>
      <c r="IC30" t="s">
        <v>381</v>
      </c>
      <c r="ID30" t="s">
        <v>395</v>
      </c>
      <c r="IE30" t="s">
        <v>395</v>
      </c>
      <c r="IF30" t="s">
        <v>395</v>
      </c>
      <c r="IG30" t="s">
        <v>395</v>
      </c>
      <c r="IH30" t="s">
        <v>395</v>
      </c>
      <c r="II30" t="s">
        <v>395</v>
      </c>
      <c r="IJ30" t="s">
        <v>380</v>
      </c>
      <c r="IK30" t="s">
        <v>380</v>
      </c>
      <c r="IL30" t="s">
        <v>395</v>
      </c>
      <c r="IM30" t="s">
        <v>395</v>
      </c>
      <c r="IN30" t="s">
        <v>395</v>
      </c>
      <c r="IO30" t="s">
        <v>395</v>
      </c>
      <c r="IP30" t="s">
        <v>395</v>
      </c>
      <c r="IQ30" t="s">
        <v>395</v>
      </c>
      <c r="IR30" t="s">
        <v>395</v>
      </c>
      <c r="IS30" t="s">
        <v>395</v>
      </c>
      <c r="IT30" t="s">
        <v>652</v>
      </c>
      <c r="IU30" t="s">
        <v>471</v>
      </c>
      <c r="IV30" t="s">
        <v>530</v>
      </c>
      <c r="IW30" t="s">
        <v>584</v>
      </c>
      <c r="IX30" t="s">
        <v>372</v>
      </c>
      <c r="IY30" t="s">
        <v>372</v>
      </c>
      <c r="IZ30" t="s">
        <v>372</v>
      </c>
      <c r="JA30" t="s">
        <v>372</v>
      </c>
      <c r="JB30" t="s">
        <v>372</v>
      </c>
      <c r="JC30" t="s">
        <v>372</v>
      </c>
      <c r="JD30" t="s">
        <v>372</v>
      </c>
      <c r="JE30" t="s">
        <v>372</v>
      </c>
      <c r="JF30" t="s">
        <v>372</v>
      </c>
      <c r="JG30" t="s">
        <v>372</v>
      </c>
      <c r="JH30" t="s">
        <v>372</v>
      </c>
      <c r="JI30" t="s">
        <v>372</v>
      </c>
      <c r="JJ30" t="s">
        <v>372</v>
      </c>
      <c r="JK30" t="s">
        <v>372</v>
      </c>
      <c r="JL30" t="s">
        <v>372</v>
      </c>
      <c r="JM30" t="s">
        <v>372</v>
      </c>
      <c r="JN30" t="s">
        <v>372</v>
      </c>
      <c r="JO30" t="s">
        <v>372</v>
      </c>
      <c r="JP30" t="s">
        <v>372</v>
      </c>
      <c r="JQ30" t="s">
        <v>372</v>
      </c>
      <c r="JR30" t="s">
        <v>372</v>
      </c>
      <c r="JS30" t="s">
        <v>372</v>
      </c>
      <c r="JT30" t="s">
        <v>372</v>
      </c>
      <c r="JU30" t="s">
        <v>372</v>
      </c>
      <c r="JV30" t="s">
        <v>372</v>
      </c>
      <c r="JW30" t="s">
        <v>372</v>
      </c>
      <c r="JX30" t="s">
        <v>1324</v>
      </c>
      <c r="JY30" t="s">
        <v>476</v>
      </c>
      <c r="JZ30" t="s">
        <v>534</v>
      </c>
      <c r="KA30" t="s">
        <v>426</v>
      </c>
      <c r="KB30" t="s">
        <v>372</v>
      </c>
      <c r="KC30" t="s">
        <v>372</v>
      </c>
      <c r="KD30" t="s">
        <v>372</v>
      </c>
      <c r="KE30" t="s">
        <v>372</v>
      </c>
      <c r="KF30" t="s">
        <v>372</v>
      </c>
      <c r="KG30" t="s">
        <v>372</v>
      </c>
      <c r="KH30" t="s">
        <v>372</v>
      </c>
      <c r="KI30" t="s">
        <v>372</v>
      </c>
      <c r="KJ30" t="s">
        <v>372</v>
      </c>
      <c r="KK30" t="s">
        <v>372</v>
      </c>
      <c r="KL30" t="s">
        <v>372</v>
      </c>
      <c r="KM30" t="s">
        <v>372</v>
      </c>
      <c r="KN30" t="s">
        <v>372</v>
      </c>
      <c r="KO30" t="s">
        <v>372</v>
      </c>
      <c r="KP30" t="s">
        <v>372</v>
      </c>
      <c r="KQ30" t="s">
        <v>372</v>
      </c>
      <c r="KR30" t="s">
        <v>372</v>
      </c>
      <c r="KS30" t="s">
        <v>372</v>
      </c>
      <c r="KT30" t="s">
        <v>372</v>
      </c>
      <c r="KU30" t="s">
        <v>372</v>
      </c>
      <c r="KV30" t="s">
        <v>372</v>
      </c>
      <c r="KW30" t="s">
        <v>372</v>
      </c>
      <c r="KX30" t="s">
        <v>372</v>
      </c>
      <c r="KY30" t="s">
        <v>372</v>
      </c>
      <c r="KZ30" t="s">
        <v>372</v>
      </c>
      <c r="LA30" t="s">
        <v>372</v>
      </c>
      <c r="LB30" t="s">
        <v>664</v>
      </c>
      <c r="LC30" t="s">
        <v>479</v>
      </c>
      <c r="LD30" t="s">
        <v>538</v>
      </c>
      <c r="LE30" t="s">
        <v>594</v>
      </c>
      <c r="LF30" t="s">
        <v>372</v>
      </c>
      <c r="LG30" t="s">
        <v>372</v>
      </c>
      <c r="LH30" t="s">
        <v>372</v>
      </c>
      <c r="LI30" t="s">
        <v>372</v>
      </c>
      <c r="LJ30" t="s">
        <v>372</v>
      </c>
      <c r="LK30" t="s">
        <v>372</v>
      </c>
      <c r="LL30" t="s">
        <v>372</v>
      </c>
      <c r="LM30" t="s">
        <v>372</v>
      </c>
      <c r="LN30" t="s">
        <v>372</v>
      </c>
      <c r="LO30" t="s">
        <v>372</v>
      </c>
      <c r="LP30" t="s">
        <v>372</v>
      </c>
      <c r="LQ30" t="s">
        <v>372</v>
      </c>
      <c r="LR30" t="s">
        <v>372</v>
      </c>
      <c r="LS30" t="s">
        <v>372</v>
      </c>
      <c r="LT30" t="s">
        <v>372</v>
      </c>
      <c r="LU30" t="s">
        <v>372</v>
      </c>
      <c r="LV30" t="s">
        <v>372</v>
      </c>
      <c r="LW30" t="s">
        <v>372</v>
      </c>
      <c r="LX30" t="s">
        <v>372</v>
      </c>
      <c r="LY30" t="s">
        <v>372</v>
      </c>
      <c r="LZ30" t="s">
        <v>372</v>
      </c>
      <c r="MA30" t="s">
        <v>372</v>
      </c>
      <c r="MB30" t="s">
        <v>372</v>
      </c>
      <c r="MC30" t="s">
        <v>372</v>
      </c>
      <c r="MD30" t="s">
        <v>372</v>
      </c>
      <c r="ME30" t="s">
        <v>372</v>
      </c>
      <c r="MF30" t="s">
        <v>542</v>
      </c>
      <c r="MG30" t="s">
        <v>372</v>
      </c>
      <c r="MH30" t="s">
        <v>372</v>
      </c>
      <c r="MI30" t="s">
        <v>372</v>
      </c>
      <c r="MJ30" t="s">
        <v>372</v>
      </c>
      <c r="MK30" t="s">
        <v>543</v>
      </c>
      <c r="ML30" t="s">
        <v>372</v>
      </c>
      <c r="MM30" t="s">
        <v>382</v>
      </c>
      <c r="MN30" t="s">
        <v>372</v>
      </c>
      <c r="MO30" t="s">
        <v>372</v>
      </c>
      <c r="MP30">
        <v>5</v>
      </c>
      <c r="MQ30">
        <v>10</v>
      </c>
      <c r="MR30">
        <v>3</v>
      </c>
      <c r="MS30" t="s">
        <v>671</v>
      </c>
      <c r="MT30" t="s">
        <v>672</v>
      </c>
      <c r="MU30" t="s">
        <v>1325</v>
      </c>
      <c r="MV30" t="s">
        <v>1326</v>
      </c>
      <c r="MW30" t="s">
        <v>372</v>
      </c>
      <c r="MX30" t="s">
        <v>372</v>
      </c>
      <c r="MY30" t="s">
        <v>372</v>
      </c>
      <c r="MZ30" t="s">
        <v>931</v>
      </c>
      <c r="NA30" t="s">
        <v>382</v>
      </c>
    </row>
    <row r="31" spans="1:365">
      <c r="A31" t="s">
        <v>1327</v>
      </c>
      <c r="B31" s="8">
        <v>46104</v>
      </c>
      <c r="C31">
        <v>0</v>
      </c>
      <c r="D31">
        <v>20</v>
      </c>
      <c r="E31" t="s">
        <v>1328</v>
      </c>
      <c r="F31" t="s">
        <v>1329</v>
      </c>
      <c r="G31" t="s">
        <v>1330</v>
      </c>
      <c r="H31" t="s">
        <v>552</v>
      </c>
      <c r="I31" t="s">
        <v>370</v>
      </c>
      <c r="J31" t="s">
        <v>371</v>
      </c>
      <c r="K31" t="s">
        <v>372</v>
      </c>
      <c r="L31" t="s">
        <v>396</v>
      </c>
      <c r="M31" t="s">
        <v>683</v>
      </c>
      <c r="N31" t="s">
        <v>376</v>
      </c>
      <c r="O31" t="s">
        <v>759</v>
      </c>
      <c r="P31" t="s">
        <v>372</v>
      </c>
      <c r="Q31" t="s">
        <v>379</v>
      </c>
      <c r="R31" t="s">
        <v>379</v>
      </c>
      <c r="S31" t="s">
        <v>379</v>
      </c>
      <c r="T31" t="s">
        <v>380</v>
      </c>
      <c r="U31" t="s">
        <v>379</v>
      </c>
      <c r="V31" t="s">
        <v>381</v>
      </c>
      <c r="W31" t="s">
        <v>379</v>
      </c>
      <c r="X31" t="s">
        <v>379</v>
      </c>
      <c r="Y31" t="s">
        <v>381</v>
      </c>
      <c r="Z31" t="s">
        <v>689</v>
      </c>
      <c r="AA31" t="s">
        <v>381</v>
      </c>
      <c r="AB31" t="s">
        <v>382</v>
      </c>
      <c r="AC31" t="s">
        <v>380</v>
      </c>
      <c r="AD31" t="s">
        <v>382</v>
      </c>
      <c r="AE31" t="s">
        <v>688</v>
      </c>
      <c r="AF31" t="s">
        <v>689</v>
      </c>
      <c r="AG31" t="s">
        <v>382</v>
      </c>
      <c r="AH31" t="s">
        <v>381</v>
      </c>
      <c r="AI31" t="s">
        <v>382</v>
      </c>
      <c r="AJ31" t="s">
        <v>382</v>
      </c>
      <c r="AK31" t="s">
        <v>382</v>
      </c>
      <c r="AL31" t="s">
        <v>382</v>
      </c>
      <c r="AM31" t="s">
        <v>379</v>
      </c>
      <c r="AN31" t="s">
        <v>382</v>
      </c>
      <c r="AO31" t="s">
        <v>382</v>
      </c>
      <c r="AP31" t="s">
        <v>382</v>
      </c>
      <c r="AQ31" t="s">
        <v>379</v>
      </c>
      <c r="AR31" t="s">
        <v>382</v>
      </c>
      <c r="AS31" t="s">
        <v>382</v>
      </c>
      <c r="AT31" t="s">
        <v>382</v>
      </c>
      <c r="AU31" t="s">
        <v>381</v>
      </c>
      <c r="AV31" t="s">
        <v>382</v>
      </c>
      <c r="AW31" t="s">
        <v>379</v>
      </c>
      <c r="AX31" t="s">
        <v>855</v>
      </c>
      <c r="AY31">
        <v>1</v>
      </c>
      <c r="AZ31" t="s">
        <v>382</v>
      </c>
      <c r="BA31" t="s">
        <v>1331</v>
      </c>
      <c r="BB31" t="s">
        <v>385</v>
      </c>
      <c r="BC31" t="s">
        <v>386</v>
      </c>
      <c r="BD31" t="s">
        <v>387</v>
      </c>
      <c r="BE31" t="s">
        <v>388</v>
      </c>
      <c r="BF31">
        <v>1</v>
      </c>
      <c r="BG31" t="s">
        <v>389</v>
      </c>
      <c r="BH31" t="s">
        <v>1332</v>
      </c>
      <c r="BI31" t="s">
        <v>382</v>
      </c>
      <c r="BJ31" t="s">
        <v>382</v>
      </c>
      <c r="BK31" t="s">
        <v>382</v>
      </c>
      <c r="BL31" t="s">
        <v>382</v>
      </c>
      <c r="BM31" t="s">
        <v>1333</v>
      </c>
      <c r="BN31" t="s">
        <v>1334</v>
      </c>
      <c r="BO31" t="s">
        <v>382</v>
      </c>
      <c r="BP31" t="s">
        <v>382</v>
      </c>
      <c r="BQ31" t="s">
        <v>382</v>
      </c>
      <c r="BR31" t="s">
        <v>382</v>
      </c>
      <c r="BS31" t="s">
        <v>382</v>
      </c>
      <c r="BT31" t="s">
        <v>382</v>
      </c>
      <c r="BU31" t="s">
        <v>382</v>
      </c>
      <c r="BV31" t="s">
        <v>382</v>
      </c>
      <c r="BW31" t="s">
        <v>382</v>
      </c>
      <c r="BX31" t="s">
        <v>382</v>
      </c>
      <c r="BY31" t="s">
        <v>382</v>
      </c>
      <c r="BZ31" t="s">
        <v>382</v>
      </c>
      <c r="CA31" t="s">
        <v>382</v>
      </c>
      <c r="CB31" t="s">
        <v>382</v>
      </c>
      <c r="CC31" t="s">
        <v>382</v>
      </c>
      <c r="CD31" t="s">
        <v>382</v>
      </c>
      <c r="CE31" t="s">
        <v>382</v>
      </c>
      <c r="CF31">
        <v>2</v>
      </c>
      <c r="CG31">
        <v>1</v>
      </c>
      <c r="CH31">
        <v>2</v>
      </c>
      <c r="CI31" t="s">
        <v>396</v>
      </c>
      <c r="CJ31" t="s">
        <v>380</v>
      </c>
      <c r="CK31" t="s">
        <v>394</v>
      </c>
      <c r="CL31" t="s">
        <v>395</v>
      </c>
      <c r="CM31" t="s">
        <v>393</v>
      </c>
      <c r="CN31" t="s">
        <v>395</v>
      </c>
      <c r="CO31" t="s">
        <v>397</v>
      </c>
      <c r="CP31" t="s">
        <v>395</v>
      </c>
      <c r="CQ31" t="s">
        <v>381</v>
      </c>
      <c r="CR31" t="s">
        <v>395</v>
      </c>
      <c r="CS31" t="s">
        <v>395</v>
      </c>
      <c r="CT31" t="s">
        <v>395</v>
      </c>
      <c r="CU31" t="s">
        <v>395</v>
      </c>
      <c r="CV31" t="s">
        <v>382</v>
      </c>
      <c r="CW31" t="s">
        <v>398</v>
      </c>
      <c r="CX31" t="s">
        <v>1335</v>
      </c>
      <c r="CY31">
        <v>6</v>
      </c>
      <c r="CZ31" t="s">
        <v>400</v>
      </c>
      <c r="DA31" t="s">
        <v>401</v>
      </c>
      <c r="DB31" t="s">
        <v>401</v>
      </c>
      <c r="DC31" t="s">
        <v>401</v>
      </c>
      <c r="DD31" t="s">
        <v>401</v>
      </c>
      <c r="DE31" t="s">
        <v>1336</v>
      </c>
      <c r="DF31" t="s">
        <v>381</v>
      </c>
      <c r="DG31" t="s">
        <v>381</v>
      </c>
      <c r="DH31" t="s">
        <v>381</v>
      </c>
      <c r="DI31" t="s">
        <v>381</v>
      </c>
      <c r="DJ31" t="s">
        <v>381</v>
      </c>
      <c r="DK31" t="s">
        <v>1337</v>
      </c>
      <c r="DL31" t="s">
        <v>702</v>
      </c>
      <c r="DM31" t="s">
        <v>504</v>
      </c>
      <c r="DN31" t="s">
        <v>1338</v>
      </c>
      <c r="DO31" t="s">
        <v>372</v>
      </c>
      <c r="DP31" t="s">
        <v>372</v>
      </c>
      <c r="DQ31" t="s">
        <v>372</v>
      </c>
      <c r="DR31" t="s">
        <v>372</v>
      </c>
      <c r="DS31" t="s">
        <v>372</v>
      </c>
      <c r="DT31" t="s">
        <v>372</v>
      </c>
      <c r="DU31" t="s">
        <v>372</v>
      </c>
      <c r="DV31" t="s">
        <v>372</v>
      </c>
      <c r="DW31" t="s">
        <v>372</v>
      </c>
      <c r="DX31" t="s">
        <v>372</v>
      </c>
      <c r="DY31" t="s">
        <v>372</v>
      </c>
      <c r="DZ31" t="s">
        <v>372</v>
      </c>
      <c r="EA31" t="s">
        <v>372</v>
      </c>
      <c r="EB31" t="s">
        <v>372</v>
      </c>
      <c r="EC31" t="s">
        <v>372</v>
      </c>
      <c r="ED31" t="s">
        <v>372</v>
      </c>
      <c r="EE31" t="s">
        <v>372</v>
      </c>
      <c r="EF31" t="s">
        <v>372</v>
      </c>
      <c r="EG31" t="s">
        <v>372</v>
      </c>
      <c r="EH31" t="s">
        <v>372</v>
      </c>
      <c r="EI31" t="s">
        <v>372</v>
      </c>
      <c r="EJ31" t="s">
        <v>372</v>
      </c>
      <c r="EK31" t="s">
        <v>372</v>
      </c>
      <c r="EL31" t="s">
        <v>372</v>
      </c>
      <c r="EM31" t="s">
        <v>372</v>
      </c>
      <c r="EN31" t="s">
        <v>372</v>
      </c>
      <c r="EO31" t="s">
        <v>1339</v>
      </c>
      <c r="EP31" t="s">
        <v>716</v>
      </c>
      <c r="EQ31" t="s">
        <v>514</v>
      </c>
      <c r="ER31" t="s">
        <v>1340</v>
      </c>
      <c r="ES31" t="s">
        <v>372</v>
      </c>
      <c r="ET31" t="s">
        <v>372</v>
      </c>
      <c r="EU31" t="s">
        <v>372</v>
      </c>
      <c r="EV31" t="s">
        <v>372</v>
      </c>
      <c r="EW31" t="s">
        <v>372</v>
      </c>
      <c r="EX31" t="s">
        <v>372</v>
      </c>
      <c r="EY31" t="s">
        <v>372</v>
      </c>
      <c r="EZ31" t="s">
        <v>372</v>
      </c>
      <c r="FA31" t="s">
        <v>372</v>
      </c>
      <c r="FB31" t="s">
        <v>372</v>
      </c>
      <c r="FC31" t="s">
        <v>372</v>
      </c>
      <c r="FD31" t="s">
        <v>372</v>
      </c>
      <c r="FE31" t="s">
        <v>372</v>
      </c>
      <c r="FF31" t="s">
        <v>372</v>
      </c>
      <c r="FG31" t="s">
        <v>372</v>
      </c>
      <c r="FH31" t="s">
        <v>372</v>
      </c>
      <c r="FI31" t="s">
        <v>372</v>
      </c>
      <c r="FJ31" t="s">
        <v>372</v>
      </c>
      <c r="FK31" t="s">
        <v>372</v>
      </c>
      <c r="FL31" t="s">
        <v>372</v>
      </c>
      <c r="FM31" t="s">
        <v>372</v>
      </c>
      <c r="FN31" t="s">
        <v>372</v>
      </c>
      <c r="FO31" t="s">
        <v>372</v>
      </c>
      <c r="FP31" t="s">
        <v>372</v>
      </c>
      <c r="FQ31" t="s">
        <v>372</v>
      </c>
      <c r="FR31" t="s">
        <v>372</v>
      </c>
      <c r="FS31" t="s">
        <v>802</v>
      </c>
      <c r="FT31" t="s">
        <v>803</v>
      </c>
      <c r="FU31" t="s">
        <v>413</v>
      </c>
      <c r="FV31" t="s">
        <v>525</v>
      </c>
      <c r="FW31" t="s">
        <v>927</v>
      </c>
      <c r="FX31" t="s">
        <v>372</v>
      </c>
      <c r="FY31" t="s">
        <v>372</v>
      </c>
      <c r="FZ31" t="s">
        <v>372</v>
      </c>
      <c r="GA31" t="s">
        <v>372</v>
      </c>
      <c r="GB31" t="s">
        <v>372</v>
      </c>
      <c r="GC31" t="s">
        <v>372</v>
      </c>
      <c r="GD31" t="s">
        <v>372</v>
      </c>
      <c r="GE31" t="s">
        <v>372</v>
      </c>
      <c r="GF31" t="s">
        <v>372</v>
      </c>
      <c r="GG31" t="s">
        <v>372</v>
      </c>
      <c r="GH31" t="s">
        <v>372</v>
      </c>
      <c r="GI31" t="s">
        <v>372</v>
      </c>
      <c r="GJ31" t="s">
        <v>372</v>
      </c>
      <c r="GK31" t="s">
        <v>372</v>
      </c>
      <c r="GL31" t="s">
        <v>372</v>
      </c>
      <c r="GM31" t="s">
        <v>372</v>
      </c>
      <c r="GN31" t="s">
        <v>372</v>
      </c>
      <c r="GO31" t="s">
        <v>1341</v>
      </c>
      <c r="GP31" t="s">
        <v>372</v>
      </c>
      <c r="GQ31" t="s">
        <v>1342</v>
      </c>
      <c r="GR31" t="s">
        <v>372</v>
      </c>
      <c r="GS31" t="s">
        <v>372</v>
      </c>
      <c r="GT31" t="s">
        <v>372</v>
      </c>
      <c r="GU31" t="s">
        <v>372</v>
      </c>
      <c r="GV31" t="s">
        <v>372</v>
      </c>
      <c r="GW31" t="s">
        <v>372</v>
      </c>
      <c r="GX31" t="s">
        <v>372</v>
      </c>
      <c r="GY31" t="s">
        <v>372</v>
      </c>
      <c r="GZ31" t="s">
        <v>372</v>
      </c>
      <c r="HA31" t="s">
        <v>372</v>
      </c>
      <c r="HB31" t="s">
        <v>372</v>
      </c>
      <c r="HC31" t="s">
        <v>372</v>
      </c>
      <c r="HD31" t="s">
        <v>372</v>
      </c>
      <c r="HE31" t="s">
        <v>372</v>
      </c>
      <c r="HF31" t="s">
        <v>372</v>
      </c>
      <c r="HG31" t="s">
        <v>372</v>
      </c>
      <c r="HH31" t="s">
        <v>372</v>
      </c>
      <c r="HI31" t="s">
        <v>380</v>
      </c>
      <c r="HJ31" t="s">
        <v>381</v>
      </c>
      <c r="HK31" t="s">
        <v>381</v>
      </c>
      <c r="HL31" t="s">
        <v>382</v>
      </c>
      <c r="HM31" t="s">
        <v>382</v>
      </c>
      <c r="HN31" t="s">
        <v>382</v>
      </c>
      <c r="HO31" t="s">
        <v>382</v>
      </c>
      <c r="HP31" t="s">
        <v>382</v>
      </c>
      <c r="HQ31" t="s">
        <v>382</v>
      </c>
      <c r="HR31" t="s">
        <v>382</v>
      </c>
      <c r="HS31" t="s">
        <v>382</v>
      </c>
      <c r="HT31" t="s">
        <v>382</v>
      </c>
      <c r="HU31" t="s">
        <v>382</v>
      </c>
      <c r="HV31" t="s">
        <v>382</v>
      </c>
      <c r="HW31" t="s">
        <v>382</v>
      </c>
      <c r="HX31" t="s">
        <v>382</v>
      </c>
      <c r="HY31" t="s">
        <v>382</v>
      </c>
      <c r="HZ31" t="s">
        <v>382</v>
      </c>
      <c r="IA31" t="s">
        <v>382</v>
      </c>
      <c r="IB31" t="s">
        <v>382</v>
      </c>
      <c r="IC31" t="s">
        <v>395</v>
      </c>
      <c r="ID31" t="s">
        <v>380</v>
      </c>
      <c r="IE31" t="s">
        <v>395</v>
      </c>
      <c r="IF31" t="s">
        <v>395</v>
      </c>
      <c r="IG31" t="s">
        <v>395</v>
      </c>
      <c r="IH31" t="s">
        <v>395</v>
      </c>
      <c r="II31" t="s">
        <v>398</v>
      </c>
      <c r="IJ31" t="s">
        <v>395</v>
      </c>
      <c r="IK31" t="s">
        <v>395</v>
      </c>
      <c r="IL31" t="s">
        <v>395</v>
      </c>
      <c r="IM31" t="s">
        <v>395</v>
      </c>
      <c r="IN31" t="s">
        <v>395</v>
      </c>
      <c r="IO31" t="s">
        <v>395</v>
      </c>
      <c r="IP31" t="s">
        <v>395</v>
      </c>
      <c r="IQ31" t="s">
        <v>395</v>
      </c>
      <c r="IR31" t="s">
        <v>395</v>
      </c>
      <c r="IS31" t="s">
        <v>395</v>
      </c>
      <c r="IT31" t="s">
        <v>417</v>
      </c>
      <c r="IU31" t="s">
        <v>470</v>
      </c>
      <c r="IV31" t="s">
        <v>419</v>
      </c>
      <c r="IW31" t="s">
        <v>420</v>
      </c>
      <c r="IX31" t="s">
        <v>421</v>
      </c>
      <c r="IY31" t="s">
        <v>730</v>
      </c>
      <c r="IZ31" t="s">
        <v>731</v>
      </c>
      <c r="JA31" t="s">
        <v>372</v>
      </c>
      <c r="JB31" t="s">
        <v>372</v>
      </c>
      <c r="JC31" t="s">
        <v>372</v>
      </c>
      <c r="JD31" t="s">
        <v>372</v>
      </c>
      <c r="JE31" t="s">
        <v>372</v>
      </c>
      <c r="JF31" t="s">
        <v>372</v>
      </c>
      <c r="JG31" t="s">
        <v>372</v>
      </c>
      <c r="JH31" t="s">
        <v>372</v>
      </c>
      <c r="JI31" t="s">
        <v>372</v>
      </c>
      <c r="JJ31" t="s">
        <v>372</v>
      </c>
      <c r="JK31" t="s">
        <v>372</v>
      </c>
      <c r="JL31" t="s">
        <v>372</v>
      </c>
      <c r="JM31" t="s">
        <v>372</v>
      </c>
      <c r="JN31" t="s">
        <v>372</v>
      </c>
      <c r="JO31" t="s">
        <v>372</v>
      </c>
      <c r="JP31" t="s">
        <v>372</v>
      </c>
      <c r="JQ31" t="s">
        <v>372</v>
      </c>
      <c r="JR31" t="s">
        <v>372</v>
      </c>
      <c r="JS31" t="s">
        <v>372</v>
      </c>
      <c r="JT31" t="s">
        <v>372</v>
      </c>
      <c r="JU31" t="s">
        <v>372</v>
      </c>
      <c r="JV31" t="s">
        <v>372</v>
      </c>
      <c r="JW31" t="s">
        <v>372</v>
      </c>
      <c r="JX31" t="s">
        <v>425</v>
      </c>
      <c r="JY31" t="s">
        <v>475</v>
      </c>
      <c r="JZ31" t="s">
        <v>427</v>
      </c>
      <c r="KA31" t="s">
        <v>867</v>
      </c>
      <c r="KB31" t="s">
        <v>429</v>
      </c>
      <c r="KC31" t="s">
        <v>738</v>
      </c>
      <c r="KD31" t="s">
        <v>739</v>
      </c>
      <c r="KE31" t="s">
        <v>372</v>
      </c>
      <c r="KF31" t="s">
        <v>372</v>
      </c>
      <c r="KG31" t="s">
        <v>372</v>
      </c>
      <c r="KH31" t="s">
        <v>372</v>
      </c>
      <c r="KI31" t="s">
        <v>372</v>
      </c>
      <c r="KJ31" t="s">
        <v>372</v>
      </c>
      <c r="KK31" t="s">
        <v>372</v>
      </c>
      <c r="KL31" t="s">
        <v>372</v>
      </c>
      <c r="KM31" t="s">
        <v>372</v>
      </c>
      <c r="KN31" t="s">
        <v>372</v>
      </c>
      <c r="KO31" t="s">
        <v>372</v>
      </c>
      <c r="KP31" t="s">
        <v>372</v>
      </c>
      <c r="KQ31" t="s">
        <v>372</v>
      </c>
      <c r="KR31" t="s">
        <v>372</v>
      </c>
      <c r="KS31" t="s">
        <v>372</v>
      </c>
      <c r="KT31" t="s">
        <v>372</v>
      </c>
      <c r="KU31" t="s">
        <v>372</v>
      </c>
      <c r="KV31" t="s">
        <v>372</v>
      </c>
      <c r="KW31" t="s">
        <v>372</v>
      </c>
      <c r="KX31" t="s">
        <v>372</v>
      </c>
      <c r="KY31" t="s">
        <v>372</v>
      </c>
      <c r="KZ31" t="s">
        <v>372</v>
      </c>
      <c r="LA31" t="s">
        <v>372</v>
      </c>
      <c r="LB31" t="s">
        <v>430</v>
      </c>
      <c r="LC31" t="s">
        <v>478</v>
      </c>
      <c r="LD31" t="s">
        <v>432</v>
      </c>
      <c r="LE31" t="s">
        <v>433</v>
      </c>
      <c r="LF31" t="s">
        <v>434</v>
      </c>
      <c r="LG31" t="s">
        <v>741</v>
      </c>
      <c r="LH31" t="s">
        <v>742</v>
      </c>
      <c r="LI31" t="s">
        <v>372</v>
      </c>
      <c r="LJ31" t="s">
        <v>372</v>
      </c>
      <c r="LK31" t="s">
        <v>372</v>
      </c>
      <c r="LL31" t="s">
        <v>372</v>
      </c>
      <c r="LM31" t="s">
        <v>372</v>
      </c>
      <c r="LN31" t="s">
        <v>372</v>
      </c>
      <c r="LO31" t="s">
        <v>372</v>
      </c>
      <c r="LP31" t="s">
        <v>372</v>
      </c>
      <c r="LQ31" t="s">
        <v>372</v>
      </c>
      <c r="LR31" t="s">
        <v>372</v>
      </c>
      <c r="LS31" t="s">
        <v>372</v>
      </c>
      <c r="LT31" t="s">
        <v>372</v>
      </c>
      <c r="LU31" t="s">
        <v>372</v>
      </c>
      <c r="LV31" t="s">
        <v>372</v>
      </c>
      <c r="LW31" t="s">
        <v>372</v>
      </c>
      <c r="LX31" t="s">
        <v>372</v>
      </c>
      <c r="LY31" t="s">
        <v>372</v>
      </c>
      <c r="LZ31" t="s">
        <v>372</v>
      </c>
      <c r="MA31" t="s">
        <v>372</v>
      </c>
      <c r="MB31" t="s">
        <v>372</v>
      </c>
      <c r="MC31" t="s">
        <v>372</v>
      </c>
      <c r="MD31" t="s">
        <v>372</v>
      </c>
      <c r="ME31" t="s">
        <v>372</v>
      </c>
      <c r="MF31" t="s">
        <v>438</v>
      </c>
      <c r="MG31" t="s">
        <v>372</v>
      </c>
      <c r="MH31" t="s">
        <v>372</v>
      </c>
      <c r="MI31" t="s">
        <v>372</v>
      </c>
      <c r="MJ31" t="s">
        <v>372</v>
      </c>
      <c r="MK31" t="s">
        <v>440</v>
      </c>
      <c r="ML31" t="s">
        <v>372</v>
      </c>
      <c r="MM31" t="s">
        <v>382</v>
      </c>
      <c r="MN31" t="s">
        <v>372</v>
      </c>
      <c r="MO31" t="s">
        <v>372</v>
      </c>
      <c r="MP31">
        <v>5</v>
      </c>
      <c r="MQ31">
        <v>10</v>
      </c>
      <c r="MR31">
        <v>4</v>
      </c>
      <c r="MS31" t="s">
        <v>444</v>
      </c>
      <c r="MT31" t="s">
        <v>445</v>
      </c>
      <c r="MU31" t="s">
        <v>783</v>
      </c>
      <c r="MV31" t="s">
        <v>784</v>
      </c>
      <c r="MW31" t="s">
        <v>372</v>
      </c>
      <c r="MX31" t="s">
        <v>372</v>
      </c>
      <c r="MY31" t="s">
        <v>372</v>
      </c>
      <c r="MZ31" t="s">
        <v>382</v>
      </c>
      <c r="NA31" t="s">
        <v>382</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AD362-FC1F-471D-964A-48280BC662DE}">
  <sheetPr>
    <tabColor rgb="FF00B0F0"/>
  </sheetPr>
  <dimension ref="A1:GF48"/>
  <sheetViews>
    <sheetView tabSelected="1" zoomScale="85" zoomScaleNormal="85" workbookViewId="0">
      <selection activeCell="C1" sqref="C1:E10"/>
    </sheetView>
  </sheetViews>
  <sheetFormatPr defaultRowHeight="15"/>
  <cols>
    <col min="1" max="1" width="22.85546875" bestFit="1" customWidth="1"/>
    <col min="2" max="2" width="21.85546875" customWidth="1"/>
    <col min="3" max="3" width="23.85546875" bestFit="1" customWidth="1"/>
    <col min="4" max="4" width="8.140625" style="38" bestFit="1" customWidth="1"/>
    <col min="5" max="5" width="10.85546875" style="38" bestFit="1" customWidth="1"/>
    <col min="6" max="6" width="8.28515625" style="38" bestFit="1" customWidth="1"/>
    <col min="7" max="8" width="8.140625" style="38" bestFit="1" customWidth="1"/>
    <col min="9" max="10" width="8.5703125" style="38" bestFit="1" customWidth="1"/>
    <col min="11" max="11" width="8.5703125" style="38" customWidth="1"/>
    <col min="12" max="13" width="8.5703125" style="38" bestFit="1" customWidth="1"/>
  </cols>
  <sheetData>
    <row r="1" spans="1:188">
      <c r="A1" s="15" t="s">
        <v>790</v>
      </c>
      <c r="B1" s="61" cm="1">
        <f t="array" ref="B1">SUMPRODUCT(
  (tblCharacterCapture[Clan]=A1) *
  tblCharacterCapture[City Status]
)</f>
        <v>8</v>
      </c>
      <c r="C1" s="15" t="s">
        <v>790</v>
      </c>
      <c r="D1" s="39"/>
      <c r="E1" s="61" cm="1">
        <f t="array" aca="1" ref="E1" ca="1">SUMPRODUCT(
  (ISNUMBER(E$14:E$103))*(E$14:E$103&gt;0) *
  (IFERROR(VLOOKUP($C$14:$C$103,tblCharacterCapture[[Character Name]:[Clan]],4,0),"")=$A1) *
  IFERROR(VLOOKUP($C$14:$C$103,tblCharacterCapture[[Character Name]:[City Status]],79,0),0)
)</f>
        <v>7</v>
      </c>
      <c r="F1" s="39"/>
      <c r="G1" s="39"/>
      <c r="H1" s="40"/>
      <c r="I1" s="40"/>
      <c r="J1" s="61" cm="1">
        <f t="array" aca="1" ref="J1" ca="1">SUMPRODUCT(
  (ISNUMBER(J$14:J$103))*(J$14:J$103&gt;0) *
  (IFERROR(VLOOKUP($C$14:$C$103,tblCharacterCapture[[Character Name]:[Clan]],4,0),"")=$A1) *
  IFERROR(VLOOKUP($C$14:$C$103,tblCharacterCapture[[Character Name]:[City Status]],79,0),0)
)</f>
        <v>0</v>
      </c>
      <c r="K1" s="40"/>
      <c r="L1" s="40"/>
      <c r="M1" s="40"/>
      <c r="N1" s="40"/>
      <c r="O1" s="61" cm="1">
        <f t="array" aca="1" ref="O1" ca="1">SUMPRODUCT(
  (ISNUMBER(O$14:O$103))*(O$14:O$103&gt;0) *
  (IFERROR(VLOOKUP($C$14:$C$103,tblCharacterCapture[[Character Name]:[Clan]],4,0),"")=$A1) *
  IFERROR(VLOOKUP($C$14:$C$103,tblCharacterCapture[[Character Name]:[City Status]],79,0),0)
)</f>
        <v>0</v>
      </c>
      <c r="P1" s="40"/>
      <c r="Q1" s="40"/>
      <c r="R1" s="40"/>
      <c r="S1" s="40"/>
      <c r="T1" s="61" cm="1">
        <f t="array" aca="1" ref="T1" ca="1">SUMPRODUCT(
  (ISNUMBER(T$14:T$103))*(T$14:T$103&gt;0) *
  (IFERROR(VLOOKUP($C$14:$C$103,tblCharacterCapture[[Character Name]:[Clan]],4,0),"")=$A1) *
  IFERROR(VLOOKUP($C$14:$C$103,tblCharacterCapture[[Character Name]:[City Status]],79,0),0)
)</f>
        <v>0</v>
      </c>
      <c r="U1" s="40"/>
      <c r="V1" s="40"/>
      <c r="W1" s="40"/>
      <c r="X1" s="40"/>
      <c r="Y1" s="61" cm="1">
        <f t="array" aca="1" ref="Y1" ca="1">SUMPRODUCT(
  (ISNUMBER(Y$14:Y$103))*(Y$14:Y$103&gt;0) *
  (IFERROR(VLOOKUP($C$14:$C$103,tblCharacterCapture[[Character Name]:[Clan]],4,0),"")=$A1) *
  IFERROR(VLOOKUP($C$14:$C$103,tblCharacterCapture[[Character Name]:[City Status]],79,0),0)
)</f>
        <v>0</v>
      </c>
      <c r="Z1" s="40"/>
      <c r="AA1" s="40"/>
      <c r="AB1" s="40"/>
      <c r="AC1" s="40"/>
      <c r="AD1" s="61" cm="1">
        <f t="array" aca="1" ref="AD1" ca="1">SUMPRODUCT(
  (ISNUMBER(AD$14:AD$103))*(AD$14:AD$103&gt;0) *
  (IFERROR(VLOOKUP($C$14:$C$103,tblCharacterCapture[[Character Name]:[Clan]],4,0),"")=$A1) *
  IFERROR(VLOOKUP($C$14:$C$103,tblCharacterCapture[[Character Name]:[City Status]],79,0),0)
)</f>
        <v>0</v>
      </c>
      <c r="AE1" s="40"/>
      <c r="AF1" s="40"/>
      <c r="AG1" s="40"/>
      <c r="AH1" s="40"/>
      <c r="AI1" s="61" cm="1">
        <f t="array" aca="1" ref="AI1" ca="1">SUMPRODUCT(
  (ISNUMBER(AI$14:AI$103))*(AI$14:AI$103&gt;0) *
  (IFERROR(VLOOKUP($C$14:$C$103,tblCharacterCapture[[Character Name]:[Clan]],4,0),"")=$A1) *
  IFERROR(VLOOKUP($C$14:$C$103,tblCharacterCapture[[Character Name]:[City Status]],79,0),0)
)</f>
        <v>0</v>
      </c>
      <c r="AJ1" s="40"/>
      <c r="AK1" s="40"/>
      <c r="AL1" s="40"/>
      <c r="AM1" s="40"/>
      <c r="AN1" s="61" cm="1">
        <f t="array" aca="1" ref="AN1" ca="1">SUMPRODUCT(
  (ISNUMBER(AN$14:AN$103))*(AN$14:AN$103&gt;0) *
  (IFERROR(VLOOKUP($C$14:$C$103,tblCharacterCapture[[Character Name]:[Clan]],4,0),"")=$A1) *
  IFERROR(VLOOKUP($C$14:$C$103,tblCharacterCapture[[Character Name]:[City Status]],79,0),0)
)</f>
        <v>0</v>
      </c>
      <c r="AO1" s="40"/>
      <c r="AP1" s="40"/>
      <c r="AQ1" s="40"/>
      <c r="AR1" s="40"/>
      <c r="AS1" s="61" cm="1">
        <f t="array" aca="1" ref="AS1" ca="1">SUMPRODUCT(
  (ISNUMBER(AS$14:AS$103))*(AS$14:AS$103&gt;0) *
  (IFERROR(VLOOKUP($C$14:$C$103,tblCharacterCapture[[Character Name]:[Clan]],4,0),"")=$A1) *
  IFERROR(VLOOKUP($C$14:$C$103,tblCharacterCapture[[Character Name]:[City Status]],79,0),0)
)</f>
        <v>0</v>
      </c>
      <c r="AT1" s="40"/>
      <c r="AU1" s="40"/>
      <c r="AV1" s="40"/>
      <c r="AW1" s="40"/>
      <c r="AX1" s="61" cm="1">
        <f t="array" aca="1" ref="AX1" ca="1">SUMPRODUCT(
  (ISNUMBER(AX$14:AX$103))*(AX$14:AX$103&gt;0) *
  (IFERROR(VLOOKUP($C$14:$C$103,tblCharacterCapture[[Character Name]:[Clan]],4,0),"")=$A1) *
  IFERROR(VLOOKUP($C$14:$C$103,tblCharacterCapture[[Character Name]:[City Status]],79,0),0)
)</f>
        <v>0</v>
      </c>
      <c r="AY1" s="40"/>
      <c r="AZ1" s="40"/>
      <c r="BA1" s="40"/>
      <c r="BB1" s="40"/>
      <c r="BC1" s="61" cm="1">
        <f t="array" aca="1" ref="BC1" ca="1">SUMPRODUCT(
  (ISNUMBER(BC$14:BC$103))*(BC$14:BC$103&gt;0) *
  (IFERROR(VLOOKUP($C$14:$C$103,tblCharacterCapture[[Character Name]:[Clan]],4,0),"")=$A1) *
  IFERROR(VLOOKUP($C$14:$C$103,tblCharacterCapture[[Character Name]:[City Status]],79,0),0)
)</f>
        <v>0</v>
      </c>
      <c r="BD1" s="40"/>
      <c r="BE1" s="40"/>
      <c r="BF1" s="40"/>
      <c r="BG1" s="40"/>
      <c r="BH1" s="61" cm="1">
        <f t="array" aca="1" ref="BH1" ca="1">SUMPRODUCT(
  (ISNUMBER(BH$14:BH$103))*(BH$14:BH$103&gt;0) *
  (IFERROR(VLOOKUP($C$14:$C$103,tblCharacterCapture[[Character Name]:[Clan]],4,0),"")=$A1) *
  IFERROR(VLOOKUP($C$14:$C$103,tblCharacterCapture[[Character Name]:[City Status]],79,0),0)
)</f>
        <v>0</v>
      </c>
      <c r="BI1" s="40"/>
      <c r="BJ1" s="40"/>
      <c r="BK1" s="40"/>
      <c r="BL1" s="40"/>
      <c r="BM1" s="61" cm="1">
        <f t="array" aca="1" ref="BM1" ca="1">SUMPRODUCT(
  (ISNUMBER(BM$14:BM$103))*(BM$14:BM$103&gt;0) *
  (IFERROR(VLOOKUP($C$14:$C$103,tblCharacterCapture[[Character Name]:[Clan]],4,0),"")=$A1) *
  IFERROR(VLOOKUP($C$14:$C$103,tblCharacterCapture[[Character Name]:[City Status]],79,0),0)
)</f>
        <v>0</v>
      </c>
      <c r="BN1" s="40"/>
      <c r="BO1" s="40"/>
      <c r="BP1" s="40"/>
      <c r="BQ1" s="40"/>
      <c r="BR1" s="61" cm="1">
        <f t="array" aca="1" ref="BR1" ca="1">SUMPRODUCT(
  (ISNUMBER(BR$14:BR$103))*(BR$14:BR$103&gt;0) *
  (IFERROR(VLOOKUP($C$14:$C$103,tblCharacterCapture[[Character Name]:[Clan]],4,0),"")=$A1) *
  IFERROR(VLOOKUP($C$14:$C$103,tblCharacterCapture[[Character Name]:[City Status]],79,0),0)
)</f>
        <v>0</v>
      </c>
      <c r="BS1" s="40"/>
      <c r="BT1" s="40"/>
      <c r="BU1" s="40"/>
      <c r="BV1" s="40"/>
      <c r="BW1" s="61" cm="1">
        <f t="array" aca="1" ref="BW1" ca="1">SUMPRODUCT(
  (ISNUMBER(BW$14:BW$103))*(BW$14:BW$103&gt;0) *
  (IFERROR(VLOOKUP($C$14:$C$103,tblCharacterCapture[[Character Name]:[Clan]],4,0),"")=$A1) *
  IFERROR(VLOOKUP($C$14:$C$103,tblCharacterCapture[[Character Name]:[City Status]],79,0),0)
)</f>
        <v>0</v>
      </c>
      <c r="BX1" s="40"/>
      <c r="BY1" s="40"/>
      <c r="BZ1" s="40"/>
      <c r="CA1" s="40"/>
      <c r="CB1" s="61" cm="1">
        <f t="array" aca="1" ref="CB1" ca="1">SUMPRODUCT(
  (ISNUMBER(CB$14:CB$103))*(CB$14:CB$103&gt;0) *
  (IFERROR(VLOOKUP($C$14:$C$103,tblCharacterCapture[[Character Name]:[Clan]],4,0),"")=$A1) *
  IFERROR(VLOOKUP($C$14:$C$103,tblCharacterCapture[[Character Name]:[City Status]],79,0),0)
)</f>
        <v>0</v>
      </c>
      <c r="CC1" s="40"/>
      <c r="CD1" s="40"/>
      <c r="CE1" s="40"/>
      <c r="CF1" s="40"/>
      <c r="CG1" s="61" cm="1">
        <f t="array" aca="1" ref="CG1" ca="1">SUMPRODUCT(
  (ISNUMBER(CG$14:CG$103))*(CG$14:CG$103&gt;0) *
  (IFERROR(VLOOKUP($C$14:$C$103,tblCharacterCapture[[Character Name]:[Clan]],4,0),"")=$A1) *
  IFERROR(VLOOKUP($C$14:$C$103,tblCharacterCapture[[Character Name]:[City Status]],79,0),0)
)</f>
        <v>0</v>
      </c>
      <c r="CH1" s="40"/>
      <c r="CI1" s="40"/>
      <c r="CJ1" s="40"/>
      <c r="CK1" s="40"/>
      <c r="CL1" s="61" cm="1">
        <f t="array" aca="1" ref="CL1" ca="1">SUMPRODUCT(
  (ISNUMBER(CL$14:CL$103))*(CL$14:CL$103&gt;0) *
  (IFERROR(VLOOKUP($C$14:$C$103,tblCharacterCapture[[Character Name]:[Clan]],4,0),"")=$A1) *
  IFERROR(VLOOKUP($C$14:$C$103,tblCharacterCapture[[Character Name]:[City Status]],79,0),0)
)</f>
        <v>0</v>
      </c>
      <c r="CM1" s="40"/>
      <c r="CN1" s="40"/>
      <c r="CO1" s="40"/>
      <c r="CP1" s="40"/>
      <c r="CQ1" s="61" cm="1">
        <f t="array" aca="1" ref="CQ1" ca="1">SUMPRODUCT(
  (ISNUMBER(CQ$14:CQ$103))*(CQ$14:CQ$103&gt;0) *
  (IFERROR(VLOOKUP($C$14:$C$103,tblCharacterCapture[[Character Name]:[Clan]],4,0),"")=$A1) *
  IFERROR(VLOOKUP($C$14:$C$103,tblCharacterCapture[[Character Name]:[City Status]],79,0),0)
)</f>
        <v>0</v>
      </c>
      <c r="CR1" s="40"/>
      <c r="CS1" s="40"/>
      <c r="CT1" s="40"/>
      <c r="CU1" s="40"/>
      <c r="CV1" s="61" cm="1">
        <f t="array" aca="1" ref="CV1" ca="1">SUMPRODUCT(
  (ISNUMBER(CV$14:CV$103))*(CV$14:CV$103&gt;0) *
  (IFERROR(VLOOKUP($C$14:$C$103,tblCharacterCapture[[Character Name]:[Clan]],4,0),"")=$A1) *
  IFERROR(VLOOKUP($C$14:$C$103,tblCharacterCapture[[Character Name]:[City Status]],79,0),0)
)</f>
        <v>0</v>
      </c>
      <c r="CW1" s="40"/>
      <c r="CX1" s="40"/>
      <c r="CY1" s="40"/>
      <c r="CZ1" s="40"/>
      <c r="DA1" s="61" cm="1">
        <f t="array" aca="1" ref="DA1" ca="1">SUMPRODUCT(
  (ISNUMBER(DA$14:DA$103))*(DA$14:DA$103&gt;0) *
  (IFERROR(VLOOKUP($C$14:$C$103,tblCharacterCapture[[Character Name]:[Clan]],4,0),"")=$A1) *
  IFERROR(VLOOKUP($C$14:$C$103,tblCharacterCapture[[Character Name]:[City Status]],79,0),0)
)</f>
        <v>0</v>
      </c>
      <c r="DB1" s="40"/>
      <c r="DC1" s="40"/>
      <c r="DD1" s="40"/>
      <c r="DE1" s="40"/>
      <c r="DF1" s="61" cm="1">
        <f t="array" aca="1" ref="DF1" ca="1">SUMPRODUCT(
  (ISNUMBER(DF$14:DF$103))*(DF$14:DF$103&gt;0) *
  (IFERROR(VLOOKUP($C$14:$C$103,tblCharacterCapture[[Character Name]:[Clan]],4,0),"")=$A1) *
  IFERROR(VLOOKUP($C$14:$C$103,tblCharacterCapture[[Character Name]:[City Status]],79,0),0)
)</f>
        <v>0</v>
      </c>
      <c r="DG1" s="40"/>
      <c r="DH1" s="40"/>
      <c r="DI1" s="40"/>
      <c r="DJ1" s="40"/>
      <c r="DK1" s="61" cm="1">
        <f t="array" aca="1" ref="DK1" ca="1">SUMPRODUCT(
  (ISNUMBER(DK$14:DK$103))*(DK$14:DK$103&gt;0) *
  (IFERROR(VLOOKUP($C$14:$C$103,tblCharacterCapture[[Character Name]:[Clan]],4,0),"")=$A1) *
  IFERROR(VLOOKUP($C$14:$C$103,tblCharacterCapture[[Character Name]:[City Status]],79,0),0)
)</f>
        <v>0</v>
      </c>
      <c r="DL1" s="40"/>
      <c r="DM1" s="40"/>
      <c r="DN1" s="40"/>
      <c r="DO1" s="40"/>
      <c r="DP1" s="61" cm="1">
        <f t="array" aca="1" ref="DP1" ca="1">SUMPRODUCT(
  (ISNUMBER(DP$14:DP$103))*(DP$14:DP$103&gt;0) *
  (IFERROR(VLOOKUP($C$14:$C$103,tblCharacterCapture[[Character Name]:[Clan]],4,0),"")=$A1) *
  IFERROR(VLOOKUP($C$14:$C$103,tblCharacterCapture[[Character Name]:[City Status]],79,0),0)
)</f>
        <v>0</v>
      </c>
      <c r="DQ1" s="40"/>
      <c r="DR1" s="40"/>
      <c r="DS1" s="40"/>
      <c r="DT1" s="40"/>
      <c r="DU1" s="61" cm="1">
        <f t="array" aca="1" ref="DU1" ca="1">SUMPRODUCT(
  (ISNUMBER(DU$14:DU$103))*(DU$14:DU$103&gt;0) *
  (IFERROR(VLOOKUP($C$14:$C$103,tblCharacterCapture[[Character Name]:[Clan]],4,0),"")=$A1) *
  IFERROR(VLOOKUP($C$14:$C$103,tblCharacterCapture[[Character Name]:[City Status]],79,0),0)
)</f>
        <v>0</v>
      </c>
      <c r="DV1" s="40"/>
      <c r="DW1" s="40"/>
      <c r="DX1" s="40"/>
      <c r="DY1" s="40"/>
      <c r="DZ1" s="61" cm="1">
        <f t="array" aca="1" ref="DZ1" ca="1">SUMPRODUCT(
  (ISNUMBER(DZ$14:DZ$103))*(DZ$14:DZ$103&gt;0) *
  (IFERROR(VLOOKUP($C$14:$C$103,tblCharacterCapture[[Character Name]:[Clan]],4,0),"")=$A1) *
  IFERROR(VLOOKUP($C$14:$C$103,tblCharacterCapture[[Character Name]:[City Status]],79,0),0)
)</f>
        <v>0</v>
      </c>
      <c r="EA1" s="40"/>
      <c r="EB1" s="40"/>
      <c r="EC1" s="40"/>
      <c r="ED1" s="40"/>
      <c r="EE1" s="61" cm="1">
        <f t="array" aca="1" ref="EE1" ca="1">SUMPRODUCT(
  (ISNUMBER(EE$14:EE$103))*(EE$14:EE$103&gt;0) *
  (IFERROR(VLOOKUP($C$14:$C$103,tblCharacterCapture[[Character Name]:[Clan]],4,0),"")=$A1) *
  IFERROR(VLOOKUP($C$14:$C$103,tblCharacterCapture[[Character Name]:[City Status]],79,0),0)
)</f>
        <v>0</v>
      </c>
      <c r="EF1" s="40"/>
      <c r="EG1" s="40"/>
      <c r="EH1" s="40"/>
      <c r="EI1" s="40"/>
      <c r="EJ1" s="61" cm="1">
        <f t="array" aca="1" ref="EJ1" ca="1">SUMPRODUCT(
  (ISNUMBER(EJ$14:EJ$103))*(EJ$14:EJ$103&gt;0) *
  (IFERROR(VLOOKUP($C$14:$C$103,tblCharacterCapture[[Character Name]:[Clan]],4,0),"")=$A1) *
  IFERROR(VLOOKUP($C$14:$C$103,tblCharacterCapture[[Character Name]:[City Status]],79,0),0)
)</f>
        <v>0</v>
      </c>
      <c r="EK1" s="40"/>
      <c r="EL1" s="40"/>
      <c r="EM1" s="40"/>
      <c r="EN1" s="40"/>
      <c r="EO1" s="61" cm="1">
        <f t="array" aca="1" ref="EO1" ca="1">SUMPRODUCT(
  (ISNUMBER(EO$14:EO$103))*(EO$14:EO$103&gt;0) *
  (IFERROR(VLOOKUP($C$14:$C$103,tblCharacterCapture[[Character Name]:[Clan]],4,0),"")=$A1) *
  IFERROR(VLOOKUP($C$14:$C$103,tblCharacterCapture[[Character Name]:[City Status]],79,0),0)
)</f>
        <v>0</v>
      </c>
      <c r="EP1" s="40"/>
      <c r="EQ1" s="40"/>
      <c r="ER1" s="40"/>
      <c r="ES1" s="40"/>
      <c r="ET1" s="61" cm="1">
        <f t="array" aca="1" ref="ET1" ca="1">SUMPRODUCT(
  (ISNUMBER(ET$14:ET$103))*(ET$14:ET$103&gt;0) *
  (IFERROR(VLOOKUP($C$14:$C$103,tblCharacterCapture[[Character Name]:[Clan]],4,0),"")=$A1) *
  IFERROR(VLOOKUP($C$14:$C$103,tblCharacterCapture[[Character Name]:[City Status]],79,0),0)
)</f>
        <v>0</v>
      </c>
      <c r="EU1" s="40"/>
      <c r="EV1" s="40"/>
      <c r="EW1" s="40"/>
      <c r="EX1" s="40"/>
      <c r="EY1" s="61" cm="1">
        <f t="array" aca="1" ref="EY1" ca="1">SUMPRODUCT(
  (ISNUMBER(EY$14:EY$103))*(EY$14:EY$103&gt;0) *
  (IFERROR(VLOOKUP($C$14:$C$103,tblCharacterCapture[[Character Name]:[Clan]],4,0),"")=$A1) *
  IFERROR(VLOOKUP($C$14:$C$103,tblCharacterCapture[[Character Name]:[City Status]],79,0),0)
)</f>
        <v>0</v>
      </c>
      <c r="EZ1" s="40"/>
      <c r="FA1" s="40"/>
      <c r="FB1" s="40"/>
      <c r="FC1" s="40"/>
      <c r="FD1" s="61" cm="1">
        <f t="array" aca="1" ref="FD1" ca="1">SUMPRODUCT(
  (ISNUMBER(FD$14:FD$103))*(FD$14:FD$103&gt;0) *
  (IFERROR(VLOOKUP($C$14:$C$103,tblCharacterCapture[[Character Name]:[Clan]],4,0),"")=$A1) *
  IFERROR(VLOOKUP($C$14:$C$103,tblCharacterCapture[[Character Name]:[City Status]],79,0),0)
)</f>
        <v>0</v>
      </c>
      <c r="FE1" s="40"/>
      <c r="FF1" s="40"/>
      <c r="FG1" s="40"/>
      <c r="FH1" s="40"/>
      <c r="FI1" s="61" cm="1">
        <f t="array" aca="1" ref="FI1" ca="1">SUMPRODUCT(
  (ISNUMBER(FI$14:FI$103))*(FI$14:FI$103&gt;0) *
  (IFERROR(VLOOKUP($C$14:$C$103,tblCharacterCapture[[Character Name]:[Clan]],4,0),"")=$A1) *
  IFERROR(VLOOKUP($C$14:$C$103,tblCharacterCapture[[Character Name]:[City Status]],79,0),0)
)</f>
        <v>0</v>
      </c>
      <c r="FJ1" s="40"/>
      <c r="FK1" s="40"/>
      <c r="FL1" s="40"/>
      <c r="FM1" s="40"/>
      <c r="FN1" s="61" cm="1">
        <f t="array" aca="1" ref="FN1" ca="1">SUMPRODUCT(
  (ISNUMBER(FN$14:FN$103))*(FN$14:FN$103&gt;0) *
  (IFERROR(VLOOKUP($C$14:$C$103,tblCharacterCapture[[Character Name]:[Clan]],4,0),"")=$A1) *
  IFERROR(VLOOKUP($C$14:$C$103,tblCharacterCapture[[Character Name]:[City Status]],79,0),0)
)</f>
        <v>0</v>
      </c>
      <c r="FO1" s="40"/>
      <c r="FP1" s="40"/>
      <c r="FQ1" s="40"/>
      <c r="FR1" s="40"/>
      <c r="FS1" s="61" cm="1">
        <f t="array" aca="1" ref="FS1" ca="1">SUMPRODUCT(
  (ISNUMBER(FS$14:FS$103))*(FS$14:FS$103&gt;0) *
  (IFERROR(VLOOKUP($C$14:$C$103,tblCharacterCapture[[Character Name]:[Clan]],4,0),"")=$A1) *
  IFERROR(VLOOKUP($C$14:$C$103,tblCharacterCapture[[Character Name]:[City Status]],79,0),0)
)</f>
        <v>0</v>
      </c>
      <c r="FT1" s="40"/>
      <c r="FU1" s="40"/>
      <c r="FV1" s="40"/>
      <c r="FW1" s="40"/>
      <c r="FX1" s="61" cm="1">
        <f t="array" aca="1" ref="FX1" ca="1">SUMPRODUCT(
  (ISNUMBER(FX$14:FX$103))*(FX$14:FX$103&gt;0) *
  (IFERROR(VLOOKUP($C$14:$C$103,tblCharacterCapture[[Character Name]:[Clan]],4,0),"")=$A1) *
  IFERROR(VLOOKUP($C$14:$C$103,tblCharacterCapture[[Character Name]:[City Status]],79,0),0)
)</f>
        <v>0</v>
      </c>
      <c r="FY1" s="40"/>
      <c r="FZ1" s="40"/>
      <c r="GA1" s="40"/>
      <c r="GB1" s="40"/>
      <c r="GC1" s="61" cm="1">
        <f t="array" aca="1" ref="GC1" ca="1">SUMPRODUCT(
  (ISNUMBER(GC$14:GC$103))*(GC$14:GC$103&gt;0) *
  (IFERROR(VLOOKUP($C$14:$C$103,tblCharacterCapture[[Character Name]:[Clan]],4,0),"")=$A1) *
  IFERROR(VLOOKUP($C$14:$C$103,tblCharacterCapture[[Character Name]:[City Status]],79,0),0)
)</f>
        <v>0</v>
      </c>
      <c r="GD1" s="40"/>
      <c r="GE1" s="40"/>
      <c r="GF1" s="40"/>
    </row>
    <row r="2" spans="1:188">
      <c r="A2" s="15" t="s">
        <v>491</v>
      </c>
      <c r="B2" s="61" cm="1">
        <f t="array" ref="B2">SUMPRODUCT(
  (tblCharacterCapture[Clan]=A2) *
  tblCharacterCapture[City Status]
)</f>
        <v>12</v>
      </c>
      <c r="C2" s="15" t="s">
        <v>491</v>
      </c>
      <c r="D2" s="39"/>
      <c r="E2" s="61" cm="1">
        <f t="array" aca="1" ref="E2" ca="1">SUMPRODUCT(
  (ISNUMBER(E$14:E$103))*(E$14:E$103&gt;0) *
  (IFERROR(VLOOKUP($C$14:$C$103,tblCharacterCapture[[Character Name]:[Clan]],4,0),"")=$A2) *
  IFERROR(VLOOKUP($C$14:$C$103,tblCharacterCapture[[Character Name]:[City Status]],79,0),0)
)</f>
        <v>11</v>
      </c>
      <c r="F2" s="39"/>
      <c r="G2" s="39"/>
      <c r="H2" s="40"/>
      <c r="I2" s="40"/>
      <c r="J2" s="61" cm="1">
        <f t="array" aca="1" ref="J2" ca="1">SUMPRODUCT(
  (ISNUMBER(J$14:J$103))*(J$14:J$103&gt;0) *
  (IFERROR(VLOOKUP($C$14:$C$103,tblCharacterCapture[[Character Name]:[Clan]],4,0),"")=$A2) *
  IFERROR(VLOOKUP($C$14:$C$103,tblCharacterCapture[[Character Name]:[City Status]],79,0),0)
)</f>
        <v>0</v>
      </c>
      <c r="K2" s="40"/>
      <c r="L2" s="40"/>
      <c r="M2" s="40"/>
      <c r="N2" s="40"/>
      <c r="O2" s="61" cm="1">
        <f t="array" aca="1" ref="O2" ca="1">SUMPRODUCT(
  (ISNUMBER(O$14:O$103))*(O$14:O$103&gt;0) *
  (IFERROR(VLOOKUP($C$14:$C$103,tblCharacterCapture[[Character Name]:[Clan]],4,0),"")=$A2) *
  IFERROR(VLOOKUP($C$14:$C$103,tblCharacterCapture[[Character Name]:[City Status]],79,0),0)
)</f>
        <v>0</v>
      </c>
      <c r="P2" s="40"/>
      <c r="Q2" s="40"/>
      <c r="R2" s="40"/>
      <c r="S2" s="40"/>
      <c r="T2" s="61" cm="1">
        <f t="array" aca="1" ref="T2" ca="1">SUMPRODUCT(
  (ISNUMBER(T$14:T$103))*(T$14:T$103&gt;0) *
  (IFERROR(VLOOKUP($C$14:$C$103,tblCharacterCapture[[Character Name]:[Clan]],4,0),"")=$A2) *
  IFERROR(VLOOKUP($C$14:$C$103,tblCharacterCapture[[Character Name]:[City Status]],79,0),0)
)</f>
        <v>0</v>
      </c>
      <c r="U2" s="40"/>
      <c r="V2" s="40"/>
      <c r="W2" s="40"/>
      <c r="X2" s="40"/>
      <c r="Y2" s="61" cm="1">
        <f t="array" aca="1" ref="Y2" ca="1">SUMPRODUCT(
  (ISNUMBER(Y$14:Y$103))*(Y$14:Y$103&gt;0) *
  (IFERROR(VLOOKUP($C$14:$C$103,tblCharacterCapture[[Character Name]:[Clan]],4,0),"")=$A2) *
  IFERROR(VLOOKUP($C$14:$C$103,tblCharacterCapture[[Character Name]:[City Status]],79,0),0)
)</f>
        <v>0</v>
      </c>
      <c r="Z2" s="40"/>
      <c r="AA2" s="40"/>
      <c r="AB2" s="40"/>
      <c r="AC2" s="40"/>
      <c r="AD2" s="61" cm="1">
        <f t="array" aca="1" ref="AD2" ca="1">SUMPRODUCT(
  (ISNUMBER(AD$14:AD$103))*(AD$14:AD$103&gt;0) *
  (IFERROR(VLOOKUP($C$14:$C$103,tblCharacterCapture[[Character Name]:[Clan]],4,0),"")=$A2) *
  IFERROR(VLOOKUP($C$14:$C$103,tblCharacterCapture[[Character Name]:[City Status]],79,0),0)
)</f>
        <v>0</v>
      </c>
      <c r="AE2" s="40"/>
      <c r="AF2" s="40"/>
      <c r="AG2" s="40"/>
      <c r="AH2" s="40"/>
      <c r="AI2" s="61" cm="1">
        <f t="array" aca="1" ref="AI2" ca="1">SUMPRODUCT(
  (ISNUMBER(AI$14:AI$103))*(AI$14:AI$103&gt;0) *
  (IFERROR(VLOOKUP($C$14:$C$103,tblCharacterCapture[[Character Name]:[Clan]],4,0),"")=$A2) *
  IFERROR(VLOOKUP($C$14:$C$103,tblCharacterCapture[[Character Name]:[City Status]],79,0),0)
)</f>
        <v>0</v>
      </c>
      <c r="AJ2" s="40"/>
      <c r="AK2" s="40"/>
      <c r="AL2" s="40"/>
      <c r="AM2" s="40"/>
      <c r="AN2" s="61" cm="1">
        <f t="array" aca="1" ref="AN2" ca="1">SUMPRODUCT(
  (ISNUMBER(AN$14:AN$103))*(AN$14:AN$103&gt;0) *
  (IFERROR(VLOOKUP($C$14:$C$103,tblCharacterCapture[[Character Name]:[Clan]],4,0),"")=$A2) *
  IFERROR(VLOOKUP($C$14:$C$103,tblCharacterCapture[[Character Name]:[City Status]],79,0),0)
)</f>
        <v>0</v>
      </c>
      <c r="AO2" s="40"/>
      <c r="AP2" s="40"/>
      <c r="AQ2" s="40"/>
      <c r="AR2" s="40"/>
      <c r="AS2" s="61" cm="1">
        <f t="array" aca="1" ref="AS2" ca="1">SUMPRODUCT(
  (ISNUMBER(AS$14:AS$103))*(AS$14:AS$103&gt;0) *
  (IFERROR(VLOOKUP($C$14:$C$103,tblCharacterCapture[[Character Name]:[Clan]],4,0),"")=$A2) *
  IFERROR(VLOOKUP($C$14:$C$103,tblCharacterCapture[[Character Name]:[City Status]],79,0),0)
)</f>
        <v>0</v>
      </c>
      <c r="AT2" s="40"/>
      <c r="AU2" s="40"/>
      <c r="AV2" s="40"/>
      <c r="AW2" s="40"/>
      <c r="AX2" s="61" cm="1">
        <f t="array" aca="1" ref="AX2" ca="1">SUMPRODUCT(
  (ISNUMBER(AX$14:AX$103))*(AX$14:AX$103&gt;0) *
  (IFERROR(VLOOKUP($C$14:$C$103,tblCharacterCapture[[Character Name]:[Clan]],4,0),"")=$A2) *
  IFERROR(VLOOKUP($C$14:$C$103,tblCharacterCapture[[Character Name]:[City Status]],79,0),0)
)</f>
        <v>0</v>
      </c>
      <c r="AY2" s="40"/>
      <c r="AZ2" s="40"/>
      <c r="BA2" s="40"/>
      <c r="BB2" s="40"/>
      <c r="BC2" s="61" cm="1">
        <f t="array" aca="1" ref="BC2" ca="1">SUMPRODUCT(
  (ISNUMBER(BC$14:BC$103))*(BC$14:BC$103&gt;0) *
  (IFERROR(VLOOKUP($C$14:$C$103,tblCharacterCapture[[Character Name]:[Clan]],4,0),"")=$A2) *
  IFERROR(VLOOKUP($C$14:$C$103,tblCharacterCapture[[Character Name]:[City Status]],79,0),0)
)</f>
        <v>0</v>
      </c>
      <c r="BD2" s="40"/>
      <c r="BE2" s="40"/>
      <c r="BF2" s="40"/>
      <c r="BG2" s="40"/>
      <c r="BH2" s="61" cm="1">
        <f t="array" aca="1" ref="BH2" ca="1">SUMPRODUCT(
  (ISNUMBER(BH$14:BH$103))*(BH$14:BH$103&gt;0) *
  (IFERROR(VLOOKUP($C$14:$C$103,tblCharacterCapture[[Character Name]:[Clan]],4,0),"")=$A2) *
  IFERROR(VLOOKUP($C$14:$C$103,tblCharacterCapture[[Character Name]:[City Status]],79,0),0)
)</f>
        <v>0</v>
      </c>
      <c r="BI2" s="40"/>
      <c r="BJ2" s="40"/>
      <c r="BK2" s="40"/>
      <c r="BL2" s="40"/>
      <c r="BM2" s="61" cm="1">
        <f t="array" aca="1" ref="BM2" ca="1">SUMPRODUCT(
  (ISNUMBER(BM$14:BM$103))*(BM$14:BM$103&gt;0) *
  (IFERROR(VLOOKUP($C$14:$C$103,tblCharacterCapture[[Character Name]:[Clan]],4,0),"")=$A2) *
  IFERROR(VLOOKUP($C$14:$C$103,tblCharacterCapture[[Character Name]:[City Status]],79,0),0)
)</f>
        <v>0</v>
      </c>
      <c r="BN2" s="40"/>
      <c r="BO2" s="40"/>
      <c r="BP2" s="40"/>
      <c r="BQ2" s="40"/>
      <c r="BR2" s="61" cm="1">
        <f t="array" aca="1" ref="BR2" ca="1">SUMPRODUCT(
  (ISNUMBER(BR$14:BR$103))*(BR$14:BR$103&gt;0) *
  (IFERROR(VLOOKUP($C$14:$C$103,tblCharacterCapture[[Character Name]:[Clan]],4,0),"")=$A2) *
  IFERROR(VLOOKUP($C$14:$C$103,tblCharacterCapture[[Character Name]:[City Status]],79,0),0)
)</f>
        <v>0</v>
      </c>
      <c r="BS2" s="40"/>
      <c r="BT2" s="40"/>
      <c r="BU2" s="40"/>
      <c r="BV2" s="40"/>
      <c r="BW2" s="61" cm="1">
        <f t="array" aca="1" ref="BW2" ca="1">SUMPRODUCT(
  (ISNUMBER(BW$14:BW$103))*(BW$14:BW$103&gt;0) *
  (IFERROR(VLOOKUP($C$14:$C$103,tblCharacterCapture[[Character Name]:[Clan]],4,0),"")=$A2) *
  IFERROR(VLOOKUP($C$14:$C$103,tblCharacterCapture[[Character Name]:[City Status]],79,0),0)
)</f>
        <v>0</v>
      </c>
      <c r="BX2" s="40"/>
      <c r="BY2" s="40"/>
      <c r="BZ2" s="40"/>
      <c r="CA2" s="40"/>
      <c r="CB2" s="61" cm="1">
        <f t="array" aca="1" ref="CB2" ca="1">SUMPRODUCT(
  (ISNUMBER(CB$14:CB$103))*(CB$14:CB$103&gt;0) *
  (IFERROR(VLOOKUP($C$14:$C$103,tblCharacterCapture[[Character Name]:[Clan]],4,0),"")=$A2) *
  IFERROR(VLOOKUP($C$14:$C$103,tblCharacterCapture[[Character Name]:[City Status]],79,0),0)
)</f>
        <v>0</v>
      </c>
      <c r="CC2" s="40"/>
      <c r="CD2" s="40"/>
      <c r="CE2" s="40"/>
      <c r="CF2" s="40"/>
      <c r="CG2" s="61" cm="1">
        <f t="array" aca="1" ref="CG2" ca="1">SUMPRODUCT(
  (ISNUMBER(CG$14:CG$103))*(CG$14:CG$103&gt;0) *
  (IFERROR(VLOOKUP($C$14:$C$103,tblCharacterCapture[[Character Name]:[Clan]],4,0),"")=$A2) *
  IFERROR(VLOOKUP($C$14:$C$103,tblCharacterCapture[[Character Name]:[City Status]],79,0),0)
)</f>
        <v>0</v>
      </c>
      <c r="CH2" s="40"/>
      <c r="CI2" s="40"/>
      <c r="CJ2" s="40"/>
      <c r="CK2" s="40"/>
      <c r="CL2" s="61" cm="1">
        <f t="array" aca="1" ref="CL2" ca="1">SUMPRODUCT(
  (ISNUMBER(CL$14:CL$103))*(CL$14:CL$103&gt;0) *
  (IFERROR(VLOOKUP($C$14:$C$103,tblCharacterCapture[[Character Name]:[Clan]],4,0),"")=$A2) *
  IFERROR(VLOOKUP($C$14:$C$103,tblCharacterCapture[[Character Name]:[City Status]],79,0),0)
)</f>
        <v>0</v>
      </c>
      <c r="CM2" s="40"/>
      <c r="CN2" s="40"/>
      <c r="CO2" s="40"/>
      <c r="CP2" s="40"/>
      <c r="CQ2" s="61" cm="1">
        <f t="array" aca="1" ref="CQ2" ca="1">SUMPRODUCT(
  (ISNUMBER(CQ$14:CQ$103))*(CQ$14:CQ$103&gt;0) *
  (IFERROR(VLOOKUP($C$14:$C$103,tblCharacterCapture[[Character Name]:[Clan]],4,0),"")=$A2) *
  IFERROR(VLOOKUP($C$14:$C$103,tblCharacterCapture[[Character Name]:[City Status]],79,0),0)
)</f>
        <v>0</v>
      </c>
      <c r="CR2" s="40"/>
      <c r="CS2" s="40"/>
      <c r="CT2" s="40"/>
      <c r="CU2" s="40"/>
      <c r="CV2" s="61" cm="1">
        <f t="array" aca="1" ref="CV2" ca="1">SUMPRODUCT(
  (ISNUMBER(CV$14:CV$103))*(CV$14:CV$103&gt;0) *
  (IFERROR(VLOOKUP($C$14:$C$103,tblCharacterCapture[[Character Name]:[Clan]],4,0),"")=$A2) *
  IFERROR(VLOOKUP($C$14:$C$103,tblCharacterCapture[[Character Name]:[City Status]],79,0),0)
)</f>
        <v>0</v>
      </c>
      <c r="CW2" s="40"/>
      <c r="CX2" s="40"/>
      <c r="CY2" s="40"/>
      <c r="CZ2" s="40"/>
      <c r="DA2" s="61" cm="1">
        <f t="array" aca="1" ref="DA2" ca="1">SUMPRODUCT(
  (ISNUMBER(DA$14:DA$103))*(DA$14:DA$103&gt;0) *
  (IFERROR(VLOOKUP($C$14:$C$103,tblCharacterCapture[[Character Name]:[Clan]],4,0),"")=$A2) *
  IFERROR(VLOOKUP($C$14:$C$103,tblCharacterCapture[[Character Name]:[City Status]],79,0),0)
)</f>
        <v>0</v>
      </c>
      <c r="DB2" s="40"/>
      <c r="DC2" s="40"/>
      <c r="DD2" s="40"/>
      <c r="DE2" s="40"/>
      <c r="DF2" s="61" cm="1">
        <f t="array" aca="1" ref="DF2" ca="1">SUMPRODUCT(
  (ISNUMBER(DF$14:DF$103))*(DF$14:DF$103&gt;0) *
  (IFERROR(VLOOKUP($C$14:$C$103,tblCharacterCapture[[Character Name]:[Clan]],4,0),"")=$A2) *
  IFERROR(VLOOKUP($C$14:$C$103,tblCharacterCapture[[Character Name]:[City Status]],79,0),0)
)</f>
        <v>0</v>
      </c>
      <c r="DG2" s="40"/>
      <c r="DH2" s="40"/>
      <c r="DI2" s="40"/>
      <c r="DJ2" s="40"/>
      <c r="DK2" s="61" cm="1">
        <f t="array" aca="1" ref="DK2" ca="1">SUMPRODUCT(
  (ISNUMBER(DK$14:DK$103))*(DK$14:DK$103&gt;0) *
  (IFERROR(VLOOKUP($C$14:$C$103,tblCharacterCapture[[Character Name]:[Clan]],4,0),"")=$A2) *
  IFERROR(VLOOKUP($C$14:$C$103,tblCharacterCapture[[Character Name]:[City Status]],79,0),0)
)</f>
        <v>0</v>
      </c>
      <c r="DL2" s="40"/>
      <c r="DM2" s="40"/>
      <c r="DN2" s="40"/>
      <c r="DO2" s="40"/>
      <c r="DP2" s="61" cm="1">
        <f t="array" aca="1" ref="DP2" ca="1">SUMPRODUCT(
  (ISNUMBER(DP$14:DP$103))*(DP$14:DP$103&gt;0) *
  (IFERROR(VLOOKUP($C$14:$C$103,tblCharacterCapture[[Character Name]:[Clan]],4,0),"")=$A2) *
  IFERROR(VLOOKUP($C$14:$C$103,tblCharacterCapture[[Character Name]:[City Status]],79,0),0)
)</f>
        <v>0</v>
      </c>
      <c r="DQ2" s="40"/>
      <c r="DR2" s="40"/>
      <c r="DS2" s="40"/>
      <c r="DT2" s="40"/>
      <c r="DU2" s="61" cm="1">
        <f t="array" aca="1" ref="DU2" ca="1">SUMPRODUCT(
  (ISNUMBER(DU$14:DU$103))*(DU$14:DU$103&gt;0) *
  (IFERROR(VLOOKUP($C$14:$C$103,tblCharacterCapture[[Character Name]:[Clan]],4,0),"")=$A2) *
  IFERROR(VLOOKUP($C$14:$C$103,tblCharacterCapture[[Character Name]:[City Status]],79,0),0)
)</f>
        <v>0</v>
      </c>
      <c r="DV2" s="40"/>
      <c r="DW2" s="40"/>
      <c r="DX2" s="40"/>
      <c r="DY2" s="40"/>
      <c r="DZ2" s="61" cm="1">
        <f t="array" aca="1" ref="DZ2" ca="1">SUMPRODUCT(
  (ISNUMBER(DZ$14:DZ$103))*(DZ$14:DZ$103&gt;0) *
  (IFERROR(VLOOKUP($C$14:$C$103,tblCharacterCapture[[Character Name]:[Clan]],4,0),"")=$A2) *
  IFERROR(VLOOKUP($C$14:$C$103,tblCharacterCapture[[Character Name]:[City Status]],79,0),0)
)</f>
        <v>0</v>
      </c>
      <c r="EA2" s="40"/>
      <c r="EB2" s="40"/>
      <c r="EC2" s="40"/>
      <c r="ED2" s="40"/>
      <c r="EE2" s="61" cm="1">
        <f t="array" aca="1" ref="EE2" ca="1">SUMPRODUCT(
  (ISNUMBER(EE$14:EE$103))*(EE$14:EE$103&gt;0) *
  (IFERROR(VLOOKUP($C$14:$C$103,tblCharacterCapture[[Character Name]:[Clan]],4,0),"")=$A2) *
  IFERROR(VLOOKUP($C$14:$C$103,tblCharacterCapture[[Character Name]:[City Status]],79,0),0)
)</f>
        <v>0</v>
      </c>
      <c r="EF2" s="40"/>
      <c r="EG2" s="40"/>
      <c r="EH2" s="40"/>
      <c r="EI2" s="40"/>
      <c r="EJ2" s="61" cm="1">
        <f t="array" aca="1" ref="EJ2" ca="1">SUMPRODUCT(
  (ISNUMBER(EJ$14:EJ$103))*(EJ$14:EJ$103&gt;0) *
  (IFERROR(VLOOKUP($C$14:$C$103,tblCharacterCapture[[Character Name]:[Clan]],4,0),"")=$A2) *
  IFERROR(VLOOKUP($C$14:$C$103,tblCharacterCapture[[Character Name]:[City Status]],79,0),0)
)</f>
        <v>0</v>
      </c>
      <c r="EK2" s="40"/>
      <c r="EL2" s="40"/>
      <c r="EM2" s="40"/>
      <c r="EN2" s="40"/>
      <c r="EO2" s="61" cm="1">
        <f t="array" aca="1" ref="EO2" ca="1">SUMPRODUCT(
  (ISNUMBER(EO$14:EO$103))*(EO$14:EO$103&gt;0) *
  (IFERROR(VLOOKUP($C$14:$C$103,tblCharacterCapture[[Character Name]:[Clan]],4,0),"")=$A2) *
  IFERROR(VLOOKUP($C$14:$C$103,tblCharacterCapture[[Character Name]:[City Status]],79,0),0)
)</f>
        <v>0</v>
      </c>
      <c r="EP2" s="40"/>
      <c r="EQ2" s="40"/>
      <c r="ER2" s="40"/>
      <c r="ES2" s="40"/>
      <c r="ET2" s="61" cm="1">
        <f t="array" aca="1" ref="ET2" ca="1">SUMPRODUCT(
  (ISNUMBER(ET$14:ET$103))*(ET$14:ET$103&gt;0) *
  (IFERROR(VLOOKUP($C$14:$C$103,tblCharacterCapture[[Character Name]:[Clan]],4,0),"")=$A2) *
  IFERROR(VLOOKUP($C$14:$C$103,tblCharacterCapture[[Character Name]:[City Status]],79,0),0)
)</f>
        <v>0</v>
      </c>
      <c r="EU2" s="40"/>
      <c r="EV2" s="40"/>
      <c r="EW2" s="40"/>
      <c r="EX2" s="40"/>
      <c r="EY2" s="61" cm="1">
        <f t="array" aca="1" ref="EY2" ca="1">SUMPRODUCT(
  (ISNUMBER(EY$14:EY$103))*(EY$14:EY$103&gt;0) *
  (IFERROR(VLOOKUP($C$14:$C$103,tblCharacterCapture[[Character Name]:[Clan]],4,0),"")=$A2) *
  IFERROR(VLOOKUP($C$14:$C$103,tblCharacterCapture[[Character Name]:[City Status]],79,0),0)
)</f>
        <v>0</v>
      </c>
      <c r="EZ2" s="40"/>
      <c r="FA2" s="40"/>
      <c r="FB2" s="40"/>
      <c r="FC2" s="40"/>
      <c r="FD2" s="61" cm="1">
        <f t="array" aca="1" ref="FD2" ca="1">SUMPRODUCT(
  (ISNUMBER(FD$14:FD$103))*(FD$14:FD$103&gt;0) *
  (IFERROR(VLOOKUP($C$14:$C$103,tblCharacterCapture[[Character Name]:[Clan]],4,0),"")=$A2) *
  IFERROR(VLOOKUP($C$14:$C$103,tblCharacterCapture[[Character Name]:[City Status]],79,0),0)
)</f>
        <v>0</v>
      </c>
      <c r="FE2" s="40"/>
      <c r="FF2" s="40"/>
      <c r="FG2" s="40"/>
      <c r="FH2" s="40"/>
      <c r="FI2" s="61" cm="1">
        <f t="array" aca="1" ref="FI2" ca="1">SUMPRODUCT(
  (ISNUMBER(FI$14:FI$103))*(FI$14:FI$103&gt;0) *
  (IFERROR(VLOOKUP($C$14:$C$103,tblCharacterCapture[[Character Name]:[Clan]],4,0),"")=$A2) *
  IFERROR(VLOOKUP($C$14:$C$103,tblCharacterCapture[[Character Name]:[City Status]],79,0),0)
)</f>
        <v>0</v>
      </c>
      <c r="FJ2" s="40"/>
      <c r="FK2" s="40"/>
      <c r="FL2" s="40"/>
      <c r="FM2" s="40"/>
      <c r="FN2" s="61" cm="1">
        <f t="array" aca="1" ref="FN2" ca="1">SUMPRODUCT(
  (ISNUMBER(FN$14:FN$103))*(FN$14:FN$103&gt;0) *
  (IFERROR(VLOOKUP($C$14:$C$103,tblCharacterCapture[[Character Name]:[Clan]],4,0),"")=$A2) *
  IFERROR(VLOOKUP($C$14:$C$103,tblCharacterCapture[[Character Name]:[City Status]],79,0),0)
)</f>
        <v>0</v>
      </c>
      <c r="FO2" s="40"/>
      <c r="FP2" s="40"/>
      <c r="FQ2" s="40"/>
      <c r="FR2" s="40"/>
      <c r="FS2" s="61" cm="1">
        <f t="array" aca="1" ref="FS2" ca="1">SUMPRODUCT(
  (ISNUMBER(FS$14:FS$103))*(FS$14:FS$103&gt;0) *
  (IFERROR(VLOOKUP($C$14:$C$103,tblCharacterCapture[[Character Name]:[Clan]],4,0),"")=$A2) *
  IFERROR(VLOOKUP($C$14:$C$103,tblCharacterCapture[[Character Name]:[City Status]],79,0),0)
)</f>
        <v>0</v>
      </c>
      <c r="FT2" s="40"/>
      <c r="FU2" s="40"/>
      <c r="FV2" s="40"/>
      <c r="FW2" s="40"/>
      <c r="FX2" s="61" cm="1">
        <f t="array" aca="1" ref="FX2" ca="1">SUMPRODUCT(
  (ISNUMBER(FX$14:FX$103))*(FX$14:FX$103&gt;0) *
  (IFERROR(VLOOKUP($C$14:$C$103,tblCharacterCapture[[Character Name]:[Clan]],4,0),"")=$A2) *
  IFERROR(VLOOKUP($C$14:$C$103,tblCharacterCapture[[Character Name]:[City Status]],79,0),0)
)</f>
        <v>0</v>
      </c>
      <c r="FY2" s="40"/>
      <c r="FZ2" s="40"/>
      <c r="GA2" s="40"/>
      <c r="GB2" s="40"/>
      <c r="GC2" s="61" cm="1">
        <f t="array" aca="1" ref="GC2" ca="1">SUMPRODUCT(
  (ISNUMBER(GC$14:GC$103))*(GC$14:GC$103&gt;0) *
  (IFERROR(VLOOKUP($C$14:$C$103,tblCharacterCapture[[Character Name]:[Clan]],4,0),"")=$A2) *
  IFERROR(VLOOKUP($C$14:$C$103,tblCharacterCapture[[Character Name]:[City Status]],79,0),0)
)</f>
        <v>0</v>
      </c>
      <c r="GD2" s="40"/>
      <c r="GE2" s="40"/>
      <c r="GF2" s="40"/>
    </row>
    <row r="3" spans="1:188">
      <c r="A3" s="15" t="s">
        <v>370</v>
      </c>
      <c r="B3" s="61" cm="1">
        <f t="array" ref="B3">SUMPRODUCT(
  (tblCharacterCapture[Clan]=A3) *
  tblCharacterCapture[City Status]
)</f>
        <v>17</v>
      </c>
      <c r="C3" s="15" t="s">
        <v>370</v>
      </c>
      <c r="D3" s="39"/>
      <c r="E3" s="61" cm="1">
        <f t="array" aca="1" ref="E3" ca="1">SUMPRODUCT(
  (ISNUMBER(E$14:E$103))*(E$14:E$103&gt;0) *
  (IFERROR(VLOOKUP($C$14:$C$103,tblCharacterCapture[[Character Name]:[Clan]],4,0),"")=$A3) *
  IFERROR(VLOOKUP($C$14:$C$103,tblCharacterCapture[[Character Name]:[City Status]],79,0),0)
)</f>
        <v>17</v>
      </c>
      <c r="F3" s="39"/>
      <c r="G3" s="39"/>
      <c r="H3" s="40"/>
      <c r="I3" s="40"/>
      <c r="J3" s="61" cm="1">
        <f t="array" aca="1" ref="J3" ca="1">SUMPRODUCT(
  (ISNUMBER(J$14:J$103))*(J$14:J$103&gt;0) *
  (IFERROR(VLOOKUP($C$14:$C$103,tblCharacterCapture[[Character Name]:[Clan]],4,0),"")=$A3) *
  IFERROR(VLOOKUP($C$14:$C$103,tblCharacterCapture[[Character Name]:[City Status]],79,0),0)
)</f>
        <v>0</v>
      </c>
      <c r="K3" s="40"/>
      <c r="L3" s="40"/>
      <c r="M3" s="40"/>
      <c r="N3" s="40"/>
      <c r="O3" s="61" cm="1">
        <f t="array" aca="1" ref="O3" ca="1">SUMPRODUCT(
  (ISNUMBER(O$14:O$103))*(O$14:O$103&gt;0) *
  (IFERROR(VLOOKUP($C$14:$C$103,tblCharacterCapture[[Character Name]:[Clan]],4,0),"")=$A3) *
  IFERROR(VLOOKUP($C$14:$C$103,tblCharacterCapture[[Character Name]:[City Status]],79,0),0)
)</f>
        <v>0</v>
      </c>
      <c r="P3" s="40"/>
      <c r="Q3" s="40"/>
      <c r="R3" s="40"/>
      <c r="S3" s="40"/>
      <c r="T3" s="61" cm="1">
        <f t="array" aca="1" ref="T3" ca="1">SUMPRODUCT(
  (ISNUMBER(T$14:T$103))*(T$14:T$103&gt;0) *
  (IFERROR(VLOOKUP($C$14:$C$103,tblCharacterCapture[[Character Name]:[Clan]],4,0),"")=$A3) *
  IFERROR(VLOOKUP($C$14:$C$103,tblCharacterCapture[[Character Name]:[City Status]],79,0),0)
)</f>
        <v>0</v>
      </c>
      <c r="U3" s="40"/>
      <c r="V3" s="40"/>
      <c r="W3" s="40"/>
      <c r="X3" s="40"/>
      <c r="Y3" s="61" cm="1">
        <f t="array" aca="1" ref="Y3" ca="1">SUMPRODUCT(
  (ISNUMBER(Y$14:Y$103))*(Y$14:Y$103&gt;0) *
  (IFERROR(VLOOKUP($C$14:$C$103,tblCharacterCapture[[Character Name]:[Clan]],4,0),"")=$A3) *
  IFERROR(VLOOKUP($C$14:$C$103,tblCharacterCapture[[Character Name]:[City Status]],79,0),0)
)</f>
        <v>0</v>
      </c>
      <c r="Z3" s="40"/>
      <c r="AA3" s="40"/>
      <c r="AB3" s="40"/>
      <c r="AC3" s="40"/>
      <c r="AD3" s="61" cm="1">
        <f t="array" aca="1" ref="AD3" ca="1">SUMPRODUCT(
  (ISNUMBER(AD$14:AD$103))*(AD$14:AD$103&gt;0) *
  (IFERROR(VLOOKUP($C$14:$C$103,tblCharacterCapture[[Character Name]:[Clan]],4,0),"")=$A3) *
  IFERROR(VLOOKUP($C$14:$C$103,tblCharacterCapture[[Character Name]:[City Status]],79,0),0)
)</f>
        <v>0</v>
      </c>
      <c r="AE3" s="40"/>
      <c r="AF3" s="40"/>
      <c r="AG3" s="40"/>
      <c r="AH3" s="40"/>
      <c r="AI3" s="61" cm="1">
        <f t="array" aca="1" ref="AI3" ca="1">SUMPRODUCT(
  (ISNUMBER(AI$14:AI$103))*(AI$14:AI$103&gt;0) *
  (IFERROR(VLOOKUP($C$14:$C$103,tblCharacterCapture[[Character Name]:[Clan]],4,0),"")=$A3) *
  IFERROR(VLOOKUP($C$14:$C$103,tblCharacterCapture[[Character Name]:[City Status]],79,0),0)
)</f>
        <v>0</v>
      </c>
      <c r="AJ3" s="40"/>
      <c r="AK3" s="40"/>
      <c r="AL3" s="40"/>
      <c r="AM3" s="40"/>
      <c r="AN3" s="61" cm="1">
        <f t="array" aca="1" ref="AN3" ca="1">SUMPRODUCT(
  (ISNUMBER(AN$14:AN$103))*(AN$14:AN$103&gt;0) *
  (IFERROR(VLOOKUP($C$14:$C$103,tblCharacterCapture[[Character Name]:[Clan]],4,0),"")=$A3) *
  IFERROR(VLOOKUP($C$14:$C$103,tblCharacterCapture[[Character Name]:[City Status]],79,0),0)
)</f>
        <v>0</v>
      </c>
      <c r="AO3" s="40"/>
      <c r="AP3" s="40"/>
      <c r="AQ3" s="40"/>
      <c r="AR3" s="40"/>
      <c r="AS3" s="61" cm="1">
        <f t="array" aca="1" ref="AS3" ca="1">SUMPRODUCT(
  (ISNUMBER(AS$14:AS$103))*(AS$14:AS$103&gt;0) *
  (IFERROR(VLOOKUP($C$14:$C$103,tblCharacterCapture[[Character Name]:[Clan]],4,0),"")=$A3) *
  IFERROR(VLOOKUP($C$14:$C$103,tblCharacterCapture[[Character Name]:[City Status]],79,0),0)
)</f>
        <v>0</v>
      </c>
      <c r="AT3" s="40"/>
      <c r="AU3" s="40"/>
      <c r="AV3" s="40"/>
      <c r="AW3" s="40"/>
      <c r="AX3" s="61" cm="1">
        <f t="array" aca="1" ref="AX3" ca="1">SUMPRODUCT(
  (ISNUMBER(AX$14:AX$103))*(AX$14:AX$103&gt;0) *
  (IFERROR(VLOOKUP($C$14:$C$103,tblCharacterCapture[[Character Name]:[Clan]],4,0),"")=$A3) *
  IFERROR(VLOOKUP($C$14:$C$103,tblCharacterCapture[[Character Name]:[City Status]],79,0),0)
)</f>
        <v>0</v>
      </c>
      <c r="AY3" s="40"/>
      <c r="AZ3" s="40"/>
      <c r="BA3" s="40"/>
      <c r="BB3" s="40"/>
      <c r="BC3" s="61" cm="1">
        <f t="array" aca="1" ref="BC3" ca="1">SUMPRODUCT(
  (ISNUMBER(BC$14:BC$103))*(BC$14:BC$103&gt;0) *
  (IFERROR(VLOOKUP($C$14:$C$103,tblCharacterCapture[[Character Name]:[Clan]],4,0),"")=$A3) *
  IFERROR(VLOOKUP($C$14:$C$103,tblCharacterCapture[[Character Name]:[City Status]],79,0),0)
)</f>
        <v>0</v>
      </c>
      <c r="BD3" s="40"/>
      <c r="BE3" s="40"/>
      <c r="BF3" s="40"/>
      <c r="BG3" s="40"/>
      <c r="BH3" s="61" cm="1">
        <f t="array" aca="1" ref="BH3" ca="1">SUMPRODUCT(
  (ISNUMBER(BH$14:BH$103))*(BH$14:BH$103&gt;0) *
  (IFERROR(VLOOKUP($C$14:$C$103,tblCharacterCapture[[Character Name]:[Clan]],4,0),"")=$A3) *
  IFERROR(VLOOKUP($C$14:$C$103,tblCharacterCapture[[Character Name]:[City Status]],79,0),0)
)</f>
        <v>0</v>
      </c>
      <c r="BI3" s="40"/>
      <c r="BJ3" s="40"/>
      <c r="BK3" s="40"/>
      <c r="BL3" s="40"/>
      <c r="BM3" s="61" cm="1">
        <f t="array" aca="1" ref="BM3" ca="1">SUMPRODUCT(
  (ISNUMBER(BM$14:BM$103))*(BM$14:BM$103&gt;0) *
  (IFERROR(VLOOKUP($C$14:$C$103,tblCharacterCapture[[Character Name]:[Clan]],4,0),"")=$A3) *
  IFERROR(VLOOKUP($C$14:$C$103,tblCharacterCapture[[Character Name]:[City Status]],79,0),0)
)</f>
        <v>0</v>
      </c>
      <c r="BN3" s="40"/>
      <c r="BO3" s="40"/>
      <c r="BP3" s="40"/>
      <c r="BQ3" s="40"/>
      <c r="BR3" s="61" cm="1">
        <f t="array" aca="1" ref="BR3" ca="1">SUMPRODUCT(
  (ISNUMBER(BR$14:BR$103))*(BR$14:BR$103&gt;0) *
  (IFERROR(VLOOKUP($C$14:$C$103,tblCharacterCapture[[Character Name]:[Clan]],4,0),"")=$A3) *
  IFERROR(VLOOKUP($C$14:$C$103,tblCharacterCapture[[Character Name]:[City Status]],79,0),0)
)</f>
        <v>0</v>
      </c>
      <c r="BS3" s="40"/>
      <c r="BT3" s="40"/>
      <c r="BU3" s="40"/>
      <c r="BV3" s="40"/>
      <c r="BW3" s="61" cm="1">
        <f t="array" aca="1" ref="BW3" ca="1">SUMPRODUCT(
  (ISNUMBER(BW$14:BW$103))*(BW$14:BW$103&gt;0) *
  (IFERROR(VLOOKUP($C$14:$C$103,tblCharacterCapture[[Character Name]:[Clan]],4,0),"")=$A3) *
  IFERROR(VLOOKUP($C$14:$C$103,tblCharacterCapture[[Character Name]:[City Status]],79,0),0)
)</f>
        <v>0</v>
      </c>
      <c r="BX3" s="40"/>
      <c r="BY3" s="40"/>
      <c r="BZ3" s="40"/>
      <c r="CA3" s="40"/>
      <c r="CB3" s="61" cm="1">
        <f t="array" aca="1" ref="CB3" ca="1">SUMPRODUCT(
  (ISNUMBER(CB$14:CB$103))*(CB$14:CB$103&gt;0) *
  (IFERROR(VLOOKUP($C$14:$C$103,tblCharacterCapture[[Character Name]:[Clan]],4,0),"")=$A3) *
  IFERROR(VLOOKUP($C$14:$C$103,tblCharacterCapture[[Character Name]:[City Status]],79,0),0)
)</f>
        <v>0</v>
      </c>
      <c r="CC3" s="40"/>
      <c r="CD3" s="40"/>
      <c r="CE3" s="40"/>
      <c r="CF3" s="40"/>
      <c r="CG3" s="61" cm="1">
        <f t="array" aca="1" ref="CG3" ca="1">SUMPRODUCT(
  (ISNUMBER(CG$14:CG$103))*(CG$14:CG$103&gt;0) *
  (IFERROR(VLOOKUP($C$14:$C$103,tblCharacterCapture[[Character Name]:[Clan]],4,0),"")=$A3) *
  IFERROR(VLOOKUP($C$14:$C$103,tblCharacterCapture[[Character Name]:[City Status]],79,0),0)
)</f>
        <v>0</v>
      </c>
      <c r="CH3" s="40"/>
      <c r="CI3" s="40"/>
      <c r="CJ3" s="40"/>
      <c r="CK3" s="40"/>
      <c r="CL3" s="61" cm="1">
        <f t="array" aca="1" ref="CL3" ca="1">SUMPRODUCT(
  (ISNUMBER(CL$14:CL$103))*(CL$14:CL$103&gt;0) *
  (IFERROR(VLOOKUP($C$14:$C$103,tblCharacterCapture[[Character Name]:[Clan]],4,0),"")=$A3) *
  IFERROR(VLOOKUP($C$14:$C$103,tblCharacterCapture[[Character Name]:[City Status]],79,0),0)
)</f>
        <v>0</v>
      </c>
      <c r="CM3" s="40"/>
      <c r="CN3" s="40"/>
      <c r="CO3" s="40"/>
      <c r="CP3" s="40"/>
      <c r="CQ3" s="61" cm="1">
        <f t="array" aca="1" ref="CQ3" ca="1">SUMPRODUCT(
  (ISNUMBER(CQ$14:CQ$103))*(CQ$14:CQ$103&gt;0) *
  (IFERROR(VLOOKUP($C$14:$C$103,tblCharacterCapture[[Character Name]:[Clan]],4,0),"")=$A3) *
  IFERROR(VLOOKUP($C$14:$C$103,tblCharacterCapture[[Character Name]:[City Status]],79,0),0)
)</f>
        <v>0</v>
      </c>
      <c r="CR3" s="40"/>
      <c r="CS3" s="40"/>
      <c r="CT3" s="40"/>
      <c r="CU3" s="40"/>
      <c r="CV3" s="61" cm="1">
        <f t="array" aca="1" ref="CV3" ca="1">SUMPRODUCT(
  (ISNUMBER(CV$14:CV$103))*(CV$14:CV$103&gt;0) *
  (IFERROR(VLOOKUP($C$14:$C$103,tblCharacterCapture[[Character Name]:[Clan]],4,0),"")=$A3) *
  IFERROR(VLOOKUP($C$14:$C$103,tblCharacterCapture[[Character Name]:[City Status]],79,0),0)
)</f>
        <v>0</v>
      </c>
      <c r="CW3" s="40"/>
      <c r="CX3" s="40"/>
      <c r="CY3" s="40"/>
      <c r="CZ3" s="40"/>
      <c r="DA3" s="61" cm="1">
        <f t="array" aca="1" ref="DA3" ca="1">SUMPRODUCT(
  (ISNUMBER(DA$14:DA$103))*(DA$14:DA$103&gt;0) *
  (IFERROR(VLOOKUP($C$14:$C$103,tblCharacterCapture[[Character Name]:[Clan]],4,0),"")=$A3) *
  IFERROR(VLOOKUP($C$14:$C$103,tblCharacterCapture[[Character Name]:[City Status]],79,0),0)
)</f>
        <v>0</v>
      </c>
      <c r="DB3" s="40"/>
      <c r="DC3" s="40"/>
      <c r="DD3" s="40"/>
      <c r="DE3" s="40"/>
      <c r="DF3" s="61" cm="1">
        <f t="array" aca="1" ref="DF3" ca="1">SUMPRODUCT(
  (ISNUMBER(DF$14:DF$103))*(DF$14:DF$103&gt;0) *
  (IFERROR(VLOOKUP($C$14:$C$103,tblCharacterCapture[[Character Name]:[Clan]],4,0),"")=$A3) *
  IFERROR(VLOOKUP($C$14:$C$103,tblCharacterCapture[[Character Name]:[City Status]],79,0),0)
)</f>
        <v>0</v>
      </c>
      <c r="DG3" s="40"/>
      <c r="DH3" s="40"/>
      <c r="DI3" s="40"/>
      <c r="DJ3" s="40"/>
      <c r="DK3" s="61" cm="1">
        <f t="array" aca="1" ref="DK3" ca="1">SUMPRODUCT(
  (ISNUMBER(DK$14:DK$103))*(DK$14:DK$103&gt;0) *
  (IFERROR(VLOOKUP($C$14:$C$103,tblCharacterCapture[[Character Name]:[Clan]],4,0),"")=$A3) *
  IFERROR(VLOOKUP($C$14:$C$103,tblCharacterCapture[[Character Name]:[City Status]],79,0),0)
)</f>
        <v>0</v>
      </c>
      <c r="DL3" s="40"/>
      <c r="DM3" s="40"/>
      <c r="DN3" s="40"/>
      <c r="DO3" s="40"/>
      <c r="DP3" s="61" cm="1">
        <f t="array" aca="1" ref="DP3" ca="1">SUMPRODUCT(
  (ISNUMBER(DP$14:DP$103))*(DP$14:DP$103&gt;0) *
  (IFERROR(VLOOKUP($C$14:$C$103,tblCharacterCapture[[Character Name]:[Clan]],4,0),"")=$A3) *
  IFERROR(VLOOKUP($C$14:$C$103,tblCharacterCapture[[Character Name]:[City Status]],79,0),0)
)</f>
        <v>0</v>
      </c>
      <c r="DQ3" s="40"/>
      <c r="DR3" s="40"/>
      <c r="DS3" s="40"/>
      <c r="DT3" s="40"/>
      <c r="DU3" s="61" cm="1">
        <f t="array" aca="1" ref="DU3" ca="1">SUMPRODUCT(
  (ISNUMBER(DU$14:DU$103))*(DU$14:DU$103&gt;0) *
  (IFERROR(VLOOKUP($C$14:$C$103,tblCharacterCapture[[Character Name]:[Clan]],4,0),"")=$A3) *
  IFERROR(VLOOKUP($C$14:$C$103,tblCharacterCapture[[Character Name]:[City Status]],79,0),0)
)</f>
        <v>0</v>
      </c>
      <c r="DV3" s="40"/>
      <c r="DW3" s="40"/>
      <c r="DX3" s="40"/>
      <c r="DY3" s="40"/>
      <c r="DZ3" s="61" cm="1">
        <f t="array" aca="1" ref="DZ3" ca="1">SUMPRODUCT(
  (ISNUMBER(DZ$14:DZ$103))*(DZ$14:DZ$103&gt;0) *
  (IFERROR(VLOOKUP($C$14:$C$103,tblCharacterCapture[[Character Name]:[Clan]],4,0),"")=$A3) *
  IFERROR(VLOOKUP($C$14:$C$103,tblCharacterCapture[[Character Name]:[City Status]],79,0),0)
)</f>
        <v>0</v>
      </c>
      <c r="EA3" s="40"/>
      <c r="EB3" s="40"/>
      <c r="EC3" s="40"/>
      <c r="ED3" s="40"/>
      <c r="EE3" s="61" cm="1">
        <f t="array" aca="1" ref="EE3" ca="1">SUMPRODUCT(
  (ISNUMBER(EE$14:EE$103))*(EE$14:EE$103&gt;0) *
  (IFERROR(VLOOKUP($C$14:$C$103,tblCharacterCapture[[Character Name]:[Clan]],4,0),"")=$A3) *
  IFERROR(VLOOKUP($C$14:$C$103,tblCharacterCapture[[Character Name]:[City Status]],79,0),0)
)</f>
        <v>0</v>
      </c>
      <c r="EF3" s="40"/>
      <c r="EG3" s="40"/>
      <c r="EH3" s="40"/>
      <c r="EI3" s="40"/>
      <c r="EJ3" s="61" cm="1">
        <f t="array" aca="1" ref="EJ3" ca="1">SUMPRODUCT(
  (ISNUMBER(EJ$14:EJ$103))*(EJ$14:EJ$103&gt;0) *
  (IFERROR(VLOOKUP($C$14:$C$103,tblCharacterCapture[[Character Name]:[Clan]],4,0),"")=$A3) *
  IFERROR(VLOOKUP($C$14:$C$103,tblCharacterCapture[[Character Name]:[City Status]],79,0),0)
)</f>
        <v>0</v>
      </c>
      <c r="EK3" s="40"/>
      <c r="EL3" s="40"/>
      <c r="EM3" s="40"/>
      <c r="EN3" s="40"/>
      <c r="EO3" s="61" cm="1">
        <f t="array" aca="1" ref="EO3" ca="1">SUMPRODUCT(
  (ISNUMBER(EO$14:EO$103))*(EO$14:EO$103&gt;0) *
  (IFERROR(VLOOKUP($C$14:$C$103,tblCharacterCapture[[Character Name]:[Clan]],4,0),"")=$A3) *
  IFERROR(VLOOKUP($C$14:$C$103,tblCharacterCapture[[Character Name]:[City Status]],79,0),0)
)</f>
        <v>0</v>
      </c>
      <c r="EP3" s="40"/>
      <c r="EQ3" s="40"/>
      <c r="ER3" s="40"/>
      <c r="ES3" s="40"/>
      <c r="ET3" s="61" cm="1">
        <f t="array" aca="1" ref="ET3" ca="1">SUMPRODUCT(
  (ISNUMBER(ET$14:ET$103))*(ET$14:ET$103&gt;0) *
  (IFERROR(VLOOKUP($C$14:$C$103,tblCharacterCapture[[Character Name]:[Clan]],4,0),"")=$A3) *
  IFERROR(VLOOKUP($C$14:$C$103,tblCharacterCapture[[Character Name]:[City Status]],79,0),0)
)</f>
        <v>0</v>
      </c>
      <c r="EU3" s="40"/>
      <c r="EV3" s="40"/>
      <c r="EW3" s="40"/>
      <c r="EX3" s="40"/>
      <c r="EY3" s="61" cm="1">
        <f t="array" aca="1" ref="EY3" ca="1">SUMPRODUCT(
  (ISNUMBER(EY$14:EY$103))*(EY$14:EY$103&gt;0) *
  (IFERROR(VLOOKUP($C$14:$C$103,tblCharacterCapture[[Character Name]:[Clan]],4,0),"")=$A3) *
  IFERROR(VLOOKUP($C$14:$C$103,tblCharacterCapture[[Character Name]:[City Status]],79,0),0)
)</f>
        <v>0</v>
      </c>
      <c r="EZ3" s="40"/>
      <c r="FA3" s="40"/>
      <c r="FB3" s="40"/>
      <c r="FC3" s="40"/>
      <c r="FD3" s="61" cm="1">
        <f t="array" aca="1" ref="FD3" ca="1">SUMPRODUCT(
  (ISNUMBER(FD$14:FD$103))*(FD$14:FD$103&gt;0) *
  (IFERROR(VLOOKUP($C$14:$C$103,tblCharacterCapture[[Character Name]:[Clan]],4,0),"")=$A3) *
  IFERROR(VLOOKUP($C$14:$C$103,tblCharacterCapture[[Character Name]:[City Status]],79,0),0)
)</f>
        <v>0</v>
      </c>
      <c r="FE3" s="40"/>
      <c r="FF3" s="40"/>
      <c r="FG3" s="40"/>
      <c r="FH3" s="40"/>
      <c r="FI3" s="61" cm="1">
        <f t="array" aca="1" ref="FI3" ca="1">SUMPRODUCT(
  (ISNUMBER(FI$14:FI$103))*(FI$14:FI$103&gt;0) *
  (IFERROR(VLOOKUP($C$14:$C$103,tblCharacterCapture[[Character Name]:[Clan]],4,0),"")=$A3) *
  IFERROR(VLOOKUP($C$14:$C$103,tblCharacterCapture[[Character Name]:[City Status]],79,0),0)
)</f>
        <v>0</v>
      </c>
      <c r="FJ3" s="40"/>
      <c r="FK3" s="40"/>
      <c r="FL3" s="40"/>
      <c r="FM3" s="40"/>
      <c r="FN3" s="61" cm="1">
        <f t="array" aca="1" ref="FN3" ca="1">SUMPRODUCT(
  (ISNUMBER(FN$14:FN$103))*(FN$14:FN$103&gt;0) *
  (IFERROR(VLOOKUP($C$14:$C$103,tblCharacterCapture[[Character Name]:[Clan]],4,0),"")=$A3) *
  IFERROR(VLOOKUP($C$14:$C$103,tblCharacterCapture[[Character Name]:[City Status]],79,0),0)
)</f>
        <v>0</v>
      </c>
      <c r="FO3" s="40"/>
      <c r="FP3" s="40"/>
      <c r="FQ3" s="40"/>
      <c r="FR3" s="40"/>
      <c r="FS3" s="61" cm="1">
        <f t="array" aca="1" ref="FS3" ca="1">SUMPRODUCT(
  (ISNUMBER(FS$14:FS$103))*(FS$14:FS$103&gt;0) *
  (IFERROR(VLOOKUP($C$14:$C$103,tblCharacterCapture[[Character Name]:[Clan]],4,0),"")=$A3) *
  IFERROR(VLOOKUP($C$14:$C$103,tblCharacterCapture[[Character Name]:[City Status]],79,0),0)
)</f>
        <v>0</v>
      </c>
      <c r="FT3" s="40"/>
      <c r="FU3" s="40"/>
      <c r="FV3" s="40"/>
      <c r="FW3" s="40"/>
      <c r="FX3" s="61" cm="1">
        <f t="array" aca="1" ref="FX3" ca="1">SUMPRODUCT(
  (ISNUMBER(FX$14:FX$103))*(FX$14:FX$103&gt;0) *
  (IFERROR(VLOOKUP($C$14:$C$103,tblCharacterCapture[[Character Name]:[Clan]],4,0),"")=$A3) *
  IFERROR(VLOOKUP($C$14:$C$103,tblCharacterCapture[[Character Name]:[City Status]],79,0),0)
)</f>
        <v>0</v>
      </c>
      <c r="FY3" s="40"/>
      <c r="FZ3" s="40"/>
      <c r="GA3" s="40"/>
      <c r="GB3" s="40"/>
      <c r="GC3" s="61" cm="1">
        <f t="array" aca="1" ref="GC3" ca="1">SUMPRODUCT(
  (ISNUMBER(GC$14:GC$103))*(GC$14:GC$103&gt;0) *
  (IFERROR(VLOOKUP($C$14:$C$103,tblCharacterCapture[[Character Name]:[Clan]],4,0),"")=$A3) *
  IFERROR(VLOOKUP($C$14:$C$103,tblCharacterCapture[[Character Name]:[City Status]],79,0),0)
)</f>
        <v>0</v>
      </c>
      <c r="GD3" s="40"/>
      <c r="GE3" s="40"/>
      <c r="GF3" s="40"/>
    </row>
    <row r="4" spans="1:188">
      <c r="A4" s="15" t="s">
        <v>680</v>
      </c>
      <c r="B4" s="61" cm="1">
        <f t="array" ref="B4">SUMPRODUCT(
  (tblCharacterCapture[Clan]=A4) *
  tblCharacterCapture[City Status]
)</f>
        <v>7</v>
      </c>
      <c r="C4" s="15" t="s">
        <v>680</v>
      </c>
      <c r="D4" s="39"/>
      <c r="E4" s="61" cm="1">
        <f t="array" aca="1" ref="E4" ca="1">SUMPRODUCT(
  (ISNUMBER(E$14:E$103))*(E$14:E$103&gt;0) *
  (IFERROR(VLOOKUP($C$14:$C$103,tblCharacterCapture[[Character Name]:[Clan]],4,0),"")=$A4) *
  IFERROR(VLOOKUP($C$14:$C$103,tblCharacterCapture[[Character Name]:[City Status]],79,0),0)
)</f>
        <v>5</v>
      </c>
      <c r="F4" s="39"/>
      <c r="G4" s="39"/>
      <c r="H4" s="40"/>
      <c r="I4" s="40"/>
      <c r="J4" s="61" cm="1">
        <f t="array" aca="1" ref="J4" ca="1">SUMPRODUCT(
  (ISNUMBER(J$14:J$103))*(J$14:J$103&gt;0) *
  (IFERROR(VLOOKUP($C$14:$C$103,tblCharacterCapture[[Character Name]:[Clan]],4,0),"")=$A4) *
  IFERROR(VLOOKUP($C$14:$C$103,tblCharacterCapture[[Character Name]:[City Status]],79,0),0)
)</f>
        <v>0</v>
      </c>
      <c r="K4" s="40"/>
      <c r="L4" s="40"/>
      <c r="M4" s="40"/>
      <c r="N4" s="40"/>
      <c r="O4" s="61" cm="1">
        <f t="array" aca="1" ref="O4" ca="1">SUMPRODUCT(
  (ISNUMBER(O$14:O$103))*(O$14:O$103&gt;0) *
  (IFERROR(VLOOKUP($C$14:$C$103,tblCharacterCapture[[Character Name]:[Clan]],4,0),"")=$A4) *
  IFERROR(VLOOKUP($C$14:$C$103,tblCharacterCapture[[Character Name]:[City Status]],79,0),0)
)</f>
        <v>0</v>
      </c>
      <c r="P4" s="40"/>
      <c r="Q4" s="40"/>
      <c r="R4" s="40"/>
      <c r="S4" s="40"/>
      <c r="T4" s="61" cm="1">
        <f t="array" aca="1" ref="T4" ca="1">SUMPRODUCT(
  (ISNUMBER(T$14:T$103))*(T$14:T$103&gt;0) *
  (IFERROR(VLOOKUP($C$14:$C$103,tblCharacterCapture[[Character Name]:[Clan]],4,0),"")=$A4) *
  IFERROR(VLOOKUP($C$14:$C$103,tblCharacterCapture[[Character Name]:[City Status]],79,0),0)
)</f>
        <v>0</v>
      </c>
      <c r="U4" s="40"/>
      <c r="V4" s="40"/>
      <c r="W4" s="40"/>
      <c r="X4" s="40"/>
      <c r="Y4" s="61" cm="1">
        <f t="array" aca="1" ref="Y4" ca="1">SUMPRODUCT(
  (ISNUMBER(Y$14:Y$103))*(Y$14:Y$103&gt;0) *
  (IFERROR(VLOOKUP($C$14:$C$103,tblCharacterCapture[[Character Name]:[Clan]],4,0),"")=$A4) *
  IFERROR(VLOOKUP($C$14:$C$103,tblCharacterCapture[[Character Name]:[City Status]],79,0),0)
)</f>
        <v>0</v>
      </c>
      <c r="Z4" s="40"/>
      <c r="AA4" s="40"/>
      <c r="AB4" s="40"/>
      <c r="AC4" s="40"/>
      <c r="AD4" s="61" cm="1">
        <f t="array" aca="1" ref="AD4" ca="1">SUMPRODUCT(
  (ISNUMBER(AD$14:AD$103))*(AD$14:AD$103&gt;0) *
  (IFERROR(VLOOKUP($C$14:$C$103,tblCharacterCapture[[Character Name]:[Clan]],4,0),"")=$A4) *
  IFERROR(VLOOKUP($C$14:$C$103,tblCharacterCapture[[Character Name]:[City Status]],79,0),0)
)</f>
        <v>0</v>
      </c>
      <c r="AE4" s="40"/>
      <c r="AF4" s="40"/>
      <c r="AG4" s="40"/>
      <c r="AH4" s="40"/>
      <c r="AI4" s="61" cm="1">
        <f t="array" aca="1" ref="AI4" ca="1">SUMPRODUCT(
  (ISNUMBER(AI$14:AI$103))*(AI$14:AI$103&gt;0) *
  (IFERROR(VLOOKUP($C$14:$C$103,tblCharacterCapture[[Character Name]:[Clan]],4,0),"")=$A4) *
  IFERROR(VLOOKUP($C$14:$C$103,tblCharacterCapture[[Character Name]:[City Status]],79,0),0)
)</f>
        <v>0</v>
      </c>
      <c r="AJ4" s="40"/>
      <c r="AK4" s="40"/>
      <c r="AL4" s="40"/>
      <c r="AM4" s="40"/>
      <c r="AN4" s="61" cm="1">
        <f t="array" aca="1" ref="AN4" ca="1">SUMPRODUCT(
  (ISNUMBER(AN$14:AN$103))*(AN$14:AN$103&gt;0) *
  (IFERROR(VLOOKUP($C$14:$C$103,tblCharacterCapture[[Character Name]:[Clan]],4,0),"")=$A4) *
  IFERROR(VLOOKUP($C$14:$C$103,tblCharacterCapture[[Character Name]:[City Status]],79,0),0)
)</f>
        <v>0</v>
      </c>
      <c r="AO4" s="40"/>
      <c r="AP4" s="40"/>
      <c r="AQ4" s="40"/>
      <c r="AR4" s="40"/>
      <c r="AS4" s="61" cm="1">
        <f t="array" aca="1" ref="AS4" ca="1">SUMPRODUCT(
  (ISNUMBER(AS$14:AS$103))*(AS$14:AS$103&gt;0) *
  (IFERROR(VLOOKUP($C$14:$C$103,tblCharacterCapture[[Character Name]:[Clan]],4,0),"")=$A4) *
  IFERROR(VLOOKUP($C$14:$C$103,tblCharacterCapture[[Character Name]:[City Status]],79,0),0)
)</f>
        <v>0</v>
      </c>
      <c r="AT4" s="40"/>
      <c r="AU4" s="40"/>
      <c r="AV4" s="40"/>
      <c r="AW4" s="40"/>
      <c r="AX4" s="61" cm="1">
        <f t="array" aca="1" ref="AX4" ca="1">SUMPRODUCT(
  (ISNUMBER(AX$14:AX$103))*(AX$14:AX$103&gt;0) *
  (IFERROR(VLOOKUP($C$14:$C$103,tblCharacterCapture[[Character Name]:[Clan]],4,0),"")=$A4) *
  IFERROR(VLOOKUP($C$14:$C$103,tblCharacterCapture[[Character Name]:[City Status]],79,0),0)
)</f>
        <v>0</v>
      </c>
      <c r="AY4" s="40"/>
      <c r="AZ4" s="40"/>
      <c r="BA4" s="40"/>
      <c r="BB4" s="40"/>
      <c r="BC4" s="61" cm="1">
        <f t="array" aca="1" ref="BC4" ca="1">SUMPRODUCT(
  (ISNUMBER(BC$14:BC$103))*(BC$14:BC$103&gt;0) *
  (IFERROR(VLOOKUP($C$14:$C$103,tblCharacterCapture[[Character Name]:[Clan]],4,0),"")=$A4) *
  IFERROR(VLOOKUP($C$14:$C$103,tblCharacterCapture[[Character Name]:[City Status]],79,0),0)
)</f>
        <v>0</v>
      </c>
      <c r="BD4" s="40"/>
      <c r="BE4" s="40"/>
      <c r="BF4" s="40"/>
      <c r="BG4" s="40"/>
      <c r="BH4" s="61" cm="1">
        <f t="array" aca="1" ref="BH4" ca="1">SUMPRODUCT(
  (ISNUMBER(BH$14:BH$103))*(BH$14:BH$103&gt;0) *
  (IFERROR(VLOOKUP($C$14:$C$103,tblCharacterCapture[[Character Name]:[Clan]],4,0),"")=$A4) *
  IFERROR(VLOOKUP($C$14:$C$103,tblCharacterCapture[[Character Name]:[City Status]],79,0),0)
)</f>
        <v>0</v>
      </c>
      <c r="BI4" s="40"/>
      <c r="BJ4" s="40"/>
      <c r="BK4" s="40"/>
      <c r="BL4" s="40"/>
      <c r="BM4" s="61" cm="1">
        <f t="array" aca="1" ref="BM4" ca="1">SUMPRODUCT(
  (ISNUMBER(BM$14:BM$103))*(BM$14:BM$103&gt;0) *
  (IFERROR(VLOOKUP($C$14:$C$103,tblCharacterCapture[[Character Name]:[Clan]],4,0),"")=$A4) *
  IFERROR(VLOOKUP($C$14:$C$103,tblCharacterCapture[[Character Name]:[City Status]],79,0),0)
)</f>
        <v>0</v>
      </c>
      <c r="BN4" s="40"/>
      <c r="BO4" s="40"/>
      <c r="BP4" s="40"/>
      <c r="BQ4" s="40"/>
      <c r="BR4" s="61" cm="1">
        <f t="array" aca="1" ref="BR4" ca="1">SUMPRODUCT(
  (ISNUMBER(BR$14:BR$103))*(BR$14:BR$103&gt;0) *
  (IFERROR(VLOOKUP($C$14:$C$103,tblCharacterCapture[[Character Name]:[Clan]],4,0),"")=$A4) *
  IFERROR(VLOOKUP($C$14:$C$103,tblCharacterCapture[[Character Name]:[City Status]],79,0),0)
)</f>
        <v>0</v>
      </c>
      <c r="BS4" s="40"/>
      <c r="BT4" s="40"/>
      <c r="BU4" s="40"/>
      <c r="BV4" s="40"/>
      <c r="BW4" s="61" cm="1">
        <f t="array" aca="1" ref="BW4" ca="1">SUMPRODUCT(
  (ISNUMBER(BW$14:BW$103))*(BW$14:BW$103&gt;0) *
  (IFERROR(VLOOKUP($C$14:$C$103,tblCharacterCapture[[Character Name]:[Clan]],4,0),"")=$A4) *
  IFERROR(VLOOKUP($C$14:$C$103,tblCharacterCapture[[Character Name]:[City Status]],79,0),0)
)</f>
        <v>0</v>
      </c>
      <c r="BX4" s="40"/>
      <c r="BY4" s="40"/>
      <c r="BZ4" s="40"/>
      <c r="CA4" s="40"/>
      <c r="CB4" s="61" cm="1">
        <f t="array" aca="1" ref="CB4" ca="1">SUMPRODUCT(
  (ISNUMBER(CB$14:CB$103))*(CB$14:CB$103&gt;0) *
  (IFERROR(VLOOKUP($C$14:$C$103,tblCharacterCapture[[Character Name]:[Clan]],4,0),"")=$A4) *
  IFERROR(VLOOKUP($C$14:$C$103,tblCharacterCapture[[Character Name]:[City Status]],79,0),0)
)</f>
        <v>0</v>
      </c>
      <c r="CC4" s="40"/>
      <c r="CD4" s="40"/>
      <c r="CE4" s="40"/>
      <c r="CF4" s="40"/>
      <c r="CG4" s="61" cm="1">
        <f t="array" aca="1" ref="CG4" ca="1">SUMPRODUCT(
  (ISNUMBER(CG$14:CG$103))*(CG$14:CG$103&gt;0) *
  (IFERROR(VLOOKUP($C$14:$C$103,tblCharacterCapture[[Character Name]:[Clan]],4,0),"")=$A4) *
  IFERROR(VLOOKUP($C$14:$C$103,tblCharacterCapture[[Character Name]:[City Status]],79,0),0)
)</f>
        <v>0</v>
      </c>
      <c r="CH4" s="40"/>
      <c r="CI4" s="40"/>
      <c r="CJ4" s="40"/>
      <c r="CK4" s="40"/>
      <c r="CL4" s="61" cm="1">
        <f t="array" aca="1" ref="CL4" ca="1">SUMPRODUCT(
  (ISNUMBER(CL$14:CL$103))*(CL$14:CL$103&gt;0) *
  (IFERROR(VLOOKUP($C$14:$C$103,tblCharacterCapture[[Character Name]:[Clan]],4,0),"")=$A4) *
  IFERROR(VLOOKUP($C$14:$C$103,tblCharacterCapture[[Character Name]:[City Status]],79,0),0)
)</f>
        <v>0</v>
      </c>
      <c r="CM4" s="40"/>
      <c r="CN4" s="40"/>
      <c r="CO4" s="40"/>
      <c r="CP4" s="40"/>
      <c r="CQ4" s="61" cm="1">
        <f t="array" aca="1" ref="CQ4" ca="1">SUMPRODUCT(
  (ISNUMBER(CQ$14:CQ$103))*(CQ$14:CQ$103&gt;0) *
  (IFERROR(VLOOKUP($C$14:$C$103,tblCharacterCapture[[Character Name]:[Clan]],4,0),"")=$A4) *
  IFERROR(VLOOKUP($C$14:$C$103,tblCharacterCapture[[Character Name]:[City Status]],79,0),0)
)</f>
        <v>0</v>
      </c>
      <c r="CR4" s="40"/>
      <c r="CS4" s="40"/>
      <c r="CT4" s="40"/>
      <c r="CU4" s="40"/>
      <c r="CV4" s="61" cm="1">
        <f t="array" aca="1" ref="CV4" ca="1">SUMPRODUCT(
  (ISNUMBER(CV$14:CV$103))*(CV$14:CV$103&gt;0) *
  (IFERROR(VLOOKUP($C$14:$C$103,tblCharacterCapture[[Character Name]:[Clan]],4,0),"")=$A4) *
  IFERROR(VLOOKUP($C$14:$C$103,tblCharacterCapture[[Character Name]:[City Status]],79,0),0)
)</f>
        <v>0</v>
      </c>
      <c r="CW4" s="40"/>
      <c r="CX4" s="40"/>
      <c r="CY4" s="40"/>
      <c r="CZ4" s="40"/>
      <c r="DA4" s="61" cm="1">
        <f t="array" aca="1" ref="DA4" ca="1">SUMPRODUCT(
  (ISNUMBER(DA$14:DA$103))*(DA$14:DA$103&gt;0) *
  (IFERROR(VLOOKUP($C$14:$C$103,tblCharacterCapture[[Character Name]:[Clan]],4,0),"")=$A4) *
  IFERROR(VLOOKUP($C$14:$C$103,tblCharacterCapture[[Character Name]:[City Status]],79,0),0)
)</f>
        <v>0</v>
      </c>
      <c r="DB4" s="40"/>
      <c r="DC4" s="40"/>
      <c r="DD4" s="40"/>
      <c r="DE4" s="40"/>
      <c r="DF4" s="61" cm="1">
        <f t="array" aca="1" ref="DF4" ca="1">SUMPRODUCT(
  (ISNUMBER(DF$14:DF$103))*(DF$14:DF$103&gt;0) *
  (IFERROR(VLOOKUP($C$14:$C$103,tblCharacterCapture[[Character Name]:[Clan]],4,0),"")=$A4) *
  IFERROR(VLOOKUP($C$14:$C$103,tblCharacterCapture[[Character Name]:[City Status]],79,0),0)
)</f>
        <v>0</v>
      </c>
      <c r="DG4" s="40"/>
      <c r="DH4" s="40"/>
      <c r="DI4" s="40"/>
      <c r="DJ4" s="40"/>
      <c r="DK4" s="61" cm="1">
        <f t="array" aca="1" ref="DK4" ca="1">SUMPRODUCT(
  (ISNUMBER(DK$14:DK$103))*(DK$14:DK$103&gt;0) *
  (IFERROR(VLOOKUP($C$14:$C$103,tblCharacterCapture[[Character Name]:[Clan]],4,0),"")=$A4) *
  IFERROR(VLOOKUP($C$14:$C$103,tblCharacterCapture[[Character Name]:[City Status]],79,0),0)
)</f>
        <v>0</v>
      </c>
      <c r="DL4" s="40"/>
      <c r="DM4" s="40"/>
      <c r="DN4" s="40"/>
      <c r="DO4" s="40"/>
      <c r="DP4" s="61" cm="1">
        <f t="array" aca="1" ref="DP4" ca="1">SUMPRODUCT(
  (ISNUMBER(DP$14:DP$103))*(DP$14:DP$103&gt;0) *
  (IFERROR(VLOOKUP($C$14:$C$103,tblCharacterCapture[[Character Name]:[Clan]],4,0),"")=$A4) *
  IFERROR(VLOOKUP($C$14:$C$103,tblCharacterCapture[[Character Name]:[City Status]],79,0),0)
)</f>
        <v>0</v>
      </c>
      <c r="DQ4" s="40"/>
      <c r="DR4" s="40"/>
      <c r="DS4" s="40"/>
      <c r="DT4" s="40"/>
      <c r="DU4" s="61" cm="1">
        <f t="array" aca="1" ref="DU4" ca="1">SUMPRODUCT(
  (ISNUMBER(DU$14:DU$103))*(DU$14:DU$103&gt;0) *
  (IFERROR(VLOOKUP($C$14:$C$103,tblCharacterCapture[[Character Name]:[Clan]],4,0),"")=$A4) *
  IFERROR(VLOOKUP($C$14:$C$103,tblCharacterCapture[[Character Name]:[City Status]],79,0),0)
)</f>
        <v>0</v>
      </c>
      <c r="DV4" s="40"/>
      <c r="DW4" s="40"/>
      <c r="DX4" s="40"/>
      <c r="DY4" s="40"/>
      <c r="DZ4" s="61" cm="1">
        <f t="array" aca="1" ref="DZ4" ca="1">SUMPRODUCT(
  (ISNUMBER(DZ$14:DZ$103))*(DZ$14:DZ$103&gt;0) *
  (IFERROR(VLOOKUP($C$14:$C$103,tblCharacterCapture[[Character Name]:[Clan]],4,0),"")=$A4) *
  IFERROR(VLOOKUP($C$14:$C$103,tblCharacterCapture[[Character Name]:[City Status]],79,0),0)
)</f>
        <v>0</v>
      </c>
      <c r="EA4" s="40"/>
      <c r="EB4" s="40"/>
      <c r="EC4" s="40"/>
      <c r="ED4" s="40"/>
      <c r="EE4" s="61" cm="1">
        <f t="array" aca="1" ref="EE4" ca="1">SUMPRODUCT(
  (ISNUMBER(EE$14:EE$103))*(EE$14:EE$103&gt;0) *
  (IFERROR(VLOOKUP($C$14:$C$103,tblCharacterCapture[[Character Name]:[Clan]],4,0),"")=$A4) *
  IFERROR(VLOOKUP($C$14:$C$103,tblCharacterCapture[[Character Name]:[City Status]],79,0),0)
)</f>
        <v>0</v>
      </c>
      <c r="EF4" s="40"/>
      <c r="EG4" s="40"/>
      <c r="EH4" s="40"/>
      <c r="EI4" s="40"/>
      <c r="EJ4" s="61" cm="1">
        <f t="array" aca="1" ref="EJ4" ca="1">SUMPRODUCT(
  (ISNUMBER(EJ$14:EJ$103))*(EJ$14:EJ$103&gt;0) *
  (IFERROR(VLOOKUP($C$14:$C$103,tblCharacterCapture[[Character Name]:[Clan]],4,0),"")=$A4) *
  IFERROR(VLOOKUP($C$14:$C$103,tblCharacterCapture[[Character Name]:[City Status]],79,0),0)
)</f>
        <v>0</v>
      </c>
      <c r="EK4" s="40"/>
      <c r="EL4" s="40"/>
      <c r="EM4" s="40"/>
      <c r="EN4" s="40"/>
      <c r="EO4" s="61" cm="1">
        <f t="array" aca="1" ref="EO4" ca="1">SUMPRODUCT(
  (ISNUMBER(EO$14:EO$103))*(EO$14:EO$103&gt;0) *
  (IFERROR(VLOOKUP($C$14:$C$103,tblCharacterCapture[[Character Name]:[Clan]],4,0),"")=$A4) *
  IFERROR(VLOOKUP($C$14:$C$103,tblCharacterCapture[[Character Name]:[City Status]],79,0),0)
)</f>
        <v>0</v>
      </c>
      <c r="EP4" s="40"/>
      <c r="EQ4" s="40"/>
      <c r="ER4" s="40"/>
      <c r="ES4" s="40"/>
      <c r="ET4" s="61" cm="1">
        <f t="array" aca="1" ref="ET4" ca="1">SUMPRODUCT(
  (ISNUMBER(ET$14:ET$103))*(ET$14:ET$103&gt;0) *
  (IFERROR(VLOOKUP($C$14:$C$103,tblCharacterCapture[[Character Name]:[Clan]],4,0),"")=$A4) *
  IFERROR(VLOOKUP($C$14:$C$103,tblCharacterCapture[[Character Name]:[City Status]],79,0),0)
)</f>
        <v>0</v>
      </c>
      <c r="EU4" s="40"/>
      <c r="EV4" s="40"/>
      <c r="EW4" s="40"/>
      <c r="EX4" s="40"/>
      <c r="EY4" s="61" cm="1">
        <f t="array" aca="1" ref="EY4" ca="1">SUMPRODUCT(
  (ISNUMBER(EY$14:EY$103))*(EY$14:EY$103&gt;0) *
  (IFERROR(VLOOKUP($C$14:$C$103,tblCharacterCapture[[Character Name]:[Clan]],4,0),"")=$A4) *
  IFERROR(VLOOKUP($C$14:$C$103,tblCharacterCapture[[Character Name]:[City Status]],79,0),0)
)</f>
        <v>0</v>
      </c>
      <c r="EZ4" s="40"/>
      <c r="FA4" s="40"/>
      <c r="FB4" s="40"/>
      <c r="FC4" s="40"/>
      <c r="FD4" s="61" cm="1">
        <f t="array" aca="1" ref="FD4" ca="1">SUMPRODUCT(
  (ISNUMBER(FD$14:FD$103))*(FD$14:FD$103&gt;0) *
  (IFERROR(VLOOKUP($C$14:$C$103,tblCharacterCapture[[Character Name]:[Clan]],4,0),"")=$A4) *
  IFERROR(VLOOKUP($C$14:$C$103,tblCharacterCapture[[Character Name]:[City Status]],79,0),0)
)</f>
        <v>0</v>
      </c>
      <c r="FE4" s="40"/>
      <c r="FF4" s="40"/>
      <c r="FG4" s="40"/>
      <c r="FH4" s="40"/>
      <c r="FI4" s="61" cm="1">
        <f t="array" aca="1" ref="FI4" ca="1">SUMPRODUCT(
  (ISNUMBER(FI$14:FI$103))*(FI$14:FI$103&gt;0) *
  (IFERROR(VLOOKUP($C$14:$C$103,tblCharacterCapture[[Character Name]:[Clan]],4,0),"")=$A4) *
  IFERROR(VLOOKUP($C$14:$C$103,tblCharacterCapture[[Character Name]:[City Status]],79,0),0)
)</f>
        <v>0</v>
      </c>
      <c r="FJ4" s="40"/>
      <c r="FK4" s="40"/>
      <c r="FL4" s="40"/>
      <c r="FM4" s="40"/>
      <c r="FN4" s="61" cm="1">
        <f t="array" aca="1" ref="FN4" ca="1">SUMPRODUCT(
  (ISNUMBER(FN$14:FN$103))*(FN$14:FN$103&gt;0) *
  (IFERROR(VLOOKUP($C$14:$C$103,tblCharacterCapture[[Character Name]:[Clan]],4,0),"")=$A4) *
  IFERROR(VLOOKUP($C$14:$C$103,tblCharacterCapture[[Character Name]:[City Status]],79,0),0)
)</f>
        <v>0</v>
      </c>
      <c r="FO4" s="40"/>
      <c r="FP4" s="40"/>
      <c r="FQ4" s="40"/>
      <c r="FR4" s="40"/>
      <c r="FS4" s="61" cm="1">
        <f t="array" aca="1" ref="FS4" ca="1">SUMPRODUCT(
  (ISNUMBER(FS$14:FS$103))*(FS$14:FS$103&gt;0) *
  (IFERROR(VLOOKUP($C$14:$C$103,tblCharacterCapture[[Character Name]:[Clan]],4,0),"")=$A4) *
  IFERROR(VLOOKUP($C$14:$C$103,tblCharacterCapture[[Character Name]:[City Status]],79,0),0)
)</f>
        <v>0</v>
      </c>
      <c r="FT4" s="40"/>
      <c r="FU4" s="40"/>
      <c r="FV4" s="40"/>
      <c r="FW4" s="40"/>
      <c r="FX4" s="61" cm="1">
        <f t="array" aca="1" ref="FX4" ca="1">SUMPRODUCT(
  (ISNUMBER(FX$14:FX$103))*(FX$14:FX$103&gt;0) *
  (IFERROR(VLOOKUP($C$14:$C$103,tblCharacterCapture[[Character Name]:[Clan]],4,0),"")=$A4) *
  IFERROR(VLOOKUP($C$14:$C$103,tblCharacterCapture[[Character Name]:[City Status]],79,0),0)
)</f>
        <v>0</v>
      </c>
      <c r="FY4" s="40"/>
      <c r="FZ4" s="40"/>
      <c r="GA4" s="40"/>
      <c r="GB4" s="40"/>
      <c r="GC4" s="61" cm="1">
        <f t="array" aca="1" ref="GC4" ca="1">SUMPRODUCT(
  (ISNUMBER(GC$14:GC$103))*(GC$14:GC$103&gt;0) *
  (IFERROR(VLOOKUP($C$14:$C$103,tblCharacterCapture[[Character Name]:[Clan]],4,0),"")=$A4) *
  IFERROR(VLOOKUP($C$14:$C$103,tblCharacterCapture[[Character Name]:[City Status]],79,0),0)
)</f>
        <v>0</v>
      </c>
      <c r="GD4" s="40"/>
      <c r="GE4" s="40"/>
      <c r="GF4" s="40"/>
    </row>
    <row r="5" spans="1:188">
      <c r="A5" s="15" t="s">
        <v>553</v>
      </c>
      <c r="B5" s="61" cm="1">
        <f t="array" ref="B5">SUMPRODUCT(
  (tblCharacterCapture[Clan]=A5) *
  tblCharacterCapture[City Status]
)</f>
        <v>12</v>
      </c>
      <c r="C5" s="15" t="s">
        <v>553</v>
      </c>
      <c r="D5" s="39"/>
      <c r="E5" s="61" cm="1">
        <f t="array" aca="1" ref="E5" ca="1">SUMPRODUCT(
  (ISNUMBER(E$14:E$103))*(E$14:E$103&gt;0) *
  (IFERROR(VLOOKUP($C$14:$C$103,tblCharacterCapture[[Character Name]:[Clan]],4,0),"")=$A5) *
  IFERROR(VLOOKUP($C$14:$C$103,tblCharacterCapture[[Character Name]:[City Status]],79,0),0)
)</f>
        <v>12</v>
      </c>
      <c r="F5" s="39"/>
      <c r="G5" s="39"/>
      <c r="H5" s="40"/>
      <c r="I5" s="40"/>
      <c r="J5" s="61" cm="1">
        <f t="array" aca="1" ref="J5" ca="1">SUMPRODUCT(
  (ISNUMBER(J$14:J$103))*(J$14:J$103&gt;0) *
  (IFERROR(VLOOKUP($C$14:$C$103,tblCharacterCapture[[Character Name]:[Clan]],4,0),"")=$A5) *
  IFERROR(VLOOKUP($C$14:$C$103,tblCharacterCapture[[Character Name]:[City Status]],79,0),0)
)</f>
        <v>0</v>
      </c>
      <c r="K5" s="40"/>
      <c r="L5" s="40"/>
      <c r="M5" s="40"/>
      <c r="N5" s="40"/>
      <c r="O5" s="61" cm="1">
        <f t="array" aca="1" ref="O5" ca="1">SUMPRODUCT(
  (ISNUMBER(O$14:O$103))*(O$14:O$103&gt;0) *
  (IFERROR(VLOOKUP($C$14:$C$103,tblCharacterCapture[[Character Name]:[Clan]],4,0),"")=$A5) *
  IFERROR(VLOOKUP($C$14:$C$103,tblCharacterCapture[[Character Name]:[City Status]],79,0),0)
)</f>
        <v>0</v>
      </c>
      <c r="P5" s="40"/>
      <c r="Q5" s="40"/>
      <c r="R5" s="40"/>
      <c r="S5" s="40"/>
      <c r="T5" s="61" cm="1">
        <f t="array" aca="1" ref="T5" ca="1">SUMPRODUCT(
  (ISNUMBER(T$14:T$103))*(T$14:T$103&gt;0) *
  (IFERROR(VLOOKUP($C$14:$C$103,tblCharacterCapture[[Character Name]:[Clan]],4,0),"")=$A5) *
  IFERROR(VLOOKUP($C$14:$C$103,tblCharacterCapture[[Character Name]:[City Status]],79,0),0)
)</f>
        <v>0</v>
      </c>
      <c r="U5" s="40"/>
      <c r="V5" s="40"/>
      <c r="W5" s="40"/>
      <c r="X5" s="40"/>
      <c r="Y5" s="61" cm="1">
        <f t="array" aca="1" ref="Y5" ca="1">SUMPRODUCT(
  (ISNUMBER(Y$14:Y$103))*(Y$14:Y$103&gt;0) *
  (IFERROR(VLOOKUP($C$14:$C$103,tblCharacterCapture[[Character Name]:[Clan]],4,0),"")=$A5) *
  IFERROR(VLOOKUP($C$14:$C$103,tblCharacterCapture[[Character Name]:[City Status]],79,0),0)
)</f>
        <v>0</v>
      </c>
      <c r="Z5" s="40"/>
      <c r="AA5" s="40"/>
      <c r="AB5" s="40"/>
      <c r="AC5" s="40"/>
      <c r="AD5" s="61" cm="1">
        <f t="array" aca="1" ref="AD5" ca="1">SUMPRODUCT(
  (ISNUMBER(AD$14:AD$103))*(AD$14:AD$103&gt;0) *
  (IFERROR(VLOOKUP($C$14:$C$103,tblCharacterCapture[[Character Name]:[Clan]],4,0),"")=$A5) *
  IFERROR(VLOOKUP($C$14:$C$103,tblCharacterCapture[[Character Name]:[City Status]],79,0),0)
)</f>
        <v>0</v>
      </c>
      <c r="AE5" s="40"/>
      <c r="AF5" s="40"/>
      <c r="AG5" s="40"/>
      <c r="AH5" s="40"/>
      <c r="AI5" s="61" cm="1">
        <f t="array" aca="1" ref="AI5" ca="1">SUMPRODUCT(
  (ISNUMBER(AI$14:AI$103))*(AI$14:AI$103&gt;0) *
  (IFERROR(VLOOKUP($C$14:$C$103,tblCharacterCapture[[Character Name]:[Clan]],4,0),"")=$A5) *
  IFERROR(VLOOKUP($C$14:$C$103,tblCharacterCapture[[Character Name]:[City Status]],79,0),0)
)</f>
        <v>0</v>
      </c>
      <c r="AJ5" s="40"/>
      <c r="AK5" s="40"/>
      <c r="AL5" s="40"/>
      <c r="AM5" s="40"/>
      <c r="AN5" s="61" cm="1">
        <f t="array" aca="1" ref="AN5" ca="1">SUMPRODUCT(
  (ISNUMBER(AN$14:AN$103))*(AN$14:AN$103&gt;0) *
  (IFERROR(VLOOKUP($C$14:$C$103,tblCharacterCapture[[Character Name]:[Clan]],4,0),"")=$A5) *
  IFERROR(VLOOKUP($C$14:$C$103,tblCharacterCapture[[Character Name]:[City Status]],79,0),0)
)</f>
        <v>0</v>
      </c>
      <c r="AO5" s="40"/>
      <c r="AP5" s="40"/>
      <c r="AQ5" s="40"/>
      <c r="AR5" s="40"/>
      <c r="AS5" s="61" cm="1">
        <f t="array" aca="1" ref="AS5" ca="1">SUMPRODUCT(
  (ISNUMBER(AS$14:AS$103))*(AS$14:AS$103&gt;0) *
  (IFERROR(VLOOKUP($C$14:$C$103,tblCharacterCapture[[Character Name]:[Clan]],4,0),"")=$A5) *
  IFERROR(VLOOKUP($C$14:$C$103,tblCharacterCapture[[Character Name]:[City Status]],79,0),0)
)</f>
        <v>0</v>
      </c>
      <c r="AT5" s="40"/>
      <c r="AU5" s="40"/>
      <c r="AV5" s="40"/>
      <c r="AW5" s="40"/>
      <c r="AX5" s="61" cm="1">
        <f t="array" aca="1" ref="AX5" ca="1">SUMPRODUCT(
  (ISNUMBER(AX$14:AX$103))*(AX$14:AX$103&gt;0) *
  (IFERROR(VLOOKUP($C$14:$C$103,tblCharacterCapture[[Character Name]:[Clan]],4,0),"")=$A5) *
  IFERROR(VLOOKUP($C$14:$C$103,tblCharacterCapture[[Character Name]:[City Status]],79,0),0)
)</f>
        <v>0</v>
      </c>
      <c r="AY5" s="40"/>
      <c r="AZ5" s="40"/>
      <c r="BA5" s="40"/>
      <c r="BB5" s="40"/>
      <c r="BC5" s="61" cm="1">
        <f t="array" aca="1" ref="BC5" ca="1">SUMPRODUCT(
  (ISNUMBER(BC$14:BC$103))*(BC$14:BC$103&gt;0) *
  (IFERROR(VLOOKUP($C$14:$C$103,tblCharacterCapture[[Character Name]:[Clan]],4,0),"")=$A5) *
  IFERROR(VLOOKUP($C$14:$C$103,tblCharacterCapture[[Character Name]:[City Status]],79,0),0)
)</f>
        <v>0</v>
      </c>
      <c r="BD5" s="40"/>
      <c r="BE5" s="40"/>
      <c r="BF5" s="40"/>
      <c r="BG5" s="40"/>
      <c r="BH5" s="61" cm="1">
        <f t="array" aca="1" ref="BH5" ca="1">SUMPRODUCT(
  (ISNUMBER(BH$14:BH$103))*(BH$14:BH$103&gt;0) *
  (IFERROR(VLOOKUP($C$14:$C$103,tblCharacterCapture[[Character Name]:[Clan]],4,0),"")=$A5) *
  IFERROR(VLOOKUP($C$14:$C$103,tblCharacterCapture[[Character Name]:[City Status]],79,0),0)
)</f>
        <v>0</v>
      </c>
      <c r="BI5" s="40"/>
      <c r="BJ5" s="40"/>
      <c r="BK5" s="40"/>
      <c r="BL5" s="40"/>
      <c r="BM5" s="61" cm="1">
        <f t="array" aca="1" ref="BM5" ca="1">SUMPRODUCT(
  (ISNUMBER(BM$14:BM$103))*(BM$14:BM$103&gt;0) *
  (IFERROR(VLOOKUP($C$14:$C$103,tblCharacterCapture[[Character Name]:[Clan]],4,0),"")=$A5) *
  IFERROR(VLOOKUP($C$14:$C$103,tblCharacterCapture[[Character Name]:[City Status]],79,0),0)
)</f>
        <v>0</v>
      </c>
      <c r="BN5" s="40"/>
      <c r="BO5" s="40"/>
      <c r="BP5" s="40"/>
      <c r="BQ5" s="40"/>
      <c r="BR5" s="61" cm="1">
        <f t="array" aca="1" ref="BR5" ca="1">SUMPRODUCT(
  (ISNUMBER(BR$14:BR$103))*(BR$14:BR$103&gt;0) *
  (IFERROR(VLOOKUP($C$14:$C$103,tblCharacterCapture[[Character Name]:[Clan]],4,0),"")=$A5) *
  IFERROR(VLOOKUP($C$14:$C$103,tblCharacterCapture[[Character Name]:[City Status]],79,0),0)
)</f>
        <v>0</v>
      </c>
      <c r="BS5" s="40"/>
      <c r="BT5" s="40"/>
      <c r="BU5" s="40"/>
      <c r="BV5" s="40"/>
      <c r="BW5" s="61" cm="1">
        <f t="array" aca="1" ref="BW5" ca="1">SUMPRODUCT(
  (ISNUMBER(BW$14:BW$103))*(BW$14:BW$103&gt;0) *
  (IFERROR(VLOOKUP($C$14:$C$103,tblCharacterCapture[[Character Name]:[Clan]],4,0),"")=$A5) *
  IFERROR(VLOOKUP($C$14:$C$103,tblCharacterCapture[[Character Name]:[City Status]],79,0),0)
)</f>
        <v>0</v>
      </c>
      <c r="BX5" s="40"/>
      <c r="BY5" s="40"/>
      <c r="BZ5" s="40"/>
      <c r="CA5" s="40"/>
      <c r="CB5" s="61" cm="1">
        <f t="array" aca="1" ref="CB5" ca="1">SUMPRODUCT(
  (ISNUMBER(CB$14:CB$103))*(CB$14:CB$103&gt;0) *
  (IFERROR(VLOOKUP($C$14:$C$103,tblCharacterCapture[[Character Name]:[Clan]],4,0),"")=$A5) *
  IFERROR(VLOOKUP($C$14:$C$103,tblCharacterCapture[[Character Name]:[City Status]],79,0),0)
)</f>
        <v>0</v>
      </c>
      <c r="CC5" s="40"/>
      <c r="CD5" s="40"/>
      <c r="CE5" s="40"/>
      <c r="CF5" s="40"/>
      <c r="CG5" s="61" cm="1">
        <f t="array" aca="1" ref="CG5" ca="1">SUMPRODUCT(
  (ISNUMBER(CG$14:CG$103))*(CG$14:CG$103&gt;0) *
  (IFERROR(VLOOKUP($C$14:$C$103,tblCharacterCapture[[Character Name]:[Clan]],4,0),"")=$A5) *
  IFERROR(VLOOKUP($C$14:$C$103,tblCharacterCapture[[Character Name]:[City Status]],79,0),0)
)</f>
        <v>0</v>
      </c>
      <c r="CH5" s="40"/>
      <c r="CI5" s="40"/>
      <c r="CJ5" s="40"/>
      <c r="CK5" s="40"/>
      <c r="CL5" s="61" cm="1">
        <f t="array" aca="1" ref="CL5" ca="1">SUMPRODUCT(
  (ISNUMBER(CL$14:CL$103))*(CL$14:CL$103&gt;0) *
  (IFERROR(VLOOKUP($C$14:$C$103,tblCharacterCapture[[Character Name]:[Clan]],4,0),"")=$A5) *
  IFERROR(VLOOKUP($C$14:$C$103,tblCharacterCapture[[Character Name]:[City Status]],79,0),0)
)</f>
        <v>0</v>
      </c>
      <c r="CM5" s="40"/>
      <c r="CN5" s="40"/>
      <c r="CO5" s="40"/>
      <c r="CP5" s="40"/>
      <c r="CQ5" s="61" cm="1">
        <f t="array" aca="1" ref="CQ5" ca="1">SUMPRODUCT(
  (ISNUMBER(CQ$14:CQ$103))*(CQ$14:CQ$103&gt;0) *
  (IFERROR(VLOOKUP($C$14:$C$103,tblCharacterCapture[[Character Name]:[Clan]],4,0),"")=$A5) *
  IFERROR(VLOOKUP($C$14:$C$103,tblCharacterCapture[[Character Name]:[City Status]],79,0),0)
)</f>
        <v>0</v>
      </c>
      <c r="CR5" s="40"/>
      <c r="CS5" s="40"/>
      <c r="CT5" s="40"/>
      <c r="CU5" s="40"/>
      <c r="CV5" s="61" cm="1">
        <f t="array" aca="1" ref="CV5" ca="1">SUMPRODUCT(
  (ISNUMBER(CV$14:CV$103))*(CV$14:CV$103&gt;0) *
  (IFERROR(VLOOKUP($C$14:$C$103,tblCharacterCapture[[Character Name]:[Clan]],4,0),"")=$A5) *
  IFERROR(VLOOKUP($C$14:$C$103,tblCharacterCapture[[Character Name]:[City Status]],79,0),0)
)</f>
        <v>0</v>
      </c>
      <c r="CW5" s="40"/>
      <c r="CX5" s="40"/>
      <c r="CY5" s="40"/>
      <c r="CZ5" s="40"/>
      <c r="DA5" s="61" cm="1">
        <f t="array" aca="1" ref="DA5" ca="1">SUMPRODUCT(
  (ISNUMBER(DA$14:DA$103))*(DA$14:DA$103&gt;0) *
  (IFERROR(VLOOKUP($C$14:$C$103,tblCharacterCapture[[Character Name]:[Clan]],4,0),"")=$A5) *
  IFERROR(VLOOKUP($C$14:$C$103,tblCharacterCapture[[Character Name]:[City Status]],79,0),0)
)</f>
        <v>0</v>
      </c>
      <c r="DB5" s="40"/>
      <c r="DC5" s="40"/>
      <c r="DD5" s="40"/>
      <c r="DE5" s="40"/>
      <c r="DF5" s="61" cm="1">
        <f t="array" aca="1" ref="DF5" ca="1">SUMPRODUCT(
  (ISNUMBER(DF$14:DF$103))*(DF$14:DF$103&gt;0) *
  (IFERROR(VLOOKUP($C$14:$C$103,tblCharacterCapture[[Character Name]:[Clan]],4,0),"")=$A5) *
  IFERROR(VLOOKUP($C$14:$C$103,tblCharacterCapture[[Character Name]:[City Status]],79,0),0)
)</f>
        <v>0</v>
      </c>
      <c r="DG5" s="40"/>
      <c r="DH5" s="40"/>
      <c r="DI5" s="40"/>
      <c r="DJ5" s="40"/>
      <c r="DK5" s="61" cm="1">
        <f t="array" aca="1" ref="DK5" ca="1">SUMPRODUCT(
  (ISNUMBER(DK$14:DK$103))*(DK$14:DK$103&gt;0) *
  (IFERROR(VLOOKUP($C$14:$C$103,tblCharacterCapture[[Character Name]:[Clan]],4,0),"")=$A5) *
  IFERROR(VLOOKUP($C$14:$C$103,tblCharacterCapture[[Character Name]:[City Status]],79,0),0)
)</f>
        <v>0</v>
      </c>
      <c r="DL5" s="40"/>
      <c r="DM5" s="40"/>
      <c r="DN5" s="40"/>
      <c r="DO5" s="40"/>
      <c r="DP5" s="61" cm="1">
        <f t="array" aca="1" ref="DP5" ca="1">SUMPRODUCT(
  (ISNUMBER(DP$14:DP$103))*(DP$14:DP$103&gt;0) *
  (IFERROR(VLOOKUP($C$14:$C$103,tblCharacterCapture[[Character Name]:[Clan]],4,0),"")=$A5) *
  IFERROR(VLOOKUP($C$14:$C$103,tblCharacterCapture[[Character Name]:[City Status]],79,0),0)
)</f>
        <v>0</v>
      </c>
      <c r="DQ5" s="40"/>
      <c r="DR5" s="40"/>
      <c r="DS5" s="40"/>
      <c r="DT5" s="40"/>
      <c r="DU5" s="61" cm="1">
        <f t="array" aca="1" ref="DU5" ca="1">SUMPRODUCT(
  (ISNUMBER(DU$14:DU$103))*(DU$14:DU$103&gt;0) *
  (IFERROR(VLOOKUP($C$14:$C$103,tblCharacterCapture[[Character Name]:[Clan]],4,0),"")=$A5) *
  IFERROR(VLOOKUP($C$14:$C$103,tblCharacterCapture[[Character Name]:[City Status]],79,0),0)
)</f>
        <v>0</v>
      </c>
      <c r="DV5" s="40"/>
      <c r="DW5" s="40"/>
      <c r="DX5" s="40"/>
      <c r="DY5" s="40"/>
      <c r="DZ5" s="61" cm="1">
        <f t="array" aca="1" ref="DZ5" ca="1">SUMPRODUCT(
  (ISNUMBER(DZ$14:DZ$103))*(DZ$14:DZ$103&gt;0) *
  (IFERROR(VLOOKUP($C$14:$C$103,tblCharacterCapture[[Character Name]:[Clan]],4,0),"")=$A5) *
  IFERROR(VLOOKUP($C$14:$C$103,tblCharacterCapture[[Character Name]:[City Status]],79,0),0)
)</f>
        <v>0</v>
      </c>
      <c r="EA5" s="40"/>
      <c r="EB5" s="40"/>
      <c r="EC5" s="40"/>
      <c r="ED5" s="40"/>
      <c r="EE5" s="61" cm="1">
        <f t="array" aca="1" ref="EE5" ca="1">SUMPRODUCT(
  (ISNUMBER(EE$14:EE$103))*(EE$14:EE$103&gt;0) *
  (IFERROR(VLOOKUP($C$14:$C$103,tblCharacterCapture[[Character Name]:[Clan]],4,0),"")=$A5) *
  IFERROR(VLOOKUP($C$14:$C$103,tblCharacterCapture[[Character Name]:[City Status]],79,0),0)
)</f>
        <v>0</v>
      </c>
      <c r="EF5" s="40"/>
      <c r="EG5" s="40"/>
      <c r="EH5" s="40"/>
      <c r="EI5" s="40"/>
      <c r="EJ5" s="61" cm="1">
        <f t="array" aca="1" ref="EJ5" ca="1">SUMPRODUCT(
  (ISNUMBER(EJ$14:EJ$103))*(EJ$14:EJ$103&gt;0) *
  (IFERROR(VLOOKUP($C$14:$C$103,tblCharacterCapture[[Character Name]:[Clan]],4,0),"")=$A5) *
  IFERROR(VLOOKUP($C$14:$C$103,tblCharacterCapture[[Character Name]:[City Status]],79,0),0)
)</f>
        <v>0</v>
      </c>
      <c r="EK5" s="40"/>
      <c r="EL5" s="40"/>
      <c r="EM5" s="40"/>
      <c r="EN5" s="40"/>
      <c r="EO5" s="61" cm="1">
        <f t="array" aca="1" ref="EO5" ca="1">SUMPRODUCT(
  (ISNUMBER(EO$14:EO$103))*(EO$14:EO$103&gt;0) *
  (IFERROR(VLOOKUP($C$14:$C$103,tblCharacterCapture[[Character Name]:[Clan]],4,0),"")=$A5) *
  IFERROR(VLOOKUP($C$14:$C$103,tblCharacterCapture[[Character Name]:[City Status]],79,0),0)
)</f>
        <v>0</v>
      </c>
      <c r="EP5" s="40"/>
      <c r="EQ5" s="40"/>
      <c r="ER5" s="40"/>
      <c r="ES5" s="40"/>
      <c r="ET5" s="61" cm="1">
        <f t="array" aca="1" ref="ET5" ca="1">SUMPRODUCT(
  (ISNUMBER(ET$14:ET$103))*(ET$14:ET$103&gt;0) *
  (IFERROR(VLOOKUP($C$14:$C$103,tblCharacterCapture[[Character Name]:[Clan]],4,0),"")=$A5) *
  IFERROR(VLOOKUP($C$14:$C$103,tblCharacterCapture[[Character Name]:[City Status]],79,0),0)
)</f>
        <v>0</v>
      </c>
      <c r="EU5" s="40"/>
      <c r="EV5" s="40"/>
      <c r="EW5" s="40"/>
      <c r="EX5" s="40"/>
      <c r="EY5" s="61" cm="1">
        <f t="array" aca="1" ref="EY5" ca="1">SUMPRODUCT(
  (ISNUMBER(EY$14:EY$103))*(EY$14:EY$103&gt;0) *
  (IFERROR(VLOOKUP($C$14:$C$103,tblCharacterCapture[[Character Name]:[Clan]],4,0),"")=$A5) *
  IFERROR(VLOOKUP($C$14:$C$103,tblCharacterCapture[[Character Name]:[City Status]],79,0),0)
)</f>
        <v>0</v>
      </c>
      <c r="EZ5" s="40"/>
      <c r="FA5" s="40"/>
      <c r="FB5" s="40"/>
      <c r="FC5" s="40"/>
      <c r="FD5" s="61" cm="1">
        <f t="array" aca="1" ref="FD5" ca="1">SUMPRODUCT(
  (ISNUMBER(FD$14:FD$103))*(FD$14:FD$103&gt;0) *
  (IFERROR(VLOOKUP($C$14:$C$103,tblCharacterCapture[[Character Name]:[Clan]],4,0),"")=$A5) *
  IFERROR(VLOOKUP($C$14:$C$103,tblCharacterCapture[[Character Name]:[City Status]],79,0),0)
)</f>
        <v>0</v>
      </c>
      <c r="FE5" s="40"/>
      <c r="FF5" s="40"/>
      <c r="FG5" s="40"/>
      <c r="FH5" s="40"/>
      <c r="FI5" s="61" cm="1">
        <f t="array" aca="1" ref="FI5" ca="1">SUMPRODUCT(
  (ISNUMBER(FI$14:FI$103))*(FI$14:FI$103&gt;0) *
  (IFERROR(VLOOKUP($C$14:$C$103,tblCharacterCapture[[Character Name]:[Clan]],4,0),"")=$A5) *
  IFERROR(VLOOKUP($C$14:$C$103,tblCharacterCapture[[Character Name]:[City Status]],79,0),0)
)</f>
        <v>0</v>
      </c>
      <c r="FJ5" s="40"/>
      <c r="FK5" s="40"/>
      <c r="FL5" s="40"/>
      <c r="FM5" s="40"/>
      <c r="FN5" s="61" cm="1">
        <f t="array" aca="1" ref="FN5" ca="1">SUMPRODUCT(
  (ISNUMBER(FN$14:FN$103))*(FN$14:FN$103&gt;0) *
  (IFERROR(VLOOKUP($C$14:$C$103,tblCharacterCapture[[Character Name]:[Clan]],4,0),"")=$A5) *
  IFERROR(VLOOKUP($C$14:$C$103,tblCharacterCapture[[Character Name]:[City Status]],79,0),0)
)</f>
        <v>0</v>
      </c>
      <c r="FO5" s="40"/>
      <c r="FP5" s="40"/>
      <c r="FQ5" s="40"/>
      <c r="FR5" s="40"/>
      <c r="FS5" s="61" cm="1">
        <f t="array" aca="1" ref="FS5" ca="1">SUMPRODUCT(
  (ISNUMBER(FS$14:FS$103))*(FS$14:FS$103&gt;0) *
  (IFERROR(VLOOKUP($C$14:$C$103,tblCharacterCapture[[Character Name]:[Clan]],4,0),"")=$A5) *
  IFERROR(VLOOKUP($C$14:$C$103,tblCharacterCapture[[Character Name]:[City Status]],79,0),0)
)</f>
        <v>0</v>
      </c>
      <c r="FT5" s="40"/>
      <c r="FU5" s="40"/>
      <c r="FV5" s="40"/>
      <c r="FW5" s="40"/>
      <c r="FX5" s="61" cm="1">
        <f t="array" aca="1" ref="FX5" ca="1">SUMPRODUCT(
  (ISNUMBER(FX$14:FX$103))*(FX$14:FX$103&gt;0) *
  (IFERROR(VLOOKUP($C$14:$C$103,tblCharacterCapture[[Character Name]:[Clan]],4,0),"")=$A5) *
  IFERROR(VLOOKUP($C$14:$C$103,tblCharacterCapture[[Character Name]:[City Status]],79,0),0)
)</f>
        <v>0</v>
      </c>
      <c r="FY5" s="40"/>
      <c r="FZ5" s="40"/>
      <c r="GA5" s="40"/>
      <c r="GB5" s="40"/>
      <c r="GC5" s="61" cm="1">
        <f t="array" aca="1" ref="GC5" ca="1">SUMPRODUCT(
  (ISNUMBER(GC$14:GC$103))*(GC$14:GC$103&gt;0) *
  (IFERROR(VLOOKUP($C$14:$C$103,tblCharacterCapture[[Character Name]:[Clan]],4,0),"")=$A5) *
  IFERROR(VLOOKUP($C$14:$C$103,tblCharacterCapture[[Character Name]:[City Status]],79,0),0)
)</f>
        <v>0</v>
      </c>
      <c r="GD5" s="40"/>
      <c r="GE5" s="40"/>
      <c r="GF5" s="40"/>
    </row>
    <row r="6" spans="1:188">
      <c r="N6" s="38"/>
      <c r="O6" s="38"/>
      <c r="P6" s="38"/>
      <c r="Q6" s="38"/>
      <c r="R6" s="38"/>
      <c r="S6" s="38"/>
      <c r="T6" s="38"/>
      <c r="U6" s="38"/>
      <c r="V6" s="38"/>
      <c r="W6" s="38"/>
      <c r="X6" s="38"/>
      <c r="Y6" s="38"/>
      <c r="Z6" s="38"/>
      <c r="AA6" s="38"/>
      <c r="AB6" s="38"/>
      <c r="AC6" s="38"/>
      <c r="AD6" s="38"/>
      <c r="AE6" s="38"/>
      <c r="AF6" s="38"/>
      <c r="AG6" s="38"/>
      <c r="AH6" s="38"/>
      <c r="AI6" s="38"/>
      <c r="AJ6" s="38"/>
      <c r="AK6" s="38"/>
      <c r="AL6" s="38"/>
      <c r="AM6" s="38"/>
      <c r="AN6" s="38"/>
      <c r="AO6" s="38"/>
      <c r="AP6" s="38"/>
      <c r="AQ6" s="38"/>
      <c r="AR6" s="38"/>
      <c r="AS6" s="38"/>
      <c r="AT6" s="38"/>
      <c r="AU6" s="38"/>
      <c r="AV6" s="3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row>
    <row r="7" spans="1:188">
      <c r="A7" s="15" t="s">
        <v>607</v>
      </c>
      <c r="B7" s="61" cm="1">
        <f t="array" ref="B7">SUMPRODUCT(
  (tblCharacterCapture[Covenant]=A7) *
  tblCharacterCapture[City Status]
)</f>
        <v>14</v>
      </c>
      <c r="C7" s="15" t="s">
        <v>607</v>
      </c>
      <c r="E7" s="61" cm="1">
        <f t="array" aca="1" ref="E7" ca="1">SUMPRODUCT(
  (ISNUMBER(E$14:E$103))*(E$14:E$103&gt;0) *
  (IFERROR(VLOOKUP($C$14:$C$103,tblCharacterCapture[[Character Name]:[Covenant]],7,0),"")=$A7) *
  IFERROR(VLOOKUP($C$14:$C$103,tblCharacterCapture[[Character Name]:[City Status]],79,0),0)
)</f>
        <v>12</v>
      </c>
      <c r="J7" s="61" cm="1">
        <f t="array" aca="1" ref="J7" ca="1">SUMPRODUCT(
  (ISNUMBER(J$14:J$103))*(J$14:J$103&gt;0) *
  (IFERROR(VLOOKUP($C$14:$C$103,tblCharacterCapture[[Character Name]:[Covenant]],7,0),"")=$A7) *
  IFERROR(VLOOKUP($C$14:$C$103,tblCharacterCapture[[Character Name]:[City Status]],79,0),0)
)</f>
        <v>0</v>
      </c>
      <c r="N7" s="38"/>
      <c r="O7" s="61" cm="1">
        <f t="array" aca="1" ref="O7" ca="1">SUMPRODUCT(
  (ISNUMBER(O$14:O$103))*(O$14:O$103&gt;0) *
  (IFERROR(VLOOKUP($C$14:$C$103,tblCharacterCapture[[Character Name]:[Covenant]],7,0),"")=$A7) *
  IFERROR(VLOOKUP($C$14:$C$103,tblCharacterCapture[[Character Name]:[City Status]],79,0),0)
)</f>
        <v>0</v>
      </c>
      <c r="P7" s="38"/>
      <c r="Q7" s="38"/>
      <c r="R7" s="38"/>
      <c r="S7" s="38"/>
      <c r="T7" s="61" cm="1">
        <f t="array" aca="1" ref="T7" ca="1">SUMPRODUCT(
  (ISNUMBER(T$14:T$103))*(T$14:T$103&gt;0) *
  (IFERROR(VLOOKUP($C$14:$C$103,tblCharacterCapture[[Character Name]:[Covenant]],7,0),"")=$A7) *
  IFERROR(VLOOKUP($C$14:$C$103,tblCharacterCapture[[Character Name]:[City Status]],79,0),0)
)</f>
        <v>0</v>
      </c>
      <c r="U7" s="38"/>
      <c r="V7" s="38"/>
      <c r="W7" s="38"/>
      <c r="X7" s="38"/>
      <c r="Y7" s="61" cm="1">
        <f t="array" aca="1" ref="Y7" ca="1">SUMPRODUCT(
  (ISNUMBER(Y$14:Y$103))*(Y$14:Y$103&gt;0) *
  (IFERROR(VLOOKUP($C$14:$C$103,tblCharacterCapture[[Character Name]:[Covenant]],7,0),"")=$A7) *
  IFERROR(VLOOKUP($C$14:$C$103,tblCharacterCapture[[Character Name]:[City Status]],79,0),0)
)</f>
        <v>0</v>
      </c>
      <c r="Z7" s="38"/>
      <c r="AA7" s="38"/>
      <c r="AB7" s="38"/>
      <c r="AC7" s="38"/>
      <c r="AD7" s="61" cm="1">
        <f t="array" aca="1" ref="AD7" ca="1">SUMPRODUCT(
  (ISNUMBER(AD$14:AD$103))*(AD$14:AD$103&gt;0) *
  (IFERROR(VLOOKUP($C$14:$C$103,tblCharacterCapture[[Character Name]:[Covenant]],7,0),"")=$A7) *
  IFERROR(VLOOKUP($C$14:$C$103,tblCharacterCapture[[Character Name]:[City Status]],79,0),0)
)</f>
        <v>0</v>
      </c>
      <c r="AE7" s="38"/>
      <c r="AF7" s="38"/>
      <c r="AG7" s="38"/>
      <c r="AH7" s="38"/>
      <c r="AI7" s="61" cm="1">
        <f t="array" aca="1" ref="AI7" ca="1">SUMPRODUCT(
  (ISNUMBER(AI$14:AI$103))*(AI$14:AI$103&gt;0) *
  (IFERROR(VLOOKUP($C$14:$C$103,tblCharacterCapture[[Character Name]:[Covenant]],7,0),"")=$A7) *
  IFERROR(VLOOKUP($C$14:$C$103,tblCharacterCapture[[Character Name]:[City Status]],79,0),0)
)</f>
        <v>0</v>
      </c>
      <c r="AJ7" s="38"/>
      <c r="AK7" s="38"/>
      <c r="AL7" s="38"/>
      <c r="AM7" s="38"/>
      <c r="AN7" s="61" cm="1">
        <f t="array" aca="1" ref="AN7" ca="1">SUMPRODUCT(
  (ISNUMBER(AN$14:AN$103))*(AN$14:AN$103&gt;0) *
  (IFERROR(VLOOKUP($C$14:$C$103,tblCharacterCapture[[Character Name]:[Covenant]],7,0),"")=$A7) *
  IFERROR(VLOOKUP($C$14:$C$103,tblCharacterCapture[[Character Name]:[City Status]],79,0),0)
)</f>
        <v>0</v>
      </c>
      <c r="AO7" s="38"/>
      <c r="AP7" s="38"/>
      <c r="AQ7" s="38"/>
      <c r="AR7" s="38"/>
      <c r="AS7" s="61" cm="1">
        <f t="array" aca="1" ref="AS7" ca="1">SUMPRODUCT(
  (ISNUMBER(AS$14:AS$103))*(AS$14:AS$103&gt;0) *
  (IFERROR(VLOOKUP($C$14:$C$103,tblCharacterCapture[[Character Name]:[Covenant]],7,0),"")=$A7) *
  IFERROR(VLOOKUP($C$14:$C$103,tblCharacterCapture[[Character Name]:[City Status]],79,0),0)
)</f>
        <v>0</v>
      </c>
      <c r="AT7" s="38"/>
      <c r="AU7" s="38"/>
      <c r="AV7" s="38"/>
      <c r="AW7" s="38"/>
      <c r="AX7" s="61" cm="1">
        <f t="array" aca="1" ref="AX7" ca="1">SUMPRODUCT(
  (ISNUMBER(AX$14:AX$103))*(AX$14:AX$103&gt;0) *
  (IFERROR(VLOOKUP($C$14:$C$103,tblCharacterCapture[[Character Name]:[Covenant]],7,0),"")=$A7) *
  IFERROR(VLOOKUP($C$14:$C$103,tblCharacterCapture[[Character Name]:[City Status]],79,0),0)
)</f>
        <v>0</v>
      </c>
      <c r="AY7" s="38"/>
      <c r="AZ7" s="38"/>
      <c r="BA7" s="38"/>
      <c r="BB7" s="38"/>
      <c r="BC7" s="61" cm="1">
        <f t="array" aca="1" ref="BC7" ca="1">SUMPRODUCT(
  (ISNUMBER(BC$14:BC$103))*(BC$14:BC$103&gt;0) *
  (IFERROR(VLOOKUP($C$14:$C$103,tblCharacterCapture[[Character Name]:[Covenant]],7,0),"")=$A7) *
  IFERROR(VLOOKUP($C$14:$C$103,tblCharacterCapture[[Character Name]:[City Status]],79,0),0)
)</f>
        <v>0</v>
      </c>
      <c r="BD7" s="38"/>
      <c r="BE7" s="38"/>
      <c r="BF7" s="38"/>
      <c r="BG7" s="38"/>
      <c r="BH7" s="61" cm="1">
        <f t="array" aca="1" ref="BH7" ca="1">SUMPRODUCT(
  (ISNUMBER(BH$14:BH$103))*(BH$14:BH$103&gt;0) *
  (IFERROR(VLOOKUP($C$14:$C$103,tblCharacterCapture[[Character Name]:[Covenant]],7,0),"")=$A7) *
  IFERROR(VLOOKUP($C$14:$C$103,tblCharacterCapture[[Character Name]:[City Status]],79,0),0)
)</f>
        <v>0</v>
      </c>
      <c r="BI7" s="38"/>
      <c r="BJ7" s="38"/>
      <c r="BK7" s="38"/>
      <c r="BL7" s="38"/>
      <c r="BM7" s="61" cm="1">
        <f t="array" aca="1" ref="BM7" ca="1">SUMPRODUCT(
  (ISNUMBER(BM$14:BM$103))*(BM$14:BM$103&gt;0) *
  (IFERROR(VLOOKUP($C$14:$C$103,tblCharacterCapture[[Character Name]:[Covenant]],7,0),"")=$A7) *
  IFERROR(VLOOKUP($C$14:$C$103,tblCharacterCapture[[Character Name]:[City Status]],79,0),0)
)</f>
        <v>0</v>
      </c>
      <c r="BN7" s="38"/>
      <c r="BO7" s="38"/>
      <c r="BP7" s="38"/>
      <c r="BQ7" s="38"/>
      <c r="BR7" s="61" cm="1">
        <f t="array" aca="1" ref="BR7" ca="1">SUMPRODUCT(
  (ISNUMBER(BR$14:BR$103))*(BR$14:BR$103&gt;0) *
  (IFERROR(VLOOKUP($C$14:$C$103,tblCharacterCapture[[Character Name]:[Covenant]],7,0),"")=$A7) *
  IFERROR(VLOOKUP($C$14:$C$103,tblCharacterCapture[[Character Name]:[City Status]],79,0),0)
)</f>
        <v>0</v>
      </c>
      <c r="BS7" s="38"/>
      <c r="BT7" s="38"/>
      <c r="BU7" s="38"/>
      <c r="BV7" s="38"/>
      <c r="BW7" s="61" cm="1">
        <f t="array" aca="1" ref="BW7" ca="1">SUMPRODUCT(
  (ISNUMBER(BW$14:BW$103))*(BW$14:BW$103&gt;0) *
  (IFERROR(VLOOKUP($C$14:$C$103,tblCharacterCapture[[Character Name]:[Covenant]],7,0),"")=$A7) *
  IFERROR(VLOOKUP($C$14:$C$103,tblCharacterCapture[[Character Name]:[City Status]],79,0),0)
)</f>
        <v>0</v>
      </c>
      <c r="BX7" s="38"/>
      <c r="BY7" s="38"/>
      <c r="BZ7" s="38"/>
      <c r="CA7" s="38"/>
      <c r="CB7" s="61" cm="1">
        <f t="array" aca="1" ref="CB7" ca="1">SUMPRODUCT(
  (ISNUMBER(CB$14:CB$103))*(CB$14:CB$103&gt;0) *
  (IFERROR(VLOOKUP($C$14:$C$103,tblCharacterCapture[[Character Name]:[Covenant]],7,0),"")=$A7) *
  IFERROR(VLOOKUP($C$14:$C$103,tblCharacterCapture[[Character Name]:[City Status]],79,0),0)
)</f>
        <v>0</v>
      </c>
      <c r="CC7" s="38"/>
      <c r="CD7" s="38"/>
      <c r="CE7" s="38"/>
      <c r="CF7" s="38"/>
      <c r="CG7" s="61" cm="1">
        <f t="array" aca="1" ref="CG7" ca="1">SUMPRODUCT(
  (ISNUMBER(CG$14:CG$103))*(CG$14:CG$103&gt;0) *
  (IFERROR(VLOOKUP($C$14:$C$103,tblCharacterCapture[[Character Name]:[Covenant]],7,0),"")=$A7) *
  IFERROR(VLOOKUP($C$14:$C$103,tblCharacterCapture[[Character Name]:[City Status]],79,0),0)
)</f>
        <v>0</v>
      </c>
      <c r="CH7" s="38"/>
      <c r="CI7" s="38"/>
      <c r="CJ7" s="38"/>
      <c r="CK7" s="38"/>
      <c r="CL7" s="61" cm="1">
        <f t="array" aca="1" ref="CL7" ca="1">SUMPRODUCT(
  (ISNUMBER(CL$14:CL$103))*(CL$14:CL$103&gt;0) *
  (IFERROR(VLOOKUP($C$14:$C$103,tblCharacterCapture[[Character Name]:[Covenant]],7,0),"")=$A7) *
  IFERROR(VLOOKUP($C$14:$C$103,tblCharacterCapture[[Character Name]:[City Status]],79,0),0)
)</f>
        <v>0</v>
      </c>
      <c r="CM7" s="38"/>
      <c r="CN7" s="38"/>
      <c r="CO7" s="38"/>
      <c r="CP7" s="38"/>
      <c r="CQ7" s="61" cm="1">
        <f t="array" aca="1" ref="CQ7" ca="1">SUMPRODUCT(
  (ISNUMBER(CQ$14:CQ$103))*(CQ$14:CQ$103&gt;0) *
  (IFERROR(VLOOKUP($C$14:$C$103,tblCharacterCapture[[Character Name]:[Covenant]],7,0),"")=$A7) *
  IFERROR(VLOOKUP($C$14:$C$103,tblCharacterCapture[[Character Name]:[City Status]],79,0),0)
)</f>
        <v>0</v>
      </c>
      <c r="CR7" s="38"/>
      <c r="CS7" s="38"/>
      <c r="CT7" s="38"/>
      <c r="CU7" s="38"/>
      <c r="CV7" s="61" cm="1">
        <f t="array" aca="1" ref="CV7" ca="1">SUMPRODUCT(
  (ISNUMBER(CV$14:CV$103))*(CV$14:CV$103&gt;0) *
  (IFERROR(VLOOKUP($C$14:$C$103,tblCharacterCapture[[Character Name]:[Covenant]],7,0),"")=$A7) *
  IFERROR(VLOOKUP($C$14:$C$103,tblCharacterCapture[[Character Name]:[City Status]],79,0),0)
)</f>
        <v>0</v>
      </c>
      <c r="CW7" s="38"/>
      <c r="CX7" s="38"/>
      <c r="CY7" s="38"/>
      <c r="CZ7" s="38"/>
      <c r="DA7" s="61" cm="1">
        <f t="array" aca="1" ref="DA7" ca="1">SUMPRODUCT(
  (ISNUMBER(DA$14:DA$103))*(DA$14:DA$103&gt;0) *
  (IFERROR(VLOOKUP($C$14:$C$103,tblCharacterCapture[[Character Name]:[Covenant]],7,0),"")=$A7) *
  IFERROR(VLOOKUP($C$14:$C$103,tblCharacterCapture[[Character Name]:[City Status]],79,0),0)
)</f>
        <v>0</v>
      </c>
      <c r="DB7" s="38"/>
      <c r="DC7" s="38"/>
      <c r="DD7" s="38"/>
      <c r="DE7" s="38"/>
      <c r="DF7" s="61" cm="1">
        <f t="array" aca="1" ref="DF7" ca="1">SUMPRODUCT(
  (ISNUMBER(DF$14:DF$103))*(DF$14:DF$103&gt;0) *
  (IFERROR(VLOOKUP($C$14:$C$103,tblCharacterCapture[[Character Name]:[Covenant]],7,0),"")=$A7) *
  IFERROR(VLOOKUP($C$14:$C$103,tblCharacterCapture[[Character Name]:[City Status]],79,0),0)
)</f>
        <v>0</v>
      </c>
      <c r="DG7" s="38"/>
      <c r="DH7" s="38"/>
      <c r="DI7" s="38"/>
      <c r="DJ7" s="38"/>
      <c r="DK7" s="61" cm="1">
        <f t="array" aca="1" ref="DK7" ca="1">SUMPRODUCT(
  (ISNUMBER(DK$14:DK$103))*(DK$14:DK$103&gt;0) *
  (IFERROR(VLOOKUP($C$14:$C$103,tblCharacterCapture[[Character Name]:[Covenant]],7,0),"")=$A7) *
  IFERROR(VLOOKUP($C$14:$C$103,tblCharacterCapture[[Character Name]:[City Status]],79,0),0)
)</f>
        <v>0</v>
      </c>
      <c r="DL7" s="38"/>
      <c r="DM7" s="38"/>
      <c r="DN7" s="38"/>
      <c r="DO7" s="38"/>
      <c r="DP7" s="61" cm="1">
        <f t="array" aca="1" ref="DP7" ca="1">SUMPRODUCT(
  (ISNUMBER(DP$14:DP$103))*(DP$14:DP$103&gt;0) *
  (IFERROR(VLOOKUP($C$14:$C$103,tblCharacterCapture[[Character Name]:[Covenant]],7,0),"")=$A7) *
  IFERROR(VLOOKUP($C$14:$C$103,tblCharacterCapture[[Character Name]:[City Status]],79,0),0)
)</f>
        <v>0</v>
      </c>
      <c r="DQ7" s="38"/>
      <c r="DR7" s="38"/>
      <c r="DS7" s="38"/>
      <c r="DT7" s="38"/>
      <c r="DU7" s="61" cm="1">
        <f t="array" aca="1" ref="DU7" ca="1">SUMPRODUCT(
  (ISNUMBER(DU$14:DU$103))*(DU$14:DU$103&gt;0) *
  (IFERROR(VLOOKUP($C$14:$C$103,tblCharacterCapture[[Character Name]:[Covenant]],7,0),"")=$A7) *
  IFERROR(VLOOKUP($C$14:$C$103,tblCharacterCapture[[Character Name]:[City Status]],79,0),0)
)</f>
        <v>0</v>
      </c>
      <c r="DV7" s="38"/>
      <c r="DW7" s="38"/>
      <c r="DX7" s="38"/>
      <c r="DY7" s="38"/>
      <c r="DZ7" s="61" cm="1">
        <f t="array" aca="1" ref="DZ7" ca="1">SUMPRODUCT(
  (ISNUMBER(DZ$14:DZ$103))*(DZ$14:DZ$103&gt;0) *
  (IFERROR(VLOOKUP($C$14:$C$103,tblCharacterCapture[[Character Name]:[Covenant]],7,0),"")=$A7) *
  IFERROR(VLOOKUP($C$14:$C$103,tblCharacterCapture[[Character Name]:[City Status]],79,0),0)
)</f>
        <v>0</v>
      </c>
      <c r="EA7" s="38"/>
      <c r="EB7" s="38"/>
      <c r="EC7" s="38"/>
      <c r="ED7" s="38"/>
      <c r="EE7" s="61" cm="1">
        <f t="array" aca="1" ref="EE7" ca="1">SUMPRODUCT(
  (ISNUMBER(EE$14:EE$103))*(EE$14:EE$103&gt;0) *
  (IFERROR(VLOOKUP($C$14:$C$103,tblCharacterCapture[[Character Name]:[Covenant]],7,0),"")=$A7) *
  IFERROR(VLOOKUP($C$14:$C$103,tblCharacterCapture[[Character Name]:[City Status]],79,0),0)
)</f>
        <v>0</v>
      </c>
      <c r="EF7" s="38"/>
      <c r="EG7" s="38"/>
      <c r="EH7" s="38"/>
      <c r="EI7" s="38"/>
      <c r="EJ7" s="61" cm="1">
        <f t="array" aca="1" ref="EJ7" ca="1">SUMPRODUCT(
  (ISNUMBER(EJ$14:EJ$103))*(EJ$14:EJ$103&gt;0) *
  (IFERROR(VLOOKUP($C$14:$C$103,tblCharacterCapture[[Character Name]:[Covenant]],7,0),"")=$A7) *
  IFERROR(VLOOKUP($C$14:$C$103,tblCharacterCapture[[Character Name]:[City Status]],79,0),0)
)</f>
        <v>0</v>
      </c>
      <c r="EK7" s="38"/>
      <c r="EL7" s="38"/>
      <c r="EM7" s="38"/>
      <c r="EN7" s="38"/>
      <c r="EO7" s="61" cm="1">
        <f t="array" aca="1" ref="EO7" ca="1">SUMPRODUCT(
  (ISNUMBER(EO$14:EO$103))*(EO$14:EO$103&gt;0) *
  (IFERROR(VLOOKUP($C$14:$C$103,tblCharacterCapture[[Character Name]:[Covenant]],7,0),"")=$A7) *
  IFERROR(VLOOKUP($C$14:$C$103,tblCharacterCapture[[Character Name]:[City Status]],79,0),0)
)</f>
        <v>0</v>
      </c>
      <c r="EP7" s="38"/>
      <c r="EQ7" s="38"/>
      <c r="ER7" s="38"/>
      <c r="ES7" s="38"/>
      <c r="ET7" s="61" cm="1">
        <f t="array" aca="1" ref="ET7" ca="1">SUMPRODUCT(
  (ISNUMBER(ET$14:ET$103))*(ET$14:ET$103&gt;0) *
  (IFERROR(VLOOKUP($C$14:$C$103,tblCharacterCapture[[Character Name]:[Covenant]],7,0),"")=$A7) *
  IFERROR(VLOOKUP($C$14:$C$103,tblCharacterCapture[[Character Name]:[City Status]],79,0),0)
)</f>
        <v>0</v>
      </c>
      <c r="EU7" s="38"/>
      <c r="EV7" s="38"/>
      <c r="EW7" s="38"/>
      <c r="EX7" s="38"/>
      <c r="EY7" s="61" cm="1">
        <f t="array" aca="1" ref="EY7" ca="1">SUMPRODUCT(
  (ISNUMBER(EY$14:EY$103))*(EY$14:EY$103&gt;0) *
  (IFERROR(VLOOKUP($C$14:$C$103,tblCharacterCapture[[Character Name]:[Covenant]],7,0),"")=$A7) *
  IFERROR(VLOOKUP($C$14:$C$103,tblCharacterCapture[[Character Name]:[City Status]],79,0),0)
)</f>
        <v>0</v>
      </c>
      <c r="EZ7" s="38"/>
      <c r="FA7" s="38"/>
      <c r="FB7" s="38"/>
      <c r="FC7" s="38"/>
      <c r="FD7" s="61" cm="1">
        <f t="array" aca="1" ref="FD7" ca="1">SUMPRODUCT(
  (ISNUMBER(FD$14:FD$103))*(FD$14:FD$103&gt;0) *
  (IFERROR(VLOOKUP($C$14:$C$103,tblCharacterCapture[[Character Name]:[Covenant]],7,0),"")=$A7) *
  IFERROR(VLOOKUP($C$14:$C$103,tblCharacterCapture[[Character Name]:[City Status]],79,0),0)
)</f>
        <v>0</v>
      </c>
      <c r="FE7" s="38"/>
      <c r="FF7" s="38"/>
      <c r="FG7" s="38"/>
      <c r="FH7" s="38"/>
      <c r="FI7" s="61" cm="1">
        <f t="array" aca="1" ref="FI7" ca="1">SUMPRODUCT(
  (ISNUMBER(FI$14:FI$103))*(FI$14:FI$103&gt;0) *
  (IFERROR(VLOOKUP($C$14:$C$103,tblCharacterCapture[[Character Name]:[Covenant]],7,0),"")=$A7) *
  IFERROR(VLOOKUP($C$14:$C$103,tblCharacterCapture[[Character Name]:[City Status]],79,0),0)
)</f>
        <v>0</v>
      </c>
      <c r="FJ7" s="38"/>
      <c r="FK7" s="38"/>
      <c r="FL7" s="38"/>
      <c r="FM7" s="38"/>
      <c r="FN7" s="61" cm="1">
        <f t="array" aca="1" ref="FN7" ca="1">SUMPRODUCT(
  (ISNUMBER(FN$14:FN$103))*(FN$14:FN$103&gt;0) *
  (IFERROR(VLOOKUP($C$14:$C$103,tblCharacterCapture[[Character Name]:[Covenant]],7,0),"")=$A7) *
  IFERROR(VLOOKUP($C$14:$C$103,tblCharacterCapture[[Character Name]:[City Status]],79,0),0)
)</f>
        <v>0</v>
      </c>
      <c r="FO7" s="38"/>
      <c r="FP7" s="38"/>
      <c r="FQ7" s="38"/>
      <c r="FR7" s="38"/>
      <c r="FS7" s="61" cm="1">
        <f t="array" aca="1" ref="FS7" ca="1">SUMPRODUCT(
  (ISNUMBER(FS$14:FS$103))*(FS$14:FS$103&gt;0) *
  (IFERROR(VLOOKUP($C$14:$C$103,tblCharacterCapture[[Character Name]:[Covenant]],7,0),"")=$A7) *
  IFERROR(VLOOKUP($C$14:$C$103,tblCharacterCapture[[Character Name]:[City Status]],79,0),0)
)</f>
        <v>0</v>
      </c>
      <c r="FT7" s="38"/>
      <c r="FU7" s="38"/>
      <c r="FV7" s="38"/>
      <c r="FW7" s="38"/>
      <c r="FX7" s="61" cm="1">
        <f t="array" aca="1" ref="FX7" ca="1">SUMPRODUCT(
  (ISNUMBER(FX$14:FX$103))*(FX$14:FX$103&gt;0) *
  (IFERROR(VLOOKUP($C$14:$C$103,tblCharacterCapture[[Character Name]:[Covenant]],7,0),"")=$A7) *
  IFERROR(VLOOKUP($C$14:$C$103,tblCharacterCapture[[Character Name]:[City Status]],79,0),0)
)</f>
        <v>0</v>
      </c>
      <c r="FY7" s="38"/>
      <c r="FZ7" s="38"/>
      <c r="GA7" s="38"/>
      <c r="GB7" s="38"/>
      <c r="GC7" s="61" cm="1">
        <f t="array" aca="1" ref="GC7" ca="1">SUMPRODUCT(
  (ISNUMBER(GC$14:GC$103))*(GC$14:GC$103&gt;0) *
  (IFERROR(VLOOKUP($C$14:$C$103,tblCharacterCapture[[Character Name]:[Covenant]],7,0),"")=$A7) *
  IFERROR(VLOOKUP($C$14:$C$103,tblCharacterCapture[[Character Name]:[City Status]],79,0),0)
)</f>
        <v>0</v>
      </c>
      <c r="GD7" s="38"/>
      <c r="GE7" s="38"/>
      <c r="GF7" s="38"/>
    </row>
    <row r="8" spans="1:188">
      <c r="A8" s="15" t="s">
        <v>373</v>
      </c>
      <c r="B8" s="61" cm="1">
        <f t="array" ref="B8">SUMPRODUCT(
  (tblCharacterCapture[Covenant]=A8) *
  tblCharacterCapture[City Status]
)</f>
        <v>17</v>
      </c>
      <c r="C8" s="15" t="s">
        <v>373</v>
      </c>
      <c r="E8" s="61" cm="1">
        <f t="array" aca="1" ref="E8" ca="1">SUMPRODUCT(
  (ISNUMBER(E$14:E$103))*(E$14:E$103&gt;0) *
  (IFERROR(VLOOKUP($C$14:$C$103,tblCharacterCapture[[Character Name]:[Covenant]],7,0),"")=$A8) *
  IFERROR(VLOOKUP($C$14:$C$103,tblCharacterCapture[[Character Name]:[City Status]],79,0),0)
)</f>
        <v>17</v>
      </c>
      <c r="J8" s="61" cm="1">
        <f t="array" aca="1" ref="J8" ca="1">SUMPRODUCT(
  (ISNUMBER(J$14:J$103))*(J$14:J$103&gt;0) *
  (IFERROR(VLOOKUP($C$14:$C$103,tblCharacterCapture[[Character Name]:[Covenant]],7,0),"")=$A8) *
  IFERROR(VLOOKUP($C$14:$C$103,tblCharacterCapture[[Character Name]:[City Status]],79,0),0)
)</f>
        <v>0</v>
      </c>
      <c r="N8" s="38"/>
      <c r="O8" s="61" cm="1">
        <f t="array" aca="1" ref="O8" ca="1">SUMPRODUCT(
  (ISNUMBER(O$14:O$103))*(O$14:O$103&gt;0) *
  (IFERROR(VLOOKUP($C$14:$C$103,tblCharacterCapture[[Character Name]:[Covenant]],7,0),"")=$A8) *
  IFERROR(VLOOKUP($C$14:$C$103,tblCharacterCapture[[Character Name]:[City Status]],79,0),0)
)</f>
        <v>0</v>
      </c>
      <c r="P8" s="38"/>
      <c r="Q8" s="38"/>
      <c r="R8" s="38"/>
      <c r="S8" s="38"/>
      <c r="T8" s="61" cm="1">
        <f t="array" aca="1" ref="T8" ca="1">SUMPRODUCT(
  (ISNUMBER(T$14:T$103))*(T$14:T$103&gt;0) *
  (IFERROR(VLOOKUP($C$14:$C$103,tblCharacterCapture[[Character Name]:[Covenant]],7,0),"")=$A8) *
  IFERROR(VLOOKUP($C$14:$C$103,tblCharacterCapture[[Character Name]:[City Status]],79,0),0)
)</f>
        <v>0</v>
      </c>
      <c r="U8" s="38"/>
      <c r="V8" s="38"/>
      <c r="W8" s="38"/>
      <c r="X8" s="38"/>
      <c r="Y8" s="61" cm="1">
        <f t="array" aca="1" ref="Y8" ca="1">SUMPRODUCT(
  (ISNUMBER(Y$14:Y$103))*(Y$14:Y$103&gt;0) *
  (IFERROR(VLOOKUP($C$14:$C$103,tblCharacterCapture[[Character Name]:[Covenant]],7,0),"")=$A8) *
  IFERROR(VLOOKUP($C$14:$C$103,tblCharacterCapture[[Character Name]:[City Status]],79,0),0)
)</f>
        <v>0</v>
      </c>
      <c r="Z8" s="38"/>
      <c r="AA8" s="38"/>
      <c r="AB8" s="38"/>
      <c r="AC8" s="38"/>
      <c r="AD8" s="61" cm="1">
        <f t="array" aca="1" ref="AD8" ca="1">SUMPRODUCT(
  (ISNUMBER(AD$14:AD$103))*(AD$14:AD$103&gt;0) *
  (IFERROR(VLOOKUP($C$14:$C$103,tblCharacterCapture[[Character Name]:[Covenant]],7,0),"")=$A8) *
  IFERROR(VLOOKUP($C$14:$C$103,tblCharacterCapture[[Character Name]:[City Status]],79,0),0)
)</f>
        <v>0</v>
      </c>
      <c r="AE8" s="38"/>
      <c r="AF8" s="38"/>
      <c r="AG8" s="38"/>
      <c r="AH8" s="38"/>
      <c r="AI8" s="61" cm="1">
        <f t="array" aca="1" ref="AI8" ca="1">SUMPRODUCT(
  (ISNUMBER(AI$14:AI$103))*(AI$14:AI$103&gt;0) *
  (IFERROR(VLOOKUP($C$14:$C$103,tblCharacterCapture[[Character Name]:[Covenant]],7,0),"")=$A8) *
  IFERROR(VLOOKUP($C$14:$C$103,tblCharacterCapture[[Character Name]:[City Status]],79,0),0)
)</f>
        <v>0</v>
      </c>
      <c r="AJ8" s="38"/>
      <c r="AK8" s="38"/>
      <c r="AL8" s="38"/>
      <c r="AM8" s="38"/>
      <c r="AN8" s="61" cm="1">
        <f t="array" aca="1" ref="AN8" ca="1">SUMPRODUCT(
  (ISNUMBER(AN$14:AN$103))*(AN$14:AN$103&gt;0) *
  (IFERROR(VLOOKUP($C$14:$C$103,tblCharacterCapture[[Character Name]:[Covenant]],7,0),"")=$A8) *
  IFERROR(VLOOKUP($C$14:$C$103,tblCharacterCapture[[Character Name]:[City Status]],79,0),0)
)</f>
        <v>0</v>
      </c>
      <c r="AO8" s="38"/>
      <c r="AP8" s="38"/>
      <c r="AQ8" s="38"/>
      <c r="AR8" s="38"/>
      <c r="AS8" s="61" cm="1">
        <f t="array" aca="1" ref="AS8" ca="1">SUMPRODUCT(
  (ISNUMBER(AS$14:AS$103))*(AS$14:AS$103&gt;0) *
  (IFERROR(VLOOKUP($C$14:$C$103,tblCharacterCapture[[Character Name]:[Covenant]],7,0),"")=$A8) *
  IFERROR(VLOOKUP($C$14:$C$103,tblCharacterCapture[[Character Name]:[City Status]],79,0),0)
)</f>
        <v>0</v>
      </c>
      <c r="AT8" s="38"/>
      <c r="AU8" s="38"/>
      <c r="AV8" s="38"/>
      <c r="AW8" s="38"/>
      <c r="AX8" s="61" cm="1">
        <f t="array" aca="1" ref="AX8" ca="1">SUMPRODUCT(
  (ISNUMBER(AX$14:AX$103))*(AX$14:AX$103&gt;0) *
  (IFERROR(VLOOKUP($C$14:$C$103,tblCharacterCapture[[Character Name]:[Covenant]],7,0),"")=$A8) *
  IFERROR(VLOOKUP($C$14:$C$103,tblCharacterCapture[[Character Name]:[City Status]],79,0),0)
)</f>
        <v>0</v>
      </c>
      <c r="AY8" s="38"/>
      <c r="AZ8" s="38"/>
      <c r="BA8" s="38"/>
      <c r="BB8" s="38"/>
      <c r="BC8" s="61" cm="1">
        <f t="array" aca="1" ref="BC8" ca="1">SUMPRODUCT(
  (ISNUMBER(BC$14:BC$103))*(BC$14:BC$103&gt;0) *
  (IFERROR(VLOOKUP($C$14:$C$103,tblCharacterCapture[[Character Name]:[Covenant]],7,0),"")=$A8) *
  IFERROR(VLOOKUP($C$14:$C$103,tblCharacterCapture[[Character Name]:[City Status]],79,0),0)
)</f>
        <v>0</v>
      </c>
      <c r="BD8" s="38"/>
      <c r="BE8" s="38"/>
      <c r="BF8" s="38"/>
      <c r="BG8" s="38"/>
      <c r="BH8" s="61" cm="1">
        <f t="array" aca="1" ref="BH8" ca="1">SUMPRODUCT(
  (ISNUMBER(BH$14:BH$103))*(BH$14:BH$103&gt;0) *
  (IFERROR(VLOOKUP($C$14:$C$103,tblCharacterCapture[[Character Name]:[Covenant]],7,0),"")=$A8) *
  IFERROR(VLOOKUP($C$14:$C$103,tblCharacterCapture[[Character Name]:[City Status]],79,0),0)
)</f>
        <v>0</v>
      </c>
      <c r="BI8" s="38"/>
      <c r="BJ8" s="38"/>
      <c r="BK8" s="38"/>
      <c r="BL8" s="38"/>
      <c r="BM8" s="61" cm="1">
        <f t="array" aca="1" ref="BM8" ca="1">SUMPRODUCT(
  (ISNUMBER(BM$14:BM$103))*(BM$14:BM$103&gt;0) *
  (IFERROR(VLOOKUP($C$14:$C$103,tblCharacterCapture[[Character Name]:[Covenant]],7,0),"")=$A8) *
  IFERROR(VLOOKUP($C$14:$C$103,tblCharacterCapture[[Character Name]:[City Status]],79,0),0)
)</f>
        <v>0</v>
      </c>
      <c r="BN8" s="38"/>
      <c r="BO8" s="38"/>
      <c r="BP8" s="38"/>
      <c r="BQ8" s="38"/>
      <c r="BR8" s="61" cm="1">
        <f t="array" aca="1" ref="BR8" ca="1">SUMPRODUCT(
  (ISNUMBER(BR$14:BR$103))*(BR$14:BR$103&gt;0) *
  (IFERROR(VLOOKUP($C$14:$C$103,tblCharacterCapture[[Character Name]:[Covenant]],7,0),"")=$A8) *
  IFERROR(VLOOKUP($C$14:$C$103,tblCharacterCapture[[Character Name]:[City Status]],79,0),0)
)</f>
        <v>0</v>
      </c>
      <c r="BS8" s="38"/>
      <c r="BT8" s="38"/>
      <c r="BU8" s="38"/>
      <c r="BV8" s="38"/>
      <c r="BW8" s="61" cm="1">
        <f t="array" aca="1" ref="BW8" ca="1">SUMPRODUCT(
  (ISNUMBER(BW$14:BW$103))*(BW$14:BW$103&gt;0) *
  (IFERROR(VLOOKUP($C$14:$C$103,tblCharacterCapture[[Character Name]:[Covenant]],7,0),"")=$A8) *
  IFERROR(VLOOKUP($C$14:$C$103,tblCharacterCapture[[Character Name]:[City Status]],79,0),0)
)</f>
        <v>0</v>
      </c>
      <c r="BX8" s="38"/>
      <c r="BY8" s="38"/>
      <c r="BZ8" s="38"/>
      <c r="CA8" s="38"/>
      <c r="CB8" s="61" cm="1">
        <f t="array" aca="1" ref="CB8" ca="1">SUMPRODUCT(
  (ISNUMBER(CB$14:CB$103))*(CB$14:CB$103&gt;0) *
  (IFERROR(VLOOKUP($C$14:$C$103,tblCharacterCapture[[Character Name]:[Covenant]],7,0),"")=$A8) *
  IFERROR(VLOOKUP($C$14:$C$103,tblCharacterCapture[[Character Name]:[City Status]],79,0),0)
)</f>
        <v>0</v>
      </c>
      <c r="CC8" s="38"/>
      <c r="CD8" s="38"/>
      <c r="CE8" s="38"/>
      <c r="CF8" s="38"/>
      <c r="CG8" s="61" cm="1">
        <f t="array" aca="1" ref="CG8" ca="1">SUMPRODUCT(
  (ISNUMBER(CG$14:CG$103))*(CG$14:CG$103&gt;0) *
  (IFERROR(VLOOKUP($C$14:$C$103,tblCharacterCapture[[Character Name]:[Covenant]],7,0),"")=$A8) *
  IFERROR(VLOOKUP($C$14:$C$103,tblCharacterCapture[[Character Name]:[City Status]],79,0),0)
)</f>
        <v>0</v>
      </c>
      <c r="CH8" s="38"/>
      <c r="CI8" s="38"/>
      <c r="CJ8" s="38"/>
      <c r="CK8" s="38"/>
      <c r="CL8" s="61" cm="1">
        <f t="array" aca="1" ref="CL8" ca="1">SUMPRODUCT(
  (ISNUMBER(CL$14:CL$103))*(CL$14:CL$103&gt;0) *
  (IFERROR(VLOOKUP($C$14:$C$103,tblCharacterCapture[[Character Name]:[Covenant]],7,0),"")=$A8) *
  IFERROR(VLOOKUP($C$14:$C$103,tblCharacterCapture[[Character Name]:[City Status]],79,0),0)
)</f>
        <v>0</v>
      </c>
      <c r="CM8" s="38"/>
      <c r="CN8" s="38"/>
      <c r="CO8" s="38"/>
      <c r="CP8" s="38"/>
      <c r="CQ8" s="61" cm="1">
        <f t="array" aca="1" ref="CQ8" ca="1">SUMPRODUCT(
  (ISNUMBER(CQ$14:CQ$103))*(CQ$14:CQ$103&gt;0) *
  (IFERROR(VLOOKUP($C$14:$C$103,tblCharacterCapture[[Character Name]:[Covenant]],7,0),"")=$A8) *
  IFERROR(VLOOKUP($C$14:$C$103,tblCharacterCapture[[Character Name]:[City Status]],79,0),0)
)</f>
        <v>0</v>
      </c>
      <c r="CR8" s="38"/>
      <c r="CS8" s="38"/>
      <c r="CT8" s="38"/>
      <c r="CU8" s="38"/>
      <c r="CV8" s="61" cm="1">
        <f t="array" aca="1" ref="CV8" ca="1">SUMPRODUCT(
  (ISNUMBER(CV$14:CV$103))*(CV$14:CV$103&gt;0) *
  (IFERROR(VLOOKUP($C$14:$C$103,tblCharacterCapture[[Character Name]:[Covenant]],7,0),"")=$A8) *
  IFERROR(VLOOKUP($C$14:$C$103,tblCharacterCapture[[Character Name]:[City Status]],79,0),0)
)</f>
        <v>0</v>
      </c>
      <c r="CW8" s="38"/>
      <c r="CX8" s="38"/>
      <c r="CY8" s="38"/>
      <c r="CZ8" s="38"/>
      <c r="DA8" s="61" cm="1">
        <f t="array" aca="1" ref="DA8" ca="1">SUMPRODUCT(
  (ISNUMBER(DA$14:DA$103))*(DA$14:DA$103&gt;0) *
  (IFERROR(VLOOKUP($C$14:$C$103,tblCharacterCapture[[Character Name]:[Covenant]],7,0),"")=$A8) *
  IFERROR(VLOOKUP($C$14:$C$103,tblCharacterCapture[[Character Name]:[City Status]],79,0),0)
)</f>
        <v>0</v>
      </c>
      <c r="DB8" s="38"/>
      <c r="DC8" s="38"/>
      <c r="DD8" s="38"/>
      <c r="DE8" s="38"/>
      <c r="DF8" s="61" cm="1">
        <f t="array" aca="1" ref="DF8" ca="1">SUMPRODUCT(
  (ISNUMBER(DF$14:DF$103))*(DF$14:DF$103&gt;0) *
  (IFERROR(VLOOKUP($C$14:$C$103,tblCharacterCapture[[Character Name]:[Covenant]],7,0),"")=$A8) *
  IFERROR(VLOOKUP($C$14:$C$103,tblCharacterCapture[[Character Name]:[City Status]],79,0),0)
)</f>
        <v>0</v>
      </c>
      <c r="DG8" s="38"/>
      <c r="DH8" s="38"/>
      <c r="DI8" s="38"/>
      <c r="DJ8" s="38"/>
      <c r="DK8" s="61" cm="1">
        <f t="array" aca="1" ref="DK8" ca="1">SUMPRODUCT(
  (ISNUMBER(DK$14:DK$103))*(DK$14:DK$103&gt;0) *
  (IFERROR(VLOOKUP($C$14:$C$103,tblCharacterCapture[[Character Name]:[Covenant]],7,0),"")=$A8) *
  IFERROR(VLOOKUP($C$14:$C$103,tblCharacterCapture[[Character Name]:[City Status]],79,0),0)
)</f>
        <v>0</v>
      </c>
      <c r="DL8" s="38"/>
      <c r="DM8" s="38"/>
      <c r="DN8" s="38"/>
      <c r="DO8" s="38"/>
      <c r="DP8" s="61" cm="1">
        <f t="array" aca="1" ref="DP8" ca="1">SUMPRODUCT(
  (ISNUMBER(DP$14:DP$103))*(DP$14:DP$103&gt;0) *
  (IFERROR(VLOOKUP($C$14:$C$103,tblCharacterCapture[[Character Name]:[Covenant]],7,0),"")=$A8) *
  IFERROR(VLOOKUP($C$14:$C$103,tblCharacterCapture[[Character Name]:[City Status]],79,0),0)
)</f>
        <v>0</v>
      </c>
      <c r="DQ8" s="38"/>
      <c r="DR8" s="38"/>
      <c r="DS8" s="38"/>
      <c r="DT8" s="38"/>
      <c r="DU8" s="61" cm="1">
        <f t="array" aca="1" ref="DU8" ca="1">SUMPRODUCT(
  (ISNUMBER(DU$14:DU$103))*(DU$14:DU$103&gt;0) *
  (IFERROR(VLOOKUP($C$14:$C$103,tblCharacterCapture[[Character Name]:[Covenant]],7,0),"")=$A8) *
  IFERROR(VLOOKUP($C$14:$C$103,tblCharacterCapture[[Character Name]:[City Status]],79,0),0)
)</f>
        <v>0</v>
      </c>
      <c r="DV8" s="38"/>
      <c r="DW8" s="38"/>
      <c r="DX8" s="38"/>
      <c r="DY8" s="38"/>
      <c r="DZ8" s="61" cm="1">
        <f t="array" aca="1" ref="DZ8" ca="1">SUMPRODUCT(
  (ISNUMBER(DZ$14:DZ$103))*(DZ$14:DZ$103&gt;0) *
  (IFERROR(VLOOKUP($C$14:$C$103,tblCharacterCapture[[Character Name]:[Covenant]],7,0),"")=$A8) *
  IFERROR(VLOOKUP($C$14:$C$103,tblCharacterCapture[[Character Name]:[City Status]],79,0),0)
)</f>
        <v>0</v>
      </c>
      <c r="EA8" s="38"/>
      <c r="EB8" s="38"/>
      <c r="EC8" s="38"/>
      <c r="ED8" s="38"/>
      <c r="EE8" s="61" cm="1">
        <f t="array" aca="1" ref="EE8" ca="1">SUMPRODUCT(
  (ISNUMBER(EE$14:EE$103))*(EE$14:EE$103&gt;0) *
  (IFERROR(VLOOKUP($C$14:$C$103,tblCharacterCapture[[Character Name]:[Covenant]],7,0),"")=$A8) *
  IFERROR(VLOOKUP($C$14:$C$103,tblCharacterCapture[[Character Name]:[City Status]],79,0),0)
)</f>
        <v>0</v>
      </c>
      <c r="EF8" s="38"/>
      <c r="EG8" s="38"/>
      <c r="EH8" s="38"/>
      <c r="EI8" s="38"/>
      <c r="EJ8" s="61" cm="1">
        <f t="array" aca="1" ref="EJ8" ca="1">SUMPRODUCT(
  (ISNUMBER(EJ$14:EJ$103))*(EJ$14:EJ$103&gt;0) *
  (IFERROR(VLOOKUP($C$14:$C$103,tblCharacterCapture[[Character Name]:[Covenant]],7,0),"")=$A8) *
  IFERROR(VLOOKUP($C$14:$C$103,tblCharacterCapture[[Character Name]:[City Status]],79,0),0)
)</f>
        <v>0</v>
      </c>
      <c r="EK8" s="38"/>
      <c r="EL8" s="38"/>
      <c r="EM8" s="38"/>
      <c r="EN8" s="38"/>
      <c r="EO8" s="61" cm="1">
        <f t="array" aca="1" ref="EO8" ca="1">SUMPRODUCT(
  (ISNUMBER(EO$14:EO$103))*(EO$14:EO$103&gt;0) *
  (IFERROR(VLOOKUP($C$14:$C$103,tblCharacterCapture[[Character Name]:[Covenant]],7,0),"")=$A8) *
  IFERROR(VLOOKUP($C$14:$C$103,tblCharacterCapture[[Character Name]:[City Status]],79,0),0)
)</f>
        <v>0</v>
      </c>
      <c r="EP8" s="38"/>
      <c r="EQ8" s="38"/>
      <c r="ER8" s="38"/>
      <c r="ES8" s="38"/>
      <c r="ET8" s="61" cm="1">
        <f t="array" aca="1" ref="ET8" ca="1">SUMPRODUCT(
  (ISNUMBER(ET$14:ET$103))*(ET$14:ET$103&gt;0) *
  (IFERROR(VLOOKUP($C$14:$C$103,tblCharacterCapture[[Character Name]:[Covenant]],7,0),"")=$A8) *
  IFERROR(VLOOKUP($C$14:$C$103,tblCharacterCapture[[Character Name]:[City Status]],79,0),0)
)</f>
        <v>0</v>
      </c>
      <c r="EU8" s="38"/>
      <c r="EV8" s="38"/>
      <c r="EW8" s="38"/>
      <c r="EX8" s="38"/>
      <c r="EY8" s="61" cm="1">
        <f t="array" aca="1" ref="EY8" ca="1">SUMPRODUCT(
  (ISNUMBER(EY$14:EY$103))*(EY$14:EY$103&gt;0) *
  (IFERROR(VLOOKUP($C$14:$C$103,tblCharacterCapture[[Character Name]:[Covenant]],7,0),"")=$A8) *
  IFERROR(VLOOKUP($C$14:$C$103,tblCharacterCapture[[Character Name]:[City Status]],79,0),0)
)</f>
        <v>0</v>
      </c>
      <c r="EZ8" s="38"/>
      <c r="FA8" s="38"/>
      <c r="FB8" s="38"/>
      <c r="FC8" s="38"/>
      <c r="FD8" s="61" cm="1">
        <f t="array" aca="1" ref="FD8" ca="1">SUMPRODUCT(
  (ISNUMBER(FD$14:FD$103))*(FD$14:FD$103&gt;0) *
  (IFERROR(VLOOKUP($C$14:$C$103,tblCharacterCapture[[Character Name]:[Covenant]],7,0),"")=$A8) *
  IFERROR(VLOOKUP($C$14:$C$103,tblCharacterCapture[[Character Name]:[City Status]],79,0),0)
)</f>
        <v>0</v>
      </c>
      <c r="FE8" s="38"/>
      <c r="FF8" s="38"/>
      <c r="FG8" s="38"/>
      <c r="FH8" s="38"/>
      <c r="FI8" s="61" cm="1">
        <f t="array" aca="1" ref="FI8" ca="1">SUMPRODUCT(
  (ISNUMBER(FI$14:FI$103))*(FI$14:FI$103&gt;0) *
  (IFERROR(VLOOKUP($C$14:$C$103,tblCharacterCapture[[Character Name]:[Covenant]],7,0),"")=$A8) *
  IFERROR(VLOOKUP($C$14:$C$103,tblCharacterCapture[[Character Name]:[City Status]],79,0),0)
)</f>
        <v>0</v>
      </c>
      <c r="FJ8" s="38"/>
      <c r="FK8" s="38"/>
      <c r="FL8" s="38"/>
      <c r="FM8" s="38"/>
      <c r="FN8" s="61" cm="1">
        <f t="array" aca="1" ref="FN8" ca="1">SUMPRODUCT(
  (ISNUMBER(FN$14:FN$103))*(FN$14:FN$103&gt;0) *
  (IFERROR(VLOOKUP($C$14:$C$103,tblCharacterCapture[[Character Name]:[Covenant]],7,0),"")=$A8) *
  IFERROR(VLOOKUP($C$14:$C$103,tblCharacterCapture[[Character Name]:[City Status]],79,0),0)
)</f>
        <v>0</v>
      </c>
      <c r="FO8" s="38"/>
      <c r="FP8" s="38"/>
      <c r="FQ8" s="38"/>
      <c r="FR8" s="38"/>
      <c r="FS8" s="61" cm="1">
        <f t="array" aca="1" ref="FS8" ca="1">SUMPRODUCT(
  (ISNUMBER(FS$14:FS$103))*(FS$14:FS$103&gt;0) *
  (IFERROR(VLOOKUP($C$14:$C$103,tblCharacterCapture[[Character Name]:[Covenant]],7,0),"")=$A8) *
  IFERROR(VLOOKUP($C$14:$C$103,tblCharacterCapture[[Character Name]:[City Status]],79,0),0)
)</f>
        <v>0</v>
      </c>
      <c r="FT8" s="38"/>
      <c r="FU8" s="38"/>
      <c r="FV8" s="38"/>
      <c r="FW8" s="38"/>
      <c r="FX8" s="61" cm="1">
        <f t="array" aca="1" ref="FX8" ca="1">SUMPRODUCT(
  (ISNUMBER(FX$14:FX$103))*(FX$14:FX$103&gt;0) *
  (IFERROR(VLOOKUP($C$14:$C$103,tblCharacterCapture[[Character Name]:[Covenant]],7,0),"")=$A8) *
  IFERROR(VLOOKUP($C$14:$C$103,tblCharacterCapture[[Character Name]:[City Status]],79,0),0)
)</f>
        <v>0</v>
      </c>
      <c r="FY8" s="38"/>
      <c r="FZ8" s="38"/>
      <c r="GA8" s="38"/>
      <c r="GB8" s="38"/>
      <c r="GC8" s="61" cm="1">
        <f t="array" aca="1" ref="GC8" ca="1">SUMPRODUCT(
  (ISNUMBER(GC$14:GC$103))*(GC$14:GC$103&gt;0) *
  (IFERROR(VLOOKUP($C$14:$C$103,tblCharacterCapture[[Character Name]:[Covenant]],7,0),"")=$A8) *
  IFERROR(VLOOKUP($C$14:$C$103,tblCharacterCapture[[Character Name]:[City Status]],79,0),0)
)</f>
        <v>0</v>
      </c>
      <c r="GD8" s="38"/>
      <c r="GE8" s="38"/>
      <c r="GF8" s="38"/>
    </row>
    <row r="9" spans="1:188">
      <c r="A9" s="15" t="s">
        <v>396</v>
      </c>
      <c r="B9" s="61" cm="1">
        <f t="array" ref="B9">SUMPRODUCT(
  (tblCharacterCapture[Covenant]=A9) *
  tblCharacterCapture[City Status]
)</f>
        <v>11</v>
      </c>
      <c r="C9" s="15" t="s">
        <v>396</v>
      </c>
      <c r="E9" s="61" cm="1">
        <f t="array" aca="1" ref="E9" ca="1">SUMPRODUCT(
  (ISNUMBER(E$14:E$103))*(E$14:E$103&gt;0) *
  (IFERROR(VLOOKUP($C$14:$C$103,tblCharacterCapture[[Character Name]:[Covenant]],7,0),"")=$A9) *
  IFERROR(VLOOKUP($C$14:$C$103,tblCharacterCapture[[Character Name]:[City Status]],79,0),0)
)</f>
        <v>9</v>
      </c>
      <c r="J9" s="61" cm="1">
        <f t="array" aca="1" ref="J9" ca="1">SUMPRODUCT(
  (ISNUMBER(J$14:J$103))*(J$14:J$103&gt;0) *
  (IFERROR(VLOOKUP($C$14:$C$103,tblCharacterCapture[[Character Name]:[Covenant]],7,0),"")=$A9) *
  IFERROR(VLOOKUP($C$14:$C$103,tblCharacterCapture[[Character Name]:[City Status]],79,0),0)
)</f>
        <v>0</v>
      </c>
      <c r="N9" s="38"/>
      <c r="O9" s="61" cm="1">
        <f t="array" aca="1" ref="O9" ca="1">SUMPRODUCT(
  (ISNUMBER(O$14:O$103))*(O$14:O$103&gt;0) *
  (IFERROR(VLOOKUP($C$14:$C$103,tblCharacterCapture[[Character Name]:[Covenant]],7,0),"")=$A9) *
  IFERROR(VLOOKUP($C$14:$C$103,tblCharacterCapture[[Character Name]:[City Status]],79,0),0)
)</f>
        <v>0</v>
      </c>
      <c r="P9" s="38"/>
      <c r="Q9" s="38"/>
      <c r="R9" s="38"/>
      <c r="S9" s="38"/>
      <c r="T9" s="61" cm="1">
        <f t="array" aca="1" ref="T9" ca="1">SUMPRODUCT(
  (ISNUMBER(T$14:T$103))*(T$14:T$103&gt;0) *
  (IFERROR(VLOOKUP($C$14:$C$103,tblCharacterCapture[[Character Name]:[Covenant]],7,0),"")=$A9) *
  IFERROR(VLOOKUP($C$14:$C$103,tblCharacterCapture[[Character Name]:[City Status]],79,0),0)
)</f>
        <v>0</v>
      </c>
      <c r="U9" s="38"/>
      <c r="V9" s="38"/>
      <c r="W9" s="38"/>
      <c r="X9" s="38"/>
      <c r="Y9" s="61" cm="1">
        <f t="array" aca="1" ref="Y9" ca="1">SUMPRODUCT(
  (ISNUMBER(Y$14:Y$103))*(Y$14:Y$103&gt;0) *
  (IFERROR(VLOOKUP($C$14:$C$103,tblCharacterCapture[[Character Name]:[Covenant]],7,0),"")=$A9) *
  IFERROR(VLOOKUP($C$14:$C$103,tblCharacterCapture[[Character Name]:[City Status]],79,0),0)
)</f>
        <v>0</v>
      </c>
      <c r="Z9" s="38"/>
      <c r="AA9" s="38"/>
      <c r="AB9" s="38"/>
      <c r="AC9" s="38"/>
      <c r="AD9" s="61" cm="1">
        <f t="array" aca="1" ref="AD9" ca="1">SUMPRODUCT(
  (ISNUMBER(AD$14:AD$103))*(AD$14:AD$103&gt;0) *
  (IFERROR(VLOOKUP($C$14:$C$103,tblCharacterCapture[[Character Name]:[Covenant]],7,0),"")=$A9) *
  IFERROR(VLOOKUP($C$14:$C$103,tblCharacterCapture[[Character Name]:[City Status]],79,0),0)
)</f>
        <v>0</v>
      </c>
      <c r="AE9" s="38"/>
      <c r="AF9" s="38"/>
      <c r="AG9" s="38"/>
      <c r="AH9" s="38"/>
      <c r="AI9" s="61" cm="1">
        <f t="array" aca="1" ref="AI9" ca="1">SUMPRODUCT(
  (ISNUMBER(AI$14:AI$103))*(AI$14:AI$103&gt;0) *
  (IFERROR(VLOOKUP($C$14:$C$103,tblCharacterCapture[[Character Name]:[Covenant]],7,0),"")=$A9) *
  IFERROR(VLOOKUP($C$14:$C$103,tblCharacterCapture[[Character Name]:[City Status]],79,0),0)
)</f>
        <v>0</v>
      </c>
      <c r="AJ9" s="38"/>
      <c r="AK9" s="38"/>
      <c r="AL9" s="38"/>
      <c r="AM9" s="38"/>
      <c r="AN9" s="61" cm="1">
        <f t="array" aca="1" ref="AN9" ca="1">SUMPRODUCT(
  (ISNUMBER(AN$14:AN$103))*(AN$14:AN$103&gt;0) *
  (IFERROR(VLOOKUP($C$14:$C$103,tblCharacterCapture[[Character Name]:[Covenant]],7,0),"")=$A9) *
  IFERROR(VLOOKUP($C$14:$C$103,tblCharacterCapture[[Character Name]:[City Status]],79,0),0)
)</f>
        <v>0</v>
      </c>
      <c r="AO9" s="38"/>
      <c r="AP9" s="38"/>
      <c r="AQ9" s="38"/>
      <c r="AR9" s="38"/>
      <c r="AS9" s="61" cm="1">
        <f t="array" aca="1" ref="AS9" ca="1">SUMPRODUCT(
  (ISNUMBER(AS$14:AS$103))*(AS$14:AS$103&gt;0) *
  (IFERROR(VLOOKUP($C$14:$C$103,tblCharacterCapture[[Character Name]:[Covenant]],7,0),"")=$A9) *
  IFERROR(VLOOKUP($C$14:$C$103,tblCharacterCapture[[Character Name]:[City Status]],79,0),0)
)</f>
        <v>0</v>
      </c>
      <c r="AT9" s="38"/>
      <c r="AU9" s="38"/>
      <c r="AV9" s="38"/>
      <c r="AW9" s="38"/>
      <c r="AX9" s="61" cm="1">
        <f t="array" aca="1" ref="AX9" ca="1">SUMPRODUCT(
  (ISNUMBER(AX$14:AX$103))*(AX$14:AX$103&gt;0) *
  (IFERROR(VLOOKUP($C$14:$C$103,tblCharacterCapture[[Character Name]:[Covenant]],7,0),"")=$A9) *
  IFERROR(VLOOKUP($C$14:$C$103,tblCharacterCapture[[Character Name]:[City Status]],79,0),0)
)</f>
        <v>0</v>
      </c>
      <c r="AY9" s="38"/>
      <c r="AZ9" s="38"/>
      <c r="BA9" s="38"/>
      <c r="BB9" s="38"/>
      <c r="BC9" s="61" cm="1">
        <f t="array" aca="1" ref="BC9" ca="1">SUMPRODUCT(
  (ISNUMBER(BC$14:BC$103))*(BC$14:BC$103&gt;0) *
  (IFERROR(VLOOKUP($C$14:$C$103,tblCharacterCapture[[Character Name]:[Covenant]],7,0),"")=$A9) *
  IFERROR(VLOOKUP($C$14:$C$103,tblCharacterCapture[[Character Name]:[City Status]],79,0),0)
)</f>
        <v>0</v>
      </c>
      <c r="BD9" s="38"/>
      <c r="BE9" s="38"/>
      <c r="BF9" s="38"/>
      <c r="BG9" s="38"/>
      <c r="BH9" s="61" cm="1">
        <f t="array" aca="1" ref="BH9" ca="1">SUMPRODUCT(
  (ISNUMBER(BH$14:BH$103))*(BH$14:BH$103&gt;0) *
  (IFERROR(VLOOKUP($C$14:$C$103,tblCharacterCapture[[Character Name]:[Covenant]],7,0),"")=$A9) *
  IFERROR(VLOOKUP($C$14:$C$103,tblCharacterCapture[[Character Name]:[City Status]],79,0),0)
)</f>
        <v>0</v>
      </c>
      <c r="BI9" s="38"/>
      <c r="BJ9" s="38"/>
      <c r="BK9" s="38"/>
      <c r="BL9" s="38"/>
      <c r="BM9" s="61" cm="1">
        <f t="array" aca="1" ref="BM9" ca="1">SUMPRODUCT(
  (ISNUMBER(BM$14:BM$103))*(BM$14:BM$103&gt;0) *
  (IFERROR(VLOOKUP($C$14:$C$103,tblCharacterCapture[[Character Name]:[Covenant]],7,0),"")=$A9) *
  IFERROR(VLOOKUP($C$14:$C$103,tblCharacterCapture[[Character Name]:[City Status]],79,0),0)
)</f>
        <v>0</v>
      </c>
      <c r="BN9" s="38"/>
      <c r="BO9" s="38"/>
      <c r="BP9" s="38"/>
      <c r="BQ9" s="38"/>
      <c r="BR9" s="61" cm="1">
        <f t="array" aca="1" ref="BR9" ca="1">SUMPRODUCT(
  (ISNUMBER(BR$14:BR$103))*(BR$14:BR$103&gt;0) *
  (IFERROR(VLOOKUP($C$14:$C$103,tblCharacterCapture[[Character Name]:[Covenant]],7,0),"")=$A9) *
  IFERROR(VLOOKUP($C$14:$C$103,tblCharacterCapture[[Character Name]:[City Status]],79,0),0)
)</f>
        <v>0</v>
      </c>
      <c r="BS9" s="38"/>
      <c r="BT9" s="38"/>
      <c r="BU9" s="38"/>
      <c r="BV9" s="38"/>
      <c r="BW9" s="61" cm="1">
        <f t="array" aca="1" ref="BW9" ca="1">SUMPRODUCT(
  (ISNUMBER(BW$14:BW$103))*(BW$14:BW$103&gt;0) *
  (IFERROR(VLOOKUP($C$14:$C$103,tblCharacterCapture[[Character Name]:[Covenant]],7,0),"")=$A9) *
  IFERROR(VLOOKUP($C$14:$C$103,tblCharacterCapture[[Character Name]:[City Status]],79,0),0)
)</f>
        <v>0</v>
      </c>
      <c r="BX9" s="38"/>
      <c r="BY9" s="38"/>
      <c r="BZ9" s="38"/>
      <c r="CA9" s="38"/>
      <c r="CB9" s="61" cm="1">
        <f t="array" aca="1" ref="CB9" ca="1">SUMPRODUCT(
  (ISNUMBER(CB$14:CB$103))*(CB$14:CB$103&gt;0) *
  (IFERROR(VLOOKUP($C$14:$C$103,tblCharacterCapture[[Character Name]:[Covenant]],7,0),"")=$A9) *
  IFERROR(VLOOKUP($C$14:$C$103,tblCharacterCapture[[Character Name]:[City Status]],79,0),0)
)</f>
        <v>0</v>
      </c>
      <c r="CC9" s="38"/>
      <c r="CD9" s="38"/>
      <c r="CE9" s="38"/>
      <c r="CF9" s="38"/>
      <c r="CG9" s="61" cm="1">
        <f t="array" aca="1" ref="CG9" ca="1">SUMPRODUCT(
  (ISNUMBER(CG$14:CG$103))*(CG$14:CG$103&gt;0) *
  (IFERROR(VLOOKUP($C$14:$C$103,tblCharacterCapture[[Character Name]:[Covenant]],7,0),"")=$A9) *
  IFERROR(VLOOKUP($C$14:$C$103,tblCharacterCapture[[Character Name]:[City Status]],79,0),0)
)</f>
        <v>0</v>
      </c>
      <c r="CH9" s="38"/>
      <c r="CI9" s="38"/>
      <c r="CJ9" s="38"/>
      <c r="CK9" s="38"/>
      <c r="CL9" s="61" cm="1">
        <f t="array" aca="1" ref="CL9" ca="1">SUMPRODUCT(
  (ISNUMBER(CL$14:CL$103))*(CL$14:CL$103&gt;0) *
  (IFERROR(VLOOKUP($C$14:$C$103,tblCharacterCapture[[Character Name]:[Covenant]],7,0),"")=$A9) *
  IFERROR(VLOOKUP($C$14:$C$103,tblCharacterCapture[[Character Name]:[City Status]],79,0),0)
)</f>
        <v>0</v>
      </c>
      <c r="CM9" s="38"/>
      <c r="CN9" s="38"/>
      <c r="CO9" s="38"/>
      <c r="CP9" s="38"/>
      <c r="CQ9" s="61" cm="1">
        <f t="array" aca="1" ref="CQ9" ca="1">SUMPRODUCT(
  (ISNUMBER(CQ$14:CQ$103))*(CQ$14:CQ$103&gt;0) *
  (IFERROR(VLOOKUP($C$14:$C$103,tblCharacterCapture[[Character Name]:[Covenant]],7,0),"")=$A9) *
  IFERROR(VLOOKUP($C$14:$C$103,tblCharacterCapture[[Character Name]:[City Status]],79,0),0)
)</f>
        <v>0</v>
      </c>
      <c r="CR9" s="38"/>
      <c r="CS9" s="38"/>
      <c r="CT9" s="38"/>
      <c r="CU9" s="38"/>
      <c r="CV9" s="61" cm="1">
        <f t="array" aca="1" ref="CV9" ca="1">SUMPRODUCT(
  (ISNUMBER(CV$14:CV$103))*(CV$14:CV$103&gt;0) *
  (IFERROR(VLOOKUP($C$14:$C$103,tblCharacterCapture[[Character Name]:[Covenant]],7,0),"")=$A9) *
  IFERROR(VLOOKUP($C$14:$C$103,tblCharacterCapture[[Character Name]:[City Status]],79,0),0)
)</f>
        <v>0</v>
      </c>
      <c r="CW9" s="38"/>
      <c r="CX9" s="38"/>
      <c r="CY9" s="38"/>
      <c r="CZ9" s="38"/>
      <c r="DA9" s="61" cm="1">
        <f t="array" aca="1" ref="DA9" ca="1">SUMPRODUCT(
  (ISNUMBER(DA$14:DA$103))*(DA$14:DA$103&gt;0) *
  (IFERROR(VLOOKUP($C$14:$C$103,tblCharacterCapture[[Character Name]:[Covenant]],7,0),"")=$A9) *
  IFERROR(VLOOKUP($C$14:$C$103,tblCharacterCapture[[Character Name]:[City Status]],79,0),0)
)</f>
        <v>0</v>
      </c>
      <c r="DB9" s="38"/>
      <c r="DC9" s="38"/>
      <c r="DD9" s="38"/>
      <c r="DE9" s="38"/>
      <c r="DF9" s="61" cm="1">
        <f t="array" aca="1" ref="DF9" ca="1">SUMPRODUCT(
  (ISNUMBER(DF$14:DF$103))*(DF$14:DF$103&gt;0) *
  (IFERROR(VLOOKUP($C$14:$C$103,tblCharacterCapture[[Character Name]:[Covenant]],7,0),"")=$A9) *
  IFERROR(VLOOKUP($C$14:$C$103,tblCharacterCapture[[Character Name]:[City Status]],79,0),0)
)</f>
        <v>0</v>
      </c>
      <c r="DG9" s="38"/>
      <c r="DH9" s="38"/>
      <c r="DI9" s="38"/>
      <c r="DJ9" s="38"/>
      <c r="DK9" s="61" cm="1">
        <f t="array" aca="1" ref="DK9" ca="1">SUMPRODUCT(
  (ISNUMBER(DK$14:DK$103))*(DK$14:DK$103&gt;0) *
  (IFERROR(VLOOKUP($C$14:$C$103,tblCharacterCapture[[Character Name]:[Covenant]],7,0),"")=$A9) *
  IFERROR(VLOOKUP($C$14:$C$103,tblCharacterCapture[[Character Name]:[City Status]],79,0),0)
)</f>
        <v>0</v>
      </c>
      <c r="DL9" s="38"/>
      <c r="DM9" s="38"/>
      <c r="DN9" s="38"/>
      <c r="DO9" s="38"/>
      <c r="DP9" s="61" cm="1">
        <f t="array" aca="1" ref="DP9" ca="1">SUMPRODUCT(
  (ISNUMBER(DP$14:DP$103))*(DP$14:DP$103&gt;0) *
  (IFERROR(VLOOKUP($C$14:$C$103,tblCharacterCapture[[Character Name]:[Covenant]],7,0),"")=$A9) *
  IFERROR(VLOOKUP($C$14:$C$103,tblCharacterCapture[[Character Name]:[City Status]],79,0),0)
)</f>
        <v>0</v>
      </c>
      <c r="DQ9" s="38"/>
      <c r="DR9" s="38"/>
      <c r="DS9" s="38"/>
      <c r="DT9" s="38"/>
      <c r="DU9" s="61" cm="1">
        <f t="array" aca="1" ref="DU9" ca="1">SUMPRODUCT(
  (ISNUMBER(DU$14:DU$103))*(DU$14:DU$103&gt;0) *
  (IFERROR(VLOOKUP($C$14:$C$103,tblCharacterCapture[[Character Name]:[Covenant]],7,0),"")=$A9) *
  IFERROR(VLOOKUP($C$14:$C$103,tblCharacterCapture[[Character Name]:[City Status]],79,0),0)
)</f>
        <v>0</v>
      </c>
      <c r="DV9" s="38"/>
      <c r="DW9" s="38"/>
      <c r="DX9" s="38"/>
      <c r="DY9" s="38"/>
      <c r="DZ9" s="61" cm="1">
        <f t="array" aca="1" ref="DZ9" ca="1">SUMPRODUCT(
  (ISNUMBER(DZ$14:DZ$103))*(DZ$14:DZ$103&gt;0) *
  (IFERROR(VLOOKUP($C$14:$C$103,tblCharacterCapture[[Character Name]:[Covenant]],7,0),"")=$A9) *
  IFERROR(VLOOKUP($C$14:$C$103,tblCharacterCapture[[Character Name]:[City Status]],79,0),0)
)</f>
        <v>0</v>
      </c>
      <c r="EA9" s="38"/>
      <c r="EB9" s="38"/>
      <c r="EC9" s="38"/>
      <c r="ED9" s="38"/>
      <c r="EE9" s="61" cm="1">
        <f t="array" aca="1" ref="EE9" ca="1">SUMPRODUCT(
  (ISNUMBER(EE$14:EE$103))*(EE$14:EE$103&gt;0) *
  (IFERROR(VLOOKUP($C$14:$C$103,tblCharacterCapture[[Character Name]:[Covenant]],7,0),"")=$A9) *
  IFERROR(VLOOKUP($C$14:$C$103,tblCharacterCapture[[Character Name]:[City Status]],79,0),0)
)</f>
        <v>0</v>
      </c>
      <c r="EF9" s="38"/>
      <c r="EG9" s="38"/>
      <c r="EH9" s="38"/>
      <c r="EI9" s="38"/>
      <c r="EJ9" s="61" cm="1">
        <f t="array" aca="1" ref="EJ9" ca="1">SUMPRODUCT(
  (ISNUMBER(EJ$14:EJ$103))*(EJ$14:EJ$103&gt;0) *
  (IFERROR(VLOOKUP($C$14:$C$103,tblCharacterCapture[[Character Name]:[Covenant]],7,0),"")=$A9) *
  IFERROR(VLOOKUP($C$14:$C$103,tblCharacterCapture[[Character Name]:[City Status]],79,0),0)
)</f>
        <v>0</v>
      </c>
      <c r="EK9" s="38"/>
      <c r="EL9" s="38"/>
      <c r="EM9" s="38"/>
      <c r="EN9" s="38"/>
      <c r="EO9" s="61" cm="1">
        <f t="array" aca="1" ref="EO9" ca="1">SUMPRODUCT(
  (ISNUMBER(EO$14:EO$103))*(EO$14:EO$103&gt;0) *
  (IFERROR(VLOOKUP($C$14:$C$103,tblCharacterCapture[[Character Name]:[Covenant]],7,0),"")=$A9) *
  IFERROR(VLOOKUP($C$14:$C$103,tblCharacterCapture[[Character Name]:[City Status]],79,0),0)
)</f>
        <v>0</v>
      </c>
      <c r="EP9" s="38"/>
      <c r="EQ9" s="38"/>
      <c r="ER9" s="38"/>
      <c r="ES9" s="38"/>
      <c r="ET9" s="61" cm="1">
        <f t="array" aca="1" ref="ET9" ca="1">SUMPRODUCT(
  (ISNUMBER(ET$14:ET$103))*(ET$14:ET$103&gt;0) *
  (IFERROR(VLOOKUP($C$14:$C$103,tblCharacterCapture[[Character Name]:[Covenant]],7,0),"")=$A9) *
  IFERROR(VLOOKUP($C$14:$C$103,tblCharacterCapture[[Character Name]:[City Status]],79,0),0)
)</f>
        <v>0</v>
      </c>
      <c r="EU9" s="38"/>
      <c r="EV9" s="38"/>
      <c r="EW9" s="38"/>
      <c r="EX9" s="38"/>
      <c r="EY9" s="61" cm="1">
        <f t="array" aca="1" ref="EY9" ca="1">SUMPRODUCT(
  (ISNUMBER(EY$14:EY$103))*(EY$14:EY$103&gt;0) *
  (IFERROR(VLOOKUP($C$14:$C$103,tblCharacterCapture[[Character Name]:[Covenant]],7,0),"")=$A9) *
  IFERROR(VLOOKUP($C$14:$C$103,tblCharacterCapture[[Character Name]:[City Status]],79,0),0)
)</f>
        <v>0</v>
      </c>
      <c r="EZ9" s="38"/>
      <c r="FA9" s="38"/>
      <c r="FB9" s="38"/>
      <c r="FC9" s="38"/>
      <c r="FD9" s="61" cm="1">
        <f t="array" aca="1" ref="FD9" ca="1">SUMPRODUCT(
  (ISNUMBER(FD$14:FD$103))*(FD$14:FD$103&gt;0) *
  (IFERROR(VLOOKUP($C$14:$C$103,tblCharacterCapture[[Character Name]:[Covenant]],7,0),"")=$A9) *
  IFERROR(VLOOKUP($C$14:$C$103,tblCharacterCapture[[Character Name]:[City Status]],79,0),0)
)</f>
        <v>0</v>
      </c>
      <c r="FE9" s="38"/>
      <c r="FF9" s="38"/>
      <c r="FG9" s="38"/>
      <c r="FH9" s="38"/>
      <c r="FI9" s="61" cm="1">
        <f t="array" aca="1" ref="FI9" ca="1">SUMPRODUCT(
  (ISNUMBER(FI$14:FI$103))*(FI$14:FI$103&gt;0) *
  (IFERROR(VLOOKUP($C$14:$C$103,tblCharacterCapture[[Character Name]:[Covenant]],7,0),"")=$A9) *
  IFERROR(VLOOKUP($C$14:$C$103,tblCharacterCapture[[Character Name]:[City Status]],79,0),0)
)</f>
        <v>0</v>
      </c>
      <c r="FJ9" s="38"/>
      <c r="FK9" s="38"/>
      <c r="FL9" s="38"/>
      <c r="FM9" s="38"/>
      <c r="FN9" s="61" cm="1">
        <f t="array" aca="1" ref="FN9" ca="1">SUMPRODUCT(
  (ISNUMBER(FN$14:FN$103))*(FN$14:FN$103&gt;0) *
  (IFERROR(VLOOKUP($C$14:$C$103,tblCharacterCapture[[Character Name]:[Covenant]],7,0),"")=$A9) *
  IFERROR(VLOOKUP($C$14:$C$103,tblCharacterCapture[[Character Name]:[City Status]],79,0),0)
)</f>
        <v>0</v>
      </c>
      <c r="FO9" s="38"/>
      <c r="FP9" s="38"/>
      <c r="FQ9" s="38"/>
      <c r="FR9" s="38"/>
      <c r="FS9" s="61" cm="1">
        <f t="array" aca="1" ref="FS9" ca="1">SUMPRODUCT(
  (ISNUMBER(FS$14:FS$103))*(FS$14:FS$103&gt;0) *
  (IFERROR(VLOOKUP($C$14:$C$103,tblCharacterCapture[[Character Name]:[Covenant]],7,0),"")=$A9) *
  IFERROR(VLOOKUP($C$14:$C$103,tblCharacterCapture[[Character Name]:[City Status]],79,0),0)
)</f>
        <v>0</v>
      </c>
      <c r="FT9" s="38"/>
      <c r="FU9" s="38"/>
      <c r="FV9" s="38"/>
      <c r="FW9" s="38"/>
      <c r="FX9" s="61" cm="1">
        <f t="array" aca="1" ref="FX9" ca="1">SUMPRODUCT(
  (ISNUMBER(FX$14:FX$103))*(FX$14:FX$103&gt;0) *
  (IFERROR(VLOOKUP($C$14:$C$103,tblCharacterCapture[[Character Name]:[Covenant]],7,0),"")=$A9) *
  IFERROR(VLOOKUP($C$14:$C$103,tblCharacterCapture[[Character Name]:[City Status]],79,0),0)
)</f>
        <v>0</v>
      </c>
      <c r="FY9" s="38"/>
      <c r="FZ9" s="38"/>
      <c r="GA9" s="38"/>
      <c r="GB9" s="38"/>
      <c r="GC9" s="61" cm="1">
        <f t="array" aca="1" ref="GC9" ca="1">SUMPRODUCT(
  (ISNUMBER(GC$14:GC$103))*(GC$14:GC$103&gt;0) *
  (IFERROR(VLOOKUP($C$14:$C$103,tblCharacterCapture[[Character Name]:[Covenant]],7,0),"")=$A9) *
  IFERROR(VLOOKUP($C$14:$C$103,tblCharacterCapture[[Character Name]:[City Status]],79,0),0)
)</f>
        <v>0</v>
      </c>
      <c r="GD9" s="38"/>
      <c r="GE9" s="38"/>
      <c r="GF9" s="38"/>
    </row>
    <row r="10" spans="1:188">
      <c r="A10" s="15" t="s">
        <v>556</v>
      </c>
      <c r="B10" s="61" cm="1">
        <f t="array" ref="B10">SUMPRODUCT(
  (tblCharacterCapture[Covenant]=A10) *
  tblCharacterCapture[City Status]
)</f>
        <v>14</v>
      </c>
      <c r="C10" s="15" t="s">
        <v>556</v>
      </c>
      <c r="E10" s="61" cm="1">
        <f t="array" aca="1" ref="E10" ca="1">SUMPRODUCT(
  (ISNUMBER(E$14:E$103))*(E$14:E$103&gt;0) *
  (IFERROR(VLOOKUP($C$14:$C$103,tblCharacterCapture[[Character Name]:[Covenant]],7,0),"")=$A10) *
  IFERROR(VLOOKUP($C$14:$C$103,tblCharacterCapture[[Character Name]:[City Status]],79,0),0)
)</f>
        <v>14</v>
      </c>
      <c r="J10" s="61" cm="1">
        <f t="array" aca="1" ref="J10" ca="1">SUMPRODUCT(
  (ISNUMBER(J$14:J$103))*(J$14:J$103&gt;0) *
  (IFERROR(VLOOKUP($C$14:$C$103,tblCharacterCapture[[Character Name]:[Covenant]],7,0),"")=$A10) *
  IFERROR(VLOOKUP($C$14:$C$103,tblCharacterCapture[[Character Name]:[City Status]],79,0),0)
)</f>
        <v>0</v>
      </c>
      <c r="N10" s="38"/>
      <c r="O10" s="61" cm="1">
        <f t="array" aca="1" ref="O10" ca="1">SUMPRODUCT(
  (ISNUMBER(O$14:O$103))*(O$14:O$103&gt;0) *
  (IFERROR(VLOOKUP($C$14:$C$103,tblCharacterCapture[[Character Name]:[Covenant]],7,0),"")=$A10) *
  IFERROR(VLOOKUP($C$14:$C$103,tblCharacterCapture[[Character Name]:[City Status]],79,0),0)
)</f>
        <v>0</v>
      </c>
      <c r="P10" s="38"/>
      <c r="Q10" s="38"/>
      <c r="R10" s="38"/>
      <c r="S10" s="38"/>
      <c r="T10" s="61" cm="1">
        <f t="array" aca="1" ref="T10" ca="1">SUMPRODUCT(
  (ISNUMBER(T$14:T$103))*(T$14:T$103&gt;0) *
  (IFERROR(VLOOKUP($C$14:$C$103,tblCharacterCapture[[Character Name]:[Covenant]],7,0),"")=$A10) *
  IFERROR(VLOOKUP($C$14:$C$103,tblCharacterCapture[[Character Name]:[City Status]],79,0),0)
)</f>
        <v>0</v>
      </c>
      <c r="U10" s="38"/>
      <c r="V10" s="38"/>
      <c r="W10" s="38"/>
      <c r="X10" s="38"/>
      <c r="Y10" s="61" cm="1">
        <f t="array" aca="1" ref="Y10" ca="1">SUMPRODUCT(
  (ISNUMBER(Y$14:Y$103))*(Y$14:Y$103&gt;0) *
  (IFERROR(VLOOKUP($C$14:$C$103,tblCharacterCapture[[Character Name]:[Covenant]],7,0),"")=$A10) *
  IFERROR(VLOOKUP($C$14:$C$103,tblCharacterCapture[[Character Name]:[City Status]],79,0),0)
)</f>
        <v>0</v>
      </c>
      <c r="Z10" s="38"/>
      <c r="AA10" s="38"/>
      <c r="AB10" s="38"/>
      <c r="AC10" s="38"/>
      <c r="AD10" s="61" cm="1">
        <f t="array" aca="1" ref="AD10" ca="1">SUMPRODUCT(
  (ISNUMBER(AD$14:AD$103))*(AD$14:AD$103&gt;0) *
  (IFERROR(VLOOKUP($C$14:$C$103,tblCharacterCapture[[Character Name]:[Covenant]],7,0),"")=$A10) *
  IFERROR(VLOOKUP($C$14:$C$103,tblCharacterCapture[[Character Name]:[City Status]],79,0),0)
)</f>
        <v>0</v>
      </c>
      <c r="AE10" s="38"/>
      <c r="AF10" s="38"/>
      <c r="AG10" s="38"/>
      <c r="AH10" s="38"/>
      <c r="AI10" s="61" cm="1">
        <f t="array" aca="1" ref="AI10" ca="1">SUMPRODUCT(
  (ISNUMBER(AI$14:AI$103))*(AI$14:AI$103&gt;0) *
  (IFERROR(VLOOKUP($C$14:$C$103,tblCharacterCapture[[Character Name]:[Covenant]],7,0),"")=$A10) *
  IFERROR(VLOOKUP($C$14:$C$103,tblCharacterCapture[[Character Name]:[City Status]],79,0),0)
)</f>
        <v>0</v>
      </c>
      <c r="AJ10" s="38"/>
      <c r="AK10" s="38"/>
      <c r="AL10" s="38"/>
      <c r="AM10" s="38"/>
      <c r="AN10" s="61" cm="1">
        <f t="array" aca="1" ref="AN10" ca="1">SUMPRODUCT(
  (ISNUMBER(AN$14:AN$103))*(AN$14:AN$103&gt;0) *
  (IFERROR(VLOOKUP($C$14:$C$103,tblCharacterCapture[[Character Name]:[Covenant]],7,0),"")=$A10) *
  IFERROR(VLOOKUP($C$14:$C$103,tblCharacterCapture[[Character Name]:[City Status]],79,0),0)
)</f>
        <v>0</v>
      </c>
      <c r="AO10" s="38"/>
      <c r="AP10" s="38"/>
      <c r="AQ10" s="38"/>
      <c r="AR10" s="38"/>
      <c r="AS10" s="61" cm="1">
        <f t="array" aca="1" ref="AS10" ca="1">SUMPRODUCT(
  (ISNUMBER(AS$14:AS$103))*(AS$14:AS$103&gt;0) *
  (IFERROR(VLOOKUP($C$14:$C$103,tblCharacterCapture[[Character Name]:[Covenant]],7,0),"")=$A10) *
  IFERROR(VLOOKUP($C$14:$C$103,tblCharacterCapture[[Character Name]:[City Status]],79,0),0)
)</f>
        <v>0</v>
      </c>
      <c r="AT10" s="38"/>
      <c r="AU10" s="38"/>
      <c r="AV10" s="38"/>
      <c r="AW10" s="38"/>
      <c r="AX10" s="61" cm="1">
        <f t="array" aca="1" ref="AX10" ca="1">SUMPRODUCT(
  (ISNUMBER(AX$14:AX$103))*(AX$14:AX$103&gt;0) *
  (IFERROR(VLOOKUP($C$14:$C$103,tblCharacterCapture[[Character Name]:[Covenant]],7,0),"")=$A10) *
  IFERROR(VLOOKUP($C$14:$C$103,tblCharacterCapture[[Character Name]:[City Status]],79,0),0)
)</f>
        <v>0</v>
      </c>
      <c r="AY10" s="38"/>
      <c r="AZ10" s="38"/>
      <c r="BA10" s="38"/>
      <c r="BB10" s="38"/>
      <c r="BC10" s="61" cm="1">
        <f t="array" aca="1" ref="BC10" ca="1">SUMPRODUCT(
  (ISNUMBER(BC$14:BC$103))*(BC$14:BC$103&gt;0) *
  (IFERROR(VLOOKUP($C$14:$C$103,tblCharacterCapture[[Character Name]:[Covenant]],7,0),"")=$A10) *
  IFERROR(VLOOKUP($C$14:$C$103,tblCharacterCapture[[Character Name]:[City Status]],79,0),0)
)</f>
        <v>0</v>
      </c>
      <c r="BD10" s="38"/>
      <c r="BE10" s="38"/>
      <c r="BF10" s="38"/>
      <c r="BG10" s="38"/>
      <c r="BH10" s="61" cm="1">
        <f t="array" aca="1" ref="BH10" ca="1">SUMPRODUCT(
  (ISNUMBER(BH$14:BH$103))*(BH$14:BH$103&gt;0) *
  (IFERROR(VLOOKUP($C$14:$C$103,tblCharacterCapture[[Character Name]:[Covenant]],7,0),"")=$A10) *
  IFERROR(VLOOKUP($C$14:$C$103,tblCharacterCapture[[Character Name]:[City Status]],79,0),0)
)</f>
        <v>0</v>
      </c>
      <c r="BI10" s="38"/>
      <c r="BJ10" s="38"/>
      <c r="BK10" s="38"/>
      <c r="BL10" s="38"/>
      <c r="BM10" s="61" cm="1">
        <f t="array" aca="1" ref="BM10" ca="1">SUMPRODUCT(
  (ISNUMBER(BM$14:BM$103))*(BM$14:BM$103&gt;0) *
  (IFERROR(VLOOKUP($C$14:$C$103,tblCharacterCapture[[Character Name]:[Covenant]],7,0),"")=$A10) *
  IFERROR(VLOOKUP($C$14:$C$103,tblCharacterCapture[[Character Name]:[City Status]],79,0),0)
)</f>
        <v>0</v>
      </c>
      <c r="BN10" s="38"/>
      <c r="BO10" s="38"/>
      <c r="BP10" s="38"/>
      <c r="BQ10" s="38"/>
      <c r="BR10" s="61" cm="1">
        <f t="array" aca="1" ref="BR10" ca="1">SUMPRODUCT(
  (ISNUMBER(BR$14:BR$103))*(BR$14:BR$103&gt;0) *
  (IFERROR(VLOOKUP($C$14:$C$103,tblCharacterCapture[[Character Name]:[Covenant]],7,0),"")=$A10) *
  IFERROR(VLOOKUP($C$14:$C$103,tblCharacterCapture[[Character Name]:[City Status]],79,0),0)
)</f>
        <v>0</v>
      </c>
      <c r="BS10" s="38"/>
      <c r="BT10" s="38"/>
      <c r="BU10" s="38"/>
      <c r="BV10" s="38"/>
      <c r="BW10" s="61" cm="1">
        <f t="array" aca="1" ref="BW10" ca="1">SUMPRODUCT(
  (ISNUMBER(BW$14:BW$103))*(BW$14:BW$103&gt;0) *
  (IFERROR(VLOOKUP($C$14:$C$103,tblCharacterCapture[[Character Name]:[Covenant]],7,0),"")=$A10) *
  IFERROR(VLOOKUP($C$14:$C$103,tblCharacterCapture[[Character Name]:[City Status]],79,0),0)
)</f>
        <v>0</v>
      </c>
      <c r="BX10" s="38"/>
      <c r="BY10" s="38"/>
      <c r="BZ10" s="38"/>
      <c r="CA10" s="38"/>
      <c r="CB10" s="61" cm="1">
        <f t="array" aca="1" ref="CB10" ca="1">SUMPRODUCT(
  (ISNUMBER(CB$14:CB$103))*(CB$14:CB$103&gt;0) *
  (IFERROR(VLOOKUP($C$14:$C$103,tblCharacterCapture[[Character Name]:[Covenant]],7,0),"")=$A10) *
  IFERROR(VLOOKUP($C$14:$C$103,tblCharacterCapture[[Character Name]:[City Status]],79,0),0)
)</f>
        <v>0</v>
      </c>
      <c r="CC10" s="38"/>
      <c r="CD10" s="38"/>
      <c r="CE10" s="38"/>
      <c r="CF10" s="38"/>
      <c r="CG10" s="61" cm="1">
        <f t="array" aca="1" ref="CG10" ca="1">SUMPRODUCT(
  (ISNUMBER(CG$14:CG$103))*(CG$14:CG$103&gt;0) *
  (IFERROR(VLOOKUP($C$14:$C$103,tblCharacterCapture[[Character Name]:[Covenant]],7,0),"")=$A10) *
  IFERROR(VLOOKUP($C$14:$C$103,tblCharacterCapture[[Character Name]:[City Status]],79,0),0)
)</f>
        <v>0</v>
      </c>
      <c r="CH10" s="38"/>
      <c r="CI10" s="38"/>
      <c r="CJ10" s="38"/>
      <c r="CK10" s="38"/>
      <c r="CL10" s="61" cm="1">
        <f t="array" aca="1" ref="CL10" ca="1">SUMPRODUCT(
  (ISNUMBER(CL$14:CL$103))*(CL$14:CL$103&gt;0) *
  (IFERROR(VLOOKUP($C$14:$C$103,tblCharacterCapture[[Character Name]:[Covenant]],7,0),"")=$A10) *
  IFERROR(VLOOKUP($C$14:$C$103,tblCharacterCapture[[Character Name]:[City Status]],79,0),0)
)</f>
        <v>0</v>
      </c>
      <c r="CM10" s="38"/>
      <c r="CN10" s="38"/>
      <c r="CO10" s="38"/>
      <c r="CP10" s="38"/>
      <c r="CQ10" s="61" cm="1">
        <f t="array" aca="1" ref="CQ10" ca="1">SUMPRODUCT(
  (ISNUMBER(CQ$14:CQ$103))*(CQ$14:CQ$103&gt;0) *
  (IFERROR(VLOOKUP($C$14:$C$103,tblCharacterCapture[[Character Name]:[Covenant]],7,0),"")=$A10) *
  IFERROR(VLOOKUP($C$14:$C$103,tblCharacterCapture[[Character Name]:[City Status]],79,0),0)
)</f>
        <v>0</v>
      </c>
      <c r="CR10" s="38"/>
      <c r="CS10" s="38"/>
      <c r="CT10" s="38"/>
      <c r="CU10" s="38"/>
      <c r="CV10" s="61" cm="1">
        <f t="array" aca="1" ref="CV10" ca="1">SUMPRODUCT(
  (ISNUMBER(CV$14:CV$103))*(CV$14:CV$103&gt;0) *
  (IFERROR(VLOOKUP($C$14:$C$103,tblCharacterCapture[[Character Name]:[Covenant]],7,0),"")=$A10) *
  IFERROR(VLOOKUP($C$14:$C$103,tblCharacterCapture[[Character Name]:[City Status]],79,0),0)
)</f>
        <v>0</v>
      </c>
      <c r="CW10" s="38"/>
      <c r="CX10" s="38"/>
      <c r="CY10" s="38"/>
      <c r="CZ10" s="38"/>
      <c r="DA10" s="61" cm="1">
        <f t="array" aca="1" ref="DA10" ca="1">SUMPRODUCT(
  (ISNUMBER(DA$14:DA$103))*(DA$14:DA$103&gt;0) *
  (IFERROR(VLOOKUP($C$14:$C$103,tblCharacterCapture[[Character Name]:[Covenant]],7,0),"")=$A10) *
  IFERROR(VLOOKUP($C$14:$C$103,tblCharacterCapture[[Character Name]:[City Status]],79,0),0)
)</f>
        <v>0</v>
      </c>
      <c r="DB10" s="38"/>
      <c r="DC10" s="38"/>
      <c r="DD10" s="38"/>
      <c r="DE10" s="38"/>
      <c r="DF10" s="61" cm="1">
        <f t="array" aca="1" ref="DF10" ca="1">SUMPRODUCT(
  (ISNUMBER(DF$14:DF$103))*(DF$14:DF$103&gt;0) *
  (IFERROR(VLOOKUP($C$14:$C$103,tblCharacterCapture[[Character Name]:[Covenant]],7,0),"")=$A10) *
  IFERROR(VLOOKUP($C$14:$C$103,tblCharacterCapture[[Character Name]:[City Status]],79,0),0)
)</f>
        <v>0</v>
      </c>
      <c r="DG10" s="38"/>
      <c r="DH10" s="38"/>
      <c r="DI10" s="38"/>
      <c r="DJ10" s="38"/>
      <c r="DK10" s="61" cm="1">
        <f t="array" aca="1" ref="DK10" ca="1">SUMPRODUCT(
  (ISNUMBER(DK$14:DK$103))*(DK$14:DK$103&gt;0) *
  (IFERROR(VLOOKUP($C$14:$C$103,tblCharacterCapture[[Character Name]:[Covenant]],7,0),"")=$A10) *
  IFERROR(VLOOKUP($C$14:$C$103,tblCharacterCapture[[Character Name]:[City Status]],79,0),0)
)</f>
        <v>0</v>
      </c>
      <c r="DL10" s="38"/>
      <c r="DM10" s="38"/>
      <c r="DN10" s="38"/>
      <c r="DO10" s="38"/>
      <c r="DP10" s="61" cm="1">
        <f t="array" aca="1" ref="DP10" ca="1">SUMPRODUCT(
  (ISNUMBER(DP$14:DP$103))*(DP$14:DP$103&gt;0) *
  (IFERROR(VLOOKUP($C$14:$C$103,tblCharacterCapture[[Character Name]:[Covenant]],7,0),"")=$A10) *
  IFERROR(VLOOKUP($C$14:$C$103,tblCharacterCapture[[Character Name]:[City Status]],79,0),0)
)</f>
        <v>0</v>
      </c>
      <c r="DQ10" s="38"/>
      <c r="DR10" s="38"/>
      <c r="DS10" s="38"/>
      <c r="DT10" s="38"/>
      <c r="DU10" s="61" cm="1">
        <f t="array" aca="1" ref="DU10" ca="1">SUMPRODUCT(
  (ISNUMBER(DU$14:DU$103))*(DU$14:DU$103&gt;0) *
  (IFERROR(VLOOKUP($C$14:$C$103,tblCharacterCapture[[Character Name]:[Covenant]],7,0),"")=$A10) *
  IFERROR(VLOOKUP($C$14:$C$103,tblCharacterCapture[[Character Name]:[City Status]],79,0),0)
)</f>
        <v>0</v>
      </c>
      <c r="DV10" s="38"/>
      <c r="DW10" s="38"/>
      <c r="DX10" s="38"/>
      <c r="DY10" s="38"/>
      <c r="DZ10" s="61" cm="1">
        <f t="array" aca="1" ref="DZ10" ca="1">SUMPRODUCT(
  (ISNUMBER(DZ$14:DZ$103))*(DZ$14:DZ$103&gt;0) *
  (IFERROR(VLOOKUP($C$14:$C$103,tblCharacterCapture[[Character Name]:[Covenant]],7,0),"")=$A10) *
  IFERROR(VLOOKUP($C$14:$C$103,tblCharacterCapture[[Character Name]:[City Status]],79,0),0)
)</f>
        <v>0</v>
      </c>
      <c r="EA10" s="38"/>
      <c r="EB10" s="38"/>
      <c r="EC10" s="38"/>
      <c r="ED10" s="38"/>
      <c r="EE10" s="61" cm="1">
        <f t="array" aca="1" ref="EE10" ca="1">SUMPRODUCT(
  (ISNUMBER(EE$14:EE$103))*(EE$14:EE$103&gt;0) *
  (IFERROR(VLOOKUP($C$14:$C$103,tblCharacterCapture[[Character Name]:[Covenant]],7,0),"")=$A10) *
  IFERROR(VLOOKUP($C$14:$C$103,tblCharacterCapture[[Character Name]:[City Status]],79,0),0)
)</f>
        <v>0</v>
      </c>
      <c r="EF10" s="38"/>
      <c r="EG10" s="38"/>
      <c r="EH10" s="38"/>
      <c r="EI10" s="38"/>
      <c r="EJ10" s="61" cm="1">
        <f t="array" aca="1" ref="EJ10" ca="1">SUMPRODUCT(
  (ISNUMBER(EJ$14:EJ$103))*(EJ$14:EJ$103&gt;0) *
  (IFERROR(VLOOKUP($C$14:$C$103,tblCharacterCapture[[Character Name]:[Covenant]],7,0),"")=$A10) *
  IFERROR(VLOOKUP($C$14:$C$103,tblCharacterCapture[[Character Name]:[City Status]],79,0),0)
)</f>
        <v>0</v>
      </c>
      <c r="EK10" s="38"/>
      <c r="EL10" s="38"/>
      <c r="EM10" s="38"/>
      <c r="EN10" s="38"/>
      <c r="EO10" s="61" cm="1">
        <f t="array" aca="1" ref="EO10" ca="1">SUMPRODUCT(
  (ISNUMBER(EO$14:EO$103))*(EO$14:EO$103&gt;0) *
  (IFERROR(VLOOKUP($C$14:$C$103,tblCharacterCapture[[Character Name]:[Covenant]],7,0),"")=$A10) *
  IFERROR(VLOOKUP($C$14:$C$103,tblCharacterCapture[[Character Name]:[City Status]],79,0),0)
)</f>
        <v>0</v>
      </c>
      <c r="EP10" s="38"/>
      <c r="EQ10" s="38"/>
      <c r="ER10" s="38"/>
      <c r="ES10" s="38"/>
      <c r="ET10" s="61" cm="1">
        <f t="array" aca="1" ref="ET10" ca="1">SUMPRODUCT(
  (ISNUMBER(ET$14:ET$103))*(ET$14:ET$103&gt;0) *
  (IFERROR(VLOOKUP($C$14:$C$103,tblCharacterCapture[[Character Name]:[Covenant]],7,0),"")=$A10) *
  IFERROR(VLOOKUP($C$14:$C$103,tblCharacterCapture[[Character Name]:[City Status]],79,0),0)
)</f>
        <v>0</v>
      </c>
      <c r="EU10" s="38"/>
      <c r="EV10" s="38"/>
      <c r="EW10" s="38"/>
      <c r="EX10" s="38"/>
      <c r="EY10" s="61" cm="1">
        <f t="array" aca="1" ref="EY10" ca="1">SUMPRODUCT(
  (ISNUMBER(EY$14:EY$103))*(EY$14:EY$103&gt;0) *
  (IFERROR(VLOOKUP($C$14:$C$103,tblCharacterCapture[[Character Name]:[Covenant]],7,0),"")=$A10) *
  IFERROR(VLOOKUP($C$14:$C$103,tblCharacterCapture[[Character Name]:[City Status]],79,0),0)
)</f>
        <v>0</v>
      </c>
      <c r="EZ10" s="38"/>
      <c r="FA10" s="38"/>
      <c r="FB10" s="38"/>
      <c r="FC10" s="38"/>
      <c r="FD10" s="61" cm="1">
        <f t="array" aca="1" ref="FD10" ca="1">SUMPRODUCT(
  (ISNUMBER(FD$14:FD$103))*(FD$14:FD$103&gt;0) *
  (IFERROR(VLOOKUP($C$14:$C$103,tblCharacterCapture[[Character Name]:[Covenant]],7,0),"")=$A10) *
  IFERROR(VLOOKUP($C$14:$C$103,tblCharacterCapture[[Character Name]:[City Status]],79,0),0)
)</f>
        <v>0</v>
      </c>
      <c r="FE10" s="38"/>
      <c r="FF10" s="38"/>
      <c r="FG10" s="38"/>
      <c r="FH10" s="38"/>
      <c r="FI10" s="61" cm="1">
        <f t="array" aca="1" ref="FI10" ca="1">SUMPRODUCT(
  (ISNUMBER(FI$14:FI$103))*(FI$14:FI$103&gt;0) *
  (IFERROR(VLOOKUP($C$14:$C$103,tblCharacterCapture[[Character Name]:[Covenant]],7,0),"")=$A10) *
  IFERROR(VLOOKUP($C$14:$C$103,tblCharacterCapture[[Character Name]:[City Status]],79,0),0)
)</f>
        <v>0</v>
      </c>
      <c r="FJ10" s="38"/>
      <c r="FK10" s="38"/>
      <c r="FL10" s="38"/>
      <c r="FM10" s="38"/>
      <c r="FN10" s="61" cm="1">
        <f t="array" aca="1" ref="FN10" ca="1">SUMPRODUCT(
  (ISNUMBER(FN$14:FN$103))*(FN$14:FN$103&gt;0) *
  (IFERROR(VLOOKUP($C$14:$C$103,tblCharacterCapture[[Character Name]:[Covenant]],7,0),"")=$A10) *
  IFERROR(VLOOKUP($C$14:$C$103,tblCharacterCapture[[Character Name]:[City Status]],79,0),0)
)</f>
        <v>0</v>
      </c>
      <c r="FO10" s="38"/>
      <c r="FP10" s="38"/>
      <c r="FQ10" s="38"/>
      <c r="FR10" s="38"/>
      <c r="FS10" s="61" cm="1">
        <f t="array" aca="1" ref="FS10" ca="1">SUMPRODUCT(
  (ISNUMBER(FS$14:FS$103))*(FS$14:FS$103&gt;0) *
  (IFERROR(VLOOKUP($C$14:$C$103,tblCharacterCapture[[Character Name]:[Covenant]],7,0),"")=$A10) *
  IFERROR(VLOOKUP($C$14:$C$103,tblCharacterCapture[[Character Name]:[City Status]],79,0),0)
)</f>
        <v>0</v>
      </c>
      <c r="FT10" s="38"/>
      <c r="FU10" s="38"/>
      <c r="FV10" s="38"/>
      <c r="FW10" s="38"/>
      <c r="FX10" s="61" cm="1">
        <f t="array" aca="1" ref="FX10" ca="1">SUMPRODUCT(
  (ISNUMBER(FX$14:FX$103))*(FX$14:FX$103&gt;0) *
  (IFERROR(VLOOKUP($C$14:$C$103,tblCharacterCapture[[Character Name]:[Covenant]],7,0),"")=$A10) *
  IFERROR(VLOOKUP($C$14:$C$103,tblCharacterCapture[[Character Name]:[City Status]],79,0),0)
)</f>
        <v>0</v>
      </c>
      <c r="FY10" s="38"/>
      <c r="FZ10" s="38"/>
      <c r="GA10" s="38"/>
      <c r="GB10" s="38"/>
      <c r="GC10" s="61" cm="1">
        <f t="array" aca="1" ref="GC10" ca="1">SUMPRODUCT(
  (ISNUMBER(GC$14:GC$103))*(GC$14:GC$103&gt;0) *
  (IFERROR(VLOOKUP($C$14:$C$103,tblCharacterCapture[[Character Name]:[Covenant]],7,0),"")=$A10) *
  IFERROR(VLOOKUP($C$14:$C$103,tblCharacterCapture[[Character Name]:[City Status]],79,0),0)
)</f>
        <v>0</v>
      </c>
      <c r="GD10" s="38"/>
      <c r="GE10" s="38"/>
      <c r="GF10" s="38"/>
    </row>
    <row r="12" spans="1:188">
      <c r="D12" s="31">
        <v>46054</v>
      </c>
      <c r="E12" s="31">
        <v>46054</v>
      </c>
      <c r="F12" s="31">
        <v>46054</v>
      </c>
      <c r="G12" s="31">
        <v>46054</v>
      </c>
      <c r="H12" s="31">
        <v>46054</v>
      </c>
      <c r="I12" s="31">
        <f>EDATE(D12, 1)</f>
        <v>46082</v>
      </c>
      <c r="J12" s="31">
        <f>I12</f>
        <v>46082</v>
      </c>
      <c r="K12" s="31">
        <f>J12</f>
        <v>46082</v>
      </c>
      <c r="L12" s="31">
        <f>J12</f>
        <v>46082</v>
      </c>
      <c r="M12" s="31">
        <f>L12</f>
        <v>46082</v>
      </c>
      <c r="N12" s="31">
        <f>EDATE(I12, 1)</f>
        <v>46113</v>
      </c>
      <c r="O12" s="31">
        <f>N12</f>
        <v>46113</v>
      </c>
      <c r="P12" s="31">
        <f>O12</f>
        <v>46113</v>
      </c>
      <c r="Q12" s="31">
        <f>O12</f>
        <v>46113</v>
      </c>
      <c r="R12" s="31">
        <f>Q12</f>
        <v>46113</v>
      </c>
      <c r="S12" s="31">
        <f>EDATE(N12, 1)</f>
        <v>46143</v>
      </c>
      <c r="T12" s="31">
        <f>S12</f>
        <v>46143</v>
      </c>
      <c r="U12" s="31">
        <f>T12</f>
        <v>46143</v>
      </c>
      <c r="V12" s="31">
        <f>T12</f>
        <v>46143</v>
      </c>
      <c r="W12" s="31">
        <f>V12</f>
        <v>46143</v>
      </c>
      <c r="X12" s="31">
        <f>EDATE(S12, 1)</f>
        <v>46174</v>
      </c>
      <c r="Y12" s="31">
        <f>X12</f>
        <v>46174</v>
      </c>
      <c r="Z12" s="31">
        <f>Y12</f>
        <v>46174</v>
      </c>
      <c r="AA12" s="31">
        <f>Y12</f>
        <v>46174</v>
      </c>
      <c r="AB12" s="31">
        <f>AA12</f>
        <v>46174</v>
      </c>
      <c r="AC12" s="31">
        <f>EDATE(X12, 1)</f>
        <v>46204</v>
      </c>
      <c r="AD12" s="31">
        <f>AC12</f>
        <v>46204</v>
      </c>
      <c r="AE12" s="31">
        <f>AD12</f>
        <v>46204</v>
      </c>
      <c r="AF12" s="31">
        <f>AD12</f>
        <v>46204</v>
      </c>
      <c r="AG12" s="31">
        <f>AF12</f>
        <v>46204</v>
      </c>
      <c r="AH12" s="31">
        <f>EDATE(AC12, 1)</f>
        <v>46235</v>
      </c>
      <c r="AI12" s="31">
        <f>AH12</f>
        <v>46235</v>
      </c>
      <c r="AJ12" s="31">
        <f>AI12</f>
        <v>46235</v>
      </c>
      <c r="AK12" s="31">
        <f>AI12</f>
        <v>46235</v>
      </c>
      <c r="AL12" s="31">
        <f>AK12</f>
        <v>46235</v>
      </c>
      <c r="AM12" s="31">
        <f>EDATE(AH12, 1)</f>
        <v>46266</v>
      </c>
      <c r="AN12" s="31">
        <f>AM12</f>
        <v>46266</v>
      </c>
      <c r="AO12" s="31">
        <f>AN12</f>
        <v>46266</v>
      </c>
      <c r="AP12" s="31">
        <f>AN12</f>
        <v>46266</v>
      </c>
      <c r="AQ12" s="31">
        <f>AP12</f>
        <v>46266</v>
      </c>
      <c r="AR12" s="31">
        <f>EDATE(AM12, 1)</f>
        <v>46296</v>
      </c>
      <c r="AS12" s="31">
        <f>AR12</f>
        <v>46296</v>
      </c>
      <c r="AT12" s="31">
        <f>AS12</f>
        <v>46296</v>
      </c>
      <c r="AU12" s="31">
        <f>AS12</f>
        <v>46296</v>
      </c>
      <c r="AV12" s="31">
        <f>AU12</f>
        <v>46296</v>
      </c>
      <c r="AW12" s="31">
        <f>EDATE(AR12, 1)</f>
        <v>46327</v>
      </c>
      <c r="AX12" s="31">
        <f>AW12</f>
        <v>46327</v>
      </c>
      <c r="AY12" s="31">
        <f>AX12</f>
        <v>46327</v>
      </c>
      <c r="AZ12" s="31">
        <f>AX12</f>
        <v>46327</v>
      </c>
      <c r="BA12" s="31">
        <f>AZ12</f>
        <v>46327</v>
      </c>
      <c r="BB12" s="31">
        <f>EDATE(AW12, 1)</f>
        <v>46357</v>
      </c>
      <c r="BC12" s="31">
        <f>BB12</f>
        <v>46357</v>
      </c>
      <c r="BD12" s="31">
        <f>BC12</f>
        <v>46357</v>
      </c>
      <c r="BE12" s="31">
        <f>BC12</f>
        <v>46357</v>
      </c>
      <c r="BF12" s="31">
        <f>BE12</f>
        <v>46357</v>
      </c>
      <c r="BG12" s="31">
        <f>EDATE(BB12, 1)</f>
        <v>46388</v>
      </c>
      <c r="BH12" s="31">
        <f>BG12</f>
        <v>46388</v>
      </c>
      <c r="BI12" s="31">
        <f>BH12</f>
        <v>46388</v>
      </c>
      <c r="BJ12" s="31">
        <f>BH12</f>
        <v>46388</v>
      </c>
      <c r="BK12" s="31">
        <f>BJ12</f>
        <v>46388</v>
      </c>
      <c r="BL12" s="31">
        <f>EDATE(BG12, 1)</f>
        <v>46419</v>
      </c>
      <c r="BM12" s="31">
        <f>BL12</f>
        <v>46419</v>
      </c>
      <c r="BN12" s="31">
        <f>BM12</f>
        <v>46419</v>
      </c>
      <c r="BO12" s="31">
        <f>BM12</f>
        <v>46419</v>
      </c>
      <c r="BP12" s="31">
        <f>BO12</f>
        <v>46419</v>
      </c>
      <c r="BQ12" s="31">
        <f>EDATE(BL12, 1)</f>
        <v>46447</v>
      </c>
      <c r="BR12" s="31">
        <f>BQ12</f>
        <v>46447</v>
      </c>
      <c r="BS12" s="31">
        <f>BR12</f>
        <v>46447</v>
      </c>
      <c r="BT12" s="31">
        <f>BR12</f>
        <v>46447</v>
      </c>
      <c r="BU12" s="31">
        <f>BT12</f>
        <v>46447</v>
      </c>
      <c r="BV12" s="31">
        <f>EDATE(BQ12, 1)</f>
        <v>46478</v>
      </c>
      <c r="BW12" s="31">
        <f>BV12</f>
        <v>46478</v>
      </c>
      <c r="BX12" s="31">
        <f>BW12</f>
        <v>46478</v>
      </c>
      <c r="BY12" s="31">
        <f>BW12</f>
        <v>46478</v>
      </c>
      <c r="BZ12" s="31">
        <f>BY12</f>
        <v>46478</v>
      </c>
      <c r="CA12" s="31">
        <f>EDATE(BV12, 1)</f>
        <v>46508</v>
      </c>
      <c r="CB12" s="31">
        <f>CA12</f>
        <v>46508</v>
      </c>
      <c r="CC12" s="31">
        <f>CB12</f>
        <v>46508</v>
      </c>
      <c r="CD12" s="31">
        <f>CB12</f>
        <v>46508</v>
      </c>
      <c r="CE12" s="31">
        <f>CD12</f>
        <v>46508</v>
      </c>
      <c r="CF12" s="31">
        <f>EDATE(CA12, 1)</f>
        <v>46539</v>
      </c>
      <c r="CG12" s="31">
        <f>CF12</f>
        <v>46539</v>
      </c>
      <c r="CH12" s="31">
        <f>CG12</f>
        <v>46539</v>
      </c>
      <c r="CI12" s="31">
        <f>CG12</f>
        <v>46539</v>
      </c>
      <c r="CJ12" s="31">
        <f>CI12</f>
        <v>46539</v>
      </c>
      <c r="CK12" s="31">
        <f>EDATE(CF12, 1)</f>
        <v>46569</v>
      </c>
      <c r="CL12" s="31">
        <f>CK12</f>
        <v>46569</v>
      </c>
      <c r="CM12" s="31">
        <f>CL12</f>
        <v>46569</v>
      </c>
      <c r="CN12" s="31">
        <f>CL12</f>
        <v>46569</v>
      </c>
      <c r="CO12" s="31">
        <f>CN12</f>
        <v>46569</v>
      </c>
      <c r="CP12" s="31">
        <f>EDATE(CK12, 1)</f>
        <v>46600</v>
      </c>
      <c r="CQ12" s="31">
        <f>CP12</f>
        <v>46600</v>
      </c>
      <c r="CR12" s="31">
        <f>CQ12</f>
        <v>46600</v>
      </c>
      <c r="CS12" s="31">
        <f>CQ12</f>
        <v>46600</v>
      </c>
      <c r="CT12" s="31">
        <f>CS12</f>
        <v>46600</v>
      </c>
      <c r="CU12" s="31">
        <f>EDATE(CP12, 1)</f>
        <v>46631</v>
      </c>
      <c r="CV12" s="31">
        <f>CU12</f>
        <v>46631</v>
      </c>
      <c r="CW12" s="31">
        <f>CV12</f>
        <v>46631</v>
      </c>
      <c r="CX12" s="31">
        <f>CV12</f>
        <v>46631</v>
      </c>
      <c r="CY12" s="31">
        <f>CX12</f>
        <v>46631</v>
      </c>
      <c r="CZ12" s="31">
        <f>EDATE(CU12, 1)</f>
        <v>46661</v>
      </c>
      <c r="DA12" s="31">
        <f>CZ12</f>
        <v>46661</v>
      </c>
      <c r="DB12" s="31">
        <f>DA12</f>
        <v>46661</v>
      </c>
      <c r="DC12" s="31">
        <f>DA12</f>
        <v>46661</v>
      </c>
      <c r="DD12" s="31">
        <f>DC12</f>
        <v>46661</v>
      </c>
      <c r="DE12" s="31">
        <f>EDATE(CZ12, 1)</f>
        <v>46692</v>
      </c>
      <c r="DF12" s="31">
        <f>DE12</f>
        <v>46692</v>
      </c>
      <c r="DG12" s="31">
        <f>DF12</f>
        <v>46692</v>
      </c>
      <c r="DH12" s="31">
        <f>DF12</f>
        <v>46692</v>
      </c>
      <c r="DI12" s="31">
        <f>DH12</f>
        <v>46692</v>
      </c>
      <c r="DJ12" s="31">
        <f>EDATE(DE12, 1)</f>
        <v>46722</v>
      </c>
      <c r="DK12" s="31">
        <f>DJ12</f>
        <v>46722</v>
      </c>
      <c r="DL12" s="31">
        <f>DK12</f>
        <v>46722</v>
      </c>
      <c r="DM12" s="31">
        <f>DK12</f>
        <v>46722</v>
      </c>
      <c r="DN12" s="31">
        <f>DM12</f>
        <v>46722</v>
      </c>
      <c r="DO12" s="31">
        <f>EDATE(DJ12, 1)</f>
        <v>46753</v>
      </c>
      <c r="DP12" s="31">
        <f>DO12</f>
        <v>46753</v>
      </c>
      <c r="DQ12" s="31">
        <f>DP12</f>
        <v>46753</v>
      </c>
      <c r="DR12" s="31">
        <f>DP12</f>
        <v>46753</v>
      </c>
      <c r="DS12" s="31">
        <f>DR12</f>
        <v>46753</v>
      </c>
      <c r="DT12" s="31">
        <f>EDATE(DO12, 1)</f>
        <v>46784</v>
      </c>
      <c r="DU12" s="31">
        <f>DT12</f>
        <v>46784</v>
      </c>
      <c r="DV12" s="31">
        <f>DU12</f>
        <v>46784</v>
      </c>
      <c r="DW12" s="31">
        <f>DU12</f>
        <v>46784</v>
      </c>
      <c r="DX12" s="31">
        <f>DW12</f>
        <v>46784</v>
      </c>
      <c r="DY12" s="31">
        <f>EDATE(DT12, 1)</f>
        <v>46813</v>
      </c>
      <c r="DZ12" s="31">
        <f>DY12</f>
        <v>46813</v>
      </c>
      <c r="EA12" s="31">
        <f>DZ12</f>
        <v>46813</v>
      </c>
      <c r="EB12" s="31">
        <f>DZ12</f>
        <v>46813</v>
      </c>
      <c r="EC12" s="31">
        <f>EB12</f>
        <v>46813</v>
      </c>
      <c r="ED12" s="31">
        <f>EDATE(DY12, 1)</f>
        <v>46844</v>
      </c>
      <c r="EE12" s="31">
        <f>ED12</f>
        <v>46844</v>
      </c>
      <c r="EF12" s="31">
        <f>EE12</f>
        <v>46844</v>
      </c>
      <c r="EG12" s="31">
        <f>EE12</f>
        <v>46844</v>
      </c>
      <c r="EH12" s="31">
        <f>EG12</f>
        <v>46844</v>
      </c>
      <c r="EI12" s="31">
        <f>EDATE(ED12, 1)</f>
        <v>46874</v>
      </c>
      <c r="EJ12" s="31">
        <f>EI12</f>
        <v>46874</v>
      </c>
      <c r="EK12" s="31">
        <f>EJ12</f>
        <v>46874</v>
      </c>
      <c r="EL12" s="31">
        <f>EJ12</f>
        <v>46874</v>
      </c>
      <c r="EM12" s="31">
        <f>EL12</f>
        <v>46874</v>
      </c>
      <c r="EN12" s="31">
        <f>EDATE(EI12, 1)</f>
        <v>46905</v>
      </c>
      <c r="EO12" s="31">
        <f>EN12</f>
        <v>46905</v>
      </c>
      <c r="EP12" s="31">
        <f>EO12</f>
        <v>46905</v>
      </c>
      <c r="EQ12" s="31">
        <f>EO12</f>
        <v>46905</v>
      </c>
      <c r="ER12" s="31">
        <f>EQ12</f>
        <v>46905</v>
      </c>
      <c r="ES12" s="31">
        <f>EDATE(EN12, 1)</f>
        <v>46935</v>
      </c>
      <c r="ET12" s="31">
        <f>ES12</f>
        <v>46935</v>
      </c>
      <c r="EU12" s="31">
        <f>ET12</f>
        <v>46935</v>
      </c>
      <c r="EV12" s="31">
        <f>ET12</f>
        <v>46935</v>
      </c>
      <c r="EW12" s="31">
        <f>EV12</f>
        <v>46935</v>
      </c>
      <c r="EX12" s="31">
        <f>EDATE(ES12, 1)</f>
        <v>46966</v>
      </c>
      <c r="EY12" s="31">
        <f>EX12</f>
        <v>46966</v>
      </c>
      <c r="EZ12" s="31">
        <f>EY12</f>
        <v>46966</v>
      </c>
      <c r="FA12" s="31">
        <f>EY12</f>
        <v>46966</v>
      </c>
      <c r="FB12" s="31">
        <f>FA12</f>
        <v>46966</v>
      </c>
      <c r="FC12" s="31">
        <f>EDATE(EX12, 1)</f>
        <v>46997</v>
      </c>
      <c r="FD12" s="31">
        <f>FC12</f>
        <v>46997</v>
      </c>
      <c r="FE12" s="31">
        <f>FD12</f>
        <v>46997</v>
      </c>
      <c r="FF12" s="31">
        <f>FD12</f>
        <v>46997</v>
      </c>
      <c r="FG12" s="31">
        <f>FF12</f>
        <v>46997</v>
      </c>
      <c r="FH12" s="31">
        <f>EDATE(FC12, 1)</f>
        <v>47027</v>
      </c>
      <c r="FI12" s="31">
        <f>FH12</f>
        <v>47027</v>
      </c>
      <c r="FJ12" s="31">
        <f>FI12</f>
        <v>47027</v>
      </c>
      <c r="FK12" s="31">
        <f>FI12</f>
        <v>47027</v>
      </c>
      <c r="FL12" s="31">
        <f>FK12</f>
        <v>47027</v>
      </c>
      <c r="FM12" s="31">
        <f>EDATE(FH12, 1)</f>
        <v>47058</v>
      </c>
      <c r="FN12" s="31">
        <f>FM12</f>
        <v>47058</v>
      </c>
      <c r="FO12" s="31">
        <f>FN12</f>
        <v>47058</v>
      </c>
      <c r="FP12" s="31">
        <f>FN12</f>
        <v>47058</v>
      </c>
      <c r="FQ12" s="31">
        <f>FP12</f>
        <v>47058</v>
      </c>
      <c r="FR12" s="31">
        <f>EDATE(FM12, 1)</f>
        <v>47088</v>
      </c>
      <c r="FS12" s="31">
        <f>FR12</f>
        <v>47088</v>
      </c>
      <c r="FT12" s="31">
        <f>FS12</f>
        <v>47088</v>
      </c>
      <c r="FU12" s="31">
        <f>FS12</f>
        <v>47088</v>
      </c>
      <c r="FV12" s="31">
        <f>FU12</f>
        <v>47088</v>
      </c>
      <c r="FW12" s="31">
        <f>EDATE(FR12, 1)</f>
        <v>47119</v>
      </c>
      <c r="FX12" s="31">
        <f>FW12</f>
        <v>47119</v>
      </c>
      <c r="FY12" s="31">
        <f>FX12</f>
        <v>47119</v>
      </c>
      <c r="FZ12" s="31">
        <f>FX12</f>
        <v>47119</v>
      </c>
      <c r="GA12" s="31">
        <f>FZ12</f>
        <v>47119</v>
      </c>
      <c r="GB12" s="31">
        <f>EDATE(FW12, 1)</f>
        <v>47150</v>
      </c>
      <c r="GC12" s="31">
        <f>GB12</f>
        <v>47150</v>
      </c>
      <c r="GD12" s="31">
        <f>GC12</f>
        <v>47150</v>
      </c>
      <c r="GE12" s="31">
        <f>GC12</f>
        <v>47150</v>
      </c>
      <c r="GF12" s="31">
        <f>GE12</f>
        <v>47150</v>
      </c>
    </row>
    <row r="13" spans="1:188">
      <c r="A13" s="29" t="s">
        <v>1343</v>
      </c>
      <c r="B13" s="29" t="s">
        <v>1344</v>
      </c>
      <c r="C13" s="29" t="s">
        <v>1345</v>
      </c>
      <c r="D13" s="44" t="s">
        <v>1346</v>
      </c>
      <c r="E13" s="45" t="s">
        <v>1347</v>
      </c>
      <c r="F13" s="45" t="s">
        <v>1348</v>
      </c>
      <c r="G13" s="45" t="s">
        <v>1349</v>
      </c>
      <c r="H13" s="46" t="s">
        <v>1350</v>
      </c>
      <c r="I13" s="47" t="s">
        <v>1346</v>
      </c>
      <c r="J13" s="45" t="s">
        <v>1347</v>
      </c>
      <c r="K13" s="45" t="s">
        <v>1348</v>
      </c>
      <c r="L13" s="45" t="s">
        <v>1349</v>
      </c>
      <c r="M13" s="46" t="s">
        <v>1350</v>
      </c>
      <c r="N13" s="47" t="s">
        <v>1346</v>
      </c>
      <c r="O13" s="45" t="s">
        <v>1347</v>
      </c>
      <c r="P13" s="45" t="s">
        <v>1348</v>
      </c>
      <c r="Q13" s="45" t="s">
        <v>1349</v>
      </c>
      <c r="R13" s="46" t="s">
        <v>1350</v>
      </c>
      <c r="S13" s="47" t="s">
        <v>1346</v>
      </c>
      <c r="T13" s="45" t="s">
        <v>1347</v>
      </c>
      <c r="U13" s="45" t="s">
        <v>1348</v>
      </c>
      <c r="V13" s="45" t="s">
        <v>1349</v>
      </c>
      <c r="W13" s="46" t="s">
        <v>1350</v>
      </c>
      <c r="X13" s="47" t="s">
        <v>1346</v>
      </c>
      <c r="Y13" s="45" t="s">
        <v>1347</v>
      </c>
      <c r="Z13" s="45" t="s">
        <v>1348</v>
      </c>
      <c r="AA13" s="45" t="s">
        <v>1349</v>
      </c>
      <c r="AB13" s="46" t="s">
        <v>1350</v>
      </c>
      <c r="AC13" s="47" t="s">
        <v>1346</v>
      </c>
      <c r="AD13" s="45" t="s">
        <v>1347</v>
      </c>
      <c r="AE13" s="45" t="s">
        <v>1348</v>
      </c>
      <c r="AF13" s="45" t="s">
        <v>1349</v>
      </c>
      <c r="AG13" s="46" t="s">
        <v>1350</v>
      </c>
      <c r="AH13" s="47" t="s">
        <v>1346</v>
      </c>
      <c r="AI13" s="45" t="s">
        <v>1347</v>
      </c>
      <c r="AJ13" s="45" t="s">
        <v>1348</v>
      </c>
      <c r="AK13" s="45" t="s">
        <v>1349</v>
      </c>
      <c r="AL13" s="46" t="s">
        <v>1350</v>
      </c>
      <c r="AM13" s="47" t="s">
        <v>1346</v>
      </c>
      <c r="AN13" s="45" t="s">
        <v>1347</v>
      </c>
      <c r="AO13" s="45" t="s">
        <v>1348</v>
      </c>
      <c r="AP13" s="45" t="s">
        <v>1349</v>
      </c>
      <c r="AQ13" s="46" t="s">
        <v>1350</v>
      </c>
      <c r="AR13" s="47" t="s">
        <v>1346</v>
      </c>
      <c r="AS13" s="45" t="s">
        <v>1347</v>
      </c>
      <c r="AT13" s="45" t="s">
        <v>1348</v>
      </c>
      <c r="AU13" s="45" t="s">
        <v>1349</v>
      </c>
      <c r="AV13" s="46" t="s">
        <v>1350</v>
      </c>
      <c r="AW13" s="47" t="s">
        <v>1346</v>
      </c>
      <c r="AX13" s="45" t="s">
        <v>1347</v>
      </c>
      <c r="AY13" s="45" t="s">
        <v>1348</v>
      </c>
      <c r="AZ13" s="45" t="s">
        <v>1349</v>
      </c>
      <c r="BA13" s="46" t="s">
        <v>1350</v>
      </c>
      <c r="BB13" s="47" t="s">
        <v>1346</v>
      </c>
      <c r="BC13" s="45" t="s">
        <v>1347</v>
      </c>
      <c r="BD13" s="45" t="s">
        <v>1348</v>
      </c>
      <c r="BE13" s="45" t="s">
        <v>1349</v>
      </c>
      <c r="BF13" s="46" t="s">
        <v>1350</v>
      </c>
      <c r="BG13" s="47" t="s">
        <v>1346</v>
      </c>
      <c r="BH13" s="45" t="s">
        <v>1347</v>
      </c>
      <c r="BI13" s="45" t="s">
        <v>1348</v>
      </c>
      <c r="BJ13" s="45" t="s">
        <v>1349</v>
      </c>
      <c r="BK13" s="46" t="s">
        <v>1350</v>
      </c>
      <c r="BL13" s="47" t="s">
        <v>1346</v>
      </c>
      <c r="BM13" s="45" t="s">
        <v>1347</v>
      </c>
      <c r="BN13" s="45" t="s">
        <v>1348</v>
      </c>
      <c r="BO13" s="45" t="s">
        <v>1349</v>
      </c>
      <c r="BP13" s="46" t="s">
        <v>1350</v>
      </c>
      <c r="BQ13" s="47" t="s">
        <v>1346</v>
      </c>
      <c r="BR13" s="45" t="s">
        <v>1347</v>
      </c>
      <c r="BS13" s="45" t="s">
        <v>1348</v>
      </c>
      <c r="BT13" s="45" t="s">
        <v>1349</v>
      </c>
      <c r="BU13" s="46" t="s">
        <v>1350</v>
      </c>
      <c r="BV13" s="47" t="s">
        <v>1346</v>
      </c>
      <c r="BW13" s="45" t="s">
        <v>1347</v>
      </c>
      <c r="BX13" s="45" t="s">
        <v>1348</v>
      </c>
      <c r="BY13" s="45" t="s">
        <v>1349</v>
      </c>
      <c r="BZ13" s="46" t="s">
        <v>1350</v>
      </c>
      <c r="CA13" s="47" t="s">
        <v>1346</v>
      </c>
      <c r="CB13" s="45" t="s">
        <v>1347</v>
      </c>
      <c r="CC13" s="45" t="s">
        <v>1348</v>
      </c>
      <c r="CD13" s="45" t="s">
        <v>1349</v>
      </c>
      <c r="CE13" s="46" t="s">
        <v>1350</v>
      </c>
      <c r="CF13" s="47" t="s">
        <v>1346</v>
      </c>
      <c r="CG13" s="45" t="s">
        <v>1347</v>
      </c>
      <c r="CH13" s="45" t="s">
        <v>1348</v>
      </c>
      <c r="CI13" s="45" t="s">
        <v>1349</v>
      </c>
      <c r="CJ13" s="46" t="s">
        <v>1350</v>
      </c>
      <c r="CK13" s="47" t="s">
        <v>1346</v>
      </c>
      <c r="CL13" s="45" t="s">
        <v>1347</v>
      </c>
      <c r="CM13" s="45" t="s">
        <v>1348</v>
      </c>
      <c r="CN13" s="45" t="s">
        <v>1349</v>
      </c>
      <c r="CO13" s="46" t="s">
        <v>1350</v>
      </c>
      <c r="CP13" s="47" t="s">
        <v>1346</v>
      </c>
      <c r="CQ13" s="45" t="s">
        <v>1347</v>
      </c>
      <c r="CR13" s="45" t="s">
        <v>1348</v>
      </c>
      <c r="CS13" s="45" t="s">
        <v>1349</v>
      </c>
      <c r="CT13" s="46" t="s">
        <v>1350</v>
      </c>
      <c r="CU13" s="47" t="s">
        <v>1346</v>
      </c>
      <c r="CV13" s="45" t="s">
        <v>1347</v>
      </c>
      <c r="CW13" s="45" t="s">
        <v>1348</v>
      </c>
      <c r="CX13" s="45" t="s">
        <v>1349</v>
      </c>
      <c r="CY13" s="46" t="s">
        <v>1350</v>
      </c>
      <c r="CZ13" s="47" t="s">
        <v>1346</v>
      </c>
      <c r="DA13" s="45" t="s">
        <v>1347</v>
      </c>
      <c r="DB13" s="45" t="s">
        <v>1348</v>
      </c>
      <c r="DC13" s="45" t="s">
        <v>1349</v>
      </c>
      <c r="DD13" s="46" t="s">
        <v>1350</v>
      </c>
      <c r="DE13" s="47" t="s">
        <v>1346</v>
      </c>
      <c r="DF13" s="45" t="s">
        <v>1347</v>
      </c>
      <c r="DG13" s="45" t="s">
        <v>1348</v>
      </c>
      <c r="DH13" s="45" t="s">
        <v>1349</v>
      </c>
      <c r="DI13" s="46" t="s">
        <v>1350</v>
      </c>
      <c r="DJ13" s="47" t="s">
        <v>1346</v>
      </c>
      <c r="DK13" s="45" t="s">
        <v>1347</v>
      </c>
      <c r="DL13" s="45" t="s">
        <v>1348</v>
      </c>
      <c r="DM13" s="45" t="s">
        <v>1349</v>
      </c>
      <c r="DN13" s="46" t="s">
        <v>1350</v>
      </c>
      <c r="DO13" s="47" t="s">
        <v>1346</v>
      </c>
      <c r="DP13" s="45" t="s">
        <v>1347</v>
      </c>
      <c r="DQ13" s="45" t="s">
        <v>1348</v>
      </c>
      <c r="DR13" s="45" t="s">
        <v>1349</v>
      </c>
      <c r="DS13" s="46" t="s">
        <v>1350</v>
      </c>
      <c r="DT13" s="47" t="s">
        <v>1346</v>
      </c>
      <c r="DU13" s="45" t="s">
        <v>1347</v>
      </c>
      <c r="DV13" s="45" t="s">
        <v>1348</v>
      </c>
      <c r="DW13" s="45" t="s">
        <v>1349</v>
      </c>
      <c r="DX13" s="46" t="s">
        <v>1350</v>
      </c>
      <c r="DY13" s="47" t="s">
        <v>1346</v>
      </c>
      <c r="DZ13" s="45" t="s">
        <v>1347</v>
      </c>
      <c r="EA13" s="45" t="s">
        <v>1348</v>
      </c>
      <c r="EB13" s="45" t="s">
        <v>1349</v>
      </c>
      <c r="EC13" s="46" t="s">
        <v>1350</v>
      </c>
      <c r="ED13" s="47" t="s">
        <v>1346</v>
      </c>
      <c r="EE13" s="45" t="s">
        <v>1347</v>
      </c>
      <c r="EF13" s="45" t="s">
        <v>1348</v>
      </c>
      <c r="EG13" s="45" t="s">
        <v>1349</v>
      </c>
      <c r="EH13" s="46" t="s">
        <v>1350</v>
      </c>
      <c r="EI13" s="47" t="s">
        <v>1346</v>
      </c>
      <c r="EJ13" s="45" t="s">
        <v>1347</v>
      </c>
      <c r="EK13" s="45" t="s">
        <v>1348</v>
      </c>
      <c r="EL13" s="45" t="s">
        <v>1349</v>
      </c>
      <c r="EM13" s="46" t="s">
        <v>1350</v>
      </c>
      <c r="EN13" s="47" t="s">
        <v>1346</v>
      </c>
      <c r="EO13" s="45" t="s">
        <v>1347</v>
      </c>
      <c r="EP13" s="45" t="s">
        <v>1348</v>
      </c>
      <c r="EQ13" s="45" t="s">
        <v>1349</v>
      </c>
      <c r="ER13" s="46" t="s">
        <v>1350</v>
      </c>
      <c r="ES13" s="47" t="s">
        <v>1346</v>
      </c>
      <c r="ET13" s="45" t="s">
        <v>1347</v>
      </c>
      <c r="EU13" s="45" t="s">
        <v>1348</v>
      </c>
      <c r="EV13" s="45" t="s">
        <v>1349</v>
      </c>
      <c r="EW13" s="46" t="s">
        <v>1350</v>
      </c>
      <c r="EX13" s="47" t="s">
        <v>1346</v>
      </c>
      <c r="EY13" s="45" t="s">
        <v>1347</v>
      </c>
      <c r="EZ13" s="45" t="s">
        <v>1348</v>
      </c>
      <c r="FA13" s="45" t="s">
        <v>1349</v>
      </c>
      <c r="FB13" s="46" t="s">
        <v>1350</v>
      </c>
      <c r="FC13" s="47" t="s">
        <v>1346</v>
      </c>
      <c r="FD13" s="45" t="s">
        <v>1347</v>
      </c>
      <c r="FE13" s="45" t="s">
        <v>1348</v>
      </c>
      <c r="FF13" s="45" t="s">
        <v>1349</v>
      </c>
      <c r="FG13" s="46" t="s">
        <v>1350</v>
      </c>
      <c r="FH13" s="47" t="s">
        <v>1346</v>
      </c>
      <c r="FI13" s="45" t="s">
        <v>1347</v>
      </c>
      <c r="FJ13" s="45" t="s">
        <v>1348</v>
      </c>
      <c r="FK13" s="45" t="s">
        <v>1349</v>
      </c>
      <c r="FL13" s="46" t="s">
        <v>1350</v>
      </c>
      <c r="FM13" s="47" t="s">
        <v>1346</v>
      </c>
      <c r="FN13" s="45" t="s">
        <v>1347</v>
      </c>
      <c r="FO13" s="45" t="s">
        <v>1348</v>
      </c>
      <c r="FP13" s="45" t="s">
        <v>1349</v>
      </c>
      <c r="FQ13" s="46" t="s">
        <v>1350</v>
      </c>
      <c r="FR13" s="47" t="s">
        <v>1346</v>
      </c>
      <c r="FS13" s="45" t="s">
        <v>1347</v>
      </c>
      <c r="FT13" s="45" t="s">
        <v>1348</v>
      </c>
      <c r="FU13" s="45" t="s">
        <v>1349</v>
      </c>
      <c r="FV13" s="46" t="s">
        <v>1350</v>
      </c>
      <c r="FW13" s="47" t="s">
        <v>1346</v>
      </c>
      <c r="FX13" s="45" t="s">
        <v>1347</v>
      </c>
      <c r="FY13" s="45" t="s">
        <v>1348</v>
      </c>
      <c r="FZ13" s="45" t="s">
        <v>1349</v>
      </c>
      <c r="GA13" s="46" t="s">
        <v>1350</v>
      </c>
      <c r="GB13" s="47" t="s">
        <v>1346</v>
      </c>
      <c r="GC13" s="45" t="s">
        <v>1347</v>
      </c>
      <c r="GD13" s="45" t="s">
        <v>1348</v>
      </c>
      <c r="GE13" s="45" t="s">
        <v>1349</v>
      </c>
      <c r="GF13" s="46" t="s">
        <v>1350</v>
      </c>
    </row>
    <row r="14" spans="1:188">
      <c r="A14" s="18" t="s">
        <v>1351</v>
      </c>
      <c r="B14" s="18" t="str" cm="1">
        <f t="array" aca="1" ref="B14" ca="1">INDIRECT("'" &amp; A14 &amp; "'!F3")</f>
        <v>Katherine H</v>
      </c>
      <c r="C14" s="18" t="str" cm="1">
        <f t="array" aca="1" ref="C14" ca="1">INDIRECT("'" &amp; A14 &amp; "'!F4")</f>
        <v>Alice Vunder</v>
      </c>
      <c r="D14" s="32" t="s">
        <v>1352</v>
      </c>
      <c r="E14" s="33">
        <v>3</v>
      </c>
      <c r="F14" s="33" t="s">
        <v>1353</v>
      </c>
      <c r="G14" s="33"/>
      <c r="H14" s="34" t="s">
        <v>1354</v>
      </c>
      <c r="I14" s="32" t="s">
        <v>1353</v>
      </c>
      <c r="J14" s="33" t="s">
        <v>1353</v>
      </c>
      <c r="K14" s="33"/>
      <c r="L14" s="33" t="s">
        <v>1353</v>
      </c>
      <c r="M14" s="34"/>
      <c r="N14" s="32" t="s">
        <v>1353</v>
      </c>
      <c r="O14" s="33" t="s">
        <v>1353</v>
      </c>
      <c r="P14" s="33"/>
      <c r="Q14" s="33" t="s">
        <v>1353</v>
      </c>
      <c r="R14" s="34"/>
      <c r="S14" s="32" t="s">
        <v>1353</v>
      </c>
      <c r="T14" s="33" t="s">
        <v>1353</v>
      </c>
      <c r="U14" s="33"/>
      <c r="V14" s="33" t="s">
        <v>1353</v>
      </c>
      <c r="W14" s="34"/>
      <c r="X14" s="32" t="s">
        <v>1353</v>
      </c>
      <c r="Y14" s="33" t="s">
        <v>1353</v>
      </c>
      <c r="Z14" s="33"/>
      <c r="AA14" s="33" t="s">
        <v>1353</v>
      </c>
      <c r="AB14" s="34"/>
      <c r="AC14" s="32" t="s">
        <v>1353</v>
      </c>
      <c r="AD14" s="33" t="s">
        <v>1353</v>
      </c>
      <c r="AE14" s="33"/>
      <c r="AF14" s="33" t="s">
        <v>1353</v>
      </c>
      <c r="AG14" s="34"/>
      <c r="AH14" s="32" t="s">
        <v>1353</v>
      </c>
      <c r="AI14" s="33" t="s">
        <v>1353</v>
      </c>
      <c r="AJ14" s="33"/>
      <c r="AK14" s="33" t="s">
        <v>1353</v>
      </c>
      <c r="AL14" s="34"/>
      <c r="AM14" s="32" t="s">
        <v>1353</v>
      </c>
      <c r="AN14" s="33" t="s">
        <v>1353</v>
      </c>
      <c r="AO14" s="33"/>
      <c r="AP14" s="33" t="s">
        <v>1353</v>
      </c>
      <c r="AQ14" s="34"/>
      <c r="AR14" s="32" t="s">
        <v>1353</v>
      </c>
      <c r="AS14" s="33" t="s">
        <v>1353</v>
      </c>
      <c r="AT14" s="33"/>
      <c r="AU14" s="33" t="s">
        <v>1353</v>
      </c>
      <c r="AV14" s="34"/>
      <c r="AW14" s="32" t="s">
        <v>1353</v>
      </c>
      <c r="AX14" s="33" t="s">
        <v>1353</v>
      </c>
      <c r="AY14" s="33"/>
      <c r="AZ14" s="33" t="s">
        <v>1353</v>
      </c>
      <c r="BA14" s="34"/>
      <c r="BB14" s="32" t="s">
        <v>1353</v>
      </c>
      <c r="BC14" s="33" t="s">
        <v>1353</v>
      </c>
      <c r="BD14" s="33"/>
      <c r="BE14" s="33" t="s">
        <v>1353</v>
      </c>
      <c r="BF14" s="34"/>
      <c r="BG14" s="32" t="s">
        <v>1353</v>
      </c>
      <c r="BH14" s="33" t="s">
        <v>1353</v>
      </c>
      <c r="BI14" s="33"/>
      <c r="BJ14" s="33" t="s">
        <v>1353</v>
      </c>
      <c r="BK14" s="34"/>
      <c r="BL14" s="32" t="s">
        <v>1353</v>
      </c>
      <c r="BM14" s="33" t="s">
        <v>1353</v>
      </c>
      <c r="BN14" s="33"/>
      <c r="BO14" s="33" t="s">
        <v>1353</v>
      </c>
      <c r="BP14" s="34"/>
      <c r="BQ14" s="32" t="s">
        <v>1353</v>
      </c>
      <c r="BR14" s="33" t="s">
        <v>1353</v>
      </c>
      <c r="BS14" s="33"/>
      <c r="BT14" s="33" t="s">
        <v>1353</v>
      </c>
      <c r="BU14" s="34"/>
      <c r="BV14" s="32" t="s">
        <v>1353</v>
      </c>
      <c r="BW14" s="33" t="s">
        <v>1353</v>
      </c>
      <c r="BX14" s="33"/>
      <c r="BY14" s="33" t="s">
        <v>1353</v>
      </c>
      <c r="BZ14" s="34"/>
      <c r="CA14" s="32" t="s">
        <v>1353</v>
      </c>
      <c r="CB14" s="33" t="s">
        <v>1353</v>
      </c>
      <c r="CC14" s="33"/>
      <c r="CD14" s="33" t="s">
        <v>1353</v>
      </c>
      <c r="CE14" s="34"/>
      <c r="CF14" s="32" t="s">
        <v>1353</v>
      </c>
      <c r="CG14" s="33" t="s">
        <v>1353</v>
      </c>
      <c r="CH14" s="33"/>
      <c r="CI14" s="33" t="s">
        <v>1353</v>
      </c>
      <c r="CJ14" s="34"/>
      <c r="CK14" s="32" t="s">
        <v>1353</v>
      </c>
      <c r="CL14" s="33" t="s">
        <v>1353</v>
      </c>
      <c r="CM14" s="33"/>
      <c r="CN14" s="33" t="s">
        <v>1353</v>
      </c>
      <c r="CO14" s="34"/>
      <c r="CP14" s="32" t="s">
        <v>1353</v>
      </c>
      <c r="CQ14" s="33" t="s">
        <v>1353</v>
      </c>
      <c r="CR14" s="33"/>
      <c r="CS14" s="33" t="s">
        <v>1353</v>
      </c>
      <c r="CT14" s="34"/>
      <c r="CU14" s="32" t="s">
        <v>1353</v>
      </c>
      <c r="CV14" s="33" t="s">
        <v>1353</v>
      </c>
      <c r="CW14" s="33"/>
      <c r="CX14" s="33" t="s">
        <v>1353</v>
      </c>
      <c r="CY14" s="34"/>
      <c r="CZ14" s="32" t="s">
        <v>1353</v>
      </c>
      <c r="DA14" s="33" t="s">
        <v>1353</v>
      </c>
      <c r="DB14" s="33"/>
      <c r="DC14" s="33" t="s">
        <v>1353</v>
      </c>
      <c r="DD14" s="34"/>
      <c r="DE14" s="32" t="s">
        <v>1353</v>
      </c>
      <c r="DF14" s="33" t="s">
        <v>1353</v>
      </c>
      <c r="DG14" s="33"/>
      <c r="DH14" s="33" t="s">
        <v>1353</v>
      </c>
      <c r="DI14" s="34"/>
      <c r="DJ14" s="32" t="s">
        <v>1353</v>
      </c>
      <c r="DK14" s="33" t="s">
        <v>1353</v>
      </c>
      <c r="DL14" s="33"/>
      <c r="DM14" s="33" t="s">
        <v>1353</v>
      </c>
      <c r="DN14" s="34"/>
      <c r="DO14" s="32" t="s">
        <v>1353</v>
      </c>
      <c r="DP14" s="33" t="s">
        <v>1353</v>
      </c>
      <c r="DQ14" s="33"/>
      <c r="DR14" s="33" t="s">
        <v>1353</v>
      </c>
      <c r="DS14" s="34"/>
      <c r="DT14" s="32" t="s">
        <v>1353</v>
      </c>
      <c r="DU14" s="33" t="s">
        <v>1353</v>
      </c>
      <c r="DV14" s="33"/>
      <c r="DW14" s="33" t="s">
        <v>1353</v>
      </c>
      <c r="DX14" s="34"/>
      <c r="DY14" s="32" t="s">
        <v>1353</v>
      </c>
      <c r="DZ14" s="33" t="s">
        <v>1353</v>
      </c>
      <c r="EA14" s="33"/>
      <c r="EB14" s="33" t="s">
        <v>1353</v>
      </c>
      <c r="EC14" s="34"/>
      <c r="ED14" s="32" t="s">
        <v>1353</v>
      </c>
      <c r="EE14" s="33" t="s">
        <v>1353</v>
      </c>
      <c r="EF14" s="33"/>
      <c r="EG14" s="33" t="s">
        <v>1353</v>
      </c>
      <c r="EH14" s="34"/>
      <c r="EI14" s="32" t="s">
        <v>1353</v>
      </c>
      <c r="EJ14" s="33" t="s">
        <v>1353</v>
      </c>
      <c r="EK14" s="33"/>
      <c r="EL14" s="33" t="s">
        <v>1353</v>
      </c>
      <c r="EM14" s="34"/>
      <c r="EN14" s="32" t="s">
        <v>1353</v>
      </c>
      <c r="EO14" s="33" t="s">
        <v>1353</v>
      </c>
      <c r="EP14" s="33"/>
      <c r="EQ14" s="33" t="s">
        <v>1353</v>
      </c>
      <c r="ER14" s="34"/>
      <c r="ES14" s="32" t="s">
        <v>1353</v>
      </c>
      <c r="ET14" s="33" t="s">
        <v>1353</v>
      </c>
      <c r="EU14" s="33"/>
      <c r="EV14" s="33" t="s">
        <v>1353</v>
      </c>
      <c r="EW14" s="34"/>
      <c r="EX14" s="32" t="s">
        <v>1353</v>
      </c>
      <c r="EY14" s="33" t="s">
        <v>1353</v>
      </c>
      <c r="EZ14" s="33"/>
      <c r="FA14" s="33" t="s">
        <v>1353</v>
      </c>
      <c r="FB14" s="34"/>
      <c r="FC14" s="32" t="s">
        <v>1353</v>
      </c>
      <c r="FD14" s="33" t="s">
        <v>1353</v>
      </c>
      <c r="FE14" s="33"/>
      <c r="FF14" s="33" t="s">
        <v>1353</v>
      </c>
      <c r="FG14" s="34"/>
      <c r="FH14" s="32" t="s">
        <v>1353</v>
      </c>
      <c r="FI14" s="33" t="s">
        <v>1353</v>
      </c>
      <c r="FJ14" s="33"/>
      <c r="FK14" s="33" t="s">
        <v>1353</v>
      </c>
      <c r="FL14" s="34"/>
      <c r="FM14" s="32" t="s">
        <v>1353</v>
      </c>
      <c r="FN14" s="33" t="s">
        <v>1353</v>
      </c>
      <c r="FO14" s="33"/>
      <c r="FP14" s="33" t="s">
        <v>1353</v>
      </c>
      <c r="FQ14" s="34"/>
      <c r="FR14" s="32" t="s">
        <v>1353</v>
      </c>
      <c r="FS14" s="33" t="s">
        <v>1353</v>
      </c>
      <c r="FT14" s="33"/>
      <c r="FU14" s="33" t="s">
        <v>1353</v>
      </c>
      <c r="FV14" s="34"/>
      <c r="FW14" s="32" t="s">
        <v>1353</v>
      </c>
      <c r="FX14" s="33" t="s">
        <v>1353</v>
      </c>
      <c r="FY14" s="33"/>
      <c r="FZ14" s="33" t="s">
        <v>1353</v>
      </c>
      <c r="GA14" s="34"/>
      <c r="GB14" s="32" t="s">
        <v>1353</v>
      </c>
      <c r="GC14" s="33" t="s">
        <v>1353</v>
      </c>
      <c r="GD14" s="33"/>
      <c r="GE14" s="33" t="s">
        <v>1353</v>
      </c>
      <c r="GF14" s="34"/>
    </row>
    <row r="15" spans="1:188">
      <c r="A15" s="18" t="s">
        <v>1355</v>
      </c>
      <c r="B15" s="18" t="str" cm="1">
        <f t="array" aca="1" ref="B15" ca="1">INDIRECT("'" &amp; A15 &amp; "'!F3")</f>
        <v>Katie H</v>
      </c>
      <c r="C15" s="18" t="str" cm="1">
        <f t="array" aca="1" ref="C15" ca="1">INDIRECT("'" &amp; A15 &amp; "'!F4")</f>
        <v>Anichka</v>
      </c>
      <c r="D15" s="32" t="s">
        <v>1356</v>
      </c>
      <c r="E15" s="35">
        <v>3</v>
      </c>
      <c r="F15" s="35" t="s">
        <v>1353</v>
      </c>
      <c r="G15" s="35">
        <v>1</v>
      </c>
      <c r="H15" s="34" t="s">
        <v>1354</v>
      </c>
      <c r="I15" s="32" t="s">
        <v>1353</v>
      </c>
      <c r="J15" s="35" t="s">
        <v>1353</v>
      </c>
      <c r="K15" s="35"/>
      <c r="L15" s="35" t="s">
        <v>1353</v>
      </c>
      <c r="M15" s="34"/>
      <c r="N15" s="32" t="s">
        <v>1353</v>
      </c>
      <c r="O15" s="35" t="s">
        <v>1353</v>
      </c>
      <c r="P15" s="35"/>
      <c r="Q15" s="35" t="s">
        <v>1353</v>
      </c>
      <c r="R15" s="34"/>
      <c r="S15" s="32" t="s">
        <v>1353</v>
      </c>
      <c r="T15" s="35" t="s">
        <v>1353</v>
      </c>
      <c r="U15" s="35"/>
      <c r="V15" s="35" t="s">
        <v>1353</v>
      </c>
      <c r="W15" s="34"/>
      <c r="X15" s="32" t="s">
        <v>1353</v>
      </c>
      <c r="Y15" s="35" t="s">
        <v>1353</v>
      </c>
      <c r="Z15" s="35"/>
      <c r="AA15" s="35" t="s">
        <v>1353</v>
      </c>
      <c r="AB15" s="34"/>
      <c r="AC15" s="32" t="s">
        <v>1353</v>
      </c>
      <c r="AD15" s="35" t="s">
        <v>1353</v>
      </c>
      <c r="AE15" s="35"/>
      <c r="AF15" s="35" t="s">
        <v>1353</v>
      </c>
      <c r="AG15" s="34"/>
      <c r="AH15" s="32" t="s">
        <v>1353</v>
      </c>
      <c r="AI15" s="35" t="s">
        <v>1353</v>
      </c>
      <c r="AJ15" s="35"/>
      <c r="AK15" s="35" t="s">
        <v>1353</v>
      </c>
      <c r="AL15" s="34"/>
      <c r="AM15" s="32" t="s">
        <v>1353</v>
      </c>
      <c r="AN15" s="35" t="s">
        <v>1353</v>
      </c>
      <c r="AO15" s="35"/>
      <c r="AP15" s="35" t="s">
        <v>1353</v>
      </c>
      <c r="AQ15" s="34"/>
      <c r="AR15" s="32" t="s">
        <v>1353</v>
      </c>
      <c r="AS15" s="35" t="s">
        <v>1353</v>
      </c>
      <c r="AT15" s="35"/>
      <c r="AU15" s="35" t="s">
        <v>1353</v>
      </c>
      <c r="AV15" s="34"/>
      <c r="AW15" s="32" t="s">
        <v>1353</v>
      </c>
      <c r="AX15" s="35" t="s">
        <v>1353</v>
      </c>
      <c r="AY15" s="35"/>
      <c r="AZ15" s="35" t="s">
        <v>1353</v>
      </c>
      <c r="BA15" s="34"/>
      <c r="BB15" s="32" t="s">
        <v>1353</v>
      </c>
      <c r="BC15" s="35" t="s">
        <v>1353</v>
      </c>
      <c r="BD15" s="35"/>
      <c r="BE15" s="35" t="s">
        <v>1353</v>
      </c>
      <c r="BF15" s="34"/>
      <c r="BG15" s="32" t="s">
        <v>1353</v>
      </c>
      <c r="BH15" s="35" t="s">
        <v>1353</v>
      </c>
      <c r="BI15" s="35"/>
      <c r="BJ15" s="35" t="s">
        <v>1353</v>
      </c>
      <c r="BK15" s="34"/>
      <c r="BL15" s="32" t="s">
        <v>1353</v>
      </c>
      <c r="BM15" s="35" t="s">
        <v>1353</v>
      </c>
      <c r="BN15" s="35"/>
      <c r="BO15" s="35" t="s">
        <v>1353</v>
      </c>
      <c r="BP15" s="34"/>
      <c r="BQ15" s="32" t="s">
        <v>1353</v>
      </c>
      <c r="BR15" s="35" t="s">
        <v>1353</v>
      </c>
      <c r="BS15" s="35"/>
      <c r="BT15" s="35" t="s">
        <v>1353</v>
      </c>
      <c r="BU15" s="34"/>
      <c r="BV15" s="32" t="s">
        <v>1353</v>
      </c>
      <c r="BW15" s="35" t="s">
        <v>1353</v>
      </c>
      <c r="BX15" s="35"/>
      <c r="BY15" s="35" t="s">
        <v>1353</v>
      </c>
      <c r="BZ15" s="34"/>
      <c r="CA15" s="32" t="s">
        <v>1353</v>
      </c>
      <c r="CB15" s="35" t="s">
        <v>1353</v>
      </c>
      <c r="CC15" s="35"/>
      <c r="CD15" s="35" t="s">
        <v>1353</v>
      </c>
      <c r="CE15" s="34"/>
      <c r="CF15" s="32" t="s">
        <v>1353</v>
      </c>
      <c r="CG15" s="35" t="s">
        <v>1353</v>
      </c>
      <c r="CH15" s="35"/>
      <c r="CI15" s="35" t="s">
        <v>1353</v>
      </c>
      <c r="CJ15" s="34"/>
      <c r="CK15" s="32" t="s">
        <v>1353</v>
      </c>
      <c r="CL15" s="35" t="s">
        <v>1353</v>
      </c>
      <c r="CM15" s="35"/>
      <c r="CN15" s="35" t="s">
        <v>1353</v>
      </c>
      <c r="CO15" s="34"/>
      <c r="CP15" s="32" t="s">
        <v>1353</v>
      </c>
      <c r="CQ15" s="35" t="s">
        <v>1353</v>
      </c>
      <c r="CR15" s="35"/>
      <c r="CS15" s="35" t="s">
        <v>1353</v>
      </c>
      <c r="CT15" s="34"/>
      <c r="CU15" s="32" t="s">
        <v>1353</v>
      </c>
      <c r="CV15" s="35" t="s">
        <v>1353</v>
      </c>
      <c r="CW15" s="35"/>
      <c r="CX15" s="35" t="s">
        <v>1353</v>
      </c>
      <c r="CY15" s="34"/>
      <c r="CZ15" s="32" t="s">
        <v>1353</v>
      </c>
      <c r="DA15" s="35" t="s">
        <v>1353</v>
      </c>
      <c r="DB15" s="35"/>
      <c r="DC15" s="35" t="s">
        <v>1353</v>
      </c>
      <c r="DD15" s="34"/>
      <c r="DE15" s="32" t="s">
        <v>1353</v>
      </c>
      <c r="DF15" s="35" t="s">
        <v>1353</v>
      </c>
      <c r="DG15" s="35"/>
      <c r="DH15" s="35" t="s">
        <v>1353</v>
      </c>
      <c r="DI15" s="34"/>
      <c r="DJ15" s="32" t="s">
        <v>1353</v>
      </c>
      <c r="DK15" s="35" t="s">
        <v>1353</v>
      </c>
      <c r="DL15" s="35"/>
      <c r="DM15" s="35" t="s">
        <v>1353</v>
      </c>
      <c r="DN15" s="34"/>
      <c r="DO15" s="32" t="s">
        <v>1353</v>
      </c>
      <c r="DP15" s="35" t="s">
        <v>1353</v>
      </c>
      <c r="DQ15" s="35"/>
      <c r="DR15" s="35" t="s">
        <v>1353</v>
      </c>
      <c r="DS15" s="34"/>
      <c r="DT15" s="32" t="s">
        <v>1353</v>
      </c>
      <c r="DU15" s="35" t="s">
        <v>1353</v>
      </c>
      <c r="DV15" s="35"/>
      <c r="DW15" s="35" t="s">
        <v>1353</v>
      </c>
      <c r="DX15" s="34"/>
      <c r="DY15" s="32" t="s">
        <v>1353</v>
      </c>
      <c r="DZ15" s="35" t="s">
        <v>1353</v>
      </c>
      <c r="EA15" s="35"/>
      <c r="EB15" s="35" t="s">
        <v>1353</v>
      </c>
      <c r="EC15" s="34"/>
      <c r="ED15" s="32" t="s">
        <v>1353</v>
      </c>
      <c r="EE15" s="35" t="s">
        <v>1353</v>
      </c>
      <c r="EF15" s="35"/>
      <c r="EG15" s="35" t="s">
        <v>1353</v>
      </c>
      <c r="EH15" s="34"/>
      <c r="EI15" s="32" t="s">
        <v>1353</v>
      </c>
      <c r="EJ15" s="35" t="s">
        <v>1353</v>
      </c>
      <c r="EK15" s="35"/>
      <c r="EL15" s="35" t="s">
        <v>1353</v>
      </c>
      <c r="EM15" s="34"/>
      <c r="EN15" s="32" t="s">
        <v>1353</v>
      </c>
      <c r="EO15" s="35" t="s">
        <v>1353</v>
      </c>
      <c r="EP15" s="35"/>
      <c r="EQ15" s="35" t="s">
        <v>1353</v>
      </c>
      <c r="ER15" s="34"/>
      <c r="ES15" s="32" t="s">
        <v>1353</v>
      </c>
      <c r="ET15" s="35" t="s">
        <v>1353</v>
      </c>
      <c r="EU15" s="35"/>
      <c r="EV15" s="35" t="s">
        <v>1353</v>
      </c>
      <c r="EW15" s="34"/>
      <c r="EX15" s="32" t="s">
        <v>1353</v>
      </c>
      <c r="EY15" s="35" t="s">
        <v>1353</v>
      </c>
      <c r="EZ15" s="35"/>
      <c r="FA15" s="35" t="s">
        <v>1353</v>
      </c>
      <c r="FB15" s="34"/>
      <c r="FC15" s="32" t="s">
        <v>1353</v>
      </c>
      <c r="FD15" s="35" t="s">
        <v>1353</v>
      </c>
      <c r="FE15" s="35"/>
      <c r="FF15" s="35" t="s">
        <v>1353</v>
      </c>
      <c r="FG15" s="34"/>
      <c r="FH15" s="32" t="s">
        <v>1353</v>
      </c>
      <c r="FI15" s="35" t="s">
        <v>1353</v>
      </c>
      <c r="FJ15" s="35"/>
      <c r="FK15" s="35" t="s">
        <v>1353</v>
      </c>
      <c r="FL15" s="34"/>
      <c r="FM15" s="32" t="s">
        <v>1353</v>
      </c>
      <c r="FN15" s="35" t="s">
        <v>1353</v>
      </c>
      <c r="FO15" s="35"/>
      <c r="FP15" s="35" t="s">
        <v>1353</v>
      </c>
      <c r="FQ15" s="34"/>
      <c r="FR15" s="32" t="s">
        <v>1353</v>
      </c>
      <c r="FS15" s="35" t="s">
        <v>1353</v>
      </c>
      <c r="FT15" s="35"/>
      <c r="FU15" s="35" t="s">
        <v>1353</v>
      </c>
      <c r="FV15" s="34"/>
      <c r="FW15" s="32" t="s">
        <v>1353</v>
      </c>
      <c r="FX15" s="35" t="s">
        <v>1353</v>
      </c>
      <c r="FY15" s="35"/>
      <c r="FZ15" s="35" t="s">
        <v>1353</v>
      </c>
      <c r="GA15" s="34"/>
      <c r="GB15" s="32" t="s">
        <v>1353</v>
      </c>
      <c r="GC15" s="35" t="s">
        <v>1353</v>
      </c>
      <c r="GD15" s="35"/>
      <c r="GE15" s="35" t="s">
        <v>1353</v>
      </c>
      <c r="GF15" s="34"/>
    </row>
    <row r="16" spans="1:188">
      <c r="A16" s="18" t="s">
        <v>1357</v>
      </c>
      <c r="B16" s="18" t="str" cm="1">
        <f t="array" aca="1" ref="B16" ca="1">INDIRECT("'" &amp; A16 &amp; "'!F3")</f>
        <v>Ashley K</v>
      </c>
      <c r="C16" s="18" t="str" cm="1">
        <f t="array" aca="1" ref="C16" ca="1">INDIRECT("'" &amp; A16 &amp; "'!F4")</f>
        <v>Brandy LaRoux</v>
      </c>
      <c r="D16" s="32" t="s">
        <v>1352</v>
      </c>
      <c r="E16" s="35">
        <v>3</v>
      </c>
      <c r="F16" s="35" t="s">
        <v>1353</v>
      </c>
      <c r="G16" s="35"/>
      <c r="H16" s="34" t="s">
        <v>1354</v>
      </c>
      <c r="I16" s="32" t="s">
        <v>1353</v>
      </c>
      <c r="J16" s="35" t="s">
        <v>1353</v>
      </c>
      <c r="K16" s="35"/>
      <c r="L16" s="35" t="s">
        <v>1353</v>
      </c>
      <c r="M16" s="34"/>
      <c r="N16" s="32" t="s">
        <v>1353</v>
      </c>
      <c r="O16" s="35" t="s">
        <v>1353</v>
      </c>
      <c r="P16" s="35"/>
      <c r="Q16" s="35" t="s">
        <v>1353</v>
      </c>
      <c r="R16" s="34"/>
      <c r="S16" s="32" t="s">
        <v>1353</v>
      </c>
      <c r="T16" s="35" t="s">
        <v>1353</v>
      </c>
      <c r="U16" s="35"/>
      <c r="V16" s="35" t="s">
        <v>1353</v>
      </c>
      <c r="W16" s="34"/>
      <c r="X16" s="32" t="s">
        <v>1353</v>
      </c>
      <c r="Y16" s="35" t="s">
        <v>1353</v>
      </c>
      <c r="Z16" s="35"/>
      <c r="AA16" s="35" t="s">
        <v>1353</v>
      </c>
      <c r="AB16" s="34"/>
      <c r="AC16" s="32" t="s">
        <v>1353</v>
      </c>
      <c r="AD16" s="35" t="s">
        <v>1353</v>
      </c>
      <c r="AE16" s="35"/>
      <c r="AF16" s="35" t="s">
        <v>1353</v>
      </c>
      <c r="AG16" s="34"/>
      <c r="AH16" s="32" t="s">
        <v>1353</v>
      </c>
      <c r="AI16" s="35" t="s">
        <v>1353</v>
      </c>
      <c r="AJ16" s="35"/>
      <c r="AK16" s="35" t="s">
        <v>1353</v>
      </c>
      <c r="AL16" s="34"/>
      <c r="AM16" s="32" t="s">
        <v>1353</v>
      </c>
      <c r="AN16" s="35" t="s">
        <v>1353</v>
      </c>
      <c r="AO16" s="35"/>
      <c r="AP16" s="35" t="s">
        <v>1353</v>
      </c>
      <c r="AQ16" s="34"/>
      <c r="AR16" s="32" t="s">
        <v>1353</v>
      </c>
      <c r="AS16" s="35" t="s">
        <v>1353</v>
      </c>
      <c r="AT16" s="35"/>
      <c r="AU16" s="35" t="s">
        <v>1353</v>
      </c>
      <c r="AV16" s="34"/>
      <c r="AW16" s="32" t="s">
        <v>1353</v>
      </c>
      <c r="AX16" s="35" t="s">
        <v>1353</v>
      </c>
      <c r="AY16" s="35"/>
      <c r="AZ16" s="35" t="s">
        <v>1353</v>
      </c>
      <c r="BA16" s="34"/>
      <c r="BB16" s="32" t="s">
        <v>1353</v>
      </c>
      <c r="BC16" s="35" t="s">
        <v>1353</v>
      </c>
      <c r="BD16" s="35"/>
      <c r="BE16" s="35" t="s">
        <v>1353</v>
      </c>
      <c r="BF16" s="34"/>
      <c r="BG16" s="32" t="s">
        <v>1353</v>
      </c>
      <c r="BH16" s="35" t="s">
        <v>1353</v>
      </c>
      <c r="BI16" s="35"/>
      <c r="BJ16" s="35" t="s">
        <v>1353</v>
      </c>
      <c r="BK16" s="34"/>
      <c r="BL16" s="32" t="s">
        <v>1353</v>
      </c>
      <c r="BM16" s="35" t="s">
        <v>1353</v>
      </c>
      <c r="BN16" s="35"/>
      <c r="BO16" s="35" t="s">
        <v>1353</v>
      </c>
      <c r="BP16" s="34"/>
      <c r="BQ16" s="32" t="s">
        <v>1353</v>
      </c>
      <c r="BR16" s="35" t="s">
        <v>1353</v>
      </c>
      <c r="BS16" s="35"/>
      <c r="BT16" s="35" t="s">
        <v>1353</v>
      </c>
      <c r="BU16" s="34"/>
      <c r="BV16" s="32" t="s">
        <v>1353</v>
      </c>
      <c r="BW16" s="35" t="s">
        <v>1353</v>
      </c>
      <c r="BX16" s="35"/>
      <c r="BY16" s="35" t="s">
        <v>1353</v>
      </c>
      <c r="BZ16" s="34"/>
      <c r="CA16" s="32" t="s">
        <v>1353</v>
      </c>
      <c r="CB16" s="35" t="s">
        <v>1353</v>
      </c>
      <c r="CC16" s="35"/>
      <c r="CD16" s="35" t="s">
        <v>1353</v>
      </c>
      <c r="CE16" s="34"/>
      <c r="CF16" s="32" t="s">
        <v>1353</v>
      </c>
      <c r="CG16" s="35" t="s">
        <v>1353</v>
      </c>
      <c r="CH16" s="35"/>
      <c r="CI16" s="35" t="s">
        <v>1353</v>
      </c>
      <c r="CJ16" s="34"/>
      <c r="CK16" s="32" t="s">
        <v>1353</v>
      </c>
      <c r="CL16" s="35" t="s">
        <v>1353</v>
      </c>
      <c r="CM16" s="35"/>
      <c r="CN16" s="35" t="s">
        <v>1353</v>
      </c>
      <c r="CO16" s="34"/>
      <c r="CP16" s="32" t="s">
        <v>1353</v>
      </c>
      <c r="CQ16" s="35" t="s">
        <v>1353</v>
      </c>
      <c r="CR16" s="35"/>
      <c r="CS16" s="35" t="s">
        <v>1353</v>
      </c>
      <c r="CT16" s="34"/>
      <c r="CU16" s="32" t="s">
        <v>1353</v>
      </c>
      <c r="CV16" s="35" t="s">
        <v>1353</v>
      </c>
      <c r="CW16" s="35"/>
      <c r="CX16" s="35" t="s">
        <v>1353</v>
      </c>
      <c r="CY16" s="34"/>
      <c r="CZ16" s="32" t="s">
        <v>1353</v>
      </c>
      <c r="DA16" s="35" t="s">
        <v>1353</v>
      </c>
      <c r="DB16" s="35"/>
      <c r="DC16" s="35" t="s">
        <v>1353</v>
      </c>
      <c r="DD16" s="34"/>
      <c r="DE16" s="32" t="s">
        <v>1353</v>
      </c>
      <c r="DF16" s="35" t="s">
        <v>1353</v>
      </c>
      <c r="DG16" s="35"/>
      <c r="DH16" s="35" t="s">
        <v>1353</v>
      </c>
      <c r="DI16" s="34"/>
      <c r="DJ16" s="32" t="s">
        <v>1353</v>
      </c>
      <c r="DK16" s="35" t="s">
        <v>1353</v>
      </c>
      <c r="DL16" s="35"/>
      <c r="DM16" s="35" t="s">
        <v>1353</v>
      </c>
      <c r="DN16" s="34"/>
      <c r="DO16" s="32" t="s">
        <v>1353</v>
      </c>
      <c r="DP16" s="35" t="s">
        <v>1353</v>
      </c>
      <c r="DQ16" s="35"/>
      <c r="DR16" s="35" t="s">
        <v>1353</v>
      </c>
      <c r="DS16" s="34"/>
      <c r="DT16" s="32" t="s">
        <v>1353</v>
      </c>
      <c r="DU16" s="35" t="s">
        <v>1353</v>
      </c>
      <c r="DV16" s="35"/>
      <c r="DW16" s="35" t="s">
        <v>1353</v>
      </c>
      <c r="DX16" s="34"/>
      <c r="DY16" s="32" t="s">
        <v>1353</v>
      </c>
      <c r="DZ16" s="35" t="s">
        <v>1353</v>
      </c>
      <c r="EA16" s="35"/>
      <c r="EB16" s="35" t="s">
        <v>1353</v>
      </c>
      <c r="EC16" s="34"/>
      <c r="ED16" s="32" t="s">
        <v>1353</v>
      </c>
      <c r="EE16" s="35" t="s">
        <v>1353</v>
      </c>
      <c r="EF16" s="35"/>
      <c r="EG16" s="35" t="s">
        <v>1353</v>
      </c>
      <c r="EH16" s="34"/>
      <c r="EI16" s="32" t="s">
        <v>1353</v>
      </c>
      <c r="EJ16" s="35" t="s">
        <v>1353</v>
      </c>
      <c r="EK16" s="35"/>
      <c r="EL16" s="35" t="s">
        <v>1353</v>
      </c>
      <c r="EM16" s="34"/>
      <c r="EN16" s="32" t="s">
        <v>1353</v>
      </c>
      <c r="EO16" s="35" t="s">
        <v>1353</v>
      </c>
      <c r="EP16" s="35"/>
      <c r="EQ16" s="35" t="s">
        <v>1353</v>
      </c>
      <c r="ER16" s="34"/>
      <c r="ES16" s="32" t="s">
        <v>1353</v>
      </c>
      <c r="ET16" s="35" t="s">
        <v>1353</v>
      </c>
      <c r="EU16" s="35"/>
      <c r="EV16" s="35" t="s">
        <v>1353</v>
      </c>
      <c r="EW16" s="34"/>
      <c r="EX16" s="32" t="s">
        <v>1353</v>
      </c>
      <c r="EY16" s="35" t="s">
        <v>1353</v>
      </c>
      <c r="EZ16" s="35"/>
      <c r="FA16" s="35" t="s">
        <v>1353</v>
      </c>
      <c r="FB16" s="34"/>
      <c r="FC16" s="32" t="s">
        <v>1353</v>
      </c>
      <c r="FD16" s="35" t="s">
        <v>1353</v>
      </c>
      <c r="FE16" s="35"/>
      <c r="FF16" s="35" t="s">
        <v>1353</v>
      </c>
      <c r="FG16" s="34"/>
      <c r="FH16" s="32" t="s">
        <v>1353</v>
      </c>
      <c r="FI16" s="35" t="s">
        <v>1353</v>
      </c>
      <c r="FJ16" s="35"/>
      <c r="FK16" s="35" t="s">
        <v>1353</v>
      </c>
      <c r="FL16" s="34"/>
      <c r="FM16" s="32" t="s">
        <v>1353</v>
      </c>
      <c r="FN16" s="35" t="s">
        <v>1353</v>
      </c>
      <c r="FO16" s="35"/>
      <c r="FP16" s="35" t="s">
        <v>1353</v>
      </c>
      <c r="FQ16" s="34"/>
      <c r="FR16" s="32" t="s">
        <v>1353</v>
      </c>
      <c r="FS16" s="35" t="s">
        <v>1353</v>
      </c>
      <c r="FT16" s="35"/>
      <c r="FU16" s="35" t="s">
        <v>1353</v>
      </c>
      <c r="FV16" s="34"/>
      <c r="FW16" s="32" t="s">
        <v>1353</v>
      </c>
      <c r="FX16" s="35" t="s">
        <v>1353</v>
      </c>
      <c r="FY16" s="35"/>
      <c r="FZ16" s="35" t="s">
        <v>1353</v>
      </c>
      <c r="GA16" s="34"/>
      <c r="GB16" s="32" t="s">
        <v>1353</v>
      </c>
      <c r="GC16" s="35" t="s">
        <v>1353</v>
      </c>
      <c r="GD16" s="35"/>
      <c r="GE16" s="35" t="s">
        <v>1353</v>
      </c>
      <c r="GF16" s="34"/>
    </row>
    <row r="17" spans="1:188">
      <c r="A17" s="18" t="s">
        <v>1358</v>
      </c>
      <c r="B17" s="18" t="str" cm="1">
        <f t="array" aca="1" ref="B17" ca="1">INDIRECT("'" &amp; A17 &amp; "'!F3")</f>
        <v>Archer</v>
      </c>
      <c r="C17" s="18" t="str" cm="1">
        <f t="array" aca="1" ref="C17" ca="1">INDIRECT("'" &amp; A17 &amp; "'!F4")</f>
        <v>Carver</v>
      </c>
      <c r="D17" s="32" t="s">
        <v>1359</v>
      </c>
      <c r="E17" s="35">
        <v>3</v>
      </c>
      <c r="F17" s="35" t="s">
        <v>1353</v>
      </c>
      <c r="G17" s="35"/>
      <c r="H17" s="34" t="s">
        <v>1354</v>
      </c>
      <c r="I17" s="32" t="s">
        <v>1353</v>
      </c>
      <c r="J17" s="35" t="s">
        <v>1353</v>
      </c>
      <c r="K17" s="35"/>
      <c r="L17" s="35" t="s">
        <v>1353</v>
      </c>
      <c r="M17" s="34"/>
      <c r="N17" s="32" t="s">
        <v>1353</v>
      </c>
      <c r="O17" s="35" t="s">
        <v>1353</v>
      </c>
      <c r="P17" s="35"/>
      <c r="Q17" s="35" t="s">
        <v>1353</v>
      </c>
      <c r="R17" s="34"/>
      <c r="S17" s="32" t="s">
        <v>1353</v>
      </c>
      <c r="T17" s="35" t="s">
        <v>1353</v>
      </c>
      <c r="U17" s="35"/>
      <c r="V17" s="35" t="s">
        <v>1353</v>
      </c>
      <c r="W17" s="34"/>
      <c r="X17" s="32" t="s">
        <v>1353</v>
      </c>
      <c r="Y17" s="35" t="s">
        <v>1353</v>
      </c>
      <c r="Z17" s="35"/>
      <c r="AA17" s="35" t="s">
        <v>1353</v>
      </c>
      <c r="AB17" s="34"/>
      <c r="AC17" s="32" t="s">
        <v>1353</v>
      </c>
      <c r="AD17" s="35" t="s">
        <v>1353</v>
      </c>
      <c r="AE17" s="35"/>
      <c r="AF17" s="35" t="s">
        <v>1353</v>
      </c>
      <c r="AG17" s="34"/>
      <c r="AH17" s="32" t="s">
        <v>1353</v>
      </c>
      <c r="AI17" s="35" t="s">
        <v>1353</v>
      </c>
      <c r="AJ17" s="35"/>
      <c r="AK17" s="35" t="s">
        <v>1353</v>
      </c>
      <c r="AL17" s="34"/>
      <c r="AM17" s="32" t="s">
        <v>1353</v>
      </c>
      <c r="AN17" s="35" t="s">
        <v>1353</v>
      </c>
      <c r="AO17" s="35"/>
      <c r="AP17" s="35" t="s">
        <v>1353</v>
      </c>
      <c r="AQ17" s="34"/>
      <c r="AR17" s="32" t="s">
        <v>1353</v>
      </c>
      <c r="AS17" s="35" t="s">
        <v>1353</v>
      </c>
      <c r="AT17" s="35"/>
      <c r="AU17" s="35" t="s">
        <v>1353</v>
      </c>
      <c r="AV17" s="34"/>
      <c r="AW17" s="32" t="s">
        <v>1353</v>
      </c>
      <c r="AX17" s="35" t="s">
        <v>1353</v>
      </c>
      <c r="AY17" s="35"/>
      <c r="AZ17" s="35" t="s">
        <v>1353</v>
      </c>
      <c r="BA17" s="34"/>
      <c r="BB17" s="32" t="s">
        <v>1353</v>
      </c>
      <c r="BC17" s="35" t="s">
        <v>1353</v>
      </c>
      <c r="BD17" s="35"/>
      <c r="BE17" s="35" t="s">
        <v>1353</v>
      </c>
      <c r="BF17" s="34"/>
      <c r="BG17" s="32" t="s">
        <v>1353</v>
      </c>
      <c r="BH17" s="35" t="s">
        <v>1353</v>
      </c>
      <c r="BI17" s="35"/>
      <c r="BJ17" s="35" t="s">
        <v>1353</v>
      </c>
      <c r="BK17" s="34"/>
      <c r="BL17" s="32" t="s">
        <v>1353</v>
      </c>
      <c r="BM17" s="35" t="s">
        <v>1353</v>
      </c>
      <c r="BN17" s="35"/>
      <c r="BO17" s="35" t="s">
        <v>1353</v>
      </c>
      <c r="BP17" s="34"/>
      <c r="BQ17" s="32" t="s">
        <v>1353</v>
      </c>
      <c r="BR17" s="35" t="s">
        <v>1353</v>
      </c>
      <c r="BS17" s="35"/>
      <c r="BT17" s="35" t="s">
        <v>1353</v>
      </c>
      <c r="BU17" s="34"/>
      <c r="BV17" s="32" t="s">
        <v>1353</v>
      </c>
      <c r="BW17" s="35" t="s">
        <v>1353</v>
      </c>
      <c r="BX17" s="35"/>
      <c r="BY17" s="35" t="s">
        <v>1353</v>
      </c>
      <c r="BZ17" s="34"/>
      <c r="CA17" s="32" t="s">
        <v>1353</v>
      </c>
      <c r="CB17" s="35" t="s">
        <v>1353</v>
      </c>
      <c r="CC17" s="35"/>
      <c r="CD17" s="35" t="s">
        <v>1353</v>
      </c>
      <c r="CE17" s="34"/>
      <c r="CF17" s="32" t="s">
        <v>1353</v>
      </c>
      <c r="CG17" s="35" t="s">
        <v>1353</v>
      </c>
      <c r="CH17" s="35"/>
      <c r="CI17" s="35" t="s">
        <v>1353</v>
      </c>
      <c r="CJ17" s="34"/>
      <c r="CK17" s="32" t="s">
        <v>1353</v>
      </c>
      <c r="CL17" s="35" t="s">
        <v>1353</v>
      </c>
      <c r="CM17" s="35"/>
      <c r="CN17" s="35" t="s">
        <v>1353</v>
      </c>
      <c r="CO17" s="34"/>
      <c r="CP17" s="32" t="s">
        <v>1353</v>
      </c>
      <c r="CQ17" s="35" t="s">
        <v>1353</v>
      </c>
      <c r="CR17" s="35"/>
      <c r="CS17" s="35" t="s">
        <v>1353</v>
      </c>
      <c r="CT17" s="34"/>
      <c r="CU17" s="32" t="s">
        <v>1353</v>
      </c>
      <c r="CV17" s="35" t="s">
        <v>1353</v>
      </c>
      <c r="CW17" s="35"/>
      <c r="CX17" s="35" t="s">
        <v>1353</v>
      </c>
      <c r="CY17" s="34"/>
      <c r="CZ17" s="32" t="s">
        <v>1353</v>
      </c>
      <c r="DA17" s="35" t="s">
        <v>1353</v>
      </c>
      <c r="DB17" s="35"/>
      <c r="DC17" s="35" t="s">
        <v>1353</v>
      </c>
      <c r="DD17" s="34"/>
      <c r="DE17" s="32" t="s">
        <v>1353</v>
      </c>
      <c r="DF17" s="35" t="s">
        <v>1353</v>
      </c>
      <c r="DG17" s="35"/>
      <c r="DH17" s="35" t="s">
        <v>1353</v>
      </c>
      <c r="DI17" s="34"/>
      <c r="DJ17" s="32" t="s">
        <v>1353</v>
      </c>
      <c r="DK17" s="35" t="s">
        <v>1353</v>
      </c>
      <c r="DL17" s="35"/>
      <c r="DM17" s="35" t="s">
        <v>1353</v>
      </c>
      <c r="DN17" s="34"/>
      <c r="DO17" s="32" t="s">
        <v>1353</v>
      </c>
      <c r="DP17" s="35" t="s">
        <v>1353</v>
      </c>
      <c r="DQ17" s="35"/>
      <c r="DR17" s="35" t="s">
        <v>1353</v>
      </c>
      <c r="DS17" s="34"/>
      <c r="DT17" s="32" t="s">
        <v>1353</v>
      </c>
      <c r="DU17" s="35" t="s">
        <v>1353</v>
      </c>
      <c r="DV17" s="35"/>
      <c r="DW17" s="35" t="s">
        <v>1353</v>
      </c>
      <c r="DX17" s="34"/>
      <c r="DY17" s="32" t="s">
        <v>1353</v>
      </c>
      <c r="DZ17" s="35" t="s">
        <v>1353</v>
      </c>
      <c r="EA17" s="35"/>
      <c r="EB17" s="35" t="s">
        <v>1353</v>
      </c>
      <c r="EC17" s="34"/>
      <c r="ED17" s="32" t="s">
        <v>1353</v>
      </c>
      <c r="EE17" s="35" t="s">
        <v>1353</v>
      </c>
      <c r="EF17" s="35"/>
      <c r="EG17" s="35" t="s">
        <v>1353</v>
      </c>
      <c r="EH17" s="34"/>
      <c r="EI17" s="32" t="s">
        <v>1353</v>
      </c>
      <c r="EJ17" s="35" t="s">
        <v>1353</v>
      </c>
      <c r="EK17" s="35"/>
      <c r="EL17" s="35" t="s">
        <v>1353</v>
      </c>
      <c r="EM17" s="34"/>
      <c r="EN17" s="32" t="s">
        <v>1353</v>
      </c>
      <c r="EO17" s="35" t="s">
        <v>1353</v>
      </c>
      <c r="EP17" s="35"/>
      <c r="EQ17" s="35" t="s">
        <v>1353</v>
      </c>
      <c r="ER17" s="34"/>
      <c r="ES17" s="32" t="s">
        <v>1353</v>
      </c>
      <c r="ET17" s="35" t="s">
        <v>1353</v>
      </c>
      <c r="EU17" s="35"/>
      <c r="EV17" s="35" t="s">
        <v>1353</v>
      </c>
      <c r="EW17" s="34"/>
      <c r="EX17" s="32" t="s">
        <v>1353</v>
      </c>
      <c r="EY17" s="35" t="s">
        <v>1353</v>
      </c>
      <c r="EZ17" s="35"/>
      <c r="FA17" s="35" t="s">
        <v>1353</v>
      </c>
      <c r="FB17" s="34"/>
      <c r="FC17" s="32" t="s">
        <v>1353</v>
      </c>
      <c r="FD17" s="35" t="s">
        <v>1353</v>
      </c>
      <c r="FE17" s="35"/>
      <c r="FF17" s="35" t="s">
        <v>1353</v>
      </c>
      <c r="FG17" s="34"/>
      <c r="FH17" s="32" t="s">
        <v>1353</v>
      </c>
      <c r="FI17" s="35" t="s">
        <v>1353</v>
      </c>
      <c r="FJ17" s="35"/>
      <c r="FK17" s="35" t="s">
        <v>1353</v>
      </c>
      <c r="FL17" s="34"/>
      <c r="FM17" s="32" t="s">
        <v>1353</v>
      </c>
      <c r="FN17" s="35" t="s">
        <v>1353</v>
      </c>
      <c r="FO17" s="35"/>
      <c r="FP17" s="35" t="s">
        <v>1353</v>
      </c>
      <c r="FQ17" s="34"/>
      <c r="FR17" s="32" t="s">
        <v>1353</v>
      </c>
      <c r="FS17" s="35" t="s">
        <v>1353</v>
      </c>
      <c r="FT17" s="35"/>
      <c r="FU17" s="35" t="s">
        <v>1353</v>
      </c>
      <c r="FV17" s="34"/>
      <c r="FW17" s="32" t="s">
        <v>1353</v>
      </c>
      <c r="FX17" s="35" t="s">
        <v>1353</v>
      </c>
      <c r="FY17" s="35"/>
      <c r="FZ17" s="35" t="s">
        <v>1353</v>
      </c>
      <c r="GA17" s="34"/>
      <c r="GB17" s="32" t="s">
        <v>1353</v>
      </c>
      <c r="GC17" s="35" t="s">
        <v>1353</v>
      </c>
      <c r="GD17" s="35"/>
      <c r="GE17" s="35" t="s">
        <v>1353</v>
      </c>
      <c r="GF17" s="34"/>
    </row>
    <row r="18" spans="1:188">
      <c r="A18" s="18" t="s">
        <v>1360</v>
      </c>
      <c r="B18" s="18" t="str" cm="1">
        <f t="array" aca="1" ref="B18" ca="1">INDIRECT("'" &amp; A18 &amp; "'!F3")</f>
        <v>Brae C</v>
      </c>
      <c r="C18" s="18" t="str" cm="1">
        <f t="array" aca="1" ref="C18" ca="1">INDIRECT("'" &amp; A18 &amp; "'!F4")</f>
        <v>Casamir 'Cazz'</v>
      </c>
      <c r="D18" s="32" t="s">
        <v>1352</v>
      </c>
      <c r="E18" s="35">
        <v>3</v>
      </c>
      <c r="F18" s="35" t="s">
        <v>1353</v>
      </c>
      <c r="G18" s="35"/>
      <c r="H18" s="34" t="s">
        <v>1354</v>
      </c>
      <c r="I18" s="32" t="s">
        <v>1353</v>
      </c>
      <c r="J18" s="35" t="s">
        <v>1353</v>
      </c>
      <c r="K18" s="35"/>
      <c r="L18" s="35" t="s">
        <v>1353</v>
      </c>
      <c r="M18" s="34"/>
      <c r="N18" s="32" t="s">
        <v>1353</v>
      </c>
      <c r="O18" s="35" t="s">
        <v>1353</v>
      </c>
      <c r="P18" s="35"/>
      <c r="Q18" s="35" t="s">
        <v>1353</v>
      </c>
      <c r="R18" s="34"/>
      <c r="S18" s="32" t="s">
        <v>1353</v>
      </c>
      <c r="T18" s="35" t="s">
        <v>1353</v>
      </c>
      <c r="U18" s="35"/>
      <c r="V18" s="35" t="s">
        <v>1353</v>
      </c>
      <c r="W18" s="34"/>
      <c r="X18" s="32" t="s">
        <v>1353</v>
      </c>
      <c r="Y18" s="35" t="s">
        <v>1353</v>
      </c>
      <c r="Z18" s="35"/>
      <c r="AA18" s="35" t="s">
        <v>1353</v>
      </c>
      <c r="AB18" s="34"/>
      <c r="AC18" s="32" t="s">
        <v>1353</v>
      </c>
      <c r="AD18" s="35" t="s">
        <v>1353</v>
      </c>
      <c r="AE18" s="35"/>
      <c r="AF18" s="35" t="s">
        <v>1353</v>
      </c>
      <c r="AG18" s="34"/>
      <c r="AH18" s="32" t="s">
        <v>1353</v>
      </c>
      <c r="AI18" s="35" t="s">
        <v>1353</v>
      </c>
      <c r="AJ18" s="35"/>
      <c r="AK18" s="35" t="s">
        <v>1353</v>
      </c>
      <c r="AL18" s="34"/>
      <c r="AM18" s="32" t="s">
        <v>1353</v>
      </c>
      <c r="AN18" s="35" t="s">
        <v>1353</v>
      </c>
      <c r="AO18" s="35"/>
      <c r="AP18" s="35" t="s">
        <v>1353</v>
      </c>
      <c r="AQ18" s="34"/>
      <c r="AR18" s="32" t="s">
        <v>1353</v>
      </c>
      <c r="AS18" s="35" t="s">
        <v>1353</v>
      </c>
      <c r="AT18" s="35"/>
      <c r="AU18" s="35" t="s">
        <v>1353</v>
      </c>
      <c r="AV18" s="34"/>
      <c r="AW18" s="32" t="s">
        <v>1353</v>
      </c>
      <c r="AX18" s="35" t="s">
        <v>1353</v>
      </c>
      <c r="AY18" s="35"/>
      <c r="AZ18" s="35" t="s">
        <v>1353</v>
      </c>
      <c r="BA18" s="34"/>
      <c r="BB18" s="32" t="s">
        <v>1353</v>
      </c>
      <c r="BC18" s="35" t="s">
        <v>1353</v>
      </c>
      <c r="BD18" s="35"/>
      <c r="BE18" s="35" t="s">
        <v>1353</v>
      </c>
      <c r="BF18" s="34"/>
      <c r="BG18" s="32" t="s">
        <v>1353</v>
      </c>
      <c r="BH18" s="35" t="s">
        <v>1353</v>
      </c>
      <c r="BI18" s="35"/>
      <c r="BJ18" s="35" t="s">
        <v>1353</v>
      </c>
      <c r="BK18" s="34"/>
      <c r="BL18" s="32" t="s">
        <v>1353</v>
      </c>
      <c r="BM18" s="35" t="s">
        <v>1353</v>
      </c>
      <c r="BN18" s="35"/>
      <c r="BO18" s="35" t="s">
        <v>1353</v>
      </c>
      <c r="BP18" s="34"/>
      <c r="BQ18" s="32" t="s">
        <v>1353</v>
      </c>
      <c r="BR18" s="35" t="s">
        <v>1353</v>
      </c>
      <c r="BS18" s="35"/>
      <c r="BT18" s="35" t="s">
        <v>1353</v>
      </c>
      <c r="BU18" s="34"/>
      <c r="BV18" s="32" t="s">
        <v>1353</v>
      </c>
      <c r="BW18" s="35" t="s">
        <v>1353</v>
      </c>
      <c r="BX18" s="35"/>
      <c r="BY18" s="35" t="s">
        <v>1353</v>
      </c>
      <c r="BZ18" s="34"/>
      <c r="CA18" s="32" t="s">
        <v>1353</v>
      </c>
      <c r="CB18" s="35" t="s">
        <v>1353</v>
      </c>
      <c r="CC18" s="35"/>
      <c r="CD18" s="35" t="s">
        <v>1353</v>
      </c>
      <c r="CE18" s="34"/>
      <c r="CF18" s="32" t="s">
        <v>1353</v>
      </c>
      <c r="CG18" s="35" t="s">
        <v>1353</v>
      </c>
      <c r="CH18" s="35"/>
      <c r="CI18" s="35" t="s">
        <v>1353</v>
      </c>
      <c r="CJ18" s="34"/>
      <c r="CK18" s="32" t="s">
        <v>1353</v>
      </c>
      <c r="CL18" s="35" t="s">
        <v>1353</v>
      </c>
      <c r="CM18" s="35"/>
      <c r="CN18" s="35" t="s">
        <v>1353</v>
      </c>
      <c r="CO18" s="34"/>
      <c r="CP18" s="32" t="s">
        <v>1353</v>
      </c>
      <c r="CQ18" s="35" t="s">
        <v>1353</v>
      </c>
      <c r="CR18" s="35"/>
      <c r="CS18" s="35" t="s">
        <v>1353</v>
      </c>
      <c r="CT18" s="34"/>
      <c r="CU18" s="32" t="s">
        <v>1353</v>
      </c>
      <c r="CV18" s="35" t="s">
        <v>1353</v>
      </c>
      <c r="CW18" s="35"/>
      <c r="CX18" s="35" t="s">
        <v>1353</v>
      </c>
      <c r="CY18" s="34"/>
      <c r="CZ18" s="32" t="s">
        <v>1353</v>
      </c>
      <c r="DA18" s="35" t="s">
        <v>1353</v>
      </c>
      <c r="DB18" s="35"/>
      <c r="DC18" s="35" t="s">
        <v>1353</v>
      </c>
      <c r="DD18" s="34"/>
      <c r="DE18" s="32" t="s">
        <v>1353</v>
      </c>
      <c r="DF18" s="35" t="s">
        <v>1353</v>
      </c>
      <c r="DG18" s="35"/>
      <c r="DH18" s="35" t="s">
        <v>1353</v>
      </c>
      <c r="DI18" s="34"/>
      <c r="DJ18" s="32" t="s">
        <v>1353</v>
      </c>
      <c r="DK18" s="35" t="s">
        <v>1353</v>
      </c>
      <c r="DL18" s="35"/>
      <c r="DM18" s="35" t="s">
        <v>1353</v>
      </c>
      <c r="DN18" s="34"/>
      <c r="DO18" s="32" t="s">
        <v>1353</v>
      </c>
      <c r="DP18" s="35" t="s">
        <v>1353</v>
      </c>
      <c r="DQ18" s="35"/>
      <c r="DR18" s="35" t="s">
        <v>1353</v>
      </c>
      <c r="DS18" s="34"/>
      <c r="DT18" s="32" t="s">
        <v>1353</v>
      </c>
      <c r="DU18" s="35" t="s">
        <v>1353</v>
      </c>
      <c r="DV18" s="35"/>
      <c r="DW18" s="35" t="s">
        <v>1353</v>
      </c>
      <c r="DX18" s="34"/>
      <c r="DY18" s="32" t="s">
        <v>1353</v>
      </c>
      <c r="DZ18" s="35" t="s">
        <v>1353</v>
      </c>
      <c r="EA18" s="35"/>
      <c r="EB18" s="35" t="s">
        <v>1353</v>
      </c>
      <c r="EC18" s="34"/>
      <c r="ED18" s="32" t="s">
        <v>1353</v>
      </c>
      <c r="EE18" s="35" t="s">
        <v>1353</v>
      </c>
      <c r="EF18" s="35"/>
      <c r="EG18" s="35" t="s">
        <v>1353</v>
      </c>
      <c r="EH18" s="34"/>
      <c r="EI18" s="32" t="s">
        <v>1353</v>
      </c>
      <c r="EJ18" s="35" t="s">
        <v>1353</v>
      </c>
      <c r="EK18" s="35"/>
      <c r="EL18" s="35" t="s">
        <v>1353</v>
      </c>
      <c r="EM18" s="34"/>
      <c r="EN18" s="32" t="s">
        <v>1353</v>
      </c>
      <c r="EO18" s="35" t="s">
        <v>1353</v>
      </c>
      <c r="EP18" s="35"/>
      <c r="EQ18" s="35" t="s">
        <v>1353</v>
      </c>
      <c r="ER18" s="34"/>
      <c r="ES18" s="32" t="s">
        <v>1353</v>
      </c>
      <c r="ET18" s="35" t="s">
        <v>1353</v>
      </c>
      <c r="EU18" s="35"/>
      <c r="EV18" s="35" t="s">
        <v>1353</v>
      </c>
      <c r="EW18" s="34"/>
      <c r="EX18" s="32" t="s">
        <v>1353</v>
      </c>
      <c r="EY18" s="35" t="s">
        <v>1353</v>
      </c>
      <c r="EZ18" s="35"/>
      <c r="FA18" s="35" t="s">
        <v>1353</v>
      </c>
      <c r="FB18" s="34"/>
      <c r="FC18" s="32" t="s">
        <v>1353</v>
      </c>
      <c r="FD18" s="35" t="s">
        <v>1353</v>
      </c>
      <c r="FE18" s="35"/>
      <c r="FF18" s="35" t="s">
        <v>1353</v>
      </c>
      <c r="FG18" s="34"/>
      <c r="FH18" s="32" t="s">
        <v>1353</v>
      </c>
      <c r="FI18" s="35" t="s">
        <v>1353</v>
      </c>
      <c r="FJ18" s="35"/>
      <c r="FK18" s="35" t="s">
        <v>1353</v>
      </c>
      <c r="FL18" s="34"/>
      <c r="FM18" s="32" t="s">
        <v>1353</v>
      </c>
      <c r="FN18" s="35" t="s">
        <v>1353</v>
      </c>
      <c r="FO18" s="35"/>
      <c r="FP18" s="35" t="s">
        <v>1353</v>
      </c>
      <c r="FQ18" s="34"/>
      <c r="FR18" s="32" t="s">
        <v>1353</v>
      </c>
      <c r="FS18" s="35" t="s">
        <v>1353</v>
      </c>
      <c r="FT18" s="35"/>
      <c r="FU18" s="35" t="s">
        <v>1353</v>
      </c>
      <c r="FV18" s="34"/>
      <c r="FW18" s="32" t="s">
        <v>1353</v>
      </c>
      <c r="FX18" s="35" t="s">
        <v>1353</v>
      </c>
      <c r="FY18" s="35"/>
      <c r="FZ18" s="35" t="s">
        <v>1353</v>
      </c>
      <c r="GA18" s="34"/>
      <c r="GB18" s="32" t="s">
        <v>1353</v>
      </c>
      <c r="GC18" s="35" t="s">
        <v>1353</v>
      </c>
      <c r="GD18" s="35"/>
      <c r="GE18" s="35" t="s">
        <v>1353</v>
      </c>
      <c r="GF18" s="34"/>
    </row>
    <row r="19" spans="1:188">
      <c r="A19" s="18" t="s">
        <v>1361</v>
      </c>
      <c r="B19" s="18" t="str" cm="1">
        <f t="array" aca="1" ref="B19" ca="1">INDIRECT("'" &amp; A19 &amp; "'!F3")</f>
        <v>Leo T</v>
      </c>
      <c r="C19" s="18" t="str" cm="1">
        <f t="array" aca="1" ref="C19" ca="1">INDIRECT("'" &amp; A19 &amp; "'!F4")</f>
        <v>Charles Mercer-Willows</v>
      </c>
      <c r="D19" s="32" t="s">
        <v>1352</v>
      </c>
      <c r="E19" s="35">
        <v>3</v>
      </c>
      <c r="F19" s="35" t="s">
        <v>1353</v>
      </c>
      <c r="G19" s="35"/>
      <c r="H19" s="34" t="s">
        <v>1354</v>
      </c>
      <c r="I19" s="32" t="s">
        <v>1353</v>
      </c>
      <c r="J19" s="35" t="s">
        <v>1353</v>
      </c>
      <c r="K19" s="35"/>
      <c r="L19" s="35" t="s">
        <v>1353</v>
      </c>
      <c r="M19" s="34"/>
      <c r="N19" s="32" t="s">
        <v>1353</v>
      </c>
      <c r="O19" s="35" t="s">
        <v>1353</v>
      </c>
      <c r="P19" s="35"/>
      <c r="Q19" s="35" t="s">
        <v>1353</v>
      </c>
      <c r="R19" s="34"/>
      <c r="S19" s="32" t="s">
        <v>1353</v>
      </c>
      <c r="T19" s="35" t="s">
        <v>1353</v>
      </c>
      <c r="U19" s="35"/>
      <c r="V19" s="35" t="s">
        <v>1353</v>
      </c>
      <c r="W19" s="34"/>
      <c r="X19" s="32" t="s">
        <v>1353</v>
      </c>
      <c r="Y19" s="35" t="s">
        <v>1353</v>
      </c>
      <c r="Z19" s="35"/>
      <c r="AA19" s="35" t="s">
        <v>1353</v>
      </c>
      <c r="AB19" s="34"/>
      <c r="AC19" s="32" t="s">
        <v>1353</v>
      </c>
      <c r="AD19" s="35" t="s">
        <v>1353</v>
      </c>
      <c r="AE19" s="35"/>
      <c r="AF19" s="35" t="s">
        <v>1353</v>
      </c>
      <c r="AG19" s="34"/>
      <c r="AH19" s="32" t="s">
        <v>1353</v>
      </c>
      <c r="AI19" s="35" t="s">
        <v>1353</v>
      </c>
      <c r="AJ19" s="35"/>
      <c r="AK19" s="35" t="s">
        <v>1353</v>
      </c>
      <c r="AL19" s="34"/>
      <c r="AM19" s="32" t="s">
        <v>1353</v>
      </c>
      <c r="AN19" s="35" t="s">
        <v>1353</v>
      </c>
      <c r="AO19" s="35"/>
      <c r="AP19" s="35" t="s">
        <v>1353</v>
      </c>
      <c r="AQ19" s="34"/>
      <c r="AR19" s="32" t="s">
        <v>1353</v>
      </c>
      <c r="AS19" s="35" t="s">
        <v>1353</v>
      </c>
      <c r="AT19" s="35"/>
      <c r="AU19" s="35" t="s">
        <v>1353</v>
      </c>
      <c r="AV19" s="34"/>
      <c r="AW19" s="32" t="s">
        <v>1353</v>
      </c>
      <c r="AX19" s="35" t="s">
        <v>1353</v>
      </c>
      <c r="AY19" s="35"/>
      <c r="AZ19" s="35" t="s">
        <v>1353</v>
      </c>
      <c r="BA19" s="34"/>
      <c r="BB19" s="32" t="s">
        <v>1353</v>
      </c>
      <c r="BC19" s="35" t="s">
        <v>1353</v>
      </c>
      <c r="BD19" s="35"/>
      <c r="BE19" s="35" t="s">
        <v>1353</v>
      </c>
      <c r="BF19" s="34"/>
      <c r="BG19" s="32" t="s">
        <v>1353</v>
      </c>
      <c r="BH19" s="35" t="s">
        <v>1353</v>
      </c>
      <c r="BI19" s="35"/>
      <c r="BJ19" s="35" t="s">
        <v>1353</v>
      </c>
      <c r="BK19" s="34"/>
      <c r="BL19" s="32" t="s">
        <v>1353</v>
      </c>
      <c r="BM19" s="35" t="s">
        <v>1353</v>
      </c>
      <c r="BN19" s="35"/>
      <c r="BO19" s="35" t="s">
        <v>1353</v>
      </c>
      <c r="BP19" s="34"/>
      <c r="BQ19" s="32" t="s">
        <v>1353</v>
      </c>
      <c r="BR19" s="35" t="s">
        <v>1353</v>
      </c>
      <c r="BS19" s="35"/>
      <c r="BT19" s="35" t="s">
        <v>1353</v>
      </c>
      <c r="BU19" s="34"/>
      <c r="BV19" s="32" t="s">
        <v>1353</v>
      </c>
      <c r="BW19" s="35" t="s">
        <v>1353</v>
      </c>
      <c r="BX19" s="35"/>
      <c r="BY19" s="35" t="s">
        <v>1353</v>
      </c>
      <c r="BZ19" s="34"/>
      <c r="CA19" s="32" t="s">
        <v>1353</v>
      </c>
      <c r="CB19" s="35" t="s">
        <v>1353</v>
      </c>
      <c r="CC19" s="35"/>
      <c r="CD19" s="35" t="s">
        <v>1353</v>
      </c>
      <c r="CE19" s="34"/>
      <c r="CF19" s="32" t="s">
        <v>1353</v>
      </c>
      <c r="CG19" s="35" t="s">
        <v>1353</v>
      </c>
      <c r="CH19" s="35"/>
      <c r="CI19" s="35" t="s">
        <v>1353</v>
      </c>
      <c r="CJ19" s="34"/>
      <c r="CK19" s="32" t="s">
        <v>1353</v>
      </c>
      <c r="CL19" s="35" t="s">
        <v>1353</v>
      </c>
      <c r="CM19" s="35"/>
      <c r="CN19" s="35" t="s">
        <v>1353</v>
      </c>
      <c r="CO19" s="34"/>
      <c r="CP19" s="32" t="s">
        <v>1353</v>
      </c>
      <c r="CQ19" s="35" t="s">
        <v>1353</v>
      </c>
      <c r="CR19" s="35"/>
      <c r="CS19" s="35" t="s">
        <v>1353</v>
      </c>
      <c r="CT19" s="34"/>
      <c r="CU19" s="32" t="s">
        <v>1353</v>
      </c>
      <c r="CV19" s="35" t="s">
        <v>1353</v>
      </c>
      <c r="CW19" s="35"/>
      <c r="CX19" s="35" t="s">
        <v>1353</v>
      </c>
      <c r="CY19" s="34"/>
      <c r="CZ19" s="32" t="s">
        <v>1353</v>
      </c>
      <c r="DA19" s="35" t="s">
        <v>1353</v>
      </c>
      <c r="DB19" s="35"/>
      <c r="DC19" s="35" t="s">
        <v>1353</v>
      </c>
      <c r="DD19" s="34"/>
      <c r="DE19" s="32" t="s">
        <v>1353</v>
      </c>
      <c r="DF19" s="35" t="s">
        <v>1353</v>
      </c>
      <c r="DG19" s="35"/>
      <c r="DH19" s="35" t="s">
        <v>1353</v>
      </c>
      <c r="DI19" s="34"/>
      <c r="DJ19" s="32" t="s">
        <v>1353</v>
      </c>
      <c r="DK19" s="35" t="s">
        <v>1353</v>
      </c>
      <c r="DL19" s="35"/>
      <c r="DM19" s="35" t="s">
        <v>1353</v>
      </c>
      <c r="DN19" s="34"/>
      <c r="DO19" s="32" t="s">
        <v>1353</v>
      </c>
      <c r="DP19" s="35" t="s">
        <v>1353</v>
      </c>
      <c r="DQ19" s="35"/>
      <c r="DR19" s="35" t="s">
        <v>1353</v>
      </c>
      <c r="DS19" s="34"/>
      <c r="DT19" s="32" t="s">
        <v>1353</v>
      </c>
      <c r="DU19" s="35" t="s">
        <v>1353</v>
      </c>
      <c r="DV19" s="35"/>
      <c r="DW19" s="35" t="s">
        <v>1353</v>
      </c>
      <c r="DX19" s="34"/>
      <c r="DY19" s="32" t="s">
        <v>1353</v>
      </c>
      <c r="DZ19" s="35" t="s">
        <v>1353</v>
      </c>
      <c r="EA19" s="35"/>
      <c r="EB19" s="35" t="s">
        <v>1353</v>
      </c>
      <c r="EC19" s="34"/>
      <c r="ED19" s="32" t="s">
        <v>1353</v>
      </c>
      <c r="EE19" s="35" t="s">
        <v>1353</v>
      </c>
      <c r="EF19" s="35"/>
      <c r="EG19" s="35" t="s">
        <v>1353</v>
      </c>
      <c r="EH19" s="34"/>
      <c r="EI19" s="32" t="s">
        <v>1353</v>
      </c>
      <c r="EJ19" s="35" t="s">
        <v>1353</v>
      </c>
      <c r="EK19" s="35"/>
      <c r="EL19" s="35" t="s">
        <v>1353</v>
      </c>
      <c r="EM19" s="34"/>
      <c r="EN19" s="32" t="s">
        <v>1353</v>
      </c>
      <c r="EO19" s="35" t="s">
        <v>1353</v>
      </c>
      <c r="EP19" s="35"/>
      <c r="EQ19" s="35" t="s">
        <v>1353</v>
      </c>
      <c r="ER19" s="34"/>
      <c r="ES19" s="32" t="s">
        <v>1353</v>
      </c>
      <c r="ET19" s="35" t="s">
        <v>1353</v>
      </c>
      <c r="EU19" s="35"/>
      <c r="EV19" s="35" t="s">
        <v>1353</v>
      </c>
      <c r="EW19" s="34"/>
      <c r="EX19" s="32" t="s">
        <v>1353</v>
      </c>
      <c r="EY19" s="35" t="s">
        <v>1353</v>
      </c>
      <c r="EZ19" s="35"/>
      <c r="FA19" s="35" t="s">
        <v>1353</v>
      </c>
      <c r="FB19" s="34"/>
      <c r="FC19" s="32" t="s">
        <v>1353</v>
      </c>
      <c r="FD19" s="35" t="s">
        <v>1353</v>
      </c>
      <c r="FE19" s="35"/>
      <c r="FF19" s="35" t="s">
        <v>1353</v>
      </c>
      <c r="FG19" s="34"/>
      <c r="FH19" s="32" t="s">
        <v>1353</v>
      </c>
      <c r="FI19" s="35" t="s">
        <v>1353</v>
      </c>
      <c r="FJ19" s="35"/>
      <c r="FK19" s="35" t="s">
        <v>1353</v>
      </c>
      <c r="FL19" s="34"/>
      <c r="FM19" s="32" t="s">
        <v>1353</v>
      </c>
      <c r="FN19" s="35" t="s">
        <v>1353</v>
      </c>
      <c r="FO19" s="35"/>
      <c r="FP19" s="35" t="s">
        <v>1353</v>
      </c>
      <c r="FQ19" s="34"/>
      <c r="FR19" s="32" t="s">
        <v>1353</v>
      </c>
      <c r="FS19" s="35" t="s">
        <v>1353</v>
      </c>
      <c r="FT19" s="35"/>
      <c r="FU19" s="35" t="s">
        <v>1353</v>
      </c>
      <c r="FV19" s="34"/>
      <c r="FW19" s="32" t="s">
        <v>1353</v>
      </c>
      <c r="FX19" s="35" t="s">
        <v>1353</v>
      </c>
      <c r="FY19" s="35"/>
      <c r="FZ19" s="35" t="s">
        <v>1353</v>
      </c>
      <c r="GA19" s="34"/>
      <c r="GB19" s="32" t="s">
        <v>1353</v>
      </c>
      <c r="GC19" s="35" t="s">
        <v>1353</v>
      </c>
      <c r="GD19" s="35"/>
      <c r="GE19" s="35" t="s">
        <v>1353</v>
      </c>
      <c r="GF19" s="34"/>
    </row>
    <row r="20" spans="1:188">
      <c r="A20" s="18" t="s">
        <v>1362</v>
      </c>
      <c r="B20" s="18" t="str" cm="1">
        <f t="array" aca="1" ref="B20" ca="1">INDIRECT("'" &amp; A20 &amp; "'!F3")</f>
        <v>Kurtis W</v>
      </c>
      <c r="C20" s="18" t="str" cm="1">
        <f t="array" aca="1" ref="C20" ca="1">INDIRECT("'" &amp; A20 &amp; "'!F4")</f>
        <v>Charlie Ballsack</v>
      </c>
      <c r="D20" s="32" t="s">
        <v>1352</v>
      </c>
      <c r="E20" s="35">
        <v>3</v>
      </c>
      <c r="F20" s="35" t="s">
        <v>1353</v>
      </c>
      <c r="G20" s="35"/>
      <c r="H20" s="34" t="s">
        <v>1354</v>
      </c>
      <c r="I20" s="32" t="s">
        <v>1353</v>
      </c>
      <c r="J20" s="35" t="s">
        <v>1353</v>
      </c>
      <c r="K20" s="35"/>
      <c r="L20" s="35" t="s">
        <v>1353</v>
      </c>
      <c r="M20" s="34"/>
      <c r="N20" s="32" t="s">
        <v>1353</v>
      </c>
      <c r="O20" s="35" t="s">
        <v>1353</v>
      </c>
      <c r="P20" s="35"/>
      <c r="Q20" s="35" t="s">
        <v>1353</v>
      </c>
      <c r="R20" s="34"/>
      <c r="S20" s="32" t="s">
        <v>1353</v>
      </c>
      <c r="T20" s="35" t="s">
        <v>1353</v>
      </c>
      <c r="U20" s="35"/>
      <c r="V20" s="35" t="s">
        <v>1353</v>
      </c>
      <c r="W20" s="34"/>
      <c r="X20" s="32" t="s">
        <v>1353</v>
      </c>
      <c r="Y20" s="35" t="s">
        <v>1353</v>
      </c>
      <c r="Z20" s="35"/>
      <c r="AA20" s="35" t="s">
        <v>1353</v>
      </c>
      <c r="AB20" s="34"/>
      <c r="AC20" s="32" t="s">
        <v>1353</v>
      </c>
      <c r="AD20" s="35" t="s">
        <v>1353</v>
      </c>
      <c r="AE20" s="35"/>
      <c r="AF20" s="35" t="s">
        <v>1353</v>
      </c>
      <c r="AG20" s="34"/>
      <c r="AH20" s="32" t="s">
        <v>1353</v>
      </c>
      <c r="AI20" s="35" t="s">
        <v>1353</v>
      </c>
      <c r="AJ20" s="35"/>
      <c r="AK20" s="35" t="s">
        <v>1353</v>
      </c>
      <c r="AL20" s="34"/>
      <c r="AM20" s="32" t="s">
        <v>1353</v>
      </c>
      <c r="AN20" s="35" t="s">
        <v>1353</v>
      </c>
      <c r="AO20" s="35"/>
      <c r="AP20" s="35" t="s">
        <v>1353</v>
      </c>
      <c r="AQ20" s="34"/>
      <c r="AR20" s="32" t="s">
        <v>1353</v>
      </c>
      <c r="AS20" s="35" t="s">
        <v>1353</v>
      </c>
      <c r="AT20" s="35"/>
      <c r="AU20" s="35" t="s">
        <v>1353</v>
      </c>
      <c r="AV20" s="34"/>
      <c r="AW20" s="32" t="s">
        <v>1353</v>
      </c>
      <c r="AX20" s="35" t="s">
        <v>1353</v>
      </c>
      <c r="AY20" s="35"/>
      <c r="AZ20" s="35" t="s">
        <v>1353</v>
      </c>
      <c r="BA20" s="34"/>
      <c r="BB20" s="32" t="s">
        <v>1353</v>
      </c>
      <c r="BC20" s="35" t="s">
        <v>1353</v>
      </c>
      <c r="BD20" s="35"/>
      <c r="BE20" s="35" t="s">
        <v>1353</v>
      </c>
      <c r="BF20" s="34"/>
      <c r="BG20" s="32" t="s">
        <v>1353</v>
      </c>
      <c r="BH20" s="35" t="s">
        <v>1353</v>
      </c>
      <c r="BI20" s="35"/>
      <c r="BJ20" s="35" t="s">
        <v>1353</v>
      </c>
      <c r="BK20" s="34"/>
      <c r="BL20" s="32" t="s">
        <v>1353</v>
      </c>
      <c r="BM20" s="35" t="s">
        <v>1353</v>
      </c>
      <c r="BN20" s="35"/>
      <c r="BO20" s="35" t="s">
        <v>1353</v>
      </c>
      <c r="BP20" s="34"/>
      <c r="BQ20" s="32" t="s">
        <v>1353</v>
      </c>
      <c r="BR20" s="35" t="s">
        <v>1353</v>
      </c>
      <c r="BS20" s="35"/>
      <c r="BT20" s="35" t="s">
        <v>1353</v>
      </c>
      <c r="BU20" s="34"/>
      <c r="BV20" s="32" t="s">
        <v>1353</v>
      </c>
      <c r="BW20" s="35" t="s">
        <v>1353</v>
      </c>
      <c r="BX20" s="35"/>
      <c r="BY20" s="35" t="s">
        <v>1353</v>
      </c>
      <c r="BZ20" s="34"/>
      <c r="CA20" s="32" t="s">
        <v>1353</v>
      </c>
      <c r="CB20" s="35" t="s">
        <v>1353</v>
      </c>
      <c r="CC20" s="35"/>
      <c r="CD20" s="35" t="s">
        <v>1353</v>
      </c>
      <c r="CE20" s="34"/>
      <c r="CF20" s="32" t="s">
        <v>1353</v>
      </c>
      <c r="CG20" s="35" t="s">
        <v>1353</v>
      </c>
      <c r="CH20" s="35"/>
      <c r="CI20" s="35" t="s">
        <v>1353</v>
      </c>
      <c r="CJ20" s="34"/>
      <c r="CK20" s="32" t="s">
        <v>1353</v>
      </c>
      <c r="CL20" s="35" t="s">
        <v>1353</v>
      </c>
      <c r="CM20" s="35"/>
      <c r="CN20" s="35" t="s">
        <v>1353</v>
      </c>
      <c r="CO20" s="34"/>
      <c r="CP20" s="32" t="s">
        <v>1353</v>
      </c>
      <c r="CQ20" s="35" t="s">
        <v>1353</v>
      </c>
      <c r="CR20" s="35"/>
      <c r="CS20" s="35" t="s">
        <v>1353</v>
      </c>
      <c r="CT20" s="34"/>
      <c r="CU20" s="32" t="s">
        <v>1353</v>
      </c>
      <c r="CV20" s="35" t="s">
        <v>1353</v>
      </c>
      <c r="CW20" s="35"/>
      <c r="CX20" s="35" t="s">
        <v>1353</v>
      </c>
      <c r="CY20" s="34"/>
      <c r="CZ20" s="32" t="s">
        <v>1353</v>
      </c>
      <c r="DA20" s="35" t="s">
        <v>1353</v>
      </c>
      <c r="DB20" s="35"/>
      <c r="DC20" s="35" t="s">
        <v>1353</v>
      </c>
      <c r="DD20" s="34"/>
      <c r="DE20" s="32" t="s">
        <v>1353</v>
      </c>
      <c r="DF20" s="35" t="s">
        <v>1353</v>
      </c>
      <c r="DG20" s="35"/>
      <c r="DH20" s="35" t="s">
        <v>1353</v>
      </c>
      <c r="DI20" s="34"/>
      <c r="DJ20" s="32" t="s">
        <v>1353</v>
      </c>
      <c r="DK20" s="35" t="s">
        <v>1353</v>
      </c>
      <c r="DL20" s="35"/>
      <c r="DM20" s="35" t="s">
        <v>1353</v>
      </c>
      <c r="DN20" s="34"/>
      <c r="DO20" s="32" t="s">
        <v>1353</v>
      </c>
      <c r="DP20" s="35" t="s">
        <v>1353</v>
      </c>
      <c r="DQ20" s="35"/>
      <c r="DR20" s="35" t="s">
        <v>1353</v>
      </c>
      <c r="DS20" s="34"/>
      <c r="DT20" s="32" t="s">
        <v>1353</v>
      </c>
      <c r="DU20" s="35" t="s">
        <v>1353</v>
      </c>
      <c r="DV20" s="35"/>
      <c r="DW20" s="35" t="s">
        <v>1353</v>
      </c>
      <c r="DX20" s="34"/>
      <c r="DY20" s="32" t="s">
        <v>1353</v>
      </c>
      <c r="DZ20" s="35" t="s">
        <v>1353</v>
      </c>
      <c r="EA20" s="35"/>
      <c r="EB20" s="35" t="s">
        <v>1353</v>
      </c>
      <c r="EC20" s="34"/>
      <c r="ED20" s="32" t="s">
        <v>1353</v>
      </c>
      <c r="EE20" s="35" t="s">
        <v>1353</v>
      </c>
      <c r="EF20" s="35"/>
      <c r="EG20" s="35" t="s">
        <v>1353</v>
      </c>
      <c r="EH20" s="34"/>
      <c r="EI20" s="32" t="s">
        <v>1353</v>
      </c>
      <c r="EJ20" s="35" t="s">
        <v>1353</v>
      </c>
      <c r="EK20" s="35"/>
      <c r="EL20" s="35" t="s">
        <v>1353</v>
      </c>
      <c r="EM20" s="34"/>
      <c r="EN20" s="32" t="s">
        <v>1353</v>
      </c>
      <c r="EO20" s="35" t="s">
        <v>1353</v>
      </c>
      <c r="EP20" s="35"/>
      <c r="EQ20" s="35" t="s">
        <v>1353</v>
      </c>
      <c r="ER20" s="34"/>
      <c r="ES20" s="32" t="s">
        <v>1353</v>
      </c>
      <c r="ET20" s="35" t="s">
        <v>1353</v>
      </c>
      <c r="EU20" s="35"/>
      <c r="EV20" s="35" t="s">
        <v>1353</v>
      </c>
      <c r="EW20" s="34"/>
      <c r="EX20" s="32" t="s">
        <v>1353</v>
      </c>
      <c r="EY20" s="35" t="s">
        <v>1353</v>
      </c>
      <c r="EZ20" s="35"/>
      <c r="FA20" s="35" t="s">
        <v>1353</v>
      </c>
      <c r="FB20" s="34"/>
      <c r="FC20" s="32" t="s">
        <v>1353</v>
      </c>
      <c r="FD20" s="35" t="s">
        <v>1353</v>
      </c>
      <c r="FE20" s="35"/>
      <c r="FF20" s="35" t="s">
        <v>1353</v>
      </c>
      <c r="FG20" s="34"/>
      <c r="FH20" s="32" t="s">
        <v>1353</v>
      </c>
      <c r="FI20" s="35" t="s">
        <v>1353</v>
      </c>
      <c r="FJ20" s="35"/>
      <c r="FK20" s="35" t="s">
        <v>1353</v>
      </c>
      <c r="FL20" s="34"/>
      <c r="FM20" s="32" t="s">
        <v>1353</v>
      </c>
      <c r="FN20" s="35" t="s">
        <v>1353</v>
      </c>
      <c r="FO20" s="35"/>
      <c r="FP20" s="35" t="s">
        <v>1353</v>
      </c>
      <c r="FQ20" s="34"/>
      <c r="FR20" s="32" t="s">
        <v>1353</v>
      </c>
      <c r="FS20" s="35" t="s">
        <v>1353</v>
      </c>
      <c r="FT20" s="35"/>
      <c r="FU20" s="35" t="s">
        <v>1353</v>
      </c>
      <c r="FV20" s="34"/>
      <c r="FW20" s="32" t="s">
        <v>1353</v>
      </c>
      <c r="FX20" s="35" t="s">
        <v>1353</v>
      </c>
      <c r="FY20" s="35"/>
      <c r="FZ20" s="35" t="s">
        <v>1353</v>
      </c>
      <c r="GA20" s="34"/>
      <c r="GB20" s="32" t="s">
        <v>1353</v>
      </c>
      <c r="GC20" s="35" t="s">
        <v>1353</v>
      </c>
      <c r="GD20" s="35"/>
      <c r="GE20" s="35" t="s">
        <v>1353</v>
      </c>
      <c r="GF20" s="34"/>
    </row>
    <row r="21" spans="1:188">
      <c r="A21" s="18" t="s">
        <v>1363</v>
      </c>
      <c r="B21" s="18" t="str" cm="1">
        <f t="array" aca="1" ref="B21" ca="1">INDIRECT("'" &amp; A21 &amp; "'!F3")</f>
        <v>Arnold W</v>
      </c>
      <c r="C21" s="18" t="str" cm="1">
        <f t="array" aca="1" ref="C21" ca="1">INDIRECT("'" &amp; A21 &amp; "'!F4")</f>
        <v>Conrad Sondergaard</v>
      </c>
      <c r="D21" s="32" t="s">
        <v>1352</v>
      </c>
      <c r="E21" s="35">
        <v>3</v>
      </c>
      <c r="F21" s="35" t="s">
        <v>1353</v>
      </c>
      <c r="G21" s="35"/>
      <c r="H21" s="34" t="s">
        <v>1354</v>
      </c>
      <c r="I21" s="32" t="s">
        <v>1353</v>
      </c>
      <c r="J21" s="35" t="s">
        <v>1353</v>
      </c>
      <c r="K21" s="35"/>
      <c r="L21" s="35" t="s">
        <v>1353</v>
      </c>
      <c r="M21" s="34"/>
      <c r="N21" s="32" t="s">
        <v>1353</v>
      </c>
      <c r="O21" s="35" t="s">
        <v>1353</v>
      </c>
      <c r="P21" s="35"/>
      <c r="Q21" s="35" t="s">
        <v>1353</v>
      </c>
      <c r="R21" s="34"/>
      <c r="S21" s="32" t="s">
        <v>1353</v>
      </c>
      <c r="T21" s="35" t="s">
        <v>1353</v>
      </c>
      <c r="U21" s="35"/>
      <c r="V21" s="35" t="s">
        <v>1353</v>
      </c>
      <c r="W21" s="34"/>
      <c r="X21" s="32" t="s">
        <v>1353</v>
      </c>
      <c r="Y21" s="35" t="s">
        <v>1353</v>
      </c>
      <c r="Z21" s="35"/>
      <c r="AA21" s="35" t="s">
        <v>1353</v>
      </c>
      <c r="AB21" s="34"/>
      <c r="AC21" s="32" t="s">
        <v>1353</v>
      </c>
      <c r="AD21" s="35" t="s">
        <v>1353</v>
      </c>
      <c r="AE21" s="35"/>
      <c r="AF21" s="35" t="s">
        <v>1353</v>
      </c>
      <c r="AG21" s="34"/>
      <c r="AH21" s="32" t="s">
        <v>1353</v>
      </c>
      <c r="AI21" s="35" t="s">
        <v>1353</v>
      </c>
      <c r="AJ21" s="35"/>
      <c r="AK21" s="35" t="s">
        <v>1353</v>
      </c>
      <c r="AL21" s="34"/>
      <c r="AM21" s="32" t="s">
        <v>1353</v>
      </c>
      <c r="AN21" s="35" t="s">
        <v>1353</v>
      </c>
      <c r="AO21" s="35"/>
      <c r="AP21" s="35" t="s">
        <v>1353</v>
      </c>
      <c r="AQ21" s="34"/>
      <c r="AR21" s="32" t="s">
        <v>1353</v>
      </c>
      <c r="AS21" s="35" t="s">
        <v>1353</v>
      </c>
      <c r="AT21" s="35"/>
      <c r="AU21" s="35" t="s">
        <v>1353</v>
      </c>
      <c r="AV21" s="34"/>
      <c r="AW21" s="32" t="s">
        <v>1353</v>
      </c>
      <c r="AX21" s="35" t="s">
        <v>1353</v>
      </c>
      <c r="AY21" s="35"/>
      <c r="AZ21" s="35" t="s">
        <v>1353</v>
      </c>
      <c r="BA21" s="34"/>
      <c r="BB21" s="32" t="s">
        <v>1353</v>
      </c>
      <c r="BC21" s="35" t="s">
        <v>1353</v>
      </c>
      <c r="BD21" s="35"/>
      <c r="BE21" s="35" t="s">
        <v>1353</v>
      </c>
      <c r="BF21" s="34"/>
      <c r="BG21" s="32" t="s">
        <v>1353</v>
      </c>
      <c r="BH21" s="35" t="s">
        <v>1353</v>
      </c>
      <c r="BI21" s="35"/>
      <c r="BJ21" s="35" t="s">
        <v>1353</v>
      </c>
      <c r="BK21" s="34"/>
      <c r="BL21" s="32" t="s">
        <v>1353</v>
      </c>
      <c r="BM21" s="35" t="s">
        <v>1353</v>
      </c>
      <c r="BN21" s="35"/>
      <c r="BO21" s="35" t="s">
        <v>1353</v>
      </c>
      <c r="BP21" s="34"/>
      <c r="BQ21" s="32" t="s">
        <v>1353</v>
      </c>
      <c r="BR21" s="35" t="s">
        <v>1353</v>
      </c>
      <c r="BS21" s="35"/>
      <c r="BT21" s="35" t="s">
        <v>1353</v>
      </c>
      <c r="BU21" s="34"/>
      <c r="BV21" s="32" t="s">
        <v>1353</v>
      </c>
      <c r="BW21" s="35" t="s">
        <v>1353</v>
      </c>
      <c r="BX21" s="35"/>
      <c r="BY21" s="35" t="s">
        <v>1353</v>
      </c>
      <c r="BZ21" s="34"/>
      <c r="CA21" s="32" t="s">
        <v>1353</v>
      </c>
      <c r="CB21" s="35" t="s">
        <v>1353</v>
      </c>
      <c r="CC21" s="35"/>
      <c r="CD21" s="35" t="s">
        <v>1353</v>
      </c>
      <c r="CE21" s="34"/>
      <c r="CF21" s="32" t="s">
        <v>1353</v>
      </c>
      <c r="CG21" s="35" t="s">
        <v>1353</v>
      </c>
      <c r="CH21" s="35"/>
      <c r="CI21" s="35" t="s">
        <v>1353</v>
      </c>
      <c r="CJ21" s="34"/>
      <c r="CK21" s="32" t="s">
        <v>1353</v>
      </c>
      <c r="CL21" s="35" t="s">
        <v>1353</v>
      </c>
      <c r="CM21" s="35"/>
      <c r="CN21" s="35" t="s">
        <v>1353</v>
      </c>
      <c r="CO21" s="34"/>
      <c r="CP21" s="32" t="s">
        <v>1353</v>
      </c>
      <c r="CQ21" s="35" t="s">
        <v>1353</v>
      </c>
      <c r="CR21" s="35"/>
      <c r="CS21" s="35" t="s">
        <v>1353</v>
      </c>
      <c r="CT21" s="34"/>
      <c r="CU21" s="32" t="s">
        <v>1353</v>
      </c>
      <c r="CV21" s="35" t="s">
        <v>1353</v>
      </c>
      <c r="CW21" s="35"/>
      <c r="CX21" s="35" t="s">
        <v>1353</v>
      </c>
      <c r="CY21" s="34"/>
      <c r="CZ21" s="32" t="s">
        <v>1353</v>
      </c>
      <c r="DA21" s="35" t="s">
        <v>1353</v>
      </c>
      <c r="DB21" s="35"/>
      <c r="DC21" s="35" t="s">
        <v>1353</v>
      </c>
      <c r="DD21" s="34"/>
      <c r="DE21" s="32" t="s">
        <v>1353</v>
      </c>
      <c r="DF21" s="35" t="s">
        <v>1353</v>
      </c>
      <c r="DG21" s="35"/>
      <c r="DH21" s="35" t="s">
        <v>1353</v>
      </c>
      <c r="DI21" s="34"/>
      <c r="DJ21" s="32" t="s">
        <v>1353</v>
      </c>
      <c r="DK21" s="35" t="s">
        <v>1353</v>
      </c>
      <c r="DL21" s="35"/>
      <c r="DM21" s="35" t="s">
        <v>1353</v>
      </c>
      <c r="DN21" s="34"/>
      <c r="DO21" s="32" t="s">
        <v>1353</v>
      </c>
      <c r="DP21" s="35" t="s">
        <v>1353</v>
      </c>
      <c r="DQ21" s="35"/>
      <c r="DR21" s="35" t="s">
        <v>1353</v>
      </c>
      <c r="DS21" s="34"/>
      <c r="DT21" s="32" t="s">
        <v>1353</v>
      </c>
      <c r="DU21" s="35" t="s">
        <v>1353</v>
      </c>
      <c r="DV21" s="35"/>
      <c r="DW21" s="35" t="s">
        <v>1353</v>
      </c>
      <c r="DX21" s="34"/>
      <c r="DY21" s="32" t="s">
        <v>1353</v>
      </c>
      <c r="DZ21" s="35" t="s">
        <v>1353</v>
      </c>
      <c r="EA21" s="35"/>
      <c r="EB21" s="35" t="s">
        <v>1353</v>
      </c>
      <c r="EC21" s="34"/>
      <c r="ED21" s="32" t="s">
        <v>1353</v>
      </c>
      <c r="EE21" s="35" t="s">
        <v>1353</v>
      </c>
      <c r="EF21" s="35"/>
      <c r="EG21" s="35" t="s">
        <v>1353</v>
      </c>
      <c r="EH21" s="34"/>
      <c r="EI21" s="32" t="s">
        <v>1353</v>
      </c>
      <c r="EJ21" s="35" t="s">
        <v>1353</v>
      </c>
      <c r="EK21" s="35"/>
      <c r="EL21" s="35" t="s">
        <v>1353</v>
      </c>
      <c r="EM21" s="34"/>
      <c r="EN21" s="32" t="s">
        <v>1353</v>
      </c>
      <c r="EO21" s="35" t="s">
        <v>1353</v>
      </c>
      <c r="EP21" s="35"/>
      <c r="EQ21" s="35" t="s">
        <v>1353</v>
      </c>
      <c r="ER21" s="34"/>
      <c r="ES21" s="32" t="s">
        <v>1353</v>
      </c>
      <c r="ET21" s="35" t="s">
        <v>1353</v>
      </c>
      <c r="EU21" s="35"/>
      <c r="EV21" s="35" t="s">
        <v>1353</v>
      </c>
      <c r="EW21" s="34"/>
      <c r="EX21" s="32" t="s">
        <v>1353</v>
      </c>
      <c r="EY21" s="35" t="s">
        <v>1353</v>
      </c>
      <c r="EZ21" s="35"/>
      <c r="FA21" s="35" t="s">
        <v>1353</v>
      </c>
      <c r="FB21" s="34"/>
      <c r="FC21" s="32" t="s">
        <v>1353</v>
      </c>
      <c r="FD21" s="35" t="s">
        <v>1353</v>
      </c>
      <c r="FE21" s="35"/>
      <c r="FF21" s="35" t="s">
        <v>1353</v>
      </c>
      <c r="FG21" s="34"/>
      <c r="FH21" s="32" t="s">
        <v>1353</v>
      </c>
      <c r="FI21" s="35" t="s">
        <v>1353</v>
      </c>
      <c r="FJ21" s="35"/>
      <c r="FK21" s="35" t="s">
        <v>1353</v>
      </c>
      <c r="FL21" s="34"/>
      <c r="FM21" s="32" t="s">
        <v>1353</v>
      </c>
      <c r="FN21" s="35" t="s">
        <v>1353</v>
      </c>
      <c r="FO21" s="35"/>
      <c r="FP21" s="35" t="s">
        <v>1353</v>
      </c>
      <c r="FQ21" s="34"/>
      <c r="FR21" s="32" t="s">
        <v>1353</v>
      </c>
      <c r="FS21" s="35" t="s">
        <v>1353</v>
      </c>
      <c r="FT21" s="35"/>
      <c r="FU21" s="35" t="s">
        <v>1353</v>
      </c>
      <c r="FV21" s="34"/>
      <c r="FW21" s="32" t="s">
        <v>1353</v>
      </c>
      <c r="FX21" s="35" t="s">
        <v>1353</v>
      </c>
      <c r="FY21" s="35"/>
      <c r="FZ21" s="35" t="s">
        <v>1353</v>
      </c>
      <c r="GA21" s="34"/>
      <c r="GB21" s="32" t="s">
        <v>1353</v>
      </c>
      <c r="GC21" s="35" t="s">
        <v>1353</v>
      </c>
      <c r="GD21" s="35"/>
      <c r="GE21" s="35" t="s">
        <v>1353</v>
      </c>
      <c r="GF21" s="34"/>
    </row>
    <row r="22" spans="1:188">
      <c r="A22" s="18" t="s">
        <v>1364</v>
      </c>
      <c r="B22" s="18" t="str" cm="1">
        <f t="array" aca="1" ref="B22" ca="1">INDIRECT("'" &amp; A22 &amp; "'!F3")</f>
        <v>Bill C</v>
      </c>
      <c r="C22" s="18" t="str" cm="1">
        <f t="array" aca="1" ref="C22" ca="1">INDIRECT("'" &amp; A22 &amp; "'!F4")</f>
        <v>Cyrus Reynolds</v>
      </c>
      <c r="D22" s="32" t="s">
        <v>1359</v>
      </c>
      <c r="E22" s="35">
        <v>3</v>
      </c>
      <c r="F22" s="35" t="s">
        <v>1353</v>
      </c>
      <c r="G22" s="35" t="s">
        <v>1353</v>
      </c>
      <c r="H22" s="34" t="s">
        <v>1354</v>
      </c>
      <c r="I22" s="32" t="s">
        <v>1353</v>
      </c>
      <c r="J22" s="35" t="s">
        <v>1353</v>
      </c>
      <c r="K22" s="35"/>
      <c r="L22" s="35" t="s">
        <v>1353</v>
      </c>
      <c r="M22" s="34"/>
      <c r="N22" s="32" t="s">
        <v>1353</v>
      </c>
      <c r="O22" s="35" t="s">
        <v>1353</v>
      </c>
      <c r="P22" s="35"/>
      <c r="Q22" s="35" t="s">
        <v>1353</v>
      </c>
      <c r="R22" s="34"/>
      <c r="S22" s="32" t="s">
        <v>1353</v>
      </c>
      <c r="T22" s="35" t="s">
        <v>1353</v>
      </c>
      <c r="U22" s="35"/>
      <c r="V22" s="35" t="s">
        <v>1353</v>
      </c>
      <c r="W22" s="34"/>
      <c r="X22" s="32" t="s">
        <v>1353</v>
      </c>
      <c r="Y22" s="35" t="s">
        <v>1353</v>
      </c>
      <c r="Z22" s="35"/>
      <c r="AA22" s="35" t="s">
        <v>1353</v>
      </c>
      <c r="AB22" s="34"/>
      <c r="AC22" s="32" t="s">
        <v>1353</v>
      </c>
      <c r="AD22" s="35" t="s">
        <v>1353</v>
      </c>
      <c r="AE22" s="35"/>
      <c r="AF22" s="35" t="s">
        <v>1353</v>
      </c>
      <c r="AG22" s="34"/>
      <c r="AH22" s="32" t="s">
        <v>1353</v>
      </c>
      <c r="AI22" s="35" t="s">
        <v>1353</v>
      </c>
      <c r="AJ22" s="35"/>
      <c r="AK22" s="35" t="s">
        <v>1353</v>
      </c>
      <c r="AL22" s="34"/>
      <c r="AM22" s="32" t="s">
        <v>1353</v>
      </c>
      <c r="AN22" s="35" t="s">
        <v>1353</v>
      </c>
      <c r="AO22" s="35"/>
      <c r="AP22" s="35" t="s">
        <v>1353</v>
      </c>
      <c r="AQ22" s="34"/>
      <c r="AR22" s="32" t="s">
        <v>1353</v>
      </c>
      <c r="AS22" s="35" t="s">
        <v>1353</v>
      </c>
      <c r="AT22" s="35"/>
      <c r="AU22" s="35" t="s">
        <v>1353</v>
      </c>
      <c r="AV22" s="34"/>
      <c r="AW22" s="32" t="s">
        <v>1353</v>
      </c>
      <c r="AX22" s="35" t="s">
        <v>1353</v>
      </c>
      <c r="AY22" s="35"/>
      <c r="AZ22" s="35" t="s">
        <v>1353</v>
      </c>
      <c r="BA22" s="34"/>
      <c r="BB22" s="32" t="s">
        <v>1353</v>
      </c>
      <c r="BC22" s="35" t="s">
        <v>1353</v>
      </c>
      <c r="BD22" s="35"/>
      <c r="BE22" s="35" t="s">
        <v>1353</v>
      </c>
      <c r="BF22" s="34"/>
      <c r="BG22" s="32" t="s">
        <v>1353</v>
      </c>
      <c r="BH22" s="35" t="s">
        <v>1353</v>
      </c>
      <c r="BI22" s="35"/>
      <c r="BJ22" s="35" t="s">
        <v>1353</v>
      </c>
      <c r="BK22" s="34"/>
      <c r="BL22" s="32" t="s">
        <v>1353</v>
      </c>
      <c r="BM22" s="35" t="s">
        <v>1353</v>
      </c>
      <c r="BN22" s="35"/>
      <c r="BO22" s="35" t="s">
        <v>1353</v>
      </c>
      <c r="BP22" s="34"/>
      <c r="BQ22" s="32" t="s">
        <v>1353</v>
      </c>
      <c r="BR22" s="35" t="s">
        <v>1353</v>
      </c>
      <c r="BS22" s="35"/>
      <c r="BT22" s="35" t="s">
        <v>1353</v>
      </c>
      <c r="BU22" s="34"/>
      <c r="BV22" s="32" t="s">
        <v>1353</v>
      </c>
      <c r="BW22" s="35" t="s">
        <v>1353</v>
      </c>
      <c r="BX22" s="35"/>
      <c r="BY22" s="35" t="s">
        <v>1353</v>
      </c>
      <c r="BZ22" s="34"/>
      <c r="CA22" s="32" t="s">
        <v>1353</v>
      </c>
      <c r="CB22" s="35" t="s">
        <v>1353</v>
      </c>
      <c r="CC22" s="35"/>
      <c r="CD22" s="35" t="s">
        <v>1353</v>
      </c>
      <c r="CE22" s="34"/>
      <c r="CF22" s="32" t="s">
        <v>1353</v>
      </c>
      <c r="CG22" s="35" t="s">
        <v>1353</v>
      </c>
      <c r="CH22" s="35"/>
      <c r="CI22" s="35" t="s">
        <v>1353</v>
      </c>
      <c r="CJ22" s="34"/>
      <c r="CK22" s="32" t="s">
        <v>1353</v>
      </c>
      <c r="CL22" s="35" t="s">
        <v>1353</v>
      </c>
      <c r="CM22" s="35"/>
      <c r="CN22" s="35" t="s">
        <v>1353</v>
      </c>
      <c r="CO22" s="34"/>
      <c r="CP22" s="32" t="s">
        <v>1353</v>
      </c>
      <c r="CQ22" s="35" t="s">
        <v>1353</v>
      </c>
      <c r="CR22" s="35"/>
      <c r="CS22" s="35" t="s">
        <v>1353</v>
      </c>
      <c r="CT22" s="34"/>
      <c r="CU22" s="32" t="s">
        <v>1353</v>
      </c>
      <c r="CV22" s="35" t="s">
        <v>1353</v>
      </c>
      <c r="CW22" s="35"/>
      <c r="CX22" s="35" t="s">
        <v>1353</v>
      </c>
      <c r="CY22" s="34"/>
      <c r="CZ22" s="32" t="s">
        <v>1353</v>
      </c>
      <c r="DA22" s="35" t="s">
        <v>1353</v>
      </c>
      <c r="DB22" s="35"/>
      <c r="DC22" s="35" t="s">
        <v>1353</v>
      </c>
      <c r="DD22" s="34"/>
      <c r="DE22" s="32" t="s">
        <v>1353</v>
      </c>
      <c r="DF22" s="35" t="s">
        <v>1353</v>
      </c>
      <c r="DG22" s="35"/>
      <c r="DH22" s="35" t="s">
        <v>1353</v>
      </c>
      <c r="DI22" s="34"/>
      <c r="DJ22" s="32" t="s">
        <v>1353</v>
      </c>
      <c r="DK22" s="35" t="s">
        <v>1353</v>
      </c>
      <c r="DL22" s="35"/>
      <c r="DM22" s="35" t="s">
        <v>1353</v>
      </c>
      <c r="DN22" s="34"/>
      <c r="DO22" s="32" t="s">
        <v>1353</v>
      </c>
      <c r="DP22" s="35" t="s">
        <v>1353</v>
      </c>
      <c r="DQ22" s="35"/>
      <c r="DR22" s="35" t="s">
        <v>1353</v>
      </c>
      <c r="DS22" s="34"/>
      <c r="DT22" s="32" t="s">
        <v>1353</v>
      </c>
      <c r="DU22" s="35" t="s">
        <v>1353</v>
      </c>
      <c r="DV22" s="35"/>
      <c r="DW22" s="35" t="s">
        <v>1353</v>
      </c>
      <c r="DX22" s="34"/>
      <c r="DY22" s="32" t="s">
        <v>1353</v>
      </c>
      <c r="DZ22" s="35" t="s">
        <v>1353</v>
      </c>
      <c r="EA22" s="35"/>
      <c r="EB22" s="35" t="s">
        <v>1353</v>
      </c>
      <c r="EC22" s="34"/>
      <c r="ED22" s="32" t="s">
        <v>1353</v>
      </c>
      <c r="EE22" s="35" t="s">
        <v>1353</v>
      </c>
      <c r="EF22" s="35"/>
      <c r="EG22" s="35" t="s">
        <v>1353</v>
      </c>
      <c r="EH22" s="34"/>
      <c r="EI22" s="32" t="s">
        <v>1353</v>
      </c>
      <c r="EJ22" s="35" t="s">
        <v>1353</v>
      </c>
      <c r="EK22" s="35"/>
      <c r="EL22" s="35" t="s">
        <v>1353</v>
      </c>
      <c r="EM22" s="34"/>
      <c r="EN22" s="32" t="s">
        <v>1353</v>
      </c>
      <c r="EO22" s="35" t="s">
        <v>1353</v>
      </c>
      <c r="EP22" s="35"/>
      <c r="EQ22" s="35" t="s">
        <v>1353</v>
      </c>
      <c r="ER22" s="34"/>
      <c r="ES22" s="32" t="s">
        <v>1353</v>
      </c>
      <c r="ET22" s="35" t="s">
        <v>1353</v>
      </c>
      <c r="EU22" s="35"/>
      <c r="EV22" s="35" t="s">
        <v>1353</v>
      </c>
      <c r="EW22" s="34"/>
      <c r="EX22" s="32" t="s">
        <v>1353</v>
      </c>
      <c r="EY22" s="35" t="s">
        <v>1353</v>
      </c>
      <c r="EZ22" s="35"/>
      <c r="FA22" s="35" t="s">
        <v>1353</v>
      </c>
      <c r="FB22" s="34"/>
      <c r="FC22" s="32" t="s">
        <v>1353</v>
      </c>
      <c r="FD22" s="35" t="s">
        <v>1353</v>
      </c>
      <c r="FE22" s="35"/>
      <c r="FF22" s="35" t="s">
        <v>1353</v>
      </c>
      <c r="FG22" s="34"/>
      <c r="FH22" s="32" t="s">
        <v>1353</v>
      </c>
      <c r="FI22" s="35" t="s">
        <v>1353</v>
      </c>
      <c r="FJ22" s="35"/>
      <c r="FK22" s="35" t="s">
        <v>1353</v>
      </c>
      <c r="FL22" s="34"/>
      <c r="FM22" s="32" t="s">
        <v>1353</v>
      </c>
      <c r="FN22" s="35" t="s">
        <v>1353</v>
      </c>
      <c r="FO22" s="35"/>
      <c r="FP22" s="35" t="s">
        <v>1353</v>
      </c>
      <c r="FQ22" s="34"/>
      <c r="FR22" s="32" t="s">
        <v>1353</v>
      </c>
      <c r="FS22" s="35" t="s">
        <v>1353</v>
      </c>
      <c r="FT22" s="35"/>
      <c r="FU22" s="35" t="s">
        <v>1353</v>
      </c>
      <c r="FV22" s="34"/>
      <c r="FW22" s="32" t="s">
        <v>1353</v>
      </c>
      <c r="FX22" s="35" t="s">
        <v>1353</v>
      </c>
      <c r="FY22" s="35"/>
      <c r="FZ22" s="35" t="s">
        <v>1353</v>
      </c>
      <c r="GA22" s="34"/>
      <c r="GB22" s="32" t="s">
        <v>1353</v>
      </c>
      <c r="GC22" s="35" t="s">
        <v>1353</v>
      </c>
      <c r="GD22" s="35"/>
      <c r="GE22" s="35" t="s">
        <v>1353</v>
      </c>
      <c r="GF22" s="34"/>
    </row>
    <row r="23" spans="1:188">
      <c r="A23" s="18" t="s">
        <v>1365</v>
      </c>
      <c r="B23" s="18" t="str" cm="1">
        <f t="array" aca="1" ref="B23" ca="1">INDIRECT("'" &amp; A23 &amp; "'!F3")</f>
        <v>Jessica BC</v>
      </c>
      <c r="C23" s="18" t="str" cm="1">
        <f t="array" aca="1" ref="C23" ca="1">INDIRECT("'" &amp; A23 &amp; "'!F4")</f>
        <v>Margaret 'Doc' Kane</v>
      </c>
      <c r="D23" s="32" t="s">
        <v>1352</v>
      </c>
      <c r="E23" s="35">
        <v>3</v>
      </c>
      <c r="F23" s="35" t="s">
        <v>1353</v>
      </c>
      <c r="G23" s="35" t="s">
        <v>1353</v>
      </c>
      <c r="H23" s="34" t="s">
        <v>1354</v>
      </c>
      <c r="I23" s="32" t="s">
        <v>1353</v>
      </c>
      <c r="J23" s="35" t="s">
        <v>1353</v>
      </c>
      <c r="K23" s="35"/>
      <c r="L23" s="35" t="s">
        <v>1353</v>
      </c>
      <c r="M23" s="34"/>
      <c r="N23" s="32" t="s">
        <v>1353</v>
      </c>
      <c r="O23" s="35" t="s">
        <v>1353</v>
      </c>
      <c r="P23" s="35"/>
      <c r="Q23" s="35" t="s">
        <v>1353</v>
      </c>
      <c r="R23" s="34"/>
      <c r="S23" s="32" t="s">
        <v>1353</v>
      </c>
      <c r="T23" s="35" t="s">
        <v>1353</v>
      </c>
      <c r="U23" s="35"/>
      <c r="V23" s="35" t="s">
        <v>1353</v>
      </c>
      <c r="W23" s="34"/>
      <c r="X23" s="32" t="s">
        <v>1353</v>
      </c>
      <c r="Y23" s="35" t="s">
        <v>1353</v>
      </c>
      <c r="Z23" s="35"/>
      <c r="AA23" s="35" t="s">
        <v>1353</v>
      </c>
      <c r="AB23" s="34"/>
      <c r="AC23" s="32" t="s">
        <v>1353</v>
      </c>
      <c r="AD23" s="35" t="s">
        <v>1353</v>
      </c>
      <c r="AE23" s="35"/>
      <c r="AF23" s="35" t="s">
        <v>1353</v>
      </c>
      <c r="AG23" s="34"/>
      <c r="AH23" s="32" t="s">
        <v>1353</v>
      </c>
      <c r="AI23" s="35" t="s">
        <v>1353</v>
      </c>
      <c r="AJ23" s="35"/>
      <c r="AK23" s="35" t="s">
        <v>1353</v>
      </c>
      <c r="AL23" s="34"/>
      <c r="AM23" s="32" t="s">
        <v>1353</v>
      </c>
      <c r="AN23" s="35" t="s">
        <v>1353</v>
      </c>
      <c r="AO23" s="35"/>
      <c r="AP23" s="35" t="s">
        <v>1353</v>
      </c>
      <c r="AQ23" s="34"/>
      <c r="AR23" s="32" t="s">
        <v>1353</v>
      </c>
      <c r="AS23" s="35" t="s">
        <v>1353</v>
      </c>
      <c r="AT23" s="35"/>
      <c r="AU23" s="35" t="s">
        <v>1353</v>
      </c>
      <c r="AV23" s="34"/>
      <c r="AW23" s="32" t="s">
        <v>1353</v>
      </c>
      <c r="AX23" s="35" t="s">
        <v>1353</v>
      </c>
      <c r="AY23" s="35"/>
      <c r="AZ23" s="35" t="s">
        <v>1353</v>
      </c>
      <c r="BA23" s="34"/>
      <c r="BB23" s="32" t="s">
        <v>1353</v>
      </c>
      <c r="BC23" s="35" t="s">
        <v>1353</v>
      </c>
      <c r="BD23" s="35"/>
      <c r="BE23" s="35" t="s">
        <v>1353</v>
      </c>
      <c r="BF23" s="34"/>
      <c r="BG23" s="32" t="s">
        <v>1353</v>
      </c>
      <c r="BH23" s="35" t="s">
        <v>1353</v>
      </c>
      <c r="BI23" s="35"/>
      <c r="BJ23" s="35" t="s">
        <v>1353</v>
      </c>
      <c r="BK23" s="34"/>
      <c r="BL23" s="32" t="s">
        <v>1353</v>
      </c>
      <c r="BM23" s="35" t="s">
        <v>1353</v>
      </c>
      <c r="BN23" s="35"/>
      <c r="BO23" s="35" t="s">
        <v>1353</v>
      </c>
      <c r="BP23" s="34"/>
      <c r="BQ23" s="32" t="s">
        <v>1353</v>
      </c>
      <c r="BR23" s="35" t="s">
        <v>1353</v>
      </c>
      <c r="BS23" s="35"/>
      <c r="BT23" s="35" t="s">
        <v>1353</v>
      </c>
      <c r="BU23" s="34"/>
      <c r="BV23" s="32" t="s">
        <v>1353</v>
      </c>
      <c r="BW23" s="35" t="s">
        <v>1353</v>
      </c>
      <c r="BX23" s="35"/>
      <c r="BY23" s="35" t="s">
        <v>1353</v>
      </c>
      <c r="BZ23" s="34"/>
      <c r="CA23" s="32" t="s">
        <v>1353</v>
      </c>
      <c r="CB23" s="35" t="s">
        <v>1353</v>
      </c>
      <c r="CC23" s="35"/>
      <c r="CD23" s="35" t="s">
        <v>1353</v>
      </c>
      <c r="CE23" s="34"/>
      <c r="CF23" s="32" t="s">
        <v>1353</v>
      </c>
      <c r="CG23" s="35" t="s">
        <v>1353</v>
      </c>
      <c r="CH23" s="35"/>
      <c r="CI23" s="35" t="s">
        <v>1353</v>
      </c>
      <c r="CJ23" s="34"/>
      <c r="CK23" s="32" t="s">
        <v>1353</v>
      </c>
      <c r="CL23" s="35" t="s">
        <v>1353</v>
      </c>
      <c r="CM23" s="35"/>
      <c r="CN23" s="35" t="s">
        <v>1353</v>
      </c>
      <c r="CO23" s="34"/>
      <c r="CP23" s="32" t="s">
        <v>1353</v>
      </c>
      <c r="CQ23" s="35" t="s">
        <v>1353</v>
      </c>
      <c r="CR23" s="35"/>
      <c r="CS23" s="35" t="s">
        <v>1353</v>
      </c>
      <c r="CT23" s="34"/>
      <c r="CU23" s="32" t="s">
        <v>1353</v>
      </c>
      <c r="CV23" s="35" t="s">
        <v>1353</v>
      </c>
      <c r="CW23" s="35"/>
      <c r="CX23" s="35" t="s">
        <v>1353</v>
      </c>
      <c r="CY23" s="34"/>
      <c r="CZ23" s="32" t="s">
        <v>1353</v>
      </c>
      <c r="DA23" s="35" t="s">
        <v>1353</v>
      </c>
      <c r="DB23" s="35"/>
      <c r="DC23" s="35" t="s">
        <v>1353</v>
      </c>
      <c r="DD23" s="34"/>
      <c r="DE23" s="32" t="s">
        <v>1353</v>
      </c>
      <c r="DF23" s="35" t="s">
        <v>1353</v>
      </c>
      <c r="DG23" s="35"/>
      <c r="DH23" s="35" t="s">
        <v>1353</v>
      </c>
      <c r="DI23" s="34"/>
      <c r="DJ23" s="32" t="s">
        <v>1353</v>
      </c>
      <c r="DK23" s="35" t="s">
        <v>1353</v>
      </c>
      <c r="DL23" s="35"/>
      <c r="DM23" s="35" t="s">
        <v>1353</v>
      </c>
      <c r="DN23" s="34"/>
      <c r="DO23" s="32" t="s">
        <v>1353</v>
      </c>
      <c r="DP23" s="35" t="s">
        <v>1353</v>
      </c>
      <c r="DQ23" s="35"/>
      <c r="DR23" s="35" t="s">
        <v>1353</v>
      </c>
      <c r="DS23" s="34"/>
      <c r="DT23" s="32" t="s">
        <v>1353</v>
      </c>
      <c r="DU23" s="35" t="s">
        <v>1353</v>
      </c>
      <c r="DV23" s="35"/>
      <c r="DW23" s="35" t="s">
        <v>1353</v>
      </c>
      <c r="DX23" s="34"/>
      <c r="DY23" s="32" t="s">
        <v>1353</v>
      </c>
      <c r="DZ23" s="35" t="s">
        <v>1353</v>
      </c>
      <c r="EA23" s="35"/>
      <c r="EB23" s="35" t="s">
        <v>1353</v>
      </c>
      <c r="EC23" s="34"/>
      <c r="ED23" s="32" t="s">
        <v>1353</v>
      </c>
      <c r="EE23" s="35" t="s">
        <v>1353</v>
      </c>
      <c r="EF23" s="35"/>
      <c r="EG23" s="35" t="s">
        <v>1353</v>
      </c>
      <c r="EH23" s="34"/>
      <c r="EI23" s="32" t="s">
        <v>1353</v>
      </c>
      <c r="EJ23" s="35" t="s">
        <v>1353</v>
      </c>
      <c r="EK23" s="35"/>
      <c r="EL23" s="35" t="s">
        <v>1353</v>
      </c>
      <c r="EM23" s="34"/>
      <c r="EN23" s="32" t="s">
        <v>1353</v>
      </c>
      <c r="EO23" s="35" t="s">
        <v>1353</v>
      </c>
      <c r="EP23" s="35"/>
      <c r="EQ23" s="35" t="s">
        <v>1353</v>
      </c>
      <c r="ER23" s="34"/>
      <c r="ES23" s="32" t="s">
        <v>1353</v>
      </c>
      <c r="ET23" s="35" t="s">
        <v>1353</v>
      </c>
      <c r="EU23" s="35"/>
      <c r="EV23" s="35" t="s">
        <v>1353</v>
      </c>
      <c r="EW23" s="34"/>
      <c r="EX23" s="32" t="s">
        <v>1353</v>
      </c>
      <c r="EY23" s="35" t="s">
        <v>1353</v>
      </c>
      <c r="EZ23" s="35"/>
      <c r="FA23" s="35" t="s">
        <v>1353</v>
      </c>
      <c r="FB23" s="34"/>
      <c r="FC23" s="32" t="s">
        <v>1353</v>
      </c>
      <c r="FD23" s="35" t="s">
        <v>1353</v>
      </c>
      <c r="FE23" s="35"/>
      <c r="FF23" s="35" t="s">
        <v>1353</v>
      </c>
      <c r="FG23" s="34"/>
      <c r="FH23" s="32" t="s">
        <v>1353</v>
      </c>
      <c r="FI23" s="35" t="s">
        <v>1353</v>
      </c>
      <c r="FJ23" s="35"/>
      <c r="FK23" s="35" t="s">
        <v>1353</v>
      </c>
      <c r="FL23" s="34"/>
      <c r="FM23" s="32" t="s">
        <v>1353</v>
      </c>
      <c r="FN23" s="35" t="s">
        <v>1353</v>
      </c>
      <c r="FO23" s="35"/>
      <c r="FP23" s="35" t="s">
        <v>1353</v>
      </c>
      <c r="FQ23" s="34"/>
      <c r="FR23" s="32" t="s">
        <v>1353</v>
      </c>
      <c r="FS23" s="35" t="s">
        <v>1353</v>
      </c>
      <c r="FT23" s="35"/>
      <c r="FU23" s="35" t="s">
        <v>1353</v>
      </c>
      <c r="FV23" s="34"/>
      <c r="FW23" s="32" t="s">
        <v>1353</v>
      </c>
      <c r="FX23" s="35" t="s">
        <v>1353</v>
      </c>
      <c r="FY23" s="35"/>
      <c r="FZ23" s="35" t="s">
        <v>1353</v>
      </c>
      <c r="GA23" s="34"/>
      <c r="GB23" s="32" t="s">
        <v>1353</v>
      </c>
      <c r="GC23" s="35" t="s">
        <v>1353</v>
      </c>
      <c r="GD23" s="35"/>
      <c r="GE23" s="35" t="s">
        <v>1353</v>
      </c>
      <c r="GF23" s="34"/>
    </row>
    <row r="24" spans="1:188">
      <c r="A24" s="18" t="s">
        <v>1366</v>
      </c>
      <c r="B24" s="18" t="str" cm="1">
        <f t="array" aca="1" ref="B24" ca="1">INDIRECT("'" &amp; A24 &amp; "'!F3")</f>
        <v>Arlo V</v>
      </c>
      <c r="C24" s="18" t="str" cm="1">
        <f t="array" aca="1" ref="C24" ca="1">INDIRECT("'" &amp; A24 &amp; "'!F4")</f>
        <v>Edna Judge</v>
      </c>
      <c r="D24" s="32" t="s">
        <v>1367</v>
      </c>
      <c r="E24" s="35">
        <v>3</v>
      </c>
      <c r="F24" s="35" t="s">
        <v>1353</v>
      </c>
      <c r="G24" s="35" t="s">
        <v>1353</v>
      </c>
      <c r="H24" s="34" t="s">
        <v>1354</v>
      </c>
      <c r="I24" s="32" t="s">
        <v>1353</v>
      </c>
      <c r="J24" s="35" t="s">
        <v>1353</v>
      </c>
      <c r="K24" s="35"/>
      <c r="L24" s="35" t="s">
        <v>1353</v>
      </c>
      <c r="M24" s="34"/>
      <c r="N24" s="32" t="s">
        <v>1353</v>
      </c>
      <c r="O24" s="35" t="s">
        <v>1353</v>
      </c>
      <c r="P24" s="35"/>
      <c r="Q24" s="35" t="s">
        <v>1353</v>
      </c>
      <c r="R24" s="34"/>
      <c r="S24" s="32" t="s">
        <v>1353</v>
      </c>
      <c r="T24" s="35" t="s">
        <v>1353</v>
      </c>
      <c r="U24" s="35"/>
      <c r="V24" s="35" t="s">
        <v>1353</v>
      </c>
      <c r="W24" s="34"/>
      <c r="X24" s="32" t="s">
        <v>1353</v>
      </c>
      <c r="Y24" s="35" t="s">
        <v>1353</v>
      </c>
      <c r="Z24" s="35"/>
      <c r="AA24" s="35" t="s">
        <v>1353</v>
      </c>
      <c r="AB24" s="34"/>
      <c r="AC24" s="32" t="s">
        <v>1353</v>
      </c>
      <c r="AD24" s="35" t="s">
        <v>1353</v>
      </c>
      <c r="AE24" s="35"/>
      <c r="AF24" s="35" t="s">
        <v>1353</v>
      </c>
      <c r="AG24" s="34"/>
      <c r="AH24" s="32" t="s">
        <v>1353</v>
      </c>
      <c r="AI24" s="35" t="s">
        <v>1353</v>
      </c>
      <c r="AJ24" s="35"/>
      <c r="AK24" s="35" t="s">
        <v>1353</v>
      </c>
      <c r="AL24" s="34"/>
      <c r="AM24" s="32" t="s">
        <v>1353</v>
      </c>
      <c r="AN24" s="35" t="s">
        <v>1353</v>
      </c>
      <c r="AO24" s="35"/>
      <c r="AP24" s="35" t="s">
        <v>1353</v>
      </c>
      <c r="AQ24" s="34"/>
      <c r="AR24" s="32" t="s">
        <v>1353</v>
      </c>
      <c r="AS24" s="35" t="s">
        <v>1353</v>
      </c>
      <c r="AT24" s="35"/>
      <c r="AU24" s="35" t="s">
        <v>1353</v>
      </c>
      <c r="AV24" s="34"/>
      <c r="AW24" s="32" t="s">
        <v>1353</v>
      </c>
      <c r="AX24" s="35" t="s">
        <v>1353</v>
      </c>
      <c r="AY24" s="35"/>
      <c r="AZ24" s="35" t="s">
        <v>1353</v>
      </c>
      <c r="BA24" s="34"/>
      <c r="BB24" s="32" t="s">
        <v>1353</v>
      </c>
      <c r="BC24" s="35" t="s">
        <v>1353</v>
      </c>
      <c r="BD24" s="35"/>
      <c r="BE24" s="35" t="s">
        <v>1353</v>
      </c>
      <c r="BF24" s="34"/>
      <c r="BG24" s="32" t="s">
        <v>1353</v>
      </c>
      <c r="BH24" s="35" t="s">
        <v>1353</v>
      </c>
      <c r="BI24" s="35"/>
      <c r="BJ24" s="35" t="s">
        <v>1353</v>
      </c>
      <c r="BK24" s="34"/>
      <c r="BL24" s="32" t="s">
        <v>1353</v>
      </c>
      <c r="BM24" s="35" t="s">
        <v>1353</v>
      </c>
      <c r="BN24" s="35"/>
      <c r="BO24" s="35" t="s">
        <v>1353</v>
      </c>
      <c r="BP24" s="34"/>
      <c r="BQ24" s="32" t="s">
        <v>1353</v>
      </c>
      <c r="BR24" s="35" t="s">
        <v>1353</v>
      </c>
      <c r="BS24" s="35"/>
      <c r="BT24" s="35" t="s">
        <v>1353</v>
      </c>
      <c r="BU24" s="34"/>
      <c r="BV24" s="32" t="s">
        <v>1353</v>
      </c>
      <c r="BW24" s="35" t="s">
        <v>1353</v>
      </c>
      <c r="BX24" s="35"/>
      <c r="BY24" s="35" t="s">
        <v>1353</v>
      </c>
      <c r="BZ24" s="34"/>
      <c r="CA24" s="32" t="s">
        <v>1353</v>
      </c>
      <c r="CB24" s="35" t="s">
        <v>1353</v>
      </c>
      <c r="CC24" s="35"/>
      <c r="CD24" s="35" t="s">
        <v>1353</v>
      </c>
      <c r="CE24" s="34"/>
      <c r="CF24" s="32" t="s">
        <v>1353</v>
      </c>
      <c r="CG24" s="35" t="s">
        <v>1353</v>
      </c>
      <c r="CH24" s="35"/>
      <c r="CI24" s="35" t="s">
        <v>1353</v>
      </c>
      <c r="CJ24" s="34"/>
      <c r="CK24" s="32" t="s">
        <v>1353</v>
      </c>
      <c r="CL24" s="35" t="s">
        <v>1353</v>
      </c>
      <c r="CM24" s="35"/>
      <c r="CN24" s="35" t="s">
        <v>1353</v>
      </c>
      <c r="CO24" s="34"/>
      <c r="CP24" s="32" t="s">
        <v>1353</v>
      </c>
      <c r="CQ24" s="35" t="s">
        <v>1353</v>
      </c>
      <c r="CR24" s="35"/>
      <c r="CS24" s="35" t="s">
        <v>1353</v>
      </c>
      <c r="CT24" s="34"/>
      <c r="CU24" s="32" t="s">
        <v>1353</v>
      </c>
      <c r="CV24" s="35" t="s">
        <v>1353</v>
      </c>
      <c r="CW24" s="35"/>
      <c r="CX24" s="35" t="s">
        <v>1353</v>
      </c>
      <c r="CY24" s="34"/>
      <c r="CZ24" s="32" t="s">
        <v>1353</v>
      </c>
      <c r="DA24" s="35" t="s">
        <v>1353</v>
      </c>
      <c r="DB24" s="35"/>
      <c r="DC24" s="35" t="s">
        <v>1353</v>
      </c>
      <c r="DD24" s="34"/>
      <c r="DE24" s="32" t="s">
        <v>1353</v>
      </c>
      <c r="DF24" s="35" t="s">
        <v>1353</v>
      </c>
      <c r="DG24" s="35"/>
      <c r="DH24" s="35" t="s">
        <v>1353</v>
      </c>
      <c r="DI24" s="34"/>
      <c r="DJ24" s="32" t="s">
        <v>1353</v>
      </c>
      <c r="DK24" s="35" t="s">
        <v>1353</v>
      </c>
      <c r="DL24" s="35"/>
      <c r="DM24" s="35" t="s">
        <v>1353</v>
      </c>
      <c r="DN24" s="34"/>
      <c r="DO24" s="32" t="s">
        <v>1353</v>
      </c>
      <c r="DP24" s="35" t="s">
        <v>1353</v>
      </c>
      <c r="DQ24" s="35"/>
      <c r="DR24" s="35" t="s">
        <v>1353</v>
      </c>
      <c r="DS24" s="34"/>
      <c r="DT24" s="32" t="s">
        <v>1353</v>
      </c>
      <c r="DU24" s="35" t="s">
        <v>1353</v>
      </c>
      <c r="DV24" s="35"/>
      <c r="DW24" s="35" t="s">
        <v>1353</v>
      </c>
      <c r="DX24" s="34"/>
      <c r="DY24" s="32" t="s">
        <v>1353</v>
      </c>
      <c r="DZ24" s="35" t="s">
        <v>1353</v>
      </c>
      <c r="EA24" s="35"/>
      <c r="EB24" s="35" t="s">
        <v>1353</v>
      </c>
      <c r="EC24" s="34"/>
      <c r="ED24" s="32" t="s">
        <v>1353</v>
      </c>
      <c r="EE24" s="35" t="s">
        <v>1353</v>
      </c>
      <c r="EF24" s="35"/>
      <c r="EG24" s="35" t="s">
        <v>1353</v>
      </c>
      <c r="EH24" s="34"/>
      <c r="EI24" s="32" t="s">
        <v>1353</v>
      </c>
      <c r="EJ24" s="35" t="s">
        <v>1353</v>
      </c>
      <c r="EK24" s="35"/>
      <c r="EL24" s="35" t="s">
        <v>1353</v>
      </c>
      <c r="EM24" s="34"/>
      <c r="EN24" s="32" t="s">
        <v>1353</v>
      </c>
      <c r="EO24" s="35" t="s">
        <v>1353</v>
      </c>
      <c r="EP24" s="35"/>
      <c r="EQ24" s="35" t="s">
        <v>1353</v>
      </c>
      <c r="ER24" s="34"/>
      <c r="ES24" s="32" t="s">
        <v>1353</v>
      </c>
      <c r="ET24" s="35" t="s">
        <v>1353</v>
      </c>
      <c r="EU24" s="35"/>
      <c r="EV24" s="35" t="s">
        <v>1353</v>
      </c>
      <c r="EW24" s="34"/>
      <c r="EX24" s="32" t="s">
        <v>1353</v>
      </c>
      <c r="EY24" s="35" t="s">
        <v>1353</v>
      </c>
      <c r="EZ24" s="35"/>
      <c r="FA24" s="35" t="s">
        <v>1353</v>
      </c>
      <c r="FB24" s="34"/>
      <c r="FC24" s="32" t="s">
        <v>1353</v>
      </c>
      <c r="FD24" s="35" t="s">
        <v>1353</v>
      </c>
      <c r="FE24" s="35"/>
      <c r="FF24" s="35" t="s">
        <v>1353</v>
      </c>
      <c r="FG24" s="34"/>
      <c r="FH24" s="32" t="s">
        <v>1353</v>
      </c>
      <c r="FI24" s="35" t="s">
        <v>1353</v>
      </c>
      <c r="FJ24" s="35"/>
      <c r="FK24" s="35" t="s">
        <v>1353</v>
      </c>
      <c r="FL24" s="34"/>
      <c r="FM24" s="32" t="s">
        <v>1353</v>
      </c>
      <c r="FN24" s="35" t="s">
        <v>1353</v>
      </c>
      <c r="FO24" s="35"/>
      <c r="FP24" s="35" t="s">
        <v>1353</v>
      </c>
      <c r="FQ24" s="34"/>
      <c r="FR24" s="32" t="s">
        <v>1353</v>
      </c>
      <c r="FS24" s="35" t="s">
        <v>1353</v>
      </c>
      <c r="FT24" s="35"/>
      <c r="FU24" s="35" t="s">
        <v>1353</v>
      </c>
      <c r="FV24" s="34"/>
      <c r="FW24" s="32" t="s">
        <v>1353</v>
      </c>
      <c r="FX24" s="35" t="s">
        <v>1353</v>
      </c>
      <c r="FY24" s="35"/>
      <c r="FZ24" s="35" t="s">
        <v>1353</v>
      </c>
      <c r="GA24" s="34"/>
      <c r="GB24" s="32" t="s">
        <v>1353</v>
      </c>
      <c r="GC24" s="35" t="s">
        <v>1353</v>
      </c>
      <c r="GD24" s="35"/>
      <c r="GE24" s="35" t="s">
        <v>1353</v>
      </c>
      <c r="GF24" s="34"/>
    </row>
    <row r="25" spans="1:188">
      <c r="A25" s="18" t="s">
        <v>1368</v>
      </c>
      <c r="B25" s="18" t="str" cm="1">
        <f t="array" aca="1" ref="B25" ca="1">INDIRECT("'" &amp; A25 &amp; "'!F3")</f>
        <v>Nathan H</v>
      </c>
      <c r="C25" s="18" t="str" cm="1">
        <f t="array" aca="1" ref="C25" ca="1">INDIRECT("'" &amp; A25 &amp; "'!F4")</f>
        <v>Einar Solveig</v>
      </c>
      <c r="D25" s="32" t="s">
        <v>1367</v>
      </c>
      <c r="E25" s="35">
        <v>3</v>
      </c>
      <c r="F25" s="35" t="s">
        <v>1353</v>
      </c>
      <c r="G25" s="35" t="s">
        <v>1353</v>
      </c>
      <c r="H25" s="34" t="s">
        <v>1369</v>
      </c>
      <c r="I25" s="32" t="s">
        <v>1353</v>
      </c>
      <c r="J25" s="35" t="s">
        <v>1353</v>
      </c>
      <c r="K25" s="35"/>
      <c r="L25" s="35" t="s">
        <v>1353</v>
      </c>
      <c r="M25" s="34"/>
      <c r="N25" s="32" t="s">
        <v>1353</v>
      </c>
      <c r="O25" s="35" t="s">
        <v>1353</v>
      </c>
      <c r="P25" s="35"/>
      <c r="Q25" s="35" t="s">
        <v>1353</v>
      </c>
      <c r="R25" s="34"/>
      <c r="S25" s="32" t="s">
        <v>1353</v>
      </c>
      <c r="T25" s="35" t="s">
        <v>1353</v>
      </c>
      <c r="U25" s="35"/>
      <c r="V25" s="35" t="s">
        <v>1353</v>
      </c>
      <c r="W25" s="34"/>
      <c r="X25" s="32" t="s">
        <v>1353</v>
      </c>
      <c r="Y25" s="35" t="s">
        <v>1353</v>
      </c>
      <c r="Z25" s="35"/>
      <c r="AA25" s="35" t="s">
        <v>1353</v>
      </c>
      <c r="AB25" s="34"/>
      <c r="AC25" s="32" t="s">
        <v>1353</v>
      </c>
      <c r="AD25" s="35" t="s">
        <v>1353</v>
      </c>
      <c r="AE25" s="35"/>
      <c r="AF25" s="35" t="s">
        <v>1353</v>
      </c>
      <c r="AG25" s="34"/>
      <c r="AH25" s="32" t="s">
        <v>1353</v>
      </c>
      <c r="AI25" s="35" t="s">
        <v>1353</v>
      </c>
      <c r="AJ25" s="35"/>
      <c r="AK25" s="35" t="s">
        <v>1353</v>
      </c>
      <c r="AL25" s="34"/>
      <c r="AM25" s="32" t="s">
        <v>1353</v>
      </c>
      <c r="AN25" s="35" t="s">
        <v>1353</v>
      </c>
      <c r="AO25" s="35"/>
      <c r="AP25" s="35" t="s">
        <v>1353</v>
      </c>
      <c r="AQ25" s="34"/>
      <c r="AR25" s="32" t="s">
        <v>1353</v>
      </c>
      <c r="AS25" s="35" t="s">
        <v>1353</v>
      </c>
      <c r="AT25" s="35"/>
      <c r="AU25" s="35" t="s">
        <v>1353</v>
      </c>
      <c r="AV25" s="34"/>
      <c r="AW25" s="32" t="s">
        <v>1353</v>
      </c>
      <c r="AX25" s="35" t="s">
        <v>1353</v>
      </c>
      <c r="AY25" s="35"/>
      <c r="AZ25" s="35" t="s">
        <v>1353</v>
      </c>
      <c r="BA25" s="34"/>
      <c r="BB25" s="32" t="s">
        <v>1353</v>
      </c>
      <c r="BC25" s="35" t="s">
        <v>1353</v>
      </c>
      <c r="BD25" s="35"/>
      <c r="BE25" s="35" t="s">
        <v>1353</v>
      </c>
      <c r="BF25" s="34"/>
      <c r="BG25" s="32" t="s">
        <v>1353</v>
      </c>
      <c r="BH25" s="35" t="s">
        <v>1353</v>
      </c>
      <c r="BI25" s="35"/>
      <c r="BJ25" s="35" t="s">
        <v>1353</v>
      </c>
      <c r="BK25" s="34"/>
      <c r="BL25" s="32" t="s">
        <v>1353</v>
      </c>
      <c r="BM25" s="35" t="s">
        <v>1353</v>
      </c>
      <c r="BN25" s="35"/>
      <c r="BO25" s="35" t="s">
        <v>1353</v>
      </c>
      <c r="BP25" s="34"/>
      <c r="BQ25" s="32" t="s">
        <v>1353</v>
      </c>
      <c r="BR25" s="35" t="s">
        <v>1353</v>
      </c>
      <c r="BS25" s="35"/>
      <c r="BT25" s="35" t="s">
        <v>1353</v>
      </c>
      <c r="BU25" s="34"/>
      <c r="BV25" s="32" t="s">
        <v>1353</v>
      </c>
      <c r="BW25" s="35" t="s">
        <v>1353</v>
      </c>
      <c r="BX25" s="35"/>
      <c r="BY25" s="35" t="s">
        <v>1353</v>
      </c>
      <c r="BZ25" s="34"/>
      <c r="CA25" s="32" t="s">
        <v>1353</v>
      </c>
      <c r="CB25" s="35" t="s">
        <v>1353</v>
      </c>
      <c r="CC25" s="35"/>
      <c r="CD25" s="35" t="s">
        <v>1353</v>
      </c>
      <c r="CE25" s="34"/>
      <c r="CF25" s="32" t="s">
        <v>1353</v>
      </c>
      <c r="CG25" s="35" t="s">
        <v>1353</v>
      </c>
      <c r="CH25" s="35"/>
      <c r="CI25" s="35" t="s">
        <v>1353</v>
      </c>
      <c r="CJ25" s="34"/>
      <c r="CK25" s="32" t="s">
        <v>1353</v>
      </c>
      <c r="CL25" s="35" t="s">
        <v>1353</v>
      </c>
      <c r="CM25" s="35"/>
      <c r="CN25" s="35" t="s">
        <v>1353</v>
      </c>
      <c r="CO25" s="34"/>
      <c r="CP25" s="32" t="s">
        <v>1353</v>
      </c>
      <c r="CQ25" s="35" t="s">
        <v>1353</v>
      </c>
      <c r="CR25" s="35"/>
      <c r="CS25" s="35" t="s">
        <v>1353</v>
      </c>
      <c r="CT25" s="34"/>
      <c r="CU25" s="32" t="s">
        <v>1353</v>
      </c>
      <c r="CV25" s="35" t="s">
        <v>1353</v>
      </c>
      <c r="CW25" s="35"/>
      <c r="CX25" s="35" t="s">
        <v>1353</v>
      </c>
      <c r="CY25" s="34"/>
      <c r="CZ25" s="32" t="s">
        <v>1353</v>
      </c>
      <c r="DA25" s="35" t="s">
        <v>1353</v>
      </c>
      <c r="DB25" s="35"/>
      <c r="DC25" s="35" t="s">
        <v>1353</v>
      </c>
      <c r="DD25" s="34"/>
      <c r="DE25" s="32" t="s">
        <v>1353</v>
      </c>
      <c r="DF25" s="35" t="s">
        <v>1353</v>
      </c>
      <c r="DG25" s="35"/>
      <c r="DH25" s="35" t="s">
        <v>1353</v>
      </c>
      <c r="DI25" s="34"/>
      <c r="DJ25" s="32" t="s">
        <v>1353</v>
      </c>
      <c r="DK25" s="35" t="s">
        <v>1353</v>
      </c>
      <c r="DL25" s="35"/>
      <c r="DM25" s="35" t="s">
        <v>1353</v>
      </c>
      <c r="DN25" s="34"/>
      <c r="DO25" s="32" t="s">
        <v>1353</v>
      </c>
      <c r="DP25" s="35" t="s">
        <v>1353</v>
      </c>
      <c r="DQ25" s="35"/>
      <c r="DR25" s="35" t="s">
        <v>1353</v>
      </c>
      <c r="DS25" s="34"/>
      <c r="DT25" s="32" t="s">
        <v>1353</v>
      </c>
      <c r="DU25" s="35" t="s">
        <v>1353</v>
      </c>
      <c r="DV25" s="35"/>
      <c r="DW25" s="35" t="s">
        <v>1353</v>
      </c>
      <c r="DX25" s="34"/>
      <c r="DY25" s="32" t="s">
        <v>1353</v>
      </c>
      <c r="DZ25" s="35" t="s">
        <v>1353</v>
      </c>
      <c r="EA25" s="35"/>
      <c r="EB25" s="35" t="s">
        <v>1353</v>
      </c>
      <c r="EC25" s="34"/>
      <c r="ED25" s="32" t="s">
        <v>1353</v>
      </c>
      <c r="EE25" s="35" t="s">
        <v>1353</v>
      </c>
      <c r="EF25" s="35"/>
      <c r="EG25" s="35" t="s">
        <v>1353</v>
      </c>
      <c r="EH25" s="34"/>
      <c r="EI25" s="32" t="s">
        <v>1353</v>
      </c>
      <c r="EJ25" s="35" t="s">
        <v>1353</v>
      </c>
      <c r="EK25" s="35"/>
      <c r="EL25" s="35" t="s">
        <v>1353</v>
      </c>
      <c r="EM25" s="34"/>
      <c r="EN25" s="32" t="s">
        <v>1353</v>
      </c>
      <c r="EO25" s="35" t="s">
        <v>1353</v>
      </c>
      <c r="EP25" s="35"/>
      <c r="EQ25" s="35" t="s">
        <v>1353</v>
      </c>
      <c r="ER25" s="34"/>
      <c r="ES25" s="32" t="s">
        <v>1353</v>
      </c>
      <c r="ET25" s="35" t="s">
        <v>1353</v>
      </c>
      <c r="EU25" s="35"/>
      <c r="EV25" s="35" t="s">
        <v>1353</v>
      </c>
      <c r="EW25" s="34"/>
      <c r="EX25" s="32" t="s">
        <v>1353</v>
      </c>
      <c r="EY25" s="35" t="s">
        <v>1353</v>
      </c>
      <c r="EZ25" s="35"/>
      <c r="FA25" s="35" t="s">
        <v>1353</v>
      </c>
      <c r="FB25" s="34"/>
      <c r="FC25" s="32" t="s">
        <v>1353</v>
      </c>
      <c r="FD25" s="35" t="s">
        <v>1353</v>
      </c>
      <c r="FE25" s="35"/>
      <c r="FF25" s="35" t="s">
        <v>1353</v>
      </c>
      <c r="FG25" s="34"/>
      <c r="FH25" s="32" t="s">
        <v>1353</v>
      </c>
      <c r="FI25" s="35" t="s">
        <v>1353</v>
      </c>
      <c r="FJ25" s="35"/>
      <c r="FK25" s="35" t="s">
        <v>1353</v>
      </c>
      <c r="FL25" s="34"/>
      <c r="FM25" s="32" t="s">
        <v>1353</v>
      </c>
      <c r="FN25" s="35" t="s">
        <v>1353</v>
      </c>
      <c r="FO25" s="35"/>
      <c r="FP25" s="35" t="s">
        <v>1353</v>
      </c>
      <c r="FQ25" s="34"/>
      <c r="FR25" s="32" t="s">
        <v>1353</v>
      </c>
      <c r="FS25" s="35" t="s">
        <v>1353</v>
      </c>
      <c r="FT25" s="35"/>
      <c r="FU25" s="35" t="s">
        <v>1353</v>
      </c>
      <c r="FV25" s="34"/>
      <c r="FW25" s="32" t="s">
        <v>1353</v>
      </c>
      <c r="FX25" s="35" t="s">
        <v>1353</v>
      </c>
      <c r="FY25" s="35"/>
      <c r="FZ25" s="35" t="s">
        <v>1353</v>
      </c>
      <c r="GA25" s="34"/>
      <c r="GB25" s="32" t="s">
        <v>1353</v>
      </c>
      <c r="GC25" s="35" t="s">
        <v>1353</v>
      </c>
      <c r="GD25" s="35"/>
      <c r="GE25" s="35" t="s">
        <v>1353</v>
      </c>
      <c r="GF25" s="34"/>
    </row>
    <row r="26" spans="1:188">
      <c r="A26" s="18" t="s">
        <v>1370</v>
      </c>
      <c r="B26" s="18" t="str" cm="1">
        <f t="array" aca="1" ref="B26" ca="1">INDIRECT("'" &amp; A26 &amp; "'!F3")</f>
        <v>Jamie</v>
      </c>
      <c r="C26" s="18" t="str" cm="1">
        <f t="array" aca="1" ref="C26" ca="1">INDIRECT("'" &amp; A26 &amp; "'!F4")</f>
        <v>Eve Lockridge</v>
      </c>
      <c r="D26" s="32"/>
      <c r="E26" s="35">
        <v>3</v>
      </c>
      <c r="F26" s="35" t="s">
        <v>1353</v>
      </c>
      <c r="G26" s="35" t="s">
        <v>1353</v>
      </c>
      <c r="H26" s="34" t="s">
        <v>1354</v>
      </c>
      <c r="I26" s="32" t="s">
        <v>1353</v>
      </c>
      <c r="J26" s="35" t="s">
        <v>1353</v>
      </c>
      <c r="K26" s="35"/>
      <c r="L26" s="35" t="s">
        <v>1353</v>
      </c>
      <c r="M26" s="34"/>
      <c r="N26" s="32" t="s">
        <v>1353</v>
      </c>
      <c r="O26" s="35" t="s">
        <v>1353</v>
      </c>
      <c r="P26" s="35"/>
      <c r="Q26" s="35" t="s">
        <v>1353</v>
      </c>
      <c r="R26" s="34"/>
      <c r="S26" s="32" t="s">
        <v>1353</v>
      </c>
      <c r="T26" s="35" t="s">
        <v>1353</v>
      </c>
      <c r="U26" s="35"/>
      <c r="V26" s="35" t="s">
        <v>1353</v>
      </c>
      <c r="W26" s="34"/>
      <c r="X26" s="32" t="s">
        <v>1353</v>
      </c>
      <c r="Y26" s="35" t="s">
        <v>1353</v>
      </c>
      <c r="Z26" s="35"/>
      <c r="AA26" s="35" t="s">
        <v>1353</v>
      </c>
      <c r="AB26" s="34"/>
      <c r="AC26" s="32" t="s">
        <v>1353</v>
      </c>
      <c r="AD26" s="35" t="s">
        <v>1353</v>
      </c>
      <c r="AE26" s="35"/>
      <c r="AF26" s="35" t="s">
        <v>1353</v>
      </c>
      <c r="AG26" s="34"/>
      <c r="AH26" s="32" t="s">
        <v>1353</v>
      </c>
      <c r="AI26" s="35" t="s">
        <v>1353</v>
      </c>
      <c r="AJ26" s="35"/>
      <c r="AK26" s="35" t="s">
        <v>1353</v>
      </c>
      <c r="AL26" s="34"/>
      <c r="AM26" s="32" t="s">
        <v>1353</v>
      </c>
      <c r="AN26" s="35" t="s">
        <v>1353</v>
      </c>
      <c r="AO26" s="35"/>
      <c r="AP26" s="35" t="s">
        <v>1353</v>
      </c>
      <c r="AQ26" s="34"/>
      <c r="AR26" s="32" t="s">
        <v>1353</v>
      </c>
      <c r="AS26" s="35" t="s">
        <v>1353</v>
      </c>
      <c r="AT26" s="35"/>
      <c r="AU26" s="35" t="s">
        <v>1353</v>
      </c>
      <c r="AV26" s="34"/>
      <c r="AW26" s="32" t="s">
        <v>1353</v>
      </c>
      <c r="AX26" s="35" t="s">
        <v>1353</v>
      </c>
      <c r="AY26" s="35"/>
      <c r="AZ26" s="35" t="s">
        <v>1353</v>
      </c>
      <c r="BA26" s="34"/>
      <c r="BB26" s="32" t="s">
        <v>1353</v>
      </c>
      <c r="BC26" s="35" t="s">
        <v>1353</v>
      </c>
      <c r="BD26" s="35"/>
      <c r="BE26" s="35" t="s">
        <v>1353</v>
      </c>
      <c r="BF26" s="34"/>
      <c r="BG26" s="32" t="s">
        <v>1353</v>
      </c>
      <c r="BH26" s="35" t="s">
        <v>1353</v>
      </c>
      <c r="BI26" s="35"/>
      <c r="BJ26" s="35" t="s">
        <v>1353</v>
      </c>
      <c r="BK26" s="34"/>
      <c r="BL26" s="32" t="s">
        <v>1353</v>
      </c>
      <c r="BM26" s="35" t="s">
        <v>1353</v>
      </c>
      <c r="BN26" s="35"/>
      <c r="BO26" s="35" t="s">
        <v>1353</v>
      </c>
      <c r="BP26" s="34"/>
      <c r="BQ26" s="32" t="s">
        <v>1353</v>
      </c>
      <c r="BR26" s="35" t="s">
        <v>1353</v>
      </c>
      <c r="BS26" s="35"/>
      <c r="BT26" s="35" t="s">
        <v>1353</v>
      </c>
      <c r="BU26" s="34"/>
      <c r="BV26" s="32" t="s">
        <v>1353</v>
      </c>
      <c r="BW26" s="35" t="s">
        <v>1353</v>
      </c>
      <c r="BX26" s="35"/>
      <c r="BY26" s="35" t="s">
        <v>1353</v>
      </c>
      <c r="BZ26" s="34"/>
      <c r="CA26" s="32" t="s">
        <v>1353</v>
      </c>
      <c r="CB26" s="35" t="s">
        <v>1353</v>
      </c>
      <c r="CC26" s="35"/>
      <c r="CD26" s="35" t="s">
        <v>1353</v>
      </c>
      <c r="CE26" s="34"/>
      <c r="CF26" s="32" t="s">
        <v>1353</v>
      </c>
      <c r="CG26" s="35" t="s">
        <v>1353</v>
      </c>
      <c r="CH26" s="35"/>
      <c r="CI26" s="35" t="s">
        <v>1353</v>
      </c>
      <c r="CJ26" s="34"/>
      <c r="CK26" s="32" t="s">
        <v>1353</v>
      </c>
      <c r="CL26" s="35" t="s">
        <v>1353</v>
      </c>
      <c r="CM26" s="35"/>
      <c r="CN26" s="35" t="s">
        <v>1353</v>
      </c>
      <c r="CO26" s="34"/>
      <c r="CP26" s="32" t="s">
        <v>1353</v>
      </c>
      <c r="CQ26" s="35" t="s">
        <v>1353</v>
      </c>
      <c r="CR26" s="35"/>
      <c r="CS26" s="35" t="s">
        <v>1353</v>
      </c>
      <c r="CT26" s="34"/>
      <c r="CU26" s="32" t="s">
        <v>1353</v>
      </c>
      <c r="CV26" s="35" t="s">
        <v>1353</v>
      </c>
      <c r="CW26" s="35"/>
      <c r="CX26" s="35" t="s">
        <v>1353</v>
      </c>
      <c r="CY26" s="34"/>
      <c r="CZ26" s="32" t="s">
        <v>1353</v>
      </c>
      <c r="DA26" s="35" t="s">
        <v>1353</v>
      </c>
      <c r="DB26" s="35"/>
      <c r="DC26" s="35" t="s">
        <v>1353</v>
      </c>
      <c r="DD26" s="34"/>
      <c r="DE26" s="32" t="s">
        <v>1353</v>
      </c>
      <c r="DF26" s="35" t="s">
        <v>1353</v>
      </c>
      <c r="DG26" s="35"/>
      <c r="DH26" s="35" t="s">
        <v>1353</v>
      </c>
      <c r="DI26" s="34"/>
      <c r="DJ26" s="32" t="s">
        <v>1353</v>
      </c>
      <c r="DK26" s="35" t="s">
        <v>1353</v>
      </c>
      <c r="DL26" s="35"/>
      <c r="DM26" s="35" t="s">
        <v>1353</v>
      </c>
      <c r="DN26" s="34"/>
      <c r="DO26" s="32" t="s">
        <v>1353</v>
      </c>
      <c r="DP26" s="35" t="s">
        <v>1353</v>
      </c>
      <c r="DQ26" s="35"/>
      <c r="DR26" s="35" t="s">
        <v>1353</v>
      </c>
      <c r="DS26" s="34"/>
      <c r="DT26" s="32" t="s">
        <v>1353</v>
      </c>
      <c r="DU26" s="35" t="s">
        <v>1353</v>
      </c>
      <c r="DV26" s="35"/>
      <c r="DW26" s="35" t="s">
        <v>1353</v>
      </c>
      <c r="DX26" s="34"/>
      <c r="DY26" s="32" t="s">
        <v>1353</v>
      </c>
      <c r="DZ26" s="35" t="s">
        <v>1353</v>
      </c>
      <c r="EA26" s="35"/>
      <c r="EB26" s="35" t="s">
        <v>1353</v>
      </c>
      <c r="EC26" s="34"/>
      <c r="ED26" s="32" t="s">
        <v>1353</v>
      </c>
      <c r="EE26" s="35" t="s">
        <v>1353</v>
      </c>
      <c r="EF26" s="35"/>
      <c r="EG26" s="35" t="s">
        <v>1353</v>
      </c>
      <c r="EH26" s="34"/>
      <c r="EI26" s="32" t="s">
        <v>1353</v>
      </c>
      <c r="EJ26" s="35" t="s">
        <v>1353</v>
      </c>
      <c r="EK26" s="35"/>
      <c r="EL26" s="35" t="s">
        <v>1353</v>
      </c>
      <c r="EM26" s="34"/>
      <c r="EN26" s="32" t="s">
        <v>1353</v>
      </c>
      <c r="EO26" s="35" t="s">
        <v>1353</v>
      </c>
      <c r="EP26" s="35"/>
      <c r="EQ26" s="35" t="s">
        <v>1353</v>
      </c>
      <c r="ER26" s="34"/>
      <c r="ES26" s="32" t="s">
        <v>1353</v>
      </c>
      <c r="ET26" s="35" t="s">
        <v>1353</v>
      </c>
      <c r="EU26" s="35"/>
      <c r="EV26" s="35" t="s">
        <v>1353</v>
      </c>
      <c r="EW26" s="34"/>
      <c r="EX26" s="32" t="s">
        <v>1353</v>
      </c>
      <c r="EY26" s="35" t="s">
        <v>1353</v>
      </c>
      <c r="EZ26" s="35"/>
      <c r="FA26" s="35" t="s">
        <v>1353</v>
      </c>
      <c r="FB26" s="34"/>
      <c r="FC26" s="32" t="s">
        <v>1353</v>
      </c>
      <c r="FD26" s="35" t="s">
        <v>1353</v>
      </c>
      <c r="FE26" s="35"/>
      <c r="FF26" s="35" t="s">
        <v>1353</v>
      </c>
      <c r="FG26" s="34"/>
      <c r="FH26" s="32" t="s">
        <v>1353</v>
      </c>
      <c r="FI26" s="35" t="s">
        <v>1353</v>
      </c>
      <c r="FJ26" s="35"/>
      <c r="FK26" s="35" t="s">
        <v>1353</v>
      </c>
      <c r="FL26" s="34"/>
      <c r="FM26" s="32" t="s">
        <v>1353</v>
      </c>
      <c r="FN26" s="35" t="s">
        <v>1353</v>
      </c>
      <c r="FO26" s="35"/>
      <c r="FP26" s="35" t="s">
        <v>1353</v>
      </c>
      <c r="FQ26" s="34"/>
      <c r="FR26" s="32" t="s">
        <v>1353</v>
      </c>
      <c r="FS26" s="35" t="s">
        <v>1353</v>
      </c>
      <c r="FT26" s="35"/>
      <c r="FU26" s="35" t="s">
        <v>1353</v>
      </c>
      <c r="FV26" s="34"/>
      <c r="FW26" s="32" t="s">
        <v>1353</v>
      </c>
      <c r="FX26" s="35" t="s">
        <v>1353</v>
      </c>
      <c r="FY26" s="35"/>
      <c r="FZ26" s="35" t="s">
        <v>1353</v>
      </c>
      <c r="GA26" s="34"/>
      <c r="GB26" s="32" t="s">
        <v>1353</v>
      </c>
      <c r="GC26" s="35" t="s">
        <v>1353</v>
      </c>
      <c r="GD26" s="35"/>
      <c r="GE26" s="35" t="s">
        <v>1353</v>
      </c>
      <c r="GF26" s="34"/>
    </row>
    <row r="27" spans="1:188">
      <c r="A27" s="18" t="s">
        <v>1371</v>
      </c>
      <c r="B27" s="18" t="str" cm="1">
        <f t="array" aca="1" ref="B27" ca="1">INDIRECT("'" &amp; A27 &amp; "'!F3")</f>
        <v>Stefan S</v>
      </c>
      <c r="C27" s="18" t="str" cm="1">
        <f t="array" aca="1" ref="C27" ca="1">INDIRECT("'" &amp; A27 &amp; "'!F4")</f>
        <v>Jelle 'Gel' Dunneweld</v>
      </c>
      <c r="D27" s="32" t="s">
        <v>1372</v>
      </c>
      <c r="E27" s="35">
        <v>0</v>
      </c>
      <c r="F27" s="35" t="s">
        <v>1353</v>
      </c>
      <c r="G27" s="35"/>
      <c r="H27" s="34" t="s">
        <v>1354</v>
      </c>
      <c r="I27" s="32" t="s">
        <v>1353</v>
      </c>
      <c r="J27" s="48"/>
      <c r="K27" s="35"/>
      <c r="L27" s="35" t="s">
        <v>1353</v>
      </c>
      <c r="M27" s="34"/>
      <c r="N27" s="32" t="s">
        <v>1353</v>
      </c>
      <c r="O27" s="35" t="s">
        <v>1353</v>
      </c>
      <c r="P27" s="35"/>
      <c r="Q27" s="35" t="s">
        <v>1353</v>
      </c>
      <c r="R27" s="34"/>
      <c r="S27" s="32" t="s">
        <v>1353</v>
      </c>
      <c r="T27" s="35" t="s">
        <v>1353</v>
      </c>
      <c r="U27" s="35"/>
      <c r="V27" s="35" t="s">
        <v>1353</v>
      </c>
      <c r="W27" s="34"/>
      <c r="X27" s="32" t="s">
        <v>1353</v>
      </c>
      <c r="Y27" s="35" t="s">
        <v>1353</v>
      </c>
      <c r="Z27" s="35"/>
      <c r="AA27" s="35" t="s">
        <v>1353</v>
      </c>
      <c r="AB27" s="34"/>
      <c r="AC27" s="32" t="s">
        <v>1353</v>
      </c>
      <c r="AD27" s="35" t="s">
        <v>1353</v>
      </c>
      <c r="AE27" s="35"/>
      <c r="AF27" s="35" t="s">
        <v>1353</v>
      </c>
      <c r="AG27" s="34"/>
      <c r="AH27" s="32" t="s">
        <v>1353</v>
      </c>
      <c r="AI27" s="35" t="s">
        <v>1353</v>
      </c>
      <c r="AJ27" s="35"/>
      <c r="AK27" s="35" t="s">
        <v>1353</v>
      </c>
      <c r="AL27" s="34"/>
      <c r="AM27" s="32" t="s">
        <v>1353</v>
      </c>
      <c r="AN27" s="35" t="s">
        <v>1353</v>
      </c>
      <c r="AO27" s="35"/>
      <c r="AP27" s="35" t="s">
        <v>1353</v>
      </c>
      <c r="AQ27" s="34"/>
      <c r="AR27" s="32" t="s">
        <v>1353</v>
      </c>
      <c r="AS27" s="35" t="s">
        <v>1353</v>
      </c>
      <c r="AT27" s="35"/>
      <c r="AU27" s="35" t="s">
        <v>1353</v>
      </c>
      <c r="AV27" s="34"/>
      <c r="AW27" s="32" t="s">
        <v>1353</v>
      </c>
      <c r="AX27" s="35" t="s">
        <v>1353</v>
      </c>
      <c r="AY27" s="35"/>
      <c r="AZ27" s="35" t="s">
        <v>1353</v>
      </c>
      <c r="BA27" s="34"/>
      <c r="BB27" s="32" t="s">
        <v>1353</v>
      </c>
      <c r="BC27" s="35" t="s">
        <v>1353</v>
      </c>
      <c r="BD27" s="35"/>
      <c r="BE27" s="35" t="s">
        <v>1353</v>
      </c>
      <c r="BF27" s="34"/>
      <c r="BG27" s="32" t="s">
        <v>1353</v>
      </c>
      <c r="BH27" s="35" t="s">
        <v>1353</v>
      </c>
      <c r="BI27" s="35"/>
      <c r="BJ27" s="35" t="s">
        <v>1353</v>
      </c>
      <c r="BK27" s="34"/>
      <c r="BL27" s="32" t="s">
        <v>1353</v>
      </c>
      <c r="BM27" s="35" t="s">
        <v>1353</v>
      </c>
      <c r="BN27" s="35"/>
      <c r="BO27" s="35" t="s">
        <v>1353</v>
      </c>
      <c r="BP27" s="34"/>
      <c r="BQ27" s="32" t="s">
        <v>1353</v>
      </c>
      <c r="BR27" s="35" t="s">
        <v>1353</v>
      </c>
      <c r="BS27" s="35"/>
      <c r="BT27" s="35" t="s">
        <v>1353</v>
      </c>
      <c r="BU27" s="34"/>
      <c r="BV27" s="32" t="s">
        <v>1353</v>
      </c>
      <c r="BW27" s="35" t="s">
        <v>1353</v>
      </c>
      <c r="BX27" s="35"/>
      <c r="BY27" s="35" t="s">
        <v>1353</v>
      </c>
      <c r="BZ27" s="34"/>
      <c r="CA27" s="32" t="s">
        <v>1353</v>
      </c>
      <c r="CB27" s="35" t="s">
        <v>1353</v>
      </c>
      <c r="CC27" s="35"/>
      <c r="CD27" s="35" t="s">
        <v>1353</v>
      </c>
      <c r="CE27" s="34"/>
      <c r="CF27" s="32" t="s">
        <v>1353</v>
      </c>
      <c r="CG27" s="35" t="s">
        <v>1353</v>
      </c>
      <c r="CH27" s="35"/>
      <c r="CI27" s="35" t="s">
        <v>1353</v>
      </c>
      <c r="CJ27" s="34"/>
      <c r="CK27" s="32" t="s">
        <v>1353</v>
      </c>
      <c r="CL27" s="35" t="s">
        <v>1353</v>
      </c>
      <c r="CM27" s="35"/>
      <c r="CN27" s="35" t="s">
        <v>1353</v>
      </c>
      <c r="CO27" s="34"/>
      <c r="CP27" s="32" t="s">
        <v>1353</v>
      </c>
      <c r="CQ27" s="35" t="s">
        <v>1353</v>
      </c>
      <c r="CR27" s="35"/>
      <c r="CS27" s="35" t="s">
        <v>1353</v>
      </c>
      <c r="CT27" s="34"/>
      <c r="CU27" s="32" t="s">
        <v>1353</v>
      </c>
      <c r="CV27" s="35" t="s">
        <v>1353</v>
      </c>
      <c r="CW27" s="35"/>
      <c r="CX27" s="35" t="s">
        <v>1353</v>
      </c>
      <c r="CY27" s="34"/>
      <c r="CZ27" s="32" t="s">
        <v>1353</v>
      </c>
      <c r="DA27" s="35" t="s">
        <v>1353</v>
      </c>
      <c r="DB27" s="35"/>
      <c r="DC27" s="35" t="s">
        <v>1353</v>
      </c>
      <c r="DD27" s="34"/>
      <c r="DE27" s="32" t="s">
        <v>1353</v>
      </c>
      <c r="DF27" s="35" t="s">
        <v>1353</v>
      </c>
      <c r="DG27" s="35"/>
      <c r="DH27" s="35" t="s">
        <v>1353</v>
      </c>
      <c r="DI27" s="34"/>
      <c r="DJ27" s="32" t="s">
        <v>1353</v>
      </c>
      <c r="DK27" s="35" t="s">
        <v>1353</v>
      </c>
      <c r="DL27" s="35"/>
      <c r="DM27" s="35" t="s">
        <v>1353</v>
      </c>
      <c r="DN27" s="34"/>
      <c r="DO27" s="32" t="s">
        <v>1353</v>
      </c>
      <c r="DP27" s="35" t="s">
        <v>1353</v>
      </c>
      <c r="DQ27" s="35"/>
      <c r="DR27" s="35" t="s">
        <v>1353</v>
      </c>
      <c r="DS27" s="34"/>
      <c r="DT27" s="32" t="s">
        <v>1353</v>
      </c>
      <c r="DU27" s="35" t="s">
        <v>1353</v>
      </c>
      <c r="DV27" s="35"/>
      <c r="DW27" s="35" t="s">
        <v>1353</v>
      </c>
      <c r="DX27" s="34"/>
      <c r="DY27" s="32" t="s">
        <v>1353</v>
      </c>
      <c r="DZ27" s="35" t="s">
        <v>1353</v>
      </c>
      <c r="EA27" s="35"/>
      <c r="EB27" s="35" t="s">
        <v>1353</v>
      </c>
      <c r="EC27" s="34"/>
      <c r="ED27" s="32" t="s">
        <v>1353</v>
      </c>
      <c r="EE27" s="35" t="s">
        <v>1353</v>
      </c>
      <c r="EF27" s="35"/>
      <c r="EG27" s="35" t="s">
        <v>1353</v>
      </c>
      <c r="EH27" s="34"/>
      <c r="EI27" s="32" t="s">
        <v>1353</v>
      </c>
      <c r="EJ27" s="35" t="s">
        <v>1353</v>
      </c>
      <c r="EK27" s="35"/>
      <c r="EL27" s="35" t="s">
        <v>1353</v>
      </c>
      <c r="EM27" s="34"/>
      <c r="EN27" s="32" t="s">
        <v>1353</v>
      </c>
      <c r="EO27" s="35" t="s">
        <v>1353</v>
      </c>
      <c r="EP27" s="35"/>
      <c r="EQ27" s="35" t="s">
        <v>1353</v>
      </c>
      <c r="ER27" s="34"/>
      <c r="ES27" s="32" t="s">
        <v>1353</v>
      </c>
      <c r="ET27" s="35" t="s">
        <v>1353</v>
      </c>
      <c r="EU27" s="35"/>
      <c r="EV27" s="35" t="s">
        <v>1353</v>
      </c>
      <c r="EW27" s="34"/>
      <c r="EX27" s="32" t="s">
        <v>1353</v>
      </c>
      <c r="EY27" s="35" t="s">
        <v>1353</v>
      </c>
      <c r="EZ27" s="35"/>
      <c r="FA27" s="35" t="s">
        <v>1353</v>
      </c>
      <c r="FB27" s="34"/>
      <c r="FC27" s="32" t="s">
        <v>1353</v>
      </c>
      <c r="FD27" s="35" t="s">
        <v>1353</v>
      </c>
      <c r="FE27" s="35"/>
      <c r="FF27" s="35" t="s">
        <v>1353</v>
      </c>
      <c r="FG27" s="34"/>
      <c r="FH27" s="32" t="s">
        <v>1353</v>
      </c>
      <c r="FI27" s="35" t="s">
        <v>1353</v>
      </c>
      <c r="FJ27" s="35"/>
      <c r="FK27" s="35" t="s">
        <v>1353</v>
      </c>
      <c r="FL27" s="34"/>
      <c r="FM27" s="32" t="s">
        <v>1353</v>
      </c>
      <c r="FN27" s="35" t="s">
        <v>1353</v>
      </c>
      <c r="FO27" s="35"/>
      <c r="FP27" s="35" t="s">
        <v>1353</v>
      </c>
      <c r="FQ27" s="34"/>
      <c r="FR27" s="32" t="s">
        <v>1353</v>
      </c>
      <c r="FS27" s="35" t="s">
        <v>1353</v>
      </c>
      <c r="FT27" s="35"/>
      <c r="FU27" s="35" t="s">
        <v>1353</v>
      </c>
      <c r="FV27" s="34"/>
      <c r="FW27" s="32" t="s">
        <v>1353</v>
      </c>
      <c r="FX27" s="35" t="s">
        <v>1353</v>
      </c>
      <c r="FY27" s="35"/>
      <c r="FZ27" s="35" t="s">
        <v>1353</v>
      </c>
      <c r="GA27" s="34"/>
      <c r="GB27" s="32" t="s">
        <v>1353</v>
      </c>
      <c r="GC27" s="35" t="s">
        <v>1353</v>
      </c>
      <c r="GD27" s="35"/>
      <c r="GE27" s="35" t="s">
        <v>1353</v>
      </c>
      <c r="GF27" s="34"/>
    </row>
    <row r="28" spans="1:188">
      <c r="A28" s="18" t="s">
        <v>1373</v>
      </c>
      <c r="B28" s="18" t="str" cm="1">
        <f t="array" aca="1" ref="B28" ca="1">INDIRECT("'" &amp; A28 &amp; "'!F3")</f>
        <v>Marni K</v>
      </c>
      <c r="C28" s="18" t="str" cm="1">
        <f t="array" aca="1" ref="C28" ca="1">INDIRECT("'" &amp; A28 &amp; "'!F4")</f>
        <v>Sister Hazel</v>
      </c>
      <c r="D28" s="32" t="s">
        <v>1359</v>
      </c>
      <c r="E28" s="35">
        <v>3</v>
      </c>
      <c r="F28" s="35" t="s">
        <v>1353</v>
      </c>
      <c r="G28" s="35" t="s">
        <v>1353</v>
      </c>
      <c r="H28" s="34" t="s">
        <v>1354</v>
      </c>
      <c r="I28" s="32" t="s">
        <v>1353</v>
      </c>
      <c r="J28" s="35" t="s">
        <v>1353</v>
      </c>
      <c r="K28" s="35"/>
      <c r="L28" s="35" t="s">
        <v>1353</v>
      </c>
      <c r="M28" s="34"/>
      <c r="N28" s="32" t="s">
        <v>1353</v>
      </c>
      <c r="O28" s="35" t="s">
        <v>1353</v>
      </c>
      <c r="P28" s="35"/>
      <c r="Q28" s="35" t="s">
        <v>1353</v>
      </c>
      <c r="R28" s="34"/>
      <c r="S28" s="32" t="s">
        <v>1353</v>
      </c>
      <c r="T28" s="35" t="s">
        <v>1353</v>
      </c>
      <c r="U28" s="35"/>
      <c r="V28" s="35" t="s">
        <v>1353</v>
      </c>
      <c r="W28" s="34"/>
      <c r="X28" s="32" t="s">
        <v>1353</v>
      </c>
      <c r="Y28" s="35" t="s">
        <v>1353</v>
      </c>
      <c r="Z28" s="35"/>
      <c r="AA28" s="35" t="s">
        <v>1353</v>
      </c>
      <c r="AB28" s="34"/>
      <c r="AC28" s="32" t="s">
        <v>1353</v>
      </c>
      <c r="AD28" s="35" t="s">
        <v>1353</v>
      </c>
      <c r="AE28" s="35"/>
      <c r="AF28" s="35" t="s">
        <v>1353</v>
      </c>
      <c r="AG28" s="34"/>
      <c r="AH28" s="32" t="s">
        <v>1353</v>
      </c>
      <c r="AI28" s="35" t="s">
        <v>1353</v>
      </c>
      <c r="AJ28" s="35"/>
      <c r="AK28" s="35" t="s">
        <v>1353</v>
      </c>
      <c r="AL28" s="34"/>
      <c r="AM28" s="32" t="s">
        <v>1353</v>
      </c>
      <c r="AN28" s="35" t="s">
        <v>1353</v>
      </c>
      <c r="AO28" s="35"/>
      <c r="AP28" s="35" t="s">
        <v>1353</v>
      </c>
      <c r="AQ28" s="34"/>
      <c r="AR28" s="32" t="s">
        <v>1353</v>
      </c>
      <c r="AS28" s="35" t="s">
        <v>1353</v>
      </c>
      <c r="AT28" s="35"/>
      <c r="AU28" s="35" t="s">
        <v>1353</v>
      </c>
      <c r="AV28" s="34"/>
      <c r="AW28" s="32" t="s">
        <v>1353</v>
      </c>
      <c r="AX28" s="35" t="s">
        <v>1353</v>
      </c>
      <c r="AY28" s="35"/>
      <c r="AZ28" s="35" t="s">
        <v>1353</v>
      </c>
      <c r="BA28" s="34"/>
      <c r="BB28" s="32" t="s">
        <v>1353</v>
      </c>
      <c r="BC28" s="35" t="s">
        <v>1353</v>
      </c>
      <c r="BD28" s="35"/>
      <c r="BE28" s="35" t="s">
        <v>1353</v>
      </c>
      <c r="BF28" s="34"/>
      <c r="BG28" s="32" t="s">
        <v>1353</v>
      </c>
      <c r="BH28" s="35" t="s">
        <v>1353</v>
      </c>
      <c r="BI28" s="35"/>
      <c r="BJ28" s="35" t="s">
        <v>1353</v>
      </c>
      <c r="BK28" s="34"/>
      <c r="BL28" s="32" t="s">
        <v>1353</v>
      </c>
      <c r="BM28" s="35" t="s">
        <v>1353</v>
      </c>
      <c r="BN28" s="35"/>
      <c r="BO28" s="35" t="s">
        <v>1353</v>
      </c>
      <c r="BP28" s="34"/>
      <c r="BQ28" s="32" t="s">
        <v>1353</v>
      </c>
      <c r="BR28" s="35" t="s">
        <v>1353</v>
      </c>
      <c r="BS28" s="35"/>
      <c r="BT28" s="35" t="s">
        <v>1353</v>
      </c>
      <c r="BU28" s="34"/>
      <c r="BV28" s="32" t="s">
        <v>1353</v>
      </c>
      <c r="BW28" s="35" t="s">
        <v>1353</v>
      </c>
      <c r="BX28" s="35"/>
      <c r="BY28" s="35" t="s">
        <v>1353</v>
      </c>
      <c r="BZ28" s="34"/>
      <c r="CA28" s="32" t="s">
        <v>1353</v>
      </c>
      <c r="CB28" s="35" t="s">
        <v>1353</v>
      </c>
      <c r="CC28" s="35"/>
      <c r="CD28" s="35" t="s">
        <v>1353</v>
      </c>
      <c r="CE28" s="34"/>
      <c r="CF28" s="32" t="s">
        <v>1353</v>
      </c>
      <c r="CG28" s="35" t="s">
        <v>1353</v>
      </c>
      <c r="CH28" s="35"/>
      <c r="CI28" s="35" t="s">
        <v>1353</v>
      </c>
      <c r="CJ28" s="34"/>
      <c r="CK28" s="32" t="s">
        <v>1353</v>
      </c>
      <c r="CL28" s="35" t="s">
        <v>1353</v>
      </c>
      <c r="CM28" s="35"/>
      <c r="CN28" s="35" t="s">
        <v>1353</v>
      </c>
      <c r="CO28" s="34"/>
      <c r="CP28" s="32" t="s">
        <v>1353</v>
      </c>
      <c r="CQ28" s="35" t="s">
        <v>1353</v>
      </c>
      <c r="CR28" s="35"/>
      <c r="CS28" s="35" t="s">
        <v>1353</v>
      </c>
      <c r="CT28" s="34"/>
      <c r="CU28" s="32" t="s">
        <v>1353</v>
      </c>
      <c r="CV28" s="35" t="s">
        <v>1353</v>
      </c>
      <c r="CW28" s="35"/>
      <c r="CX28" s="35" t="s">
        <v>1353</v>
      </c>
      <c r="CY28" s="34"/>
      <c r="CZ28" s="32" t="s">
        <v>1353</v>
      </c>
      <c r="DA28" s="35" t="s">
        <v>1353</v>
      </c>
      <c r="DB28" s="35"/>
      <c r="DC28" s="35" t="s">
        <v>1353</v>
      </c>
      <c r="DD28" s="34"/>
      <c r="DE28" s="32" t="s">
        <v>1353</v>
      </c>
      <c r="DF28" s="35" t="s">
        <v>1353</v>
      </c>
      <c r="DG28" s="35"/>
      <c r="DH28" s="35" t="s">
        <v>1353</v>
      </c>
      <c r="DI28" s="34"/>
      <c r="DJ28" s="32" t="s">
        <v>1353</v>
      </c>
      <c r="DK28" s="35" t="s">
        <v>1353</v>
      </c>
      <c r="DL28" s="35"/>
      <c r="DM28" s="35" t="s">
        <v>1353</v>
      </c>
      <c r="DN28" s="34"/>
      <c r="DO28" s="32" t="s">
        <v>1353</v>
      </c>
      <c r="DP28" s="35" t="s">
        <v>1353</v>
      </c>
      <c r="DQ28" s="35"/>
      <c r="DR28" s="35" t="s">
        <v>1353</v>
      </c>
      <c r="DS28" s="34"/>
      <c r="DT28" s="32" t="s">
        <v>1353</v>
      </c>
      <c r="DU28" s="35" t="s">
        <v>1353</v>
      </c>
      <c r="DV28" s="35"/>
      <c r="DW28" s="35" t="s">
        <v>1353</v>
      </c>
      <c r="DX28" s="34"/>
      <c r="DY28" s="32" t="s">
        <v>1353</v>
      </c>
      <c r="DZ28" s="35" t="s">
        <v>1353</v>
      </c>
      <c r="EA28" s="35"/>
      <c r="EB28" s="35" t="s">
        <v>1353</v>
      </c>
      <c r="EC28" s="34"/>
      <c r="ED28" s="32" t="s">
        <v>1353</v>
      </c>
      <c r="EE28" s="35" t="s">
        <v>1353</v>
      </c>
      <c r="EF28" s="35"/>
      <c r="EG28" s="35" t="s">
        <v>1353</v>
      </c>
      <c r="EH28" s="34"/>
      <c r="EI28" s="32" t="s">
        <v>1353</v>
      </c>
      <c r="EJ28" s="35" t="s">
        <v>1353</v>
      </c>
      <c r="EK28" s="35"/>
      <c r="EL28" s="35" t="s">
        <v>1353</v>
      </c>
      <c r="EM28" s="34"/>
      <c r="EN28" s="32" t="s">
        <v>1353</v>
      </c>
      <c r="EO28" s="35" t="s">
        <v>1353</v>
      </c>
      <c r="EP28" s="35"/>
      <c r="EQ28" s="35" t="s">
        <v>1353</v>
      </c>
      <c r="ER28" s="34"/>
      <c r="ES28" s="32" t="s">
        <v>1353</v>
      </c>
      <c r="ET28" s="35" t="s">
        <v>1353</v>
      </c>
      <c r="EU28" s="35"/>
      <c r="EV28" s="35" t="s">
        <v>1353</v>
      </c>
      <c r="EW28" s="34"/>
      <c r="EX28" s="32" t="s">
        <v>1353</v>
      </c>
      <c r="EY28" s="35" t="s">
        <v>1353</v>
      </c>
      <c r="EZ28" s="35"/>
      <c r="FA28" s="35" t="s">
        <v>1353</v>
      </c>
      <c r="FB28" s="34"/>
      <c r="FC28" s="32" t="s">
        <v>1353</v>
      </c>
      <c r="FD28" s="35" t="s">
        <v>1353</v>
      </c>
      <c r="FE28" s="35"/>
      <c r="FF28" s="35" t="s">
        <v>1353</v>
      </c>
      <c r="FG28" s="34"/>
      <c r="FH28" s="32" t="s">
        <v>1353</v>
      </c>
      <c r="FI28" s="35" t="s">
        <v>1353</v>
      </c>
      <c r="FJ28" s="35"/>
      <c r="FK28" s="35" t="s">
        <v>1353</v>
      </c>
      <c r="FL28" s="34"/>
      <c r="FM28" s="32" t="s">
        <v>1353</v>
      </c>
      <c r="FN28" s="35" t="s">
        <v>1353</v>
      </c>
      <c r="FO28" s="35"/>
      <c r="FP28" s="35" t="s">
        <v>1353</v>
      </c>
      <c r="FQ28" s="34"/>
      <c r="FR28" s="32" t="s">
        <v>1353</v>
      </c>
      <c r="FS28" s="35" t="s">
        <v>1353</v>
      </c>
      <c r="FT28" s="35"/>
      <c r="FU28" s="35" t="s">
        <v>1353</v>
      </c>
      <c r="FV28" s="34"/>
      <c r="FW28" s="32" t="s">
        <v>1353</v>
      </c>
      <c r="FX28" s="35" t="s">
        <v>1353</v>
      </c>
      <c r="FY28" s="35"/>
      <c r="FZ28" s="35" t="s">
        <v>1353</v>
      </c>
      <c r="GA28" s="34"/>
      <c r="GB28" s="32" t="s">
        <v>1353</v>
      </c>
      <c r="GC28" s="35" t="s">
        <v>1353</v>
      </c>
      <c r="GD28" s="35"/>
      <c r="GE28" s="35" t="s">
        <v>1353</v>
      </c>
      <c r="GF28" s="34"/>
    </row>
    <row r="29" spans="1:188">
      <c r="A29" s="18" t="s">
        <v>1374</v>
      </c>
      <c r="B29" s="18" t="str" cm="1">
        <f t="array" aca="1" ref="B29" ca="1">INDIRECT("'" &amp; A29 &amp; "'!F3")</f>
        <v>Lyn</v>
      </c>
      <c r="C29" s="18" t="str" cm="1">
        <f t="array" aca="1" ref="C29" ca="1">INDIRECT("'" &amp; A29 &amp; "'!F4")</f>
        <v>Ivana Horvat</v>
      </c>
      <c r="D29" s="32" t="s">
        <v>1367</v>
      </c>
      <c r="E29" s="35">
        <v>3</v>
      </c>
      <c r="F29" s="35" t="s">
        <v>1353</v>
      </c>
      <c r="G29" s="35" t="s">
        <v>1353</v>
      </c>
      <c r="H29" s="34" t="s">
        <v>1354</v>
      </c>
      <c r="I29" s="32" t="s">
        <v>1353</v>
      </c>
      <c r="J29" s="35" t="s">
        <v>1353</v>
      </c>
      <c r="K29" s="35"/>
      <c r="L29" s="35" t="s">
        <v>1353</v>
      </c>
      <c r="M29" s="34"/>
      <c r="N29" s="32" t="s">
        <v>1353</v>
      </c>
      <c r="O29" s="35" t="s">
        <v>1353</v>
      </c>
      <c r="P29" s="35"/>
      <c r="Q29" s="35" t="s">
        <v>1353</v>
      </c>
      <c r="R29" s="34"/>
      <c r="S29" s="32" t="s">
        <v>1353</v>
      </c>
      <c r="T29" s="35" t="s">
        <v>1353</v>
      </c>
      <c r="U29" s="35"/>
      <c r="V29" s="35" t="s">
        <v>1353</v>
      </c>
      <c r="W29" s="34"/>
      <c r="X29" s="32" t="s">
        <v>1353</v>
      </c>
      <c r="Y29" s="35" t="s">
        <v>1353</v>
      </c>
      <c r="Z29" s="35"/>
      <c r="AA29" s="35" t="s">
        <v>1353</v>
      </c>
      <c r="AB29" s="34"/>
      <c r="AC29" s="32" t="s">
        <v>1353</v>
      </c>
      <c r="AD29" s="35" t="s">
        <v>1353</v>
      </c>
      <c r="AE29" s="35"/>
      <c r="AF29" s="35" t="s">
        <v>1353</v>
      </c>
      <c r="AG29" s="34"/>
      <c r="AH29" s="32" t="s">
        <v>1353</v>
      </c>
      <c r="AI29" s="35" t="s">
        <v>1353</v>
      </c>
      <c r="AJ29" s="35"/>
      <c r="AK29" s="35" t="s">
        <v>1353</v>
      </c>
      <c r="AL29" s="34"/>
      <c r="AM29" s="32" t="s">
        <v>1353</v>
      </c>
      <c r="AN29" s="35" t="s">
        <v>1353</v>
      </c>
      <c r="AO29" s="35"/>
      <c r="AP29" s="35" t="s">
        <v>1353</v>
      </c>
      <c r="AQ29" s="34"/>
      <c r="AR29" s="32" t="s">
        <v>1353</v>
      </c>
      <c r="AS29" s="35" t="s">
        <v>1353</v>
      </c>
      <c r="AT29" s="35"/>
      <c r="AU29" s="35" t="s">
        <v>1353</v>
      </c>
      <c r="AV29" s="34"/>
      <c r="AW29" s="32" t="s">
        <v>1353</v>
      </c>
      <c r="AX29" s="35" t="s">
        <v>1353</v>
      </c>
      <c r="AY29" s="35"/>
      <c r="AZ29" s="35" t="s">
        <v>1353</v>
      </c>
      <c r="BA29" s="34"/>
      <c r="BB29" s="32" t="s">
        <v>1353</v>
      </c>
      <c r="BC29" s="35" t="s">
        <v>1353</v>
      </c>
      <c r="BD29" s="35"/>
      <c r="BE29" s="35" t="s">
        <v>1353</v>
      </c>
      <c r="BF29" s="34"/>
      <c r="BG29" s="32" t="s">
        <v>1353</v>
      </c>
      <c r="BH29" s="35" t="s">
        <v>1353</v>
      </c>
      <c r="BI29" s="35"/>
      <c r="BJ29" s="35" t="s">
        <v>1353</v>
      </c>
      <c r="BK29" s="34"/>
      <c r="BL29" s="32" t="s">
        <v>1353</v>
      </c>
      <c r="BM29" s="35" t="s">
        <v>1353</v>
      </c>
      <c r="BN29" s="35"/>
      <c r="BO29" s="35" t="s">
        <v>1353</v>
      </c>
      <c r="BP29" s="34"/>
      <c r="BQ29" s="32" t="s">
        <v>1353</v>
      </c>
      <c r="BR29" s="35" t="s">
        <v>1353</v>
      </c>
      <c r="BS29" s="35"/>
      <c r="BT29" s="35" t="s">
        <v>1353</v>
      </c>
      <c r="BU29" s="34"/>
      <c r="BV29" s="32" t="s">
        <v>1353</v>
      </c>
      <c r="BW29" s="35" t="s">
        <v>1353</v>
      </c>
      <c r="BX29" s="35"/>
      <c r="BY29" s="35" t="s">
        <v>1353</v>
      </c>
      <c r="BZ29" s="34"/>
      <c r="CA29" s="32" t="s">
        <v>1353</v>
      </c>
      <c r="CB29" s="35" t="s">
        <v>1353</v>
      </c>
      <c r="CC29" s="35"/>
      <c r="CD29" s="35" t="s">
        <v>1353</v>
      </c>
      <c r="CE29" s="34"/>
      <c r="CF29" s="32" t="s">
        <v>1353</v>
      </c>
      <c r="CG29" s="35" t="s">
        <v>1353</v>
      </c>
      <c r="CH29" s="35"/>
      <c r="CI29" s="35" t="s">
        <v>1353</v>
      </c>
      <c r="CJ29" s="34"/>
      <c r="CK29" s="32" t="s">
        <v>1353</v>
      </c>
      <c r="CL29" s="35" t="s">
        <v>1353</v>
      </c>
      <c r="CM29" s="35"/>
      <c r="CN29" s="35" t="s">
        <v>1353</v>
      </c>
      <c r="CO29" s="34"/>
      <c r="CP29" s="32" t="s">
        <v>1353</v>
      </c>
      <c r="CQ29" s="35" t="s">
        <v>1353</v>
      </c>
      <c r="CR29" s="35"/>
      <c r="CS29" s="35" t="s">
        <v>1353</v>
      </c>
      <c r="CT29" s="34"/>
      <c r="CU29" s="32" t="s">
        <v>1353</v>
      </c>
      <c r="CV29" s="35" t="s">
        <v>1353</v>
      </c>
      <c r="CW29" s="35"/>
      <c r="CX29" s="35" t="s">
        <v>1353</v>
      </c>
      <c r="CY29" s="34"/>
      <c r="CZ29" s="32" t="s">
        <v>1353</v>
      </c>
      <c r="DA29" s="35" t="s">
        <v>1353</v>
      </c>
      <c r="DB29" s="35"/>
      <c r="DC29" s="35" t="s">
        <v>1353</v>
      </c>
      <c r="DD29" s="34"/>
      <c r="DE29" s="32" t="s">
        <v>1353</v>
      </c>
      <c r="DF29" s="35" t="s">
        <v>1353</v>
      </c>
      <c r="DG29" s="35"/>
      <c r="DH29" s="35" t="s">
        <v>1353</v>
      </c>
      <c r="DI29" s="34"/>
      <c r="DJ29" s="32" t="s">
        <v>1353</v>
      </c>
      <c r="DK29" s="35" t="s">
        <v>1353</v>
      </c>
      <c r="DL29" s="35"/>
      <c r="DM29" s="35" t="s">
        <v>1353</v>
      </c>
      <c r="DN29" s="34"/>
      <c r="DO29" s="32" t="s">
        <v>1353</v>
      </c>
      <c r="DP29" s="35" t="s">
        <v>1353</v>
      </c>
      <c r="DQ29" s="35"/>
      <c r="DR29" s="35" t="s">
        <v>1353</v>
      </c>
      <c r="DS29" s="34"/>
      <c r="DT29" s="32" t="s">
        <v>1353</v>
      </c>
      <c r="DU29" s="35" t="s">
        <v>1353</v>
      </c>
      <c r="DV29" s="35"/>
      <c r="DW29" s="35" t="s">
        <v>1353</v>
      </c>
      <c r="DX29" s="34"/>
      <c r="DY29" s="32" t="s">
        <v>1353</v>
      </c>
      <c r="DZ29" s="35" t="s">
        <v>1353</v>
      </c>
      <c r="EA29" s="35"/>
      <c r="EB29" s="35" t="s">
        <v>1353</v>
      </c>
      <c r="EC29" s="34"/>
      <c r="ED29" s="32" t="s">
        <v>1353</v>
      </c>
      <c r="EE29" s="35" t="s">
        <v>1353</v>
      </c>
      <c r="EF29" s="35"/>
      <c r="EG29" s="35" t="s">
        <v>1353</v>
      </c>
      <c r="EH29" s="34"/>
      <c r="EI29" s="32" t="s">
        <v>1353</v>
      </c>
      <c r="EJ29" s="35" t="s">
        <v>1353</v>
      </c>
      <c r="EK29" s="35"/>
      <c r="EL29" s="35" t="s">
        <v>1353</v>
      </c>
      <c r="EM29" s="34"/>
      <c r="EN29" s="32" t="s">
        <v>1353</v>
      </c>
      <c r="EO29" s="35" t="s">
        <v>1353</v>
      </c>
      <c r="EP29" s="35"/>
      <c r="EQ29" s="35" t="s">
        <v>1353</v>
      </c>
      <c r="ER29" s="34"/>
      <c r="ES29" s="32" t="s">
        <v>1353</v>
      </c>
      <c r="ET29" s="35" t="s">
        <v>1353</v>
      </c>
      <c r="EU29" s="35"/>
      <c r="EV29" s="35" t="s">
        <v>1353</v>
      </c>
      <c r="EW29" s="34"/>
      <c r="EX29" s="32" t="s">
        <v>1353</v>
      </c>
      <c r="EY29" s="35" t="s">
        <v>1353</v>
      </c>
      <c r="EZ29" s="35"/>
      <c r="FA29" s="35" t="s">
        <v>1353</v>
      </c>
      <c r="FB29" s="34"/>
      <c r="FC29" s="32" t="s">
        <v>1353</v>
      </c>
      <c r="FD29" s="35" t="s">
        <v>1353</v>
      </c>
      <c r="FE29" s="35"/>
      <c r="FF29" s="35" t="s">
        <v>1353</v>
      </c>
      <c r="FG29" s="34"/>
      <c r="FH29" s="32" t="s">
        <v>1353</v>
      </c>
      <c r="FI29" s="35" t="s">
        <v>1353</v>
      </c>
      <c r="FJ29" s="35"/>
      <c r="FK29" s="35" t="s">
        <v>1353</v>
      </c>
      <c r="FL29" s="34"/>
      <c r="FM29" s="32" t="s">
        <v>1353</v>
      </c>
      <c r="FN29" s="35" t="s">
        <v>1353</v>
      </c>
      <c r="FO29" s="35"/>
      <c r="FP29" s="35" t="s">
        <v>1353</v>
      </c>
      <c r="FQ29" s="34"/>
      <c r="FR29" s="32" t="s">
        <v>1353</v>
      </c>
      <c r="FS29" s="35" t="s">
        <v>1353</v>
      </c>
      <c r="FT29" s="35"/>
      <c r="FU29" s="35" t="s">
        <v>1353</v>
      </c>
      <c r="FV29" s="34"/>
      <c r="FW29" s="32" t="s">
        <v>1353</v>
      </c>
      <c r="FX29" s="35" t="s">
        <v>1353</v>
      </c>
      <c r="FY29" s="35"/>
      <c r="FZ29" s="35" t="s">
        <v>1353</v>
      </c>
      <c r="GA29" s="34"/>
      <c r="GB29" s="32" t="s">
        <v>1353</v>
      </c>
      <c r="GC29" s="35" t="s">
        <v>1353</v>
      </c>
      <c r="GD29" s="35"/>
      <c r="GE29" s="35" t="s">
        <v>1353</v>
      </c>
      <c r="GF29" s="34"/>
    </row>
    <row r="30" spans="1:188">
      <c r="A30" s="18" t="s">
        <v>1375</v>
      </c>
      <c r="B30" s="18" t="str" cm="1">
        <f t="array" aca="1" ref="B30" ca="1">INDIRECT("'" &amp; A30 &amp; "'!F3")</f>
        <v>George T</v>
      </c>
      <c r="C30" s="18" t="str" cm="1">
        <f t="array" aca="1" ref="C30" ca="1">INDIRECT("'" &amp; A30 &amp; "'!F4")</f>
        <v>Jack Fallow</v>
      </c>
      <c r="D30" s="32" t="s">
        <v>1352</v>
      </c>
      <c r="E30" s="35">
        <v>3</v>
      </c>
      <c r="F30" s="35" t="s">
        <v>1353</v>
      </c>
      <c r="G30" s="35" t="s">
        <v>1353</v>
      </c>
      <c r="H30" s="34" t="s">
        <v>1354</v>
      </c>
      <c r="I30" s="32" t="s">
        <v>1353</v>
      </c>
      <c r="J30" s="35" t="s">
        <v>1353</v>
      </c>
      <c r="K30" s="35"/>
      <c r="L30" s="35" t="s">
        <v>1353</v>
      </c>
      <c r="M30" s="34"/>
      <c r="N30" s="32" t="s">
        <v>1353</v>
      </c>
      <c r="O30" s="35"/>
      <c r="P30" s="35"/>
      <c r="Q30" s="35"/>
      <c r="R30" s="34"/>
      <c r="S30" s="32" t="s">
        <v>1353</v>
      </c>
      <c r="T30" s="35"/>
      <c r="U30" s="35"/>
      <c r="V30" s="35"/>
      <c r="W30" s="34"/>
      <c r="X30" s="32" t="s">
        <v>1353</v>
      </c>
      <c r="Y30" s="35"/>
      <c r="Z30" s="35"/>
      <c r="AA30" s="35"/>
      <c r="AB30" s="34"/>
      <c r="AC30" s="32" t="s">
        <v>1353</v>
      </c>
      <c r="AD30" s="35"/>
      <c r="AE30" s="35"/>
      <c r="AF30" s="35"/>
      <c r="AG30" s="34"/>
      <c r="AH30" s="32" t="s">
        <v>1353</v>
      </c>
      <c r="AI30" s="35"/>
      <c r="AJ30" s="35"/>
      <c r="AK30" s="35"/>
      <c r="AL30" s="34"/>
      <c r="AM30" s="32" t="s">
        <v>1353</v>
      </c>
      <c r="AN30" s="35"/>
      <c r="AO30" s="35"/>
      <c r="AP30" s="35"/>
      <c r="AQ30" s="34"/>
      <c r="AR30" s="32" t="s">
        <v>1353</v>
      </c>
      <c r="AS30" s="35"/>
      <c r="AT30" s="35"/>
      <c r="AU30" s="35"/>
      <c r="AV30" s="34"/>
      <c r="AW30" s="32" t="s">
        <v>1353</v>
      </c>
      <c r="AX30" s="35"/>
      <c r="AY30" s="35"/>
      <c r="AZ30" s="35"/>
      <c r="BA30" s="34"/>
      <c r="BB30" s="32" t="s">
        <v>1353</v>
      </c>
      <c r="BC30" s="35"/>
      <c r="BD30" s="35"/>
      <c r="BE30" s="35"/>
      <c r="BF30" s="34"/>
      <c r="BG30" s="32" t="s">
        <v>1353</v>
      </c>
      <c r="BH30" s="35"/>
      <c r="BI30" s="35"/>
      <c r="BJ30" s="35"/>
      <c r="BK30" s="34"/>
      <c r="BL30" s="32" t="s">
        <v>1353</v>
      </c>
      <c r="BM30" s="35"/>
      <c r="BN30" s="35"/>
      <c r="BO30" s="35"/>
      <c r="BP30" s="34"/>
      <c r="BQ30" s="32" t="s">
        <v>1353</v>
      </c>
      <c r="BR30" s="35"/>
      <c r="BS30" s="35"/>
      <c r="BT30" s="35"/>
      <c r="BU30" s="34"/>
      <c r="BV30" s="32" t="s">
        <v>1353</v>
      </c>
      <c r="BW30" s="35"/>
      <c r="BX30" s="35"/>
      <c r="BY30" s="35"/>
      <c r="BZ30" s="34"/>
      <c r="CA30" s="32" t="s">
        <v>1353</v>
      </c>
      <c r="CB30" s="35"/>
      <c r="CC30" s="35"/>
      <c r="CD30" s="35"/>
      <c r="CE30" s="34"/>
      <c r="CF30" s="32" t="s">
        <v>1353</v>
      </c>
      <c r="CG30" s="35"/>
      <c r="CH30" s="35"/>
      <c r="CI30" s="35"/>
      <c r="CJ30" s="34"/>
      <c r="CK30" s="32" t="s">
        <v>1353</v>
      </c>
      <c r="CL30" s="35"/>
      <c r="CM30" s="35"/>
      <c r="CN30" s="35"/>
      <c r="CO30" s="34"/>
      <c r="CP30" s="32" t="s">
        <v>1353</v>
      </c>
      <c r="CQ30" s="35"/>
      <c r="CR30" s="35"/>
      <c r="CS30" s="35"/>
      <c r="CT30" s="34"/>
      <c r="CU30" s="32" t="s">
        <v>1353</v>
      </c>
      <c r="CV30" s="35"/>
      <c r="CW30" s="35"/>
      <c r="CX30" s="35"/>
      <c r="CY30" s="34"/>
      <c r="CZ30" s="32" t="s">
        <v>1353</v>
      </c>
      <c r="DA30" s="35"/>
      <c r="DB30" s="35"/>
      <c r="DC30" s="35"/>
      <c r="DD30" s="34"/>
      <c r="DE30" s="32" t="s">
        <v>1353</v>
      </c>
      <c r="DF30" s="35"/>
      <c r="DG30" s="35"/>
      <c r="DH30" s="35"/>
      <c r="DI30" s="34"/>
      <c r="DJ30" s="32" t="s">
        <v>1353</v>
      </c>
      <c r="DK30" s="35"/>
      <c r="DL30" s="35"/>
      <c r="DM30" s="35"/>
      <c r="DN30" s="34"/>
      <c r="DO30" s="32" t="s">
        <v>1353</v>
      </c>
      <c r="DP30" s="35"/>
      <c r="DQ30" s="35"/>
      <c r="DR30" s="35"/>
      <c r="DS30" s="34"/>
      <c r="DT30" s="32" t="s">
        <v>1353</v>
      </c>
      <c r="DU30" s="35"/>
      <c r="DV30" s="35"/>
      <c r="DW30" s="35"/>
      <c r="DX30" s="34"/>
      <c r="DY30" s="32" t="s">
        <v>1353</v>
      </c>
      <c r="DZ30" s="35"/>
      <c r="EA30" s="35"/>
      <c r="EB30" s="35"/>
      <c r="EC30" s="34"/>
      <c r="ED30" s="32" t="s">
        <v>1353</v>
      </c>
      <c r="EE30" s="35"/>
      <c r="EF30" s="35"/>
      <c r="EG30" s="35"/>
      <c r="EH30" s="34"/>
      <c r="EI30" s="32" t="s">
        <v>1353</v>
      </c>
      <c r="EJ30" s="35"/>
      <c r="EK30" s="35"/>
      <c r="EL30" s="35"/>
      <c r="EM30" s="34"/>
      <c r="EN30" s="32" t="s">
        <v>1353</v>
      </c>
      <c r="EO30" s="35"/>
      <c r="EP30" s="35"/>
      <c r="EQ30" s="35"/>
      <c r="ER30" s="34"/>
      <c r="ES30" s="32" t="s">
        <v>1353</v>
      </c>
      <c r="ET30" s="35"/>
      <c r="EU30" s="35"/>
      <c r="EV30" s="35"/>
      <c r="EW30" s="34"/>
      <c r="EX30" s="32" t="s">
        <v>1353</v>
      </c>
      <c r="EY30" s="35"/>
      <c r="EZ30" s="35"/>
      <c r="FA30" s="35"/>
      <c r="FB30" s="34"/>
      <c r="FC30" s="32" t="s">
        <v>1353</v>
      </c>
      <c r="FD30" s="35"/>
      <c r="FE30" s="35"/>
      <c r="FF30" s="35"/>
      <c r="FG30" s="34"/>
      <c r="FH30" s="32" t="s">
        <v>1353</v>
      </c>
      <c r="FI30" s="35"/>
      <c r="FJ30" s="35"/>
      <c r="FK30" s="35"/>
      <c r="FL30" s="34"/>
      <c r="FM30" s="32" t="s">
        <v>1353</v>
      </c>
      <c r="FN30" s="35"/>
      <c r="FO30" s="35"/>
      <c r="FP30" s="35"/>
      <c r="FQ30" s="34"/>
      <c r="FR30" s="32" t="s">
        <v>1353</v>
      </c>
      <c r="FS30" s="35"/>
      <c r="FT30" s="35"/>
      <c r="FU30" s="35"/>
      <c r="FV30" s="34"/>
      <c r="FW30" s="32" t="s">
        <v>1353</v>
      </c>
      <c r="FX30" s="35"/>
      <c r="FY30" s="35"/>
      <c r="FZ30" s="35"/>
      <c r="GA30" s="34"/>
      <c r="GB30" s="32" t="s">
        <v>1353</v>
      </c>
      <c r="GC30" s="35"/>
      <c r="GD30" s="35"/>
      <c r="GE30" s="35"/>
      <c r="GF30" s="34"/>
    </row>
    <row r="31" spans="1:188">
      <c r="A31" s="18" t="s">
        <v>1376</v>
      </c>
      <c r="B31" s="18" t="str" cm="1">
        <f t="array" aca="1" ref="B31" ca="1">INDIRECT("'" &amp; A31 &amp; "'!F3")</f>
        <v>Symon</v>
      </c>
      <c r="C31" s="18" t="str" cm="1">
        <f t="array" aca="1" ref="C31" ca="1">INDIRECT("'" &amp; A31 &amp; "'!F4")</f>
        <v>Keeper</v>
      </c>
      <c r="D31" s="32" t="s">
        <v>1352</v>
      </c>
      <c r="E31" s="35">
        <v>3</v>
      </c>
      <c r="F31" s="35"/>
      <c r="G31" s="35"/>
      <c r="H31" s="34" t="s">
        <v>1354</v>
      </c>
      <c r="I31" s="32" t="s">
        <v>1353</v>
      </c>
      <c r="J31" s="35"/>
      <c r="K31" s="35"/>
      <c r="L31" s="35"/>
      <c r="M31" s="34"/>
      <c r="N31" s="32" t="s">
        <v>1353</v>
      </c>
      <c r="O31" s="35" t="s">
        <v>1353</v>
      </c>
      <c r="P31" s="35"/>
      <c r="Q31" s="35" t="s">
        <v>1353</v>
      </c>
      <c r="R31" s="34"/>
      <c r="S31" s="32" t="s">
        <v>1353</v>
      </c>
      <c r="T31" s="35" t="s">
        <v>1353</v>
      </c>
      <c r="U31" s="35"/>
      <c r="V31" s="35" t="s">
        <v>1353</v>
      </c>
      <c r="W31" s="34"/>
      <c r="X31" s="32" t="s">
        <v>1353</v>
      </c>
      <c r="Y31" s="35" t="s">
        <v>1353</v>
      </c>
      <c r="Z31" s="35"/>
      <c r="AA31" s="35" t="s">
        <v>1353</v>
      </c>
      <c r="AB31" s="34"/>
      <c r="AC31" s="32" t="s">
        <v>1353</v>
      </c>
      <c r="AD31" s="35" t="s">
        <v>1353</v>
      </c>
      <c r="AE31" s="35"/>
      <c r="AF31" s="35" t="s">
        <v>1353</v>
      </c>
      <c r="AG31" s="34"/>
      <c r="AH31" s="32" t="s">
        <v>1353</v>
      </c>
      <c r="AI31" s="35" t="s">
        <v>1353</v>
      </c>
      <c r="AJ31" s="35"/>
      <c r="AK31" s="35" t="s">
        <v>1353</v>
      </c>
      <c r="AL31" s="34"/>
      <c r="AM31" s="32" t="s">
        <v>1353</v>
      </c>
      <c r="AN31" s="35" t="s">
        <v>1353</v>
      </c>
      <c r="AO31" s="35"/>
      <c r="AP31" s="35" t="s">
        <v>1353</v>
      </c>
      <c r="AQ31" s="34"/>
      <c r="AR31" s="32" t="s">
        <v>1353</v>
      </c>
      <c r="AS31" s="35" t="s">
        <v>1353</v>
      </c>
      <c r="AT31" s="35"/>
      <c r="AU31" s="35" t="s">
        <v>1353</v>
      </c>
      <c r="AV31" s="34"/>
      <c r="AW31" s="32" t="s">
        <v>1353</v>
      </c>
      <c r="AX31" s="35" t="s">
        <v>1353</v>
      </c>
      <c r="AY31" s="35"/>
      <c r="AZ31" s="35" t="s">
        <v>1353</v>
      </c>
      <c r="BA31" s="34"/>
      <c r="BB31" s="32" t="s">
        <v>1353</v>
      </c>
      <c r="BC31" s="35" t="s">
        <v>1353</v>
      </c>
      <c r="BD31" s="35"/>
      <c r="BE31" s="35" t="s">
        <v>1353</v>
      </c>
      <c r="BF31" s="34"/>
      <c r="BG31" s="32" t="s">
        <v>1353</v>
      </c>
      <c r="BH31" s="35" t="s">
        <v>1353</v>
      </c>
      <c r="BI31" s="35"/>
      <c r="BJ31" s="35" t="s">
        <v>1353</v>
      </c>
      <c r="BK31" s="34"/>
      <c r="BL31" s="32" t="s">
        <v>1353</v>
      </c>
      <c r="BM31" s="35" t="s">
        <v>1353</v>
      </c>
      <c r="BN31" s="35"/>
      <c r="BO31" s="35" t="s">
        <v>1353</v>
      </c>
      <c r="BP31" s="34"/>
      <c r="BQ31" s="32" t="s">
        <v>1353</v>
      </c>
      <c r="BR31" s="35" t="s">
        <v>1353</v>
      </c>
      <c r="BS31" s="35"/>
      <c r="BT31" s="35" t="s">
        <v>1353</v>
      </c>
      <c r="BU31" s="34"/>
      <c r="BV31" s="32" t="s">
        <v>1353</v>
      </c>
      <c r="BW31" s="35" t="s">
        <v>1353</v>
      </c>
      <c r="BX31" s="35"/>
      <c r="BY31" s="35" t="s">
        <v>1353</v>
      </c>
      <c r="BZ31" s="34"/>
      <c r="CA31" s="32" t="s">
        <v>1353</v>
      </c>
      <c r="CB31" s="35" t="s">
        <v>1353</v>
      </c>
      <c r="CC31" s="35"/>
      <c r="CD31" s="35" t="s">
        <v>1353</v>
      </c>
      <c r="CE31" s="34"/>
      <c r="CF31" s="32" t="s">
        <v>1353</v>
      </c>
      <c r="CG31" s="35" t="s">
        <v>1353</v>
      </c>
      <c r="CH31" s="35"/>
      <c r="CI31" s="35" t="s">
        <v>1353</v>
      </c>
      <c r="CJ31" s="34"/>
      <c r="CK31" s="32" t="s">
        <v>1353</v>
      </c>
      <c r="CL31" s="35" t="s">
        <v>1353</v>
      </c>
      <c r="CM31" s="35"/>
      <c r="CN31" s="35" t="s">
        <v>1353</v>
      </c>
      <c r="CO31" s="34"/>
      <c r="CP31" s="32" t="s">
        <v>1353</v>
      </c>
      <c r="CQ31" s="35" t="s">
        <v>1353</v>
      </c>
      <c r="CR31" s="35"/>
      <c r="CS31" s="35" t="s">
        <v>1353</v>
      </c>
      <c r="CT31" s="34"/>
      <c r="CU31" s="32" t="s">
        <v>1353</v>
      </c>
      <c r="CV31" s="35" t="s">
        <v>1353</v>
      </c>
      <c r="CW31" s="35"/>
      <c r="CX31" s="35" t="s">
        <v>1353</v>
      </c>
      <c r="CY31" s="34"/>
      <c r="CZ31" s="32" t="s">
        <v>1353</v>
      </c>
      <c r="DA31" s="35" t="s">
        <v>1353</v>
      </c>
      <c r="DB31" s="35"/>
      <c r="DC31" s="35" t="s">
        <v>1353</v>
      </c>
      <c r="DD31" s="34"/>
      <c r="DE31" s="32" t="s">
        <v>1353</v>
      </c>
      <c r="DF31" s="35" t="s">
        <v>1353</v>
      </c>
      <c r="DG31" s="35"/>
      <c r="DH31" s="35" t="s">
        <v>1353</v>
      </c>
      <c r="DI31" s="34"/>
      <c r="DJ31" s="32" t="s">
        <v>1353</v>
      </c>
      <c r="DK31" s="35" t="s">
        <v>1353</v>
      </c>
      <c r="DL31" s="35"/>
      <c r="DM31" s="35" t="s">
        <v>1353</v>
      </c>
      <c r="DN31" s="34"/>
      <c r="DO31" s="32" t="s">
        <v>1353</v>
      </c>
      <c r="DP31" s="35" t="s">
        <v>1353</v>
      </c>
      <c r="DQ31" s="35"/>
      <c r="DR31" s="35" t="s">
        <v>1353</v>
      </c>
      <c r="DS31" s="34"/>
      <c r="DT31" s="32" t="s">
        <v>1353</v>
      </c>
      <c r="DU31" s="35" t="s">
        <v>1353</v>
      </c>
      <c r="DV31" s="35"/>
      <c r="DW31" s="35" t="s">
        <v>1353</v>
      </c>
      <c r="DX31" s="34"/>
      <c r="DY31" s="32" t="s">
        <v>1353</v>
      </c>
      <c r="DZ31" s="35" t="s">
        <v>1353</v>
      </c>
      <c r="EA31" s="35"/>
      <c r="EB31" s="35" t="s">
        <v>1353</v>
      </c>
      <c r="EC31" s="34"/>
      <c r="ED31" s="32" t="s">
        <v>1353</v>
      </c>
      <c r="EE31" s="35" t="s">
        <v>1353</v>
      </c>
      <c r="EF31" s="35"/>
      <c r="EG31" s="35" t="s">
        <v>1353</v>
      </c>
      <c r="EH31" s="34"/>
      <c r="EI31" s="32" t="s">
        <v>1353</v>
      </c>
      <c r="EJ31" s="35" t="s">
        <v>1353</v>
      </c>
      <c r="EK31" s="35"/>
      <c r="EL31" s="35" t="s">
        <v>1353</v>
      </c>
      <c r="EM31" s="34"/>
      <c r="EN31" s="32" t="s">
        <v>1353</v>
      </c>
      <c r="EO31" s="35" t="s">
        <v>1353</v>
      </c>
      <c r="EP31" s="35"/>
      <c r="EQ31" s="35" t="s">
        <v>1353</v>
      </c>
      <c r="ER31" s="34"/>
      <c r="ES31" s="32" t="s">
        <v>1353</v>
      </c>
      <c r="ET31" s="35" t="s">
        <v>1353</v>
      </c>
      <c r="EU31" s="35"/>
      <c r="EV31" s="35" t="s">
        <v>1353</v>
      </c>
      <c r="EW31" s="34"/>
      <c r="EX31" s="32" t="s">
        <v>1353</v>
      </c>
      <c r="EY31" s="35" t="s">
        <v>1353</v>
      </c>
      <c r="EZ31" s="35"/>
      <c r="FA31" s="35" t="s">
        <v>1353</v>
      </c>
      <c r="FB31" s="34"/>
      <c r="FC31" s="32" t="s">
        <v>1353</v>
      </c>
      <c r="FD31" s="35" t="s">
        <v>1353</v>
      </c>
      <c r="FE31" s="35"/>
      <c r="FF31" s="35" t="s">
        <v>1353</v>
      </c>
      <c r="FG31" s="34"/>
      <c r="FH31" s="32" t="s">
        <v>1353</v>
      </c>
      <c r="FI31" s="35" t="s">
        <v>1353</v>
      </c>
      <c r="FJ31" s="35"/>
      <c r="FK31" s="35" t="s">
        <v>1353</v>
      </c>
      <c r="FL31" s="34"/>
      <c r="FM31" s="32" t="s">
        <v>1353</v>
      </c>
      <c r="FN31" s="35" t="s">
        <v>1353</v>
      </c>
      <c r="FO31" s="35"/>
      <c r="FP31" s="35" t="s">
        <v>1353</v>
      </c>
      <c r="FQ31" s="34"/>
      <c r="FR31" s="32" t="s">
        <v>1353</v>
      </c>
      <c r="FS31" s="35" t="s">
        <v>1353</v>
      </c>
      <c r="FT31" s="35"/>
      <c r="FU31" s="35" t="s">
        <v>1353</v>
      </c>
      <c r="FV31" s="34"/>
      <c r="FW31" s="32" t="s">
        <v>1353</v>
      </c>
      <c r="FX31" s="35" t="s">
        <v>1353</v>
      </c>
      <c r="FY31" s="35"/>
      <c r="FZ31" s="35" t="s">
        <v>1353</v>
      </c>
      <c r="GA31" s="34"/>
      <c r="GB31" s="32" t="s">
        <v>1353</v>
      </c>
      <c r="GC31" s="35" t="s">
        <v>1353</v>
      </c>
      <c r="GD31" s="35"/>
      <c r="GE31" s="35" t="s">
        <v>1353</v>
      </c>
      <c r="GF31" s="34"/>
    </row>
    <row r="32" spans="1:188">
      <c r="A32" s="18" t="s">
        <v>1377</v>
      </c>
      <c r="B32" s="18" t="str" cm="1">
        <f t="array" aca="1" ref="B32" ca="1">INDIRECT("'" &amp; A32 &amp; "'!F3")</f>
        <v>Phillip G</v>
      </c>
      <c r="C32" s="18" t="str" cm="1">
        <f t="array" aca="1" ref="C32" ca="1">INDIRECT("'" &amp; A32 &amp; "'!F4")</f>
        <v>Kirk Grimm</v>
      </c>
      <c r="D32" s="32"/>
      <c r="E32" s="35">
        <v>3</v>
      </c>
      <c r="F32" s="35" t="s">
        <v>1353</v>
      </c>
      <c r="G32" s="35">
        <v>1</v>
      </c>
      <c r="H32" s="34" t="s">
        <v>1354</v>
      </c>
      <c r="I32" s="32" t="s">
        <v>1353</v>
      </c>
      <c r="J32" s="35" t="s">
        <v>1353</v>
      </c>
      <c r="K32" s="35"/>
      <c r="L32" s="35" t="s">
        <v>1353</v>
      </c>
      <c r="M32" s="34"/>
      <c r="N32" s="32" t="s">
        <v>1353</v>
      </c>
      <c r="O32" s="35" t="s">
        <v>1353</v>
      </c>
      <c r="P32" s="35"/>
      <c r="Q32" s="35" t="s">
        <v>1353</v>
      </c>
      <c r="R32" s="34"/>
      <c r="S32" s="32" t="s">
        <v>1353</v>
      </c>
      <c r="T32" s="35" t="s">
        <v>1353</v>
      </c>
      <c r="U32" s="35"/>
      <c r="V32" s="35" t="s">
        <v>1353</v>
      </c>
      <c r="W32" s="34"/>
      <c r="X32" s="32" t="s">
        <v>1353</v>
      </c>
      <c r="Y32" s="35" t="s">
        <v>1353</v>
      </c>
      <c r="Z32" s="35"/>
      <c r="AA32" s="35" t="s">
        <v>1353</v>
      </c>
      <c r="AB32" s="34"/>
      <c r="AC32" s="32" t="s">
        <v>1353</v>
      </c>
      <c r="AD32" s="35" t="s">
        <v>1353</v>
      </c>
      <c r="AE32" s="35"/>
      <c r="AF32" s="35" t="s">
        <v>1353</v>
      </c>
      <c r="AG32" s="34"/>
      <c r="AH32" s="32" t="s">
        <v>1353</v>
      </c>
      <c r="AI32" s="35" t="s">
        <v>1353</v>
      </c>
      <c r="AJ32" s="35"/>
      <c r="AK32" s="35" t="s">
        <v>1353</v>
      </c>
      <c r="AL32" s="34"/>
      <c r="AM32" s="32" t="s">
        <v>1353</v>
      </c>
      <c r="AN32" s="35" t="s">
        <v>1353</v>
      </c>
      <c r="AO32" s="35"/>
      <c r="AP32" s="35" t="s">
        <v>1353</v>
      </c>
      <c r="AQ32" s="34"/>
      <c r="AR32" s="32" t="s">
        <v>1353</v>
      </c>
      <c r="AS32" s="35" t="s">
        <v>1353</v>
      </c>
      <c r="AT32" s="35"/>
      <c r="AU32" s="35" t="s">
        <v>1353</v>
      </c>
      <c r="AV32" s="34"/>
      <c r="AW32" s="32" t="s">
        <v>1353</v>
      </c>
      <c r="AX32" s="35" t="s">
        <v>1353</v>
      </c>
      <c r="AY32" s="35"/>
      <c r="AZ32" s="35" t="s">
        <v>1353</v>
      </c>
      <c r="BA32" s="34"/>
      <c r="BB32" s="32" t="s">
        <v>1353</v>
      </c>
      <c r="BC32" s="35" t="s">
        <v>1353</v>
      </c>
      <c r="BD32" s="35"/>
      <c r="BE32" s="35" t="s">
        <v>1353</v>
      </c>
      <c r="BF32" s="34"/>
      <c r="BG32" s="32" t="s">
        <v>1353</v>
      </c>
      <c r="BH32" s="35" t="s">
        <v>1353</v>
      </c>
      <c r="BI32" s="35"/>
      <c r="BJ32" s="35" t="s">
        <v>1353</v>
      </c>
      <c r="BK32" s="34"/>
      <c r="BL32" s="32" t="s">
        <v>1353</v>
      </c>
      <c r="BM32" s="35" t="s">
        <v>1353</v>
      </c>
      <c r="BN32" s="35"/>
      <c r="BO32" s="35" t="s">
        <v>1353</v>
      </c>
      <c r="BP32" s="34"/>
      <c r="BQ32" s="32" t="s">
        <v>1353</v>
      </c>
      <c r="BR32" s="35" t="s">
        <v>1353</v>
      </c>
      <c r="BS32" s="35"/>
      <c r="BT32" s="35" t="s">
        <v>1353</v>
      </c>
      <c r="BU32" s="34"/>
      <c r="BV32" s="32" t="s">
        <v>1353</v>
      </c>
      <c r="BW32" s="35" t="s">
        <v>1353</v>
      </c>
      <c r="BX32" s="35"/>
      <c r="BY32" s="35" t="s">
        <v>1353</v>
      </c>
      <c r="BZ32" s="34"/>
      <c r="CA32" s="32" t="s">
        <v>1353</v>
      </c>
      <c r="CB32" s="35" t="s">
        <v>1353</v>
      </c>
      <c r="CC32" s="35"/>
      <c r="CD32" s="35" t="s">
        <v>1353</v>
      </c>
      <c r="CE32" s="34"/>
      <c r="CF32" s="32" t="s">
        <v>1353</v>
      </c>
      <c r="CG32" s="35" t="s">
        <v>1353</v>
      </c>
      <c r="CH32" s="35"/>
      <c r="CI32" s="35" t="s">
        <v>1353</v>
      </c>
      <c r="CJ32" s="34"/>
      <c r="CK32" s="32" t="s">
        <v>1353</v>
      </c>
      <c r="CL32" s="35" t="s">
        <v>1353</v>
      </c>
      <c r="CM32" s="35"/>
      <c r="CN32" s="35" t="s">
        <v>1353</v>
      </c>
      <c r="CO32" s="34"/>
      <c r="CP32" s="32" t="s">
        <v>1353</v>
      </c>
      <c r="CQ32" s="35" t="s">
        <v>1353</v>
      </c>
      <c r="CR32" s="35"/>
      <c r="CS32" s="35" t="s">
        <v>1353</v>
      </c>
      <c r="CT32" s="34"/>
      <c r="CU32" s="32" t="s">
        <v>1353</v>
      </c>
      <c r="CV32" s="35" t="s">
        <v>1353</v>
      </c>
      <c r="CW32" s="35"/>
      <c r="CX32" s="35" t="s">
        <v>1353</v>
      </c>
      <c r="CY32" s="34"/>
      <c r="CZ32" s="32" t="s">
        <v>1353</v>
      </c>
      <c r="DA32" s="35" t="s">
        <v>1353</v>
      </c>
      <c r="DB32" s="35"/>
      <c r="DC32" s="35" t="s">
        <v>1353</v>
      </c>
      <c r="DD32" s="34"/>
      <c r="DE32" s="32" t="s">
        <v>1353</v>
      </c>
      <c r="DF32" s="35" t="s">
        <v>1353</v>
      </c>
      <c r="DG32" s="35"/>
      <c r="DH32" s="35" t="s">
        <v>1353</v>
      </c>
      <c r="DI32" s="34"/>
      <c r="DJ32" s="32" t="s">
        <v>1353</v>
      </c>
      <c r="DK32" s="35" t="s">
        <v>1353</v>
      </c>
      <c r="DL32" s="35"/>
      <c r="DM32" s="35" t="s">
        <v>1353</v>
      </c>
      <c r="DN32" s="34"/>
      <c r="DO32" s="32" t="s">
        <v>1353</v>
      </c>
      <c r="DP32" s="35" t="s">
        <v>1353</v>
      </c>
      <c r="DQ32" s="35"/>
      <c r="DR32" s="35" t="s">
        <v>1353</v>
      </c>
      <c r="DS32" s="34"/>
      <c r="DT32" s="32" t="s">
        <v>1353</v>
      </c>
      <c r="DU32" s="35" t="s">
        <v>1353</v>
      </c>
      <c r="DV32" s="35"/>
      <c r="DW32" s="35" t="s">
        <v>1353</v>
      </c>
      <c r="DX32" s="34"/>
      <c r="DY32" s="32" t="s">
        <v>1353</v>
      </c>
      <c r="DZ32" s="35" t="s">
        <v>1353</v>
      </c>
      <c r="EA32" s="35"/>
      <c r="EB32" s="35" t="s">
        <v>1353</v>
      </c>
      <c r="EC32" s="34"/>
      <c r="ED32" s="32" t="s">
        <v>1353</v>
      </c>
      <c r="EE32" s="35" t="s">
        <v>1353</v>
      </c>
      <c r="EF32" s="35"/>
      <c r="EG32" s="35" t="s">
        <v>1353</v>
      </c>
      <c r="EH32" s="34"/>
      <c r="EI32" s="32" t="s">
        <v>1353</v>
      </c>
      <c r="EJ32" s="35" t="s">
        <v>1353</v>
      </c>
      <c r="EK32" s="35"/>
      <c r="EL32" s="35" t="s">
        <v>1353</v>
      </c>
      <c r="EM32" s="34"/>
      <c r="EN32" s="32" t="s">
        <v>1353</v>
      </c>
      <c r="EO32" s="35" t="s">
        <v>1353</v>
      </c>
      <c r="EP32" s="35"/>
      <c r="EQ32" s="35" t="s">
        <v>1353</v>
      </c>
      <c r="ER32" s="34"/>
      <c r="ES32" s="32" t="s">
        <v>1353</v>
      </c>
      <c r="ET32" s="35" t="s">
        <v>1353</v>
      </c>
      <c r="EU32" s="35"/>
      <c r="EV32" s="35" t="s">
        <v>1353</v>
      </c>
      <c r="EW32" s="34"/>
      <c r="EX32" s="32" t="s">
        <v>1353</v>
      </c>
      <c r="EY32" s="35" t="s">
        <v>1353</v>
      </c>
      <c r="EZ32" s="35"/>
      <c r="FA32" s="35" t="s">
        <v>1353</v>
      </c>
      <c r="FB32" s="34"/>
      <c r="FC32" s="32" t="s">
        <v>1353</v>
      </c>
      <c r="FD32" s="35" t="s">
        <v>1353</v>
      </c>
      <c r="FE32" s="35"/>
      <c r="FF32" s="35" t="s">
        <v>1353</v>
      </c>
      <c r="FG32" s="34"/>
      <c r="FH32" s="32" t="s">
        <v>1353</v>
      </c>
      <c r="FI32" s="35" t="s">
        <v>1353</v>
      </c>
      <c r="FJ32" s="35"/>
      <c r="FK32" s="35" t="s">
        <v>1353</v>
      </c>
      <c r="FL32" s="34"/>
      <c r="FM32" s="32" t="s">
        <v>1353</v>
      </c>
      <c r="FN32" s="35" t="s">
        <v>1353</v>
      </c>
      <c r="FO32" s="35"/>
      <c r="FP32" s="35" t="s">
        <v>1353</v>
      </c>
      <c r="FQ32" s="34"/>
      <c r="FR32" s="32" t="s">
        <v>1353</v>
      </c>
      <c r="FS32" s="35" t="s">
        <v>1353</v>
      </c>
      <c r="FT32" s="35"/>
      <c r="FU32" s="35" t="s">
        <v>1353</v>
      </c>
      <c r="FV32" s="34"/>
      <c r="FW32" s="32" t="s">
        <v>1353</v>
      </c>
      <c r="FX32" s="35" t="s">
        <v>1353</v>
      </c>
      <c r="FY32" s="35"/>
      <c r="FZ32" s="35" t="s">
        <v>1353</v>
      </c>
      <c r="GA32" s="34"/>
      <c r="GB32" s="32" t="s">
        <v>1353</v>
      </c>
      <c r="GC32" s="35" t="s">
        <v>1353</v>
      </c>
      <c r="GD32" s="35"/>
      <c r="GE32" s="35" t="s">
        <v>1353</v>
      </c>
      <c r="GF32" s="34"/>
    </row>
    <row r="33" spans="1:188">
      <c r="A33" s="18" t="s">
        <v>1378</v>
      </c>
      <c r="B33" s="18" t="str" cm="1">
        <f t="array" aca="1" ref="B33" ca="1">INDIRECT("'" &amp; A33 &amp; "'!F3")</f>
        <v>Clair H</v>
      </c>
      <c r="C33" s="18" t="str" cm="1">
        <f t="array" aca="1" ref="C33" ca="1">INDIRECT("'" &amp; A33 &amp; "'!F4")</f>
        <v>Livia</v>
      </c>
      <c r="D33" s="32" t="s">
        <v>1367</v>
      </c>
      <c r="E33" s="35">
        <v>3</v>
      </c>
      <c r="F33" s="35" t="s">
        <v>1353</v>
      </c>
      <c r="G33" s="35" t="s">
        <v>1353</v>
      </c>
      <c r="H33" s="34" t="s">
        <v>1354</v>
      </c>
      <c r="I33" s="32" t="s">
        <v>1353</v>
      </c>
      <c r="J33" s="35" t="s">
        <v>1353</v>
      </c>
      <c r="K33" s="35"/>
      <c r="L33" s="35" t="s">
        <v>1353</v>
      </c>
      <c r="M33" s="34"/>
      <c r="N33" s="32" t="s">
        <v>1353</v>
      </c>
      <c r="O33" s="35" t="s">
        <v>1353</v>
      </c>
      <c r="P33" s="35"/>
      <c r="Q33" s="35" t="s">
        <v>1353</v>
      </c>
      <c r="R33" s="34"/>
      <c r="S33" s="32" t="s">
        <v>1353</v>
      </c>
      <c r="T33" s="35" t="s">
        <v>1353</v>
      </c>
      <c r="U33" s="35"/>
      <c r="V33" s="35" t="s">
        <v>1353</v>
      </c>
      <c r="W33" s="34"/>
      <c r="X33" s="32" t="s">
        <v>1353</v>
      </c>
      <c r="Y33" s="35" t="s">
        <v>1353</v>
      </c>
      <c r="Z33" s="35"/>
      <c r="AA33" s="35" t="s">
        <v>1353</v>
      </c>
      <c r="AB33" s="34"/>
      <c r="AC33" s="32" t="s">
        <v>1353</v>
      </c>
      <c r="AD33" s="35" t="s">
        <v>1353</v>
      </c>
      <c r="AE33" s="35"/>
      <c r="AF33" s="35" t="s">
        <v>1353</v>
      </c>
      <c r="AG33" s="34"/>
      <c r="AH33" s="32" t="s">
        <v>1353</v>
      </c>
      <c r="AI33" s="35" t="s">
        <v>1353</v>
      </c>
      <c r="AJ33" s="35"/>
      <c r="AK33" s="35" t="s">
        <v>1353</v>
      </c>
      <c r="AL33" s="34"/>
      <c r="AM33" s="32" t="s">
        <v>1353</v>
      </c>
      <c r="AN33" s="35" t="s">
        <v>1353</v>
      </c>
      <c r="AO33" s="35"/>
      <c r="AP33" s="35" t="s">
        <v>1353</v>
      </c>
      <c r="AQ33" s="34"/>
      <c r="AR33" s="32" t="s">
        <v>1353</v>
      </c>
      <c r="AS33" s="35" t="s">
        <v>1353</v>
      </c>
      <c r="AT33" s="35"/>
      <c r="AU33" s="35" t="s">
        <v>1353</v>
      </c>
      <c r="AV33" s="34"/>
      <c r="AW33" s="32" t="s">
        <v>1353</v>
      </c>
      <c r="AX33" s="35" t="s">
        <v>1353</v>
      </c>
      <c r="AY33" s="35"/>
      <c r="AZ33" s="35" t="s">
        <v>1353</v>
      </c>
      <c r="BA33" s="34"/>
      <c r="BB33" s="32" t="s">
        <v>1353</v>
      </c>
      <c r="BC33" s="35" t="s">
        <v>1353</v>
      </c>
      <c r="BD33" s="35"/>
      <c r="BE33" s="35" t="s">
        <v>1353</v>
      </c>
      <c r="BF33" s="34"/>
      <c r="BG33" s="32" t="s">
        <v>1353</v>
      </c>
      <c r="BH33" s="35" t="s">
        <v>1353</v>
      </c>
      <c r="BI33" s="35"/>
      <c r="BJ33" s="35" t="s">
        <v>1353</v>
      </c>
      <c r="BK33" s="34"/>
      <c r="BL33" s="32" t="s">
        <v>1353</v>
      </c>
      <c r="BM33" s="35" t="s">
        <v>1353</v>
      </c>
      <c r="BN33" s="35"/>
      <c r="BO33" s="35" t="s">
        <v>1353</v>
      </c>
      <c r="BP33" s="34"/>
      <c r="BQ33" s="32" t="s">
        <v>1353</v>
      </c>
      <c r="BR33" s="35" t="s">
        <v>1353</v>
      </c>
      <c r="BS33" s="35"/>
      <c r="BT33" s="35" t="s">
        <v>1353</v>
      </c>
      <c r="BU33" s="34"/>
      <c r="BV33" s="32" t="s">
        <v>1353</v>
      </c>
      <c r="BW33" s="35" t="s">
        <v>1353</v>
      </c>
      <c r="BX33" s="35"/>
      <c r="BY33" s="35" t="s">
        <v>1353</v>
      </c>
      <c r="BZ33" s="34"/>
      <c r="CA33" s="32" t="s">
        <v>1353</v>
      </c>
      <c r="CB33" s="35" t="s">
        <v>1353</v>
      </c>
      <c r="CC33" s="35"/>
      <c r="CD33" s="35" t="s">
        <v>1353</v>
      </c>
      <c r="CE33" s="34"/>
      <c r="CF33" s="32" t="s">
        <v>1353</v>
      </c>
      <c r="CG33" s="35" t="s">
        <v>1353</v>
      </c>
      <c r="CH33" s="35"/>
      <c r="CI33" s="35" t="s">
        <v>1353</v>
      </c>
      <c r="CJ33" s="34"/>
      <c r="CK33" s="32" t="s">
        <v>1353</v>
      </c>
      <c r="CL33" s="35" t="s">
        <v>1353</v>
      </c>
      <c r="CM33" s="35"/>
      <c r="CN33" s="35" t="s">
        <v>1353</v>
      </c>
      <c r="CO33" s="34"/>
      <c r="CP33" s="32" t="s">
        <v>1353</v>
      </c>
      <c r="CQ33" s="35" t="s">
        <v>1353</v>
      </c>
      <c r="CR33" s="35"/>
      <c r="CS33" s="35" t="s">
        <v>1353</v>
      </c>
      <c r="CT33" s="34"/>
      <c r="CU33" s="32" t="s">
        <v>1353</v>
      </c>
      <c r="CV33" s="35" t="s">
        <v>1353</v>
      </c>
      <c r="CW33" s="35"/>
      <c r="CX33" s="35" t="s">
        <v>1353</v>
      </c>
      <c r="CY33" s="34"/>
      <c r="CZ33" s="32" t="s">
        <v>1353</v>
      </c>
      <c r="DA33" s="35" t="s">
        <v>1353</v>
      </c>
      <c r="DB33" s="35"/>
      <c r="DC33" s="35" t="s">
        <v>1353</v>
      </c>
      <c r="DD33" s="34"/>
      <c r="DE33" s="32" t="s">
        <v>1353</v>
      </c>
      <c r="DF33" s="35" t="s">
        <v>1353</v>
      </c>
      <c r="DG33" s="35"/>
      <c r="DH33" s="35" t="s">
        <v>1353</v>
      </c>
      <c r="DI33" s="34"/>
      <c r="DJ33" s="32" t="s">
        <v>1353</v>
      </c>
      <c r="DK33" s="35" t="s">
        <v>1353</v>
      </c>
      <c r="DL33" s="35"/>
      <c r="DM33" s="35" t="s">
        <v>1353</v>
      </c>
      <c r="DN33" s="34"/>
      <c r="DO33" s="32" t="s">
        <v>1353</v>
      </c>
      <c r="DP33" s="35" t="s">
        <v>1353</v>
      </c>
      <c r="DQ33" s="35"/>
      <c r="DR33" s="35" t="s">
        <v>1353</v>
      </c>
      <c r="DS33" s="34"/>
      <c r="DT33" s="32" t="s">
        <v>1353</v>
      </c>
      <c r="DU33" s="35" t="s">
        <v>1353</v>
      </c>
      <c r="DV33" s="35"/>
      <c r="DW33" s="35" t="s">
        <v>1353</v>
      </c>
      <c r="DX33" s="34"/>
      <c r="DY33" s="32" t="s">
        <v>1353</v>
      </c>
      <c r="DZ33" s="35" t="s">
        <v>1353</v>
      </c>
      <c r="EA33" s="35"/>
      <c r="EB33" s="35" t="s">
        <v>1353</v>
      </c>
      <c r="EC33" s="34"/>
      <c r="ED33" s="32" t="s">
        <v>1353</v>
      </c>
      <c r="EE33" s="35" t="s">
        <v>1353</v>
      </c>
      <c r="EF33" s="35"/>
      <c r="EG33" s="35" t="s">
        <v>1353</v>
      </c>
      <c r="EH33" s="34"/>
      <c r="EI33" s="32" t="s">
        <v>1353</v>
      </c>
      <c r="EJ33" s="35" t="s">
        <v>1353</v>
      </c>
      <c r="EK33" s="35"/>
      <c r="EL33" s="35" t="s">
        <v>1353</v>
      </c>
      <c r="EM33" s="34"/>
      <c r="EN33" s="32" t="s">
        <v>1353</v>
      </c>
      <c r="EO33" s="35" t="s">
        <v>1353</v>
      </c>
      <c r="EP33" s="35"/>
      <c r="EQ33" s="35" t="s">
        <v>1353</v>
      </c>
      <c r="ER33" s="34"/>
      <c r="ES33" s="32" t="s">
        <v>1353</v>
      </c>
      <c r="ET33" s="35" t="s">
        <v>1353</v>
      </c>
      <c r="EU33" s="35"/>
      <c r="EV33" s="35" t="s">
        <v>1353</v>
      </c>
      <c r="EW33" s="34"/>
      <c r="EX33" s="32" t="s">
        <v>1353</v>
      </c>
      <c r="EY33" s="35" t="s">
        <v>1353</v>
      </c>
      <c r="EZ33" s="35"/>
      <c r="FA33" s="35" t="s">
        <v>1353</v>
      </c>
      <c r="FB33" s="34"/>
      <c r="FC33" s="32" t="s">
        <v>1353</v>
      </c>
      <c r="FD33" s="35" t="s">
        <v>1353</v>
      </c>
      <c r="FE33" s="35"/>
      <c r="FF33" s="35" t="s">
        <v>1353</v>
      </c>
      <c r="FG33" s="34"/>
      <c r="FH33" s="32" t="s">
        <v>1353</v>
      </c>
      <c r="FI33" s="35" t="s">
        <v>1353</v>
      </c>
      <c r="FJ33" s="35"/>
      <c r="FK33" s="35" t="s">
        <v>1353</v>
      </c>
      <c r="FL33" s="34"/>
      <c r="FM33" s="32" t="s">
        <v>1353</v>
      </c>
      <c r="FN33" s="35" t="s">
        <v>1353</v>
      </c>
      <c r="FO33" s="35"/>
      <c r="FP33" s="35" t="s">
        <v>1353</v>
      </c>
      <c r="FQ33" s="34"/>
      <c r="FR33" s="32" t="s">
        <v>1353</v>
      </c>
      <c r="FS33" s="35" t="s">
        <v>1353</v>
      </c>
      <c r="FT33" s="35"/>
      <c r="FU33" s="35" t="s">
        <v>1353</v>
      </c>
      <c r="FV33" s="34"/>
      <c r="FW33" s="32" t="s">
        <v>1353</v>
      </c>
      <c r="FX33" s="35" t="s">
        <v>1353</v>
      </c>
      <c r="FY33" s="35"/>
      <c r="FZ33" s="35" t="s">
        <v>1353</v>
      </c>
      <c r="GA33" s="34"/>
      <c r="GB33" s="32" t="s">
        <v>1353</v>
      </c>
      <c r="GC33" s="35" t="s">
        <v>1353</v>
      </c>
      <c r="GD33" s="35"/>
      <c r="GE33" s="35" t="s">
        <v>1353</v>
      </c>
      <c r="GF33" s="34"/>
    </row>
    <row r="34" spans="1:188">
      <c r="A34" s="18" t="s">
        <v>1379</v>
      </c>
      <c r="B34" s="18" t="str" cm="1">
        <f t="array" aca="1" ref="B34" ca="1">INDIRECT("'" &amp; A34 &amp; "'!F3")</f>
        <v>Sky K</v>
      </c>
      <c r="C34" s="18" t="str" cm="1">
        <f t="array" aca="1" ref="C34" ca="1">INDIRECT("'" &amp; A34 &amp; "'!F4")</f>
        <v>Ludica Lachramore</v>
      </c>
      <c r="D34" s="32" t="s">
        <v>1359</v>
      </c>
      <c r="E34" s="35">
        <v>3</v>
      </c>
      <c r="F34" s="35" t="s">
        <v>1353</v>
      </c>
      <c r="G34" s="35" t="s">
        <v>1353</v>
      </c>
      <c r="H34" s="34" t="s">
        <v>1354</v>
      </c>
      <c r="I34" s="32" t="s">
        <v>1353</v>
      </c>
      <c r="J34" s="35" t="s">
        <v>1353</v>
      </c>
      <c r="K34" s="35"/>
      <c r="L34" s="35" t="s">
        <v>1353</v>
      </c>
      <c r="M34" s="34"/>
      <c r="N34" s="32" t="s">
        <v>1353</v>
      </c>
      <c r="O34" s="35" t="s">
        <v>1353</v>
      </c>
      <c r="P34" s="35"/>
      <c r="Q34" s="35" t="s">
        <v>1353</v>
      </c>
      <c r="R34" s="34"/>
      <c r="S34" s="32" t="s">
        <v>1353</v>
      </c>
      <c r="T34" s="35" t="s">
        <v>1353</v>
      </c>
      <c r="U34" s="35"/>
      <c r="V34" s="35" t="s">
        <v>1353</v>
      </c>
      <c r="W34" s="34"/>
      <c r="X34" s="32" t="s">
        <v>1353</v>
      </c>
      <c r="Y34" s="35" t="s">
        <v>1353</v>
      </c>
      <c r="Z34" s="35"/>
      <c r="AA34" s="35" t="s">
        <v>1353</v>
      </c>
      <c r="AB34" s="34"/>
      <c r="AC34" s="32" t="s">
        <v>1353</v>
      </c>
      <c r="AD34" s="35" t="s">
        <v>1353</v>
      </c>
      <c r="AE34" s="35"/>
      <c r="AF34" s="35" t="s">
        <v>1353</v>
      </c>
      <c r="AG34" s="34"/>
      <c r="AH34" s="32" t="s">
        <v>1353</v>
      </c>
      <c r="AI34" s="35" t="s">
        <v>1353</v>
      </c>
      <c r="AJ34" s="35"/>
      <c r="AK34" s="35" t="s">
        <v>1353</v>
      </c>
      <c r="AL34" s="34"/>
      <c r="AM34" s="32" t="s">
        <v>1353</v>
      </c>
      <c r="AN34" s="35" t="s">
        <v>1353</v>
      </c>
      <c r="AO34" s="35"/>
      <c r="AP34" s="35" t="s">
        <v>1353</v>
      </c>
      <c r="AQ34" s="34"/>
      <c r="AR34" s="32" t="s">
        <v>1353</v>
      </c>
      <c r="AS34" s="35" t="s">
        <v>1353</v>
      </c>
      <c r="AT34" s="35"/>
      <c r="AU34" s="35" t="s">
        <v>1353</v>
      </c>
      <c r="AV34" s="34"/>
      <c r="AW34" s="32" t="s">
        <v>1353</v>
      </c>
      <c r="AX34" s="35" t="s">
        <v>1353</v>
      </c>
      <c r="AY34" s="35"/>
      <c r="AZ34" s="35" t="s">
        <v>1353</v>
      </c>
      <c r="BA34" s="34"/>
      <c r="BB34" s="32" t="s">
        <v>1353</v>
      </c>
      <c r="BC34" s="35" t="s">
        <v>1353</v>
      </c>
      <c r="BD34" s="35"/>
      <c r="BE34" s="35" t="s">
        <v>1353</v>
      </c>
      <c r="BF34" s="34"/>
      <c r="BG34" s="32" t="s">
        <v>1353</v>
      </c>
      <c r="BH34" s="35" t="s">
        <v>1353</v>
      </c>
      <c r="BI34" s="35"/>
      <c r="BJ34" s="35" t="s">
        <v>1353</v>
      </c>
      <c r="BK34" s="34"/>
      <c r="BL34" s="32" t="s">
        <v>1353</v>
      </c>
      <c r="BM34" s="35" t="s">
        <v>1353</v>
      </c>
      <c r="BN34" s="35"/>
      <c r="BO34" s="35" t="s">
        <v>1353</v>
      </c>
      <c r="BP34" s="34"/>
      <c r="BQ34" s="32" t="s">
        <v>1353</v>
      </c>
      <c r="BR34" s="35" t="s">
        <v>1353</v>
      </c>
      <c r="BS34" s="35"/>
      <c r="BT34" s="35" t="s">
        <v>1353</v>
      </c>
      <c r="BU34" s="34"/>
      <c r="BV34" s="32" t="s">
        <v>1353</v>
      </c>
      <c r="BW34" s="35" t="s">
        <v>1353</v>
      </c>
      <c r="BX34" s="35"/>
      <c r="BY34" s="35" t="s">
        <v>1353</v>
      </c>
      <c r="BZ34" s="34"/>
      <c r="CA34" s="32" t="s">
        <v>1353</v>
      </c>
      <c r="CB34" s="35" t="s">
        <v>1353</v>
      </c>
      <c r="CC34" s="35"/>
      <c r="CD34" s="35" t="s">
        <v>1353</v>
      </c>
      <c r="CE34" s="34"/>
      <c r="CF34" s="32" t="s">
        <v>1353</v>
      </c>
      <c r="CG34" s="35" t="s">
        <v>1353</v>
      </c>
      <c r="CH34" s="35"/>
      <c r="CI34" s="35" t="s">
        <v>1353</v>
      </c>
      <c r="CJ34" s="34"/>
      <c r="CK34" s="32" t="s">
        <v>1353</v>
      </c>
      <c r="CL34" s="35" t="s">
        <v>1353</v>
      </c>
      <c r="CM34" s="35"/>
      <c r="CN34" s="35" t="s">
        <v>1353</v>
      </c>
      <c r="CO34" s="34"/>
      <c r="CP34" s="32" t="s">
        <v>1353</v>
      </c>
      <c r="CQ34" s="35" t="s">
        <v>1353</v>
      </c>
      <c r="CR34" s="35"/>
      <c r="CS34" s="35" t="s">
        <v>1353</v>
      </c>
      <c r="CT34" s="34"/>
      <c r="CU34" s="32" t="s">
        <v>1353</v>
      </c>
      <c r="CV34" s="35" t="s">
        <v>1353</v>
      </c>
      <c r="CW34" s="35"/>
      <c r="CX34" s="35" t="s">
        <v>1353</v>
      </c>
      <c r="CY34" s="34"/>
      <c r="CZ34" s="32" t="s">
        <v>1353</v>
      </c>
      <c r="DA34" s="35" t="s">
        <v>1353</v>
      </c>
      <c r="DB34" s="35"/>
      <c r="DC34" s="35" t="s">
        <v>1353</v>
      </c>
      <c r="DD34" s="34"/>
      <c r="DE34" s="32" t="s">
        <v>1353</v>
      </c>
      <c r="DF34" s="35" t="s">
        <v>1353</v>
      </c>
      <c r="DG34" s="35"/>
      <c r="DH34" s="35" t="s">
        <v>1353</v>
      </c>
      <c r="DI34" s="34"/>
      <c r="DJ34" s="32" t="s">
        <v>1353</v>
      </c>
      <c r="DK34" s="35" t="s">
        <v>1353</v>
      </c>
      <c r="DL34" s="35"/>
      <c r="DM34" s="35" t="s">
        <v>1353</v>
      </c>
      <c r="DN34" s="34"/>
      <c r="DO34" s="32" t="s">
        <v>1353</v>
      </c>
      <c r="DP34" s="35" t="s">
        <v>1353</v>
      </c>
      <c r="DQ34" s="35"/>
      <c r="DR34" s="35" t="s">
        <v>1353</v>
      </c>
      <c r="DS34" s="34"/>
      <c r="DT34" s="32" t="s">
        <v>1353</v>
      </c>
      <c r="DU34" s="35" t="s">
        <v>1353</v>
      </c>
      <c r="DV34" s="35"/>
      <c r="DW34" s="35" t="s">
        <v>1353</v>
      </c>
      <c r="DX34" s="34"/>
      <c r="DY34" s="32" t="s">
        <v>1353</v>
      </c>
      <c r="DZ34" s="35" t="s">
        <v>1353</v>
      </c>
      <c r="EA34" s="35"/>
      <c r="EB34" s="35" t="s">
        <v>1353</v>
      </c>
      <c r="EC34" s="34"/>
      <c r="ED34" s="32" t="s">
        <v>1353</v>
      </c>
      <c r="EE34" s="35" t="s">
        <v>1353</v>
      </c>
      <c r="EF34" s="35"/>
      <c r="EG34" s="35" t="s">
        <v>1353</v>
      </c>
      <c r="EH34" s="34"/>
      <c r="EI34" s="32" t="s">
        <v>1353</v>
      </c>
      <c r="EJ34" s="35" t="s">
        <v>1353</v>
      </c>
      <c r="EK34" s="35"/>
      <c r="EL34" s="35" t="s">
        <v>1353</v>
      </c>
      <c r="EM34" s="34"/>
      <c r="EN34" s="32" t="s">
        <v>1353</v>
      </c>
      <c r="EO34" s="35" t="s">
        <v>1353</v>
      </c>
      <c r="EP34" s="35"/>
      <c r="EQ34" s="35" t="s">
        <v>1353</v>
      </c>
      <c r="ER34" s="34"/>
      <c r="ES34" s="32" t="s">
        <v>1353</v>
      </c>
      <c r="ET34" s="35" t="s">
        <v>1353</v>
      </c>
      <c r="EU34" s="35"/>
      <c r="EV34" s="35" t="s">
        <v>1353</v>
      </c>
      <c r="EW34" s="34"/>
      <c r="EX34" s="32" t="s">
        <v>1353</v>
      </c>
      <c r="EY34" s="35" t="s">
        <v>1353</v>
      </c>
      <c r="EZ34" s="35"/>
      <c r="FA34" s="35" t="s">
        <v>1353</v>
      </c>
      <c r="FB34" s="34"/>
      <c r="FC34" s="32" t="s">
        <v>1353</v>
      </c>
      <c r="FD34" s="35" t="s">
        <v>1353</v>
      </c>
      <c r="FE34" s="35"/>
      <c r="FF34" s="35" t="s">
        <v>1353</v>
      </c>
      <c r="FG34" s="34"/>
      <c r="FH34" s="32" t="s">
        <v>1353</v>
      </c>
      <c r="FI34" s="35" t="s">
        <v>1353</v>
      </c>
      <c r="FJ34" s="35"/>
      <c r="FK34" s="35" t="s">
        <v>1353</v>
      </c>
      <c r="FL34" s="34"/>
      <c r="FM34" s="32" t="s">
        <v>1353</v>
      </c>
      <c r="FN34" s="35" t="s">
        <v>1353</v>
      </c>
      <c r="FO34" s="35"/>
      <c r="FP34" s="35" t="s">
        <v>1353</v>
      </c>
      <c r="FQ34" s="34"/>
      <c r="FR34" s="32" t="s">
        <v>1353</v>
      </c>
      <c r="FS34" s="35" t="s">
        <v>1353</v>
      </c>
      <c r="FT34" s="35"/>
      <c r="FU34" s="35" t="s">
        <v>1353</v>
      </c>
      <c r="FV34" s="34"/>
      <c r="FW34" s="32" t="s">
        <v>1353</v>
      </c>
      <c r="FX34" s="35" t="s">
        <v>1353</v>
      </c>
      <c r="FY34" s="35"/>
      <c r="FZ34" s="35" t="s">
        <v>1353</v>
      </c>
      <c r="GA34" s="34"/>
      <c r="GB34" s="32" t="s">
        <v>1353</v>
      </c>
      <c r="GC34" s="35" t="s">
        <v>1353</v>
      </c>
      <c r="GD34" s="35"/>
      <c r="GE34" s="35" t="s">
        <v>1353</v>
      </c>
      <c r="GF34" s="34"/>
    </row>
    <row r="35" spans="1:188">
      <c r="A35" s="18" t="s">
        <v>1380</v>
      </c>
      <c r="B35" s="18" t="str" cm="1">
        <f t="array" aca="1" ref="B35" ca="1">INDIRECT("'" &amp; A35 &amp; "'!F3")</f>
        <v>Charlie BC</v>
      </c>
      <c r="C35" s="18" t="str" cm="1">
        <f t="array" aca="1" ref="C35" ca="1">INDIRECT("'" &amp; A35 &amp; "'!F4")</f>
        <v>Macheath 'Mac'</v>
      </c>
      <c r="D35" s="32" t="s">
        <v>1352</v>
      </c>
      <c r="E35" s="35">
        <v>3</v>
      </c>
      <c r="F35" s="35" t="s">
        <v>1353</v>
      </c>
      <c r="G35" s="35" t="s">
        <v>1353</v>
      </c>
      <c r="H35" s="34" t="s">
        <v>1354</v>
      </c>
      <c r="I35" s="32" t="s">
        <v>1353</v>
      </c>
      <c r="J35" s="35" t="s">
        <v>1353</v>
      </c>
      <c r="K35" s="35"/>
      <c r="L35" s="35" t="s">
        <v>1353</v>
      </c>
      <c r="M35" s="34"/>
      <c r="N35" s="32" t="s">
        <v>1353</v>
      </c>
      <c r="O35" s="35" t="s">
        <v>1353</v>
      </c>
      <c r="P35" s="35"/>
      <c r="Q35" s="35" t="s">
        <v>1353</v>
      </c>
      <c r="R35" s="34"/>
      <c r="S35" s="32" t="s">
        <v>1353</v>
      </c>
      <c r="T35" s="35" t="s">
        <v>1353</v>
      </c>
      <c r="U35" s="35"/>
      <c r="V35" s="35" t="s">
        <v>1353</v>
      </c>
      <c r="W35" s="34"/>
      <c r="X35" s="32" t="s">
        <v>1353</v>
      </c>
      <c r="Y35" s="35" t="s">
        <v>1353</v>
      </c>
      <c r="Z35" s="35"/>
      <c r="AA35" s="35" t="s">
        <v>1353</v>
      </c>
      <c r="AB35" s="34"/>
      <c r="AC35" s="32" t="s">
        <v>1353</v>
      </c>
      <c r="AD35" s="35" t="s">
        <v>1353</v>
      </c>
      <c r="AE35" s="35"/>
      <c r="AF35" s="35" t="s">
        <v>1353</v>
      </c>
      <c r="AG35" s="34"/>
      <c r="AH35" s="32" t="s">
        <v>1353</v>
      </c>
      <c r="AI35" s="35" t="s">
        <v>1353</v>
      </c>
      <c r="AJ35" s="35"/>
      <c r="AK35" s="35" t="s">
        <v>1353</v>
      </c>
      <c r="AL35" s="34"/>
      <c r="AM35" s="32" t="s">
        <v>1353</v>
      </c>
      <c r="AN35" s="35" t="s">
        <v>1353</v>
      </c>
      <c r="AO35" s="35"/>
      <c r="AP35" s="35" t="s">
        <v>1353</v>
      </c>
      <c r="AQ35" s="34"/>
      <c r="AR35" s="32" t="s">
        <v>1353</v>
      </c>
      <c r="AS35" s="35" t="s">
        <v>1353</v>
      </c>
      <c r="AT35" s="35"/>
      <c r="AU35" s="35" t="s">
        <v>1353</v>
      </c>
      <c r="AV35" s="34"/>
      <c r="AW35" s="32" t="s">
        <v>1353</v>
      </c>
      <c r="AX35" s="35" t="s">
        <v>1353</v>
      </c>
      <c r="AY35" s="35"/>
      <c r="AZ35" s="35" t="s">
        <v>1353</v>
      </c>
      <c r="BA35" s="34"/>
      <c r="BB35" s="32" t="s">
        <v>1353</v>
      </c>
      <c r="BC35" s="35" t="s">
        <v>1353</v>
      </c>
      <c r="BD35" s="35"/>
      <c r="BE35" s="35" t="s">
        <v>1353</v>
      </c>
      <c r="BF35" s="34"/>
      <c r="BG35" s="32" t="s">
        <v>1353</v>
      </c>
      <c r="BH35" s="35" t="s">
        <v>1353</v>
      </c>
      <c r="BI35" s="35"/>
      <c r="BJ35" s="35" t="s">
        <v>1353</v>
      </c>
      <c r="BK35" s="34"/>
      <c r="BL35" s="32" t="s">
        <v>1353</v>
      </c>
      <c r="BM35" s="35" t="s">
        <v>1353</v>
      </c>
      <c r="BN35" s="35"/>
      <c r="BO35" s="35" t="s">
        <v>1353</v>
      </c>
      <c r="BP35" s="34"/>
      <c r="BQ35" s="32" t="s">
        <v>1353</v>
      </c>
      <c r="BR35" s="35" t="s">
        <v>1353</v>
      </c>
      <c r="BS35" s="35"/>
      <c r="BT35" s="35" t="s">
        <v>1353</v>
      </c>
      <c r="BU35" s="34"/>
      <c r="BV35" s="32" t="s">
        <v>1353</v>
      </c>
      <c r="BW35" s="35" t="s">
        <v>1353</v>
      </c>
      <c r="BX35" s="35"/>
      <c r="BY35" s="35" t="s">
        <v>1353</v>
      </c>
      <c r="BZ35" s="34"/>
      <c r="CA35" s="32" t="s">
        <v>1353</v>
      </c>
      <c r="CB35" s="35" t="s">
        <v>1353</v>
      </c>
      <c r="CC35" s="35"/>
      <c r="CD35" s="35" t="s">
        <v>1353</v>
      </c>
      <c r="CE35" s="34"/>
      <c r="CF35" s="32" t="s">
        <v>1353</v>
      </c>
      <c r="CG35" s="35" t="s">
        <v>1353</v>
      </c>
      <c r="CH35" s="35"/>
      <c r="CI35" s="35" t="s">
        <v>1353</v>
      </c>
      <c r="CJ35" s="34"/>
      <c r="CK35" s="32" t="s">
        <v>1353</v>
      </c>
      <c r="CL35" s="35" t="s">
        <v>1353</v>
      </c>
      <c r="CM35" s="35"/>
      <c r="CN35" s="35" t="s">
        <v>1353</v>
      </c>
      <c r="CO35" s="34"/>
      <c r="CP35" s="32" t="s">
        <v>1353</v>
      </c>
      <c r="CQ35" s="35" t="s">
        <v>1353</v>
      </c>
      <c r="CR35" s="35"/>
      <c r="CS35" s="35" t="s">
        <v>1353</v>
      </c>
      <c r="CT35" s="34"/>
      <c r="CU35" s="32" t="s">
        <v>1353</v>
      </c>
      <c r="CV35" s="35" t="s">
        <v>1353</v>
      </c>
      <c r="CW35" s="35"/>
      <c r="CX35" s="35" t="s">
        <v>1353</v>
      </c>
      <c r="CY35" s="34"/>
      <c r="CZ35" s="32" t="s">
        <v>1353</v>
      </c>
      <c r="DA35" s="35" t="s">
        <v>1353</v>
      </c>
      <c r="DB35" s="35"/>
      <c r="DC35" s="35" t="s">
        <v>1353</v>
      </c>
      <c r="DD35" s="34"/>
      <c r="DE35" s="32" t="s">
        <v>1353</v>
      </c>
      <c r="DF35" s="35" t="s">
        <v>1353</v>
      </c>
      <c r="DG35" s="35"/>
      <c r="DH35" s="35" t="s">
        <v>1353</v>
      </c>
      <c r="DI35" s="34"/>
      <c r="DJ35" s="32" t="s">
        <v>1353</v>
      </c>
      <c r="DK35" s="35" t="s">
        <v>1353</v>
      </c>
      <c r="DL35" s="35"/>
      <c r="DM35" s="35" t="s">
        <v>1353</v>
      </c>
      <c r="DN35" s="34"/>
      <c r="DO35" s="32" t="s">
        <v>1353</v>
      </c>
      <c r="DP35" s="35" t="s">
        <v>1353</v>
      </c>
      <c r="DQ35" s="35"/>
      <c r="DR35" s="35" t="s">
        <v>1353</v>
      </c>
      <c r="DS35" s="34"/>
      <c r="DT35" s="32" t="s">
        <v>1353</v>
      </c>
      <c r="DU35" s="35" t="s">
        <v>1353</v>
      </c>
      <c r="DV35" s="35"/>
      <c r="DW35" s="35" t="s">
        <v>1353</v>
      </c>
      <c r="DX35" s="34"/>
      <c r="DY35" s="32" t="s">
        <v>1353</v>
      </c>
      <c r="DZ35" s="35" t="s">
        <v>1353</v>
      </c>
      <c r="EA35" s="35"/>
      <c r="EB35" s="35" t="s">
        <v>1353</v>
      </c>
      <c r="EC35" s="34"/>
      <c r="ED35" s="32" t="s">
        <v>1353</v>
      </c>
      <c r="EE35" s="35" t="s">
        <v>1353</v>
      </c>
      <c r="EF35" s="35"/>
      <c r="EG35" s="35" t="s">
        <v>1353</v>
      </c>
      <c r="EH35" s="34"/>
      <c r="EI35" s="32" t="s">
        <v>1353</v>
      </c>
      <c r="EJ35" s="35" t="s">
        <v>1353</v>
      </c>
      <c r="EK35" s="35"/>
      <c r="EL35" s="35" t="s">
        <v>1353</v>
      </c>
      <c r="EM35" s="34"/>
      <c r="EN35" s="32" t="s">
        <v>1353</v>
      </c>
      <c r="EO35" s="35" t="s">
        <v>1353</v>
      </c>
      <c r="EP35" s="35"/>
      <c r="EQ35" s="35" t="s">
        <v>1353</v>
      </c>
      <c r="ER35" s="34"/>
      <c r="ES35" s="32" t="s">
        <v>1353</v>
      </c>
      <c r="ET35" s="35" t="s">
        <v>1353</v>
      </c>
      <c r="EU35" s="35"/>
      <c r="EV35" s="35" t="s">
        <v>1353</v>
      </c>
      <c r="EW35" s="34"/>
      <c r="EX35" s="32" t="s">
        <v>1353</v>
      </c>
      <c r="EY35" s="35" t="s">
        <v>1353</v>
      </c>
      <c r="EZ35" s="35"/>
      <c r="FA35" s="35" t="s">
        <v>1353</v>
      </c>
      <c r="FB35" s="34"/>
      <c r="FC35" s="32" t="s">
        <v>1353</v>
      </c>
      <c r="FD35" s="35" t="s">
        <v>1353</v>
      </c>
      <c r="FE35" s="35"/>
      <c r="FF35" s="35" t="s">
        <v>1353</v>
      </c>
      <c r="FG35" s="34"/>
      <c r="FH35" s="32" t="s">
        <v>1353</v>
      </c>
      <c r="FI35" s="35" t="s">
        <v>1353</v>
      </c>
      <c r="FJ35" s="35"/>
      <c r="FK35" s="35" t="s">
        <v>1353</v>
      </c>
      <c r="FL35" s="34"/>
      <c r="FM35" s="32" t="s">
        <v>1353</v>
      </c>
      <c r="FN35" s="35" t="s">
        <v>1353</v>
      </c>
      <c r="FO35" s="35"/>
      <c r="FP35" s="35" t="s">
        <v>1353</v>
      </c>
      <c r="FQ35" s="34"/>
      <c r="FR35" s="32" t="s">
        <v>1353</v>
      </c>
      <c r="FS35" s="35" t="s">
        <v>1353</v>
      </c>
      <c r="FT35" s="35"/>
      <c r="FU35" s="35" t="s">
        <v>1353</v>
      </c>
      <c r="FV35" s="34"/>
      <c r="FW35" s="32" t="s">
        <v>1353</v>
      </c>
      <c r="FX35" s="35" t="s">
        <v>1353</v>
      </c>
      <c r="FY35" s="35"/>
      <c r="FZ35" s="35" t="s">
        <v>1353</v>
      </c>
      <c r="GA35" s="34"/>
      <c r="GB35" s="32" t="s">
        <v>1353</v>
      </c>
      <c r="GC35" s="35" t="s">
        <v>1353</v>
      </c>
      <c r="GD35" s="35"/>
      <c r="GE35" s="35" t="s">
        <v>1353</v>
      </c>
      <c r="GF35" s="34"/>
    </row>
    <row r="36" spans="1:188">
      <c r="A36" s="18" t="s">
        <v>1381</v>
      </c>
      <c r="B36" s="18" t="str" cm="1">
        <f t="array" aca="1" ref="B36" ca="1">INDIRECT("'" &amp; A36 &amp; "'!F3")</f>
        <v>Tiana C</v>
      </c>
      <c r="C36" s="18" t="str" cm="1">
        <f t="array" aca="1" ref="C36" ca="1">INDIRECT("'" &amp; A36 &amp; "'!F4")</f>
        <v>Magda</v>
      </c>
      <c r="D36" s="32" t="s">
        <v>1359</v>
      </c>
      <c r="E36" s="35">
        <v>3</v>
      </c>
      <c r="F36" s="35" t="s">
        <v>1353</v>
      </c>
      <c r="G36" s="35" t="s">
        <v>1353</v>
      </c>
      <c r="H36" s="34" t="s">
        <v>1354</v>
      </c>
      <c r="I36" s="32" t="s">
        <v>1353</v>
      </c>
      <c r="J36" s="35" t="s">
        <v>1353</v>
      </c>
      <c r="K36" s="35"/>
      <c r="L36" s="35" t="s">
        <v>1353</v>
      </c>
      <c r="M36" s="34"/>
      <c r="N36" s="32"/>
      <c r="O36" s="35"/>
      <c r="P36" s="35"/>
      <c r="Q36" s="35"/>
      <c r="R36" s="34"/>
      <c r="S36" s="32"/>
      <c r="T36" s="35"/>
      <c r="U36" s="35"/>
      <c r="V36" s="35"/>
      <c r="W36" s="34"/>
      <c r="X36" s="32"/>
      <c r="Y36" s="35"/>
      <c r="Z36" s="35"/>
      <c r="AA36" s="35"/>
      <c r="AB36" s="34"/>
      <c r="AC36" s="32"/>
      <c r="AD36" s="35"/>
      <c r="AE36" s="35"/>
      <c r="AF36" s="35"/>
      <c r="AG36" s="34"/>
      <c r="AH36" s="32"/>
      <c r="AI36" s="35"/>
      <c r="AJ36" s="35"/>
      <c r="AK36" s="35"/>
      <c r="AL36" s="34"/>
      <c r="AM36" s="32"/>
      <c r="AN36" s="35"/>
      <c r="AO36" s="35"/>
      <c r="AP36" s="35"/>
      <c r="AQ36" s="34"/>
      <c r="AR36" s="32"/>
      <c r="AS36" s="35"/>
      <c r="AT36" s="35"/>
      <c r="AU36" s="35"/>
      <c r="AV36" s="34"/>
      <c r="AW36" s="32"/>
      <c r="AX36" s="35"/>
      <c r="AY36" s="35"/>
      <c r="AZ36" s="35"/>
      <c r="BA36" s="34"/>
      <c r="BB36" s="32"/>
      <c r="BC36" s="35"/>
      <c r="BD36" s="35"/>
      <c r="BE36" s="35"/>
      <c r="BF36" s="34"/>
      <c r="BG36" s="32"/>
      <c r="BH36" s="35"/>
      <c r="BI36" s="35"/>
      <c r="BJ36" s="35"/>
      <c r="BK36" s="34"/>
      <c r="BL36" s="32"/>
      <c r="BM36" s="35"/>
      <c r="BN36" s="35"/>
      <c r="BO36" s="35"/>
      <c r="BP36" s="34"/>
      <c r="BQ36" s="32"/>
      <c r="BR36" s="35"/>
      <c r="BS36" s="35"/>
      <c r="BT36" s="35"/>
      <c r="BU36" s="34"/>
      <c r="BV36" s="32"/>
      <c r="BW36" s="35"/>
      <c r="BX36" s="35"/>
      <c r="BY36" s="35"/>
      <c r="BZ36" s="34"/>
      <c r="CA36" s="32"/>
      <c r="CB36" s="35"/>
      <c r="CC36" s="35"/>
      <c r="CD36" s="35"/>
      <c r="CE36" s="34"/>
      <c r="CF36" s="32"/>
      <c r="CG36" s="35"/>
      <c r="CH36" s="35"/>
      <c r="CI36" s="35"/>
      <c r="CJ36" s="34"/>
      <c r="CK36" s="32"/>
      <c r="CL36" s="35"/>
      <c r="CM36" s="35"/>
      <c r="CN36" s="35"/>
      <c r="CO36" s="34"/>
      <c r="CP36" s="32"/>
      <c r="CQ36" s="35"/>
      <c r="CR36" s="35"/>
      <c r="CS36" s="35"/>
      <c r="CT36" s="34"/>
      <c r="CU36" s="32"/>
      <c r="CV36" s="35"/>
      <c r="CW36" s="35"/>
      <c r="CX36" s="35"/>
      <c r="CY36" s="34"/>
      <c r="CZ36" s="32"/>
      <c r="DA36" s="35"/>
      <c r="DB36" s="35"/>
      <c r="DC36" s="35"/>
      <c r="DD36" s="34"/>
      <c r="DE36" s="32"/>
      <c r="DF36" s="35"/>
      <c r="DG36" s="35"/>
      <c r="DH36" s="35"/>
      <c r="DI36" s="34"/>
      <c r="DJ36" s="32"/>
      <c r="DK36" s="35"/>
      <c r="DL36" s="35"/>
      <c r="DM36" s="35"/>
      <c r="DN36" s="34"/>
      <c r="DO36" s="32"/>
      <c r="DP36" s="35"/>
      <c r="DQ36" s="35"/>
      <c r="DR36" s="35"/>
      <c r="DS36" s="34"/>
      <c r="DT36" s="32"/>
      <c r="DU36" s="35"/>
      <c r="DV36" s="35"/>
      <c r="DW36" s="35"/>
      <c r="DX36" s="34"/>
      <c r="DY36" s="32"/>
      <c r="DZ36" s="35"/>
      <c r="EA36" s="35"/>
      <c r="EB36" s="35"/>
      <c r="EC36" s="34"/>
      <c r="ED36" s="32"/>
      <c r="EE36" s="35"/>
      <c r="EF36" s="35"/>
      <c r="EG36" s="35"/>
      <c r="EH36" s="34"/>
      <c r="EI36" s="32"/>
      <c r="EJ36" s="35"/>
      <c r="EK36" s="35"/>
      <c r="EL36" s="35"/>
      <c r="EM36" s="34"/>
      <c r="EN36" s="32"/>
      <c r="EO36" s="35"/>
      <c r="EP36" s="35"/>
      <c r="EQ36" s="35"/>
      <c r="ER36" s="34"/>
      <c r="ES36" s="32"/>
      <c r="ET36" s="35"/>
      <c r="EU36" s="35"/>
      <c r="EV36" s="35"/>
      <c r="EW36" s="34"/>
      <c r="EX36" s="32"/>
      <c r="EY36" s="35"/>
      <c r="EZ36" s="35"/>
      <c r="FA36" s="35"/>
      <c r="FB36" s="34"/>
      <c r="FC36" s="32"/>
      <c r="FD36" s="35"/>
      <c r="FE36" s="35"/>
      <c r="FF36" s="35"/>
      <c r="FG36" s="34"/>
      <c r="FH36" s="32"/>
      <c r="FI36" s="35"/>
      <c r="FJ36" s="35"/>
      <c r="FK36" s="35"/>
      <c r="FL36" s="34"/>
      <c r="FM36" s="32"/>
      <c r="FN36" s="35"/>
      <c r="FO36" s="35"/>
      <c r="FP36" s="35"/>
      <c r="FQ36" s="34"/>
      <c r="FR36" s="32"/>
      <c r="FS36" s="35"/>
      <c r="FT36" s="35"/>
      <c r="FU36" s="35"/>
      <c r="FV36" s="34"/>
      <c r="FW36" s="32"/>
      <c r="FX36" s="35"/>
      <c r="FY36" s="35"/>
      <c r="FZ36" s="35"/>
      <c r="GA36" s="34"/>
      <c r="GB36" s="32"/>
      <c r="GC36" s="35"/>
      <c r="GD36" s="35"/>
      <c r="GE36" s="35"/>
      <c r="GF36" s="34"/>
    </row>
    <row r="37" spans="1:188">
      <c r="A37" s="18" t="s">
        <v>1382</v>
      </c>
      <c r="B37" s="18" t="str" cm="1">
        <f t="array" aca="1" ref="B37" ca="1">INDIRECT("'" &amp; A37 &amp; "'!F3")</f>
        <v>Peter K</v>
      </c>
      <c r="C37" s="18" t="str" cm="1">
        <f t="array" aca="1" ref="C37" ca="1">INDIRECT("'" &amp; A37 &amp; "'!F4")</f>
        <v>Yusuf 'Mammon' Kalusicj</v>
      </c>
      <c r="D37" s="32" t="s">
        <v>1372</v>
      </c>
      <c r="E37" s="35"/>
      <c r="F37" s="35">
        <v>1</v>
      </c>
      <c r="G37" s="35" t="s">
        <v>1353</v>
      </c>
      <c r="H37" s="34" t="s">
        <v>1354</v>
      </c>
      <c r="I37" s="32" t="s">
        <v>1353</v>
      </c>
      <c r="J37" s="35" t="s">
        <v>1353</v>
      </c>
      <c r="K37" s="35"/>
      <c r="L37" s="35" t="s">
        <v>1353</v>
      </c>
      <c r="M37" s="34"/>
      <c r="N37" s="32" t="s">
        <v>1353</v>
      </c>
      <c r="O37" s="35" t="s">
        <v>1353</v>
      </c>
      <c r="P37" s="35"/>
      <c r="Q37" s="35" t="s">
        <v>1353</v>
      </c>
      <c r="R37" s="34"/>
      <c r="S37" s="32" t="s">
        <v>1353</v>
      </c>
      <c r="T37" s="35" t="s">
        <v>1353</v>
      </c>
      <c r="U37" s="35"/>
      <c r="V37" s="35" t="s">
        <v>1353</v>
      </c>
      <c r="W37" s="34"/>
      <c r="X37" s="32" t="s">
        <v>1353</v>
      </c>
      <c r="Y37" s="35" t="s">
        <v>1353</v>
      </c>
      <c r="Z37" s="35"/>
      <c r="AA37" s="35" t="s">
        <v>1353</v>
      </c>
      <c r="AB37" s="34"/>
      <c r="AC37" s="32" t="s">
        <v>1353</v>
      </c>
      <c r="AD37" s="35" t="s">
        <v>1353</v>
      </c>
      <c r="AE37" s="35"/>
      <c r="AF37" s="35" t="s">
        <v>1353</v>
      </c>
      <c r="AG37" s="34"/>
      <c r="AH37" s="32" t="s">
        <v>1353</v>
      </c>
      <c r="AI37" s="35" t="s">
        <v>1353</v>
      </c>
      <c r="AJ37" s="35"/>
      <c r="AK37" s="35" t="s">
        <v>1353</v>
      </c>
      <c r="AL37" s="34"/>
      <c r="AM37" s="32" t="s">
        <v>1353</v>
      </c>
      <c r="AN37" s="35" t="s">
        <v>1353</v>
      </c>
      <c r="AO37" s="35"/>
      <c r="AP37" s="35" t="s">
        <v>1353</v>
      </c>
      <c r="AQ37" s="34"/>
      <c r="AR37" s="32" t="s">
        <v>1353</v>
      </c>
      <c r="AS37" s="35" t="s">
        <v>1353</v>
      </c>
      <c r="AT37" s="35"/>
      <c r="AU37" s="35" t="s">
        <v>1353</v>
      </c>
      <c r="AV37" s="34"/>
      <c r="AW37" s="32" t="s">
        <v>1353</v>
      </c>
      <c r="AX37" s="35" t="s">
        <v>1353</v>
      </c>
      <c r="AY37" s="35"/>
      <c r="AZ37" s="35" t="s">
        <v>1353</v>
      </c>
      <c r="BA37" s="34"/>
      <c r="BB37" s="32" t="s">
        <v>1353</v>
      </c>
      <c r="BC37" s="35" t="s">
        <v>1353</v>
      </c>
      <c r="BD37" s="35"/>
      <c r="BE37" s="35" t="s">
        <v>1353</v>
      </c>
      <c r="BF37" s="34"/>
      <c r="BG37" s="32" t="s">
        <v>1353</v>
      </c>
      <c r="BH37" s="35" t="s">
        <v>1353</v>
      </c>
      <c r="BI37" s="35"/>
      <c r="BJ37" s="35" t="s">
        <v>1353</v>
      </c>
      <c r="BK37" s="34"/>
      <c r="BL37" s="32" t="s">
        <v>1353</v>
      </c>
      <c r="BM37" s="35" t="s">
        <v>1353</v>
      </c>
      <c r="BN37" s="35"/>
      <c r="BO37" s="35" t="s">
        <v>1353</v>
      </c>
      <c r="BP37" s="34"/>
      <c r="BQ37" s="32" t="s">
        <v>1353</v>
      </c>
      <c r="BR37" s="35" t="s">
        <v>1353</v>
      </c>
      <c r="BS37" s="35"/>
      <c r="BT37" s="35" t="s">
        <v>1353</v>
      </c>
      <c r="BU37" s="34"/>
      <c r="BV37" s="32" t="s">
        <v>1353</v>
      </c>
      <c r="BW37" s="35" t="s">
        <v>1353</v>
      </c>
      <c r="BX37" s="35"/>
      <c r="BY37" s="35" t="s">
        <v>1353</v>
      </c>
      <c r="BZ37" s="34"/>
      <c r="CA37" s="32" t="s">
        <v>1353</v>
      </c>
      <c r="CB37" s="35" t="s">
        <v>1353</v>
      </c>
      <c r="CC37" s="35"/>
      <c r="CD37" s="35" t="s">
        <v>1353</v>
      </c>
      <c r="CE37" s="34"/>
      <c r="CF37" s="32" t="s">
        <v>1353</v>
      </c>
      <c r="CG37" s="35" t="s">
        <v>1353</v>
      </c>
      <c r="CH37" s="35"/>
      <c r="CI37" s="35" t="s">
        <v>1353</v>
      </c>
      <c r="CJ37" s="34"/>
      <c r="CK37" s="32" t="s">
        <v>1353</v>
      </c>
      <c r="CL37" s="35" t="s">
        <v>1353</v>
      </c>
      <c r="CM37" s="35"/>
      <c r="CN37" s="35" t="s">
        <v>1353</v>
      </c>
      <c r="CO37" s="34"/>
      <c r="CP37" s="32" t="s">
        <v>1353</v>
      </c>
      <c r="CQ37" s="35" t="s">
        <v>1353</v>
      </c>
      <c r="CR37" s="35"/>
      <c r="CS37" s="35" t="s">
        <v>1353</v>
      </c>
      <c r="CT37" s="34"/>
      <c r="CU37" s="32" t="s">
        <v>1353</v>
      </c>
      <c r="CV37" s="35" t="s">
        <v>1353</v>
      </c>
      <c r="CW37" s="35"/>
      <c r="CX37" s="35" t="s">
        <v>1353</v>
      </c>
      <c r="CY37" s="34"/>
      <c r="CZ37" s="32" t="s">
        <v>1353</v>
      </c>
      <c r="DA37" s="35" t="s">
        <v>1353</v>
      </c>
      <c r="DB37" s="35"/>
      <c r="DC37" s="35" t="s">
        <v>1353</v>
      </c>
      <c r="DD37" s="34"/>
      <c r="DE37" s="32" t="s">
        <v>1353</v>
      </c>
      <c r="DF37" s="35" t="s">
        <v>1353</v>
      </c>
      <c r="DG37" s="35"/>
      <c r="DH37" s="35" t="s">
        <v>1353</v>
      </c>
      <c r="DI37" s="34"/>
      <c r="DJ37" s="32" t="s">
        <v>1353</v>
      </c>
      <c r="DK37" s="35" t="s">
        <v>1353</v>
      </c>
      <c r="DL37" s="35"/>
      <c r="DM37" s="35" t="s">
        <v>1353</v>
      </c>
      <c r="DN37" s="34"/>
      <c r="DO37" s="32" t="s">
        <v>1353</v>
      </c>
      <c r="DP37" s="35" t="s">
        <v>1353</v>
      </c>
      <c r="DQ37" s="35"/>
      <c r="DR37" s="35" t="s">
        <v>1353</v>
      </c>
      <c r="DS37" s="34"/>
      <c r="DT37" s="32" t="s">
        <v>1353</v>
      </c>
      <c r="DU37" s="35" t="s">
        <v>1353</v>
      </c>
      <c r="DV37" s="35"/>
      <c r="DW37" s="35" t="s">
        <v>1353</v>
      </c>
      <c r="DX37" s="34"/>
      <c r="DY37" s="32" t="s">
        <v>1353</v>
      </c>
      <c r="DZ37" s="35" t="s">
        <v>1353</v>
      </c>
      <c r="EA37" s="35"/>
      <c r="EB37" s="35" t="s">
        <v>1353</v>
      </c>
      <c r="EC37" s="34"/>
      <c r="ED37" s="32" t="s">
        <v>1353</v>
      </c>
      <c r="EE37" s="35" t="s">
        <v>1353</v>
      </c>
      <c r="EF37" s="35"/>
      <c r="EG37" s="35" t="s">
        <v>1353</v>
      </c>
      <c r="EH37" s="34"/>
      <c r="EI37" s="32" t="s">
        <v>1353</v>
      </c>
      <c r="EJ37" s="35" t="s">
        <v>1353</v>
      </c>
      <c r="EK37" s="35"/>
      <c r="EL37" s="35" t="s">
        <v>1353</v>
      </c>
      <c r="EM37" s="34"/>
      <c r="EN37" s="32" t="s">
        <v>1353</v>
      </c>
      <c r="EO37" s="35" t="s">
        <v>1353</v>
      </c>
      <c r="EP37" s="35"/>
      <c r="EQ37" s="35" t="s">
        <v>1353</v>
      </c>
      <c r="ER37" s="34"/>
      <c r="ES37" s="32" t="s">
        <v>1353</v>
      </c>
      <c r="ET37" s="35" t="s">
        <v>1353</v>
      </c>
      <c r="EU37" s="35"/>
      <c r="EV37" s="35" t="s">
        <v>1353</v>
      </c>
      <c r="EW37" s="34"/>
      <c r="EX37" s="32" t="s">
        <v>1353</v>
      </c>
      <c r="EY37" s="35" t="s">
        <v>1353</v>
      </c>
      <c r="EZ37" s="35"/>
      <c r="FA37" s="35" t="s">
        <v>1353</v>
      </c>
      <c r="FB37" s="34"/>
      <c r="FC37" s="32" t="s">
        <v>1353</v>
      </c>
      <c r="FD37" s="35" t="s">
        <v>1353</v>
      </c>
      <c r="FE37" s="35"/>
      <c r="FF37" s="35" t="s">
        <v>1353</v>
      </c>
      <c r="FG37" s="34"/>
      <c r="FH37" s="32" t="s">
        <v>1353</v>
      </c>
      <c r="FI37" s="35" t="s">
        <v>1353</v>
      </c>
      <c r="FJ37" s="35"/>
      <c r="FK37" s="35" t="s">
        <v>1353</v>
      </c>
      <c r="FL37" s="34"/>
      <c r="FM37" s="32" t="s">
        <v>1353</v>
      </c>
      <c r="FN37" s="35" t="s">
        <v>1353</v>
      </c>
      <c r="FO37" s="35"/>
      <c r="FP37" s="35" t="s">
        <v>1353</v>
      </c>
      <c r="FQ37" s="34"/>
      <c r="FR37" s="32" t="s">
        <v>1353</v>
      </c>
      <c r="FS37" s="35" t="s">
        <v>1353</v>
      </c>
      <c r="FT37" s="35"/>
      <c r="FU37" s="35" t="s">
        <v>1353</v>
      </c>
      <c r="FV37" s="34"/>
      <c r="FW37" s="32" t="s">
        <v>1353</v>
      </c>
      <c r="FX37" s="35" t="s">
        <v>1353</v>
      </c>
      <c r="FY37" s="35"/>
      <c r="FZ37" s="35" t="s">
        <v>1353</v>
      </c>
      <c r="GA37" s="34"/>
      <c r="GB37" s="32" t="s">
        <v>1353</v>
      </c>
      <c r="GC37" s="35" t="s">
        <v>1353</v>
      </c>
      <c r="GD37" s="35"/>
      <c r="GE37" s="35" t="s">
        <v>1353</v>
      </c>
      <c r="GF37" s="34"/>
    </row>
    <row r="38" spans="1:188">
      <c r="A38" s="18" t="s">
        <v>1383</v>
      </c>
      <c r="B38" s="18" t="str" cm="1">
        <f t="array" aca="1" ref="B38" ca="1">INDIRECT("'" &amp; A38 &amp; "'!F3")</f>
        <v>Conan F</v>
      </c>
      <c r="C38" s="18" t="str" cm="1">
        <f t="array" aca="1" ref="C38" ca="1">INDIRECT("'" &amp; A38 &amp; "'!F4")</f>
        <v>Reed Justice</v>
      </c>
      <c r="D38" s="32" t="s">
        <v>1356</v>
      </c>
      <c r="E38" s="35">
        <v>3</v>
      </c>
      <c r="F38" s="35" t="s">
        <v>1353</v>
      </c>
      <c r="G38" s="35">
        <v>1</v>
      </c>
      <c r="H38" s="34" t="s">
        <v>1354</v>
      </c>
      <c r="I38" s="32" t="s">
        <v>1353</v>
      </c>
      <c r="J38" s="35" t="s">
        <v>1353</v>
      </c>
      <c r="K38" s="35"/>
      <c r="L38" s="35" t="s">
        <v>1353</v>
      </c>
      <c r="M38" s="34"/>
      <c r="N38" s="32"/>
      <c r="O38" s="35"/>
      <c r="P38" s="35"/>
      <c r="Q38" s="35"/>
      <c r="R38" s="34"/>
      <c r="S38" s="32"/>
      <c r="T38" s="35"/>
      <c r="U38" s="35"/>
      <c r="V38" s="35"/>
      <c r="W38" s="34"/>
      <c r="X38" s="32"/>
      <c r="Y38" s="35"/>
      <c r="Z38" s="35"/>
      <c r="AA38" s="35"/>
      <c r="AB38" s="34"/>
      <c r="AC38" s="32"/>
      <c r="AD38" s="35"/>
      <c r="AE38" s="35"/>
      <c r="AF38" s="35"/>
      <c r="AG38" s="34"/>
      <c r="AH38" s="32"/>
      <c r="AI38" s="35"/>
      <c r="AJ38" s="35"/>
      <c r="AK38" s="35"/>
      <c r="AL38" s="34"/>
      <c r="AM38" s="32"/>
      <c r="AN38" s="35"/>
      <c r="AO38" s="35"/>
      <c r="AP38" s="35"/>
      <c r="AQ38" s="34"/>
      <c r="AR38" s="32"/>
      <c r="AS38" s="35"/>
      <c r="AT38" s="35"/>
      <c r="AU38" s="35"/>
      <c r="AV38" s="34"/>
      <c r="AW38" s="32"/>
      <c r="AX38" s="35"/>
      <c r="AY38" s="35"/>
      <c r="AZ38" s="35"/>
      <c r="BA38" s="34"/>
      <c r="BB38" s="32"/>
      <c r="BC38" s="35"/>
      <c r="BD38" s="35"/>
      <c r="BE38" s="35"/>
      <c r="BF38" s="34"/>
      <c r="BG38" s="32"/>
      <c r="BH38" s="35"/>
      <c r="BI38" s="35"/>
      <c r="BJ38" s="35"/>
      <c r="BK38" s="34"/>
      <c r="BL38" s="32"/>
      <c r="BM38" s="35"/>
      <c r="BN38" s="35"/>
      <c r="BO38" s="35"/>
      <c r="BP38" s="34"/>
      <c r="BQ38" s="32"/>
      <c r="BR38" s="35"/>
      <c r="BS38" s="35"/>
      <c r="BT38" s="35"/>
      <c r="BU38" s="34"/>
      <c r="BV38" s="32"/>
      <c r="BW38" s="35"/>
      <c r="BX38" s="35"/>
      <c r="BY38" s="35"/>
      <c r="BZ38" s="34"/>
      <c r="CA38" s="32"/>
      <c r="CB38" s="35"/>
      <c r="CC38" s="35"/>
      <c r="CD38" s="35"/>
      <c r="CE38" s="34"/>
      <c r="CF38" s="32"/>
      <c r="CG38" s="35"/>
      <c r="CH38" s="35"/>
      <c r="CI38" s="35"/>
      <c r="CJ38" s="34"/>
      <c r="CK38" s="32"/>
      <c r="CL38" s="35"/>
      <c r="CM38" s="35"/>
      <c r="CN38" s="35"/>
      <c r="CO38" s="34"/>
      <c r="CP38" s="32"/>
      <c r="CQ38" s="35"/>
      <c r="CR38" s="35"/>
      <c r="CS38" s="35"/>
      <c r="CT38" s="34"/>
      <c r="CU38" s="32"/>
      <c r="CV38" s="35"/>
      <c r="CW38" s="35"/>
      <c r="CX38" s="35"/>
      <c r="CY38" s="34"/>
      <c r="CZ38" s="32"/>
      <c r="DA38" s="35"/>
      <c r="DB38" s="35"/>
      <c r="DC38" s="35"/>
      <c r="DD38" s="34"/>
      <c r="DE38" s="32"/>
      <c r="DF38" s="35"/>
      <c r="DG38" s="35"/>
      <c r="DH38" s="35"/>
      <c r="DI38" s="34"/>
      <c r="DJ38" s="32"/>
      <c r="DK38" s="35"/>
      <c r="DL38" s="35"/>
      <c r="DM38" s="35"/>
      <c r="DN38" s="34"/>
      <c r="DO38" s="32"/>
      <c r="DP38" s="35"/>
      <c r="DQ38" s="35"/>
      <c r="DR38" s="35"/>
      <c r="DS38" s="34"/>
      <c r="DT38" s="32"/>
      <c r="DU38" s="35"/>
      <c r="DV38" s="35"/>
      <c r="DW38" s="35"/>
      <c r="DX38" s="34"/>
      <c r="DY38" s="32"/>
      <c r="DZ38" s="35"/>
      <c r="EA38" s="35"/>
      <c r="EB38" s="35"/>
      <c r="EC38" s="34"/>
      <c r="ED38" s="32"/>
      <c r="EE38" s="35"/>
      <c r="EF38" s="35"/>
      <c r="EG38" s="35"/>
      <c r="EH38" s="34"/>
      <c r="EI38" s="32"/>
      <c r="EJ38" s="35"/>
      <c r="EK38" s="35"/>
      <c r="EL38" s="35"/>
      <c r="EM38" s="34"/>
      <c r="EN38" s="32"/>
      <c r="EO38" s="35"/>
      <c r="EP38" s="35"/>
      <c r="EQ38" s="35"/>
      <c r="ER38" s="34"/>
      <c r="ES38" s="32"/>
      <c r="ET38" s="35"/>
      <c r="EU38" s="35"/>
      <c r="EV38" s="35"/>
      <c r="EW38" s="34"/>
      <c r="EX38" s="32"/>
      <c r="EY38" s="35"/>
      <c r="EZ38" s="35"/>
      <c r="FA38" s="35"/>
      <c r="FB38" s="34"/>
      <c r="FC38" s="32"/>
      <c r="FD38" s="35"/>
      <c r="FE38" s="35"/>
      <c r="FF38" s="35"/>
      <c r="FG38" s="34"/>
      <c r="FH38" s="32"/>
      <c r="FI38" s="35"/>
      <c r="FJ38" s="35"/>
      <c r="FK38" s="35"/>
      <c r="FL38" s="34"/>
      <c r="FM38" s="32"/>
      <c r="FN38" s="35"/>
      <c r="FO38" s="35"/>
      <c r="FP38" s="35"/>
      <c r="FQ38" s="34"/>
      <c r="FR38" s="32"/>
      <c r="FS38" s="35"/>
      <c r="FT38" s="35"/>
      <c r="FU38" s="35"/>
      <c r="FV38" s="34"/>
      <c r="FW38" s="32"/>
      <c r="FX38" s="35"/>
      <c r="FY38" s="35"/>
      <c r="FZ38" s="35"/>
      <c r="GA38" s="34"/>
      <c r="GB38" s="32"/>
      <c r="GC38" s="35"/>
      <c r="GD38" s="35"/>
      <c r="GE38" s="35"/>
      <c r="GF38" s="34"/>
    </row>
    <row r="39" spans="1:188">
      <c r="A39" s="18" t="s">
        <v>1384</v>
      </c>
      <c r="B39" s="18" t="str" cm="1">
        <f t="array" aca="1" ref="B39" ca="1">INDIRECT("'" &amp; A39 &amp; "'!F3")</f>
        <v>Luca V</v>
      </c>
      <c r="C39" s="18" t="str" cm="1">
        <f t="array" aca="1" ref="C39" ca="1">INDIRECT("'" &amp; A39 &amp; "'!F4")</f>
        <v>René Meyer</v>
      </c>
      <c r="D39" s="32" t="s">
        <v>1359</v>
      </c>
      <c r="E39" s="35">
        <v>3</v>
      </c>
      <c r="F39" s="35" t="s">
        <v>1353</v>
      </c>
      <c r="G39" s="35">
        <v>1</v>
      </c>
      <c r="H39" s="34" t="s">
        <v>1354</v>
      </c>
      <c r="I39" s="32" t="s">
        <v>1353</v>
      </c>
      <c r="J39" s="35" t="s">
        <v>1353</v>
      </c>
      <c r="K39" s="35"/>
      <c r="L39" s="35" t="s">
        <v>1353</v>
      </c>
      <c r="M39" s="34"/>
      <c r="N39" s="32" t="s">
        <v>1353</v>
      </c>
      <c r="O39" s="35" t="s">
        <v>1353</v>
      </c>
      <c r="P39" s="35"/>
      <c r="Q39" s="35" t="s">
        <v>1353</v>
      </c>
      <c r="R39" s="34"/>
      <c r="S39" s="32" t="s">
        <v>1353</v>
      </c>
      <c r="T39" s="35" t="s">
        <v>1353</v>
      </c>
      <c r="U39" s="35"/>
      <c r="V39" s="35" t="s">
        <v>1353</v>
      </c>
      <c r="W39" s="34"/>
      <c r="X39" s="32" t="s">
        <v>1353</v>
      </c>
      <c r="Y39" s="35" t="s">
        <v>1353</v>
      </c>
      <c r="Z39" s="35"/>
      <c r="AA39" s="35" t="s">
        <v>1353</v>
      </c>
      <c r="AB39" s="34"/>
      <c r="AC39" s="32" t="s">
        <v>1353</v>
      </c>
      <c r="AD39" s="35" t="s">
        <v>1353</v>
      </c>
      <c r="AE39" s="35"/>
      <c r="AF39" s="35" t="s">
        <v>1353</v>
      </c>
      <c r="AG39" s="34"/>
      <c r="AH39" s="32" t="s">
        <v>1353</v>
      </c>
      <c r="AI39" s="35" t="s">
        <v>1353</v>
      </c>
      <c r="AJ39" s="35"/>
      <c r="AK39" s="35" t="s">
        <v>1353</v>
      </c>
      <c r="AL39" s="34"/>
      <c r="AM39" s="32" t="s">
        <v>1353</v>
      </c>
      <c r="AN39" s="35" t="s">
        <v>1353</v>
      </c>
      <c r="AO39" s="35"/>
      <c r="AP39" s="35" t="s">
        <v>1353</v>
      </c>
      <c r="AQ39" s="34"/>
      <c r="AR39" s="32" t="s">
        <v>1353</v>
      </c>
      <c r="AS39" s="35" t="s">
        <v>1353</v>
      </c>
      <c r="AT39" s="35"/>
      <c r="AU39" s="35" t="s">
        <v>1353</v>
      </c>
      <c r="AV39" s="34"/>
      <c r="AW39" s="32" t="s">
        <v>1353</v>
      </c>
      <c r="AX39" s="35" t="s">
        <v>1353</v>
      </c>
      <c r="AY39" s="35"/>
      <c r="AZ39" s="35" t="s">
        <v>1353</v>
      </c>
      <c r="BA39" s="34"/>
      <c r="BB39" s="32" t="s">
        <v>1353</v>
      </c>
      <c r="BC39" s="35" t="s">
        <v>1353</v>
      </c>
      <c r="BD39" s="35"/>
      <c r="BE39" s="35" t="s">
        <v>1353</v>
      </c>
      <c r="BF39" s="34"/>
      <c r="BG39" s="32" t="s">
        <v>1353</v>
      </c>
      <c r="BH39" s="35" t="s">
        <v>1353</v>
      </c>
      <c r="BI39" s="35"/>
      <c r="BJ39" s="35" t="s">
        <v>1353</v>
      </c>
      <c r="BK39" s="34"/>
      <c r="BL39" s="32" t="s">
        <v>1353</v>
      </c>
      <c r="BM39" s="35" t="s">
        <v>1353</v>
      </c>
      <c r="BN39" s="35"/>
      <c r="BO39" s="35" t="s">
        <v>1353</v>
      </c>
      <c r="BP39" s="34"/>
      <c r="BQ39" s="32" t="s">
        <v>1353</v>
      </c>
      <c r="BR39" s="35" t="s">
        <v>1353</v>
      </c>
      <c r="BS39" s="35"/>
      <c r="BT39" s="35" t="s">
        <v>1353</v>
      </c>
      <c r="BU39" s="34"/>
      <c r="BV39" s="32" t="s">
        <v>1353</v>
      </c>
      <c r="BW39" s="35" t="s">
        <v>1353</v>
      </c>
      <c r="BX39" s="35"/>
      <c r="BY39" s="35" t="s">
        <v>1353</v>
      </c>
      <c r="BZ39" s="34"/>
      <c r="CA39" s="32" t="s">
        <v>1353</v>
      </c>
      <c r="CB39" s="35" t="s">
        <v>1353</v>
      </c>
      <c r="CC39" s="35"/>
      <c r="CD39" s="35" t="s">
        <v>1353</v>
      </c>
      <c r="CE39" s="34"/>
      <c r="CF39" s="32" t="s">
        <v>1353</v>
      </c>
      <c r="CG39" s="35" t="s">
        <v>1353</v>
      </c>
      <c r="CH39" s="35"/>
      <c r="CI39" s="35" t="s">
        <v>1353</v>
      </c>
      <c r="CJ39" s="34"/>
      <c r="CK39" s="32" t="s">
        <v>1353</v>
      </c>
      <c r="CL39" s="35" t="s">
        <v>1353</v>
      </c>
      <c r="CM39" s="35"/>
      <c r="CN39" s="35" t="s">
        <v>1353</v>
      </c>
      <c r="CO39" s="34"/>
      <c r="CP39" s="32" t="s">
        <v>1353</v>
      </c>
      <c r="CQ39" s="35" t="s">
        <v>1353</v>
      </c>
      <c r="CR39" s="35"/>
      <c r="CS39" s="35" t="s">
        <v>1353</v>
      </c>
      <c r="CT39" s="34"/>
      <c r="CU39" s="32" t="s">
        <v>1353</v>
      </c>
      <c r="CV39" s="35" t="s">
        <v>1353</v>
      </c>
      <c r="CW39" s="35"/>
      <c r="CX39" s="35" t="s">
        <v>1353</v>
      </c>
      <c r="CY39" s="34"/>
      <c r="CZ39" s="32" t="s">
        <v>1353</v>
      </c>
      <c r="DA39" s="35" t="s">
        <v>1353</v>
      </c>
      <c r="DB39" s="35"/>
      <c r="DC39" s="35" t="s">
        <v>1353</v>
      </c>
      <c r="DD39" s="34"/>
      <c r="DE39" s="32" t="s">
        <v>1353</v>
      </c>
      <c r="DF39" s="35" t="s">
        <v>1353</v>
      </c>
      <c r="DG39" s="35"/>
      <c r="DH39" s="35" t="s">
        <v>1353</v>
      </c>
      <c r="DI39" s="34"/>
      <c r="DJ39" s="32" t="s">
        <v>1353</v>
      </c>
      <c r="DK39" s="35" t="s">
        <v>1353</v>
      </c>
      <c r="DL39" s="35"/>
      <c r="DM39" s="35" t="s">
        <v>1353</v>
      </c>
      <c r="DN39" s="34"/>
      <c r="DO39" s="32" t="s">
        <v>1353</v>
      </c>
      <c r="DP39" s="35" t="s">
        <v>1353</v>
      </c>
      <c r="DQ39" s="35"/>
      <c r="DR39" s="35" t="s">
        <v>1353</v>
      </c>
      <c r="DS39" s="34"/>
      <c r="DT39" s="32" t="s">
        <v>1353</v>
      </c>
      <c r="DU39" s="35" t="s">
        <v>1353</v>
      </c>
      <c r="DV39" s="35"/>
      <c r="DW39" s="35" t="s">
        <v>1353</v>
      </c>
      <c r="DX39" s="34"/>
      <c r="DY39" s="32" t="s">
        <v>1353</v>
      </c>
      <c r="DZ39" s="35" t="s">
        <v>1353</v>
      </c>
      <c r="EA39" s="35"/>
      <c r="EB39" s="35" t="s">
        <v>1353</v>
      </c>
      <c r="EC39" s="34"/>
      <c r="ED39" s="32" t="s">
        <v>1353</v>
      </c>
      <c r="EE39" s="35" t="s">
        <v>1353</v>
      </c>
      <c r="EF39" s="35"/>
      <c r="EG39" s="35" t="s">
        <v>1353</v>
      </c>
      <c r="EH39" s="34"/>
      <c r="EI39" s="32" t="s">
        <v>1353</v>
      </c>
      <c r="EJ39" s="35" t="s">
        <v>1353</v>
      </c>
      <c r="EK39" s="35"/>
      <c r="EL39" s="35" t="s">
        <v>1353</v>
      </c>
      <c r="EM39" s="34"/>
      <c r="EN39" s="32" t="s">
        <v>1353</v>
      </c>
      <c r="EO39" s="35" t="s">
        <v>1353</v>
      </c>
      <c r="EP39" s="35"/>
      <c r="EQ39" s="35" t="s">
        <v>1353</v>
      </c>
      <c r="ER39" s="34"/>
      <c r="ES39" s="32" t="s">
        <v>1353</v>
      </c>
      <c r="ET39" s="35" t="s">
        <v>1353</v>
      </c>
      <c r="EU39" s="35"/>
      <c r="EV39" s="35" t="s">
        <v>1353</v>
      </c>
      <c r="EW39" s="34"/>
      <c r="EX39" s="32" t="s">
        <v>1353</v>
      </c>
      <c r="EY39" s="35" t="s">
        <v>1353</v>
      </c>
      <c r="EZ39" s="35"/>
      <c r="FA39" s="35" t="s">
        <v>1353</v>
      </c>
      <c r="FB39" s="34"/>
      <c r="FC39" s="32" t="s">
        <v>1353</v>
      </c>
      <c r="FD39" s="35" t="s">
        <v>1353</v>
      </c>
      <c r="FE39" s="35"/>
      <c r="FF39" s="35" t="s">
        <v>1353</v>
      </c>
      <c r="FG39" s="34"/>
      <c r="FH39" s="32" t="s">
        <v>1353</v>
      </c>
      <c r="FI39" s="35" t="s">
        <v>1353</v>
      </c>
      <c r="FJ39" s="35"/>
      <c r="FK39" s="35" t="s">
        <v>1353</v>
      </c>
      <c r="FL39" s="34"/>
      <c r="FM39" s="32" t="s">
        <v>1353</v>
      </c>
      <c r="FN39" s="35" t="s">
        <v>1353</v>
      </c>
      <c r="FO39" s="35"/>
      <c r="FP39" s="35" t="s">
        <v>1353</v>
      </c>
      <c r="FQ39" s="34"/>
      <c r="FR39" s="32" t="s">
        <v>1353</v>
      </c>
      <c r="FS39" s="35" t="s">
        <v>1353</v>
      </c>
      <c r="FT39" s="35"/>
      <c r="FU39" s="35" t="s">
        <v>1353</v>
      </c>
      <c r="FV39" s="34"/>
      <c r="FW39" s="32" t="s">
        <v>1353</v>
      </c>
      <c r="FX39" s="35" t="s">
        <v>1353</v>
      </c>
      <c r="FY39" s="35"/>
      <c r="FZ39" s="35" t="s">
        <v>1353</v>
      </c>
      <c r="GA39" s="34"/>
      <c r="GB39" s="32" t="s">
        <v>1353</v>
      </c>
      <c r="GC39" s="35" t="s">
        <v>1353</v>
      </c>
      <c r="GD39" s="35"/>
      <c r="GE39" s="35" t="s">
        <v>1353</v>
      </c>
      <c r="GF39" s="34"/>
    </row>
    <row r="40" spans="1:188">
      <c r="A40" s="18" t="s">
        <v>1385</v>
      </c>
      <c r="B40" s="18" t="str" cm="1">
        <f t="array" aca="1" ref="B40" ca="1">INDIRECT("'" &amp; A40 &amp; "'!F3")</f>
        <v>Matt B</v>
      </c>
      <c r="C40" s="18" t="str" cm="1">
        <f t="array" aca="1" ref="C40" ca="1">INDIRECT("'" &amp; A40 &amp; "'!F4")</f>
        <v>René St. Dominique</v>
      </c>
      <c r="D40" s="32" t="s">
        <v>1359</v>
      </c>
      <c r="E40" s="35">
        <v>3</v>
      </c>
      <c r="F40" s="35" t="s">
        <v>1353</v>
      </c>
      <c r="G40" s="35" t="s">
        <v>1353</v>
      </c>
      <c r="H40" s="34" t="s">
        <v>1354</v>
      </c>
      <c r="I40" s="32" t="s">
        <v>1353</v>
      </c>
      <c r="J40" s="35" t="s">
        <v>1353</v>
      </c>
      <c r="K40" s="35"/>
      <c r="L40" s="35" t="s">
        <v>1353</v>
      </c>
      <c r="M40" s="34"/>
      <c r="N40" s="32" t="s">
        <v>1353</v>
      </c>
      <c r="O40" s="35" t="s">
        <v>1353</v>
      </c>
      <c r="P40" s="35"/>
      <c r="Q40" s="35" t="s">
        <v>1353</v>
      </c>
      <c r="R40" s="34"/>
      <c r="S40" s="32" t="s">
        <v>1353</v>
      </c>
      <c r="T40" s="35" t="s">
        <v>1353</v>
      </c>
      <c r="U40" s="35"/>
      <c r="V40" s="35" t="s">
        <v>1353</v>
      </c>
      <c r="W40" s="34"/>
      <c r="X40" s="32" t="s">
        <v>1353</v>
      </c>
      <c r="Y40" s="35" t="s">
        <v>1353</v>
      </c>
      <c r="Z40" s="35"/>
      <c r="AA40" s="35" t="s">
        <v>1353</v>
      </c>
      <c r="AB40" s="34"/>
      <c r="AC40" s="32" t="s">
        <v>1353</v>
      </c>
      <c r="AD40" s="35" t="s">
        <v>1353</v>
      </c>
      <c r="AE40" s="35"/>
      <c r="AF40" s="35" t="s">
        <v>1353</v>
      </c>
      <c r="AG40" s="34"/>
      <c r="AH40" s="32" t="s">
        <v>1353</v>
      </c>
      <c r="AI40" s="35" t="s">
        <v>1353</v>
      </c>
      <c r="AJ40" s="35"/>
      <c r="AK40" s="35" t="s">
        <v>1353</v>
      </c>
      <c r="AL40" s="34"/>
      <c r="AM40" s="32" t="s">
        <v>1353</v>
      </c>
      <c r="AN40" s="35" t="s">
        <v>1353</v>
      </c>
      <c r="AO40" s="35"/>
      <c r="AP40" s="35" t="s">
        <v>1353</v>
      </c>
      <c r="AQ40" s="34"/>
      <c r="AR40" s="32" t="s">
        <v>1353</v>
      </c>
      <c r="AS40" s="35" t="s">
        <v>1353</v>
      </c>
      <c r="AT40" s="35"/>
      <c r="AU40" s="35" t="s">
        <v>1353</v>
      </c>
      <c r="AV40" s="34"/>
      <c r="AW40" s="32" t="s">
        <v>1353</v>
      </c>
      <c r="AX40" s="35" t="s">
        <v>1353</v>
      </c>
      <c r="AY40" s="35"/>
      <c r="AZ40" s="35" t="s">
        <v>1353</v>
      </c>
      <c r="BA40" s="34"/>
      <c r="BB40" s="32" t="s">
        <v>1353</v>
      </c>
      <c r="BC40" s="35" t="s">
        <v>1353</v>
      </c>
      <c r="BD40" s="35"/>
      <c r="BE40" s="35" t="s">
        <v>1353</v>
      </c>
      <c r="BF40" s="34"/>
      <c r="BG40" s="32" t="s">
        <v>1353</v>
      </c>
      <c r="BH40" s="35" t="s">
        <v>1353</v>
      </c>
      <c r="BI40" s="35"/>
      <c r="BJ40" s="35" t="s">
        <v>1353</v>
      </c>
      <c r="BK40" s="34"/>
      <c r="BL40" s="32" t="s">
        <v>1353</v>
      </c>
      <c r="BM40" s="35" t="s">
        <v>1353</v>
      </c>
      <c r="BN40" s="35"/>
      <c r="BO40" s="35" t="s">
        <v>1353</v>
      </c>
      <c r="BP40" s="34"/>
      <c r="BQ40" s="32" t="s">
        <v>1353</v>
      </c>
      <c r="BR40" s="35" t="s">
        <v>1353</v>
      </c>
      <c r="BS40" s="35"/>
      <c r="BT40" s="35" t="s">
        <v>1353</v>
      </c>
      <c r="BU40" s="34"/>
      <c r="BV40" s="32" t="s">
        <v>1353</v>
      </c>
      <c r="BW40" s="35" t="s">
        <v>1353</v>
      </c>
      <c r="BX40" s="35"/>
      <c r="BY40" s="35" t="s">
        <v>1353</v>
      </c>
      <c r="BZ40" s="34"/>
      <c r="CA40" s="32" t="s">
        <v>1353</v>
      </c>
      <c r="CB40" s="35" t="s">
        <v>1353</v>
      </c>
      <c r="CC40" s="35"/>
      <c r="CD40" s="35" t="s">
        <v>1353</v>
      </c>
      <c r="CE40" s="34"/>
      <c r="CF40" s="32" t="s">
        <v>1353</v>
      </c>
      <c r="CG40" s="35" t="s">
        <v>1353</v>
      </c>
      <c r="CH40" s="35"/>
      <c r="CI40" s="35" t="s">
        <v>1353</v>
      </c>
      <c r="CJ40" s="34"/>
      <c r="CK40" s="32" t="s">
        <v>1353</v>
      </c>
      <c r="CL40" s="35" t="s">
        <v>1353</v>
      </c>
      <c r="CM40" s="35"/>
      <c r="CN40" s="35" t="s">
        <v>1353</v>
      </c>
      <c r="CO40" s="34"/>
      <c r="CP40" s="32" t="s">
        <v>1353</v>
      </c>
      <c r="CQ40" s="35" t="s">
        <v>1353</v>
      </c>
      <c r="CR40" s="35"/>
      <c r="CS40" s="35" t="s">
        <v>1353</v>
      </c>
      <c r="CT40" s="34"/>
      <c r="CU40" s="32" t="s">
        <v>1353</v>
      </c>
      <c r="CV40" s="35" t="s">
        <v>1353</v>
      </c>
      <c r="CW40" s="35"/>
      <c r="CX40" s="35" t="s">
        <v>1353</v>
      </c>
      <c r="CY40" s="34"/>
      <c r="CZ40" s="32" t="s">
        <v>1353</v>
      </c>
      <c r="DA40" s="35" t="s">
        <v>1353</v>
      </c>
      <c r="DB40" s="35"/>
      <c r="DC40" s="35" t="s">
        <v>1353</v>
      </c>
      <c r="DD40" s="34"/>
      <c r="DE40" s="32" t="s">
        <v>1353</v>
      </c>
      <c r="DF40" s="35" t="s">
        <v>1353</v>
      </c>
      <c r="DG40" s="35"/>
      <c r="DH40" s="35" t="s">
        <v>1353</v>
      </c>
      <c r="DI40" s="34"/>
      <c r="DJ40" s="32" t="s">
        <v>1353</v>
      </c>
      <c r="DK40" s="35" t="s">
        <v>1353</v>
      </c>
      <c r="DL40" s="35"/>
      <c r="DM40" s="35" t="s">
        <v>1353</v>
      </c>
      <c r="DN40" s="34"/>
      <c r="DO40" s="32" t="s">
        <v>1353</v>
      </c>
      <c r="DP40" s="35" t="s">
        <v>1353</v>
      </c>
      <c r="DQ40" s="35"/>
      <c r="DR40" s="35" t="s">
        <v>1353</v>
      </c>
      <c r="DS40" s="34"/>
      <c r="DT40" s="32" t="s">
        <v>1353</v>
      </c>
      <c r="DU40" s="35" t="s">
        <v>1353</v>
      </c>
      <c r="DV40" s="35"/>
      <c r="DW40" s="35" t="s">
        <v>1353</v>
      </c>
      <c r="DX40" s="34"/>
      <c r="DY40" s="32" t="s">
        <v>1353</v>
      </c>
      <c r="DZ40" s="35" t="s">
        <v>1353</v>
      </c>
      <c r="EA40" s="35"/>
      <c r="EB40" s="35" t="s">
        <v>1353</v>
      </c>
      <c r="EC40" s="34"/>
      <c r="ED40" s="32" t="s">
        <v>1353</v>
      </c>
      <c r="EE40" s="35" t="s">
        <v>1353</v>
      </c>
      <c r="EF40" s="35"/>
      <c r="EG40" s="35" t="s">
        <v>1353</v>
      </c>
      <c r="EH40" s="34"/>
      <c r="EI40" s="32" t="s">
        <v>1353</v>
      </c>
      <c r="EJ40" s="35" t="s">
        <v>1353</v>
      </c>
      <c r="EK40" s="35"/>
      <c r="EL40" s="35" t="s">
        <v>1353</v>
      </c>
      <c r="EM40" s="34"/>
      <c r="EN40" s="32" t="s">
        <v>1353</v>
      </c>
      <c r="EO40" s="35" t="s">
        <v>1353</v>
      </c>
      <c r="EP40" s="35"/>
      <c r="EQ40" s="35" t="s">
        <v>1353</v>
      </c>
      <c r="ER40" s="34"/>
      <c r="ES40" s="32" t="s">
        <v>1353</v>
      </c>
      <c r="ET40" s="35" t="s">
        <v>1353</v>
      </c>
      <c r="EU40" s="35"/>
      <c r="EV40" s="35" t="s">
        <v>1353</v>
      </c>
      <c r="EW40" s="34"/>
      <c r="EX40" s="32" t="s">
        <v>1353</v>
      </c>
      <c r="EY40" s="35" t="s">
        <v>1353</v>
      </c>
      <c r="EZ40" s="35"/>
      <c r="FA40" s="35" t="s">
        <v>1353</v>
      </c>
      <c r="FB40" s="34"/>
      <c r="FC40" s="32" t="s">
        <v>1353</v>
      </c>
      <c r="FD40" s="35" t="s">
        <v>1353</v>
      </c>
      <c r="FE40" s="35"/>
      <c r="FF40" s="35" t="s">
        <v>1353</v>
      </c>
      <c r="FG40" s="34"/>
      <c r="FH40" s="32" t="s">
        <v>1353</v>
      </c>
      <c r="FI40" s="35" t="s">
        <v>1353</v>
      </c>
      <c r="FJ40" s="35"/>
      <c r="FK40" s="35" t="s">
        <v>1353</v>
      </c>
      <c r="FL40" s="34"/>
      <c r="FM40" s="32" t="s">
        <v>1353</v>
      </c>
      <c r="FN40" s="35" t="s">
        <v>1353</v>
      </c>
      <c r="FO40" s="35"/>
      <c r="FP40" s="35" t="s">
        <v>1353</v>
      </c>
      <c r="FQ40" s="34"/>
      <c r="FR40" s="32" t="s">
        <v>1353</v>
      </c>
      <c r="FS40" s="35" t="s">
        <v>1353</v>
      </c>
      <c r="FT40" s="35"/>
      <c r="FU40" s="35" t="s">
        <v>1353</v>
      </c>
      <c r="FV40" s="34"/>
      <c r="FW40" s="32" t="s">
        <v>1353</v>
      </c>
      <c r="FX40" s="35" t="s">
        <v>1353</v>
      </c>
      <c r="FY40" s="35"/>
      <c r="FZ40" s="35" t="s">
        <v>1353</v>
      </c>
      <c r="GA40" s="34"/>
      <c r="GB40" s="32" t="s">
        <v>1353</v>
      </c>
      <c r="GC40" s="35" t="s">
        <v>1353</v>
      </c>
      <c r="GD40" s="35"/>
      <c r="GE40" s="35" t="s">
        <v>1353</v>
      </c>
      <c r="GF40" s="34"/>
    </row>
    <row r="41" spans="1:188">
      <c r="A41" s="18" t="s">
        <v>1386</v>
      </c>
      <c r="B41" s="18" t="str" cm="1">
        <f t="array" aca="1" ref="B41" ca="1">INDIRECT("'" &amp; A41 &amp; "'!F3")</f>
        <v>Patrick T</v>
      </c>
      <c r="C41" s="18" t="str" cm="1">
        <f t="array" aca="1" ref="C41" ca="1">INDIRECT("'" &amp; A41 &amp; "'!F4")</f>
        <v>Ryan Ambrose</v>
      </c>
      <c r="D41" s="32"/>
      <c r="E41" s="35"/>
      <c r="F41" s="35"/>
      <c r="G41" s="35"/>
      <c r="H41" s="34"/>
      <c r="I41" s="32"/>
      <c r="J41" s="35"/>
      <c r="K41" s="35"/>
      <c r="L41" s="35"/>
      <c r="M41" s="34"/>
      <c r="N41" s="32" t="s">
        <v>1353</v>
      </c>
      <c r="O41" s="35" t="s">
        <v>1353</v>
      </c>
      <c r="P41" s="35"/>
      <c r="Q41" s="35" t="s">
        <v>1353</v>
      </c>
      <c r="R41" s="34"/>
      <c r="S41" s="32" t="s">
        <v>1353</v>
      </c>
      <c r="T41" s="35" t="s">
        <v>1353</v>
      </c>
      <c r="U41" s="35"/>
      <c r="V41" s="35" t="s">
        <v>1353</v>
      </c>
      <c r="W41" s="34"/>
      <c r="X41" s="32" t="s">
        <v>1353</v>
      </c>
      <c r="Y41" s="35" t="s">
        <v>1353</v>
      </c>
      <c r="Z41" s="35"/>
      <c r="AA41" s="35" t="s">
        <v>1353</v>
      </c>
      <c r="AB41" s="34"/>
      <c r="AC41" s="32" t="s">
        <v>1353</v>
      </c>
      <c r="AD41" s="35" t="s">
        <v>1353</v>
      </c>
      <c r="AE41" s="35"/>
      <c r="AF41" s="35" t="s">
        <v>1353</v>
      </c>
      <c r="AG41" s="34"/>
      <c r="AH41" s="32" t="s">
        <v>1353</v>
      </c>
      <c r="AI41" s="35" t="s">
        <v>1353</v>
      </c>
      <c r="AJ41" s="35"/>
      <c r="AK41" s="35" t="s">
        <v>1353</v>
      </c>
      <c r="AL41" s="34"/>
      <c r="AM41" s="32" t="s">
        <v>1353</v>
      </c>
      <c r="AN41" s="35" t="s">
        <v>1353</v>
      </c>
      <c r="AO41" s="35"/>
      <c r="AP41" s="35" t="s">
        <v>1353</v>
      </c>
      <c r="AQ41" s="34"/>
      <c r="AR41" s="32" t="s">
        <v>1353</v>
      </c>
      <c r="AS41" s="35" t="s">
        <v>1353</v>
      </c>
      <c r="AT41" s="35"/>
      <c r="AU41" s="35" t="s">
        <v>1353</v>
      </c>
      <c r="AV41" s="34"/>
      <c r="AW41" s="32" t="s">
        <v>1353</v>
      </c>
      <c r="AX41" s="35" t="s">
        <v>1353</v>
      </c>
      <c r="AY41" s="35"/>
      <c r="AZ41" s="35" t="s">
        <v>1353</v>
      </c>
      <c r="BA41" s="34"/>
      <c r="BB41" s="32" t="s">
        <v>1353</v>
      </c>
      <c r="BC41" s="35" t="s">
        <v>1353</v>
      </c>
      <c r="BD41" s="35"/>
      <c r="BE41" s="35" t="s">
        <v>1353</v>
      </c>
      <c r="BF41" s="34"/>
      <c r="BG41" s="32" t="s">
        <v>1353</v>
      </c>
      <c r="BH41" s="35" t="s">
        <v>1353</v>
      </c>
      <c r="BI41" s="35"/>
      <c r="BJ41" s="35" t="s">
        <v>1353</v>
      </c>
      <c r="BK41" s="34"/>
      <c r="BL41" s="32" t="s">
        <v>1353</v>
      </c>
      <c r="BM41" s="35" t="s">
        <v>1353</v>
      </c>
      <c r="BN41" s="35"/>
      <c r="BO41" s="35" t="s">
        <v>1353</v>
      </c>
      <c r="BP41" s="34"/>
      <c r="BQ41" s="32" t="s">
        <v>1353</v>
      </c>
      <c r="BR41" s="35" t="s">
        <v>1353</v>
      </c>
      <c r="BS41" s="35"/>
      <c r="BT41" s="35" t="s">
        <v>1353</v>
      </c>
      <c r="BU41" s="34"/>
      <c r="BV41" s="32" t="s">
        <v>1353</v>
      </c>
      <c r="BW41" s="35" t="s">
        <v>1353</v>
      </c>
      <c r="BX41" s="35"/>
      <c r="BY41" s="35" t="s">
        <v>1353</v>
      </c>
      <c r="BZ41" s="34"/>
      <c r="CA41" s="32" t="s">
        <v>1353</v>
      </c>
      <c r="CB41" s="35" t="s">
        <v>1353</v>
      </c>
      <c r="CC41" s="35"/>
      <c r="CD41" s="35" t="s">
        <v>1353</v>
      </c>
      <c r="CE41" s="34"/>
      <c r="CF41" s="32" t="s">
        <v>1353</v>
      </c>
      <c r="CG41" s="35" t="s">
        <v>1353</v>
      </c>
      <c r="CH41" s="35"/>
      <c r="CI41" s="35" t="s">
        <v>1353</v>
      </c>
      <c r="CJ41" s="34"/>
      <c r="CK41" s="32" t="s">
        <v>1353</v>
      </c>
      <c r="CL41" s="35" t="s">
        <v>1353</v>
      </c>
      <c r="CM41" s="35"/>
      <c r="CN41" s="35" t="s">
        <v>1353</v>
      </c>
      <c r="CO41" s="34"/>
      <c r="CP41" s="32" t="s">
        <v>1353</v>
      </c>
      <c r="CQ41" s="35" t="s">
        <v>1353</v>
      </c>
      <c r="CR41" s="35"/>
      <c r="CS41" s="35" t="s">
        <v>1353</v>
      </c>
      <c r="CT41" s="34"/>
      <c r="CU41" s="32" t="s">
        <v>1353</v>
      </c>
      <c r="CV41" s="35" t="s">
        <v>1353</v>
      </c>
      <c r="CW41" s="35"/>
      <c r="CX41" s="35" t="s">
        <v>1353</v>
      </c>
      <c r="CY41" s="34"/>
      <c r="CZ41" s="32" t="s">
        <v>1353</v>
      </c>
      <c r="DA41" s="35" t="s">
        <v>1353</v>
      </c>
      <c r="DB41" s="35"/>
      <c r="DC41" s="35" t="s">
        <v>1353</v>
      </c>
      <c r="DD41" s="34"/>
      <c r="DE41" s="32" t="s">
        <v>1353</v>
      </c>
      <c r="DF41" s="35" t="s">
        <v>1353</v>
      </c>
      <c r="DG41" s="35"/>
      <c r="DH41" s="35" t="s">
        <v>1353</v>
      </c>
      <c r="DI41" s="34"/>
      <c r="DJ41" s="32" t="s">
        <v>1353</v>
      </c>
      <c r="DK41" s="35" t="s">
        <v>1353</v>
      </c>
      <c r="DL41" s="35"/>
      <c r="DM41" s="35" t="s">
        <v>1353</v>
      </c>
      <c r="DN41" s="34"/>
      <c r="DO41" s="32" t="s">
        <v>1353</v>
      </c>
      <c r="DP41" s="35" t="s">
        <v>1353</v>
      </c>
      <c r="DQ41" s="35"/>
      <c r="DR41" s="35" t="s">
        <v>1353</v>
      </c>
      <c r="DS41" s="34"/>
      <c r="DT41" s="32" t="s">
        <v>1353</v>
      </c>
      <c r="DU41" s="35" t="s">
        <v>1353</v>
      </c>
      <c r="DV41" s="35"/>
      <c r="DW41" s="35" t="s">
        <v>1353</v>
      </c>
      <c r="DX41" s="34"/>
      <c r="DY41" s="32" t="s">
        <v>1353</v>
      </c>
      <c r="DZ41" s="35" t="s">
        <v>1353</v>
      </c>
      <c r="EA41" s="35"/>
      <c r="EB41" s="35" t="s">
        <v>1353</v>
      </c>
      <c r="EC41" s="34"/>
      <c r="ED41" s="32" t="s">
        <v>1353</v>
      </c>
      <c r="EE41" s="35" t="s">
        <v>1353</v>
      </c>
      <c r="EF41" s="35"/>
      <c r="EG41" s="35" t="s">
        <v>1353</v>
      </c>
      <c r="EH41" s="34"/>
      <c r="EI41" s="32" t="s">
        <v>1353</v>
      </c>
      <c r="EJ41" s="35" t="s">
        <v>1353</v>
      </c>
      <c r="EK41" s="35"/>
      <c r="EL41" s="35" t="s">
        <v>1353</v>
      </c>
      <c r="EM41" s="34"/>
      <c r="EN41" s="32" t="s">
        <v>1353</v>
      </c>
      <c r="EO41" s="35" t="s">
        <v>1353</v>
      </c>
      <c r="EP41" s="35"/>
      <c r="EQ41" s="35" t="s">
        <v>1353</v>
      </c>
      <c r="ER41" s="34"/>
      <c r="ES41" s="32" t="s">
        <v>1353</v>
      </c>
      <c r="ET41" s="35" t="s">
        <v>1353</v>
      </c>
      <c r="EU41" s="35"/>
      <c r="EV41" s="35" t="s">
        <v>1353</v>
      </c>
      <c r="EW41" s="34"/>
      <c r="EX41" s="32" t="s">
        <v>1353</v>
      </c>
      <c r="EY41" s="35" t="s">
        <v>1353</v>
      </c>
      <c r="EZ41" s="35"/>
      <c r="FA41" s="35" t="s">
        <v>1353</v>
      </c>
      <c r="FB41" s="34"/>
      <c r="FC41" s="32" t="s">
        <v>1353</v>
      </c>
      <c r="FD41" s="35" t="s">
        <v>1353</v>
      </c>
      <c r="FE41" s="35"/>
      <c r="FF41" s="35" t="s">
        <v>1353</v>
      </c>
      <c r="FG41" s="34"/>
      <c r="FH41" s="32" t="s">
        <v>1353</v>
      </c>
      <c r="FI41" s="35" t="s">
        <v>1353</v>
      </c>
      <c r="FJ41" s="35"/>
      <c r="FK41" s="35" t="s">
        <v>1353</v>
      </c>
      <c r="FL41" s="34"/>
      <c r="FM41" s="32" t="s">
        <v>1353</v>
      </c>
      <c r="FN41" s="35" t="s">
        <v>1353</v>
      </c>
      <c r="FO41" s="35"/>
      <c r="FP41" s="35" t="s">
        <v>1353</v>
      </c>
      <c r="FQ41" s="34"/>
      <c r="FR41" s="32" t="s">
        <v>1353</v>
      </c>
      <c r="FS41" s="35" t="s">
        <v>1353</v>
      </c>
      <c r="FT41" s="35"/>
      <c r="FU41" s="35" t="s">
        <v>1353</v>
      </c>
      <c r="FV41" s="34"/>
      <c r="FW41" s="32" t="s">
        <v>1353</v>
      </c>
      <c r="FX41" s="35" t="s">
        <v>1353</v>
      </c>
      <c r="FY41" s="35"/>
      <c r="FZ41" s="35" t="s">
        <v>1353</v>
      </c>
      <c r="GA41" s="34"/>
      <c r="GB41" s="32" t="s">
        <v>1353</v>
      </c>
      <c r="GC41" s="35" t="s">
        <v>1353</v>
      </c>
      <c r="GD41" s="35"/>
      <c r="GE41" s="35" t="s">
        <v>1353</v>
      </c>
      <c r="GF41" s="34"/>
    </row>
    <row r="42" spans="1:188">
      <c r="A42" s="18" t="s">
        <v>1387</v>
      </c>
      <c r="B42" s="18" t="str" cm="1">
        <f t="array" aca="1" ref="B42" ca="1">INDIRECT("'" &amp; A42 &amp; "'!F3")</f>
        <v>Alana W</v>
      </c>
      <c r="C42" s="18" t="str" cm="1">
        <f t="array" aca="1" ref="C42" ca="1">INDIRECT("'" &amp; A42 &amp; "'!F4")</f>
        <v>Tegan Groves</v>
      </c>
      <c r="D42" s="32" t="s">
        <v>1359</v>
      </c>
      <c r="E42" s="35">
        <v>3</v>
      </c>
      <c r="F42" s="35" t="s">
        <v>1353</v>
      </c>
      <c r="G42" s="35" t="s">
        <v>1353</v>
      </c>
      <c r="H42" s="34" t="s">
        <v>1354</v>
      </c>
      <c r="I42" s="32" t="s">
        <v>1353</v>
      </c>
      <c r="J42" s="35" t="s">
        <v>1353</v>
      </c>
      <c r="K42" s="35"/>
      <c r="L42" s="35" t="s">
        <v>1353</v>
      </c>
      <c r="M42" s="34"/>
      <c r="N42" s="32" t="s">
        <v>1353</v>
      </c>
      <c r="O42" s="35" t="s">
        <v>1353</v>
      </c>
      <c r="P42" s="35"/>
      <c r="Q42" s="35" t="s">
        <v>1353</v>
      </c>
      <c r="R42" s="34"/>
      <c r="S42" s="32" t="s">
        <v>1353</v>
      </c>
      <c r="T42" s="35" t="s">
        <v>1353</v>
      </c>
      <c r="U42" s="35"/>
      <c r="V42" s="35" t="s">
        <v>1353</v>
      </c>
      <c r="W42" s="34"/>
      <c r="X42" s="32" t="s">
        <v>1353</v>
      </c>
      <c r="Y42" s="35" t="s">
        <v>1353</v>
      </c>
      <c r="Z42" s="35"/>
      <c r="AA42" s="35" t="s">
        <v>1353</v>
      </c>
      <c r="AB42" s="34"/>
      <c r="AC42" s="32" t="s">
        <v>1353</v>
      </c>
      <c r="AD42" s="35" t="s">
        <v>1353</v>
      </c>
      <c r="AE42" s="35"/>
      <c r="AF42" s="35" t="s">
        <v>1353</v>
      </c>
      <c r="AG42" s="34"/>
      <c r="AH42" s="32" t="s">
        <v>1353</v>
      </c>
      <c r="AI42" s="35" t="s">
        <v>1353</v>
      </c>
      <c r="AJ42" s="35"/>
      <c r="AK42" s="35" t="s">
        <v>1353</v>
      </c>
      <c r="AL42" s="34"/>
      <c r="AM42" s="32" t="s">
        <v>1353</v>
      </c>
      <c r="AN42" s="35" t="s">
        <v>1353</v>
      </c>
      <c r="AO42" s="35"/>
      <c r="AP42" s="35" t="s">
        <v>1353</v>
      </c>
      <c r="AQ42" s="34"/>
      <c r="AR42" s="32" t="s">
        <v>1353</v>
      </c>
      <c r="AS42" s="35" t="s">
        <v>1353</v>
      </c>
      <c r="AT42" s="35"/>
      <c r="AU42" s="35" t="s">
        <v>1353</v>
      </c>
      <c r="AV42" s="34"/>
      <c r="AW42" s="32" t="s">
        <v>1353</v>
      </c>
      <c r="AX42" s="35" t="s">
        <v>1353</v>
      </c>
      <c r="AY42" s="35"/>
      <c r="AZ42" s="35" t="s">
        <v>1353</v>
      </c>
      <c r="BA42" s="34"/>
      <c r="BB42" s="32" t="s">
        <v>1353</v>
      </c>
      <c r="BC42" s="35" t="s">
        <v>1353</v>
      </c>
      <c r="BD42" s="35"/>
      <c r="BE42" s="35" t="s">
        <v>1353</v>
      </c>
      <c r="BF42" s="34"/>
      <c r="BG42" s="32" t="s">
        <v>1353</v>
      </c>
      <c r="BH42" s="35" t="s">
        <v>1353</v>
      </c>
      <c r="BI42" s="35"/>
      <c r="BJ42" s="35" t="s">
        <v>1353</v>
      </c>
      <c r="BK42" s="34"/>
      <c r="BL42" s="32" t="s">
        <v>1353</v>
      </c>
      <c r="BM42" s="35" t="s">
        <v>1353</v>
      </c>
      <c r="BN42" s="35"/>
      <c r="BO42" s="35" t="s">
        <v>1353</v>
      </c>
      <c r="BP42" s="34"/>
      <c r="BQ42" s="32" t="s">
        <v>1353</v>
      </c>
      <c r="BR42" s="35" t="s">
        <v>1353</v>
      </c>
      <c r="BS42" s="35"/>
      <c r="BT42" s="35" t="s">
        <v>1353</v>
      </c>
      <c r="BU42" s="34"/>
      <c r="BV42" s="32" t="s">
        <v>1353</v>
      </c>
      <c r="BW42" s="35" t="s">
        <v>1353</v>
      </c>
      <c r="BX42" s="35"/>
      <c r="BY42" s="35" t="s">
        <v>1353</v>
      </c>
      <c r="BZ42" s="34"/>
      <c r="CA42" s="32" t="s">
        <v>1353</v>
      </c>
      <c r="CB42" s="35" t="s">
        <v>1353</v>
      </c>
      <c r="CC42" s="35"/>
      <c r="CD42" s="35" t="s">
        <v>1353</v>
      </c>
      <c r="CE42" s="34"/>
      <c r="CF42" s="32" t="s">
        <v>1353</v>
      </c>
      <c r="CG42" s="35" t="s">
        <v>1353</v>
      </c>
      <c r="CH42" s="35"/>
      <c r="CI42" s="35" t="s">
        <v>1353</v>
      </c>
      <c r="CJ42" s="34"/>
      <c r="CK42" s="32" t="s">
        <v>1353</v>
      </c>
      <c r="CL42" s="35" t="s">
        <v>1353</v>
      </c>
      <c r="CM42" s="35"/>
      <c r="CN42" s="35" t="s">
        <v>1353</v>
      </c>
      <c r="CO42" s="34"/>
      <c r="CP42" s="32" t="s">
        <v>1353</v>
      </c>
      <c r="CQ42" s="35" t="s">
        <v>1353</v>
      </c>
      <c r="CR42" s="35"/>
      <c r="CS42" s="35" t="s">
        <v>1353</v>
      </c>
      <c r="CT42" s="34"/>
      <c r="CU42" s="32" t="s">
        <v>1353</v>
      </c>
      <c r="CV42" s="35" t="s">
        <v>1353</v>
      </c>
      <c r="CW42" s="35"/>
      <c r="CX42" s="35" t="s">
        <v>1353</v>
      </c>
      <c r="CY42" s="34"/>
      <c r="CZ42" s="32" t="s">
        <v>1353</v>
      </c>
      <c r="DA42" s="35" t="s">
        <v>1353</v>
      </c>
      <c r="DB42" s="35"/>
      <c r="DC42" s="35" t="s">
        <v>1353</v>
      </c>
      <c r="DD42" s="34"/>
      <c r="DE42" s="32" t="s">
        <v>1353</v>
      </c>
      <c r="DF42" s="35" t="s">
        <v>1353</v>
      </c>
      <c r="DG42" s="35"/>
      <c r="DH42" s="35" t="s">
        <v>1353</v>
      </c>
      <c r="DI42" s="34"/>
      <c r="DJ42" s="32" t="s">
        <v>1353</v>
      </c>
      <c r="DK42" s="35" t="s">
        <v>1353</v>
      </c>
      <c r="DL42" s="35"/>
      <c r="DM42" s="35" t="s">
        <v>1353</v>
      </c>
      <c r="DN42" s="34"/>
      <c r="DO42" s="32" t="s">
        <v>1353</v>
      </c>
      <c r="DP42" s="35" t="s">
        <v>1353</v>
      </c>
      <c r="DQ42" s="35"/>
      <c r="DR42" s="35" t="s">
        <v>1353</v>
      </c>
      <c r="DS42" s="34"/>
      <c r="DT42" s="32" t="s">
        <v>1353</v>
      </c>
      <c r="DU42" s="35" t="s">
        <v>1353</v>
      </c>
      <c r="DV42" s="35"/>
      <c r="DW42" s="35" t="s">
        <v>1353</v>
      </c>
      <c r="DX42" s="34"/>
      <c r="DY42" s="32" t="s">
        <v>1353</v>
      </c>
      <c r="DZ42" s="35" t="s">
        <v>1353</v>
      </c>
      <c r="EA42" s="35"/>
      <c r="EB42" s="35" t="s">
        <v>1353</v>
      </c>
      <c r="EC42" s="34"/>
      <c r="ED42" s="32" t="s">
        <v>1353</v>
      </c>
      <c r="EE42" s="35" t="s">
        <v>1353</v>
      </c>
      <c r="EF42" s="35"/>
      <c r="EG42" s="35" t="s">
        <v>1353</v>
      </c>
      <c r="EH42" s="34"/>
      <c r="EI42" s="32" t="s">
        <v>1353</v>
      </c>
      <c r="EJ42" s="35" t="s">
        <v>1353</v>
      </c>
      <c r="EK42" s="35"/>
      <c r="EL42" s="35" t="s">
        <v>1353</v>
      </c>
      <c r="EM42" s="34"/>
      <c r="EN42" s="32" t="s">
        <v>1353</v>
      </c>
      <c r="EO42" s="35" t="s">
        <v>1353</v>
      </c>
      <c r="EP42" s="35"/>
      <c r="EQ42" s="35" t="s">
        <v>1353</v>
      </c>
      <c r="ER42" s="34"/>
      <c r="ES42" s="32" t="s">
        <v>1353</v>
      </c>
      <c r="ET42" s="35" t="s">
        <v>1353</v>
      </c>
      <c r="EU42" s="35"/>
      <c r="EV42" s="35" t="s">
        <v>1353</v>
      </c>
      <c r="EW42" s="34"/>
      <c r="EX42" s="32" t="s">
        <v>1353</v>
      </c>
      <c r="EY42" s="35" t="s">
        <v>1353</v>
      </c>
      <c r="EZ42" s="35"/>
      <c r="FA42" s="35" t="s">
        <v>1353</v>
      </c>
      <c r="FB42" s="34"/>
      <c r="FC42" s="32" t="s">
        <v>1353</v>
      </c>
      <c r="FD42" s="35" t="s">
        <v>1353</v>
      </c>
      <c r="FE42" s="35"/>
      <c r="FF42" s="35" t="s">
        <v>1353</v>
      </c>
      <c r="FG42" s="34"/>
      <c r="FH42" s="32" t="s">
        <v>1353</v>
      </c>
      <c r="FI42" s="35" t="s">
        <v>1353</v>
      </c>
      <c r="FJ42" s="35"/>
      <c r="FK42" s="35" t="s">
        <v>1353</v>
      </c>
      <c r="FL42" s="34"/>
      <c r="FM42" s="32" t="s">
        <v>1353</v>
      </c>
      <c r="FN42" s="35" t="s">
        <v>1353</v>
      </c>
      <c r="FO42" s="35"/>
      <c r="FP42" s="35" t="s">
        <v>1353</v>
      </c>
      <c r="FQ42" s="34"/>
      <c r="FR42" s="32" t="s">
        <v>1353</v>
      </c>
      <c r="FS42" s="35" t="s">
        <v>1353</v>
      </c>
      <c r="FT42" s="35"/>
      <c r="FU42" s="35" t="s">
        <v>1353</v>
      </c>
      <c r="FV42" s="34"/>
      <c r="FW42" s="32" t="s">
        <v>1353</v>
      </c>
      <c r="FX42" s="35" t="s">
        <v>1353</v>
      </c>
      <c r="FY42" s="35"/>
      <c r="FZ42" s="35" t="s">
        <v>1353</v>
      </c>
      <c r="GA42" s="34"/>
      <c r="GB42" s="32" t="s">
        <v>1353</v>
      </c>
      <c r="GC42" s="35" t="s">
        <v>1353</v>
      </c>
      <c r="GD42" s="35"/>
      <c r="GE42" s="35" t="s">
        <v>1353</v>
      </c>
      <c r="GF42" s="34"/>
    </row>
    <row r="43" spans="1:188">
      <c r="A43" s="18" t="s">
        <v>1388</v>
      </c>
      <c r="B43" s="18" cm="1">
        <f t="array" aca="1" ref="B43" ca="1">INDIRECT("'" &amp; A43 &amp; "'!F3")</f>
        <v>0</v>
      </c>
      <c r="C43" s="18" cm="1">
        <f t="array" aca="1" ref="C43" ca="1">INDIRECT("'" &amp; A43 &amp; "'!F4")</f>
        <v>0</v>
      </c>
      <c r="D43" s="32"/>
      <c r="E43" s="35"/>
      <c r="F43" s="35"/>
      <c r="G43" s="35"/>
      <c r="H43" s="34"/>
      <c r="I43" s="32"/>
      <c r="J43" s="35"/>
      <c r="K43" s="35"/>
      <c r="L43" s="35"/>
      <c r="M43" s="34"/>
      <c r="N43" s="32" t="s">
        <v>1353</v>
      </c>
      <c r="O43" s="35" t="s">
        <v>1353</v>
      </c>
      <c r="P43" s="35"/>
      <c r="Q43" s="35" t="s">
        <v>1353</v>
      </c>
      <c r="R43" s="34"/>
      <c r="S43" s="32" t="s">
        <v>1353</v>
      </c>
      <c r="T43" s="35" t="s">
        <v>1353</v>
      </c>
      <c r="U43" s="35"/>
      <c r="V43" s="35" t="s">
        <v>1353</v>
      </c>
      <c r="W43" s="34"/>
      <c r="X43" s="32" t="s">
        <v>1353</v>
      </c>
      <c r="Y43" s="35" t="s">
        <v>1353</v>
      </c>
      <c r="Z43" s="35"/>
      <c r="AA43" s="35" t="s">
        <v>1353</v>
      </c>
      <c r="AB43" s="34"/>
      <c r="AC43" s="32" t="s">
        <v>1353</v>
      </c>
      <c r="AD43" s="35" t="s">
        <v>1353</v>
      </c>
      <c r="AE43" s="35"/>
      <c r="AF43" s="35" t="s">
        <v>1353</v>
      </c>
      <c r="AG43" s="34"/>
      <c r="AH43" s="32" t="s">
        <v>1353</v>
      </c>
      <c r="AI43" s="35" t="s">
        <v>1353</v>
      </c>
      <c r="AJ43" s="35"/>
      <c r="AK43" s="35" t="s">
        <v>1353</v>
      </c>
      <c r="AL43" s="34"/>
      <c r="AM43" s="32" t="s">
        <v>1353</v>
      </c>
      <c r="AN43" s="35" t="s">
        <v>1353</v>
      </c>
      <c r="AO43" s="35"/>
      <c r="AP43" s="35" t="s">
        <v>1353</v>
      </c>
      <c r="AQ43" s="34"/>
      <c r="AR43" s="32" t="s">
        <v>1353</v>
      </c>
      <c r="AS43" s="35" t="s">
        <v>1353</v>
      </c>
      <c r="AT43" s="35"/>
      <c r="AU43" s="35" t="s">
        <v>1353</v>
      </c>
      <c r="AV43" s="34"/>
      <c r="AW43" s="32" t="s">
        <v>1353</v>
      </c>
      <c r="AX43" s="35" t="s">
        <v>1353</v>
      </c>
      <c r="AY43" s="35"/>
      <c r="AZ43" s="35" t="s">
        <v>1353</v>
      </c>
      <c r="BA43" s="34"/>
      <c r="BB43" s="32" t="s">
        <v>1353</v>
      </c>
      <c r="BC43" s="35" t="s">
        <v>1353</v>
      </c>
      <c r="BD43" s="35"/>
      <c r="BE43" s="35" t="s">
        <v>1353</v>
      </c>
      <c r="BF43" s="34"/>
      <c r="BG43" s="32" t="s">
        <v>1353</v>
      </c>
      <c r="BH43" s="35" t="s">
        <v>1353</v>
      </c>
      <c r="BI43" s="35"/>
      <c r="BJ43" s="35" t="s">
        <v>1353</v>
      </c>
      <c r="BK43" s="34"/>
      <c r="BL43" s="32" t="s">
        <v>1353</v>
      </c>
      <c r="BM43" s="35" t="s">
        <v>1353</v>
      </c>
      <c r="BN43" s="35"/>
      <c r="BO43" s="35" t="s">
        <v>1353</v>
      </c>
      <c r="BP43" s="34"/>
      <c r="BQ43" s="32" t="s">
        <v>1353</v>
      </c>
      <c r="BR43" s="35" t="s">
        <v>1353</v>
      </c>
      <c r="BS43" s="35"/>
      <c r="BT43" s="35" t="s">
        <v>1353</v>
      </c>
      <c r="BU43" s="34"/>
      <c r="BV43" s="32" t="s">
        <v>1353</v>
      </c>
      <c r="BW43" s="35" t="s">
        <v>1353</v>
      </c>
      <c r="BX43" s="35"/>
      <c r="BY43" s="35" t="s">
        <v>1353</v>
      </c>
      <c r="BZ43" s="34"/>
      <c r="CA43" s="32" t="s">
        <v>1353</v>
      </c>
      <c r="CB43" s="35" t="s">
        <v>1353</v>
      </c>
      <c r="CC43" s="35"/>
      <c r="CD43" s="35" t="s">
        <v>1353</v>
      </c>
      <c r="CE43" s="34"/>
      <c r="CF43" s="32" t="s">
        <v>1353</v>
      </c>
      <c r="CG43" s="35" t="s">
        <v>1353</v>
      </c>
      <c r="CH43" s="35"/>
      <c r="CI43" s="35" t="s">
        <v>1353</v>
      </c>
      <c r="CJ43" s="34"/>
      <c r="CK43" s="32" t="s">
        <v>1353</v>
      </c>
      <c r="CL43" s="35" t="s">
        <v>1353</v>
      </c>
      <c r="CM43" s="35"/>
      <c r="CN43" s="35" t="s">
        <v>1353</v>
      </c>
      <c r="CO43" s="34"/>
      <c r="CP43" s="32" t="s">
        <v>1353</v>
      </c>
      <c r="CQ43" s="35" t="s">
        <v>1353</v>
      </c>
      <c r="CR43" s="35"/>
      <c r="CS43" s="35" t="s">
        <v>1353</v>
      </c>
      <c r="CT43" s="34"/>
      <c r="CU43" s="32" t="s">
        <v>1353</v>
      </c>
      <c r="CV43" s="35" t="s">
        <v>1353</v>
      </c>
      <c r="CW43" s="35"/>
      <c r="CX43" s="35" t="s">
        <v>1353</v>
      </c>
      <c r="CY43" s="34"/>
      <c r="CZ43" s="32" t="s">
        <v>1353</v>
      </c>
      <c r="DA43" s="35" t="s">
        <v>1353</v>
      </c>
      <c r="DB43" s="35"/>
      <c r="DC43" s="35" t="s">
        <v>1353</v>
      </c>
      <c r="DD43" s="34"/>
      <c r="DE43" s="32" t="s">
        <v>1353</v>
      </c>
      <c r="DF43" s="35" t="s">
        <v>1353</v>
      </c>
      <c r="DG43" s="35"/>
      <c r="DH43" s="35" t="s">
        <v>1353</v>
      </c>
      <c r="DI43" s="34"/>
      <c r="DJ43" s="32" t="s">
        <v>1353</v>
      </c>
      <c r="DK43" s="35" t="s">
        <v>1353</v>
      </c>
      <c r="DL43" s="35"/>
      <c r="DM43" s="35" t="s">
        <v>1353</v>
      </c>
      <c r="DN43" s="34"/>
      <c r="DO43" s="32" t="s">
        <v>1353</v>
      </c>
      <c r="DP43" s="35" t="s">
        <v>1353</v>
      </c>
      <c r="DQ43" s="35"/>
      <c r="DR43" s="35" t="s">
        <v>1353</v>
      </c>
      <c r="DS43" s="34"/>
      <c r="DT43" s="32" t="s">
        <v>1353</v>
      </c>
      <c r="DU43" s="35" t="s">
        <v>1353</v>
      </c>
      <c r="DV43" s="35"/>
      <c r="DW43" s="35" t="s">
        <v>1353</v>
      </c>
      <c r="DX43" s="34"/>
      <c r="DY43" s="32" t="s">
        <v>1353</v>
      </c>
      <c r="DZ43" s="35" t="s">
        <v>1353</v>
      </c>
      <c r="EA43" s="35"/>
      <c r="EB43" s="35" t="s">
        <v>1353</v>
      </c>
      <c r="EC43" s="34"/>
      <c r="ED43" s="32" t="s">
        <v>1353</v>
      </c>
      <c r="EE43" s="35" t="s">
        <v>1353</v>
      </c>
      <c r="EF43" s="35"/>
      <c r="EG43" s="35" t="s">
        <v>1353</v>
      </c>
      <c r="EH43" s="34"/>
      <c r="EI43" s="32" t="s">
        <v>1353</v>
      </c>
      <c r="EJ43" s="35" t="s">
        <v>1353</v>
      </c>
      <c r="EK43" s="35"/>
      <c r="EL43" s="35" t="s">
        <v>1353</v>
      </c>
      <c r="EM43" s="34"/>
      <c r="EN43" s="32" t="s">
        <v>1353</v>
      </c>
      <c r="EO43" s="35" t="s">
        <v>1353</v>
      </c>
      <c r="EP43" s="35"/>
      <c r="EQ43" s="35" t="s">
        <v>1353</v>
      </c>
      <c r="ER43" s="34"/>
      <c r="ES43" s="32" t="s">
        <v>1353</v>
      </c>
      <c r="ET43" s="35" t="s">
        <v>1353</v>
      </c>
      <c r="EU43" s="35"/>
      <c r="EV43" s="35" t="s">
        <v>1353</v>
      </c>
      <c r="EW43" s="34"/>
      <c r="EX43" s="32" t="s">
        <v>1353</v>
      </c>
      <c r="EY43" s="35" t="s">
        <v>1353</v>
      </c>
      <c r="EZ43" s="35"/>
      <c r="FA43" s="35" t="s">
        <v>1353</v>
      </c>
      <c r="FB43" s="34"/>
      <c r="FC43" s="32" t="s">
        <v>1353</v>
      </c>
      <c r="FD43" s="35" t="s">
        <v>1353</v>
      </c>
      <c r="FE43" s="35"/>
      <c r="FF43" s="35" t="s">
        <v>1353</v>
      </c>
      <c r="FG43" s="34"/>
      <c r="FH43" s="32" t="s">
        <v>1353</v>
      </c>
      <c r="FI43" s="35" t="s">
        <v>1353</v>
      </c>
      <c r="FJ43" s="35"/>
      <c r="FK43" s="35" t="s">
        <v>1353</v>
      </c>
      <c r="FL43" s="34"/>
      <c r="FM43" s="32" t="s">
        <v>1353</v>
      </c>
      <c r="FN43" s="35" t="s">
        <v>1353</v>
      </c>
      <c r="FO43" s="35"/>
      <c r="FP43" s="35" t="s">
        <v>1353</v>
      </c>
      <c r="FQ43" s="34"/>
      <c r="FR43" s="32" t="s">
        <v>1353</v>
      </c>
      <c r="FS43" s="35" t="s">
        <v>1353</v>
      </c>
      <c r="FT43" s="35"/>
      <c r="FU43" s="35" t="s">
        <v>1353</v>
      </c>
      <c r="FV43" s="34"/>
      <c r="FW43" s="32" t="s">
        <v>1353</v>
      </c>
      <c r="FX43" s="35" t="s">
        <v>1353</v>
      </c>
      <c r="FY43" s="35"/>
      <c r="FZ43" s="35" t="s">
        <v>1353</v>
      </c>
      <c r="GA43" s="34"/>
      <c r="GB43" s="32" t="s">
        <v>1353</v>
      </c>
      <c r="GC43" s="35" t="s">
        <v>1353</v>
      </c>
      <c r="GD43" s="35"/>
      <c r="GE43" s="35" t="s">
        <v>1353</v>
      </c>
      <c r="GF43" s="34"/>
    </row>
    <row r="44" spans="1:188">
      <c r="A44" s="18" t="s">
        <v>1389</v>
      </c>
      <c r="B44" s="18" t="str" cm="1">
        <f t="array" aca="1" ref="B44" ca="1">INDIRECT("'" &amp; A44 &amp; "'!F3")</f>
        <v>Michael V</v>
      </c>
      <c r="C44" s="18" t="str" cm="1">
        <f t="array" aca="1" ref="C44" ca="1">INDIRECT("'" &amp; A44 &amp; "'!F4")</f>
        <v>Wan Yelong</v>
      </c>
      <c r="D44" s="36" t="s">
        <v>1359</v>
      </c>
      <c r="E44" s="37">
        <v>3</v>
      </c>
      <c r="F44" s="37" t="s">
        <v>1353</v>
      </c>
      <c r="G44" s="37" t="s">
        <v>1353</v>
      </c>
      <c r="H44" s="43" t="s">
        <v>1354</v>
      </c>
      <c r="I44" s="36" t="s">
        <v>1353</v>
      </c>
      <c r="J44" s="37" t="s">
        <v>1353</v>
      </c>
      <c r="K44" s="37"/>
      <c r="L44" s="37" t="s">
        <v>1353</v>
      </c>
      <c r="M44" s="43"/>
      <c r="N44" s="36" t="s">
        <v>1353</v>
      </c>
      <c r="O44" s="37" t="s">
        <v>1353</v>
      </c>
      <c r="P44" s="37"/>
      <c r="Q44" s="37" t="s">
        <v>1353</v>
      </c>
      <c r="R44" s="43"/>
      <c r="S44" s="36" t="s">
        <v>1353</v>
      </c>
      <c r="T44" s="37" t="s">
        <v>1353</v>
      </c>
      <c r="U44" s="37"/>
      <c r="V44" s="37" t="s">
        <v>1353</v>
      </c>
      <c r="W44" s="43"/>
      <c r="X44" s="36" t="s">
        <v>1353</v>
      </c>
      <c r="Y44" s="37" t="s">
        <v>1353</v>
      </c>
      <c r="Z44" s="37"/>
      <c r="AA44" s="37" t="s">
        <v>1353</v>
      </c>
      <c r="AB44" s="43"/>
      <c r="AC44" s="36" t="s">
        <v>1353</v>
      </c>
      <c r="AD44" s="37" t="s">
        <v>1353</v>
      </c>
      <c r="AE44" s="37"/>
      <c r="AF44" s="37" t="s">
        <v>1353</v>
      </c>
      <c r="AG44" s="43"/>
      <c r="AH44" s="36" t="s">
        <v>1353</v>
      </c>
      <c r="AI44" s="37" t="s">
        <v>1353</v>
      </c>
      <c r="AJ44" s="37"/>
      <c r="AK44" s="37" t="s">
        <v>1353</v>
      </c>
      <c r="AL44" s="43"/>
      <c r="AM44" s="36" t="s">
        <v>1353</v>
      </c>
      <c r="AN44" s="37" t="s">
        <v>1353</v>
      </c>
      <c r="AO44" s="37"/>
      <c r="AP44" s="37" t="s">
        <v>1353</v>
      </c>
      <c r="AQ44" s="43"/>
      <c r="AR44" s="36" t="s">
        <v>1353</v>
      </c>
      <c r="AS44" s="37" t="s">
        <v>1353</v>
      </c>
      <c r="AT44" s="37"/>
      <c r="AU44" s="37" t="s">
        <v>1353</v>
      </c>
      <c r="AV44" s="43"/>
      <c r="AW44" s="36" t="s">
        <v>1353</v>
      </c>
      <c r="AX44" s="37" t="s">
        <v>1353</v>
      </c>
      <c r="AY44" s="37"/>
      <c r="AZ44" s="37" t="s">
        <v>1353</v>
      </c>
      <c r="BA44" s="43"/>
      <c r="BB44" s="36" t="s">
        <v>1353</v>
      </c>
      <c r="BC44" s="37" t="s">
        <v>1353</v>
      </c>
      <c r="BD44" s="37"/>
      <c r="BE44" s="37" t="s">
        <v>1353</v>
      </c>
      <c r="BF44" s="43"/>
      <c r="BG44" s="36" t="s">
        <v>1353</v>
      </c>
      <c r="BH44" s="37" t="s">
        <v>1353</v>
      </c>
      <c r="BI44" s="37"/>
      <c r="BJ44" s="37" t="s">
        <v>1353</v>
      </c>
      <c r="BK44" s="43"/>
      <c r="BL44" s="36" t="s">
        <v>1353</v>
      </c>
      <c r="BM44" s="37" t="s">
        <v>1353</v>
      </c>
      <c r="BN44" s="37"/>
      <c r="BO44" s="37" t="s">
        <v>1353</v>
      </c>
      <c r="BP44" s="43"/>
      <c r="BQ44" s="36" t="s">
        <v>1353</v>
      </c>
      <c r="BR44" s="37" t="s">
        <v>1353</v>
      </c>
      <c r="BS44" s="37"/>
      <c r="BT44" s="37" t="s">
        <v>1353</v>
      </c>
      <c r="BU44" s="43"/>
      <c r="BV44" s="36" t="s">
        <v>1353</v>
      </c>
      <c r="BW44" s="37" t="s">
        <v>1353</v>
      </c>
      <c r="BX44" s="37"/>
      <c r="BY44" s="37" t="s">
        <v>1353</v>
      </c>
      <c r="BZ44" s="43"/>
      <c r="CA44" s="36" t="s">
        <v>1353</v>
      </c>
      <c r="CB44" s="37" t="s">
        <v>1353</v>
      </c>
      <c r="CC44" s="37"/>
      <c r="CD44" s="37" t="s">
        <v>1353</v>
      </c>
      <c r="CE44" s="43"/>
      <c r="CF44" s="36" t="s">
        <v>1353</v>
      </c>
      <c r="CG44" s="37" t="s">
        <v>1353</v>
      </c>
      <c r="CH44" s="37"/>
      <c r="CI44" s="37" t="s">
        <v>1353</v>
      </c>
      <c r="CJ44" s="43"/>
      <c r="CK44" s="36" t="s">
        <v>1353</v>
      </c>
      <c r="CL44" s="37" t="s">
        <v>1353</v>
      </c>
      <c r="CM44" s="37"/>
      <c r="CN44" s="37" t="s">
        <v>1353</v>
      </c>
      <c r="CO44" s="43"/>
      <c r="CP44" s="36" t="s">
        <v>1353</v>
      </c>
      <c r="CQ44" s="37" t="s">
        <v>1353</v>
      </c>
      <c r="CR44" s="37"/>
      <c r="CS44" s="37" t="s">
        <v>1353</v>
      </c>
      <c r="CT44" s="43"/>
      <c r="CU44" s="36" t="s">
        <v>1353</v>
      </c>
      <c r="CV44" s="37" t="s">
        <v>1353</v>
      </c>
      <c r="CW44" s="37"/>
      <c r="CX44" s="37" t="s">
        <v>1353</v>
      </c>
      <c r="CY44" s="43"/>
      <c r="CZ44" s="36" t="s">
        <v>1353</v>
      </c>
      <c r="DA44" s="37" t="s">
        <v>1353</v>
      </c>
      <c r="DB44" s="37"/>
      <c r="DC44" s="37" t="s">
        <v>1353</v>
      </c>
      <c r="DD44" s="43"/>
      <c r="DE44" s="36" t="s">
        <v>1353</v>
      </c>
      <c r="DF44" s="37" t="s">
        <v>1353</v>
      </c>
      <c r="DG44" s="37"/>
      <c r="DH44" s="37" t="s">
        <v>1353</v>
      </c>
      <c r="DI44" s="43"/>
      <c r="DJ44" s="36" t="s">
        <v>1353</v>
      </c>
      <c r="DK44" s="37" t="s">
        <v>1353</v>
      </c>
      <c r="DL44" s="37"/>
      <c r="DM44" s="37" t="s">
        <v>1353</v>
      </c>
      <c r="DN44" s="43"/>
      <c r="DO44" s="36" t="s">
        <v>1353</v>
      </c>
      <c r="DP44" s="37" t="s">
        <v>1353</v>
      </c>
      <c r="DQ44" s="37"/>
      <c r="DR44" s="37" t="s">
        <v>1353</v>
      </c>
      <c r="DS44" s="43"/>
      <c r="DT44" s="36" t="s">
        <v>1353</v>
      </c>
      <c r="DU44" s="37" t="s">
        <v>1353</v>
      </c>
      <c r="DV44" s="37"/>
      <c r="DW44" s="37" t="s">
        <v>1353</v>
      </c>
      <c r="DX44" s="43"/>
      <c r="DY44" s="36" t="s">
        <v>1353</v>
      </c>
      <c r="DZ44" s="37" t="s">
        <v>1353</v>
      </c>
      <c r="EA44" s="37"/>
      <c r="EB44" s="37" t="s">
        <v>1353</v>
      </c>
      <c r="EC44" s="43"/>
      <c r="ED44" s="36" t="s">
        <v>1353</v>
      </c>
      <c r="EE44" s="37" t="s">
        <v>1353</v>
      </c>
      <c r="EF44" s="37"/>
      <c r="EG44" s="37" t="s">
        <v>1353</v>
      </c>
      <c r="EH44" s="43"/>
      <c r="EI44" s="36" t="s">
        <v>1353</v>
      </c>
      <c r="EJ44" s="37" t="s">
        <v>1353</v>
      </c>
      <c r="EK44" s="37"/>
      <c r="EL44" s="37" t="s">
        <v>1353</v>
      </c>
      <c r="EM44" s="43"/>
      <c r="EN44" s="36" t="s">
        <v>1353</v>
      </c>
      <c r="EO44" s="37" t="s">
        <v>1353</v>
      </c>
      <c r="EP44" s="37"/>
      <c r="EQ44" s="37" t="s">
        <v>1353</v>
      </c>
      <c r="ER44" s="43"/>
      <c r="ES44" s="36" t="s">
        <v>1353</v>
      </c>
      <c r="ET44" s="37" t="s">
        <v>1353</v>
      </c>
      <c r="EU44" s="37"/>
      <c r="EV44" s="37" t="s">
        <v>1353</v>
      </c>
      <c r="EW44" s="43"/>
      <c r="EX44" s="36" t="s">
        <v>1353</v>
      </c>
      <c r="EY44" s="37" t="s">
        <v>1353</v>
      </c>
      <c r="EZ44" s="37"/>
      <c r="FA44" s="37" t="s">
        <v>1353</v>
      </c>
      <c r="FB44" s="43"/>
      <c r="FC44" s="36" t="s">
        <v>1353</v>
      </c>
      <c r="FD44" s="37" t="s">
        <v>1353</v>
      </c>
      <c r="FE44" s="37"/>
      <c r="FF44" s="37" t="s">
        <v>1353</v>
      </c>
      <c r="FG44" s="43"/>
      <c r="FH44" s="36" t="s">
        <v>1353</v>
      </c>
      <c r="FI44" s="37" t="s">
        <v>1353</v>
      </c>
      <c r="FJ44" s="37"/>
      <c r="FK44" s="37" t="s">
        <v>1353</v>
      </c>
      <c r="FL44" s="43"/>
      <c r="FM44" s="36" t="s">
        <v>1353</v>
      </c>
      <c r="FN44" s="37" t="s">
        <v>1353</v>
      </c>
      <c r="FO44" s="37"/>
      <c r="FP44" s="37" t="s">
        <v>1353</v>
      </c>
      <c r="FQ44" s="43"/>
      <c r="FR44" s="36" t="s">
        <v>1353</v>
      </c>
      <c r="FS44" s="37" t="s">
        <v>1353</v>
      </c>
      <c r="FT44" s="37"/>
      <c r="FU44" s="37" t="s">
        <v>1353</v>
      </c>
      <c r="FV44" s="43"/>
      <c r="FW44" s="36" t="s">
        <v>1353</v>
      </c>
      <c r="FX44" s="37" t="s">
        <v>1353</v>
      </c>
      <c r="FY44" s="37"/>
      <c r="FZ44" s="37" t="s">
        <v>1353</v>
      </c>
      <c r="GA44" s="43"/>
      <c r="GB44" s="36" t="s">
        <v>1353</v>
      </c>
      <c r="GC44" s="37" t="s">
        <v>1353</v>
      </c>
      <c r="GD44" s="37"/>
      <c r="GE44" s="37" t="s">
        <v>1353</v>
      </c>
      <c r="GF44" s="43"/>
    </row>
    <row r="45" spans="1:188">
      <c r="A45" s="30"/>
      <c r="B45" s="30"/>
      <c r="C45" s="30"/>
      <c r="F45" s="39"/>
      <c r="G45" s="39"/>
      <c r="H45" s="40"/>
      <c r="J45" s="40"/>
      <c r="K45" s="40"/>
      <c r="L45" s="40"/>
      <c r="M45" s="40"/>
      <c r="N45" s="38"/>
      <c r="O45" s="40"/>
      <c r="P45" s="40"/>
      <c r="Q45" s="40"/>
      <c r="R45" s="40"/>
      <c r="S45" s="38"/>
      <c r="T45" s="40"/>
      <c r="U45" s="40"/>
      <c r="V45" s="40"/>
      <c r="W45" s="40"/>
      <c r="X45" s="38"/>
      <c r="Y45" s="40"/>
      <c r="Z45" s="40"/>
      <c r="AA45" s="40"/>
      <c r="AB45" s="40"/>
      <c r="AC45" s="38"/>
      <c r="AD45" s="40"/>
      <c r="AE45" s="40"/>
      <c r="AF45" s="40"/>
      <c r="AG45" s="40"/>
      <c r="AH45" s="38"/>
      <c r="AI45" s="40"/>
      <c r="AJ45" s="40"/>
      <c r="AK45" s="40"/>
      <c r="AL45" s="40"/>
      <c r="AM45" s="38"/>
      <c r="AN45" s="40"/>
      <c r="AO45" s="40"/>
      <c r="AP45" s="40"/>
      <c r="AQ45" s="40"/>
      <c r="AR45" s="38"/>
      <c r="AS45" s="40"/>
      <c r="AT45" s="40"/>
      <c r="AU45" s="40"/>
      <c r="AV45" s="40"/>
      <c r="AW45" s="38"/>
      <c r="AX45" s="40"/>
      <c r="AY45" s="40"/>
      <c r="AZ45" s="40"/>
      <c r="BA45" s="40"/>
      <c r="BB45" s="38"/>
      <c r="BC45" s="40"/>
      <c r="BD45" s="40"/>
      <c r="BE45" s="40"/>
      <c r="BF45" s="40"/>
      <c r="BG45" s="38"/>
      <c r="BH45" s="40"/>
      <c r="BI45" s="40"/>
      <c r="BJ45" s="40"/>
      <c r="BK45" s="40"/>
      <c r="BL45" s="38"/>
      <c r="BM45" s="40"/>
      <c r="BN45" s="40"/>
      <c r="BO45" s="40"/>
      <c r="BP45" s="40"/>
      <c r="BQ45" s="38"/>
      <c r="BR45" s="40"/>
      <c r="BS45" s="40"/>
      <c r="BT45" s="40"/>
      <c r="BU45" s="40"/>
      <c r="BV45" s="38"/>
      <c r="BW45" s="40"/>
      <c r="BX45" s="40"/>
      <c r="BY45" s="40"/>
      <c r="BZ45" s="40"/>
      <c r="CA45" s="38"/>
      <c r="CB45" s="40"/>
      <c r="CC45" s="40"/>
      <c r="CD45" s="40"/>
      <c r="CE45" s="40"/>
      <c r="CF45" s="38"/>
      <c r="CG45" s="40"/>
      <c r="CH45" s="40"/>
      <c r="CI45" s="40"/>
      <c r="CJ45" s="40"/>
      <c r="CK45" s="38"/>
      <c r="CL45" s="40"/>
      <c r="CM45" s="40"/>
      <c r="CN45" s="40"/>
      <c r="CO45" s="40"/>
      <c r="CP45" s="38"/>
      <c r="CQ45" s="40"/>
      <c r="CR45" s="40"/>
      <c r="CS45" s="40"/>
      <c r="CT45" s="40"/>
      <c r="CU45" s="38"/>
      <c r="CV45" s="40"/>
      <c r="CW45" s="40"/>
      <c r="CX45" s="40"/>
      <c r="CY45" s="40"/>
      <c r="CZ45" s="38"/>
      <c r="DA45" s="40"/>
      <c r="DB45" s="40"/>
      <c r="DC45" s="40"/>
      <c r="DD45" s="40"/>
      <c r="DE45" s="38"/>
      <c r="DF45" s="40"/>
      <c r="DG45" s="40"/>
      <c r="DH45" s="40"/>
      <c r="DI45" s="40"/>
      <c r="DJ45" s="38"/>
      <c r="DK45" s="40"/>
      <c r="DL45" s="40"/>
      <c r="DM45" s="40"/>
      <c r="DN45" s="40"/>
      <c r="DO45" s="38"/>
      <c r="DP45" s="40"/>
      <c r="DQ45" s="40"/>
      <c r="DR45" s="40"/>
      <c r="DS45" s="40"/>
      <c r="DT45" s="38"/>
      <c r="DU45" s="40"/>
      <c r="DV45" s="40"/>
      <c r="DW45" s="40"/>
      <c r="DX45" s="40"/>
      <c r="DY45" s="38"/>
      <c r="DZ45" s="40"/>
      <c r="EA45" s="40"/>
      <c r="EB45" s="40"/>
      <c r="EC45" s="40"/>
      <c r="ED45" s="38"/>
      <c r="EE45" s="40"/>
      <c r="EF45" s="40"/>
      <c r="EG45" s="40"/>
      <c r="EH45" s="40"/>
      <c r="EI45" s="38"/>
      <c r="EJ45" s="40"/>
      <c r="EK45" s="40"/>
      <c r="EL45" s="40"/>
      <c r="EM45" s="40"/>
      <c r="EN45" s="38"/>
      <c r="EO45" s="40"/>
      <c r="EP45" s="40"/>
      <c r="EQ45" s="40"/>
      <c r="ER45" s="40"/>
      <c r="ES45" s="38"/>
      <c r="ET45" s="40"/>
      <c r="EU45" s="40"/>
      <c r="EV45" s="40"/>
      <c r="EW45" s="40"/>
      <c r="EX45" s="38"/>
      <c r="EY45" s="40"/>
      <c r="EZ45" s="40"/>
      <c r="FA45" s="40"/>
      <c r="FB45" s="40"/>
      <c r="FC45" s="38"/>
      <c r="FD45" s="40"/>
      <c r="FE45" s="40"/>
      <c r="FF45" s="40"/>
      <c r="FG45" s="40"/>
      <c r="FH45" s="38"/>
      <c r="FI45" s="40"/>
      <c r="FJ45" s="40"/>
      <c r="FK45" s="40"/>
      <c r="FL45" s="40"/>
      <c r="FM45" s="38"/>
      <c r="FN45" s="40"/>
      <c r="FO45" s="40"/>
      <c r="FP45" s="40"/>
      <c r="FQ45" s="40"/>
      <c r="FR45" s="38"/>
      <c r="FS45" s="40"/>
      <c r="FT45" s="40"/>
      <c r="FU45" s="40"/>
      <c r="FV45" s="40"/>
      <c r="FW45" s="38"/>
      <c r="FX45" s="40"/>
      <c r="FY45" s="40"/>
      <c r="FZ45" s="40"/>
      <c r="GA45" s="40"/>
      <c r="GB45" s="38"/>
      <c r="GC45" s="40"/>
      <c r="GD45" s="40"/>
      <c r="GE45" s="40"/>
      <c r="GF45" s="40"/>
    </row>
    <row r="46" spans="1:188">
      <c r="A46" s="30"/>
      <c r="B46" s="30"/>
      <c r="C46" s="30"/>
      <c r="D46" s="39"/>
      <c r="E46" s="39"/>
      <c r="F46" s="39"/>
      <c r="G46" s="39"/>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c r="BK46" s="40"/>
      <c r="BL46" s="40"/>
      <c r="BM46" s="40"/>
      <c r="BN46" s="40"/>
      <c r="BO46" s="40"/>
      <c r="BP46" s="40"/>
      <c r="BQ46" s="40"/>
      <c r="BR46" s="40"/>
      <c r="BS46" s="40"/>
      <c r="BT46" s="40"/>
      <c r="BU46" s="40"/>
      <c r="BV46" s="40"/>
      <c r="BW46" s="40"/>
      <c r="BX46" s="40"/>
      <c r="BY46" s="40"/>
      <c r="BZ46" s="40"/>
      <c r="CA46" s="40"/>
      <c r="CB46" s="40"/>
      <c r="CC46" s="40"/>
      <c r="CD46" s="40"/>
      <c r="CE46" s="40"/>
      <c r="CF46" s="40"/>
      <c r="CG46" s="40"/>
      <c r="CH46" s="40"/>
      <c r="CI46" s="40"/>
      <c r="CJ46" s="40"/>
      <c r="CK46" s="40"/>
      <c r="CL46" s="40"/>
      <c r="CM46" s="40"/>
      <c r="CN46" s="40"/>
      <c r="CO46" s="40"/>
      <c r="CP46" s="40"/>
      <c r="CQ46" s="40"/>
      <c r="CR46" s="40"/>
      <c r="CS46" s="40"/>
      <c r="CT46" s="40"/>
      <c r="CU46" s="40"/>
      <c r="CV46" s="40"/>
      <c r="CW46" s="40"/>
      <c r="CX46" s="40"/>
      <c r="CY46" s="40"/>
      <c r="CZ46" s="40"/>
      <c r="DA46" s="40"/>
      <c r="DB46" s="40"/>
      <c r="DC46" s="40"/>
      <c r="DD46" s="40"/>
      <c r="DE46" s="40"/>
      <c r="DF46" s="40"/>
      <c r="DG46" s="40"/>
      <c r="DH46" s="40"/>
      <c r="DI46" s="40"/>
      <c r="DJ46" s="40"/>
      <c r="DK46" s="40"/>
      <c r="DL46" s="40"/>
      <c r="DM46" s="40"/>
      <c r="DN46" s="40"/>
      <c r="DO46" s="40"/>
      <c r="DP46" s="40"/>
      <c r="DQ46" s="40"/>
      <c r="DR46" s="40"/>
      <c r="DS46" s="40"/>
      <c r="DT46" s="40"/>
      <c r="DU46" s="40"/>
      <c r="DV46" s="40"/>
      <c r="DW46" s="40"/>
      <c r="DX46" s="40"/>
      <c r="DY46" s="40"/>
      <c r="DZ46" s="40"/>
      <c r="EA46" s="40"/>
      <c r="EB46" s="40"/>
      <c r="EC46" s="40"/>
      <c r="ED46" s="40"/>
      <c r="EE46" s="40"/>
      <c r="EF46" s="40"/>
      <c r="EG46" s="40"/>
      <c r="EH46" s="40"/>
      <c r="EI46" s="40"/>
      <c r="EJ46" s="40"/>
      <c r="EK46" s="40"/>
      <c r="EL46" s="40"/>
      <c r="EM46" s="40"/>
      <c r="EN46" s="40"/>
      <c r="EO46" s="40"/>
      <c r="EP46" s="40"/>
      <c r="EQ46" s="40"/>
      <c r="ER46" s="40"/>
      <c r="ES46" s="40"/>
      <c r="ET46" s="40"/>
      <c r="EU46" s="40"/>
      <c r="EV46" s="40"/>
      <c r="EW46" s="40"/>
      <c r="EX46" s="40"/>
      <c r="EY46" s="40"/>
      <c r="EZ46" s="40"/>
      <c r="FA46" s="40"/>
      <c r="FB46" s="40"/>
      <c r="FC46" s="40"/>
      <c r="FD46" s="40"/>
      <c r="FE46" s="40"/>
      <c r="FF46" s="40"/>
      <c r="FG46" s="40"/>
      <c r="FH46" s="40"/>
      <c r="FI46" s="40"/>
      <c r="FJ46" s="40"/>
      <c r="FK46" s="40"/>
      <c r="FL46" s="40"/>
      <c r="FM46" s="40"/>
      <c r="FN46" s="40"/>
      <c r="FO46" s="40"/>
      <c r="FP46" s="40"/>
      <c r="FQ46" s="40"/>
      <c r="FR46" s="40"/>
      <c r="FS46" s="40"/>
      <c r="FT46" s="40"/>
      <c r="FU46" s="40"/>
      <c r="FV46" s="40"/>
      <c r="FW46" s="40"/>
      <c r="FX46" s="40"/>
      <c r="FY46" s="40"/>
      <c r="FZ46" s="40"/>
      <c r="GA46" s="40"/>
      <c r="GB46" s="40"/>
      <c r="GC46" s="40"/>
      <c r="GD46" s="40"/>
      <c r="GE46" s="40"/>
      <c r="GF46" s="40"/>
    </row>
    <row r="47" spans="1:188">
      <c r="A47" s="30"/>
      <c r="B47" s="30"/>
      <c r="C47" s="30"/>
      <c r="D47" s="39"/>
      <c r="E47" s="39"/>
      <c r="F47" s="39"/>
      <c r="G47" s="39"/>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0"/>
      <c r="AZ47" s="40"/>
      <c r="BA47" s="40"/>
      <c r="BB47" s="40"/>
      <c r="BC47" s="40"/>
      <c r="BD47" s="40"/>
      <c r="BE47" s="40"/>
      <c r="BF47" s="40"/>
      <c r="BG47" s="40"/>
      <c r="BH47" s="40"/>
      <c r="BI47" s="40"/>
      <c r="BJ47" s="40"/>
      <c r="BK47" s="40"/>
      <c r="BL47" s="40"/>
      <c r="BM47" s="40"/>
      <c r="BN47" s="40"/>
      <c r="BO47" s="40"/>
      <c r="BP47" s="40"/>
      <c r="BQ47" s="40"/>
      <c r="BR47" s="40"/>
      <c r="BS47" s="40"/>
      <c r="BT47" s="40"/>
      <c r="BU47" s="40"/>
      <c r="BV47" s="40"/>
      <c r="BW47" s="40"/>
      <c r="BX47" s="40"/>
      <c r="BY47" s="40"/>
      <c r="BZ47" s="40"/>
      <c r="CA47" s="40"/>
      <c r="CB47" s="40"/>
      <c r="CC47" s="40"/>
      <c r="CD47" s="40"/>
      <c r="CE47" s="40"/>
      <c r="CF47" s="40"/>
      <c r="CG47" s="40"/>
      <c r="CH47" s="40"/>
      <c r="CI47" s="40"/>
      <c r="CJ47" s="40"/>
      <c r="CK47" s="40"/>
      <c r="CL47" s="40"/>
      <c r="CM47" s="40"/>
      <c r="CN47" s="40"/>
      <c r="CO47" s="40"/>
      <c r="CP47" s="40"/>
      <c r="CQ47" s="40"/>
      <c r="CR47" s="40"/>
      <c r="CS47" s="40"/>
      <c r="CT47" s="40"/>
      <c r="CU47" s="40"/>
      <c r="CV47" s="40"/>
      <c r="CW47" s="40"/>
      <c r="CX47" s="40"/>
      <c r="CY47" s="40"/>
      <c r="CZ47" s="40"/>
      <c r="DA47" s="40"/>
      <c r="DB47" s="40"/>
      <c r="DC47" s="40"/>
      <c r="DD47" s="40"/>
      <c r="DE47" s="40"/>
      <c r="DF47" s="40"/>
      <c r="DG47" s="40"/>
      <c r="DH47" s="40"/>
      <c r="DI47" s="40"/>
      <c r="DJ47" s="40"/>
      <c r="DK47" s="40"/>
      <c r="DL47" s="40"/>
      <c r="DM47" s="40"/>
      <c r="DN47" s="40"/>
      <c r="DO47" s="40"/>
      <c r="DP47" s="40"/>
      <c r="DQ47" s="40"/>
      <c r="DR47" s="40"/>
      <c r="DS47" s="40"/>
      <c r="DT47" s="40"/>
      <c r="DU47" s="40"/>
      <c r="DV47" s="40"/>
      <c r="DW47" s="40"/>
      <c r="DX47" s="40"/>
      <c r="DY47" s="40"/>
      <c r="DZ47" s="40"/>
      <c r="EA47" s="40"/>
      <c r="EB47" s="40"/>
      <c r="EC47" s="40"/>
      <c r="ED47" s="40"/>
      <c r="EE47" s="40"/>
      <c r="EF47" s="40"/>
      <c r="EG47" s="40"/>
      <c r="EH47" s="40"/>
      <c r="EI47" s="40"/>
      <c r="EJ47" s="40"/>
      <c r="EK47" s="40"/>
      <c r="EL47" s="40"/>
      <c r="EM47" s="40"/>
      <c r="EN47" s="40"/>
      <c r="EO47" s="40"/>
      <c r="EP47" s="40"/>
      <c r="EQ47" s="40"/>
      <c r="ER47" s="40"/>
      <c r="ES47" s="40"/>
      <c r="ET47" s="40"/>
      <c r="EU47" s="40"/>
      <c r="EV47" s="40"/>
      <c r="EW47" s="40"/>
      <c r="EX47" s="40"/>
      <c r="EY47" s="40"/>
      <c r="EZ47" s="40"/>
      <c r="FA47" s="40"/>
      <c r="FB47" s="40"/>
      <c r="FC47" s="40"/>
      <c r="FD47" s="40"/>
      <c r="FE47" s="40"/>
      <c r="FF47" s="40"/>
      <c r="FG47" s="40"/>
      <c r="FH47" s="40"/>
      <c r="FI47" s="40"/>
      <c r="FJ47" s="40"/>
      <c r="FK47" s="40"/>
      <c r="FL47" s="40"/>
      <c r="FM47" s="40"/>
      <c r="FN47" s="40"/>
      <c r="FO47" s="40"/>
      <c r="FP47" s="40"/>
      <c r="FQ47" s="40"/>
      <c r="FR47" s="40"/>
      <c r="FS47" s="40"/>
      <c r="FT47" s="40"/>
      <c r="FU47" s="40"/>
      <c r="FV47" s="40"/>
      <c r="FW47" s="40"/>
      <c r="FX47" s="40"/>
      <c r="FY47" s="40"/>
      <c r="FZ47" s="40"/>
      <c r="GA47" s="40"/>
      <c r="GB47" s="40"/>
      <c r="GC47" s="40"/>
      <c r="GD47" s="40"/>
      <c r="GE47" s="40"/>
      <c r="GF47" s="40"/>
    </row>
    <row r="48" spans="1:18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8"/>
      <c r="BM48" s="38"/>
      <c r="BN48" s="38"/>
      <c r="BO48" s="38"/>
      <c r="BP48" s="38"/>
      <c r="BQ48" s="38"/>
      <c r="BR48" s="38"/>
      <c r="BS48" s="38"/>
      <c r="BT48" s="38"/>
      <c r="BU48" s="38"/>
      <c r="BV48" s="38"/>
      <c r="BW48" s="38"/>
      <c r="BX48" s="38"/>
      <c r="BY48" s="38"/>
      <c r="BZ48" s="38"/>
      <c r="CA48" s="38"/>
      <c r="CB48" s="38"/>
      <c r="CC48" s="38"/>
      <c r="CD48" s="38"/>
      <c r="CE48" s="38"/>
      <c r="CF48" s="38"/>
      <c r="CG48" s="38"/>
      <c r="CH48" s="38"/>
      <c r="CI48" s="38"/>
      <c r="CJ48" s="38"/>
      <c r="CK48" s="38"/>
      <c r="CL48" s="38"/>
      <c r="CM48" s="38"/>
      <c r="CN48" s="38"/>
      <c r="CO48" s="38"/>
      <c r="CP48" s="38"/>
      <c r="CQ48" s="38"/>
      <c r="CR48" s="38"/>
      <c r="CS48" s="38"/>
      <c r="CT48" s="38"/>
      <c r="CU48" s="38"/>
      <c r="CV48" s="38"/>
      <c r="CW48" s="38"/>
      <c r="CX48" s="38"/>
      <c r="CY48" s="38"/>
      <c r="CZ48" s="38"/>
      <c r="DA48" s="38"/>
      <c r="DB48" s="38"/>
      <c r="DC48" s="38"/>
      <c r="DD48" s="38"/>
      <c r="DE48" s="38"/>
      <c r="DF48" s="38"/>
      <c r="DG48" s="38"/>
      <c r="DH48" s="38"/>
      <c r="DI48" s="38"/>
      <c r="DJ48" s="38"/>
      <c r="DK48" s="38"/>
      <c r="DL48" s="38"/>
      <c r="DM48" s="38"/>
      <c r="DN48" s="38"/>
      <c r="DO48" s="38"/>
      <c r="DP48" s="38"/>
      <c r="DQ48" s="38"/>
      <c r="DR48" s="38"/>
      <c r="DS48" s="38"/>
      <c r="DT48" s="38"/>
      <c r="DU48" s="38"/>
      <c r="DV48" s="38"/>
      <c r="DW48" s="38"/>
      <c r="DX48" s="38"/>
      <c r="DY48" s="38"/>
      <c r="DZ48" s="38"/>
      <c r="EA48" s="38"/>
      <c r="EB48" s="38"/>
      <c r="EC48" s="38"/>
      <c r="ED48" s="38"/>
      <c r="EE48" s="38"/>
      <c r="EF48" s="38"/>
      <c r="EG48" s="38"/>
      <c r="EH48" s="38"/>
      <c r="EI48" s="38"/>
      <c r="EJ48" s="38"/>
      <c r="EK48" s="38"/>
      <c r="EL48" s="38"/>
      <c r="EM48" s="38"/>
      <c r="EN48" s="38"/>
      <c r="EO48" s="38"/>
      <c r="EP48" s="38"/>
      <c r="EQ48" s="38"/>
      <c r="ER48" s="38"/>
      <c r="ES48" s="38"/>
      <c r="ET48" s="38"/>
      <c r="EU48" s="38"/>
      <c r="EV48" s="38"/>
      <c r="EW48" s="38"/>
      <c r="EX48" s="38"/>
      <c r="EY48" s="38"/>
      <c r="EZ48" s="38"/>
      <c r="FA48" s="38"/>
      <c r="FB48" s="38"/>
      <c r="FC48" s="38"/>
      <c r="FD48" s="38"/>
      <c r="FE48" s="38"/>
      <c r="FF48" s="38"/>
      <c r="FG48" s="38"/>
      <c r="FH48" s="38"/>
      <c r="FI48" s="38"/>
      <c r="FJ48" s="38"/>
      <c r="FK48" s="38"/>
      <c r="FL48" s="38"/>
      <c r="FM48" s="38"/>
      <c r="FN48" s="38"/>
      <c r="FO48" s="38"/>
      <c r="FP48" s="38"/>
      <c r="FQ48" s="38"/>
      <c r="FR48" s="38"/>
      <c r="FS48" s="38"/>
      <c r="FT48" s="38"/>
      <c r="FU48" s="38"/>
      <c r="FV48" s="38"/>
      <c r="FW48" s="38"/>
      <c r="FX48" s="38"/>
      <c r="FY48" s="38"/>
      <c r="FZ48" s="38"/>
      <c r="GA48" s="38"/>
      <c r="GB48" s="38"/>
      <c r="GC48" s="38"/>
      <c r="GD48" s="38"/>
      <c r="GE48" s="38"/>
      <c r="GF48" s="38"/>
    </row>
  </sheetData>
  <autoFilter ref="A13:M44" xr:uid="{AD6AD362-FC1F-471D-964A-48280BC662DE}">
    <sortState xmlns:xlrd2="http://schemas.microsoft.com/office/spreadsheetml/2017/richdata2" ref="A14:M44">
      <sortCondition ref="A13:A44"/>
    </sortState>
  </autoFilter>
  <sortState xmlns:xlrd2="http://schemas.microsoft.com/office/spreadsheetml/2017/richdata2" ref="A1:B5">
    <sortCondition ref="A1:A5"/>
  </sortState>
  <conditionalFormatting sqref="D1:XFD1048576">
    <cfRule type="containsText" dxfId="17" priority="2" operator="containsText" text="PayPal">
      <formula>NOT(ISERROR(SEARCH("PayPal",D1)))</formula>
    </cfRule>
    <cfRule type="containsText" dxfId="16" priority="3" operator="containsText" text="PayID">
      <formula>NOT(ISERROR(SEARCH("PayID",D1)))</formula>
    </cfRule>
    <cfRule type="containsText" dxfId="15" priority="4" operator="containsText" text="Exiles">
      <formula>NOT(ISERROR(SEARCH("Exiles",D1)))</formula>
    </cfRule>
    <cfRule type="containsText" dxfId="14" priority="5" operator="containsText" text="Cash">
      <formula>NOT(ISERROR(SEARCH("Cash",D1)))</formula>
    </cfRule>
    <cfRule type="beginsWith" dxfId="13" priority="6" operator="beginsWith" text="No">
      <formula>LEFT(D1,LEN("No"))="No"</formula>
    </cfRule>
    <cfRule type="containsText" dxfId="12" priority="7" operator="containsText" text="Absent">
      <formula>NOT(ISERROR(SEARCH("Absent",D1)))</formula>
    </cfRule>
  </conditionalFormatting>
  <conditionalFormatting sqref="H15">
    <cfRule type="colorScale" priority="1">
      <colorScale>
        <cfvo type="min"/>
        <cfvo type="percentile" val="50"/>
        <cfvo type="max"/>
        <color rgb="FFF8696B"/>
        <color rgb="FFFFEB84"/>
        <color rgb="FF63BE7B"/>
      </colorScale>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B78C5DEF-8D20-424F-84F3-94673A364539}">
          <x14:formula1>
            <xm:f>Lists!$R$3:$R$8</xm:f>
          </x14:formula1>
          <xm:sqref>GB44 I44 N44 S44 X44 AC44 AH44 AM44 AR44 AW44 BB44 BG44 BL44 BQ44 BV44 CA44 CF44 CK44 CP44 CU44 CZ44 DE44 DJ44 DO44 DT44 DY44 ED44 EI44 EN44 ES44 EX44 FC44 FH44 FM44 FR44 FW44 D14:D44</xm:sqref>
        </x14:dataValidation>
        <x14:dataValidation type="list" allowBlank="1" showInputMessage="1" showErrorMessage="1" xr:uid="{0270E468-70C9-4742-BBB1-384493188685}">
          <x14:formula1>
            <xm:f>Lists!$R$3:$R$7</xm:f>
          </x14:formula1>
          <xm:sqref>GB14:GB43 FM14:FM43 FH14:FH43 FC14:FC43 EX14:EX43 ES14:ES43 EN14:EN43 EI14:EI43 ED14:ED43 DY14:DY43 DT14:DT43 DO14:DO43 DJ14:DJ43 DE14:DE43 CZ14:CZ43 CU14:CU43 CP14:CP43 CK14:CK43 CF14:CF43 CA14:CA43 BV14:BV43 BQ14:BQ43 BL14:BL43 BG14:BG43 BB14:BB43 AW14:AW43 AR14:AR43 AM14:AM43 AH14:AH43 AC14:AC43 X14:X43 S14:S43 N14:N43 I14:I43 FW14:FW43 FR14:FR43</xm:sqref>
        </x14:dataValidation>
        <x14:dataValidation type="list" allowBlank="1" showInputMessage="1" showErrorMessage="1" xr:uid="{86856441-3960-435F-816B-8245ADCB3D1A}">
          <x14:formula1>
            <xm:f>Lists!$S$3:$S$15</xm:f>
          </x14:formula1>
          <xm:sqref>H14:H44 GA14:GA44 FV14:FV44 FQ14:FQ44 FL14:FL44 FG14:FG44 FB14:FB44 EW14:EW44 ER14:ER44 EM14:EM44 EH14:EH44 EC14:EC44 DX14:DX44 DS14:DS44 DN14:DN44 DI14:DI44 DD14:DD44 CY14:CY44 CT14:CT44 CO14:CO44 CJ14:CJ44 CE14:CE44 BZ14:BZ44 BU14:BU44 BP14:BP44 BK14:BK44 BF14:BF44 BA14:BA44 AV14:AV44 AQ14:AQ44 AL14:AL44 AG14:AG44 AB14:AB44 W14:W44 R14:R44 M14:M44 GF14:GF44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D8B48-676D-40DE-B244-2A81BC501C34}">
  <dimension ref="A1:N38"/>
  <sheetViews>
    <sheetView workbookViewId="0">
      <selection activeCell="E30" sqref="E30"/>
    </sheetView>
  </sheetViews>
  <sheetFormatPr defaultRowHeight="15"/>
  <cols>
    <col min="2" max="2" width="9.7109375" bestFit="1" customWidth="1"/>
    <col min="3" max="3" width="9.42578125" bestFit="1" customWidth="1"/>
    <col min="4" max="4" width="9.7109375" bestFit="1" customWidth="1"/>
    <col min="5" max="5" width="9.5703125" bestFit="1" customWidth="1"/>
    <col min="10" max="10" width="9.42578125" bestFit="1" customWidth="1"/>
  </cols>
  <sheetData>
    <row r="1" spans="1:14">
      <c r="B1" s="60" t="s">
        <v>1359</v>
      </c>
      <c r="C1" s="60" t="s">
        <v>1367</v>
      </c>
      <c r="D1" s="60" t="s">
        <v>1352</v>
      </c>
      <c r="E1" s="51" t="s">
        <v>1390</v>
      </c>
      <c r="G1" s="53" t="s">
        <v>1391</v>
      </c>
      <c r="J1" s="32" t="s">
        <v>1352</v>
      </c>
      <c r="K1">
        <v>15</v>
      </c>
      <c r="M1" s="32" t="s">
        <v>1359</v>
      </c>
      <c r="N1">
        <v>15</v>
      </c>
    </row>
    <row r="2" spans="1:14">
      <c r="A2" s="41">
        <v>46054</v>
      </c>
      <c r="B2" s="50" cm="1">
        <f t="array" ref="B2">COUNTIF(
  INDEX(Attendance!$D$14:$GP$104,,
    MATCH(1,
      (MONTH(Attendance!$D$12:$GP$12)=MONTH($A2))*
      (YEAR(Attendance!$D$12:$GP$12)=YEAR($A2))*
      (Attendance!$D$13:$GP$13="Paid"),
      0)
  ),
  B$1
)*15</f>
        <v>135</v>
      </c>
      <c r="C2" s="50" cm="1">
        <f t="array" ref="C2">COUNTIF(
  INDEX(Attendance!$D$14:$GP$104,,
    MATCH(1,
      (MONTH(Attendance!$D$12:$GP$12)=MONTH($A2))*
      (YEAR(Attendance!$D$12:$GP$12)=YEAR($A2))*
      (Attendance!$D$13:$GP$13="Paid"),
      0)
  ),
  C$1
)*15</f>
        <v>60</v>
      </c>
      <c r="D2" s="50" cm="1">
        <f t="array" ref="D2">COUNTIF(
  INDEX(Attendance!$D$14:$GP$104,,
    MATCH(1,
      (MONTH(Attendance!$D$12:$GP$12)=MONTH($A2))*
      (YEAR(Attendance!$D$12:$GP$12)=YEAR($A2))*
      (Attendance!$D$13:$GP$13="Paid"),
      0)
  ),
  D$1
)*15</f>
        <v>150</v>
      </c>
      <c r="E2" s="52">
        <f>SUM(B2:D2)</f>
        <v>345</v>
      </c>
      <c r="J2" s="32" t="s">
        <v>1352</v>
      </c>
      <c r="K2">
        <v>15</v>
      </c>
      <c r="M2" s="32" t="s">
        <v>1359</v>
      </c>
      <c r="N2">
        <v>15</v>
      </c>
    </row>
    <row r="3" spans="1:14">
      <c r="A3" s="42">
        <f t="shared" ref="A3:A38" si="0">EDATE(A2, 1)</f>
        <v>46082</v>
      </c>
      <c r="B3" s="50" cm="1">
        <f t="array" ref="B3">COUNTIF(
  INDEX(Attendance!$D$14:$GP$104,,
    MATCH(1,
      (MONTH(Attendance!$D$12:$GP$12)=MONTH($A3))*
      (YEAR(Attendance!$D$12:$GP$12)=YEAR($A3))*
      (Attendance!$D$13:$GP$13="Paid"),
      0)
  ),
  B$1
)*15</f>
        <v>0</v>
      </c>
      <c r="C3" s="50" cm="1">
        <f t="array" ref="C3">COUNTIF(
  INDEX(Attendance!$D$14:$GP$104,,
    MATCH(1,
      (MONTH(Attendance!$D$12:$GP$12)=MONTH($A3))*
      (YEAR(Attendance!$D$12:$GP$12)=YEAR($A3))*
      (Attendance!$D$13:$GP$13="Paid"),
      0)
  ),
  C$1
)*15</f>
        <v>0</v>
      </c>
      <c r="D3" s="50" cm="1">
        <f t="array" ref="D3">COUNTIF(
  INDEX(Attendance!$D$14:$GP$104,,
    MATCH(1,
      (MONTH(Attendance!$D$12:$GP$12)=MONTH($A3))*
      (YEAR(Attendance!$D$12:$GP$12)=YEAR($A3))*
      (Attendance!$D$13:$GP$13="Paid"),
      0)
  ),
  D$1
)*15</f>
        <v>0</v>
      </c>
      <c r="E3" s="52">
        <f t="shared" ref="E3:E38" si="1">SUM(B3:D3)</f>
        <v>0</v>
      </c>
      <c r="J3" s="32" t="s">
        <v>1352</v>
      </c>
      <c r="K3">
        <v>15</v>
      </c>
      <c r="M3" s="32" t="s">
        <v>1359</v>
      </c>
      <c r="N3">
        <v>15</v>
      </c>
    </row>
    <row r="4" spans="1:14">
      <c r="A4" s="42">
        <f t="shared" si="0"/>
        <v>46113</v>
      </c>
      <c r="B4" s="50" cm="1">
        <f t="array" ref="B4">COUNTIF(
  INDEX(Attendance!$D$14:$GP$104,,
    MATCH(1,
      (MONTH(Attendance!$D$12:$GP$12)=MONTH($A4))*
      (YEAR(Attendance!$D$12:$GP$12)=YEAR($A4))*
      (Attendance!$D$13:$GP$13="Paid"),
      0)
  ),
  B$1
)*15</f>
        <v>0</v>
      </c>
      <c r="C4" s="50" cm="1">
        <f t="array" ref="C4">COUNTIF(
  INDEX(Attendance!$D$14:$GP$104,,
    MATCH(1,
      (MONTH(Attendance!$D$12:$GP$12)=MONTH($A4))*
      (YEAR(Attendance!$D$12:$GP$12)=YEAR($A4))*
      (Attendance!$D$13:$GP$13="Paid"),
      0)
  ),
  C$1
)*15</f>
        <v>0</v>
      </c>
      <c r="D4" s="50" cm="1">
        <f t="array" ref="D4">COUNTIF(
  INDEX(Attendance!$D$14:$GP$104,,
    MATCH(1,
      (MONTH(Attendance!$D$12:$GP$12)=MONTH($A4))*
      (YEAR(Attendance!$D$12:$GP$12)=YEAR($A4))*
      (Attendance!$D$13:$GP$13="Paid"),
      0)
  ),
  D$1
)*15</f>
        <v>0</v>
      </c>
      <c r="E4" s="52">
        <f t="shared" si="1"/>
        <v>0</v>
      </c>
      <c r="J4" s="32" t="s">
        <v>1352</v>
      </c>
      <c r="K4">
        <v>15</v>
      </c>
      <c r="M4" s="32" t="s">
        <v>1359</v>
      </c>
      <c r="N4">
        <v>15</v>
      </c>
    </row>
    <row r="5" spans="1:14">
      <c r="A5" s="42">
        <f t="shared" si="0"/>
        <v>46143</v>
      </c>
      <c r="B5" s="50" cm="1">
        <f t="array" ref="B5">COUNTIF(
  INDEX(Attendance!$D$14:$GP$104,,
    MATCH(1,
      (MONTH(Attendance!$D$12:$GP$12)=MONTH($A5))*
      (YEAR(Attendance!$D$12:$GP$12)=YEAR($A5))*
      (Attendance!$D$13:$GP$13="Paid"),
      0)
  ),
  B$1
)*15</f>
        <v>0</v>
      </c>
      <c r="C5" s="50" cm="1">
        <f t="array" ref="C5">COUNTIF(
  INDEX(Attendance!$D$14:$GP$104,,
    MATCH(1,
      (MONTH(Attendance!$D$12:$GP$12)=MONTH($A5))*
      (YEAR(Attendance!$D$12:$GP$12)=YEAR($A5))*
      (Attendance!$D$13:$GP$13="Paid"),
      0)
  ),
  C$1
)*15</f>
        <v>0</v>
      </c>
      <c r="D5" s="50" cm="1">
        <f t="array" ref="D5">COUNTIF(
  INDEX(Attendance!$D$14:$GP$104,,
    MATCH(1,
      (MONTH(Attendance!$D$12:$GP$12)=MONTH($A5))*
      (YEAR(Attendance!$D$12:$GP$12)=YEAR($A5))*
      (Attendance!$D$13:$GP$13="Paid"),
      0)
  ),
  D$1
)*15</f>
        <v>0</v>
      </c>
      <c r="E5" s="52">
        <f t="shared" si="1"/>
        <v>0</v>
      </c>
      <c r="J5" s="32" t="s">
        <v>1352</v>
      </c>
      <c r="K5">
        <v>15</v>
      </c>
      <c r="M5" s="32" t="s">
        <v>1359</v>
      </c>
      <c r="N5">
        <v>15</v>
      </c>
    </row>
    <row r="6" spans="1:14">
      <c r="A6" s="42">
        <f t="shared" si="0"/>
        <v>46174</v>
      </c>
      <c r="B6" s="50" cm="1">
        <f t="array" ref="B6">COUNTIF(
  INDEX(Attendance!$D$14:$GP$104,,
    MATCH(1,
      (MONTH(Attendance!$D$12:$GP$12)=MONTH($A6))*
      (YEAR(Attendance!$D$12:$GP$12)=YEAR($A6))*
      (Attendance!$D$13:$GP$13="Paid"),
      0)
  ),
  B$1
)*15</f>
        <v>0</v>
      </c>
      <c r="C6" s="50" cm="1">
        <f t="array" ref="C6">COUNTIF(
  INDEX(Attendance!$D$14:$GP$104,,
    MATCH(1,
      (MONTH(Attendance!$D$12:$GP$12)=MONTH($A6))*
      (YEAR(Attendance!$D$12:$GP$12)=YEAR($A6))*
      (Attendance!$D$13:$GP$13="Paid"),
      0)
  ),
  C$1
)*15</f>
        <v>0</v>
      </c>
      <c r="D6" s="50" cm="1">
        <f t="array" ref="D6">COUNTIF(
  INDEX(Attendance!$D$14:$GP$104,,
    MATCH(1,
      (MONTH(Attendance!$D$12:$GP$12)=MONTH($A6))*
      (YEAR(Attendance!$D$12:$GP$12)=YEAR($A6))*
      (Attendance!$D$13:$GP$13="Paid"),
      0)
  ),
  D$1
)*15</f>
        <v>0</v>
      </c>
      <c r="E6" s="52">
        <f t="shared" si="1"/>
        <v>0</v>
      </c>
      <c r="J6" s="32" t="s">
        <v>1352</v>
      </c>
      <c r="K6">
        <v>15</v>
      </c>
      <c r="M6" s="32" t="s">
        <v>1359</v>
      </c>
      <c r="N6">
        <v>15</v>
      </c>
    </row>
    <row r="7" spans="1:14">
      <c r="A7" s="42">
        <f t="shared" si="0"/>
        <v>46204</v>
      </c>
      <c r="B7" s="50" cm="1">
        <f t="array" ref="B7">COUNTIF(
  INDEX(Attendance!$D$14:$GP$104,,
    MATCH(1,
      (MONTH(Attendance!$D$12:$GP$12)=MONTH($A7))*
      (YEAR(Attendance!$D$12:$GP$12)=YEAR($A7))*
      (Attendance!$D$13:$GP$13="Paid"),
      0)
  ),
  B$1
)*15</f>
        <v>0</v>
      </c>
      <c r="C7" s="50" cm="1">
        <f t="array" ref="C7">COUNTIF(
  INDEX(Attendance!$D$14:$GP$104,,
    MATCH(1,
      (MONTH(Attendance!$D$12:$GP$12)=MONTH($A7))*
      (YEAR(Attendance!$D$12:$GP$12)=YEAR($A7))*
      (Attendance!$D$13:$GP$13="Paid"),
      0)
  ),
  C$1
)*15</f>
        <v>0</v>
      </c>
      <c r="D7" s="50" cm="1">
        <f t="array" ref="D7">COUNTIF(
  INDEX(Attendance!$D$14:$GP$104,,
    MATCH(1,
      (MONTH(Attendance!$D$12:$GP$12)=MONTH($A7))*
      (YEAR(Attendance!$D$12:$GP$12)=YEAR($A7))*
      (Attendance!$D$13:$GP$13="Paid"),
      0)
  ),
  D$1
)*15</f>
        <v>0</v>
      </c>
      <c r="E7" s="52">
        <f t="shared" si="1"/>
        <v>0</v>
      </c>
      <c r="J7" s="32" t="s">
        <v>1352</v>
      </c>
      <c r="K7">
        <v>15</v>
      </c>
      <c r="M7" s="32" t="s">
        <v>1359</v>
      </c>
      <c r="N7">
        <v>15</v>
      </c>
    </row>
    <row r="8" spans="1:14">
      <c r="A8" s="42">
        <f t="shared" si="0"/>
        <v>46235</v>
      </c>
      <c r="B8" s="50" cm="1">
        <f t="array" ref="B8">COUNTIF(
  INDEX(Attendance!$D$14:$GP$104,,
    MATCH(1,
      (MONTH(Attendance!$D$12:$GP$12)=MONTH($A8))*
      (YEAR(Attendance!$D$12:$GP$12)=YEAR($A8))*
      (Attendance!$D$13:$GP$13="Paid"),
      0)
  ),
  B$1
)*15</f>
        <v>0</v>
      </c>
      <c r="C8" s="50" cm="1">
        <f t="array" ref="C8">COUNTIF(
  INDEX(Attendance!$D$14:$GP$104,,
    MATCH(1,
      (MONTH(Attendance!$D$12:$GP$12)=MONTH($A8))*
      (YEAR(Attendance!$D$12:$GP$12)=YEAR($A8))*
      (Attendance!$D$13:$GP$13="Paid"),
      0)
  ),
  C$1
)*15</f>
        <v>0</v>
      </c>
      <c r="D8" s="50" cm="1">
        <f t="array" ref="D8">COUNTIF(
  INDEX(Attendance!$D$14:$GP$104,,
    MATCH(1,
      (MONTH(Attendance!$D$12:$GP$12)=MONTH($A8))*
      (YEAR(Attendance!$D$12:$GP$12)=YEAR($A8))*
      (Attendance!$D$13:$GP$13="Paid"),
      0)
  ),
  D$1
)*15</f>
        <v>0</v>
      </c>
      <c r="E8" s="52">
        <f t="shared" si="1"/>
        <v>0</v>
      </c>
      <c r="J8" s="32" t="s">
        <v>1352</v>
      </c>
      <c r="K8">
        <v>15</v>
      </c>
      <c r="M8" s="32" t="s">
        <v>1359</v>
      </c>
      <c r="N8">
        <v>15</v>
      </c>
    </row>
    <row r="9" spans="1:14">
      <c r="A9" s="42">
        <f t="shared" si="0"/>
        <v>46266</v>
      </c>
      <c r="B9" s="50" cm="1">
        <f t="array" ref="B9">COUNTIF(
  INDEX(Attendance!$D$14:$GP$104,,
    MATCH(1,
      (MONTH(Attendance!$D$12:$GP$12)=MONTH($A9))*
      (YEAR(Attendance!$D$12:$GP$12)=YEAR($A9))*
      (Attendance!$D$13:$GP$13="Paid"),
      0)
  ),
  B$1
)*15</f>
        <v>0</v>
      </c>
      <c r="C9" s="50" cm="1">
        <f t="array" ref="C9">COUNTIF(
  INDEX(Attendance!$D$14:$GP$104,,
    MATCH(1,
      (MONTH(Attendance!$D$12:$GP$12)=MONTH($A9))*
      (YEAR(Attendance!$D$12:$GP$12)=YEAR($A9))*
      (Attendance!$D$13:$GP$13="Paid"),
      0)
  ),
  C$1
)*15</f>
        <v>0</v>
      </c>
      <c r="D9" s="50" cm="1">
        <f t="array" ref="D9">COUNTIF(
  INDEX(Attendance!$D$14:$GP$104,,
    MATCH(1,
      (MONTH(Attendance!$D$12:$GP$12)=MONTH($A9))*
      (YEAR(Attendance!$D$12:$GP$12)=YEAR($A9))*
      (Attendance!$D$13:$GP$13="Paid"),
      0)
  ),
  D$1
)*15</f>
        <v>0</v>
      </c>
      <c r="E9" s="52">
        <f t="shared" si="1"/>
        <v>0</v>
      </c>
      <c r="J9" s="32" t="s">
        <v>1352</v>
      </c>
      <c r="K9">
        <v>15</v>
      </c>
      <c r="M9" s="32" t="s">
        <v>1359</v>
      </c>
      <c r="N9">
        <v>15</v>
      </c>
    </row>
    <row r="10" spans="1:14">
      <c r="A10" s="42">
        <f t="shared" si="0"/>
        <v>46296</v>
      </c>
      <c r="B10" s="50" cm="1">
        <f t="array" ref="B10">COUNTIF(
  INDEX(Attendance!$D$14:$GP$104,,
    MATCH(1,
      (MONTH(Attendance!$D$12:$GP$12)=MONTH($A10))*
      (YEAR(Attendance!$D$12:$GP$12)=YEAR($A10))*
      (Attendance!$D$13:$GP$13="Paid"),
      0)
  ),
  B$1
)*15</f>
        <v>0</v>
      </c>
      <c r="C10" s="50" cm="1">
        <f t="array" ref="C10">COUNTIF(
  INDEX(Attendance!$D$14:$GP$104,,
    MATCH(1,
      (MONTH(Attendance!$D$12:$GP$12)=MONTH($A10))*
      (YEAR(Attendance!$D$12:$GP$12)=YEAR($A10))*
      (Attendance!$D$13:$GP$13="Paid"),
      0)
  ),
  C$1
)*15</f>
        <v>0</v>
      </c>
      <c r="D10" s="50" cm="1">
        <f t="array" ref="D10">COUNTIF(
  INDEX(Attendance!$D$14:$GP$104,,
    MATCH(1,
      (MONTH(Attendance!$D$12:$GP$12)=MONTH($A10))*
      (YEAR(Attendance!$D$12:$GP$12)=YEAR($A10))*
      (Attendance!$D$13:$GP$13="Paid"),
      0)
  ),
  D$1
)*15</f>
        <v>0</v>
      </c>
      <c r="E10" s="52">
        <f t="shared" si="1"/>
        <v>0</v>
      </c>
      <c r="J10" s="32" t="s">
        <v>1352</v>
      </c>
      <c r="K10">
        <v>15</v>
      </c>
      <c r="M10" s="32" t="s">
        <v>1359</v>
      </c>
      <c r="N10">
        <v>15</v>
      </c>
    </row>
    <row r="11" spans="1:14">
      <c r="A11" s="42">
        <f t="shared" si="0"/>
        <v>46327</v>
      </c>
      <c r="B11" s="50" cm="1">
        <f t="array" ref="B11">COUNTIF(
  INDEX(Attendance!$D$14:$GP$104,,
    MATCH(1,
      (MONTH(Attendance!$D$12:$GP$12)=MONTH($A11))*
      (YEAR(Attendance!$D$12:$GP$12)=YEAR($A11))*
      (Attendance!$D$13:$GP$13="Paid"),
      0)
  ),
  B$1
)*15</f>
        <v>0</v>
      </c>
      <c r="C11" s="50" cm="1">
        <f t="array" ref="C11">COUNTIF(
  INDEX(Attendance!$D$14:$GP$104,,
    MATCH(1,
      (MONTH(Attendance!$D$12:$GP$12)=MONTH($A11))*
      (YEAR(Attendance!$D$12:$GP$12)=YEAR($A11))*
      (Attendance!$D$13:$GP$13="Paid"),
      0)
  ),
  C$1
)*15</f>
        <v>0</v>
      </c>
      <c r="D11" s="50" cm="1">
        <f t="array" ref="D11">COUNTIF(
  INDEX(Attendance!$D$14:$GP$104,,
    MATCH(1,
      (MONTH(Attendance!$D$12:$GP$12)=MONTH($A11))*
      (YEAR(Attendance!$D$12:$GP$12)=YEAR($A11))*
      (Attendance!$D$13:$GP$13="Paid"),
      0)
  ),
  D$1
)*15</f>
        <v>0</v>
      </c>
      <c r="E11" s="52">
        <f t="shared" si="1"/>
        <v>0</v>
      </c>
      <c r="J11" s="32" t="s">
        <v>1352</v>
      </c>
      <c r="K11">
        <v>15</v>
      </c>
      <c r="M11" s="32" t="s">
        <v>1367</v>
      </c>
      <c r="N11">
        <v>15</v>
      </c>
    </row>
    <row r="12" spans="1:14">
      <c r="A12" s="42">
        <f t="shared" si="0"/>
        <v>46357</v>
      </c>
      <c r="B12" s="50" cm="1">
        <f t="array" ref="B12">COUNTIF(
  INDEX(Attendance!$D$14:$GP$104,,
    MATCH(1,
      (MONTH(Attendance!$D$12:$GP$12)=MONTH($A12))*
      (YEAR(Attendance!$D$12:$GP$12)=YEAR($A12))*
      (Attendance!$D$13:$GP$13="Paid"),
      0)
  ),
  B$1
)*15</f>
        <v>0</v>
      </c>
      <c r="C12" s="50" cm="1">
        <f t="array" ref="C12">COUNTIF(
  INDEX(Attendance!$D$14:$GP$104,,
    MATCH(1,
      (MONTH(Attendance!$D$12:$GP$12)=MONTH($A12))*
      (YEAR(Attendance!$D$12:$GP$12)=YEAR($A12))*
      (Attendance!$D$13:$GP$13="Paid"),
      0)
  ),
  C$1
)*15</f>
        <v>0</v>
      </c>
      <c r="D12" s="50" cm="1">
        <f t="array" ref="D12">COUNTIF(
  INDEX(Attendance!$D$14:$GP$104,,
    MATCH(1,
      (MONTH(Attendance!$D$12:$GP$12)=MONTH($A12))*
      (YEAR(Attendance!$D$12:$GP$12)=YEAR($A12))*
      (Attendance!$D$13:$GP$13="Paid"),
      0)
  ),
  D$1
)*15</f>
        <v>0</v>
      </c>
      <c r="E12" s="52">
        <f t="shared" si="1"/>
        <v>0</v>
      </c>
      <c r="J12" s="32" t="s">
        <v>1352</v>
      </c>
      <c r="K12">
        <v>15</v>
      </c>
      <c r="M12" s="32" t="s">
        <v>1367</v>
      </c>
      <c r="N12">
        <v>15</v>
      </c>
    </row>
    <row r="13" spans="1:14" ht="15.75" thickBot="1">
      <c r="A13" s="42">
        <f t="shared" si="0"/>
        <v>46388</v>
      </c>
      <c r="B13" s="50" cm="1">
        <f t="array" ref="B13">COUNTIF(
  INDEX(Attendance!$D$14:$GP$104,,
    MATCH(1,
      (MONTH(Attendance!$D$12:$GP$12)=MONTH($A13))*
      (YEAR(Attendance!$D$12:$GP$12)=YEAR($A13))*
      (Attendance!$D$13:$GP$13="Paid"),
      0)
  ),
  B$1
)*15</f>
        <v>0</v>
      </c>
      <c r="C13" s="50" cm="1">
        <f t="array" ref="C13">COUNTIF(
  INDEX(Attendance!$D$14:$GP$104,,
    MATCH(1,
      (MONTH(Attendance!$D$12:$GP$12)=MONTH($A13))*
      (YEAR(Attendance!$D$12:$GP$12)=YEAR($A13))*
      (Attendance!$D$13:$GP$13="Paid"),
      0)
  ),
  C$1
)*15</f>
        <v>0</v>
      </c>
      <c r="D13" s="50" cm="1">
        <f t="array" ref="D13">COUNTIF(
  INDEX(Attendance!$D$14:$GP$104,,
    MATCH(1,
      (MONTH(Attendance!$D$12:$GP$12)=MONTH($A13))*
      (YEAR(Attendance!$D$12:$GP$12)=YEAR($A13))*
      (Attendance!$D$13:$GP$13="Paid"),
      0)
  ),
  D$1
)*15</f>
        <v>0</v>
      </c>
      <c r="E13" s="52">
        <f t="shared" si="1"/>
        <v>0</v>
      </c>
      <c r="J13" s="32" t="s">
        <v>1352</v>
      </c>
      <c r="K13">
        <v>15</v>
      </c>
      <c r="M13" s="36" t="s">
        <v>1367</v>
      </c>
      <c r="N13">
        <v>15</v>
      </c>
    </row>
    <row r="14" spans="1:14">
      <c r="A14" s="42">
        <f t="shared" si="0"/>
        <v>46419</v>
      </c>
      <c r="B14" s="50" cm="1">
        <f t="array" ref="B14">COUNTIF(
  INDEX(Attendance!$D$14:$GP$104,,
    MATCH(1,
      (MONTH(Attendance!$D$12:$GP$12)=MONTH($A14))*
      (YEAR(Attendance!$D$12:$GP$12)=YEAR($A14))*
      (Attendance!$D$13:$GP$13="Paid"),
      0)
  ),
  B$1
)*15</f>
        <v>0</v>
      </c>
      <c r="C14" s="50" cm="1">
        <f t="array" ref="C14">COUNTIF(
  INDEX(Attendance!$D$14:$GP$104,,
    MATCH(1,
      (MONTH(Attendance!$D$12:$GP$12)=MONTH($A14))*
      (YEAR(Attendance!$D$12:$GP$12)=YEAR($A14))*
      (Attendance!$D$13:$GP$13="Paid"),
      0)
  ),
  C$1
)*15</f>
        <v>0</v>
      </c>
      <c r="D14" s="50" cm="1">
        <f t="array" ref="D14">COUNTIF(
  INDEX(Attendance!$D$14:$GP$104,,
    MATCH(1,
      (MONTH(Attendance!$D$12:$GP$12)=MONTH($A14))*
      (YEAR(Attendance!$D$12:$GP$12)=YEAR($A14))*
      (Attendance!$D$13:$GP$13="Paid"),
      0)
  ),
  D$1
)*15</f>
        <v>0</v>
      </c>
      <c r="E14" s="52">
        <f t="shared" si="1"/>
        <v>0</v>
      </c>
      <c r="J14" s="32" t="s">
        <v>1352</v>
      </c>
      <c r="K14">
        <v>15</v>
      </c>
      <c r="M14" t="s">
        <v>1352</v>
      </c>
      <c r="N14">
        <v>95</v>
      </c>
    </row>
    <row r="15" spans="1:14">
      <c r="A15" s="42">
        <f t="shared" si="0"/>
        <v>46447</v>
      </c>
      <c r="B15" s="50" cm="1">
        <f t="array" ref="B15">COUNTIF(
  INDEX(Attendance!$D$14:$GP$104,,
    MATCH(1,
      (MONTH(Attendance!$D$12:$GP$12)=MONTH($A15))*
      (YEAR(Attendance!$D$12:$GP$12)=YEAR($A15))*
      (Attendance!$D$13:$GP$13="Paid"),
      0)
  ),
  B$1
)*15</f>
        <v>0</v>
      </c>
      <c r="C15" s="50" cm="1">
        <f t="array" ref="C15">COUNTIF(
  INDEX(Attendance!$D$14:$GP$104,,
    MATCH(1,
      (MONTH(Attendance!$D$12:$GP$12)=MONTH($A15))*
      (YEAR(Attendance!$D$12:$GP$12)=YEAR($A15))*
      (Attendance!$D$13:$GP$13="Paid"),
      0)
  ),
  C$1
)*15</f>
        <v>0</v>
      </c>
      <c r="D15" s="50" cm="1">
        <f t="array" ref="D15">COUNTIF(
  INDEX(Attendance!$D$14:$GP$104,,
    MATCH(1,
      (MONTH(Attendance!$D$12:$GP$12)=MONTH($A15))*
      (YEAR(Attendance!$D$12:$GP$12)=YEAR($A15))*
      (Attendance!$D$13:$GP$13="Paid"),
      0)
  ),
  D$1
)*15</f>
        <v>0</v>
      </c>
      <c r="E15" s="52">
        <f t="shared" si="1"/>
        <v>0</v>
      </c>
      <c r="J15" s="32" t="s">
        <v>1359</v>
      </c>
      <c r="K15">
        <v>15</v>
      </c>
      <c r="M15" t="s">
        <v>1390</v>
      </c>
      <c r="N15">
        <f>SUM(N1:N14)</f>
        <v>290</v>
      </c>
    </row>
    <row r="16" spans="1:14">
      <c r="A16" s="42">
        <f t="shared" si="0"/>
        <v>46478</v>
      </c>
      <c r="B16" s="50" cm="1">
        <f t="array" ref="B16">COUNTIF(
  INDEX(Attendance!$D$14:$GP$104,,
    MATCH(1,
      (MONTH(Attendance!$D$12:$GP$12)=MONTH($A16))*
      (YEAR(Attendance!$D$12:$GP$12)=YEAR($A16))*
      (Attendance!$D$13:$GP$13="Paid"),
      0)
  ),
  B$1
)*15</f>
        <v>0</v>
      </c>
      <c r="C16" s="50" cm="1">
        <f t="array" ref="C16">COUNTIF(
  INDEX(Attendance!$D$14:$GP$104,,
    MATCH(1,
      (MONTH(Attendance!$D$12:$GP$12)=MONTH($A16))*
      (YEAR(Attendance!$D$12:$GP$12)=YEAR($A16))*
      (Attendance!$D$13:$GP$13="Paid"),
      0)
  ),
  C$1
)*15</f>
        <v>0</v>
      </c>
      <c r="D16" s="50" cm="1">
        <f t="array" ref="D16">COUNTIF(
  INDEX(Attendance!$D$14:$GP$104,,
    MATCH(1,
      (MONTH(Attendance!$D$12:$GP$12)=MONTH($A16))*
      (YEAR(Attendance!$D$12:$GP$12)=YEAR($A16))*
      (Attendance!$D$13:$GP$13="Paid"),
      0)
  ),
  D$1
)*15</f>
        <v>0</v>
      </c>
      <c r="E16" s="52">
        <f t="shared" si="1"/>
        <v>0</v>
      </c>
      <c r="J16" s="32" t="s">
        <v>1359</v>
      </c>
      <c r="K16">
        <v>15</v>
      </c>
      <c r="M16" t="s">
        <v>1356</v>
      </c>
      <c r="N16">
        <v>-165</v>
      </c>
    </row>
    <row r="17" spans="1:14">
      <c r="A17" s="42">
        <f t="shared" si="0"/>
        <v>46508</v>
      </c>
      <c r="B17" s="50" cm="1">
        <f t="array" ref="B17">COUNTIF(
  INDEX(Attendance!$D$14:$GP$104,,
    MATCH(1,
      (MONTH(Attendance!$D$12:$GP$12)=MONTH($A17))*
      (YEAR(Attendance!$D$12:$GP$12)=YEAR($A17))*
      (Attendance!$D$13:$GP$13="Paid"),
      0)
  ),
  B$1
)*15</f>
        <v>0</v>
      </c>
      <c r="C17" s="50" cm="1">
        <f t="array" ref="C17">COUNTIF(
  INDEX(Attendance!$D$14:$GP$104,,
    MATCH(1,
      (MONTH(Attendance!$D$12:$GP$12)=MONTH($A17))*
      (YEAR(Attendance!$D$12:$GP$12)=YEAR($A17))*
      (Attendance!$D$13:$GP$13="Paid"),
      0)
  ),
  C$1
)*15</f>
        <v>0</v>
      </c>
      <c r="D17" s="50" cm="1">
        <f t="array" ref="D17">COUNTIF(
  INDEX(Attendance!$D$14:$GP$104,,
    MATCH(1,
      (MONTH(Attendance!$D$12:$GP$12)=MONTH($A17))*
      (YEAR(Attendance!$D$12:$GP$12)=YEAR($A17))*
      (Attendance!$D$13:$GP$13="Paid"),
      0)
  ),
  D$1
)*15</f>
        <v>0</v>
      </c>
      <c r="E17" s="52">
        <f t="shared" si="1"/>
        <v>0</v>
      </c>
      <c r="J17" s="32" t="s">
        <v>1359</v>
      </c>
      <c r="K17">
        <v>15</v>
      </c>
      <c r="N17">
        <f>SUM(N15:N16)</f>
        <v>125</v>
      </c>
    </row>
    <row r="18" spans="1:14">
      <c r="A18" s="42">
        <f t="shared" si="0"/>
        <v>46539</v>
      </c>
      <c r="B18" s="50" cm="1">
        <f t="array" ref="B18">COUNTIF(
  INDEX(Attendance!$D$14:$GP$104,,
    MATCH(1,
      (MONTH(Attendance!$D$12:$GP$12)=MONTH($A18))*
      (YEAR(Attendance!$D$12:$GP$12)=YEAR($A18))*
      (Attendance!$D$13:$GP$13="Paid"),
      0)
  ),
  B$1
)*15</f>
        <v>0</v>
      </c>
      <c r="C18" s="50" cm="1">
        <f t="array" ref="C18">COUNTIF(
  INDEX(Attendance!$D$14:$GP$104,,
    MATCH(1,
      (MONTH(Attendance!$D$12:$GP$12)=MONTH($A18))*
      (YEAR(Attendance!$D$12:$GP$12)=YEAR($A18))*
      (Attendance!$D$13:$GP$13="Paid"),
      0)
  ),
  C$1
)*15</f>
        <v>0</v>
      </c>
      <c r="D18" s="50" cm="1">
        <f t="array" ref="D18">COUNTIF(
  INDEX(Attendance!$D$14:$GP$104,,
    MATCH(1,
      (MONTH(Attendance!$D$12:$GP$12)=MONTH($A18))*
      (YEAR(Attendance!$D$12:$GP$12)=YEAR($A18))*
      (Attendance!$D$13:$GP$13="Paid"),
      0)
  ),
  D$1
)*15</f>
        <v>0</v>
      </c>
      <c r="E18" s="52">
        <f t="shared" si="1"/>
        <v>0</v>
      </c>
      <c r="J18" s="32" t="s">
        <v>1359</v>
      </c>
      <c r="K18">
        <v>15</v>
      </c>
      <c r="M18" t="s">
        <v>1392</v>
      </c>
      <c r="N18">
        <v>-85</v>
      </c>
    </row>
    <row r="19" spans="1:14">
      <c r="A19" s="42">
        <f t="shared" si="0"/>
        <v>46569</v>
      </c>
      <c r="B19" s="50" cm="1">
        <f t="array" ref="B19">COUNTIF(
  INDEX(Attendance!$D$14:$GP$104,,
    MATCH(1,
      (MONTH(Attendance!$D$12:$GP$12)=MONTH($A19))*
      (YEAR(Attendance!$D$12:$GP$12)=YEAR($A19))*
      (Attendance!$D$13:$GP$13="Paid"),
      0)
  ),
  B$1
)*15</f>
        <v>0</v>
      </c>
      <c r="C19" s="50" cm="1">
        <f t="array" ref="C19">COUNTIF(
  INDEX(Attendance!$D$14:$GP$104,,
    MATCH(1,
      (MONTH(Attendance!$D$12:$GP$12)=MONTH($A19))*
      (YEAR(Attendance!$D$12:$GP$12)=YEAR($A19))*
      (Attendance!$D$13:$GP$13="Paid"),
      0)
  ),
  C$1
)*15</f>
        <v>0</v>
      </c>
      <c r="D19" s="50" cm="1">
        <f t="array" ref="D19">COUNTIF(
  INDEX(Attendance!$D$14:$GP$104,,
    MATCH(1,
      (MONTH(Attendance!$D$12:$GP$12)=MONTH($A19))*
      (YEAR(Attendance!$D$12:$GP$12)=YEAR($A19))*
      (Attendance!$D$13:$GP$13="Paid"),
      0)
  ),
  D$1
)*15</f>
        <v>0</v>
      </c>
      <c r="E19" s="52">
        <f t="shared" si="1"/>
        <v>0</v>
      </c>
      <c r="J19" s="32" t="s">
        <v>1359</v>
      </c>
      <c r="K19">
        <v>15</v>
      </c>
      <c r="M19" t="s">
        <v>1393</v>
      </c>
      <c r="N19">
        <v>-16</v>
      </c>
    </row>
    <row r="20" spans="1:14">
      <c r="A20" s="42">
        <f t="shared" si="0"/>
        <v>46600</v>
      </c>
      <c r="B20" s="50" cm="1">
        <f t="array" ref="B20">COUNTIF(
  INDEX(Attendance!$D$14:$GP$104,,
    MATCH(1,
      (MONTH(Attendance!$D$12:$GP$12)=MONTH($A20))*
      (YEAR(Attendance!$D$12:$GP$12)=YEAR($A20))*
      (Attendance!$D$13:$GP$13="Paid"),
      0)
  ),
  B$1
)*15</f>
        <v>0</v>
      </c>
      <c r="C20" s="50" cm="1">
        <f t="array" ref="C20">COUNTIF(
  INDEX(Attendance!$D$14:$GP$104,,
    MATCH(1,
      (MONTH(Attendance!$D$12:$GP$12)=MONTH($A20))*
      (YEAR(Attendance!$D$12:$GP$12)=YEAR($A20))*
      (Attendance!$D$13:$GP$13="Paid"),
      0)
  ),
  C$1
)*15</f>
        <v>0</v>
      </c>
      <c r="D20" s="50" cm="1">
        <f t="array" ref="D20">COUNTIF(
  INDEX(Attendance!$D$14:$GP$104,,
    MATCH(1,
      (MONTH(Attendance!$D$12:$GP$12)=MONTH($A20))*
      (YEAR(Attendance!$D$12:$GP$12)=YEAR($A20))*
      (Attendance!$D$13:$GP$13="Paid"),
      0)
  ),
  D$1
)*15</f>
        <v>0</v>
      </c>
      <c r="E20" s="52">
        <f t="shared" si="1"/>
        <v>0</v>
      </c>
      <c r="J20" s="32" t="s">
        <v>1359</v>
      </c>
      <c r="K20">
        <v>15</v>
      </c>
      <c r="N20">
        <f>SUM(N17:N19)</f>
        <v>24</v>
      </c>
    </row>
    <row r="21" spans="1:14">
      <c r="A21" s="42">
        <f t="shared" si="0"/>
        <v>46631</v>
      </c>
      <c r="B21" s="50" cm="1">
        <f t="array" ref="B21">COUNTIF(
  INDEX(Attendance!$D$14:$GP$104,,
    MATCH(1,
      (MONTH(Attendance!$D$12:$GP$12)=MONTH($A21))*
      (YEAR(Attendance!$D$12:$GP$12)=YEAR($A21))*
      (Attendance!$D$13:$GP$13="Paid"),
      0)
  ),
  B$1
)*15</f>
        <v>0</v>
      </c>
      <c r="C21" s="50" cm="1">
        <f t="array" ref="C21">COUNTIF(
  INDEX(Attendance!$D$14:$GP$104,,
    MATCH(1,
      (MONTH(Attendance!$D$12:$GP$12)=MONTH($A21))*
      (YEAR(Attendance!$D$12:$GP$12)=YEAR($A21))*
      (Attendance!$D$13:$GP$13="Paid"),
      0)
  ),
  C$1
)*15</f>
        <v>0</v>
      </c>
      <c r="D21" s="50" cm="1">
        <f t="array" ref="D21">COUNTIF(
  INDEX(Attendance!$D$14:$GP$104,,
    MATCH(1,
      (MONTH(Attendance!$D$12:$GP$12)=MONTH($A21))*
      (YEAR(Attendance!$D$12:$GP$12)=YEAR($A21))*
      (Attendance!$D$13:$GP$13="Paid"),
      0)
  ),
  D$1
)*15</f>
        <v>0</v>
      </c>
      <c r="E21" s="52">
        <f t="shared" si="1"/>
        <v>0</v>
      </c>
      <c r="J21" s="32" t="s">
        <v>1359</v>
      </c>
      <c r="K21">
        <v>15</v>
      </c>
    </row>
    <row r="22" spans="1:14">
      <c r="A22" s="42">
        <f t="shared" si="0"/>
        <v>46661</v>
      </c>
      <c r="B22" s="50" cm="1">
        <f t="array" ref="B22">COUNTIF(
  INDEX(Attendance!$D$14:$GP$104,,
    MATCH(1,
      (MONTH(Attendance!$D$12:$GP$12)=MONTH($A22))*
      (YEAR(Attendance!$D$12:$GP$12)=YEAR($A22))*
      (Attendance!$D$13:$GP$13="Paid"),
      0)
  ),
  B$1
)*15</f>
        <v>0</v>
      </c>
      <c r="C22" s="50" cm="1">
        <f t="array" ref="C22">COUNTIF(
  INDEX(Attendance!$D$14:$GP$104,,
    MATCH(1,
      (MONTH(Attendance!$D$12:$GP$12)=MONTH($A22))*
      (YEAR(Attendance!$D$12:$GP$12)=YEAR($A22))*
      (Attendance!$D$13:$GP$13="Paid"),
      0)
  ),
  C$1
)*15</f>
        <v>0</v>
      </c>
      <c r="D22" s="50" cm="1">
        <f t="array" ref="D22">COUNTIF(
  INDEX(Attendance!$D$14:$GP$104,,
    MATCH(1,
      (MONTH(Attendance!$D$12:$GP$12)=MONTH($A22))*
      (YEAR(Attendance!$D$12:$GP$12)=YEAR($A22))*
      (Attendance!$D$13:$GP$13="Paid"),
      0)
  ),
  D$1
)*15</f>
        <v>0</v>
      </c>
      <c r="E22" s="52">
        <f t="shared" si="1"/>
        <v>0</v>
      </c>
      <c r="J22" s="32" t="s">
        <v>1359</v>
      </c>
      <c r="K22">
        <v>15</v>
      </c>
    </row>
    <row r="23" spans="1:14">
      <c r="A23" s="42">
        <f t="shared" si="0"/>
        <v>46692</v>
      </c>
      <c r="B23" s="50" cm="1">
        <f t="array" ref="B23">COUNTIF(
  INDEX(Attendance!$D$14:$GP$104,,
    MATCH(1,
      (MONTH(Attendance!$D$12:$GP$12)=MONTH($A23))*
      (YEAR(Attendance!$D$12:$GP$12)=YEAR($A23))*
      (Attendance!$D$13:$GP$13="Paid"),
      0)
  ),
  B$1
)*15</f>
        <v>0</v>
      </c>
      <c r="C23" s="50" cm="1">
        <f t="array" ref="C23">COUNTIF(
  INDEX(Attendance!$D$14:$GP$104,,
    MATCH(1,
      (MONTH(Attendance!$D$12:$GP$12)=MONTH($A23))*
      (YEAR(Attendance!$D$12:$GP$12)=YEAR($A23))*
      (Attendance!$D$13:$GP$13="Paid"),
      0)
  ),
  C$1
)*15</f>
        <v>0</v>
      </c>
      <c r="D23" s="50" cm="1">
        <f t="array" ref="D23">COUNTIF(
  INDEX(Attendance!$D$14:$GP$104,,
    MATCH(1,
      (MONTH(Attendance!$D$12:$GP$12)=MONTH($A23))*
      (YEAR(Attendance!$D$12:$GP$12)=YEAR($A23))*
      (Attendance!$D$13:$GP$13="Paid"),
      0)
  ),
  D$1
)*15</f>
        <v>0</v>
      </c>
      <c r="E23" s="52">
        <f t="shared" si="1"/>
        <v>0</v>
      </c>
      <c r="J23" s="32" t="s">
        <v>1359</v>
      </c>
      <c r="K23">
        <v>15</v>
      </c>
    </row>
    <row r="24" spans="1:14">
      <c r="A24" s="42">
        <f t="shared" si="0"/>
        <v>46722</v>
      </c>
      <c r="B24" s="50" cm="1">
        <f t="array" ref="B24">COUNTIF(
  INDEX(Attendance!$D$14:$GP$104,,
    MATCH(1,
      (MONTH(Attendance!$D$12:$GP$12)=MONTH($A24))*
      (YEAR(Attendance!$D$12:$GP$12)=YEAR($A24))*
      (Attendance!$D$13:$GP$13="Paid"),
      0)
  ),
  B$1
)*15</f>
        <v>0</v>
      </c>
      <c r="C24" s="50" cm="1">
        <f t="array" ref="C24">COUNTIF(
  INDEX(Attendance!$D$14:$GP$104,,
    MATCH(1,
      (MONTH(Attendance!$D$12:$GP$12)=MONTH($A24))*
      (YEAR(Attendance!$D$12:$GP$12)=YEAR($A24))*
      (Attendance!$D$13:$GP$13="Paid"),
      0)
  ),
  C$1
)*15</f>
        <v>0</v>
      </c>
      <c r="D24" s="50" cm="1">
        <f t="array" ref="D24">COUNTIF(
  INDEX(Attendance!$D$14:$GP$104,,
    MATCH(1,
      (MONTH(Attendance!$D$12:$GP$12)=MONTH($A24))*
      (YEAR(Attendance!$D$12:$GP$12)=YEAR($A24))*
      (Attendance!$D$13:$GP$13="Paid"),
      0)
  ),
  D$1
)*15</f>
        <v>0</v>
      </c>
      <c r="E24" s="52">
        <f t="shared" si="1"/>
        <v>0</v>
      </c>
      <c r="J24" s="32" t="s">
        <v>1359</v>
      </c>
      <c r="K24">
        <v>15</v>
      </c>
    </row>
    <row r="25" spans="1:14">
      <c r="A25" s="42">
        <f t="shared" si="0"/>
        <v>46753</v>
      </c>
      <c r="B25" s="50" cm="1">
        <f t="array" ref="B25">COUNTIF(
  INDEX(Attendance!$D$14:$GP$104,,
    MATCH(1,
      (MONTH(Attendance!$D$12:$GP$12)=MONTH($A25))*
      (YEAR(Attendance!$D$12:$GP$12)=YEAR($A25))*
      (Attendance!$D$13:$GP$13="Paid"),
      0)
  ),
  B$1
)*15</f>
        <v>0</v>
      </c>
      <c r="C25" s="50" cm="1">
        <f t="array" ref="C25">COUNTIF(
  INDEX(Attendance!$D$14:$GP$104,,
    MATCH(1,
      (MONTH(Attendance!$D$12:$GP$12)=MONTH($A25))*
      (YEAR(Attendance!$D$12:$GP$12)=YEAR($A25))*
      (Attendance!$D$13:$GP$13="Paid"),
      0)
  ),
  C$1
)*15</f>
        <v>0</v>
      </c>
      <c r="D25" s="50" cm="1">
        <f t="array" ref="D25">COUNTIF(
  INDEX(Attendance!$D$14:$GP$104,,
    MATCH(1,
      (MONTH(Attendance!$D$12:$GP$12)=MONTH($A25))*
      (YEAR(Attendance!$D$12:$GP$12)=YEAR($A25))*
      (Attendance!$D$13:$GP$13="Paid"),
      0)
  ),
  D$1
)*15</f>
        <v>0</v>
      </c>
      <c r="E25" s="52">
        <f t="shared" si="1"/>
        <v>0</v>
      </c>
      <c r="J25" s="32" t="s">
        <v>1367</v>
      </c>
      <c r="K25">
        <v>15</v>
      </c>
    </row>
    <row r="26" spans="1:14">
      <c r="A26" s="42">
        <f t="shared" si="0"/>
        <v>46784</v>
      </c>
      <c r="B26" s="50" cm="1">
        <f t="array" ref="B26">COUNTIF(
  INDEX(Attendance!$D$14:$GP$104,,
    MATCH(1,
      (MONTH(Attendance!$D$12:$GP$12)=MONTH($A26))*
      (YEAR(Attendance!$D$12:$GP$12)=YEAR($A26))*
      (Attendance!$D$13:$GP$13="Paid"),
      0)
  ),
  B$1
)*15</f>
        <v>0</v>
      </c>
      <c r="C26" s="50" cm="1">
        <f t="array" ref="C26">COUNTIF(
  INDEX(Attendance!$D$14:$GP$104,,
    MATCH(1,
      (MONTH(Attendance!$D$12:$GP$12)=MONTH($A26))*
      (YEAR(Attendance!$D$12:$GP$12)=YEAR($A26))*
      (Attendance!$D$13:$GP$13="Paid"),
      0)
  ),
  C$1
)*15</f>
        <v>0</v>
      </c>
      <c r="D26" s="50" cm="1">
        <f t="array" ref="D26">COUNTIF(
  INDEX(Attendance!$D$14:$GP$104,,
    MATCH(1,
      (MONTH(Attendance!$D$12:$GP$12)=MONTH($A26))*
      (YEAR(Attendance!$D$12:$GP$12)=YEAR($A26))*
      (Attendance!$D$13:$GP$13="Paid"),
      0)
  ),
  D$1
)*15</f>
        <v>0</v>
      </c>
      <c r="E26" s="52">
        <f t="shared" si="1"/>
        <v>0</v>
      </c>
      <c r="J26" s="32" t="s">
        <v>1367</v>
      </c>
      <c r="K26">
        <v>15</v>
      </c>
    </row>
    <row r="27" spans="1:14" ht="15.75" thickBot="1">
      <c r="A27" s="42">
        <f t="shared" si="0"/>
        <v>46813</v>
      </c>
      <c r="B27" s="50" cm="1">
        <f t="array" ref="B27">COUNTIF(
  INDEX(Attendance!$D$14:$GP$104,,
    MATCH(1,
      (MONTH(Attendance!$D$12:$GP$12)=MONTH($A27))*
      (YEAR(Attendance!$D$12:$GP$12)=YEAR($A27))*
      (Attendance!$D$13:$GP$13="Paid"),
      0)
  ),
  B$1
)*15</f>
        <v>0</v>
      </c>
      <c r="C27" s="50" cm="1">
        <f t="array" ref="C27">COUNTIF(
  INDEX(Attendance!$D$14:$GP$104,,
    MATCH(1,
      (MONTH(Attendance!$D$12:$GP$12)=MONTH($A27))*
      (YEAR(Attendance!$D$12:$GP$12)=YEAR($A27))*
      (Attendance!$D$13:$GP$13="Paid"),
      0)
  ),
  C$1
)*15</f>
        <v>0</v>
      </c>
      <c r="D27" s="50" cm="1">
        <f t="array" ref="D27">COUNTIF(
  INDEX(Attendance!$D$14:$GP$104,,
    MATCH(1,
      (MONTH(Attendance!$D$12:$GP$12)=MONTH($A27))*
      (YEAR(Attendance!$D$12:$GP$12)=YEAR($A27))*
      (Attendance!$D$13:$GP$13="Paid"),
      0)
  ),
  D$1
)*15</f>
        <v>0</v>
      </c>
      <c r="E27" s="52">
        <f t="shared" si="1"/>
        <v>0</v>
      </c>
      <c r="J27" s="36" t="s">
        <v>1367</v>
      </c>
      <c r="K27">
        <v>15</v>
      </c>
    </row>
    <row r="28" spans="1:14">
      <c r="A28" s="42">
        <f t="shared" si="0"/>
        <v>46844</v>
      </c>
      <c r="B28" s="50" cm="1">
        <f t="array" ref="B28">COUNTIF(
  INDEX(Attendance!$D$14:$GP$104,,
    MATCH(1,
      (MONTH(Attendance!$D$12:$GP$12)=MONTH($A28))*
      (YEAR(Attendance!$D$12:$GP$12)=YEAR($A28))*
      (Attendance!$D$13:$GP$13="Paid"),
      0)
  ),
  B$1
)*15</f>
        <v>0</v>
      </c>
      <c r="C28" s="50" cm="1">
        <f t="array" ref="C28">COUNTIF(
  INDEX(Attendance!$D$14:$GP$104,,
    MATCH(1,
      (MONTH(Attendance!$D$12:$GP$12)=MONTH($A28))*
      (YEAR(Attendance!$D$12:$GP$12)=YEAR($A28))*
      (Attendance!$D$13:$GP$13="Paid"),
      0)
  ),
  C$1
)*15</f>
        <v>0</v>
      </c>
      <c r="D28" s="50" cm="1">
        <f t="array" ref="D28">COUNTIF(
  INDEX(Attendance!$D$14:$GP$104,,
    MATCH(1,
      (MONTH(Attendance!$D$12:$GP$12)=MONTH($A28))*
      (YEAR(Attendance!$D$12:$GP$12)=YEAR($A28))*
      (Attendance!$D$13:$GP$13="Paid"),
      0)
  ),
  D$1
)*15</f>
        <v>0</v>
      </c>
      <c r="E28" s="52">
        <f t="shared" si="1"/>
        <v>0</v>
      </c>
      <c r="J28" t="s">
        <v>1394</v>
      </c>
      <c r="K28">
        <f>SUM(K1:K27)</f>
        <v>405</v>
      </c>
    </row>
    <row r="29" spans="1:14">
      <c r="A29" s="42">
        <f t="shared" si="0"/>
        <v>46874</v>
      </c>
      <c r="B29" s="50" cm="1">
        <f t="array" ref="B29">COUNTIF(
  INDEX(Attendance!$D$14:$GP$104,,
    MATCH(1,
      (MONTH(Attendance!$D$12:$GP$12)=MONTH($A29))*
      (YEAR(Attendance!$D$12:$GP$12)=YEAR($A29))*
      (Attendance!$D$13:$GP$13="Paid"),
      0)
  ),
  B$1
)*15</f>
        <v>0</v>
      </c>
      <c r="C29" s="50" cm="1">
        <f t="array" ref="C29">COUNTIF(
  INDEX(Attendance!$D$14:$GP$104,,
    MATCH(1,
      (MONTH(Attendance!$D$12:$GP$12)=MONTH($A29))*
      (YEAR(Attendance!$D$12:$GP$12)=YEAR($A29))*
      (Attendance!$D$13:$GP$13="Paid"),
      0)
  ),
  C$1
)*15</f>
        <v>0</v>
      </c>
      <c r="D29" s="50" cm="1">
        <f t="array" ref="D29">COUNTIF(
  INDEX(Attendance!$D$14:$GP$104,,
    MATCH(1,
      (MONTH(Attendance!$D$12:$GP$12)=MONTH($A29))*
      (YEAR(Attendance!$D$12:$GP$12)=YEAR($A29))*
      (Attendance!$D$13:$GP$13="Paid"),
      0)
  ),
  D$1
)*15</f>
        <v>0</v>
      </c>
      <c r="E29" s="52">
        <f t="shared" si="1"/>
        <v>0</v>
      </c>
      <c r="J29" t="s">
        <v>1395</v>
      </c>
      <c r="K29">
        <f>N15-K28</f>
        <v>-115</v>
      </c>
    </row>
    <row r="30" spans="1:14">
      <c r="A30" s="42">
        <f t="shared" si="0"/>
        <v>46905</v>
      </c>
      <c r="B30" s="50" cm="1">
        <f t="array" ref="B30">COUNTIF(
  INDEX(Attendance!$D$14:$GP$104,,
    MATCH(1,
      (MONTH(Attendance!$D$12:$GP$12)=MONTH($A30))*
      (YEAR(Attendance!$D$12:$GP$12)=YEAR($A30))*
      (Attendance!$D$13:$GP$13="Paid"),
      0)
  ),
  B$1
)*15</f>
        <v>0</v>
      </c>
      <c r="C30" s="50" cm="1">
        <f t="array" ref="C30">COUNTIF(
  INDEX(Attendance!$D$14:$GP$104,,
    MATCH(1,
      (MONTH(Attendance!$D$12:$GP$12)=MONTH($A30))*
      (YEAR(Attendance!$D$12:$GP$12)=YEAR($A30))*
      (Attendance!$D$13:$GP$13="Paid"),
      0)
  ),
  C$1
)*15</f>
        <v>0</v>
      </c>
      <c r="D30" s="50" cm="1">
        <f t="array" ref="D30">COUNTIF(
  INDEX(Attendance!$D$14:$GP$104,,
    MATCH(1,
      (MONTH(Attendance!$D$12:$GP$12)=MONTH($A30))*
      (YEAR(Attendance!$D$12:$GP$12)=YEAR($A30))*
      (Attendance!$D$13:$GP$13="Paid"),
      0)
  ),
  D$1
)*15</f>
        <v>0</v>
      </c>
      <c r="E30" s="52">
        <f t="shared" si="1"/>
        <v>0</v>
      </c>
    </row>
    <row r="31" spans="1:14">
      <c r="A31" s="42">
        <f t="shared" si="0"/>
        <v>46935</v>
      </c>
      <c r="B31" s="50" cm="1">
        <f t="array" ref="B31">COUNTIF(
  INDEX(Attendance!$D$14:$GP$104,,
    MATCH(1,
      (MONTH(Attendance!$D$12:$GP$12)=MONTH($A31))*
      (YEAR(Attendance!$D$12:$GP$12)=YEAR($A31))*
      (Attendance!$D$13:$GP$13="Paid"),
      0)
  ),
  B$1
)*15</f>
        <v>0</v>
      </c>
      <c r="C31" s="50" cm="1">
        <f t="array" ref="C31">COUNTIF(
  INDEX(Attendance!$D$14:$GP$104,,
    MATCH(1,
      (MONTH(Attendance!$D$12:$GP$12)=MONTH($A31))*
      (YEAR(Attendance!$D$12:$GP$12)=YEAR($A31))*
      (Attendance!$D$13:$GP$13="Paid"),
      0)
  ),
  C$1
)*15</f>
        <v>0</v>
      </c>
      <c r="D31" s="50" cm="1">
        <f t="array" ref="D31">COUNTIF(
  INDEX(Attendance!$D$14:$GP$104,,
    MATCH(1,
      (MONTH(Attendance!$D$12:$GP$12)=MONTH($A31))*
      (YEAR(Attendance!$D$12:$GP$12)=YEAR($A31))*
      (Attendance!$D$13:$GP$13="Paid"),
      0)
  ),
  D$1
)*15</f>
        <v>0</v>
      </c>
      <c r="E31" s="52">
        <f t="shared" si="1"/>
        <v>0</v>
      </c>
    </row>
    <row r="32" spans="1:14">
      <c r="A32" s="42">
        <f t="shared" si="0"/>
        <v>46966</v>
      </c>
      <c r="B32" s="50" cm="1">
        <f t="array" ref="B32">COUNTIF(
  INDEX(Attendance!$D$14:$GP$104,,
    MATCH(1,
      (MONTH(Attendance!$D$12:$GP$12)=MONTH($A32))*
      (YEAR(Attendance!$D$12:$GP$12)=YEAR($A32))*
      (Attendance!$D$13:$GP$13="Paid"),
      0)
  ),
  B$1
)*15</f>
        <v>0</v>
      </c>
      <c r="C32" s="50" cm="1">
        <f t="array" ref="C32">COUNTIF(
  INDEX(Attendance!$D$14:$GP$104,,
    MATCH(1,
      (MONTH(Attendance!$D$12:$GP$12)=MONTH($A32))*
      (YEAR(Attendance!$D$12:$GP$12)=YEAR($A32))*
      (Attendance!$D$13:$GP$13="Paid"),
      0)
  ),
  C$1
)*15</f>
        <v>0</v>
      </c>
      <c r="D32" s="50" cm="1">
        <f t="array" ref="D32">COUNTIF(
  INDEX(Attendance!$D$14:$GP$104,,
    MATCH(1,
      (MONTH(Attendance!$D$12:$GP$12)=MONTH($A32))*
      (YEAR(Attendance!$D$12:$GP$12)=YEAR($A32))*
      (Attendance!$D$13:$GP$13="Paid"),
      0)
  ),
  D$1
)*15</f>
        <v>0</v>
      </c>
      <c r="E32" s="52">
        <f t="shared" si="1"/>
        <v>0</v>
      </c>
    </row>
    <row r="33" spans="1:5">
      <c r="A33" s="42">
        <f t="shared" si="0"/>
        <v>46997</v>
      </c>
      <c r="B33" s="50" cm="1">
        <f t="array" ref="B33">COUNTIF(
  INDEX(Attendance!$D$14:$GP$104,,
    MATCH(1,
      (MONTH(Attendance!$D$12:$GP$12)=MONTH($A33))*
      (YEAR(Attendance!$D$12:$GP$12)=YEAR($A33))*
      (Attendance!$D$13:$GP$13="Paid"),
      0)
  ),
  B$1
)*15</f>
        <v>0</v>
      </c>
      <c r="C33" s="50" cm="1">
        <f t="array" ref="C33">COUNTIF(
  INDEX(Attendance!$D$14:$GP$104,,
    MATCH(1,
      (MONTH(Attendance!$D$12:$GP$12)=MONTH($A33))*
      (YEAR(Attendance!$D$12:$GP$12)=YEAR($A33))*
      (Attendance!$D$13:$GP$13="Paid"),
      0)
  ),
  C$1
)*15</f>
        <v>0</v>
      </c>
      <c r="D33" s="50" cm="1">
        <f t="array" ref="D33">COUNTIF(
  INDEX(Attendance!$D$14:$GP$104,,
    MATCH(1,
      (MONTH(Attendance!$D$12:$GP$12)=MONTH($A33))*
      (YEAR(Attendance!$D$12:$GP$12)=YEAR($A33))*
      (Attendance!$D$13:$GP$13="Paid"),
      0)
  ),
  D$1
)*15</f>
        <v>0</v>
      </c>
      <c r="E33" s="52">
        <f t="shared" si="1"/>
        <v>0</v>
      </c>
    </row>
    <row r="34" spans="1:5">
      <c r="A34" s="42">
        <f t="shared" si="0"/>
        <v>47027</v>
      </c>
      <c r="B34" s="50" cm="1">
        <f t="array" ref="B34">COUNTIF(
  INDEX(Attendance!$D$14:$GP$104,,
    MATCH(1,
      (MONTH(Attendance!$D$12:$GP$12)=MONTH($A34))*
      (YEAR(Attendance!$D$12:$GP$12)=YEAR($A34))*
      (Attendance!$D$13:$GP$13="Paid"),
      0)
  ),
  B$1
)*15</f>
        <v>0</v>
      </c>
      <c r="C34" s="50" cm="1">
        <f t="array" ref="C34">COUNTIF(
  INDEX(Attendance!$D$14:$GP$104,,
    MATCH(1,
      (MONTH(Attendance!$D$12:$GP$12)=MONTH($A34))*
      (YEAR(Attendance!$D$12:$GP$12)=YEAR($A34))*
      (Attendance!$D$13:$GP$13="Paid"),
      0)
  ),
  C$1
)*15</f>
        <v>0</v>
      </c>
      <c r="D34" s="50" cm="1">
        <f t="array" ref="D34">COUNTIF(
  INDEX(Attendance!$D$14:$GP$104,,
    MATCH(1,
      (MONTH(Attendance!$D$12:$GP$12)=MONTH($A34))*
      (YEAR(Attendance!$D$12:$GP$12)=YEAR($A34))*
      (Attendance!$D$13:$GP$13="Paid"),
      0)
  ),
  D$1
)*15</f>
        <v>0</v>
      </c>
      <c r="E34" s="52">
        <f t="shared" si="1"/>
        <v>0</v>
      </c>
    </row>
    <row r="35" spans="1:5">
      <c r="A35" s="42">
        <f t="shared" si="0"/>
        <v>47058</v>
      </c>
      <c r="B35" s="50" cm="1">
        <f t="array" ref="B35">COUNTIF(
  INDEX(Attendance!$D$14:$GP$104,,
    MATCH(1,
      (MONTH(Attendance!$D$12:$GP$12)=MONTH($A35))*
      (YEAR(Attendance!$D$12:$GP$12)=YEAR($A35))*
      (Attendance!$D$13:$GP$13="Paid"),
      0)
  ),
  B$1
)*15</f>
        <v>0</v>
      </c>
      <c r="C35" s="50" cm="1">
        <f t="array" ref="C35">COUNTIF(
  INDEX(Attendance!$D$14:$GP$104,,
    MATCH(1,
      (MONTH(Attendance!$D$12:$GP$12)=MONTH($A35))*
      (YEAR(Attendance!$D$12:$GP$12)=YEAR($A35))*
      (Attendance!$D$13:$GP$13="Paid"),
      0)
  ),
  C$1
)*15</f>
        <v>0</v>
      </c>
      <c r="D35" s="50" cm="1">
        <f t="array" ref="D35">COUNTIF(
  INDEX(Attendance!$D$14:$GP$104,,
    MATCH(1,
      (MONTH(Attendance!$D$12:$GP$12)=MONTH($A35))*
      (YEAR(Attendance!$D$12:$GP$12)=YEAR($A35))*
      (Attendance!$D$13:$GP$13="Paid"),
      0)
  ),
  D$1
)*15</f>
        <v>0</v>
      </c>
      <c r="E35" s="52">
        <f t="shared" si="1"/>
        <v>0</v>
      </c>
    </row>
    <row r="36" spans="1:5">
      <c r="A36" s="42">
        <f t="shared" si="0"/>
        <v>47088</v>
      </c>
      <c r="B36" s="50" cm="1">
        <f t="array" ref="B36">COUNTIF(
  INDEX(Attendance!$D$14:$GP$104,,
    MATCH(1,
      (MONTH(Attendance!$D$12:$GP$12)=MONTH($A36))*
      (YEAR(Attendance!$D$12:$GP$12)=YEAR($A36))*
      (Attendance!$D$13:$GP$13="Paid"),
      0)
  ),
  B$1
)*15</f>
        <v>0</v>
      </c>
      <c r="C36" s="50" cm="1">
        <f t="array" ref="C36">COUNTIF(
  INDEX(Attendance!$D$14:$GP$104,,
    MATCH(1,
      (MONTH(Attendance!$D$12:$GP$12)=MONTH($A36))*
      (YEAR(Attendance!$D$12:$GP$12)=YEAR($A36))*
      (Attendance!$D$13:$GP$13="Paid"),
      0)
  ),
  C$1
)*15</f>
        <v>0</v>
      </c>
      <c r="D36" s="50" cm="1">
        <f t="array" ref="D36">COUNTIF(
  INDEX(Attendance!$D$14:$GP$104,,
    MATCH(1,
      (MONTH(Attendance!$D$12:$GP$12)=MONTH($A36))*
      (YEAR(Attendance!$D$12:$GP$12)=YEAR($A36))*
      (Attendance!$D$13:$GP$13="Paid"),
      0)
  ),
  D$1
)*15</f>
        <v>0</v>
      </c>
      <c r="E36" s="52">
        <f t="shared" si="1"/>
        <v>0</v>
      </c>
    </row>
    <row r="37" spans="1:5">
      <c r="A37" s="42">
        <f t="shared" si="0"/>
        <v>47119</v>
      </c>
      <c r="B37" s="50" cm="1">
        <f t="array" ref="B37">COUNTIF(
  INDEX(Attendance!$D$14:$GP$104,,
    MATCH(1,
      (MONTH(Attendance!$D$12:$GP$12)=MONTH($A37))*
      (YEAR(Attendance!$D$12:$GP$12)=YEAR($A37))*
      (Attendance!$D$13:$GP$13="Paid"),
      0)
  ),
  B$1
)*15</f>
        <v>0</v>
      </c>
      <c r="C37" s="50" cm="1">
        <f t="array" ref="C37">COUNTIF(
  INDEX(Attendance!$D$14:$GP$104,,
    MATCH(1,
      (MONTH(Attendance!$D$12:$GP$12)=MONTH($A37))*
      (YEAR(Attendance!$D$12:$GP$12)=YEAR($A37))*
      (Attendance!$D$13:$GP$13="Paid"),
      0)
  ),
  C$1
)*15</f>
        <v>0</v>
      </c>
      <c r="D37" s="50" cm="1">
        <f t="array" ref="D37">COUNTIF(
  INDEX(Attendance!$D$14:$GP$104,,
    MATCH(1,
      (MONTH(Attendance!$D$12:$GP$12)=MONTH($A37))*
      (YEAR(Attendance!$D$12:$GP$12)=YEAR($A37))*
      (Attendance!$D$13:$GP$13="Paid"),
      0)
  ),
  D$1
)*15</f>
        <v>0</v>
      </c>
      <c r="E37" s="52">
        <f t="shared" si="1"/>
        <v>0</v>
      </c>
    </row>
    <row r="38" spans="1:5">
      <c r="A38" s="42">
        <f t="shared" si="0"/>
        <v>47150</v>
      </c>
      <c r="B38" s="50" cm="1">
        <f t="array" ref="B38">COUNTIF(
  INDEX(Attendance!$D$14:$GP$104,,
    MATCH(1,
      (MONTH(Attendance!$D$12:$GP$12)=MONTH($A38))*
      (YEAR(Attendance!$D$12:$GP$12)=YEAR($A38))*
      (Attendance!$D$13:$GP$13="Paid"),
      0)
  ),
  B$1
)*15</f>
        <v>0</v>
      </c>
      <c r="C38" s="50" cm="1">
        <f t="array" ref="C38">COUNTIF(
  INDEX(Attendance!$D$14:$GP$104,,
    MATCH(1,
      (MONTH(Attendance!$D$12:$GP$12)=MONTH($A38))*
      (YEAR(Attendance!$D$12:$GP$12)=YEAR($A38))*
      (Attendance!$D$13:$GP$13="Paid"),
      0)
  ),
  C$1
)*15</f>
        <v>0</v>
      </c>
      <c r="D38" s="50" cm="1">
        <f t="array" ref="D38">COUNTIF(
  INDEX(Attendance!$D$14:$GP$104,,
    MATCH(1,
      (MONTH(Attendance!$D$12:$GP$12)=MONTH($A38))*
      (YEAR(Attendance!$D$12:$GP$12)=YEAR($A38))*
      (Attendance!$D$13:$GP$13="Paid"),
      0)
  ),
  D$1
)*15</f>
        <v>0</v>
      </c>
      <c r="E38" s="52">
        <f t="shared" si="1"/>
        <v>0</v>
      </c>
    </row>
  </sheetData>
  <conditionalFormatting sqref="J1:J27">
    <cfRule type="containsText" dxfId="11" priority="19" operator="containsText" text="PayPal">
      <formula>NOT(ISERROR(SEARCH("PayPal",J1)))</formula>
    </cfRule>
    <cfRule type="containsText" dxfId="10" priority="20" operator="containsText" text="PayID">
      <formula>NOT(ISERROR(SEARCH("PayID",J1)))</formula>
    </cfRule>
    <cfRule type="containsText" dxfId="9" priority="21" operator="containsText" text="Exiles">
      <formula>NOT(ISERROR(SEARCH("Exiles",J1)))</formula>
    </cfRule>
    <cfRule type="containsText" dxfId="8" priority="22" operator="containsText" text="Cash">
      <formula>NOT(ISERROR(SEARCH("Cash",J1)))</formula>
    </cfRule>
    <cfRule type="beginsWith" dxfId="7" priority="23" operator="beginsWith" text="No">
      <formula>LEFT(J1,LEN("No"))="No"</formula>
    </cfRule>
    <cfRule type="containsText" dxfId="6" priority="24" operator="containsText" text="Absent">
      <formula>NOT(ISERROR(SEARCH("Absent",J1)))</formula>
    </cfRule>
  </conditionalFormatting>
  <conditionalFormatting sqref="M1:M13">
    <cfRule type="containsText" dxfId="5" priority="25" operator="containsText" text="PayPal">
      <formula>NOT(ISERROR(SEARCH("PayPal",M1)))</formula>
    </cfRule>
    <cfRule type="containsText" dxfId="4" priority="26" operator="containsText" text="PayID">
      <formula>NOT(ISERROR(SEARCH("PayID",M1)))</formula>
    </cfRule>
    <cfRule type="containsText" dxfId="3" priority="27" operator="containsText" text="Exiles">
      <formula>NOT(ISERROR(SEARCH("Exiles",M1)))</formula>
    </cfRule>
    <cfRule type="containsText" dxfId="2" priority="28" operator="containsText" text="Cash">
      <formula>NOT(ISERROR(SEARCH("Cash",M1)))</formula>
    </cfRule>
    <cfRule type="beginsWith" dxfId="1" priority="29" operator="beginsWith" text="No">
      <formula>LEFT(M1,LEN("No"))="No"</formula>
    </cfRule>
    <cfRule type="containsText" dxfId="0" priority="30" operator="containsText" text="Absent">
      <formula>NOT(ISERROR(SEARCH("Absent",M1)))</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D51FFB6-C815-4444-BAFC-ABBEABE78897}">
          <x14:formula1>
            <xm:f>Lists!$R$3:$R$8</xm:f>
          </x14:formula1>
          <xm:sqref>J1:J27 M1:M13 B1:D1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7AF28-900D-45DB-B6A8-F058580BA172}">
  <dimension ref="A1:AK365"/>
  <sheetViews>
    <sheetView zoomScale="70" zoomScaleNormal="70" workbookViewId="0">
      <pane ySplit="1" topLeftCell="A161" activePane="bottomLeft" state="frozen"/>
      <selection pane="bottomLeft" activeCell="B182" sqref="A1:XFD1048576"/>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
      </c>
      <c r="AC2" s="60" t="str" cm="1">
        <f t="array" ref="AC2">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
      </c>
      <c r="AD2" s="20" t="str">
        <f>IF(AC2="","¬",_xlfn.LET(_xlpm.base,IFERROR(LEFT(AC2,FIND(" (",AC2)-1),AC2),IFERROR(VLOOKUP(_xlpm.base,tblManoeuvre[],2,FALSE) &amp; " " &amp; REPT("●",VLOOKUP(_xlpm.base,tblManoeuvre[],3,FALSE)) &amp; " | " &amp; AC2,AC2 &amp; " " &amp; REPT("●",VLOOKUP(_xlpm.base,$F$79:$P$120,11,FALSE)))))</f>
        <v>¬</v>
      </c>
      <c r="AE2" s="20"/>
      <c r="AF2" s="20" t="str">
        <f>IF(LEN(AC2)=0,"¬",_xlfn.LET(_xlpm.base,IFERROR(LEFT(AC2,FIND(" (",AC2)-1),AC2),IFERROR(VLOOKUP(_xlpm.base,tblMerits[],5,FALSE),IFERROR(VLOOKUP(_xlpm.base,tblManoeuvre[],9,FALSE),"¬"))))</f>
        <v>¬</v>
      </c>
      <c r="AI2" s="15" t="s">
        <v>25</v>
      </c>
      <c r="AJ2" s="61">
        <f t="shared" ref="AJ2:AJ33" si="1">VLOOKUP(AI2,$E$3:$P$221,12,FALSE)</f>
        <v>0</v>
      </c>
      <c r="AK2" s="61">
        <f>IF(AJ2=0,IF(COUNTIF($E$42:$E$49,AI2)&gt;0,-3,-1),AJ2)</f>
        <v>-3</v>
      </c>
    </row>
    <row r="3" spans="1:37">
      <c r="A3" s="1" t="s">
        <v>2</v>
      </c>
      <c r="B3">
        <f ca="1">N3</f>
        <v>10</v>
      </c>
      <c r="D3" s="19"/>
      <c r="E3" s="15" t="s">
        <v>4</v>
      </c>
      <c r="F3" s="3"/>
      <c r="G3" s="18"/>
      <c r="H3" s="18"/>
      <c r="I3" s="18" t="s">
        <v>1425</v>
      </c>
      <c r="N3" s="60">
        <f ca="1">10+SUM(N4:N6)-SUM(N7)</f>
        <v>10</v>
      </c>
      <c r="Y3" s="15" t="s">
        <v>115</v>
      </c>
      <c r="Z3" s="19"/>
      <c r="AA3" s="61" t="str">
        <f t="shared" si="0"/>
        <v/>
      </c>
      <c r="AC3" s="60"/>
      <c r="AD3" s="20" t="str">
        <f>IF(AC3="","¬",_xlfn.LET(_xlpm.base,IFERROR(LEFT(AC3,FIND(" (",AC3)-1),AC3),IFERROR(VLOOKUP(_xlpm.base,tblManoeuvre[],2,FALSE) &amp; " " &amp; REPT("●",VLOOKUP(_xlpm.base,tblManoeuvre[],3,FALSE)) &amp; " | " &amp; AC3,AC3 &amp; " " &amp; REPT("●",VLOOKUP(_xlpm.base,$F$79:$P$120,11,FALSE)))))</f>
        <v>¬</v>
      </c>
      <c r="AE3" s="20"/>
      <c r="AF3" s="20" t="str">
        <f>IF(LEN(AC3)=0,"¬",_xlfn.LET(_xlpm.base,IFERROR(LEFT(AC3,FIND(" (",AC3)-1),AC3),IFERROR(VLOOKUP(_xlpm.base,tblMerits[],5,FALSE),IFERROR(VLOOKUP(_xlpm.base,tblManoeuvre[],9,FALSE),"¬"))))</f>
        <v>¬</v>
      </c>
      <c r="AI3" s="15" t="s">
        <v>41</v>
      </c>
      <c r="AJ3" s="61">
        <f t="shared" si="1"/>
        <v>0</v>
      </c>
      <c r="AK3" s="61">
        <f>IF(AJ3=0,IF(COUNTIF($E$42:$E$49,AI3)&gt;0,-3,-1),AJ3)</f>
        <v>-1</v>
      </c>
    </row>
    <row r="4" spans="1:37">
      <c r="A4" s="1" t="s">
        <v>3</v>
      </c>
      <c r="B4">
        <f ca="1">SUM(N3:N9)</f>
        <v>10</v>
      </c>
      <c r="D4" s="19"/>
      <c r="E4" s="15" t="s">
        <v>5</v>
      </c>
      <c r="F4" s="3"/>
      <c r="G4" s="18"/>
      <c r="H4" s="18"/>
      <c r="I4" s="18" t="s">
        <v>1426</v>
      </c>
      <c r="N4" s="61">
        <f>K73*2</f>
        <v>0</v>
      </c>
      <c r="Y4" s="15" t="s">
        <v>116</v>
      </c>
      <c r="Z4" s="19"/>
      <c r="AA4" s="61" t="str">
        <f t="shared" si="0"/>
        <v/>
      </c>
      <c r="AC4" s="60"/>
      <c r="AD4" s="20" t="str">
        <f>IF(AC4="","¬",_xlfn.LET(_xlpm.base,IFERROR(LEFT(AC4,FIND(" (",AC4)-1),AC4),IFERROR(VLOOKUP(_xlpm.base,tblManoeuvre[],2,FALSE) &amp; " " &amp; REPT("●",VLOOKUP(_xlpm.base,tblManoeuvre[],3,FALSE)) &amp; " | " &amp; AC4,AC4 &amp; " " &amp; REPT("●",VLOOKUP(_xlpm.base,$F$79:$P$120,11,FALSE)))))</f>
        <v>¬</v>
      </c>
      <c r="AE4" s="20"/>
      <c r="AF4" s="20" t="str">
        <f>IF(LEN(AC4)=0,"¬",_xlfn.LET(_xlpm.base,IFERROR(LEFT(AC4,FIND(" (",AC4)-1),AC4),IFERROR(VLOOKUP(_xlpm.base,tblMerits[],5,FALSE),IFERROR(VLOOKUP(_xlpm.base,tblManoeuvre[],9,FALSE),"¬"))))</f>
        <v>¬</v>
      </c>
      <c r="AI4" s="15" t="s">
        <v>236</v>
      </c>
      <c r="AJ4" s="61">
        <f t="shared" si="1"/>
        <v>0</v>
      </c>
      <c r="AK4" s="61">
        <f>AJ4</f>
        <v>0</v>
      </c>
    </row>
    <row r="5" spans="1:37">
      <c r="A5" s="1" t="s">
        <v>4</v>
      </c>
      <c r="B5" t="str">
        <f>IF(VLOOKUP(tblCharData[[#This Row],[Field]],$E$2:$F$362,2,FALSE)="","¬",VLOOKUP(tblCharData[[#This Row],[Field]],$E$2:$F$362,2,FALSE))</f>
        <v>¬</v>
      </c>
      <c r="D5" s="19"/>
      <c r="E5" s="15" t="s">
        <v>6</v>
      </c>
      <c r="F5" s="3"/>
      <c r="G5" s="18"/>
      <c r="H5" s="18"/>
      <c r="I5" s="18" t="s">
        <v>1427</v>
      </c>
      <c r="N5" s="61">
        <f>N16</f>
        <v>0</v>
      </c>
      <c r="Y5" s="15" t="s">
        <v>117</v>
      </c>
      <c r="Z5" s="19"/>
      <c r="AA5" s="61" t="str">
        <f t="shared" si="0"/>
        <v/>
      </c>
      <c r="AC5" s="60"/>
      <c r="AD5" s="20" t="str">
        <f>IF(AC5="","¬",_xlfn.LET(_xlpm.base,IFERROR(LEFT(AC5,FIND(" (",AC5)-1),AC5),IFERROR(VLOOKUP(_xlpm.base,tblManoeuvre[],2,FALSE) &amp; " " &amp; REPT("●",VLOOKUP(_xlpm.base,tblManoeuvre[],3,FALSE)) &amp; " | " &amp; AC5,AC5 &amp; " " &amp; REPT("●",VLOOKUP(_xlpm.base,$F$79:$P$120,11,FALSE)))))</f>
        <v>¬</v>
      </c>
      <c r="AE5" s="20"/>
      <c r="AF5" s="20" t="str">
        <f>IF(LEN(AC5)=0,"¬",_xlfn.LET(_xlpm.base,IFERROR(LEFT(AC5,FIND(" (",AC5)-1),AC5),IFERROR(VLOOKUP(_xlpm.base,tblMerits[],5,FALSE),IFERROR(VLOOKUP(_xlpm.base,tblManoeuvre[],9,FALSE),"¬"))))</f>
        <v>¬</v>
      </c>
      <c r="AI5" s="15" t="s">
        <v>33</v>
      </c>
      <c r="AJ5" s="61">
        <f t="shared" si="1"/>
        <v>0</v>
      </c>
      <c r="AK5" s="61">
        <f>IF(AJ5=0,IF(COUNTIF($E$42:$E$49,AI5)&gt;0,-3,-1),AJ5)</f>
        <v>-1</v>
      </c>
    </row>
    <row r="6" spans="1:37">
      <c r="A6" s="1" t="s">
        <v>5</v>
      </c>
      <c r="B6" t="str">
        <f>IF(VLOOKUP(tblCharData[[#This Row],[Field]],$E$2:$F$362,2,FALSE)="","¬",VLOOKUP(tblCharData[[#This Row],[Field]],$E$2:$F$362,2,FALSE))</f>
        <v>¬</v>
      </c>
      <c r="D6" s="19"/>
      <c r="E6" s="15" t="s">
        <v>7</v>
      </c>
      <c r="F6" s="3"/>
      <c r="G6" s="18"/>
      <c r="H6" s="18"/>
      <c r="I6" s="18" t="s">
        <v>1347</v>
      </c>
      <c r="N6" s="61">
        <f ca="1">N279</f>
        <v>0</v>
      </c>
      <c r="Y6" s="15" t="s">
        <v>118</v>
      </c>
      <c r="Z6" s="19"/>
      <c r="AA6" s="61" t="str">
        <f t="shared" si="0"/>
        <v/>
      </c>
      <c r="AC6" s="60"/>
      <c r="AD6" s="20" t="str">
        <f>IF(AC6="","¬",_xlfn.LET(_xlpm.base,IFERROR(LEFT(AC6,FIND(" (",AC6)-1),AC6),IFERROR(VLOOKUP(_xlpm.base,tblManoeuvre[],2,FALSE) &amp; " " &amp; REPT("●",VLOOKUP(_xlpm.base,tblManoeuvre[],3,FALSE)) &amp; " | " &amp; AC6,AC6 &amp; " " &amp; REPT("●",VLOOKUP(_xlpm.base,$F$79:$P$120,11,FALSE)))))</f>
        <v>¬</v>
      </c>
      <c r="AE6" s="20"/>
      <c r="AF6" s="20" t="str">
        <f>IF(LEN(AC6)=0,"¬",_xlfn.LET(_xlpm.base,IFERROR(LEFT(AC6,FIND(" (",AC6)-1),AC6),IFERROR(VLOOKUP(_xlpm.base,tblMerits[],5,FALSE),IFERROR(VLOOKUP(_xlpm.base,tblManoeuvre[],9,FALSE),"¬"))))</f>
        <v>¬</v>
      </c>
      <c r="AI6" s="15" t="s">
        <v>237</v>
      </c>
      <c r="AJ6" s="61">
        <f t="shared" si="1"/>
        <v>0</v>
      </c>
      <c r="AK6" s="61">
        <f>AJ6</f>
        <v>0</v>
      </c>
    </row>
    <row r="7" spans="1:37">
      <c r="A7" s="1" t="s">
        <v>6</v>
      </c>
      <c r="B7" t="str">
        <f>IF(VLOOKUP(tblCharData[[#This Row],[Field]],$E$2:$F$362,2,FALSE)="","¬",VLOOKUP(tblCharData[[#This Row],[Field]],$E$2:$F$362,2,FALSE))</f>
        <v>¬</v>
      </c>
      <c r="D7" s="19" t="e">
        <f>VLOOKUP(F7,tblClans[],3,FALSE)</f>
        <v>#N/A</v>
      </c>
      <c r="E7" s="15" t="s">
        <v>8</v>
      </c>
      <c r="F7" s="3"/>
      <c r="G7" s="18"/>
      <c r="H7" s="18"/>
      <c r="I7" s="18"/>
      <c r="N7" s="60">
        <f>SUM(N8:N12)</f>
        <v>0</v>
      </c>
      <c r="Y7" s="15" t="s">
        <v>119</v>
      </c>
      <c r="Z7" s="19"/>
      <c r="AA7" s="61" t="str">
        <f t="shared" si="0"/>
        <v/>
      </c>
      <c r="AC7" s="60"/>
      <c r="AD7" s="20" t="str">
        <f>IF(AC7="","¬",_xlfn.LET(_xlpm.base,IFERROR(LEFT(AC7,FIND(" (",AC7)-1),AC7),IFERROR(VLOOKUP(_xlpm.base,tblManoeuvre[],2,FALSE) &amp; " " &amp; REPT("●",VLOOKUP(_xlpm.base,tblManoeuvre[],3,FALSE)) &amp; " | " &amp; AC7,AC7 &amp; " " &amp; REPT("●",VLOOKUP(_xlpm.base,$F$79:$P$120,11,FALSE)))))</f>
        <v>¬</v>
      </c>
      <c r="AE7" s="20"/>
      <c r="AF7" s="20" t="str">
        <f>IF(LEN(AC7)=0,"¬",_xlfn.LET(_xlpm.base,IFERROR(LEFT(AC7,FIND(" (",AC7)-1),AC7),IFERROR(VLOOKUP(_xlpm.base,tblMerits[],5,FALSE),IFERROR(VLOOKUP(_xlpm.base,tblManoeuvre[],9,FALSE),"¬"))))</f>
        <v>¬</v>
      </c>
      <c r="AI7" s="15" t="s">
        <v>49</v>
      </c>
      <c r="AJ7" s="61">
        <f t="shared" si="1"/>
        <v>1</v>
      </c>
      <c r="AK7" s="61">
        <f>AJ7</f>
        <v>1</v>
      </c>
    </row>
    <row r="8" spans="1:37">
      <c r="A8" s="1" t="s">
        <v>7</v>
      </c>
      <c r="B8" t="str">
        <f>IF(VLOOKUP(tblCharData[[#This Row],[Field]],$E$2:$F$362,2,FALSE)="","¬",LOWER(VLOOKUP(tblCharData[[#This Row],[Field]],$E$2:$F$362,2,FALSE)))</f>
        <v>¬</v>
      </c>
      <c r="D8" s="19" t="e">
        <f>VLOOKUP(F7,tblClans[],2,FALSE)</f>
        <v>#N/A</v>
      </c>
      <c r="E8" s="15" t="s">
        <v>10</v>
      </c>
      <c r="F8" s="3"/>
      <c r="G8" s="61" t="str">
        <f>IFERROR(IF(OR(AND(VLOOKUP(F8,tblBloodlines[],2,FALSE)="",VLOOKUP(F8,tblBloodlines[],3,FALSE)="",VLOOKUP(F8,tblBloodlines[],4,FALSE)=""),AND(VLOOKUP(F8,tblBloodlines[],2,FALSE)="",VLOOKUP(F8,tblBloodlines[],3,FALSE)="",F9=VLOOKUP(F8,tblBloodlines[],4,FALSE)),F7=VLOOKUP(F8,tblBloodlines[],2,FALSE),F7=VLOOKUP(F8,tblBloodlines[],3,FALSE)),TRUE,FALSE),"")</f>
        <v/>
      </c>
      <c r="H8" s="18"/>
      <c r="I8" s="18" t="s">
        <v>1428</v>
      </c>
      <c r="N8" s="61">
        <f>N23</f>
        <v>0</v>
      </c>
      <c r="O8" s="65" t="e">
        <f>N8/SUM(N$7:N$12)</f>
        <v>#DIV/0!</v>
      </c>
      <c r="P8" s="66"/>
      <c r="Y8" s="15" t="s">
        <v>120</v>
      </c>
      <c r="Z8" s="19"/>
      <c r="AA8" s="61" t="str">
        <f t="shared" si="0"/>
        <v/>
      </c>
      <c r="AC8" s="60"/>
      <c r="AD8" s="20" t="str">
        <f>IF(AC8="","¬",_xlfn.LET(_xlpm.base,IFERROR(LEFT(AC8,FIND(" (",AC8)-1),AC8),IFERROR(VLOOKUP(_xlpm.base,tblManoeuvre[],2,FALSE) &amp; " " &amp; REPT("●",VLOOKUP(_xlpm.base,tblManoeuvre[],3,FALSE)) &amp; " | " &amp; AC8,AC8 &amp; " " &amp; REPT("●",VLOOKUP(_xlpm.base,$F$79:$P$120,11,FALSE)))))</f>
        <v>¬</v>
      </c>
      <c r="AE8" s="20"/>
      <c r="AF8" s="20" t="str">
        <f>IF(LEN(AC8)=0,"¬",_xlfn.LET(_xlpm.base,IFERROR(LEFT(AC8,FIND(" (",AC8)-1),AC8),IFERROR(VLOOKUP(_xlpm.base,tblMerits[],5,FALSE),IFERROR(VLOOKUP(_xlpm.base,tblManoeuvre[],9,FALSE),"¬"))))</f>
        <v>¬</v>
      </c>
      <c r="AI8" s="15" t="s">
        <v>34</v>
      </c>
      <c r="AJ8" s="61">
        <f t="shared" si="1"/>
        <v>0</v>
      </c>
      <c r="AK8" s="61">
        <f>IF(AJ8=0,IF(COUNTIF($E$42:$E$49,AI8)&gt;0,-3,-1),AJ8)</f>
        <v>-1</v>
      </c>
    </row>
    <row r="9" spans="1:37">
      <c r="A9" s="1" t="s">
        <v>8</v>
      </c>
      <c r="B9" t="str">
        <f>IF(VLOOKUP(tblCharData[[#This Row],[Field]],$E$2:$F$362,2,FALSE)="","¬",VLOOKUP(tblCharData[[#This Row],[Field]],$E$2:$F$362,2,FALSE))</f>
        <v>¬</v>
      </c>
      <c r="D9" s="19"/>
      <c r="E9" s="15" t="s">
        <v>11</v>
      </c>
      <c r="F9" s="3"/>
      <c r="G9" s="18"/>
      <c r="H9" s="18"/>
      <c r="I9" s="18" t="s">
        <v>1429</v>
      </c>
      <c r="N9" s="61">
        <f>N40+T40</f>
        <v>0</v>
      </c>
      <c r="O9" s="65" t="e">
        <f>N9/SUM(N$7:N$12)</f>
        <v>#DIV/0!</v>
      </c>
      <c r="P9" s="66"/>
      <c r="Y9" s="15" t="s">
        <v>121</v>
      </c>
      <c r="Z9" s="19"/>
      <c r="AA9" s="61" t="str">
        <f t="shared" si="0"/>
        <v/>
      </c>
      <c r="AC9" s="60"/>
      <c r="AD9" s="20" t="str">
        <f>IF(AC9="","¬",_xlfn.LET(_xlpm.base,IFERROR(LEFT(AC9,FIND(" (",AC9)-1),AC9),IFERROR(VLOOKUP(_xlpm.base,tblManoeuvre[],2,FALSE) &amp; " " &amp; REPT("●",VLOOKUP(_xlpm.base,tblManoeuvre[],3,FALSE)) &amp; " | " &amp; AC9,AC9 &amp; " " &amp; REPT("●",VLOOKUP(_xlpm.base,$F$79:$P$120,11,FALSE)))))</f>
        <v>¬</v>
      </c>
      <c r="AE9" s="20"/>
      <c r="AF9" s="20" t="str">
        <f>IF(LEN(AC9)=0,"¬",_xlfn.LET(_xlpm.base,IFERROR(LEFT(AC9,FIND(" (",AC9)-1),AC9),IFERROR(VLOOKUP(_xlpm.base,tblMerits[],5,FALSE),IFERROR(VLOOKUP(_xlpm.base,tblManoeuvre[],9,FALSE),"¬"))))</f>
        <v>¬</v>
      </c>
      <c r="AI9" s="15" t="s">
        <v>238</v>
      </c>
      <c r="AJ9" s="61">
        <f t="shared" si="1"/>
        <v>0</v>
      </c>
      <c r="AK9" s="61">
        <f>AJ9</f>
        <v>0</v>
      </c>
    </row>
    <row r="10" spans="1:37">
      <c r="A10" s="1" t="s">
        <v>9</v>
      </c>
      <c r="B10" t="str">
        <f>CONCATENATE(Elements,B9," icon.svg")</f>
        <v>D:\Terra Mortis\Character Sheets\Sheet Elements\¬ icon.svg</v>
      </c>
      <c r="D10" s="19"/>
      <c r="E10" s="15" t="s">
        <v>13</v>
      </c>
      <c r="F10" s="3"/>
      <c r="G10" s="18"/>
      <c r="H10" s="18"/>
      <c r="I10" s="18" t="s">
        <v>1430</v>
      </c>
      <c r="N10" s="61">
        <f>N77</f>
        <v>0</v>
      </c>
      <c r="O10" s="65" t="e">
        <f>N10/SUM(N$7:N$12)</f>
        <v>#DIV/0!</v>
      </c>
      <c r="P10" s="66"/>
      <c r="Y10" s="15" t="s">
        <v>122</v>
      </c>
      <c r="Z10" s="19"/>
      <c r="AA10" s="61" t="str">
        <f t="shared" si="0"/>
        <v/>
      </c>
      <c r="AC10" s="60"/>
      <c r="AD10" s="20" t="str">
        <f>IF(AC10="","¬",_xlfn.LET(_xlpm.base,IFERROR(LEFT(AC10,FIND(" (",AC10)-1),AC10),IFERROR(VLOOKUP(_xlpm.base,tblManoeuvre[],2,FALSE) &amp; " " &amp; REPT("●",VLOOKUP(_xlpm.base,tblManoeuvre[],3,FALSE)) &amp; " | " &amp; AC10,AC10 &amp; " " &amp; REPT("●",VLOOKUP(_xlpm.base,$F$79:$P$120,11,FALSE)))))</f>
        <v>¬</v>
      </c>
      <c r="AE10" s="20"/>
      <c r="AF10" s="20" t="str">
        <f>IF(LEN(AC10)=0,"¬",_xlfn.LET(_xlpm.base,IFERROR(LEFT(AC10,FIND(" (",AC10)-1),AC10),IFERROR(VLOOKUP(_xlpm.base,tblMerits[],5,FALSE),IFERROR(VLOOKUP(_xlpm.base,tblManoeuvre[],9,FALSE),"¬"))))</f>
        <v>¬</v>
      </c>
      <c r="AI10" s="15" t="s">
        <v>24</v>
      </c>
      <c r="AJ10" s="61">
        <f t="shared" si="1"/>
        <v>1</v>
      </c>
      <c r="AK10" s="61">
        <f>AJ10+IFERROR(INDEX($V$26:$V$38,MATCH(AI10,$E$26:$E$38,0)),0)</f>
        <v>1</v>
      </c>
    </row>
    <row r="11" spans="1:37">
      <c r="A11" s="1" t="s">
        <v>10</v>
      </c>
      <c r="B11" t="str">
        <f>IF(VLOOKUP(tblCharData[[#This Row],[Field]],$E$2:$F$362,2,FALSE)="","¬",VLOOKUP(tblCharData[[#This Row],[Field]],$E$2:$F$362,2,FALSE))</f>
        <v>¬</v>
      </c>
      <c r="D11" s="19"/>
      <c r="E11" s="15" t="s">
        <v>14</v>
      </c>
      <c r="F11" s="3"/>
      <c r="G11" s="18"/>
      <c r="H11" s="18"/>
      <c r="I11" s="18" t="s">
        <v>1431</v>
      </c>
      <c r="N11" s="61">
        <f>N163</f>
        <v>0</v>
      </c>
      <c r="O11" s="65" t="e">
        <f>N11/SUM(N$7:N$12)</f>
        <v>#DIV/0!</v>
      </c>
      <c r="P11" s="66"/>
      <c r="Y11" s="15" t="s">
        <v>123</v>
      </c>
      <c r="Z11" s="19"/>
      <c r="AA11" s="61" t="str">
        <f t="shared" si="0"/>
        <v/>
      </c>
      <c r="AC11" s="60"/>
      <c r="AD11" s="20" t="str">
        <f>IF(AC11="","¬",_xlfn.LET(_xlpm.base,IFERROR(LEFT(AC11,FIND(" (",AC11)-1),AC11),IFERROR(VLOOKUP(_xlpm.base,tblManoeuvre[],2,FALSE) &amp; " " &amp; REPT("●",VLOOKUP(_xlpm.base,tblManoeuvre[],3,FALSE)) &amp; " | " &amp; AC11,AC11 &amp; " " &amp; REPT("●",VLOOKUP(_xlpm.base,$F$79:$P$120,11,FALSE)))))</f>
        <v>¬</v>
      </c>
      <c r="AE11" s="20"/>
      <c r="AF11" s="20" t="str">
        <f>IF(LEN(AC11)=0,"¬",_xlfn.LET(_xlpm.base,IFERROR(LEFT(AC11,FIND(" (",AC11)-1),AC11),IFERROR(VLOOKUP(_xlpm.base,tblMerits[],5,FALSE),IFERROR(VLOOKUP(_xlpm.base,tblManoeuvre[],9,FALSE),"¬"))))</f>
        <v>¬</v>
      </c>
      <c r="AI11" s="15" t="s">
        <v>26</v>
      </c>
      <c r="AJ11" s="61">
        <f t="shared" si="1"/>
        <v>0</v>
      </c>
      <c r="AK11" s="61">
        <f>IF(AJ11=0,IF(COUNTIF($E$42:$E$49,AI11)&gt;0,-3,-1),AJ11)</f>
        <v>-3</v>
      </c>
    </row>
    <row r="12" spans="1:37">
      <c r="A12" s="1" t="s">
        <v>11</v>
      </c>
      <c r="B12" t="str">
        <f>IF(VLOOKUP(tblCharData[[#This Row],[Field]],$E$2:$F$362,2,FALSE)="","¬",VLOOKUP(tblCharData[[#This Row],[Field]],$E$2:$F$362,2,FALSE))</f>
        <v>¬</v>
      </c>
      <c r="D12" s="19"/>
      <c r="E12" s="15" t="s">
        <v>15</v>
      </c>
      <c r="F12" s="3"/>
      <c r="G12" s="3"/>
      <c r="H12" s="18"/>
      <c r="I12" s="18" t="s">
        <v>1432</v>
      </c>
      <c r="N12" s="61">
        <f>N71</f>
        <v>0</v>
      </c>
      <c r="O12" s="65" t="e">
        <f>N12/SUM(N$7:N$12)</f>
        <v>#DIV/0!</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0</v>
      </c>
      <c r="AK12" s="61">
        <f>IF(AJ12=0,IF(COUNTIF($E$42:$E$49,AI12)&gt;0,-3,-1),AJ12)</f>
        <v>-3</v>
      </c>
    </row>
    <row r="13" spans="1:37">
      <c r="A13" s="1" t="s">
        <v>12</v>
      </c>
      <c r="B13" t="str">
        <f>_xlfn.IFNA(CONCATENATE(Elements,VLOOKUP(B12,tblCovenantShortName[#Data],2,FALSE)," icon.svg"),"")</f>
        <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0</v>
      </c>
      <c r="AK13" s="61">
        <f t="shared" ref="AK13:AK19" si="2">AJ13</f>
        <v>0</v>
      </c>
    </row>
    <row r="14" spans="1:37">
      <c r="A14" s="1" t="s">
        <v>13</v>
      </c>
      <c r="B14" t="str">
        <f>IF(VLOOKUP(tblCharData[[#This Row],[Field]],$E$2:$F$362,2,FALSE)="","¬",VLOOKUP(tblCharData[[#This Row],[Field]],$E$2:$F$362,2,FALSE))</f>
        <v>¬</v>
      </c>
      <c r="D14" s="19"/>
      <c r="E14" s="15" t="s">
        <v>1433</v>
      </c>
      <c r="F14" s="28"/>
      <c r="G14" s="3"/>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0</v>
      </c>
      <c r="AK14" s="61">
        <f t="shared" si="2"/>
        <v>0</v>
      </c>
    </row>
    <row r="15" spans="1:37">
      <c r="A15" s="1" t="s">
        <v>14</v>
      </c>
      <c r="B15" t="str">
        <f>IF(VLOOKUP(tblCharData[[#This Row],[Field]],$E$2:$F$362,2,FALSE)="","¬",VLOOKUP(tblCharData[[#This Row],[Field]],$E$2:$F$362,2,FALSE))</f>
        <v>¬</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1</v>
      </c>
      <c r="AK15" s="61">
        <f t="shared" ca="1" si="2"/>
        <v>1</v>
      </c>
    </row>
    <row r="16" spans="1:37" ht="15.75" thickBot="1">
      <c r="A16" s="1" t="s">
        <v>15</v>
      </c>
      <c r="B16" t="str">
        <f ca="1">_xlfn.LET(_xlpm.a,VLOOKUP(tblCharData[[#This Row],[Field]],$E$2:$F$362,2,FALSE),_xlpm.b,VLOOKUP(OFFSET(tblCharData[[#This Row],[Field]],1,0),$E$2:$F$362,2,FALSE),IF(AND(_xlpm.a&lt;&gt;"",_xlpm.b&lt;&gt;""),_xlpm.a&amp;" &amp; "&amp;_xlpm.b,IF(_xlpm.a&lt;&gt;"",_xlpm.a,IF(_xlpm.b&lt;&gt;"",_xlpm.b,"¬"))))</f>
        <v>¬</v>
      </c>
      <c r="D16" s="14" t="s">
        <v>1427</v>
      </c>
      <c r="E16" s="14"/>
      <c r="F16" s="14"/>
      <c r="G16" s="14"/>
      <c r="H16" s="14"/>
      <c r="I16" s="14"/>
      <c r="N16" s="60">
        <f>SUM(N17:N21)</f>
        <v>0</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REPT("●",IFERROR(INDEX($P$26:$P$38,MATCH(tblCharData[[#This Row],[Field]],$E$26:$E$38,0)),0))&amp;REPT("○",IFERROR(INDEX($V$26:$V$38,MATCH(tblCharData[[#This Row],[Field]],$E$26:$E$38,0)),0))</f>
        <v>●</v>
      </c>
      <c r="D17" s="19"/>
      <c r="E17" s="15" t="s">
        <v>1435</v>
      </c>
      <c r="F17" s="3"/>
      <c r="G17" s="19"/>
      <c r="H17" s="19"/>
      <c r="I17" s="19"/>
      <c r="N17" s="61">
        <f>IF(F17=TRUE,3,0)</f>
        <v>0</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1</v>
      </c>
      <c r="AK17" s="61">
        <f>AJ17+IFERROR(INDEX($V$26:$V$38,MATCH(AI17,$E$26:$E$38,0)),0)</f>
        <v>1</v>
      </c>
    </row>
    <row r="18" spans="1:37">
      <c r="A18" s="1" t="s">
        <v>17</v>
      </c>
      <c r="B18" t="str">
        <f>REPT("●",IFERROR(INDEX($P$26:$P$38,MATCH(tblCharData[[#This Row],[Field]],$E$26:$E$38,0)),0))&amp;REPT("○",IFERROR(INDEX($V$26:$V$38,MATCH(tblCharData[[#This Row],[Field]],$E$26:$E$38,0)),0))</f>
        <v>●</v>
      </c>
      <c r="D18" s="19"/>
      <c r="E18" s="15" t="s">
        <v>1436</v>
      </c>
      <c r="F18" s="3"/>
      <c r="G18" s="19"/>
      <c r="H18" s="19"/>
      <c r="I18" s="19"/>
      <c r="N18" s="61">
        <f>IF(F18=TRUE,3,0)</f>
        <v>0</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0</v>
      </c>
      <c r="AK18" s="61">
        <f t="shared" si="2"/>
        <v>0</v>
      </c>
    </row>
    <row r="19" spans="1:37">
      <c r="A19" s="1" t="s">
        <v>18</v>
      </c>
      <c r="B19" t="str">
        <f>REPT("●",IFERROR(INDEX($P$26:$P$38,MATCH(tblCharData[[#This Row],[Field]],$E$26:$E$38,0)),0))&amp;REPT("○",IFERROR(INDEX($V$26:$V$38,MATCH(tblCharData[[#This Row],[Field]],$E$26:$E$38,0)),0))</f>
        <v>●</v>
      </c>
      <c r="D19" s="19"/>
      <c r="E19" s="15" t="s">
        <v>1437</v>
      </c>
      <c r="F19" s="3"/>
      <c r="G19" s="19"/>
      <c r="H19" s="19"/>
      <c r="I19" s="19"/>
      <c r="N19" s="61">
        <f>IF(F19=TRUE,3,0)</f>
        <v>0</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0</v>
      </c>
      <c r="AK19" s="61">
        <f t="shared" si="2"/>
        <v>0</v>
      </c>
    </row>
    <row r="20" spans="1:37">
      <c r="A20" s="1" t="s">
        <v>19</v>
      </c>
      <c r="B20" t="str">
        <f>REPT("●",IFERROR(INDEX($P$26:$P$38,MATCH(tblCharData[[#This Row],[Field]],$E$26:$E$38,0)),0))&amp;REPT("○",IFERROR(INDEX($V$26:$V$38,MATCH(tblCharData[[#This Row],[Field]],$E$26:$E$38,0)),0))</f>
        <v>●</v>
      </c>
      <c r="D20" s="19"/>
      <c r="E20" s="15" t="s">
        <v>1438</v>
      </c>
      <c r="F20" s="3"/>
      <c r="G20" s="19"/>
      <c r="H20" s="19"/>
      <c r="I20" s="19"/>
      <c r="N20" s="61">
        <f>IF(F20=TRUE,3,0)</f>
        <v>0</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REPT("●",IFERROR(INDEX($P$26:$P$38,MATCH(tblCharData[[#This Row],[Field]],$E$26:$E$38,0)),0))&amp;REPT("○",IFERROR(INDEX($V$26:$V$38,MATCH(tblCharData[[#This Row],[Field]],$E$26:$E$38,0)),0))</f>
        <v>●</v>
      </c>
      <c r="D21" s="19"/>
      <c r="E21" s="15" t="s">
        <v>11</v>
      </c>
      <c r="F21" s="3"/>
      <c r="G21" s="19"/>
      <c r="H21" s="19"/>
      <c r="I21" s="19"/>
      <c r="N21" s="61">
        <f>IF(F21=TRUE,3,0)</f>
        <v>0</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0</v>
      </c>
      <c r="AK21" s="61">
        <f>IF(AJ21=0,IF(COUNTIF($E$42:$E$49,AI21)&gt;0,-3,-1),AJ21)</f>
        <v>-1</v>
      </c>
    </row>
    <row r="22" spans="1:37">
      <c r="A22" s="1" t="s">
        <v>21</v>
      </c>
      <c r="B22" t="str">
        <f>REPT("●",IFERROR(INDEX($P$26:$P$38,MATCH(tblCharData[[#This Row],[Field]],$E$26:$E$38,0)),0))&amp;REPT("○",IFERROR(INDEX($V$26:$V$38,MATCH(tblCharData[[#This Row],[Field]],$E$26:$E$38,0)),0))</f>
        <v>●</v>
      </c>
      <c r="Y22" s="15" t="s">
        <v>1439</v>
      </c>
      <c r="Z22" s="61" t="str">
        <f>IFERROR(VLOOKUP(AA22,tblManoeuvre[],2,FALSE),"")</f>
        <v/>
      </c>
      <c r="AA22" s="61" t="str">
        <f t="shared" ref="AA22:AA41" si="3">_xlfn.LET(_xlpm.name,VLOOKUP(Y22,$E$2:$F$362,2,FALSE),_xlpm.paid,_xlfn.IFNA(VLOOKUP(_xlpm.name,$F$79:$Q$120,11,FALSE)&gt;=VLOOKUP(_xlpm.name,$F$79:$Q$120,12,FALSE),FALSE),IF(AND(_xlpm.name&lt;&gt;"",_xlpm.paid),_xlpm.name,""))</f>
        <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0</v>
      </c>
      <c r="AK22" s="61">
        <f>IF(AJ22=0,IF(COUNTIF($E$42:$E$49,AI22)&gt;0,-3,-1),AJ22)</f>
        <v>-1</v>
      </c>
    </row>
    <row r="23" spans="1:37" ht="15.75" thickBot="1">
      <c r="A23" s="1" t="s">
        <v>22</v>
      </c>
      <c r="B23" t="str">
        <f>REPT("●",IFERROR(INDEX($P$26:$P$38,MATCH(tblCharData[[#This Row],[Field]],$E$26:$E$38,0)),0))&amp;REPT("○",IFERROR(INDEX($V$26:$V$38,MATCH(tblCharData[[#This Row],[Field]],$E$26:$E$38,0)),0))</f>
        <v>●</v>
      </c>
      <c r="D23" s="14" t="s">
        <v>1440</v>
      </c>
      <c r="E23" s="14"/>
      <c r="F23" s="14"/>
      <c r="G23" s="14"/>
      <c r="H23" s="14"/>
      <c r="I23" s="14"/>
      <c r="N23" s="60">
        <f>SUM(N26:N28,N31:N33,N36:N38)</f>
        <v>0</v>
      </c>
      <c r="Y23" s="15" t="s">
        <v>1441</v>
      </c>
      <c r="Z23" s="61" t="str">
        <f>IFERROR(VLOOKUP(AA23,tblManoeuvre[],2,FALSE),"")</f>
        <v/>
      </c>
      <c r="AA23" s="61" t="str">
        <f t="shared" si="3"/>
        <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0</v>
      </c>
      <c r="AK23" s="61">
        <f>IF(AJ23=0,VLOOKUP(AI23,$E$42:$Q$69,13,FALSE),AJ23)</f>
        <v>0</v>
      </c>
    </row>
    <row r="24" spans="1:37">
      <c r="A24" s="1" t="s">
        <v>23</v>
      </c>
      <c r="B24" t="str">
        <f>REPT("●",IFERROR(INDEX($P$26:$P$38,MATCH(tblCharData[[#This Row],[Field]],$E$26:$E$38,0)),0))&amp;REPT("○",IFERROR(INDEX($V$26:$V$38,MATCH(tblCharData[[#This Row],[Field]],$E$26:$E$38,0)),0))</f>
        <v>●</v>
      </c>
      <c r="E24" s="15" t="s">
        <v>1442</v>
      </c>
      <c r="F24" s="3"/>
      <c r="Y24" s="15" t="s">
        <v>1443</v>
      </c>
      <c r="Z24" s="61" t="str">
        <f>IFERROR(VLOOKUP(AA24,tblManoeuvre[],2,FALSE),"")</f>
        <v/>
      </c>
      <c r="AA24" s="61" t="str">
        <f t="shared" si="3"/>
        <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6</v>
      </c>
      <c r="AK24" s="61">
        <f ca="1">AJ24</f>
        <v>6</v>
      </c>
    </row>
    <row r="25" spans="1:37">
      <c r="A25" s="1" t="s">
        <v>24</v>
      </c>
      <c r="B25" t="str">
        <f>REPT("●",IFERROR(INDEX($P$26:$P$38,MATCH(tblCharData[[#This Row],[Field]],$E$26:$E$38,0)),0))&amp;REPT("○",IFERROR(INDEX($V$26:$V$38,MATCH(tblCharData[[#This Row],[Field]],$E$26:$E$38,0)),0))</f>
        <v>●</v>
      </c>
      <c r="D25" s="16" t="s">
        <v>1444</v>
      </c>
      <c r="E25" s="17"/>
      <c r="F25" s="17"/>
      <c r="G25" s="17" t="s">
        <v>1445</v>
      </c>
      <c r="H25" s="16" t="s">
        <v>1446</v>
      </c>
      <c r="I25" s="3"/>
      <c r="L25" s="60">
        <f>IF(I25="",0,VLOOKUP(I25,tblPriority[],2,FALSE))-SUM(L26:L28)</f>
        <v>0</v>
      </c>
      <c r="Y25" s="15" t="s">
        <v>1447</v>
      </c>
      <c r="Z25" s="61" t="str">
        <f>IFERROR(VLOOKUP(AA25,tblManoeuvre[],2,FALSE),"")</f>
        <v/>
      </c>
      <c r="AA25" s="61" t="str">
        <f t="shared" si="3"/>
        <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7</v>
      </c>
      <c r="AK25" s="61">
        <f>AJ25</f>
        <v>7</v>
      </c>
    </row>
    <row r="26" spans="1:37">
      <c r="A26" s="1" t="s">
        <v>25</v>
      </c>
      <c r="B26" t="str">
        <f>REPT("●",IFERROR(INDEX($P$42:$P$69,MATCH(tblCharData[[#This Row],[Field]],$E$42:$E$69,0)),0))&amp;REPT("○",IFERROR(INDEX($V$42:$V$69,MATCH(tblCharData[[#This Row],[Field]],$E$42:$E$69,0)),0))&amp;IF(IFERROR(INDEX($W$42:$W$69,MATCH(tblCharData[[#This Row],[Field]],$E$42:$E$69,0)),0)=1,"†","")</f>
        <v/>
      </c>
      <c r="D26" s="18"/>
      <c r="E26" s="15" t="s">
        <v>16</v>
      </c>
      <c r="F26" s="18"/>
      <c r="G26" s="3"/>
      <c r="H26" s="18"/>
      <c r="I26" s="18"/>
      <c r="L26" s="3"/>
      <c r="M26" s="60">
        <f>IF(E26=$F$24,2,1)</f>
        <v>1</v>
      </c>
      <c r="N26" s="3"/>
      <c r="O26" s="61">
        <f>ROUNDDOWN(N26/4,0)</f>
        <v>0</v>
      </c>
      <c r="P26" s="60">
        <f>MIN(SUM(L26,M26,O26),R26)</f>
        <v>1</v>
      </c>
      <c r="R26" s="61">
        <v>5</v>
      </c>
      <c r="U26" s="4"/>
      <c r="V26" s="61">
        <f>U26</f>
        <v>0</v>
      </c>
      <c r="Y26" s="15" t="s">
        <v>1449</v>
      </c>
      <c r="Z26" s="61" t="str">
        <f>IFERROR(VLOOKUP(AA26,tblManoeuvre[],2,FALSE),"")</f>
        <v/>
      </c>
      <c r="AA26" s="61" t="str">
        <f t="shared" si="3"/>
        <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1</v>
      </c>
      <c r="AK26" s="61">
        <f>AJ26+IFERROR(INDEX($V$26:$V$38,MATCH(AI26,$E$26:$E$38,0)),0)</f>
        <v>1</v>
      </c>
    </row>
    <row r="27" spans="1:37">
      <c r="A27" s="1" t="s">
        <v>26</v>
      </c>
      <c r="B27" t="str">
        <f>REPT("●",IFERROR(INDEX($P$42:$P$69,MATCH(tblCharData[[#This Row],[Field]],$E$42:$E$69,0)),0))&amp;REPT("○",IFERROR(INDEX($V$42:$V$69,MATCH(tblCharData[[#This Row],[Field]],$E$42:$E$69,0)),0))&amp;IF(IFERROR(INDEX($W$42:$W$69,MATCH(tblCharData[[#This Row],[Field]],$E$42:$E$69,0)),0)=1,"†","")</f>
        <v/>
      </c>
      <c r="D27" s="18"/>
      <c r="E27" s="15" t="s">
        <v>17</v>
      </c>
      <c r="F27" s="18"/>
      <c r="G27" s="3"/>
      <c r="H27" s="18"/>
      <c r="I27" s="18"/>
      <c r="L27" s="3"/>
      <c r="M27" s="60">
        <f>IF(E27=$F$24,2,1)</f>
        <v>1</v>
      </c>
      <c r="N27" s="3"/>
      <c r="O27" s="61">
        <f>ROUNDDOWN(N27/4,0)</f>
        <v>0</v>
      </c>
      <c r="P27" s="60">
        <f>MIN(SUM(L27,M27,O27),R27)</f>
        <v>1</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0</v>
      </c>
      <c r="AK27" s="61">
        <f>IF(AJ27=0,IF(COUNTIF($E$42:$E$49,AI27)&gt;0,-3,-1),AJ27)</f>
        <v>-1</v>
      </c>
    </row>
    <row r="28" spans="1:37">
      <c r="A28" s="1" t="s">
        <v>27</v>
      </c>
      <c r="B28" t="str">
        <f>REPT("●",IFERROR(INDEX($P$42:$P$69,MATCH(tblCharData[[#This Row],[Field]],$E$42:$E$69,0)),0))&amp;REPT("○",IFERROR(INDEX($V$42:$V$69,MATCH(tblCharData[[#This Row],[Field]],$E$42:$E$69,0)),0))&amp;IF(IFERROR(INDEX($W$42:$W$69,MATCH(tblCharData[[#This Row],[Field]],$E$42:$E$69,0)),0)=1,"†","")</f>
        <v/>
      </c>
      <c r="D28" s="18"/>
      <c r="E28" s="15" t="s">
        <v>18</v>
      </c>
      <c r="F28" s="18"/>
      <c r="G28" s="3"/>
      <c r="H28" s="18"/>
      <c r="I28" s="18"/>
      <c r="L28" s="3"/>
      <c r="M28" s="60">
        <f>IF(E28=$F$24,2,1)</f>
        <v>1</v>
      </c>
      <c r="N28" s="3"/>
      <c r="O28" s="61">
        <f>ROUNDDOWN(N28/4,0)</f>
        <v>0</v>
      </c>
      <c r="P28" s="60">
        <f>MIN(SUM(L28,M28,O28),R28)</f>
        <v>1</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0</v>
      </c>
      <c r="AK28" s="61">
        <f>IF(AJ28=0,IF(COUNTIF($E$42:$E$49,AI28)&gt;0,-3,-1),AJ28)</f>
        <v>-3</v>
      </c>
    </row>
    <row r="29" spans="1:37">
      <c r="A29" s="1" t="s">
        <v>28</v>
      </c>
      <c r="B29" t="str">
        <f>REPT("●",IFERROR(INDEX($P$42:$P$69,MATCH(tblCharData[[#This Row],[Field]],$E$42:$E$69,0)),0))&amp;REPT("○",IFERROR(INDEX($V$42:$V$69,MATCH(tblCharData[[#This Row],[Field]],$E$42:$E$69,0)),0))&amp;IF(IFERROR(INDEX($W$42:$W$69,MATCH(tblCharData[[#This Row],[Field]],$E$42:$E$69,0)),0)=1,"†","")</f>
        <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0</v>
      </c>
      <c r="AK29" s="61">
        <f>IF(AJ29=0,IF(COUNTIF($E$42:$E$49,AI29)&gt;0,-3,-1),AJ29)</f>
        <v>-1</v>
      </c>
    </row>
    <row r="30" spans="1:37">
      <c r="A30" s="1" t="s">
        <v>29</v>
      </c>
      <c r="B30" t="str">
        <f>REPT("●",IFERROR(INDEX($P$42:$P$69,MATCH(tblCharData[[#This Row],[Field]],$E$42:$E$69,0)),0))&amp;REPT("○",IFERROR(INDEX($V$42:$V$69,MATCH(tblCharData[[#This Row],[Field]],$E$42:$E$69,0)),0))&amp;IF(IFERROR(INDEX($W$42:$W$69,MATCH(tblCharData[[#This Row],[Field]],$E$42:$E$69,0)),0)=1,"†","")</f>
        <v/>
      </c>
      <c r="D30" s="16" t="s">
        <v>1453</v>
      </c>
      <c r="E30" s="17"/>
      <c r="F30" s="17"/>
      <c r="G30" s="17" t="s">
        <v>1445</v>
      </c>
      <c r="H30" s="16" t="s">
        <v>1446</v>
      </c>
      <c r="I30" s="3"/>
      <c r="L30" s="60">
        <f>IF(I30="",0,VLOOKUP(I30,tblPriority[],2,FALSE))-SUM(L31:L33)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0</v>
      </c>
      <c r="AK30" s="61">
        <f>AJ30</f>
        <v>0</v>
      </c>
    </row>
    <row r="31" spans="1:37">
      <c r="A31" s="1" t="s">
        <v>30</v>
      </c>
      <c r="B31" t="str">
        <f>REPT("●",IFERROR(INDEX($P$42:$P$69,MATCH(tblCharData[[#This Row],[Field]],$E$42:$E$69,0)),0))&amp;REPT("○",IFERROR(INDEX($V$42:$V$69,MATCH(tblCharData[[#This Row],[Field]],$E$42:$E$69,0)),0))&amp;IF(IFERROR(INDEX($W$42:$W$69,MATCH(tblCharData[[#This Row],[Field]],$E$42:$E$69,0)),0)=1,"†","")</f>
        <v/>
      </c>
      <c r="D31" s="18"/>
      <c r="E31" s="15" t="s">
        <v>19</v>
      </c>
      <c r="F31" s="18"/>
      <c r="G31" s="3"/>
      <c r="H31" s="18"/>
      <c r="I31" s="18"/>
      <c r="L31" s="3"/>
      <c r="M31" s="60">
        <f>IF(E31=$F$24,2,1)</f>
        <v>1</v>
      </c>
      <c r="N31" s="3"/>
      <c r="O31" s="61">
        <f>ROUNDDOWN(N31/4,0)</f>
        <v>0</v>
      </c>
      <c r="P31" s="60">
        <f>MIN(SUM(L31,M31,O31),R31)</f>
        <v>1</v>
      </c>
      <c r="R31" s="61">
        <v>5</v>
      </c>
      <c r="U31" s="4"/>
      <c r="V31" s="61">
        <f>$P$174+U31</f>
        <v>0</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1</v>
      </c>
      <c r="AK31" s="61">
        <f>AJ31+IFERROR(INDEX($V$26:$V$38,MATCH(AI31,$E$26:$E$38,0)),0)</f>
        <v>1</v>
      </c>
    </row>
    <row r="32" spans="1:37">
      <c r="A32" s="1" t="s">
        <v>31</v>
      </c>
      <c r="B32" t="str">
        <f>REPT("●",IFERROR(INDEX($P$42:$P$69,MATCH(tblCharData[[#This Row],[Field]],$E$42:$E$69,0)),0))&amp;REPT("○",IFERROR(INDEX($V$42:$V$69,MATCH(tblCharData[[#This Row],[Field]],$E$42:$E$69,0)),0))&amp;IF(IFERROR(INDEX($W$42:$W$69,MATCH(tblCharData[[#This Row],[Field]],$E$42:$E$69,0)),0)=1,"†","")</f>
        <v/>
      </c>
      <c r="D32" s="18"/>
      <c r="E32" s="15" t="s">
        <v>20</v>
      </c>
      <c r="F32" s="18"/>
      <c r="G32" s="3"/>
      <c r="H32" s="18"/>
      <c r="I32" s="18"/>
      <c r="L32" s="3"/>
      <c r="M32" s="60">
        <f>IF(E32=$F$24,2,1)</f>
        <v>1</v>
      </c>
      <c r="N32" s="3"/>
      <c r="O32" s="61">
        <f>ROUNDDOWN(N32/4,0)</f>
        <v>0</v>
      </c>
      <c r="P32" s="60">
        <f>MIN(SUM(L32,M32,O32),R32)</f>
        <v>1</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REPT("●",IFERROR(INDEX($P$42:$P$69,MATCH(tblCharData[[#This Row],[Field]],$E$42:$E$69,0)),0))&amp;REPT("○",IFERROR(INDEX($V$42:$V$69,MATCH(tblCharData[[#This Row],[Field]],$E$42:$E$69,0)),0))&amp;IF(IFERROR(INDEX($W$42:$W$69,MATCH(tblCharData[[#This Row],[Field]],$E$42:$E$69,0)),0)=1,"†","")</f>
        <v/>
      </c>
      <c r="D33" s="18"/>
      <c r="E33" s="15" t="s">
        <v>21</v>
      </c>
      <c r="F33" s="18"/>
      <c r="G33" s="3"/>
      <c r="H33" s="18"/>
      <c r="I33" s="18"/>
      <c r="L33" s="3"/>
      <c r="M33" s="60">
        <f>IF(E33=$F$24,2,1)</f>
        <v>1</v>
      </c>
      <c r="N33" s="3"/>
      <c r="O33" s="61">
        <f>ROUNDDOWN(N33/4,0)</f>
        <v>0</v>
      </c>
      <c r="P33" s="60">
        <f>MIN(SUM(L33,M33,O33),R33)</f>
        <v>1</v>
      </c>
      <c r="R33" s="61">
        <v>5</v>
      </c>
      <c r="U33" s="4"/>
      <c r="V33" s="61">
        <f>$P$173+U33</f>
        <v>0</v>
      </c>
      <c r="Y33" s="15" t="s">
        <v>1457</v>
      </c>
      <c r="Z33" s="61" t="str">
        <f>IFERROR(VLOOKUP(AA33,tblManoeuvre[],2,FALSE),"")</f>
        <v/>
      </c>
      <c r="AA33" s="61" t="str">
        <f t="shared" si="3"/>
        <v/>
      </c>
      <c r="AI33" s="15" t="s">
        <v>241</v>
      </c>
      <c r="AJ33" s="61">
        <f t="shared" si="1"/>
        <v>0</v>
      </c>
      <c r="AK33" s="61">
        <f>AJ33</f>
        <v>0</v>
      </c>
    </row>
    <row r="34" spans="1:37">
      <c r="A34" s="1" t="s">
        <v>33</v>
      </c>
      <c r="B34" t="str">
        <f>REPT("●",IFERROR(INDEX($P$42:$P$69,MATCH(tblCharData[[#This Row],[Field]],$E$42:$E$69,0)),0))&amp;REPT("○",IFERROR(INDEX($V$42:$V$69,MATCH(tblCharData[[#This Row],[Field]],$E$42:$E$69,0)),0))&amp;IF(IFERROR(INDEX($W$42:$W$69,MATCH(tblCharData[[#This Row],[Field]],$E$42:$E$69,0)),0)=1,"†","")</f>
        <v/>
      </c>
      <c r="Y34" s="15" t="s">
        <v>1458</v>
      </c>
      <c r="Z34" s="61" t="str">
        <f>IFERROR(VLOOKUP(AA34,tblManoeuvre[],2,FALSE),"")</f>
        <v/>
      </c>
      <c r="AA34" s="61" t="str">
        <f t="shared" si="3"/>
        <v/>
      </c>
      <c r="AI34" s="15" t="s">
        <v>242</v>
      </c>
      <c r="AJ34" s="61">
        <f t="shared" ref="AJ34:AJ58" si="4">VLOOKUP(AI34,$E$3:$P$221,12,FALSE)</f>
        <v>0</v>
      </c>
      <c r="AK34" s="61">
        <f>AJ34</f>
        <v>0</v>
      </c>
    </row>
    <row r="35" spans="1:37">
      <c r="A35" s="1" t="s">
        <v>34</v>
      </c>
      <c r="B35" t="str">
        <f>REPT("●",IFERROR(INDEX($P$42:$P$69,MATCH(tblCharData[[#This Row],[Field]],$E$42:$E$69,0)),0))&amp;REPT("○",IFERROR(INDEX($V$42:$V$69,MATCH(tblCharData[[#This Row],[Field]],$E$42:$E$69,0)),0))&amp;IF(IFERROR(INDEX($W$42:$W$69,MATCH(tblCharData[[#This Row],[Field]],$E$42:$E$69,0)),0)=1,"†","")</f>
        <v/>
      </c>
      <c r="D35" s="16" t="s">
        <v>1459</v>
      </c>
      <c r="E35" s="17"/>
      <c r="F35" s="17"/>
      <c r="G35" s="17" t="s">
        <v>1445</v>
      </c>
      <c r="H35" s="16" t="s">
        <v>1446</v>
      </c>
      <c r="I35" s="3"/>
      <c r="L35" s="60">
        <f>IF(I35="",0,VLOOKUP(I35,tblPriority[],2,FALSE))-SUM(L36:L38)</f>
        <v>0</v>
      </c>
      <c r="Y35" s="15" t="s">
        <v>1460</v>
      </c>
      <c r="Z35" s="61" t="str">
        <f>IFERROR(VLOOKUP(AA35,tblManoeuvre[],2,FALSE),"")</f>
        <v/>
      </c>
      <c r="AA35" s="61" t="str">
        <f t="shared" si="3"/>
        <v/>
      </c>
      <c r="AI35" s="15" t="s">
        <v>30</v>
      </c>
      <c r="AJ35" s="61">
        <f t="shared" si="4"/>
        <v>0</v>
      </c>
      <c r="AK35" s="61">
        <f>IF(AJ35=0,IF(COUNTIF($E$42:$E$49,AI35)&gt;0,-3,-1),AJ35)</f>
        <v>-3</v>
      </c>
    </row>
    <row r="36" spans="1:37">
      <c r="A36" s="1" t="s">
        <v>35</v>
      </c>
      <c r="B36" t="str">
        <f>REPT("●",IFERROR(INDEX($P$42:$P$69,MATCH(tblCharData[[#This Row],[Field]],$E$42:$E$69,0)),0))&amp;REPT("○",IFERROR(INDEX($V$42:$V$69,MATCH(tblCharData[[#This Row],[Field]],$E$42:$E$69,0)),0))&amp;IF(IFERROR(INDEX($W$42:$W$69,MATCH(tblCharData[[#This Row],[Field]],$E$42:$E$69,0)),0)=1,"†","")</f>
        <v/>
      </c>
      <c r="D36" s="18"/>
      <c r="E36" s="15" t="s">
        <v>22</v>
      </c>
      <c r="F36" s="18"/>
      <c r="G36" s="3"/>
      <c r="H36" s="18"/>
      <c r="I36" s="18"/>
      <c r="L36" s="3"/>
      <c r="M36" s="60">
        <f>IF(E36=$F$24,2,1)</f>
        <v>1</v>
      </c>
      <c r="N36" s="3"/>
      <c r="O36" s="61">
        <f>ROUNDDOWN(N36/4,0)</f>
        <v>0</v>
      </c>
      <c r="P36" s="60">
        <f>MIN(SUM(L36,M36,O36),R36)</f>
        <v>1</v>
      </c>
      <c r="R36" s="61">
        <v>5</v>
      </c>
      <c r="U36" s="4"/>
      <c r="V36" s="61">
        <f>U36</f>
        <v>0</v>
      </c>
      <c r="Y36" s="15" t="s">
        <v>1461</v>
      </c>
      <c r="Z36" s="61" t="str">
        <f>IFERROR(VLOOKUP(AA36,tblManoeuvre[],2,FALSE),"")</f>
        <v/>
      </c>
      <c r="AA36" s="61" t="str">
        <f t="shared" si="3"/>
        <v/>
      </c>
      <c r="AI36" s="15" t="s">
        <v>45</v>
      </c>
      <c r="AJ36" s="61">
        <f t="shared" si="4"/>
        <v>0</v>
      </c>
      <c r="AK36" s="61">
        <f>IF(AJ36=0,IF(COUNTIF($E$42:$E$49,AI36)&gt;0,-3,-1),AJ36)</f>
        <v>-1</v>
      </c>
    </row>
    <row r="37" spans="1:37">
      <c r="A37" s="1" t="s">
        <v>36</v>
      </c>
      <c r="B37" t="str">
        <f>REPT("●",IFERROR(INDEX($P$42:$P$69,MATCH(tblCharData[[#This Row],[Field]],$E$42:$E$69,0)),0))&amp;REPT("○",IFERROR(INDEX($V$42:$V$69,MATCH(tblCharData[[#This Row],[Field]],$E$42:$E$69,0)),0))&amp;IF(IFERROR(INDEX($W$42:$W$69,MATCH(tblCharData[[#This Row],[Field]],$E$42:$E$69,0)),0)=1,"†","")</f>
        <v/>
      </c>
      <c r="D37" s="18"/>
      <c r="E37" s="15" t="s">
        <v>23</v>
      </c>
      <c r="F37" s="18"/>
      <c r="G37" s="3"/>
      <c r="H37" s="18"/>
      <c r="I37" s="18"/>
      <c r="L37" s="3"/>
      <c r="M37" s="60">
        <f>IF(E37=$F$24,2,1)</f>
        <v>1</v>
      </c>
      <c r="N37" s="3"/>
      <c r="O37" s="61">
        <f>ROUNDDOWN(N37/4,0)</f>
        <v>0</v>
      </c>
      <c r="P37" s="60">
        <f>MIN(SUM(L37,M37,O37),R37)</f>
        <v>1</v>
      </c>
      <c r="R37" s="61">
        <v>5</v>
      </c>
      <c r="U37" s="4"/>
      <c r="V37" s="61">
        <f>U37</f>
        <v>0</v>
      </c>
      <c r="Y37" s="15" t="s">
        <v>1462</v>
      </c>
      <c r="Z37" s="61" t="str">
        <f>IFERROR(VLOOKUP(AA37,tblManoeuvre[],2,FALSE),"")</f>
        <v/>
      </c>
      <c r="AA37" s="61" t="str">
        <f t="shared" si="3"/>
        <v/>
      </c>
      <c r="AI37" s="15" t="s">
        <v>31</v>
      </c>
      <c r="AJ37" s="61">
        <f t="shared" si="4"/>
        <v>0</v>
      </c>
      <c r="AK37" s="61">
        <f>IF(AJ37=0,IF(COUNTIF($E$42:$E$49,AI37)&gt;0,-3,-1),AJ37)</f>
        <v>-3</v>
      </c>
    </row>
    <row r="38" spans="1:37">
      <c r="A38" s="1" t="s">
        <v>37</v>
      </c>
      <c r="B38" t="str">
        <f>REPT("●",IFERROR(INDEX($P$42:$P$69,MATCH(tblCharData[[#This Row],[Field]],$E$42:$E$69,0)),0))&amp;REPT("○",IFERROR(INDEX($V$42:$V$69,MATCH(tblCharData[[#This Row],[Field]],$E$42:$E$69,0)),0))&amp;IF(IFERROR(INDEX($W$42:$W$69,MATCH(tblCharData[[#This Row],[Field]],$E$42:$E$69,0)),0)=1,"†","")</f>
        <v/>
      </c>
      <c r="D38" s="18"/>
      <c r="E38" s="15" t="s">
        <v>24</v>
      </c>
      <c r="F38" s="18"/>
      <c r="G38" s="3"/>
      <c r="H38" s="18"/>
      <c r="I38" s="18"/>
      <c r="L38" s="3"/>
      <c r="M38" s="60">
        <f>IF(E38=$F$24,2,1)</f>
        <v>1</v>
      </c>
      <c r="N38" s="3"/>
      <c r="O38" s="61">
        <f>ROUNDDOWN(N38/4,0)</f>
        <v>0</v>
      </c>
      <c r="P38" s="60">
        <f>MIN(SUM(L38,M38,O38),R38)</f>
        <v>1</v>
      </c>
      <c r="R38" s="61">
        <v>5</v>
      </c>
      <c r="U38" s="4"/>
      <c r="V38" s="61">
        <f>U38</f>
        <v>0</v>
      </c>
      <c r="Y38" s="15" t="s">
        <v>1463</v>
      </c>
      <c r="Z38" s="61" t="str">
        <f>IFERROR(VLOOKUP(AA38,tblManoeuvre[],2,FALSE),"")</f>
        <v/>
      </c>
      <c r="AA38" s="61" t="str">
        <f t="shared" si="3"/>
        <v/>
      </c>
      <c r="AI38" s="15" t="s">
        <v>22</v>
      </c>
      <c r="AJ38" s="61">
        <f t="shared" si="4"/>
        <v>1</v>
      </c>
      <c r="AK38" s="61">
        <f>AJ38+IFERROR(INDEX($V$26:$V$38,MATCH(AI38,$E$26:$E$38,0)),0)</f>
        <v>1</v>
      </c>
    </row>
    <row r="39" spans="1:37">
      <c r="A39" s="1" t="s">
        <v>38</v>
      </c>
      <c r="B39" t="str">
        <f>REPT("●",IFERROR(INDEX($P$42:$P$69,MATCH(tblCharData[[#This Row],[Field]],$E$42:$E$69,0)),0))&amp;REPT("○",IFERROR(INDEX($V$42:$V$69,MATCH(tblCharData[[#This Row],[Field]],$E$42:$E$69,0)),0))&amp;IF(IFERROR(INDEX($W$42:$W$69,MATCH(tblCharData[[#This Row],[Field]],$E$42:$E$69,0)),0)=1,"†","")</f>
        <v/>
      </c>
      <c r="Y39" s="15" t="s">
        <v>1464</v>
      </c>
      <c r="Z39" s="61" t="str">
        <f>IFERROR(VLOOKUP(AA39,tblManoeuvre[],2,FALSE),"")</f>
        <v/>
      </c>
      <c r="AA39" s="61" t="str">
        <f t="shared" si="3"/>
        <v/>
      </c>
      <c r="AI39" s="15" t="s">
        <v>243</v>
      </c>
      <c r="AJ39" s="61">
        <f t="shared" si="4"/>
        <v>0</v>
      </c>
      <c r="AK39" s="61">
        <f>AJ39</f>
        <v>0</v>
      </c>
    </row>
    <row r="40" spans="1:37" ht="15.75" thickBot="1">
      <c r="A40" s="1" t="s">
        <v>39</v>
      </c>
      <c r="B40" t="str">
        <f>REPT("●",IFERROR(INDEX($P$42:$P$69,MATCH(tblCharData[[#This Row],[Field]],$E$42:$E$69,0)),0))&amp;REPT("○",IFERROR(INDEX($V$42:$V$69,MATCH(tblCharData[[#This Row],[Field]],$E$42:$E$69,0)),0))&amp;IF(IFERROR(INDEX($W$42:$W$69,MATCH(tblCharData[[#This Row],[Field]],$E$42:$E$69,0)),0)=1,"†","")</f>
        <v/>
      </c>
      <c r="D40" s="14" t="s">
        <v>1465</v>
      </c>
      <c r="E40" s="14"/>
      <c r="F40" s="14"/>
      <c r="G40" s="14"/>
      <c r="H40" s="14"/>
      <c r="I40" s="14"/>
      <c r="N40" s="60">
        <f>SUM(N42:N49,N52:N59,N62:N69)</f>
        <v>0</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4"/>
        <v>0</v>
      </c>
      <c r="AK40" s="61">
        <f>AJ40</f>
        <v>0</v>
      </c>
    </row>
    <row r="41" spans="1:37">
      <c r="A41" s="1" t="s">
        <v>40</v>
      </c>
      <c r="B41" t="str">
        <f>REPT("●",IFERROR(INDEX($P$42:$P$69,MATCH(tblCharData[[#This Row],[Field]],$E$42:$E$69,0)),0))&amp;REPT("○",IFERROR(INDEX($V$42:$V$69,MATCH(tblCharData[[#This Row],[Field]],$E$42:$E$69,0)),0))&amp;IF(IFERROR(INDEX($W$42:$W$69,MATCH(tblCharData[[#This Row],[Field]],$E$42:$E$69,0)),0)=1,"†","")</f>
        <v/>
      </c>
      <c r="D41" s="16" t="s">
        <v>1444</v>
      </c>
      <c r="E41" s="17"/>
      <c r="F41" s="17"/>
      <c r="G41" s="17" t="s">
        <v>1467</v>
      </c>
      <c r="H41" s="16" t="s">
        <v>1446</v>
      </c>
      <c r="I41" s="3"/>
      <c r="L41" s="60">
        <f>IF(I41="",0,VLOOKUP(I41,tblPriority[],3,FALSE))-SUM(L42:L49)</f>
        <v>0</v>
      </c>
      <c r="T41" s="60">
        <f>3+IF(P161&gt;=3,2,0)-SUM(T42:T49,T52:T59,T62:T69)</f>
        <v>3</v>
      </c>
      <c r="Y41" s="15" t="s">
        <v>1468</v>
      </c>
      <c r="Z41" s="61" t="str">
        <f>IFERROR(VLOOKUP(AA41,tblManoeuvre[],2,FALSE),"")</f>
        <v/>
      </c>
      <c r="AA41" s="61" t="str">
        <f t="shared" si="3"/>
        <v/>
      </c>
      <c r="AI41" s="15" t="s">
        <v>244</v>
      </c>
      <c r="AJ41" s="61">
        <f t="shared" si="4"/>
        <v>0</v>
      </c>
      <c r="AK41" s="61">
        <f>AJ41</f>
        <v>0</v>
      </c>
    </row>
    <row r="42" spans="1:37">
      <c r="A42" s="1" t="s">
        <v>41</v>
      </c>
      <c r="B42" t="str">
        <f>REPT("●",IFERROR(INDEX($P$42:$P$69,MATCH(tblCharData[[#This Row],[Field]],$E$42:$E$69,0)),0))&amp;REPT("○",IFERROR(INDEX($V$42:$V$69,MATCH(tblCharData[[#This Row],[Field]],$E$42:$E$69,0)),0))&amp;IF(IFERROR(INDEX($W$42:$W$69,MATCH(tblCharData[[#This Row],[Field]],$E$42:$E$69,0)),0)=1,"†","")</f>
        <v/>
      </c>
      <c r="D42" s="18"/>
      <c r="E42" s="15" t="s">
        <v>25</v>
      </c>
      <c r="F42" s="18"/>
      <c r="G42" s="3"/>
      <c r="H42" s="18"/>
      <c r="I42" s="18"/>
      <c r="L42" s="4"/>
      <c r="M42" s="60"/>
      <c r="N42" s="4"/>
      <c r="O42" s="61">
        <f>ROUNDDOWN(N42/2,0)</f>
        <v>0</v>
      </c>
      <c r="P42" s="60">
        <f t="shared" ref="P42:P49" si="5">MIN(SUM(L42,M42,O42),R42)</f>
        <v>0</v>
      </c>
      <c r="R42" s="61">
        <v>5</v>
      </c>
      <c r="T42" s="4"/>
      <c r="U42" s="4"/>
      <c r="V42" s="61">
        <f t="shared" ref="V42:V49" si="6">U42</f>
        <v>0</v>
      </c>
      <c r="W42" s="4"/>
      <c r="AI42" s="15" t="s">
        <v>18</v>
      </c>
      <c r="AJ42" s="61">
        <f t="shared" si="4"/>
        <v>1</v>
      </c>
      <c r="AK42" s="61">
        <f>AJ42+IFERROR(INDEX($V$26:$V$38,MATCH(AI42,$E$26:$E$38,0)),0)</f>
        <v>1</v>
      </c>
    </row>
    <row r="43" spans="1:37">
      <c r="A43" s="1" t="s">
        <v>42</v>
      </c>
      <c r="B43" t="str">
        <f>REPT("●",IFERROR(INDEX($P$42:$P$69,MATCH(tblCharData[[#This Row],[Field]],$E$42:$E$69,0)),0))&amp;REPT("○",IFERROR(INDEX($V$42:$V$69,MATCH(tblCharData[[#This Row],[Field]],$E$42:$E$69,0)),0))&amp;IF(IFERROR(INDEX($W$42:$W$69,MATCH(tblCharData[[#This Row],[Field]],$E$42:$E$69,0)),0)=1,"†","")</f>
        <v/>
      </c>
      <c r="D43" s="18"/>
      <c r="E43" s="15" t="s">
        <v>26</v>
      </c>
      <c r="F43" s="18"/>
      <c r="G43" s="3"/>
      <c r="H43" s="18"/>
      <c r="I43" s="18"/>
      <c r="L43" s="4"/>
      <c r="M43" s="60"/>
      <c r="N43" s="4"/>
      <c r="O43" s="61">
        <f t="shared" ref="O43:O49" si="7">ROUNDDOWN(N43/2,0)</f>
        <v>0</v>
      </c>
      <c r="P43" s="60">
        <f t="shared" si="5"/>
        <v>0</v>
      </c>
      <c r="R43" s="61">
        <v>5</v>
      </c>
      <c r="T43" s="4"/>
      <c r="U43" s="4"/>
      <c r="V43" s="61">
        <f t="shared" si="6"/>
        <v>0</v>
      </c>
      <c r="W43" s="4"/>
      <c r="AI43" s="15" t="s">
        <v>32</v>
      </c>
      <c r="AJ43" s="61">
        <f t="shared" si="4"/>
        <v>0</v>
      </c>
      <c r="AK43" s="61">
        <f>IF(AJ43=0,IF(COUNTIF($E$42:$E$49,AI43)&gt;0,-3,-1),AJ43)</f>
        <v>-3</v>
      </c>
    </row>
    <row r="44" spans="1:37">
      <c r="A44" s="1" t="s">
        <v>43</v>
      </c>
      <c r="B44" t="str">
        <f>REPT("●",IFERROR(INDEX($P$42:$P$69,MATCH(tblCharData[[#This Row],[Field]],$E$42:$E$69,0)),0))&amp;REPT("○",IFERROR(INDEX($V$42:$V$69,MATCH(tblCharData[[#This Row],[Field]],$E$42:$E$69,0)),0))&amp;IF(IFERROR(INDEX($W$42:$W$69,MATCH(tblCharData[[#This Row],[Field]],$E$42:$E$69,0)),0)=1,"†","")</f>
        <v/>
      </c>
      <c r="D44" s="18"/>
      <c r="E44" s="15" t="s">
        <v>27</v>
      </c>
      <c r="F44" s="18"/>
      <c r="G44" s="3"/>
      <c r="H44" s="18"/>
      <c r="I44" s="18"/>
      <c r="L44" s="4"/>
      <c r="M44" s="60"/>
      <c r="N44" s="4"/>
      <c r="O44" s="61">
        <f t="shared" si="7"/>
        <v>0</v>
      </c>
      <c r="P44" s="60">
        <f t="shared" si="5"/>
        <v>0</v>
      </c>
      <c r="R44" s="61">
        <v>5</v>
      </c>
      <c r="T44" s="4"/>
      <c r="U44" s="4"/>
      <c r="V44" s="61">
        <f t="shared" si="6"/>
        <v>0</v>
      </c>
      <c r="W44" s="4"/>
      <c r="Y44" s="15">
        <v>1</v>
      </c>
      <c r="Z44" s="61" t="s">
        <v>236</v>
      </c>
      <c r="AA44" s="60" t="str" cm="1">
        <f t="array" ref="AA44">IF(OR(Y44=0,Y44=""),"",IF(VLOOKUP(Z44,$AI$1:$AJ$58,2,FALSE)&gt;=Y44,INDEX(tblDisciplines[Name],MATCH(1,(tblDisciplines[Discipline]=Z44)*(tblDisciplines[Rank]=Y44),0)),""))</f>
        <v/>
      </c>
      <c r="AC44" s="60" t="str" cm="1">
        <f t="array" ref="AC44:AC45">IFERROR(_xlfn.VSTACK(IFERROR(_xlfn._xlws.FILTER(AA44:AA121,AA44:AA121&lt;&gt;""),""),IFERROR(_xlfn._xlws.SORT(_xlfn._xlws.FILTER(AA123:AA132,AA123:AA132&lt;&gt;"")),"")),"")</f>
        <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
      </c>
      <c r="AF44" s="20" t="str">
        <f>IF(AC44="","",IFERROR(VLOOKUP(AC44,tblDisciplines[],12,FALSE),VLOOKUP(AC44,tblPacts[],5,FALSE)))</f>
        <v/>
      </c>
      <c r="AI44" s="15" t="s">
        <v>353</v>
      </c>
      <c r="AJ44" s="61">
        <f t="shared" si="4"/>
        <v>5</v>
      </c>
      <c r="AK44" s="61">
        <f>AJ44</f>
        <v>5</v>
      </c>
    </row>
    <row r="45" spans="1:37">
      <c r="A45" s="1" t="s">
        <v>44</v>
      </c>
      <c r="B45" t="str">
        <f>REPT("●",IFERROR(INDEX($P$42:$P$69,MATCH(tblCharData[[#This Row],[Field]],$E$42:$E$69,0)),0))&amp;REPT("○",IFERROR(INDEX($V$42:$V$69,MATCH(tblCharData[[#This Row],[Field]],$E$42:$E$69,0)),0))&amp;IF(IFERROR(INDEX($W$42:$W$69,MATCH(tblCharData[[#This Row],[Field]],$E$42:$E$69,0)),0)=1,"†","")</f>
        <v/>
      </c>
      <c r="D45" s="18"/>
      <c r="E45" s="15" t="s">
        <v>28</v>
      </c>
      <c r="F45" s="18"/>
      <c r="G45" s="3"/>
      <c r="H45" s="18"/>
      <c r="I45" s="18"/>
      <c r="L45" s="4"/>
      <c r="M45" s="60"/>
      <c r="N45" s="4"/>
      <c r="O45" s="61">
        <f t="shared" si="7"/>
        <v>0</v>
      </c>
      <c r="P45" s="60">
        <f t="shared" si="5"/>
        <v>0</v>
      </c>
      <c r="R45" s="61">
        <v>5</v>
      </c>
      <c r="T45" s="4"/>
      <c r="U45" s="4"/>
      <c r="V45" s="61">
        <f t="shared" si="6"/>
        <v>0</v>
      </c>
      <c r="W45" s="4"/>
      <c r="Y45" s="15">
        <v>2</v>
      </c>
      <c r="Z45" s="61" t="s">
        <v>236</v>
      </c>
      <c r="AA45" s="60" t="str" cm="1">
        <f t="array" ref="AA45">IF(OR(Y45=0,Y45=""),"",IF(VLOOKUP(Z45,$AI$1:$AJ$58,2,FALSE)&gt;=Y45,INDEX(tblDisciplines[Name],MATCH(1,(tblDisciplines[Discipline]=Z45)*(tblDisciplines[Rank]=Y45),0)),""))</f>
        <v/>
      </c>
      <c r="AC45" s="60" t="str">
        <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
      </c>
      <c r="AF45" s="20" t="str">
        <f>IF(AC45="","",IFERROR(VLOOKUP(AC45,tblDisciplines[],12,FALSE),VLOOKUP(AC45,tblPacts[],5,FALSE)))</f>
        <v/>
      </c>
      <c r="AI45" s="15" t="s">
        <v>46</v>
      </c>
      <c r="AJ45" s="61">
        <f t="shared" si="4"/>
        <v>0</v>
      </c>
      <c r="AK45" s="61">
        <f>IF(AJ45=0,IF(COUNTIF($E$42:$E$49,AI45)&gt;0,-3,-1),AJ45)</f>
        <v>-1</v>
      </c>
    </row>
    <row r="46" spans="1:37">
      <c r="A46" s="1" t="s">
        <v>45</v>
      </c>
      <c r="B46" t="str">
        <f>REPT("●",IFERROR(INDEX($P$42:$P$69,MATCH(tblCharData[[#This Row],[Field]],$E$42:$E$69,0)),0))&amp;REPT("○",IFERROR(INDEX($V$42:$V$69,MATCH(tblCharData[[#This Row],[Field]],$E$42:$E$69,0)),0))&amp;IF(IFERROR(INDEX($W$42:$W$69,MATCH(tblCharData[[#This Row],[Field]],$E$42:$E$69,0)),0)=1,"†","")</f>
        <v/>
      </c>
      <c r="D46" s="18"/>
      <c r="E46" s="15" t="s">
        <v>29</v>
      </c>
      <c r="F46" s="18"/>
      <c r="G46" s="3"/>
      <c r="H46" s="18"/>
      <c r="I46" s="18"/>
      <c r="L46" s="4"/>
      <c r="M46" s="60"/>
      <c r="N46" s="4"/>
      <c r="O46" s="61">
        <f t="shared" si="7"/>
        <v>0</v>
      </c>
      <c r="P46" s="60">
        <f t="shared" si="5"/>
        <v>0</v>
      </c>
      <c r="R46" s="61">
        <v>5</v>
      </c>
      <c r="T46" s="4"/>
      <c r="U46" s="4"/>
      <c r="V46" s="61">
        <f t="shared" si="6"/>
        <v>0</v>
      </c>
      <c r="W46" s="4"/>
      <c r="Y46" s="15">
        <v>3</v>
      </c>
      <c r="Z46" s="61" t="s">
        <v>236</v>
      </c>
      <c r="AA46" s="60" t="str" cm="1">
        <f t="array" ref="AA46">IF(OR(Y46=0,Y46=""),"",IF(VLOOKUP(Z46,$AI$1:$AJ$58,2,FALSE)&gt;=Y46,INDEX(tblDisciplines[Name],MATCH(1,(tblDisciplines[Discipline]=Z46)*(tblDisciplines[Rank]=Y46),0)),""))</f>
        <v/>
      </c>
      <c r="AC46" s="60"/>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
      </c>
      <c r="AF46" s="20" t="str">
        <f>IF(AC46="","",IFERROR(VLOOKUP(AC46,tblDisciplines[],12,FALSE),VLOOKUP(AC46,tblPacts[],5,FALSE)))</f>
        <v/>
      </c>
      <c r="AI46" s="15" t="s">
        <v>354</v>
      </c>
      <c r="AJ46" s="61">
        <f t="shared" ca="1" si="4"/>
        <v>7</v>
      </c>
      <c r="AK46" s="61">
        <f ca="1">AJ46</f>
        <v>7</v>
      </c>
    </row>
    <row r="47" spans="1:37">
      <c r="A47" s="1" t="s">
        <v>46</v>
      </c>
      <c r="B47" t="str">
        <f>REPT("●",IFERROR(INDEX($P$42:$P$69,MATCH(tblCharData[[#This Row],[Field]],$E$42:$E$69,0)),0))&amp;REPT("○",IFERROR(INDEX($V$42:$V$69,MATCH(tblCharData[[#This Row],[Field]],$E$42:$E$69,0)),0))&amp;IF(IFERROR(INDEX($W$42:$W$69,MATCH(tblCharData[[#This Row],[Field]],$E$42:$E$69,0)),0)=1,"†","")</f>
        <v/>
      </c>
      <c r="D47" s="18"/>
      <c r="E47" s="15" t="s">
        <v>30</v>
      </c>
      <c r="F47" s="18"/>
      <c r="G47" s="3"/>
      <c r="H47" s="18"/>
      <c r="I47" s="18"/>
      <c r="L47" s="4"/>
      <c r="M47" s="60"/>
      <c r="N47" s="4"/>
      <c r="O47" s="61">
        <f t="shared" si="7"/>
        <v>0</v>
      </c>
      <c r="P47" s="60">
        <f t="shared" si="5"/>
        <v>0</v>
      </c>
      <c r="R47" s="61">
        <v>5</v>
      </c>
      <c r="T47" s="4"/>
      <c r="U47" s="4"/>
      <c r="V47" s="61">
        <f t="shared" si="6"/>
        <v>0</v>
      </c>
      <c r="W47" s="4"/>
      <c r="Y47" s="15">
        <v>4</v>
      </c>
      <c r="Z47" s="61" t="s">
        <v>236</v>
      </c>
      <c r="AA47" s="60" t="str" cm="1">
        <f t="array" ref="AA47">IF(OR(Y47=0,Y47=""),"",IF(VLOOKUP(Z47,$AI$1:$AJ$58,2,FALSE)&gt;=Y47,INDEX(tblDisciplines[Name],MATCH(1,(tblDisciplines[Discipline]=Z47)*(tblDisciplines[Rank]=Y47),0)),""))</f>
        <v/>
      </c>
      <c r="AC47" s="60"/>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
      </c>
      <c r="AF47" s="20" t="str">
        <f>IF(AC47="","",IFERROR(VLOOKUP(AC47,tblDisciplines[],12,FALSE),VLOOKUP(AC47,tblPacts[],5,FALSE)))</f>
        <v/>
      </c>
      <c r="AI47" s="15" t="s">
        <v>21</v>
      </c>
      <c r="AJ47" s="61">
        <f t="shared" si="4"/>
        <v>1</v>
      </c>
      <c r="AK47" s="61">
        <f>AJ47+IFERROR(INDEX($V$26:$V$38,MATCH(AI47,$E$26:$E$38,0)),0)</f>
        <v>1</v>
      </c>
    </row>
    <row r="48" spans="1:37">
      <c r="A48" s="1" t="s">
        <v>47</v>
      </c>
      <c r="B48" t="str">
        <f>REPT("●",IFERROR(INDEX($P$42:$P$69,MATCH(tblCharData[[#This Row],[Field]],$E$42:$E$69,0)),0))&amp;REPT("○",IFERROR(INDEX($V$42:$V$69,MATCH(tblCharData[[#This Row],[Field]],$E$42:$E$69,0)),0))&amp;IF(IFERROR(INDEX($W$42:$W$69,MATCH(tblCharData[[#This Row],[Field]],$E$42:$E$69,0)),0)=1,"†","")</f>
        <v/>
      </c>
      <c r="D48" s="18"/>
      <c r="E48" s="15" t="s">
        <v>31</v>
      </c>
      <c r="F48" s="18"/>
      <c r="G48" s="3"/>
      <c r="H48" s="18"/>
      <c r="I48" s="18"/>
      <c r="L48" s="4"/>
      <c r="M48" s="60"/>
      <c r="N48" s="4"/>
      <c r="O48" s="61">
        <f t="shared" si="7"/>
        <v>0</v>
      </c>
      <c r="P48" s="60">
        <f t="shared" si="5"/>
        <v>0</v>
      </c>
      <c r="R48" s="61">
        <v>5</v>
      </c>
      <c r="T48" s="4"/>
      <c r="U48" s="4"/>
      <c r="V48" s="61">
        <f t="shared" si="6"/>
        <v>0</v>
      </c>
      <c r="W48" s="4"/>
      <c r="Y48" s="15">
        <v>5</v>
      </c>
      <c r="Z48" s="61" t="s">
        <v>236</v>
      </c>
      <c r="AA48" s="60" t="str" cm="1">
        <f t="array" ref="AA48">IF(OR(Y48=0,Y48=""),"",IF(VLOOKUP(Z48,$AI$1:$AJ$58,2,FALSE)&gt;=Y48,INDEX(tblDisciplines[Name],MATCH(1,(tblDisciplines[Discipline]=Z48)*(tblDisciplines[Rank]=Y48),0)),""))</f>
        <v/>
      </c>
      <c r="AC48" s="60"/>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
      </c>
      <c r="AF48" s="20" t="str">
        <f>IF(AC48="","",IFERROR(VLOOKUP(AC48,tblDisciplines[],12,FALSE),VLOOKUP(AC48,tblPacts[],5,FALSE)))</f>
        <v/>
      </c>
      <c r="AI48" s="15" t="s">
        <v>38</v>
      </c>
      <c r="AJ48" s="61">
        <f t="shared" si="4"/>
        <v>0</v>
      </c>
      <c r="AK48" s="61">
        <f>IF(AJ48=0,IF(COUNTIF($E$42:$E$49,AI48)&gt;0,-3,-1),AJ48)</f>
        <v>-1</v>
      </c>
    </row>
    <row r="49" spans="1:37">
      <c r="A49" s="1" t="s">
        <v>48</v>
      </c>
      <c r="B49" t="str">
        <f>REPT("●",IFERROR(INDEX($P$42:$P$69,MATCH(tblCharData[[#This Row],[Field]],$E$42:$E$69,0)),0))&amp;REPT("○",IFERROR(INDEX($V$42:$V$69,MATCH(tblCharData[[#This Row],[Field]],$E$42:$E$69,0)),0))&amp;IF(IFERROR(INDEX($W$42:$W$69,MATCH(tblCharData[[#This Row],[Field]],$E$42:$E$69,0)),0)=1,"†","")</f>
        <v/>
      </c>
      <c r="D49" s="18"/>
      <c r="E49" s="15" t="s">
        <v>32</v>
      </c>
      <c r="F49" s="18"/>
      <c r="G49" s="3"/>
      <c r="H49" s="18"/>
      <c r="I49" s="18"/>
      <c r="L49" s="4"/>
      <c r="M49" s="60"/>
      <c r="N49" s="4"/>
      <c r="O49" s="61">
        <f t="shared" si="7"/>
        <v>0</v>
      </c>
      <c r="P49" s="60">
        <f t="shared" si="5"/>
        <v>0</v>
      </c>
      <c r="R49" s="61">
        <v>5</v>
      </c>
      <c r="T49" s="4"/>
      <c r="U49" s="4"/>
      <c r="V49" s="61">
        <f t="shared" si="6"/>
        <v>0</v>
      </c>
      <c r="W49" s="4"/>
      <c r="Y49" s="15">
        <v>1</v>
      </c>
      <c r="Z49" s="61" t="s">
        <v>237</v>
      </c>
      <c r="AA49" s="60" t="str" cm="1">
        <f t="array" ref="AA49">IF(OR(Y49=0,Y49=""),"",IF(VLOOKUP(Z49,$AI$1:$AJ$58,2,FALSE)&gt;=Y49,INDEX(tblDisciplines[Name],MATCH(1,(tblDisciplines[Discipline]=Z49)*(tblDisciplines[Rank]=Y49),0)),""))</f>
        <v/>
      </c>
      <c r="AC49" s="60"/>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
      </c>
      <c r="AF49" s="20" t="str">
        <f>IF(AC49="","",IFERROR(VLOOKUP(AC49,tblDisciplines[],12,FALSE),VLOOKUP(AC49,tblPacts[],5,FALSE)))</f>
        <v/>
      </c>
      <c r="AI49" s="15" t="s">
        <v>47</v>
      </c>
      <c r="AJ49" s="61">
        <f t="shared" si="4"/>
        <v>0</v>
      </c>
      <c r="AK49" s="61">
        <f>IF(AJ49=0,IF(COUNTIF($E$42:$E$49,AI49)&gt;0,-3,-1),AJ49)</f>
        <v>-1</v>
      </c>
    </row>
    <row r="50" spans="1:37">
      <c r="A50" s="1" t="s">
        <v>49</v>
      </c>
      <c r="B50" t="str">
        <f ca="1">REPT("●",VLOOKUP(tblCharData[[#This Row],[Field]],INDIRECT($AH$1),2,FALSE)) &amp; REPT("○",10-VLOOKUP(tblCharData[[#This Row],[Field]],INDIRECT($AH$1),2,FALSE)) &amp; REPT("○",10-VLOOKUP(tblCharData[[#This Row],[Field]],INDIRECT($AH$1),2,FALSE))</f>
        <v>●○○○○○○○○○○○○○○○○○○</v>
      </c>
      <c r="Y50" s="15">
        <v>2</v>
      </c>
      <c r="Z50" s="61" t="s">
        <v>237</v>
      </c>
      <c r="AA50" s="60" t="str" cm="1">
        <f t="array" ref="AA50">IF(OR(Y50=0,Y50=""),"",IF(VLOOKUP(Z50,$AI$1:$AJ$58,2,FALSE)&gt;=Y50,INDEX(tblDisciplines[Name],MATCH(1,(tblDisciplines[Discipline]=Z50)*(tblDisciplines[Rank]=Y50),0)),""))</f>
        <v/>
      </c>
      <c r="AC50" s="60"/>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
      </c>
      <c r="AF50" s="20" t="str">
        <f>IF(AC50="","",IFERROR(VLOOKUP(AC50,tblDisciplines[],12,FALSE),VLOOKUP(AC50,tblPacts[],5,FALSE)))</f>
        <v/>
      </c>
      <c r="AI50" s="15" t="s">
        <v>19</v>
      </c>
      <c r="AJ50" s="61">
        <f t="shared" si="4"/>
        <v>1</v>
      </c>
      <c r="AK50" s="61">
        <f>AJ50+IFERROR(INDEX($V$26:$V$38,MATCH(AI50,$E$26:$E$38,0)),0)</f>
        <v>1</v>
      </c>
    </row>
    <row r="51" spans="1:37">
      <c r="A51" s="1" t="s">
        <v>50</v>
      </c>
      <c r="B51">
        <f>P72</f>
        <v>1</v>
      </c>
      <c r="D51" s="16" t="s">
        <v>1453</v>
      </c>
      <c r="E51" s="17"/>
      <c r="F51" s="17"/>
      <c r="G51" s="17" t="s">
        <v>1467</v>
      </c>
      <c r="H51" s="16" t="s">
        <v>1446</v>
      </c>
      <c r="I51" s="3"/>
      <c r="L51" s="60">
        <f>IF(I51="",0,VLOOKUP(I51,tblPriority[],3,FALSE))-SUM(L52:L59)</f>
        <v>0</v>
      </c>
      <c r="Y51" s="15">
        <v>3</v>
      </c>
      <c r="Z51" s="61" t="s">
        <v>237</v>
      </c>
      <c r="AA51" s="60" t="str" cm="1">
        <f t="array" ref="AA51">IF(OR(Y51=0,Y51=""),"",IF(VLOOKUP(Z51,$AI$1:$AJ$58,2,FALSE)&gt;=Y51,INDEX(tblDisciplines[Name],MATCH(1,(tblDisciplines[Discipline]=Z51)*(tblDisciplines[Rank]=Y51),0)),""))</f>
        <v/>
      </c>
      <c r="AC51" s="60"/>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
      </c>
      <c r="AF51" s="20" t="str">
        <f>IF(AC51="","",IFERROR(VLOOKUP(AC51,tblDisciplines[],12,FALSE),VLOOKUP(AC51,tblPacts[],5,FALSE)))</f>
        <v/>
      </c>
      <c r="AI51" s="15" t="s">
        <v>48</v>
      </c>
      <c r="AJ51" s="61">
        <f t="shared" si="4"/>
        <v>0</v>
      </c>
      <c r="AK51" s="61">
        <f>IF(AJ51=0,IF(COUNTIF($E$42:$E$49,AI51)&gt;0,-3,-1),AJ51)</f>
        <v>-1</v>
      </c>
    </row>
    <row r="52" spans="1:37">
      <c r="A52" s="1" t="s">
        <v>51</v>
      </c>
      <c r="B52" t="str">
        <f>_xlfn.IFNA(VLOOKUP(P72,tblBloodPotency[#Data],5,FALSE),"")</f>
        <v/>
      </c>
      <c r="D52" s="18"/>
      <c r="E52" s="15" t="s">
        <v>33</v>
      </c>
      <c r="F52" s="18"/>
      <c r="G52" s="3"/>
      <c r="H52" s="18"/>
      <c r="I52" s="18"/>
      <c r="L52" s="4"/>
      <c r="M52" s="60"/>
      <c r="N52" s="4"/>
      <c r="O52" s="61">
        <f>ROUNDDOWN(N52/2,0)</f>
        <v>0</v>
      </c>
      <c r="P52" s="60">
        <f t="shared" ref="P52:P59" si="8">MIN(SUM(L52,M52,O52),R52)</f>
        <v>0</v>
      </c>
      <c r="R52" s="61">
        <v>5</v>
      </c>
      <c r="T52" s="4"/>
      <c r="U52" s="4"/>
      <c r="V52" s="61">
        <f t="shared" ref="V52:V59" si="9">U52</f>
        <v>0</v>
      </c>
      <c r="W52" s="4"/>
      <c r="Y52" s="15">
        <v>4</v>
      </c>
      <c r="Z52" s="61" t="s">
        <v>237</v>
      </c>
      <c r="AA52" s="60" t="str" cm="1">
        <f t="array" ref="AA52">IF(OR(Y52=0,Y52=""),"",IF(VLOOKUP(Z52,$AI$1:$AJ$58,2,FALSE)&gt;=Y52,INDEX(tblDisciplines[Name],MATCH(1,(tblDisciplines[Discipline]=Z52)*(tblDisciplines[Rank]=Y52),0)),""))</f>
        <v/>
      </c>
      <c r="AC52" s="60"/>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
      </c>
      <c r="AF52" s="20" t="str">
        <f>IF(AC52="","",IFERROR(VLOOKUP(AC52,tblDisciplines[],12,FALSE),VLOOKUP(AC52,tblPacts[],5,FALSE)))</f>
        <v/>
      </c>
      <c r="AI52" s="15" t="s">
        <v>39</v>
      </c>
      <c r="AJ52" s="61">
        <f t="shared" si="4"/>
        <v>0</v>
      </c>
      <c r="AK52" s="61">
        <f>IF(AJ52=0,IF(COUNTIF($E$42:$E$49,AI52)&gt;0,-3,-1),AJ52)</f>
        <v>-1</v>
      </c>
    </row>
    <row r="53" spans="1:37">
      <c r="A53" s="1" t="s">
        <v>52</v>
      </c>
      <c r="B53" t="str">
        <f ca="1">REPT("□",P221) &amp; REPT("■",15-P221)</f>
        <v>□□□□□□■■■■■■■■■</v>
      </c>
      <c r="D53" s="18"/>
      <c r="E53" s="15" t="s">
        <v>34</v>
      </c>
      <c r="F53" s="18"/>
      <c r="G53" s="3"/>
      <c r="H53" s="18"/>
      <c r="I53" s="18"/>
      <c r="L53" s="4"/>
      <c r="M53" s="60"/>
      <c r="N53" s="4"/>
      <c r="O53" s="61">
        <f t="shared" ref="O53:O59" si="10">ROUNDDOWN(N53/2,0)</f>
        <v>0</v>
      </c>
      <c r="P53" s="60">
        <f t="shared" si="8"/>
        <v>0</v>
      </c>
      <c r="R53" s="61">
        <v>5</v>
      </c>
      <c r="T53" s="4"/>
      <c r="U53" s="4"/>
      <c r="V53" s="61">
        <f t="shared" si="9"/>
        <v>0</v>
      </c>
      <c r="W53" s="4"/>
      <c r="Y53" s="15">
        <v>5</v>
      </c>
      <c r="Z53" s="61" t="s">
        <v>237</v>
      </c>
      <c r="AA53" s="60" t="str" cm="1">
        <f t="array" ref="AA53">IF(OR(Y53=0,Y53=""),"",IF(VLOOKUP(Z53,$AI$1:$AJ$58,2,FALSE)&gt;=Y53,INDEX(tblDisciplines[Name],MATCH(1,(tblDisciplines[Discipline]=Z53)*(tblDisciplines[Rank]=Y53),0)),""))</f>
        <v/>
      </c>
      <c r="AC53" s="60"/>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
      </c>
      <c r="AF53" s="20" t="str">
        <f>IF(AC53="","",IFERROR(VLOOKUP(AC53,tblDisciplines[],12,FALSE),VLOOKUP(AC53,tblPacts[],5,FALSE)))</f>
        <v/>
      </c>
      <c r="AI53" s="15" t="s">
        <v>247</v>
      </c>
      <c r="AJ53" s="61">
        <f t="shared" si="4"/>
        <v>0</v>
      </c>
      <c r="AK53" s="61">
        <f>AJ53</f>
        <v>0</v>
      </c>
    </row>
    <row r="54" spans="1:37">
      <c r="A54" s="1" t="s">
        <v>53</v>
      </c>
      <c r="B54" t="str">
        <f>_xlfn.CONCAT(P74-L224," / ",P74)</f>
        <v>2 / 2</v>
      </c>
      <c r="D54" s="18"/>
      <c r="E54" s="15" t="s">
        <v>35</v>
      </c>
      <c r="F54" s="18"/>
      <c r="G54" s="3"/>
      <c r="H54" s="18"/>
      <c r="I54" s="18"/>
      <c r="L54" s="4"/>
      <c r="M54" s="60"/>
      <c r="N54" s="4"/>
      <c r="O54" s="61">
        <f t="shared" si="10"/>
        <v>0</v>
      </c>
      <c r="P54" s="60">
        <f t="shared" si="8"/>
        <v>0</v>
      </c>
      <c r="R54" s="61">
        <v>5</v>
      </c>
      <c r="T54" s="4"/>
      <c r="U54" s="4"/>
      <c r="V54" s="61">
        <f t="shared" si="9"/>
        <v>0</v>
      </c>
      <c r="W54" s="4"/>
      <c r="Y54" s="15">
        <f>P167</f>
        <v>0</v>
      </c>
      <c r="Z54" s="61" t="s">
        <v>238</v>
      </c>
      <c r="AA54" s="60" t="str" cm="1">
        <f t="array" ref="AA54">IF(OR(Y54=0,Y54=""),"",IF(VLOOKUP(Z54,$AI$1:$AJ$58,2,FALSE)&gt;=Y54,INDEX(tblDisciplines[Name],MATCH(1,(tblDisciplines[Discipline]=Z54)*(tblDisciplines[Rank]=Y54),0)),""))</f>
        <v/>
      </c>
      <c r="AC54" s="60"/>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
      </c>
      <c r="AF54" s="20" t="str">
        <f>IF(AC54="","",IFERROR(VLOOKUP(AC54,tblDisciplines[],12,FALSE),VLOOKUP(AC54,tblPacts[],5,FALSE)))</f>
        <v/>
      </c>
      <c r="AI54" s="15" t="s">
        <v>252</v>
      </c>
      <c r="AJ54" s="61">
        <f t="shared" si="4"/>
        <v>0</v>
      </c>
      <c r="AK54" s="61">
        <f>AJ54</f>
        <v>0</v>
      </c>
    </row>
    <row r="55" spans="1:37">
      <c r="A55" s="1" t="s">
        <v>54</v>
      </c>
      <c r="B55" t="str">
        <f>REPT("□",P74) &amp; REPT("■",10-P74)</f>
        <v>□□■■■■■■■■</v>
      </c>
      <c r="D55" s="18"/>
      <c r="E55" s="15" t="s">
        <v>36</v>
      </c>
      <c r="F55" s="18"/>
      <c r="G55" s="3"/>
      <c r="H55" s="18"/>
      <c r="I55" s="18"/>
      <c r="L55" s="4"/>
      <c r="M55" s="60"/>
      <c r="N55" s="4"/>
      <c r="O55" s="61">
        <f t="shared" si="10"/>
        <v>0</v>
      </c>
      <c r="P55" s="60">
        <f t="shared" si="8"/>
        <v>0</v>
      </c>
      <c r="R55" s="61">
        <v>5</v>
      </c>
      <c r="T55" s="4"/>
      <c r="U55" s="4"/>
      <c r="V55" s="61">
        <f t="shared" si="9"/>
        <v>0</v>
      </c>
      <c r="W55" s="4"/>
      <c r="Y55" s="15">
        <v>1</v>
      </c>
      <c r="Z55" s="61" t="s">
        <v>239</v>
      </c>
      <c r="AA55" s="60" t="str" cm="1">
        <f t="array" ref="AA55">IF(OR(Y55=0,Y55=""),"",IF(VLOOKUP(Z55,$AI$1:$AJ$58,2,FALSE)&gt;=Y55,INDEX(tblDisciplines[Name],MATCH(1,(tblDisciplines[Discipline]=Z55)*(tblDisciplines[Rank]=Y55),0)),""))</f>
        <v/>
      </c>
      <c r="AC55" s="60"/>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
      </c>
      <c r="AF55" s="20" t="str">
        <f>IF(AC55="","",IFERROR(VLOOKUP(AC55,tblDisciplines[],12,FALSE),VLOOKUP(AC55,tblPacts[],5,FALSE)))</f>
        <v/>
      </c>
      <c r="AI55" s="15" t="s">
        <v>245</v>
      </c>
      <c r="AJ55" s="61">
        <f t="shared" si="4"/>
        <v>0</v>
      </c>
      <c r="AK55" s="61">
        <f>AJ55+IFERROR(INDEX($V$26:$V$38,MATCH(AI55,$E$26:$E$38,0)),0)</f>
        <v>0</v>
      </c>
    </row>
    <row r="56" spans="1:37">
      <c r="A56" s="1" t="s">
        <v>55</v>
      </c>
      <c r="B56" t="str">
        <f ca="1">_xlfn.CONCAT(P75-L223," / ",P75)</f>
        <v>10 / 10</v>
      </c>
      <c r="D56" s="19"/>
      <c r="E56" s="15" t="s">
        <v>37</v>
      </c>
      <c r="F56" s="18"/>
      <c r="G56" s="3"/>
      <c r="H56" s="18"/>
      <c r="I56" s="18"/>
      <c r="L56" s="4"/>
      <c r="M56" s="60"/>
      <c r="N56" s="4"/>
      <c r="O56" s="61">
        <f t="shared" si="10"/>
        <v>0</v>
      </c>
      <c r="P56" s="60">
        <f t="shared" si="8"/>
        <v>0</v>
      </c>
      <c r="R56" s="61">
        <v>5</v>
      </c>
      <c r="T56" s="4"/>
      <c r="U56" s="4"/>
      <c r="V56" s="61">
        <f t="shared" si="9"/>
        <v>0</v>
      </c>
      <c r="W56" s="4"/>
      <c r="Y56" s="15">
        <v>2</v>
      </c>
      <c r="Z56" s="61" t="s">
        <v>239</v>
      </c>
      <c r="AA56" s="60" t="str" cm="1">
        <f t="array" ref="AA56">IF(OR(Y56=0,Y56=""),"",IF(VLOOKUP(Z56,$AI$1:$AJ$58,2,FALSE)&gt;=Y56,INDEX(tblDisciplines[Name],MATCH(1,(tblDisciplines[Discipline]=Z56)*(tblDisciplines[Rank]=Y56),0)),""))</f>
        <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4"/>
        <v>0</v>
      </c>
      <c r="AK56" s="61">
        <f>IF(AJ56=0,IF(COUNTIF($E$42:$E$49,AI56)&gt;0,-3,-1),AJ56)</f>
        <v>-1</v>
      </c>
    </row>
    <row r="57" spans="1:37">
      <c r="A57" s="1" t="s">
        <v>56</v>
      </c>
      <c r="B57" t="str">
        <f ca="1">REPT("□",P75-L223) &amp; REPT("■",20-P75+L223)</f>
        <v>□□□□□□□□□□■■■■■■■■■■</v>
      </c>
      <c r="D57" s="19"/>
      <c r="E57" s="15" t="s">
        <v>38</v>
      </c>
      <c r="F57" s="18"/>
      <c r="G57" s="3"/>
      <c r="H57" s="18"/>
      <c r="I57" s="18"/>
      <c r="L57" s="4"/>
      <c r="M57" s="60"/>
      <c r="N57" s="4"/>
      <c r="O57" s="61">
        <f t="shared" si="10"/>
        <v>0</v>
      </c>
      <c r="P57" s="60">
        <f t="shared" si="8"/>
        <v>0</v>
      </c>
      <c r="R57" s="61">
        <v>5</v>
      </c>
      <c r="T57" s="4"/>
      <c r="U57" s="4"/>
      <c r="V57" s="61">
        <f t="shared" si="9"/>
        <v>0</v>
      </c>
      <c r="W57" s="4"/>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4"/>
        <v>2</v>
      </c>
      <c r="AK57" s="61">
        <f>AJ57</f>
        <v>2</v>
      </c>
    </row>
    <row r="58" spans="1:37">
      <c r="A58" s="1" t="s">
        <v>57</v>
      </c>
      <c r="B58">
        <f ca="1">VLOOKUP(VLOOKUP("Blood Potency", INDIRECT($AH$1),2,FALSE),tblBloodPotency[#Data],3,FALSE)</f>
        <v>1</v>
      </c>
      <c r="D58" s="19"/>
      <c r="E58" s="15" t="s">
        <v>39</v>
      </c>
      <c r="F58" s="18"/>
      <c r="G58" s="3"/>
      <c r="H58" s="18"/>
      <c r="I58" s="18"/>
      <c r="L58" s="4"/>
      <c r="M58" s="60"/>
      <c r="N58" s="4"/>
      <c r="O58" s="61">
        <f t="shared" si="10"/>
        <v>0</v>
      </c>
      <c r="P58" s="60">
        <f t="shared" si="8"/>
        <v>0</v>
      </c>
      <c r="R58" s="61">
        <v>5</v>
      </c>
      <c r="T58" s="4"/>
      <c r="U58" s="4"/>
      <c r="V58" s="61">
        <f t="shared" si="9"/>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4"/>
        <v>1</v>
      </c>
      <c r="AK58" s="61">
        <f>AJ58+IFERROR(INDEX($V$26:$V$38,MATCH(AI58,$E$26:$E$38,0)),0)</f>
        <v>1</v>
      </c>
    </row>
    <row r="59" spans="1:37">
      <c r="A59" s="1" t="s">
        <v>58</v>
      </c>
      <c r="B59" t="str">
        <f ca="1">VLOOKUP(VLOOKUP("Blood Potency", INDIRECT($AH$1),2,FALSE),tblBloodPotency[#Data],4,FALSE)</f>
        <v>Animals</v>
      </c>
      <c r="D59" s="19"/>
      <c r="E59" s="15" t="s">
        <v>40</v>
      </c>
      <c r="F59" s="18"/>
      <c r="G59" s="3"/>
      <c r="H59" s="18"/>
      <c r="I59" s="18"/>
      <c r="L59" s="4"/>
      <c r="M59" s="60"/>
      <c r="N59" s="4"/>
      <c r="O59" s="61">
        <f t="shared" si="10"/>
        <v>0</v>
      </c>
      <c r="P59" s="60">
        <f t="shared" si="8"/>
        <v>0</v>
      </c>
      <c r="R59" s="61">
        <v>5</v>
      </c>
      <c r="T59" s="4"/>
      <c r="U59" s="4"/>
      <c r="V59" s="61">
        <f t="shared" si="9"/>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1">IFERROR(IF(VLOOKUP(SUBSTITUTE(A60," Spec",""),$E$42:$G$69,3,FALSE)=0,"",VLOOKUP(SUBSTITUTE(A60," Spec",""),$E$42:$G$69,3,FALSE)),"")</f>
        <v/>
      </c>
      <c r="Y60" s="15">
        <v>1</v>
      </c>
      <c r="Z60" s="61" t="s">
        <v>240</v>
      </c>
      <c r="AA60" s="60" t="str" cm="1">
        <f t="array" ref="AA60">IF(OR(Y60=0,Y60=""),"",IF(VLOOKUP(Z60,$AI$1:$AJ$58,2,FALSE)&gt;=Y60,INDEX(tblDisciplines[Name],MATCH(1,(tblDisciplines[Discipline]=Z60)*(tblDisciplines[Rank]=Y60),0)),""))</f>
        <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1"/>
        <v/>
      </c>
      <c r="D61" s="16" t="s">
        <v>1459</v>
      </c>
      <c r="E61" s="17"/>
      <c r="F61" s="17"/>
      <c r="G61" s="17" t="s">
        <v>1467</v>
      </c>
      <c r="H61" s="16" t="s">
        <v>1446</v>
      </c>
      <c r="I61" s="3"/>
      <c r="L61" s="60">
        <f>IF(I61="",0,VLOOKUP(I61,tblPriority[],3,FALSE))-SUM(L62:L69)</f>
        <v>0</v>
      </c>
      <c r="Y61" s="15">
        <v>2</v>
      </c>
      <c r="Z61" s="61" t="s">
        <v>240</v>
      </c>
      <c r="AA61" s="60" t="str" cm="1">
        <f t="array" ref="AA61">IF(OR(Y61=0,Y61=""),"",IF(VLOOKUP(Z61,$AI$1:$AJ$58,2,FALSE)&gt;=Y61,INDEX(tblDisciplines[Name],MATCH(1,(tblDisciplines[Discipline]=Z61)*(tblDisciplines[Rank]=Y61),0)),""))</f>
        <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1"/>
        <v/>
      </c>
      <c r="D62" s="18"/>
      <c r="E62" s="15" t="s">
        <v>41</v>
      </c>
      <c r="F62" s="18"/>
      <c r="G62" s="3"/>
      <c r="H62" s="18"/>
      <c r="I62" s="18"/>
      <c r="L62" s="4"/>
      <c r="M62" s="60"/>
      <c r="N62" s="4"/>
      <c r="O62" s="61">
        <f>ROUNDDOWN(N62/2,0)</f>
        <v>0</v>
      </c>
      <c r="P62" s="60">
        <f t="shared" ref="P62:P69" si="12">MIN(SUM(L62,M62,O62),R62)</f>
        <v>0</v>
      </c>
      <c r="R62" s="61">
        <v>5</v>
      </c>
      <c r="T62" s="4"/>
      <c r="U62" s="4"/>
      <c r="V62" s="61">
        <f t="shared" ref="V62:V69" si="13">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1"/>
        <v/>
      </c>
      <c r="D63" s="19"/>
      <c r="E63" s="15" t="s">
        <v>42</v>
      </c>
      <c r="F63" s="18"/>
      <c r="G63" s="3"/>
      <c r="H63" s="18"/>
      <c r="I63" s="18"/>
      <c r="L63" s="4"/>
      <c r="M63" s="60"/>
      <c r="N63" s="4"/>
      <c r="O63" s="61">
        <f t="shared" ref="O63:O69" si="14">ROUNDDOWN(N63/2,0)</f>
        <v>0</v>
      </c>
      <c r="P63" s="60">
        <f t="shared" si="12"/>
        <v>0</v>
      </c>
      <c r="R63" s="61">
        <v>5</v>
      </c>
      <c r="T63" s="4"/>
      <c r="U63" s="4"/>
      <c r="V63" s="61">
        <f t="shared" si="13"/>
        <v>0</v>
      </c>
      <c r="W63" s="4"/>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1"/>
        <v/>
      </c>
      <c r="D64" s="19"/>
      <c r="E64" s="15" t="s">
        <v>43</v>
      </c>
      <c r="F64" s="18"/>
      <c r="G64" s="3"/>
      <c r="H64" s="18"/>
      <c r="I64" s="18"/>
      <c r="L64" s="4"/>
      <c r="M64" s="60"/>
      <c r="N64" s="4"/>
      <c r="O64" s="61">
        <f t="shared" si="14"/>
        <v>0</v>
      </c>
      <c r="P64" s="60">
        <f t="shared" si="12"/>
        <v>0</v>
      </c>
      <c r="R64" s="61">
        <v>5</v>
      </c>
      <c r="T64" s="4"/>
      <c r="U64" s="4"/>
      <c r="V64" s="61">
        <f t="shared" si="13"/>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1"/>
        <v/>
      </c>
      <c r="D65" s="19"/>
      <c r="E65" s="15" t="s">
        <v>44</v>
      </c>
      <c r="F65" s="18"/>
      <c r="G65" s="3"/>
      <c r="H65" s="18"/>
      <c r="I65" s="18"/>
      <c r="L65" s="4"/>
      <c r="M65" s="60"/>
      <c r="N65" s="4"/>
      <c r="O65" s="61">
        <f t="shared" si="14"/>
        <v>0</v>
      </c>
      <c r="P65" s="60">
        <f t="shared" si="12"/>
        <v>0</v>
      </c>
      <c r="R65" s="61">
        <v>5</v>
      </c>
      <c r="T65" s="4"/>
      <c r="U65" s="4"/>
      <c r="V65" s="61">
        <f t="shared" si="13"/>
        <v>0</v>
      </c>
      <c r="W65" s="4"/>
      <c r="Y65" s="15">
        <v>1</v>
      </c>
      <c r="Z65" s="61" t="s">
        <v>241</v>
      </c>
      <c r="AA65" s="60" t="str" cm="1">
        <f t="array" ref="AA65">IF(OR(Y65=0,Y65=""),"",IF(VLOOKUP(Z65,$AI$1:$AJ$58,2,FALSE)&gt;=Y65,INDEX(tblDisciplines[Name],MATCH(1,(tblDisciplines[Discipline]=Z65)*(tblDisciplines[Rank]=Y65),0)),""))</f>
        <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1"/>
        <v/>
      </c>
      <c r="D66" s="19"/>
      <c r="E66" s="15" t="s">
        <v>45</v>
      </c>
      <c r="F66" s="18"/>
      <c r="G66" s="3"/>
      <c r="H66" s="18"/>
      <c r="I66" s="18"/>
      <c r="L66" s="4"/>
      <c r="M66" s="60"/>
      <c r="N66" s="4"/>
      <c r="O66" s="61">
        <f t="shared" si="14"/>
        <v>0</v>
      </c>
      <c r="P66" s="60">
        <f t="shared" si="12"/>
        <v>0</v>
      </c>
      <c r="R66" s="61">
        <v>5</v>
      </c>
      <c r="T66" s="4"/>
      <c r="U66" s="4"/>
      <c r="V66" s="61">
        <f t="shared" si="13"/>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1"/>
        <v/>
      </c>
      <c r="D67" s="19"/>
      <c r="E67" s="15" t="s">
        <v>46</v>
      </c>
      <c r="F67" s="18"/>
      <c r="G67" s="3"/>
      <c r="H67" s="18"/>
      <c r="I67" s="18"/>
      <c r="L67" s="4"/>
      <c r="M67" s="60"/>
      <c r="N67" s="4"/>
      <c r="O67" s="61">
        <f t="shared" si="14"/>
        <v>0</v>
      </c>
      <c r="P67" s="60">
        <f t="shared" si="12"/>
        <v>0</v>
      </c>
      <c r="R67" s="61">
        <v>5</v>
      </c>
      <c r="T67" s="4"/>
      <c r="U67" s="4"/>
      <c r="V67" s="61">
        <f t="shared" si="13"/>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1"/>
        <v/>
      </c>
      <c r="D68" s="18"/>
      <c r="E68" s="15" t="s">
        <v>47</v>
      </c>
      <c r="F68" s="18"/>
      <c r="G68" s="3"/>
      <c r="H68" s="18"/>
      <c r="I68" s="18"/>
      <c r="L68" s="4"/>
      <c r="M68" s="60"/>
      <c r="N68" s="4"/>
      <c r="O68" s="61">
        <f t="shared" si="14"/>
        <v>0</v>
      </c>
      <c r="P68" s="60">
        <f t="shared" si="12"/>
        <v>0</v>
      </c>
      <c r="R68" s="61">
        <v>5</v>
      </c>
      <c r="T68" s="4"/>
      <c r="U68" s="4"/>
      <c r="V68" s="61">
        <f t="shared" si="13"/>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1"/>
        <v/>
      </c>
      <c r="D69" s="18"/>
      <c r="E69" s="15" t="s">
        <v>48</v>
      </c>
      <c r="F69" s="18"/>
      <c r="G69" s="3"/>
      <c r="H69" s="18"/>
      <c r="I69" s="18"/>
      <c r="L69" s="4"/>
      <c r="M69" s="60"/>
      <c r="N69" s="4"/>
      <c r="O69" s="61">
        <f t="shared" si="14"/>
        <v>0</v>
      </c>
      <c r="P69" s="60">
        <f t="shared" si="12"/>
        <v>0</v>
      </c>
      <c r="R69" s="61">
        <v>5</v>
      </c>
      <c r="T69" s="4"/>
      <c r="U69" s="4"/>
      <c r="V69" s="61">
        <f t="shared" si="13"/>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1"/>
        <v/>
      </c>
      <c r="Y70" s="15">
        <v>1</v>
      </c>
      <c r="Z70" s="61" t="s">
        <v>242</v>
      </c>
      <c r="AA70" s="60" t="str" cm="1">
        <f t="array" ref="AA70">IF(OR(Y70=0,Y70=""),"",IF(VLOOKUP(Z70,$AI$1:$AJ$58,2,FALSE)&gt;=Y70,INDEX(tblDisciplines[Name],MATCH(1,(tblDisciplines[Discipline]=Z70)*(tblDisciplines[Rank]=Y70),0)),""))</f>
        <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1"/>
        <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1"/>
        <v/>
      </c>
      <c r="D72" s="19"/>
      <c r="E72" s="15" t="s">
        <v>49</v>
      </c>
      <c r="F72" s="19"/>
      <c r="G72" s="19"/>
      <c r="H72" s="19"/>
      <c r="I72" s="19"/>
      <c r="K72" s="4"/>
      <c r="L72" s="4"/>
      <c r="M72" s="60">
        <v>1</v>
      </c>
      <c r="N72" s="4"/>
      <c r="O72" s="61">
        <f>ROUNDDOWN(N72/5,0)</f>
        <v>0</v>
      </c>
      <c r="P72" s="60">
        <f>MIN(SUM(K72*-1,ROUNDDOWN(L72/5,0),M72,O72),R72)</f>
        <v>1</v>
      </c>
      <c r="R72" s="61">
        <v>2</v>
      </c>
      <c r="Y72" s="15">
        <v>3</v>
      </c>
      <c r="Z72" s="61" t="s">
        <v>242</v>
      </c>
      <c r="AA72" s="60" t="str" cm="1">
        <f t="array" ref="AA72">IF(OR(Y72=0,Y72=""),"",IF(VLOOKUP(Z72,$AI$1:$AJ$58,2,FALSE)&gt;=Y72,INDEX(tblDisciplines[Name],MATCH(1,(tblDisciplines[Discipline]=Z72)*(tblDisciplines[Rank]=Y72),0)),""))</f>
        <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1"/>
        <v/>
      </c>
      <c r="D73" s="19"/>
      <c r="E73" s="15" t="s">
        <v>1448</v>
      </c>
      <c r="F73" s="19"/>
      <c r="G73" s="19"/>
      <c r="H73" s="19"/>
      <c r="I73" s="19"/>
      <c r="K73" s="4"/>
      <c r="M73" s="60">
        <v>7</v>
      </c>
      <c r="N73" s="4"/>
      <c r="O73" s="61">
        <f>ROUNDDOWN(N73/2,0)</f>
        <v>0</v>
      </c>
      <c r="P73" s="60">
        <f>MIN(SUM(K73*-1,M73,O73),R73)</f>
        <v>7</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1"/>
        <v/>
      </c>
      <c r="D74" s="19"/>
      <c r="E74" s="15" t="s">
        <v>53</v>
      </c>
      <c r="F74" s="19"/>
      <c r="G74" s="19"/>
      <c r="H74" s="19"/>
      <c r="I74" s="19"/>
      <c r="K74" s="4"/>
      <c r="M74" s="60">
        <f>P28+P38</f>
        <v>2</v>
      </c>
      <c r="N74" s="4"/>
      <c r="O74" s="61">
        <f>N74</f>
        <v>0</v>
      </c>
      <c r="P74" s="60">
        <f>MIN(SUM(K74*-1,M74,O74),R74)</f>
        <v>2</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1"/>
        <v/>
      </c>
      <c r="D75" s="19"/>
      <c r="E75" s="15" t="s">
        <v>55</v>
      </c>
      <c r="F75" s="19"/>
      <c r="G75" s="19"/>
      <c r="H75" s="19"/>
      <c r="I75" s="19"/>
      <c r="P75" s="60">
        <f ca="1">VLOOKUP(VLOOKUP("Blood Potency",INDIRECT($AH$1),2,FALSE),tblBloodPotency[],2,FALSE)</f>
        <v>10</v>
      </c>
      <c r="Y75" s="15">
        <v>1</v>
      </c>
      <c r="Z75" s="61" t="s">
        <v>243</v>
      </c>
      <c r="AA75" s="60" t="str" cm="1">
        <f t="array" ref="AA75">IF(OR(Y75=0,Y75=""),"",IF(VLOOKUP(Z75,$AI$1:$AJ$58,2,FALSE)&gt;=Y75,INDEX(tblDisciplines[Name],MATCH(1,(tblDisciplines[Discipline]=Z75)*(tblDisciplines[Rank]=Y75),0)),""))</f>
        <v/>
      </c>
    </row>
    <row r="76" spans="1:32">
      <c r="A76" s="1" t="s">
        <v>75</v>
      </c>
      <c r="B76" t="str">
        <f t="shared" si="11"/>
        <v/>
      </c>
      <c r="Y76" s="15">
        <v>2</v>
      </c>
      <c r="Z76" s="61" t="s">
        <v>243</v>
      </c>
      <c r="AA76" s="60" t="str" cm="1">
        <f t="array" ref="AA76">IF(OR(Y76=0,Y76=""),"",IF(VLOOKUP(Z76,$AI$1:$AJ$58,2,FALSE)&gt;=Y76,INDEX(tblDisciplines[Name],MATCH(1,(tblDisciplines[Discipline]=Z76)*(tblDisciplines[Rank]=Y76),0)),""))</f>
        <v/>
      </c>
    </row>
    <row r="77" spans="1:32" ht="15.75" thickBot="1">
      <c r="A77" s="1" t="s">
        <v>76</v>
      </c>
      <c r="B77" t="str">
        <f t="shared" si="11"/>
        <v/>
      </c>
      <c r="D77" s="14" t="s">
        <v>1470</v>
      </c>
      <c r="E77" s="14"/>
      <c r="F77" s="14"/>
      <c r="G77" s="14"/>
      <c r="H77" s="14"/>
      <c r="I77" s="14"/>
      <c r="N77" s="60">
        <f>SUM(N79:N98,N101:N120,N206:N215,N132:N135,N138:N157,N160:N161)</f>
        <v>0</v>
      </c>
      <c r="Y77" s="15">
        <v>3</v>
      </c>
      <c r="Z77" s="61" t="s">
        <v>243</v>
      </c>
      <c r="AA77" s="60" t="str" cm="1">
        <f t="array" ref="AA77">IF(OR(Y77=0,Y77=""),"",IF(VLOOKUP(Z77,$AI$1:$AJ$58,2,FALSE)&gt;=Y77,INDEX(tblDisciplines[Name],MATCH(1,(tblDisciplines[Discipline]=Z77)*(tblDisciplines[Rank]=Y77),0)),""))</f>
        <v/>
      </c>
    </row>
    <row r="78" spans="1:32">
      <c r="A78" s="1" t="s">
        <v>77</v>
      </c>
      <c r="B78" t="str">
        <f t="shared" si="11"/>
        <v/>
      </c>
      <c r="D78" s="16" t="s">
        <v>1471</v>
      </c>
      <c r="E78" s="17"/>
      <c r="F78" s="17"/>
      <c r="G78" s="17"/>
      <c r="H78" s="17"/>
      <c r="I78" s="17"/>
      <c r="L78" s="60">
        <f>10-L72-SUM(L79:L98)-SUM(L101:L120)-SUM(L206:L215)-SUM(L132:L135)-SUM(L138:L157)-SUM(L160:L161)</f>
        <v>10</v>
      </c>
      <c r="Y78" s="15">
        <v>4</v>
      </c>
      <c r="Z78" s="61" t="s">
        <v>243</v>
      </c>
      <c r="AA78" s="60" t="str" cm="1">
        <f t="array" ref="AA78">IF(OR(Y78=0,Y78=""),"",IF(VLOOKUP(Z78,$AI$1:$AJ$58,2,FALSE)&gt;=Y78,INDEX(tblDisciplines[Name],MATCH(1,(tblDisciplines[Discipline]=Z78)*(tblDisciplines[Rank]=Y78),0)),""))</f>
        <v/>
      </c>
    </row>
    <row r="79" spans="1:32">
      <c r="A79" s="1" t="s">
        <v>78</v>
      </c>
      <c r="B79" t="str">
        <f t="shared" si="11"/>
        <v/>
      </c>
      <c r="D79" s="19"/>
      <c r="E79" s="15" t="s">
        <v>114</v>
      </c>
      <c r="F79" s="3"/>
      <c r="G79" s="3"/>
      <c r="H79" s="67" t="str">
        <f>_xlfn.IFNA(IF(VLOOKUP(F79,tblMerits[],6,FALSE)=0,"None",VLOOKUP(F79,tblMerits[],6,FALSE)),"None")</f>
        <v>None</v>
      </c>
      <c r="I79" s="67"/>
      <c r="L79" s="4"/>
      <c r="M79" s="4"/>
      <c r="N79" s="4"/>
      <c r="O79" s="61">
        <f>N79</f>
        <v>0</v>
      </c>
      <c r="P79" s="60">
        <f t="shared" ref="P79:P98" si="15">MIN(SUM(L79,M79,O79),R79)</f>
        <v>0</v>
      </c>
      <c r="Q79" s="61" t="str">
        <f>_xlfn.IFNA(VLOOKUP($F79,tblMerits[],3,FALSE),"")</f>
        <v/>
      </c>
      <c r="R79" s="61" t="str">
        <f>_xlfn.IFNA(VLOOKUP($F79,tblMerits[],4,FALSE),"")</f>
        <v/>
      </c>
      <c r="Y79" s="15">
        <v>5</v>
      </c>
      <c r="Z79" s="61" t="s">
        <v>243</v>
      </c>
      <c r="AA79" s="60" t="str" cm="1">
        <f t="array" ref="AA79">IF(OR(Y79=0,Y79=""),"",IF(VLOOKUP(Z79,$AI$1:$AJ$58,2,FALSE)&gt;=Y79,INDEX(tblDisciplines[Name],MATCH(1,(tblDisciplines[Discipline]=Z79)*(tblDisciplines[Rank]=Y79),0)),""))</f>
        <v/>
      </c>
    </row>
    <row r="80" spans="1:32">
      <c r="A80" s="1" t="s">
        <v>79</v>
      </c>
      <c r="B80" t="str">
        <f t="shared" si="11"/>
        <v/>
      </c>
      <c r="D80" s="19"/>
      <c r="E80" s="15" t="s">
        <v>115</v>
      </c>
      <c r="F80" s="3"/>
      <c r="G80" s="3"/>
      <c r="H80" s="67" t="str">
        <f>_xlfn.IFNA(IF(VLOOKUP(F80,tblMerits[],6,FALSE)=0,"None",VLOOKUP(F80,tblMerits[],6,FALSE)),"None")</f>
        <v>None</v>
      </c>
      <c r="I80" s="67"/>
      <c r="L80" s="4"/>
      <c r="M80" s="4"/>
      <c r="N80" s="4"/>
      <c r="O80" s="61">
        <f t="shared" ref="O80:O98" si="16">N80</f>
        <v>0</v>
      </c>
      <c r="P80" s="60">
        <f t="shared" si="15"/>
        <v>0</v>
      </c>
      <c r="Q80" s="61" t="str">
        <f>_xlfn.IFNA(VLOOKUP($F80,tblMerits[],3,FALSE),"")</f>
        <v/>
      </c>
      <c r="R80" s="61" t="str">
        <f>_xlfn.IFNA(VLOOKUP($F80,tblMerits[],4,FALSE),"")</f>
        <v/>
      </c>
      <c r="Y80" s="15">
        <f>P173</f>
        <v>0</v>
      </c>
      <c r="Z80" s="61" t="s">
        <v>244</v>
      </c>
      <c r="AA80" s="60" t="str" cm="1">
        <f t="array" ref="AA80">IF(OR(Y80=0,Y80=""),"",IF(VLOOKUP(Z80,$AI$1:$AJ$58,2,FALSE)&gt;=Y80,INDEX(tblDisciplines[Name],MATCH(1,(tblDisciplines[Discipline]=Z80)*(tblDisciplines[Rank]=Y80),0)),""))</f>
        <v/>
      </c>
    </row>
    <row r="81" spans="1:27">
      <c r="A81" s="1" t="s">
        <v>80</v>
      </c>
      <c r="B81" t="str">
        <f t="shared" si="11"/>
        <v/>
      </c>
      <c r="D81" s="19"/>
      <c r="E81" s="15" t="s">
        <v>116</v>
      </c>
      <c r="F81" s="3"/>
      <c r="G81" s="3"/>
      <c r="H81" s="67" t="str">
        <f>_xlfn.IFNA(IF(VLOOKUP(F81,tblMerits[],6,FALSE)=0,"None",VLOOKUP(F81,tblMerits[],6,FALSE)),"None")</f>
        <v>None</v>
      </c>
      <c r="I81" s="67"/>
      <c r="L81" s="4"/>
      <c r="M81" s="4"/>
      <c r="N81" s="4"/>
      <c r="O81" s="61">
        <f t="shared" si="16"/>
        <v>0</v>
      </c>
      <c r="P81" s="60">
        <f t="shared" si="15"/>
        <v>0</v>
      </c>
      <c r="Q81" s="61" t="str">
        <f>_xlfn.IFNA(VLOOKUP($F81,tblMerits[],3,FALSE),"")</f>
        <v/>
      </c>
      <c r="R81" s="61" t="str">
        <f>_xlfn.IFNA(VLOOKUP($F81,tblMerits[],4,FALSE),"")</f>
        <v/>
      </c>
      <c r="Y81" s="15">
        <f>P174</f>
        <v>0</v>
      </c>
      <c r="Z81" s="61" t="s">
        <v>245</v>
      </c>
      <c r="AA81" s="60" t="str" cm="1">
        <f t="array" ref="AA81">IF(OR(Y81=0,Y81=""),"",IF(VLOOKUP(Z81,$AI$1:$AJ$58,2,FALSE)&gt;=Y81,INDEX(tblDisciplines[Name],MATCH(1,(tblDisciplines[Discipline]=Z81)*(tblDisciplines[Rank]=Y81),0)),""))</f>
        <v/>
      </c>
    </row>
    <row r="82" spans="1:27">
      <c r="A82" s="1" t="s">
        <v>81</v>
      </c>
      <c r="B82" t="str">
        <f t="shared" si="11"/>
        <v/>
      </c>
      <c r="D82" s="19"/>
      <c r="E82" s="15" t="s">
        <v>117</v>
      </c>
      <c r="F82" s="3"/>
      <c r="G82" s="3"/>
      <c r="H82" s="67" t="str">
        <f>_xlfn.IFNA(IF(VLOOKUP(F82,tblMerits[],6,FALSE)=0,"None",VLOOKUP(F82,tblMerits[],6,FALSE)),"None")</f>
        <v>None</v>
      </c>
      <c r="I82" s="67"/>
      <c r="L82" s="4"/>
      <c r="M82" s="4"/>
      <c r="N82" s="4"/>
      <c r="O82" s="61">
        <f t="shared" si="16"/>
        <v>0</v>
      </c>
      <c r="P82" s="60">
        <f t="shared" si="15"/>
        <v>0</v>
      </c>
      <c r="Q82" s="61" t="str">
        <f>_xlfn.IFNA(VLOOKUP($F82,tblMerits[],3,FALSE),"")</f>
        <v/>
      </c>
      <c r="R82" s="61" t="str">
        <f>_xlfn.IFNA(VLOOKUP($F82,tblMerits[],4,FALSE),"")</f>
        <v/>
      </c>
      <c r="Y82" s="61" t="s">
        <v>1472</v>
      </c>
      <c r="Z82" s="19"/>
      <c r="AA82" s="60" t="str">
        <f>IF(P177="","",F177)</f>
        <v/>
      </c>
    </row>
    <row r="83" spans="1:27">
      <c r="A83" s="1" t="s">
        <v>82</v>
      </c>
      <c r="B83" t="str">
        <f t="shared" si="11"/>
        <v/>
      </c>
      <c r="D83" s="19"/>
      <c r="E83" s="15" t="s">
        <v>118</v>
      </c>
      <c r="F83" s="3"/>
      <c r="G83" s="3"/>
      <c r="H83" s="67" t="str">
        <f>_xlfn.IFNA(IF(VLOOKUP(F83,tblMerits[],6,FALSE)=0,"None",VLOOKUP(F83,tblMerits[],6,FALSE)),"None")</f>
        <v>None</v>
      </c>
      <c r="I83" s="67"/>
      <c r="L83" s="4"/>
      <c r="M83" s="4"/>
      <c r="N83" s="4"/>
      <c r="O83" s="61">
        <f t="shared" si="16"/>
        <v>0</v>
      </c>
      <c r="P83" s="60">
        <f t="shared" si="15"/>
        <v>0</v>
      </c>
      <c r="Q83" s="61" t="str">
        <f>_xlfn.IFNA(VLOOKUP($F83,tblMerits[],3,FALSE),"")</f>
        <v/>
      </c>
      <c r="R83" s="61" t="str">
        <f>_xlfn.IFNA(VLOOKUP($F83,tblMerits[],4,FALSE),"")</f>
        <v/>
      </c>
      <c r="Y83" s="61" t="s">
        <v>1472</v>
      </c>
      <c r="Z83" s="19"/>
      <c r="AA83" s="60" t="str">
        <f>IF(P178="","",F178)</f>
        <v/>
      </c>
    </row>
    <row r="84" spans="1:27">
      <c r="A84" s="1" t="s">
        <v>83</v>
      </c>
      <c r="B84">
        <f>P124</f>
        <v>0</v>
      </c>
      <c r="D84" s="19"/>
      <c r="E84" s="15" t="s">
        <v>119</v>
      </c>
      <c r="F84" s="3"/>
      <c r="G84" s="3"/>
      <c r="H84" s="67" t="str">
        <f>_xlfn.IFNA(IF(VLOOKUP(F84,tblMerits[],6,FALSE)=0,"None",VLOOKUP(F84,tblMerits[],6,FALSE)),"None")</f>
        <v>None</v>
      </c>
      <c r="I84" s="67"/>
      <c r="L84" s="4"/>
      <c r="M84" s="4"/>
      <c r="N84" s="4"/>
      <c r="O84" s="61">
        <f t="shared" si="16"/>
        <v>0</v>
      </c>
      <c r="P84" s="60">
        <f t="shared" si="15"/>
        <v>0</v>
      </c>
      <c r="Q84" s="61" t="str">
        <f>_xlfn.IFNA(VLOOKUP($F84,tblMerits[],3,FALSE),"")</f>
        <v/>
      </c>
      <c r="R84" s="61" t="str">
        <f>_xlfn.IFNA(VLOOKUP($F84,tblMerits[],4,FALSE),"")</f>
        <v/>
      </c>
      <c r="Y84" s="61" t="s">
        <v>1472</v>
      </c>
      <c r="Z84" s="19"/>
      <c r="AA84" s="60" t="str">
        <f>IF(P179="","",F179)</f>
        <v/>
      </c>
    </row>
    <row r="85" spans="1:27">
      <c r="A85" s="1" t="s">
        <v>84</v>
      </c>
      <c r="B85">
        <f>P125</f>
        <v>0</v>
      </c>
      <c r="D85" s="19"/>
      <c r="E85" s="15" t="s">
        <v>120</v>
      </c>
      <c r="F85" s="3"/>
      <c r="G85" s="3"/>
      <c r="H85" s="67" t="str">
        <f>_xlfn.IFNA(IF(VLOOKUP(F85,tblMerits[],6,FALSE)=0,"None",VLOOKUP(F85,tblMerits[],6,FALSE)),"None")</f>
        <v>None</v>
      </c>
      <c r="I85" s="67"/>
      <c r="L85" s="4"/>
      <c r="M85" s="4"/>
      <c r="N85" s="4"/>
      <c r="O85" s="61">
        <f t="shared" si="16"/>
        <v>0</v>
      </c>
      <c r="P85" s="60">
        <f t="shared" si="15"/>
        <v>0</v>
      </c>
      <c r="Q85" s="61" t="str">
        <f>_xlfn.IFNA(VLOOKUP($F85,tblMerits[],3,FALSE),"")</f>
        <v/>
      </c>
      <c r="R85" s="61" t="str">
        <f>_xlfn.IFNA(VLOOKUP($F85,tblMerits[],4,FALSE),"")</f>
        <v/>
      </c>
      <c r="Y85" s="61" t="s">
        <v>1472</v>
      </c>
      <c r="Z85" s="19"/>
      <c r="AA85" s="60" t="str">
        <f>IF(P180="","",F180)</f>
        <v/>
      </c>
    </row>
    <row r="86" spans="1:27">
      <c r="A86" s="1" t="s">
        <v>85</v>
      </c>
      <c r="B86">
        <f>P126</f>
        <v>0</v>
      </c>
      <c r="D86" s="19"/>
      <c r="E86" s="15" t="s">
        <v>121</v>
      </c>
      <c r="F86" s="3"/>
      <c r="G86" s="3"/>
      <c r="H86" s="67" t="str">
        <f>_xlfn.IFNA(IF(VLOOKUP(F86,tblMerits[],6,FALSE)=0,"None",VLOOKUP(F86,tblMerits[],6,FALSE)),"None")</f>
        <v>None</v>
      </c>
      <c r="I86" s="67"/>
      <c r="L86" s="4"/>
      <c r="M86" s="4"/>
      <c r="N86" s="4"/>
      <c r="O86" s="61">
        <f t="shared" si="16"/>
        <v>0</v>
      </c>
      <c r="P86" s="60">
        <f t="shared" si="15"/>
        <v>0</v>
      </c>
      <c r="Q86" s="61" t="str">
        <f>_xlfn.IFNA(VLOOKUP($F86,tblMerits[],3,FALSE),"")</f>
        <v/>
      </c>
      <c r="R86" s="61" t="str">
        <f>_xlfn.IFNA(VLOOKUP($F86,tblMerits[],4,FALSE),"")</f>
        <v/>
      </c>
      <c r="Y86" s="61" t="s">
        <v>1472</v>
      </c>
      <c r="Z86" s="19"/>
      <c r="AA86" s="60" t="str">
        <f>IF(P181="","",F181)</f>
        <v/>
      </c>
    </row>
    <row r="87" spans="1:27">
      <c r="A87" s="1" t="s">
        <v>86</v>
      </c>
      <c r="B87" t="str">
        <f>IF(F126="","¬",F126)</f>
        <v>¬</v>
      </c>
      <c r="D87" s="19"/>
      <c r="E87" s="15" t="s">
        <v>122</v>
      </c>
      <c r="F87" s="3"/>
      <c r="G87" s="3"/>
      <c r="H87" s="67" t="str">
        <f>_xlfn.IFNA(IF(VLOOKUP(F87,tblMerits[],6,FALSE)=0,"None",VLOOKUP(F87,tblMerits[],6,FALSE)),"None")</f>
        <v>None</v>
      </c>
      <c r="I87" s="67"/>
      <c r="L87" s="4"/>
      <c r="M87" s="4"/>
      <c r="N87" s="4"/>
      <c r="O87" s="61">
        <f t="shared" si="16"/>
        <v>0</v>
      </c>
      <c r="P87" s="60">
        <f t="shared" si="15"/>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
      </c>
    </row>
    <row r="88" spans="1:27">
      <c r="A88" s="1" t="s">
        <v>87</v>
      </c>
      <c r="B88" t="str">
        <f>REPT("●",P126)</f>
        <v/>
      </c>
      <c r="D88" s="19"/>
      <c r="E88" s="15" t="s">
        <v>123</v>
      </c>
      <c r="F88" s="3"/>
      <c r="G88" s="3"/>
      <c r="H88" s="67" t="str">
        <f>_xlfn.IFNA(IF(VLOOKUP(F88,tblMerits[],6,FALSE)=0,"None",VLOOKUP(F88,tblMerits[],6,FALSE)),"None")</f>
        <v>None</v>
      </c>
      <c r="I88" s="67"/>
      <c r="L88" s="4"/>
      <c r="M88" s="4"/>
      <c r="N88" s="4"/>
      <c r="O88" s="61">
        <f t="shared" si="16"/>
        <v>0</v>
      </c>
      <c r="P88" s="60">
        <f t="shared" si="15"/>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v>
      </c>
      <c r="D89" s="19"/>
      <c r="E89" s="15" t="s">
        <v>124</v>
      </c>
      <c r="F89" s="3"/>
      <c r="G89" s="3"/>
      <c r="H89" s="67" t="str">
        <f>_xlfn.IFNA(IF(VLOOKUP(F89,tblMerits[],6,FALSE)=0,"None",VLOOKUP(F89,tblMerits[],6,FALSE)),"None")</f>
        <v>None</v>
      </c>
      <c r="I89" s="67"/>
      <c r="L89" s="4"/>
      <c r="M89" s="4"/>
      <c r="N89" s="4"/>
      <c r="O89" s="61">
        <f t="shared" si="16"/>
        <v>0</v>
      </c>
      <c r="P89" s="60">
        <f t="shared" si="15"/>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_xlfn.IFNA(IF(VLOOKUP(F90,tblMerits[],6,FALSE)=0,"None",VLOOKUP(F90,tblMerits[],6,FALSE)),"None")</f>
        <v>None</v>
      </c>
      <c r="I90" s="67"/>
      <c r="L90" s="4"/>
      <c r="M90" s="4"/>
      <c r="N90" s="4"/>
      <c r="O90" s="61">
        <f t="shared" si="16"/>
        <v>0</v>
      </c>
      <c r="P90" s="60">
        <f t="shared" si="15"/>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v>
      </c>
      <c r="D91" s="19"/>
      <c r="E91" s="15" t="s">
        <v>126</v>
      </c>
      <c r="F91" s="3"/>
      <c r="G91" s="3"/>
      <c r="H91" s="67" t="str">
        <f>_xlfn.IFNA(IF(VLOOKUP(F91,tblMerits[],6,FALSE)=0,"None",VLOOKUP(F91,tblMerits[],6,FALSE)),"None")</f>
        <v>None</v>
      </c>
      <c r="I91" s="67"/>
      <c r="L91" s="4"/>
      <c r="M91" s="4"/>
      <c r="N91" s="4"/>
      <c r="O91" s="61">
        <f t="shared" si="16"/>
        <v>0</v>
      </c>
      <c r="P91" s="60">
        <f t="shared" si="15"/>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6"/>
        <v>0</v>
      </c>
      <c r="P92" s="60">
        <f t="shared" si="15"/>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v>
      </c>
      <c r="D93" s="19"/>
      <c r="E93" s="15" t="s">
        <v>128</v>
      </c>
      <c r="F93" s="3"/>
      <c r="G93" s="3"/>
      <c r="H93" s="67" t="str">
        <f>_xlfn.IFNA(IF(VLOOKUP(F93,tblMerits[],6,FALSE)=0,"None",VLOOKUP(F93,tblMerits[],6,FALSE)),"None")</f>
        <v>None</v>
      </c>
      <c r="I93" s="67"/>
      <c r="L93" s="4"/>
      <c r="M93" s="4"/>
      <c r="N93" s="4"/>
      <c r="O93" s="61">
        <f t="shared" si="16"/>
        <v>0</v>
      </c>
      <c r="P93" s="60">
        <f t="shared" si="15"/>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6"/>
        <v>0</v>
      </c>
      <c r="P94" s="60">
        <f t="shared" si="15"/>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6"/>
        <v>0</v>
      </c>
      <c r="P95" s="60">
        <f t="shared" si="15"/>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6"/>
        <v>0</v>
      </c>
      <c r="P96" s="60">
        <f t="shared" si="15"/>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6"/>
        <v>0</v>
      </c>
      <c r="P97" s="60">
        <f t="shared" si="15"/>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6"/>
        <v>0</v>
      </c>
      <c r="P98" s="60">
        <f t="shared" si="15"/>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c r="G101" s="60" t="str">
        <f>IFERROR(VLOOKUP(F101,tblManoeuvre[],2,FALSE)&amp;" "&amp;VLOOKUP(F101,tblManoeuvre[],3,FALSE),"")</f>
        <v/>
      </c>
      <c r="H101" s="67" t="str">
        <f>IFERROR(IF(VLOOKUP(F101,tblManoeuvre[],8,FALSE)=0,"None",VLOOKUP(F101,tblManoeuvre[],8,FALSE)),"None")</f>
        <v>None</v>
      </c>
      <c r="I101" s="67"/>
      <c r="L101" s="4"/>
      <c r="M101" s="4"/>
      <c r="N101" s="4"/>
      <c r="O101" s="61">
        <f t="shared" ref="O101:O120" si="17">N101</f>
        <v>0</v>
      </c>
      <c r="P101" s="60">
        <f t="shared" ref="P101:P120" si="18">MIN(SUM(L101,M101,O101),R101)</f>
        <v>0</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
      </c>
      <c r="D102" s="19"/>
      <c r="E102" s="15" t="s">
        <v>1441</v>
      </c>
      <c r="F102" s="3"/>
      <c r="G102" s="60" t="str">
        <f>IFERROR(VLOOKUP(F102,tblManoeuvre[],2,FALSE)&amp;" "&amp;VLOOKUP(F102,tblManoeuvre[],3,FALSE),"")</f>
        <v/>
      </c>
      <c r="H102" s="67" t="str">
        <f>IFERROR(IF(VLOOKUP(F102,tblManoeuvre[],8,FALSE)=0,"None",VLOOKUP(F102,tblManoeuvre[],8,FALSE)),"None")</f>
        <v>None</v>
      </c>
      <c r="I102" s="67"/>
      <c r="L102" s="4"/>
      <c r="M102" s="4"/>
      <c r="N102" s="4"/>
      <c r="O102" s="61">
        <f t="shared" si="17"/>
        <v>0</v>
      </c>
      <c r="P102" s="60">
        <f t="shared" si="18"/>
        <v>0</v>
      </c>
      <c r="Q102" s="61">
        <v>1</v>
      </c>
      <c r="R102" s="61">
        <v>1</v>
      </c>
      <c r="Y102" s="15">
        <v>1</v>
      </c>
      <c r="Z102" s="61" t="s">
        <v>251</v>
      </c>
      <c r="AA102" s="60" t="str" cm="1">
        <f t="array" ref="AA102">IF(VLOOKUP(Z102,$AI$1:$AJ$58,2,FALSE)&gt;=Y102,INDEX(tblDisciplines[Name],MATCH(1,(tblDisciplines[Discipline]=Z102)*(tblDisciplines[Rank]=Y102),0)),"")</f>
        <v/>
      </c>
    </row>
    <row r="103" spans="1:27">
      <c r="A103" s="1" t="s">
        <v>102</v>
      </c>
      <c r="B103">
        <f>P73</f>
        <v>7</v>
      </c>
      <c r="D103" s="19"/>
      <c r="E103" s="15" t="s">
        <v>1443</v>
      </c>
      <c r="F103" s="3"/>
      <c r="G103" s="60" t="str">
        <f>IFERROR(VLOOKUP(F103,tblManoeuvre[],2,FALSE)&amp;" "&amp;VLOOKUP(F103,tblManoeuvre[],3,FALSE),"")</f>
        <v/>
      </c>
      <c r="H103" s="67" t="str">
        <f>IFERROR(IF(VLOOKUP(F103,tblManoeuvre[],8,FALSE)=0,"None",VLOOKUP(F103,tblManoeuvre[],8,FALSE)),"None")</f>
        <v>None</v>
      </c>
      <c r="I103" s="67"/>
      <c r="L103" s="4"/>
      <c r="M103" s="4"/>
      <c r="N103" s="4"/>
      <c r="O103" s="61">
        <f t="shared" si="17"/>
        <v>0</v>
      </c>
      <c r="P103" s="60">
        <f t="shared" si="18"/>
        <v>0</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c r="G104" s="60" t="str">
        <f>IFERROR(VLOOKUP(F104,tblManoeuvre[],2,FALSE)&amp;" "&amp;VLOOKUP(F104,tblManoeuvre[],3,FALSE),"")</f>
        <v/>
      </c>
      <c r="H104" s="67" t="str">
        <f>IFERROR(IF(VLOOKUP(F104,tblManoeuvre[],8,FALSE)=0,"None",VLOOKUP(F104,tblManoeuvre[],8,FALSE)),"None")</f>
        <v>None</v>
      </c>
      <c r="I104" s="67"/>
      <c r="L104" s="4"/>
      <c r="M104" s="4"/>
      <c r="N104" s="4"/>
      <c r="O104" s="61">
        <f t="shared" si="17"/>
        <v>0</v>
      </c>
      <c r="P104" s="60">
        <f t="shared" si="18"/>
        <v>0</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c r="G105" s="60" t="str">
        <f>IFERROR(VLOOKUP(F105,tblManoeuvre[],2,FALSE)&amp;" "&amp;VLOOKUP(F105,tblManoeuvre[],3,FALSE),"")</f>
        <v/>
      </c>
      <c r="H105" s="67" t="str">
        <f>IFERROR(IF(VLOOKUP(F105,tblManoeuvre[],8,FALSE)=0,"None",VLOOKUP(F105,tblManoeuvre[],8,FALSE)),"None")</f>
        <v>None</v>
      </c>
      <c r="I105" s="67"/>
      <c r="L105" s="4"/>
      <c r="M105" s="4"/>
      <c r="N105" s="4"/>
      <c r="O105" s="61">
        <f t="shared" si="17"/>
        <v>0</v>
      </c>
      <c r="P105" s="60">
        <f t="shared" si="18"/>
        <v>0</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IFERROR(VLOOKUP(F106,tblManoeuvre[],2,FALSE)&amp;" "&amp;VLOOKUP(F106,tblManoeuvre[],3,FALSE),"")</f>
        <v/>
      </c>
      <c r="H106" s="67" t="str">
        <f>IFERROR(IF(VLOOKUP(F106,tblManoeuvre[],8,FALSE)=0,"None",VLOOKUP(F106,tblManoeuvre[],8,FALSE)),"None")</f>
        <v>None</v>
      </c>
      <c r="I106" s="67"/>
      <c r="L106" s="4"/>
      <c r="M106" s="4"/>
      <c r="N106" s="4"/>
      <c r="O106" s="61">
        <f t="shared" si="17"/>
        <v>0</v>
      </c>
      <c r="P106" s="60">
        <f t="shared" si="18"/>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IFERROR(VLOOKUP(F107,tblManoeuvre[],2,FALSE)&amp;" "&amp;VLOOKUP(F107,tblManoeuvre[],3,FALSE),"")</f>
        <v/>
      </c>
      <c r="H107" s="67" t="str">
        <f>IFERROR(IF(VLOOKUP(F107,tblManoeuvre[],8,FALSE)=0,"None",VLOOKUP(F107,tblManoeuvre[],8,FALSE)),"None")</f>
        <v>None</v>
      </c>
      <c r="I107" s="67"/>
      <c r="L107" s="4"/>
      <c r="M107" s="4"/>
      <c r="N107" s="4"/>
      <c r="O107" s="61">
        <f t="shared" si="17"/>
        <v>0</v>
      </c>
      <c r="P107" s="60">
        <f t="shared" si="18"/>
        <v>0</v>
      </c>
      <c r="Q107" s="61">
        <v>1</v>
      </c>
      <c r="R107" s="61">
        <v>1</v>
      </c>
      <c r="Y107" s="15">
        <v>1</v>
      </c>
      <c r="Z107" s="61" t="s">
        <v>252</v>
      </c>
      <c r="AA107" s="60" t="str" cm="1">
        <f t="array" ref="AA107">IF(VLOOKUP(Z107,$AI$1:$AJ$58,2,FALSE)&gt;=Y107,INDEX(tblDisciplines[Name],MATCH(1,(tblDisciplines[Discipline]=Z107)*(tblDisciplines[Rank]=Y107),0)),"")</f>
        <v/>
      </c>
    </row>
    <row r="108" spans="1:27">
      <c r="A108" s="1" t="s">
        <v>107</v>
      </c>
      <c r="B108" t="str">
        <f>IF($P$73&gt;=7,"●","○") &amp; IF(F226&lt;&gt;""," (" &amp; F226 &amp; ")","")</f>
        <v>●</v>
      </c>
      <c r="D108" s="19"/>
      <c r="E108" s="15" t="s">
        <v>1452</v>
      </c>
      <c r="F108" s="3"/>
      <c r="G108" s="60" t="str">
        <f>IFERROR(VLOOKUP(F108,tblManoeuvre[],2,FALSE)&amp;" "&amp;VLOOKUP(F108,tblManoeuvre[],3,FALSE),"")</f>
        <v/>
      </c>
      <c r="H108" s="67" t="str">
        <f>IFERROR(IF(VLOOKUP(F108,tblManoeuvre[],8,FALSE)=0,"None",VLOOKUP(F108,tblManoeuvre[],8,FALSE)),"None")</f>
        <v>None</v>
      </c>
      <c r="I108" s="67"/>
      <c r="L108" s="4"/>
      <c r="M108" s="4"/>
      <c r="N108" s="4"/>
      <c r="O108" s="61">
        <f t="shared" si="17"/>
        <v>0</v>
      </c>
      <c r="P108" s="60">
        <f t="shared" si="18"/>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v>
      </c>
      <c r="D109" s="19"/>
      <c r="E109" s="15" t="s">
        <v>1454</v>
      </c>
      <c r="F109" s="3"/>
      <c r="G109" s="60" t="str">
        <f>IFERROR(VLOOKUP(F109,tblManoeuvre[],2,FALSE)&amp;" "&amp;VLOOKUP(F109,tblManoeuvre[],3,FALSE),"")</f>
        <v/>
      </c>
      <c r="H109" s="67" t="str">
        <f>IFERROR(IF(VLOOKUP(F109,tblManoeuvre[],8,FALSE)=0,"None",VLOOKUP(F109,tblManoeuvre[],8,FALSE)),"None")</f>
        <v>None</v>
      </c>
      <c r="I109" s="67"/>
      <c r="L109" s="4"/>
      <c r="M109" s="4"/>
      <c r="N109" s="4"/>
      <c r="O109" s="61">
        <f t="shared" si="17"/>
        <v>0</v>
      </c>
      <c r="P109" s="60">
        <f t="shared" si="18"/>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v>
      </c>
      <c r="D110" s="19"/>
      <c r="E110" s="15" t="s">
        <v>1455</v>
      </c>
      <c r="F110" s="3"/>
      <c r="G110" s="60" t="str">
        <f>IFERROR(VLOOKUP(F110,tblManoeuvre[],2,FALSE)&amp;" "&amp;VLOOKUP(F110,tblManoeuvre[],3,FALSE),"")</f>
        <v/>
      </c>
      <c r="H110" s="67" t="str">
        <f>IFERROR(IF(VLOOKUP(F110,tblManoeuvre[],8,FALSE)=0,"None",VLOOKUP(F110,tblManoeuvre[],8,FALSE)),"None")</f>
        <v>None</v>
      </c>
      <c r="I110" s="67"/>
      <c r="L110" s="4"/>
      <c r="M110" s="4"/>
      <c r="N110" s="4"/>
      <c r="O110" s="61">
        <f t="shared" si="17"/>
        <v>0</v>
      </c>
      <c r="P110" s="60">
        <f t="shared" si="18"/>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t="str">
        <f>IFERROR(VLOOKUP(F111,tblManoeuvre[],2,FALSE)&amp;" "&amp;VLOOKUP(F111,tblManoeuvre[],3,FALSE),"")</f>
        <v/>
      </c>
      <c r="H111" s="67" t="str">
        <f>IFERROR(IF(VLOOKUP(F111,tblManoeuvre[],8,FALSE)=0,"None",VLOOKUP(F111,tblManoeuvre[],8,FALSE)),"None")</f>
        <v>None</v>
      </c>
      <c r="I111" s="67"/>
      <c r="L111" s="4"/>
      <c r="M111" s="4"/>
      <c r="N111" s="4"/>
      <c r="O111" s="61">
        <f t="shared" si="17"/>
        <v>0</v>
      </c>
      <c r="P111" s="60">
        <f t="shared" si="18"/>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t="str">
        <f>IFERROR(VLOOKUP(F112,tblManoeuvre[],2,FALSE)&amp;" "&amp;VLOOKUP(F112,tblManoeuvre[],3,FALSE),"")</f>
        <v/>
      </c>
      <c r="H112" s="67" t="str">
        <f>IFERROR(IF(VLOOKUP(F112,tblManoeuvre[],8,FALSE)=0,"None",VLOOKUP(F112,tblManoeuvre[],8,FALSE)),"None")</f>
        <v>None</v>
      </c>
      <c r="I112" s="67"/>
      <c r="L112" s="4"/>
      <c r="M112" s="4"/>
      <c r="N112" s="4"/>
      <c r="O112" s="61">
        <f t="shared" si="17"/>
        <v>0</v>
      </c>
      <c r="P112" s="60">
        <f t="shared" si="18"/>
        <v>0</v>
      </c>
      <c r="Q112" s="61">
        <v>1</v>
      </c>
      <c r="R112" s="61">
        <v>1</v>
      </c>
      <c r="Y112" s="61" t="s">
        <v>1474</v>
      </c>
      <c r="Z112" s="61" t="str">
        <f t="shared" ref="Z112:Z121" si="19">G194</f>
        <v/>
      </c>
      <c r="AA112" s="60" t="str">
        <f t="shared" ref="AA112:AA121" si="20">IF(P194="","",F194)</f>
        <v/>
      </c>
    </row>
    <row r="113" spans="1:27">
      <c r="A113" s="1" t="s">
        <v>112</v>
      </c>
      <c r="B113" t="str">
        <f>IF($P$73&gt;=2,"●","○") &amp; IF(F231&lt;&gt;""," (" &amp; F231 &amp; ")","")</f>
        <v>●</v>
      </c>
      <c r="D113" s="19"/>
      <c r="E113" s="15" t="s">
        <v>1458</v>
      </c>
      <c r="F113" s="3"/>
      <c r="G113" s="60" t="str">
        <f>IFERROR(VLOOKUP(F113,tblManoeuvre[],2,FALSE)&amp;" "&amp;VLOOKUP(F113,tblManoeuvre[],3,FALSE),"")</f>
        <v/>
      </c>
      <c r="H113" s="67" t="str">
        <f>IFERROR(IF(VLOOKUP(F113,tblManoeuvre[],8,FALSE)=0,"None",VLOOKUP(F113,tblManoeuvre[],8,FALSE)),"None")</f>
        <v>None</v>
      </c>
      <c r="I113" s="67"/>
      <c r="L113" s="4"/>
      <c r="M113" s="4"/>
      <c r="N113" s="4"/>
      <c r="O113" s="61">
        <f t="shared" si="17"/>
        <v>0</v>
      </c>
      <c r="P113" s="60">
        <f t="shared" si="18"/>
        <v>0</v>
      </c>
      <c r="Q113" s="61">
        <v>1</v>
      </c>
      <c r="R113" s="61">
        <v>1</v>
      </c>
      <c r="Y113" s="61" t="s">
        <v>1474</v>
      </c>
      <c r="Z113" s="61" t="str">
        <f t="shared" si="19"/>
        <v/>
      </c>
      <c r="AA113" s="60" t="str">
        <f t="shared" si="20"/>
        <v/>
      </c>
    </row>
    <row r="114" spans="1:27">
      <c r="A114" s="1" t="s">
        <v>113</v>
      </c>
      <c r="B114" t="str">
        <f>IF($P$73&gt;=1,"●","○") &amp; IF(F232&lt;&gt;""," (" &amp; F232 &amp; ")","")</f>
        <v>●</v>
      </c>
      <c r="D114" s="19"/>
      <c r="E114" s="15" t="s">
        <v>1460</v>
      </c>
      <c r="F114" s="3"/>
      <c r="G114" s="60" t="str">
        <f>IFERROR(VLOOKUP(F114,tblManoeuvre[],2,FALSE)&amp;" "&amp;VLOOKUP(F114,tblManoeuvre[],3,FALSE),"")</f>
        <v/>
      </c>
      <c r="H114" s="67" t="str">
        <f>IFERROR(IF(VLOOKUP(F114,tblManoeuvre[],8,FALSE)=0,"None",VLOOKUP(F114,tblManoeuvre[],8,FALSE)),"None")</f>
        <v>None</v>
      </c>
      <c r="I114" s="67"/>
      <c r="L114" s="4"/>
      <c r="M114" s="4"/>
      <c r="N114" s="4"/>
      <c r="O114" s="61">
        <f t="shared" si="17"/>
        <v>0</v>
      </c>
      <c r="P114" s="60">
        <f t="shared" si="18"/>
        <v>0</v>
      </c>
      <c r="Q114" s="61">
        <v>1</v>
      </c>
      <c r="R114" s="61">
        <v>1</v>
      </c>
      <c r="Y114" s="61" t="s">
        <v>1474</v>
      </c>
      <c r="Z114" s="61" t="str">
        <f t="shared" si="19"/>
        <v/>
      </c>
      <c r="AA114" s="60" t="str">
        <f t="shared" si="20"/>
        <v/>
      </c>
    </row>
    <row r="115" spans="1:27">
      <c r="A115" s="1" t="s">
        <v>114</v>
      </c>
      <c r="B115" t="str">
        <f t="shared" ref="B115:B144" si="21">IF(AD2="","¬",AD2)</f>
        <v>¬</v>
      </c>
      <c r="D115" s="19"/>
      <c r="E115" s="15" t="s">
        <v>1461</v>
      </c>
      <c r="F115" s="3"/>
      <c r="G115" s="60" t="str">
        <f>IFERROR(VLOOKUP(F115,tblManoeuvre[],2,FALSE)&amp;" "&amp;VLOOKUP(F115,tblManoeuvre[],3,FALSE),"")</f>
        <v/>
      </c>
      <c r="H115" s="67" t="str">
        <f>IFERROR(IF(VLOOKUP(F115,tblManoeuvre[],8,FALSE)=0,"None",VLOOKUP(F115,tblManoeuvre[],8,FALSE)),"None")</f>
        <v>None</v>
      </c>
      <c r="I115" s="67"/>
      <c r="L115" s="4"/>
      <c r="M115" s="4"/>
      <c r="N115" s="4"/>
      <c r="O115" s="61">
        <f t="shared" si="17"/>
        <v>0</v>
      </c>
      <c r="P115" s="60">
        <f t="shared" si="18"/>
        <v>0</v>
      </c>
      <c r="Q115" s="61">
        <v>1</v>
      </c>
      <c r="R115" s="61">
        <v>1</v>
      </c>
      <c r="Y115" s="61" t="s">
        <v>1474</v>
      </c>
      <c r="Z115" s="61" t="str">
        <f t="shared" si="19"/>
        <v/>
      </c>
      <c r="AA115" s="60" t="str">
        <f t="shared" si="20"/>
        <v/>
      </c>
    </row>
    <row r="116" spans="1:27">
      <c r="A116" s="1" t="s">
        <v>115</v>
      </c>
      <c r="B116" t="str">
        <f t="shared" si="21"/>
        <v>¬</v>
      </c>
      <c r="D116" s="19"/>
      <c r="E116" s="15" t="s">
        <v>1462</v>
      </c>
      <c r="F116" s="3"/>
      <c r="G116" s="60" t="str">
        <f>IFERROR(VLOOKUP(F116,tblManoeuvre[],2,FALSE)&amp;" "&amp;VLOOKUP(F116,tblManoeuvre[],3,FALSE),"")</f>
        <v/>
      </c>
      <c r="H116" s="67" t="str">
        <f>IFERROR(IF(VLOOKUP(F116,tblManoeuvre[],8,FALSE)=0,"None",VLOOKUP(F116,tblManoeuvre[],8,FALSE)),"None")</f>
        <v>None</v>
      </c>
      <c r="I116" s="67"/>
      <c r="L116" s="4"/>
      <c r="M116" s="4"/>
      <c r="N116" s="4"/>
      <c r="O116" s="61">
        <f t="shared" si="17"/>
        <v>0</v>
      </c>
      <c r="P116" s="60">
        <f t="shared" si="18"/>
        <v>0</v>
      </c>
      <c r="Q116" s="61">
        <v>1</v>
      </c>
      <c r="R116" s="61">
        <v>1</v>
      </c>
      <c r="Y116" s="61" t="s">
        <v>1474</v>
      </c>
      <c r="Z116" s="61" t="str">
        <f t="shared" si="19"/>
        <v/>
      </c>
      <c r="AA116" s="60" t="str">
        <f t="shared" si="20"/>
        <v/>
      </c>
    </row>
    <row r="117" spans="1:27">
      <c r="A117" s="1" t="s">
        <v>116</v>
      </c>
      <c r="B117" t="str">
        <f t="shared" si="21"/>
        <v>¬</v>
      </c>
      <c r="D117" s="19"/>
      <c r="E117" s="15" t="s">
        <v>1463</v>
      </c>
      <c r="F117" s="3"/>
      <c r="G117" s="60" t="str">
        <f>IFERROR(VLOOKUP(F117,tblManoeuvre[],2,FALSE)&amp;" "&amp;VLOOKUP(F117,tblManoeuvre[],3,FALSE),"")</f>
        <v/>
      </c>
      <c r="H117" s="67" t="str">
        <f>IFERROR(IF(VLOOKUP(F117,tblManoeuvre[],8,FALSE)=0,"None",VLOOKUP(F117,tblManoeuvre[],8,FALSE)),"None")</f>
        <v>None</v>
      </c>
      <c r="I117" s="67"/>
      <c r="L117" s="4"/>
      <c r="M117" s="4"/>
      <c r="N117" s="4"/>
      <c r="O117" s="61">
        <f t="shared" si="17"/>
        <v>0</v>
      </c>
      <c r="P117" s="60">
        <f t="shared" si="18"/>
        <v>0</v>
      </c>
      <c r="Q117" s="61">
        <v>1</v>
      </c>
      <c r="R117" s="61">
        <v>1</v>
      </c>
      <c r="Y117" s="61" t="s">
        <v>1474</v>
      </c>
      <c r="Z117" s="61" t="str">
        <f t="shared" si="19"/>
        <v/>
      </c>
      <c r="AA117" s="60" t="str">
        <f t="shared" si="20"/>
        <v/>
      </c>
    </row>
    <row r="118" spans="1:27">
      <c r="A118" s="1" t="s">
        <v>117</v>
      </c>
      <c r="B118" t="str">
        <f t="shared" si="21"/>
        <v>¬</v>
      </c>
      <c r="D118" s="19"/>
      <c r="E118" s="15" t="s">
        <v>1464</v>
      </c>
      <c r="F118" s="3"/>
      <c r="G118" s="60" t="str">
        <f>IFERROR(VLOOKUP(F118,tblManoeuvre[],2,FALSE)&amp;" "&amp;VLOOKUP(F118,tblManoeuvre[],3,FALSE),"")</f>
        <v/>
      </c>
      <c r="H118" s="67" t="str">
        <f>IFERROR(IF(VLOOKUP(F118,tblManoeuvre[],8,FALSE)=0,"None",VLOOKUP(F118,tblManoeuvre[],8,FALSE)),"None")</f>
        <v>None</v>
      </c>
      <c r="I118" s="67"/>
      <c r="L118" s="4"/>
      <c r="M118" s="4"/>
      <c r="N118" s="4"/>
      <c r="O118" s="61">
        <f t="shared" si="17"/>
        <v>0</v>
      </c>
      <c r="P118" s="60">
        <f t="shared" si="18"/>
        <v>0</v>
      </c>
      <c r="Q118" s="61">
        <v>1</v>
      </c>
      <c r="R118" s="61">
        <v>1</v>
      </c>
      <c r="Y118" s="61" t="s">
        <v>1474</v>
      </c>
      <c r="Z118" s="61" t="str">
        <f t="shared" si="19"/>
        <v/>
      </c>
      <c r="AA118" s="60" t="str">
        <f t="shared" si="20"/>
        <v/>
      </c>
    </row>
    <row r="119" spans="1:27">
      <c r="A119" s="1" t="s">
        <v>118</v>
      </c>
      <c r="B119" t="str">
        <f t="shared" si="21"/>
        <v>¬</v>
      </c>
      <c r="D119" s="19"/>
      <c r="E119" s="15" t="s">
        <v>1466</v>
      </c>
      <c r="F119" s="3"/>
      <c r="G119" s="60" t="str">
        <f>IFERROR(VLOOKUP(F119,tblManoeuvre[],2,FALSE)&amp;" "&amp;VLOOKUP(F119,tblManoeuvre[],3,FALSE),"")</f>
        <v/>
      </c>
      <c r="H119" s="67" t="str">
        <f>IFERROR(IF(VLOOKUP(F119,tblManoeuvre[],8,FALSE)=0,"None",VLOOKUP(F119,tblManoeuvre[],8,FALSE)),"None")</f>
        <v>None</v>
      </c>
      <c r="I119" s="67"/>
      <c r="L119" s="4"/>
      <c r="M119" s="4"/>
      <c r="N119" s="4"/>
      <c r="O119" s="61">
        <f t="shared" si="17"/>
        <v>0</v>
      </c>
      <c r="P119" s="60">
        <f t="shared" si="18"/>
        <v>0</v>
      </c>
      <c r="Q119" s="61">
        <v>1</v>
      </c>
      <c r="R119" s="61">
        <v>1</v>
      </c>
      <c r="Y119" s="61" t="s">
        <v>1474</v>
      </c>
      <c r="Z119" s="61" t="str">
        <f t="shared" si="19"/>
        <v/>
      </c>
      <c r="AA119" s="60" t="str">
        <f t="shared" si="20"/>
        <v/>
      </c>
    </row>
    <row r="120" spans="1:27">
      <c r="A120" s="1" t="s">
        <v>119</v>
      </c>
      <c r="B120" t="str">
        <f t="shared" si="21"/>
        <v>¬</v>
      </c>
      <c r="D120" s="19"/>
      <c r="E120" s="15" t="s">
        <v>1468</v>
      </c>
      <c r="F120" s="3"/>
      <c r="G120" s="60" t="str">
        <f>IFERROR(VLOOKUP(F120,tblManoeuvre[],2,FALSE)&amp;" "&amp;VLOOKUP(F120,tblManoeuvre[],3,FALSE),"")</f>
        <v/>
      </c>
      <c r="H120" s="67" t="str">
        <f>IFERROR(IF(VLOOKUP(F120,tblManoeuvre[],8,FALSE)=0,"None",VLOOKUP(F120,tblManoeuvre[],8,FALSE)),"None")</f>
        <v>None</v>
      </c>
      <c r="I120" s="67"/>
      <c r="L120" s="4"/>
      <c r="M120" s="4"/>
      <c r="N120" s="4"/>
      <c r="O120" s="61">
        <f t="shared" si="17"/>
        <v>0</v>
      </c>
      <c r="P120" s="60">
        <f t="shared" si="18"/>
        <v>0</v>
      </c>
      <c r="Q120" s="61">
        <v>1</v>
      </c>
      <c r="R120" s="61">
        <v>1</v>
      </c>
      <c r="Y120" s="61" t="s">
        <v>1474</v>
      </c>
      <c r="Z120" s="61" t="str">
        <f t="shared" si="19"/>
        <v/>
      </c>
      <c r="AA120" s="60" t="str">
        <f t="shared" si="20"/>
        <v/>
      </c>
    </row>
    <row r="121" spans="1:27">
      <c r="A121" s="1" t="s">
        <v>120</v>
      </c>
      <c r="B121" t="str">
        <f t="shared" si="21"/>
        <v>¬</v>
      </c>
      <c r="Y121" s="61" t="s">
        <v>1474</v>
      </c>
      <c r="Z121" s="61" t="str">
        <f t="shared" si="19"/>
        <v/>
      </c>
      <c r="AA121" s="60" t="str">
        <f t="shared" si="20"/>
        <v/>
      </c>
    </row>
    <row r="122" spans="1:27" ht="15.75" thickBot="1">
      <c r="A122" s="1" t="s">
        <v>121</v>
      </c>
      <c r="B122" t="str">
        <f t="shared" si="21"/>
        <v>¬</v>
      </c>
      <c r="D122" s="14" t="s">
        <v>1475</v>
      </c>
      <c r="E122" s="14"/>
      <c r="F122" s="14"/>
      <c r="G122" s="14"/>
      <c r="H122" s="14"/>
      <c r="I122" s="14"/>
    </row>
    <row r="123" spans="1:27">
      <c r="A123" s="1" t="s">
        <v>122</v>
      </c>
      <c r="B123" t="str">
        <f t="shared" si="21"/>
        <v>¬</v>
      </c>
      <c r="D123" s="16" t="s">
        <v>927</v>
      </c>
      <c r="E123" s="17"/>
      <c r="F123" s="17"/>
      <c r="G123" s="17"/>
      <c r="H123" s="17"/>
      <c r="I123" s="17"/>
      <c r="Y123" s="15" t="s">
        <v>1476</v>
      </c>
      <c r="Z123" s="19"/>
      <c r="AA123" s="61" t="str">
        <f t="shared" ref="AA123:AA132" si="22">_xlfn.LET(_xlpm.name,VLOOKUP(Y123,$E$2:$F$362,2,FALSE),_xlpm.paid,_xlfn.IFNA(VLOOKUP(_xlpm.name,$F$121:$Q$215,11,FALSE)&gt;=VLOOKUP(_xlpm.name,$F$121:$Q$215,12,FALSE),FALSE),IF(AND(_xlpm.name&lt;&gt;"",_xlpm.paid),_xlpm.name,""))</f>
        <v/>
      </c>
    </row>
    <row r="124" spans="1:27">
      <c r="A124" s="1" t="s">
        <v>123</v>
      </c>
      <c r="B124" t="str">
        <f t="shared" si="21"/>
        <v>¬</v>
      </c>
      <c r="D124" s="19"/>
      <c r="E124" s="15" t="s">
        <v>83</v>
      </c>
      <c r="F124" s="19"/>
      <c r="G124" s="19"/>
      <c r="H124" s="19"/>
      <c r="I124" s="19"/>
      <c r="L124" s="4"/>
      <c r="M124" s="61">
        <f>IFERROR(VLOOKUP(G12,tblEffectiveStatus[],2,FALSE),0)+IFERROR(VLOOKUP(G13,tblEffectiveStatus[],2,FALSE),0)</f>
        <v>0</v>
      </c>
      <c r="P124" s="60">
        <f>MIN(L124+M124,R124)</f>
        <v>0</v>
      </c>
      <c r="R124" s="61">
        <v>10</v>
      </c>
      <c r="Y124" s="15" t="s">
        <v>1477</v>
      </c>
      <c r="Z124" s="19"/>
      <c r="AA124" s="61" t="str">
        <f t="shared" si="22"/>
        <v/>
      </c>
    </row>
    <row r="125" spans="1:27">
      <c r="A125" s="1" t="s">
        <v>124</v>
      </c>
      <c r="B125" t="str">
        <f t="shared" si="21"/>
        <v>¬</v>
      </c>
      <c r="D125" s="19"/>
      <c r="E125" s="15" t="str">
        <f>IF(F7="","Clan Status",F7&amp;" Status")</f>
        <v>Clan Status</v>
      </c>
      <c r="F125" s="19"/>
      <c r="G125" s="19"/>
      <c r="H125" s="19"/>
      <c r="I125" s="19"/>
      <c r="L125" s="4"/>
      <c r="P125" s="60">
        <f>IF(L125="",0,MIN(L125,R125))</f>
        <v>0</v>
      </c>
      <c r="R125" s="61">
        <v>5</v>
      </c>
      <c r="Y125" s="15" t="s">
        <v>1478</v>
      </c>
      <c r="Z125" s="19"/>
      <c r="AA125" s="61" t="str">
        <f t="shared" si="22"/>
        <v/>
      </c>
    </row>
    <row r="126" spans="1:27">
      <c r="A126" s="1" t="s">
        <v>125</v>
      </c>
      <c r="B126" t="str">
        <f t="shared" si="21"/>
        <v>¬</v>
      </c>
      <c r="D126" s="19"/>
      <c r="E126" s="15" t="str">
        <f>IF(F9="","",F9&amp;" Status")</f>
        <v/>
      </c>
      <c r="F126" s="19" t="str">
        <f>IF(F9="","",VLOOKUP(F9,tblCovenantShortName[#Data],2,FALSE))</f>
        <v/>
      </c>
      <c r="G126" s="19"/>
      <c r="H126" s="19"/>
      <c r="I126" s="19"/>
      <c r="L126" s="4"/>
      <c r="P126" s="60">
        <f>L126</f>
        <v>0</v>
      </c>
      <c r="R126" s="61">
        <f>5-SUM(L127:L129)</f>
        <v>5</v>
      </c>
      <c r="Y126" s="15" t="s">
        <v>1479</v>
      </c>
      <c r="Z126" s="19"/>
      <c r="AA126" s="61" t="str">
        <f t="shared" si="22"/>
        <v/>
      </c>
    </row>
    <row r="127" spans="1:27">
      <c r="A127" s="1" t="s">
        <v>126</v>
      </c>
      <c r="B127" t="str">
        <f t="shared" si="21"/>
        <v>¬</v>
      </c>
      <c r="D127" s="19"/>
      <c r="E127" s="15" t="str" cm="1">
        <f t="array" ref="E127">IF(F9="","",IFERROR(INDEX(Lists!$F$2:$F$5,SMALL(IF(Lists!$F$2:$F$5&lt;&gt;$F$9,ROW(Lists!$F$2:$F$5)-ROW(Lists!$F$2)+1),1))&amp;" Status",""))</f>
        <v/>
      </c>
      <c r="F127" s="19" t="str" cm="1">
        <f t="array" ref="F127">IF(F9="","",IFERROR(VLOOKUP(INDEX(Lists!$F$2:$F$5,SMALL(IF(Lists!$F$2:$F$5&lt;&gt;$F$9,ROW(Lists!$F$2:$F$5)-ROW(Lists!$F$2)+1),1)),tblCovenantShortName[],2,FALSE),""))</f>
        <v/>
      </c>
      <c r="G127" s="19"/>
      <c r="H127" s="19"/>
      <c r="I127" s="19"/>
      <c r="L127" s="4"/>
      <c r="P127" s="60">
        <f>L127</f>
        <v>0</v>
      </c>
      <c r="R127" s="61">
        <f>MAX(0,MIN(P126-1,5-L126-L128-L129))</f>
        <v>0</v>
      </c>
      <c r="Y127" s="15" t="s">
        <v>1480</v>
      </c>
      <c r="Z127" s="19"/>
      <c r="AA127" s="61" t="str">
        <f t="shared" si="22"/>
        <v/>
      </c>
    </row>
    <row r="128" spans="1:27">
      <c r="A128" s="1" t="s">
        <v>127</v>
      </c>
      <c r="B128" t="str">
        <f t="shared" si="21"/>
        <v>¬</v>
      </c>
      <c r="D128" s="19"/>
      <c r="E128" s="15" t="str" cm="1">
        <f t="array" ref="E128">IF(F9="","",IFERROR(INDEX(Lists!$F$2:$F$5,SMALL(IF(Lists!$F$2:$F$5&lt;&gt;$F$9,ROW(Lists!$F$2:$F$5)-ROW(Lists!$F$2)+1),2))&amp;" Status",""))</f>
        <v/>
      </c>
      <c r="F128" s="19" t="str" cm="1">
        <f t="array" ref="F128">IF(F9="","",IFERROR(VLOOKUP(INDEX(Lists!$F$2:$F$5,SMALL(IF(Lists!$F$2:$F$5&lt;&gt;$F$9,ROW(Lists!$F$2:$F$5)-ROW(Lists!$F$2)+1),2)),tblCovenantShortName[],2,FALSE),""))</f>
        <v/>
      </c>
      <c r="G128" s="19"/>
      <c r="H128" s="19"/>
      <c r="I128" s="19"/>
      <c r="L128" s="4"/>
      <c r="P128" s="60">
        <f>L128</f>
        <v>0</v>
      </c>
      <c r="R128" s="61">
        <f>MAX(0,MIN(P126-1,5-L126-L127-L129))</f>
        <v>0</v>
      </c>
      <c r="Y128" s="15" t="s">
        <v>1481</v>
      </c>
      <c r="Z128" s="19"/>
      <c r="AA128" s="61" t="str">
        <f t="shared" si="22"/>
        <v/>
      </c>
    </row>
    <row r="129" spans="1:32">
      <c r="A129" s="1" t="s">
        <v>128</v>
      </c>
      <c r="B129" t="str">
        <f t="shared" si="21"/>
        <v>¬</v>
      </c>
      <c r="D129" s="19"/>
      <c r="E129" s="15" t="str" cm="1">
        <f t="array" ref="E129">IF(F9="","",IFERROR(INDEX(Lists!$F$2:$F$5,SMALL(IF(Lists!$F$2:$F$5&lt;&gt;$F$9,ROW(Lists!$F$2:$F$5)-ROW(Lists!$F$2)+1),3))&amp;" Status",""))</f>
        <v/>
      </c>
      <c r="F129" s="19" t="str" cm="1">
        <f t="array" ref="F129">IF(F9="","",IFERROR(VLOOKUP(INDEX(Lists!$F$2:$F$5,SMALL(IF(Lists!$F$2:$F$5&lt;&gt;$F$9,ROW(Lists!$F$2:$F$5)-ROW(Lists!$F$2)+1),3)),tblCovenantShortName[],2,FALSE),""))</f>
        <v/>
      </c>
      <c r="G129" s="19"/>
      <c r="H129" s="19"/>
      <c r="I129" s="19"/>
      <c r="L129" s="4"/>
      <c r="P129" s="60">
        <f>L129</f>
        <v>0</v>
      </c>
      <c r="R129" s="61">
        <f>MAX(0,MIN(P126-1,5-L126-L127-L128))</f>
        <v>0</v>
      </c>
      <c r="Y129" s="15" t="s">
        <v>1482</v>
      </c>
      <c r="Z129" s="19"/>
      <c r="AA129" s="61" t="str">
        <f t="shared" si="22"/>
        <v/>
      </c>
    </row>
    <row r="130" spans="1:32">
      <c r="A130" s="1" t="s">
        <v>129</v>
      </c>
      <c r="B130" t="str">
        <f t="shared" si="21"/>
        <v>¬</v>
      </c>
      <c r="Y130" s="15" t="s">
        <v>1483</v>
      </c>
      <c r="Z130" s="19"/>
      <c r="AA130" s="61" t="str">
        <f t="shared" si="22"/>
        <v/>
      </c>
    </row>
    <row r="131" spans="1:32">
      <c r="A131" s="1" t="s">
        <v>130</v>
      </c>
      <c r="B131" t="str">
        <f t="shared" si="21"/>
        <v>¬</v>
      </c>
      <c r="D131" s="16" t="s">
        <v>1475</v>
      </c>
      <c r="E131" s="17"/>
      <c r="F131" s="16" t="s">
        <v>1446</v>
      </c>
      <c r="G131" s="17"/>
      <c r="H131" s="17"/>
      <c r="I131" s="17"/>
      <c r="Y131" s="15" t="s">
        <v>1484</v>
      </c>
      <c r="Z131" s="19"/>
      <c r="AA131" s="61" t="str">
        <f t="shared" si="22"/>
        <v/>
      </c>
    </row>
    <row r="132" spans="1:32">
      <c r="A132" s="1" t="s">
        <v>131</v>
      </c>
      <c r="B132" t="str">
        <f t="shared" si="21"/>
        <v>¬</v>
      </c>
      <c r="D132" s="19"/>
      <c r="E132" s="15" t="s">
        <v>94</v>
      </c>
      <c r="F132" s="3"/>
      <c r="G132" s="19"/>
      <c r="H132" s="19"/>
      <c r="I132" s="19"/>
      <c r="L132" s="4"/>
      <c r="M132" s="4"/>
      <c r="N132" s="4"/>
      <c r="O132" s="61">
        <f>N132</f>
        <v>0</v>
      </c>
      <c r="P132" s="60">
        <f>MIN(SUM(L132,M132,O132),R132)</f>
        <v>0</v>
      </c>
      <c r="Q132" s="61">
        <f>_xlfn.IFNA(VLOOKUP($E132,tblDomain[],3,FALSE),"")</f>
        <v>1</v>
      </c>
      <c r="R132" s="61">
        <f>_xlfn.IFNA(VLOOKUP($E132,tblDomain[],4,FALSE),"")</f>
        <v>5</v>
      </c>
      <c r="Y132" s="15" t="s">
        <v>1485</v>
      </c>
      <c r="Z132" s="19"/>
      <c r="AA132" s="61" t="str">
        <f t="shared" si="22"/>
        <v/>
      </c>
    </row>
    <row r="133" spans="1:32">
      <c r="A133" s="1" t="s">
        <v>132</v>
      </c>
      <c r="B133" t="str">
        <f t="shared" si="21"/>
        <v>¬</v>
      </c>
      <c r="D133" s="19"/>
      <c r="E133" s="15" t="s">
        <v>95</v>
      </c>
      <c r="F133" s="3"/>
      <c r="G133" s="19"/>
      <c r="H133" s="19"/>
      <c r="I133" s="19"/>
      <c r="L133" s="4"/>
      <c r="M133" s="4"/>
      <c r="N133" s="4"/>
      <c r="O133" s="61">
        <f>N133</f>
        <v>0</v>
      </c>
      <c r="P133" s="60">
        <f>MIN(SUM(L133,M133,O133),R133)</f>
        <v>0</v>
      </c>
      <c r="Q133" s="61">
        <f>_xlfn.IFNA(VLOOKUP($E133,tblDomain[],3,FALSE),"")</f>
        <v>1</v>
      </c>
      <c r="R133" s="61">
        <f>_xlfn.IFNA(VLOOKUP($E133,tblDomain[],4,FALSE),"")</f>
        <v>5</v>
      </c>
    </row>
    <row r="134" spans="1:32">
      <c r="A134" s="1" t="s">
        <v>133</v>
      </c>
      <c r="B134" t="str">
        <f t="shared" si="21"/>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3">_xlfn.LET(_xlpm.name,VLOOKUP(Y134,$E$2:$F$362,2,FALSE),_xlpm.note,VLOOKUP(Y134,$E$2:$G$362,3,FALSE),_xlpm.row,MATCH(Y134,$E$138:$E$157,0),_xlpm.dots,INDEX($P$138:$P$157,_xlpm.row),_xlpm.max,INDEX($Q$138:$Q$157,_xlpm.row),_xlpm.paid,_xlfn.IFNA(_xlpm.dots&gt;=_xlpm.max,FALSE),IF(AND(_xlpm.name&lt;&gt;"",_xlpm.paid),IF(_xlpm.note="",_xlpm.name,_xlpm.name&amp;" ("&amp;_xlpm.note&amp;")"),""))</f>
        <v/>
      </c>
      <c r="AC134" s="60" t="str" cm="1">
        <f t="array" ref="AC134">_xlfn.LET(_xlpm.raw,IFERROR(_xlfn.VSTACK(IFERROR(_xlfn._xlws.SORT(_xlfn._xlws.FILTER(AA134:AA211,AA134:AA211&lt;&gt;"")),""),IFERROR(_xlfn._xlws.SORT(_xlfn._xlws.FILTER(AA213:AA222,AA213:AA222&lt;&gt;"")),"")),""),_xlpm.sorted,IFERROR(_xlfn._xlws.FILTER(_xlpm.raw,_xlpm.raw&lt;&gt;""),""),IFERROR(LEFT(_xlpm.sorted,FIND(" (",_xlpm.sorted)-1),_xlpm.sorted))</f>
        <v/>
      </c>
      <c r="AD134" s="20" t="str" cm="1">
        <f t="array" ref="AD134">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
      </c>
      <c r="AE134" s="20" t="str">
        <f t="shared" ref="AE134:AE153" si="24">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
      </c>
      <c r="AF134" s="61" t="str" cm="1">
        <f t="array" ref="AF134">IF(AC134="","",SUMPRODUCT(($F$138:$F$157=AC134)*($G$138:$G$157=IF(AD134="","",AD134))*$P$138:$P$157))</f>
        <v/>
      </c>
    </row>
    <row r="135" spans="1:32">
      <c r="A135" s="1" t="s">
        <v>134</v>
      </c>
      <c r="B135" t="str">
        <f t="shared" si="21"/>
        <v>¬</v>
      </c>
      <c r="D135" s="19"/>
      <c r="E135" s="15" t="s">
        <v>97</v>
      </c>
      <c r="F135" s="19"/>
      <c r="G135" s="19"/>
      <c r="H135" s="19"/>
      <c r="I135" s="19"/>
      <c r="L135" s="4"/>
      <c r="M135" s="4"/>
      <c r="N135" s="4"/>
      <c r="O135" s="61">
        <f>N135</f>
        <v>0</v>
      </c>
      <c r="P135" s="60">
        <f>MIN(SUM(L135,M135,O135),R135)</f>
        <v>0</v>
      </c>
      <c r="Q135" s="61">
        <f>_xlfn.IFNA(VLOOKUP($E135,tblDomain[],3,FALSE),"")</f>
        <v>1</v>
      </c>
      <c r="R135" s="61">
        <f>_xlfn.IFNA(VLOOKUP($E135,tblDomain[],4,FALSE),"")</f>
        <v>5</v>
      </c>
      <c r="Y135" s="15" t="s">
        <v>177</v>
      </c>
      <c r="Z135" s="19"/>
      <c r="AA135" s="61" t="str">
        <f t="shared" si="23"/>
        <v/>
      </c>
      <c r="AC135" s="60"/>
      <c r="AD135" s="20"/>
      <c r="AE135" s="20" t="str">
        <f t="shared" si="24"/>
        <v/>
      </c>
      <c r="AF135" s="61" t="str" cm="1">
        <f t="array" ref="AF135">IF(AC135="","",SUMPRODUCT(($F$138:$F$157=AC135)*($G$138:$G$157=IF(AD135="","",AD135))*$P$138:$P$157))</f>
        <v/>
      </c>
    </row>
    <row r="136" spans="1:32">
      <c r="A136" s="1" t="s">
        <v>135</v>
      </c>
      <c r="B136" t="str">
        <f t="shared" si="21"/>
        <v>¬</v>
      </c>
      <c r="Y136" s="15" t="s">
        <v>178</v>
      </c>
      <c r="Z136" s="19"/>
      <c r="AA136" s="61" t="str">
        <f t="shared" si="23"/>
        <v/>
      </c>
      <c r="AC136" s="60"/>
      <c r="AD136" s="20"/>
      <c r="AE136" s="20" t="str">
        <f t="shared" si="24"/>
        <v/>
      </c>
      <c r="AF136" s="61" t="str" cm="1">
        <f t="array" ref="AF136">IF(AC136="","",SUMPRODUCT(($F$138:$F$157=AC136)*($G$138:$G$157=IF(AD136="","",AD136))*$P$138:$P$157))</f>
        <v/>
      </c>
    </row>
    <row r="137" spans="1:32">
      <c r="A137" s="1" t="s">
        <v>136</v>
      </c>
      <c r="B137" t="str">
        <f t="shared" si="21"/>
        <v>¬</v>
      </c>
      <c r="D137" s="16" t="s">
        <v>174</v>
      </c>
      <c r="E137" s="17"/>
      <c r="F137" s="17"/>
      <c r="G137" s="17"/>
      <c r="H137" s="61">
        <f>L225</f>
        <v>0</v>
      </c>
      <c r="I137" s="61">
        <f>SUM(AE134:AE155)+SUM(P125:P129)</f>
        <v>0</v>
      </c>
      <c r="Y137" s="15" t="s">
        <v>179</v>
      </c>
      <c r="Z137" s="19"/>
      <c r="AA137" s="61" t="str">
        <f t="shared" si="23"/>
        <v/>
      </c>
      <c r="AC137" s="60"/>
      <c r="AD137" s="20"/>
      <c r="AE137" s="20" t="str">
        <f t="shared" si="24"/>
        <v/>
      </c>
      <c r="AF137" s="61" t="str" cm="1">
        <f t="array" ref="AF137">IF(AC137="","",SUMPRODUCT(($F$138:$F$157=AC137)*($G$138:$G$157=IF(AD137="","",AD137))*$P$138:$P$157))</f>
        <v/>
      </c>
    </row>
    <row r="138" spans="1:32">
      <c r="A138" s="1" t="s">
        <v>137</v>
      </c>
      <c r="B138" t="str">
        <f t="shared" si="21"/>
        <v>¬</v>
      </c>
      <c r="D138" s="19"/>
      <c r="E138" s="15" t="s">
        <v>176</v>
      </c>
      <c r="F138" s="3"/>
      <c r="G138" s="3"/>
      <c r="H138" s="67" t="str">
        <f>IFERROR(IF(VLOOKUP(F138,tblManoeuvre[],8,FALSE)=0,"None",VLOOKUP(F138,tblManoeuvre[],8,FALSE)),"None")</f>
        <v>None</v>
      </c>
      <c r="I138" s="67"/>
      <c r="L138" s="4"/>
      <c r="M138" s="4"/>
      <c r="N138" s="4"/>
      <c r="O138" s="61">
        <f t="shared" ref="O138:O157" si="25">N138</f>
        <v>0</v>
      </c>
      <c r="P138" s="60">
        <f t="shared" ref="P138:P157" si="26">MIN(SUM(L138,M138,O138),R138)</f>
        <v>0</v>
      </c>
      <c r="Q138" s="61" t="str">
        <f>_xlfn.IFNA(VLOOKUP($F138,tblInfluence[],3,FALSE),"")</f>
        <v/>
      </c>
      <c r="R138" s="61" t="str">
        <f>_xlfn.IFNA(VLOOKUP($F138,tblInfluence[],4,FALSE),"")</f>
        <v/>
      </c>
      <c r="Y138" s="15" t="s">
        <v>180</v>
      </c>
      <c r="Z138" s="19"/>
      <c r="AA138" s="61" t="str">
        <f t="shared" si="23"/>
        <v/>
      </c>
      <c r="AC138" s="60"/>
      <c r="AD138" s="20"/>
      <c r="AE138" s="20" t="str">
        <f t="shared" si="24"/>
        <v/>
      </c>
      <c r="AF138" s="61" t="str" cm="1">
        <f t="array" ref="AF138">IF(AC138="","",SUMPRODUCT(($F$138:$F$157=AC138)*($G$138:$G$157=IF(AD138="","",AD138))*$P$138:$P$157))</f>
        <v/>
      </c>
    </row>
    <row r="139" spans="1:32">
      <c r="A139" s="1" t="s">
        <v>138</v>
      </c>
      <c r="B139" t="str">
        <f t="shared" si="21"/>
        <v>¬</v>
      </c>
      <c r="D139" s="19"/>
      <c r="E139" s="15" t="s">
        <v>177</v>
      </c>
      <c r="F139" s="3"/>
      <c r="G139" s="3"/>
      <c r="H139" s="67" t="str">
        <f>IFERROR(IF(VLOOKUP(F139,tblManoeuvre[],8,FALSE)=0,"None",VLOOKUP(F139,tblManoeuvre[],8,FALSE)),"None")</f>
        <v>None</v>
      </c>
      <c r="I139" s="67"/>
      <c r="L139" s="4"/>
      <c r="M139" s="4"/>
      <c r="N139" s="4"/>
      <c r="O139" s="61">
        <f t="shared" si="25"/>
        <v>0</v>
      </c>
      <c r="P139" s="60">
        <f t="shared" si="26"/>
        <v>0</v>
      </c>
      <c r="Q139" s="61" t="str">
        <f>_xlfn.IFNA(VLOOKUP($F139,tblInfluence[],3,FALSE),"")</f>
        <v/>
      </c>
      <c r="R139" s="61" t="str">
        <f>_xlfn.IFNA(VLOOKUP($F139,tblInfluence[],4,FALSE),"")</f>
        <v/>
      </c>
      <c r="Y139" s="15" t="s">
        <v>181</v>
      </c>
      <c r="Z139" s="19"/>
      <c r="AA139" s="61" t="str">
        <f t="shared" si="23"/>
        <v/>
      </c>
      <c r="AC139" s="60"/>
      <c r="AD139" s="20"/>
      <c r="AE139" s="20" t="str">
        <f t="shared" si="24"/>
        <v/>
      </c>
      <c r="AF139" s="61" t="str" cm="1">
        <f t="array" ref="AF139">IF(AC139="","",SUMPRODUCT(($F$138:$F$157=AC139)*($G$138:$G$157=IF(AD139="","",AD139))*$P$138:$P$157))</f>
        <v/>
      </c>
    </row>
    <row r="140" spans="1:32">
      <c r="A140" s="1" t="s">
        <v>139</v>
      </c>
      <c r="B140" t="str">
        <f t="shared" si="21"/>
        <v>¬</v>
      </c>
      <c r="D140" s="19"/>
      <c r="E140" s="15" t="s">
        <v>178</v>
      </c>
      <c r="F140" s="3"/>
      <c r="G140" s="3"/>
      <c r="H140" s="67" t="str">
        <f>IFERROR(IF(VLOOKUP(F140,tblManoeuvre[],8,FALSE)=0,"None",VLOOKUP(F140,tblManoeuvre[],8,FALSE)),"None")</f>
        <v>None</v>
      </c>
      <c r="I140" s="67"/>
      <c r="L140" s="4"/>
      <c r="M140" s="4"/>
      <c r="N140" s="4"/>
      <c r="O140" s="61">
        <f t="shared" si="25"/>
        <v>0</v>
      </c>
      <c r="P140" s="60">
        <f t="shared" si="26"/>
        <v>0</v>
      </c>
      <c r="Q140" s="61" t="str">
        <f>_xlfn.IFNA(VLOOKUP($F140,tblInfluence[],3,FALSE),"")</f>
        <v/>
      </c>
      <c r="R140" s="61" t="str">
        <f>_xlfn.IFNA(VLOOKUP($F140,tblInfluence[],4,FALSE),"")</f>
        <v/>
      </c>
      <c r="Y140" s="15" t="s">
        <v>182</v>
      </c>
      <c r="Z140" s="19"/>
      <c r="AA140" s="61" t="str">
        <f t="shared" si="23"/>
        <v/>
      </c>
      <c r="AC140" s="60"/>
      <c r="AD140" s="20"/>
      <c r="AE140" s="20" t="str">
        <f t="shared" si="24"/>
        <v/>
      </c>
      <c r="AF140" s="61" t="str" cm="1">
        <f t="array" ref="AF140">IF(AC140="","",SUMPRODUCT(($F$138:$F$157=AC140)*($G$138:$G$157=IF(AD140="","",AD140))*$P$138:$P$157))</f>
        <v/>
      </c>
    </row>
    <row r="141" spans="1:32">
      <c r="A141" s="1" t="s">
        <v>140</v>
      </c>
      <c r="B141" t="str">
        <f t="shared" si="21"/>
        <v>¬</v>
      </c>
      <c r="D141" s="19"/>
      <c r="E141" s="15" t="s">
        <v>179</v>
      </c>
      <c r="F141" s="3"/>
      <c r="G141" s="3"/>
      <c r="H141" s="67" t="str">
        <f>IFERROR(IF(VLOOKUP(F141,tblManoeuvre[],8,FALSE)=0,"None",VLOOKUP(F141,tblManoeuvre[],8,FALSE)),"None")</f>
        <v>None</v>
      </c>
      <c r="I141" s="67"/>
      <c r="L141" s="4"/>
      <c r="M141" s="4"/>
      <c r="N141" s="4"/>
      <c r="O141" s="61">
        <f t="shared" si="25"/>
        <v>0</v>
      </c>
      <c r="P141" s="60">
        <f t="shared" si="26"/>
        <v>0</v>
      </c>
      <c r="Q141" s="61" t="str">
        <f>_xlfn.IFNA(VLOOKUP($F141,tblInfluence[],3,FALSE),"")</f>
        <v/>
      </c>
      <c r="R141" s="61" t="str">
        <f>_xlfn.IFNA(VLOOKUP($F141,tblInfluence[],4,FALSE),"")</f>
        <v/>
      </c>
      <c r="Y141" s="15" t="s">
        <v>183</v>
      </c>
      <c r="Z141" s="19"/>
      <c r="AA141" s="61" t="str">
        <f t="shared" si="23"/>
        <v/>
      </c>
      <c r="AC141" s="60"/>
      <c r="AD141" s="20"/>
      <c r="AE141" s="20" t="str">
        <f t="shared" si="24"/>
        <v/>
      </c>
      <c r="AF141" s="61" t="str" cm="1">
        <f t="array" ref="AF141">IF(AC141="","",SUMPRODUCT(($F$138:$F$157=AC141)*($G$138:$G$157=IF(AD141="","",AD141))*$P$138:$P$157))</f>
        <v/>
      </c>
    </row>
    <row r="142" spans="1:32">
      <c r="A142" s="1" t="s">
        <v>141</v>
      </c>
      <c r="B142" t="str">
        <f t="shared" si="21"/>
        <v>¬</v>
      </c>
      <c r="D142" s="19"/>
      <c r="E142" s="15" t="s">
        <v>180</v>
      </c>
      <c r="F142" s="3"/>
      <c r="G142" s="3"/>
      <c r="H142" s="67" t="str">
        <f>IFERROR(IF(VLOOKUP(F142,tblManoeuvre[],8,FALSE)=0,"None",VLOOKUP(F142,tblManoeuvre[],8,FALSE)),"None")</f>
        <v>None</v>
      </c>
      <c r="I142" s="67"/>
      <c r="L142" s="4"/>
      <c r="M142" s="4"/>
      <c r="N142" s="4"/>
      <c r="O142" s="61">
        <f t="shared" si="25"/>
        <v>0</v>
      </c>
      <c r="P142" s="60">
        <f t="shared" si="26"/>
        <v>0</v>
      </c>
      <c r="Q142" s="61" t="str">
        <f>_xlfn.IFNA(VLOOKUP($F142,tblInfluence[],3,FALSE),"")</f>
        <v/>
      </c>
      <c r="R142" s="61" t="str">
        <f>_xlfn.IFNA(VLOOKUP($F142,tblInfluence[],4,FALSE),"")</f>
        <v/>
      </c>
      <c r="Y142" s="15" t="s">
        <v>184</v>
      </c>
      <c r="Z142" s="19"/>
      <c r="AA142" s="61" t="str">
        <f t="shared" si="23"/>
        <v/>
      </c>
      <c r="AC142" s="60"/>
      <c r="AD142" s="20"/>
      <c r="AE142" s="20" t="str">
        <f t="shared" si="24"/>
        <v/>
      </c>
      <c r="AF142" s="61" t="str" cm="1">
        <f t="array" ref="AF142">IF(AC142="","",SUMPRODUCT(($F$138:$F$157=AC142)*($G$138:$G$157=IF(AD142="","",AD142))*$P$138:$P$157))</f>
        <v/>
      </c>
    </row>
    <row r="143" spans="1:32">
      <c r="A143" s="1" t="s">
        <v>142</v>
      </c>
      <c r="B143" t="str">
        <f t="shared" si="21"/>
        <v>¬</v>
      </c>
      <c r="D143" s="19"/>
      <c r="E143" s="15" t="s">
        <v>181</v>
      </c>
      <c r="F143" s="3"/>
      <c r="G143" s="3" t="str">
        <f>IFERROR(VLOOKUP(F143,tblManoeuvre[],2,FALSE)&amp;" "&amp;VLOOKUP(F143,tblManoeuvre[],3,FALSE),"")</f>
        <v/>
      </c>
      <c r="H143" s="67" t="str">
        <f>IFERROR(IF(VLOOKUP(F143,tblManoeuvre[],8,FALSE)=0,"None",VLOOKUP(F143,tblManoeuvre[],8,FALSE)),"None")</f>
        <v>None</v>
      </c>
      <c r="I143" s="67"/>
      <c r="L143" s="4"/>
      <c r="M143" s="4"/>
      <c r="N143" s="4"/>
      <c r="O143" s="61">
        <f t="shared" si="25"/>
        <v>0</v>
      </c>
      <c r="P143" s="60">
        <f t="shared" si="26"/>
        <v>0</v>
      </c>
      <c r="Q143" s="61" t="str">
        <f>_xlfn.IFNA(VLOOKUP($F143,tblInfluence[],3,FALSE),"")</f>
        <v/>
      </c>
      <c r="R143" s="61" t="str">
        <f>_xlfn.IFNA(VLOOKUP($F143,tblInfluence[],4,FALSE),"")</f>
        <v/>
      </c>
      <c r="Y143" s="15" t="s">
        <v>185</v>
      </c>
      <c r="Z143" s="19"/>
      <c r="AA143" s="61" t="str">
        <f t="shared" si="23"/>
        <v/>
      </c>
      <c r="AC143" s="60"/>
      <c r="AD143" s="20"/>
      <c r="AE143" s="20" t="str">
        <f t="shared" si="24"/>
        <v/>
      </c>
      <c r="AF143" s="61" t="str" cm="1">
        <f t="array" ref="AF143">IF(AC143="","",SUMPRODUCT(($F$138:$F$157=AC143)*($G$138:$G$157=IF(AD143="","",AD143))*$P$138:$P$157))</f>
        <v/>
      </c>
    </row>
    <row r="144" spans="1:32">
      <c r="A144" s="1" t="s">
        <v>143</v>
      </c>
      <c r="B144" t="str">
        <f t="shared" si="21"/>
        <v>¬</v>
      </c>
      <c r="D144" s="19"/>
      <c r="E144" s="15" t="s">
        <v>182</v>
      </c>
      <c r="F144" s="3"/>
      <c r="G144" s="3"/>
      <c r="H144" s="67" t="str">
        <f>IFERROR(IF(VLOOKUP(F144,tblManoeuvre[],8,FALSE)=0,"None",VLOOKUP(F144,tblManoeuvre[],8,FALSE)),"None")</f>
        <v>None</v>
      </c>
      <c r="I144" s="67"/>
      <c r="L144" s="4"/>
      <c r="M144" s="4"/>
      <c r="N144" s="4"/>
      <c r="O144" s="61">
        <f t="shared" si="25"/>
        <v>0</v>
      </c>
      <c r="P144" s="60">
        <f t="shared" si="26"/>
        <v>0</v>
      </c>
      <c r="Q144" s="61" t="str">
        <f>_xlfn.IFNA(VLOOKUP($F144,tblInfluence[],3,FALSE),"")</f>
        <v/>
      </c>
      <c r="R144" s="61" t="str">
        <f>_xlfn.IFNA(VLOOKUP($F144,tblInfluence[],4,FALSE),"")</f>
        <v/>
      </c>
      <c r="Y144" s="15" t="s">
        <v>186</v>
      </c>
      <c r="Z144" s="19"/>
      <c r="AA144" s="61" t="str">
        <f t="shared" si="23"/>
        <v/>
      </c>
      <c r="AC144" s="60"/>
      <c r="AD144" s="20"/>
      <c r="AE144" s="20" t="str">
        <f t="shared" si="24"/>
        <v/>
      </c>
      <c r="AF144" s="61" t="str" cm="1">
        <f t="array" ref="AF144">IF(AC144="","",SUMPRODUCT(($F$138:$F$157=AC144)*($G$138:$G$157=IF(AD144="","",AD144))*$P$138:$P$157))</f>
        <v/>
      </c>
    </row>
    <row r="145" spans="1:32">
      <c r="A145" s="1" t="s">
        <v>144</v>
      </c>
      <c r="B145" t="str">
        <f t="shared" ref="B145:B174" si="27">IF(AF2="","¬",AF2)</f>
        <v>¬</v>
      </c>
      <c r="D145" s="19"/>
      <c r="E145" s="15" t="s">
        <v>183</v>
      </c>
      <c r="F145" s="3"/>
      <c r="G145" s="3" t="str">
        <f>IFERROR(VLOOKUP(F145,tblManoeuvre[],2,FALSE)&amp;" "&amp;VLOOKUP(F145,tblManoeuvre[],3,FALSE),"")</f>
        <v/>
      </c>
      <c r="H145" s="67" t="str">
        <f>IFERROR(IF(VLOOKUP(F145,tblManoeuvre[],8,FALSE)=0,"None",VLOOKUP(F145,tblManoeuvre[],8,FALSE)),"None")</f>
        <v>None</v>
      </c>
      <c r="I145" s="67"/>
      <c r="L145" s="4"/>
      <c r="M145" s="4"/>
      <c r="N145" s="4"/>
      <c r="O145" s="61">
        <f t="shared" si="25"/>
        <v>0</v>
      </c>
      <c r="P145" s="60">
        <f t="shared" si="26"/>
        <v>0</v>
      </c>
      <c r="Q145" s="61" t="str">
        <f>_xlfn.IFNA(VLOOKUP($F145,tblInfluence[],3,FALSE),"")</f>
        <v/>
      </c>
      <c r="R145" s="61" t="str">
        <f>_xlfn.IFNA(VLOOKUP($F145,tblInfluence[],4,FALSE),"")</f>
        <v/>
      </c>
      <c r="Y145" s="15" t="s">
        <v>187</v>
      </c>
      <c r="Z145" s="19"/>
      <c r="AA145" s="61" t="str">
        <f t="shared" si="23"/>
        <v/>
      </c>
      <c r="AC145" s="60"/>
      <c r="AD145" s="20"/>
      <c r="AE145" s="20" t="str">
        <f t="shared" si="24"/>
        <v/>
      </c>
      <c r="AF145" s="61" t="str" cm="1">
        <f t="array" ref="AF145">IF(AC145="","",SUMPRODUCT(($F$138:$F$157=AC145)*($G$138:$G$157=IF(AD145="","",AD145))*$P$138:$P$157))</f>
        <v/>
      </c>
    </row>
    <row r="146" spans="1:32">
      <c r="A146" s="1" t="s">
        <v>145</v>
      </c>
      <c r="B146" t="str">
        <f t="shared" si="27"/>
        <v>¬</v>
      </c>
      <c r="D146" s="19"/>
      <c r="E146" s="15" t="s">
        <v>184</v>
      </c>
      <c r="F146" s="3"/>
      <c r="G146" s="3" t="str">
        <f>IFERROR(VLOOKUP(F146,tblManoeuvre[],2,FALSE)&amp;" "&amp;VLOOKUP(F146,tblManoeuvre[],3,FALSE),"")</f>
        <v/>
      </c>
      <c r="H146" s="67" t="str">
        <f>IFERROR(IF(VLOOKUP(F146,tblManoeuvre[],8,FALSE)=0,"None",VLOOKUP(F146,tblManoeuvre[],8,FALSE)),"None")</f>
        <v>None</v>
      </c>
      <c r="I146" s="67"/>
      <c r="L146" s="4"/>
      <c r="M146" s="4"/>
      <c r="N146" s="4"/>
      <c r="O146" s="61">
        <f t="shared" si="25"/>
        <v>0</v>
      </c>
      <c r="P146" s="60">
        <f t="shared" si="26"/>
        <v>0</v>
      </c>
      <c r="Q146" s="61" t="str">
        <f>_xlfn.IFNA(VLOOKUP($F146,tblInfluence[],3,FALSE),"")</f>
        <v/>
      </c>
      <c r="R146" s="61" t="str">
        <f>_xlfn.IFNA(VLOOKUP($F146,tblInfluence[],4,FALSE),"")</f>
        <v/>
      </c>
      <c r="Y146" s="15" t="s">
        <v>188</v>
      </c>
      <c r="Z146" s="19"/>
      <c r="AA146" s="61" t="str">
        <f t="shared" si="23"/>
        <v/>
      </c>
      <c r="AC146" s="60"/>
      <c r="AD146" s="20"/>
      <c r="AE146" s="20" t="str">
        <f t="shared" si="24"/>
        <v/>
      </c>
      <c r="AF146" s="61" t="str" cm="1">
        <f t="array" ref="AF146">IF(AC146="","",SUMPRODUCT(($F$138:$F$157=AC146)*($G$138:$G$157=IF(AD146="","",AD146))*$P$138:$P$157))</f>
        <v/>
      </c>
    </row>
    <row r="147" spans="1:32">
      <c r="A147" s="1" t="s">
        <v>146</v>
      </c>
      <c r="B147" t="str">
        <f t="shared" si="27"/>
        <v>¬</v>
      </c>
      <c r="D147" s="19"/>
      <c r="E147" s="15" t="s">
        <v>185</v>
      </c>
      <c r="F147" s="3"/>
      <c r="G147" s="3" t="str">
        <f>IFERROR(VLOOKUP(F147,tblManoeuvre[],2,FALSE)&amp;" "&amp;VLOOKUP(F147,tblManoeuvre[],3,FALSE),"")</f>
        <v/>
      </c>
      <c r="H147" s="67" t="str">
        <f>IFERROR(IF(VLOOKUP(F147,tblManoeuvre[],8,FALSE)=0,"None",VLOOKUP(F147,tblManoeuvre[],8,FALSE)),"None")</f>
        <v>None</v>
      </c>
      <c r="I147" s="67"/>
      <c r="L147" s="4"/>
      <c r="M147" s="4"/>
      <c r="N147" s="4"/>
      <c r="O147" s="61">
        <f t="shared" si="25"/>
        <v>0</v>
      </c>
      <c r="P147" s="60">
        <f t="shared" si="26"/>
        <v>0</v>
      </c>
      <c r="Q147" s="61" t="str">
        <f>_xlfn.IFNA(VLOOKUP($F147,tblInfluence[],3,FALSE),"")</f>
        <v/>
      </c>
      <c r="R147" s="61" t="str">
        <f>_xlfn.IFNA(VLOOKUP($F147,tblInfluence[],4,FALSE),"")</f>
        <v/>
      </c>
      <c r="Y147" s="15" t="s">
        <v>189</v>
      </c>
      <c r="Z147" s="19"/>
      <c r="AA147" s="61" t="str">
        <f t="shared" si="23"/>
        <v/>
      </c>
      <c r="AC147" s="60"/>
      <c r="AD147" s="20"/>
      <c r="AE147" s="20" t="str">
        <f t="shared" si="24"/>
        <v/>
      </c>
      <c r="AF147" s="61" t="str" cm="1">
        <f t="array" ref="AF147">IF(AC147="","",SUMPRODUCT(($F$138:$F$157=AC147)*($G$138:$G$157=IF(AD147="","",AD147))*$P$138:$P$157))</f>
        <v/>
      </c>
    </row>
    <row r="148" spans="1:32">
      <c r="A148" s="1" t="s">
        <v>147</v>
      </c>
      <c r="B148" t="str">
        <f t="shared" si="27"/>
        <v>¬</v>
      </c>
      <c r="D148" s="19"/>
      <c r="E148" s="15" t="s">
        <v>186</v>
      </c>
      <c r="F148" s="3"/>
      <c r="G148" s="3" t="str">
        <f>IFERROR(VLOOKUP(F148,tblManoeuvre[],2,FALSE)&amp;" "&amp;VLOOKUP(F148,tblManoeuvre[],3,FALSE),"")</f>
        <v/>
      </c>
      <c r="H148" s="67" t="str">
        <f>IFERROR(IF(VLOOKUP(F148,tblManoeuvre[],8,FALSE)=0,"None",VLOOKUP(F148,tblManoeuvre[],8,FALSE)),"None")</f>
        <v>None</v>
      </c>
      <c r="I148" s="67"/>
      <c r="L148" s="4"/>
      <c r="M148" s="4"/>
      <c r="N148" s="4"/>
      <c r="O148" s="61">
        <f t="shared" si="25"/>
        <v>0</v>
      </c>
      <c r="P148" s="60">
        <f t="shared" si="26"/>
        <v>0</v>
      </c>
      <c r="Q148" s="61" t="str">
        <f>_xlfn.IFNA(VLOOKUP($F148,tblInfluence[],3,FALSE),"")</f>
        <v/>
      </c>
      <c r="R148" s="61" t="str">
        <f>_xlfn.IFNA(VLOOKUP($F148,tblInfluence[],4,FALSE),"")</f>
        <v/>
      </c>
      <c r="Y148" s="15" t="s">
        <v>190</v>
      </c>
      <c r="Z148" s="19"/>
      <c r="AA148" s="61" t="str">
        <f t="shared" si="23"/>
        <v/>
      </c>
      <c r="AC148" s="60"/>
      <c r="AD148" s="20"/>
      <c r="AE148" s="20" t="str">
        <f t="shared" si="24"/>
        <v/>
      </c>
      <c r="AF148" s="61" t="str" cm="1">
        <f t="array" ref="AF148">IF(AC148="","",SUMPRODUCT(($F$138:$F$157=AC148)*($G$138:$G$157=IF(AD148="","",AD148))*$P$138:$P$157))</f>
        <v/>
      </c>
    </row>
    <row r="149" spans="1:32">
      <c r="A149" s="1" t="s">
        <v>148</v>
      </c>
      <c r="B149" t="str">
        <f t="shared" si="27"/>
        <v>¬</v>
      </c>
      <c r="D149" s="19"/>
      <c r="E149" s="15" t="s">
        <v>187</v>
      </c>
      <c r="F149" s="3"/>
      <c r="G149" s="3" t="str">
        <f>IFERROR(VLOOKUP(F149,tblManoeuvre[],2,FALSE)&amp;" "&amp;VLOOKUP(F149,tblManoeuvre[],3,FALSE),"")</f>
        <v/>
      </c>
      <c r="H149" s="67" t="str">
        <f>IFERROR(IF(VLOOKUP(F149,tblManoeuvre[],8,FALSE)=0,"None",VLOOKUP(F149,tblManoeuvre[],8,FALSE)),"None")</f>
        <v>None</v>
      </c>
      <c r="I149" s="67"/>
      <c r="L149" s="4"/>
      <c r="M149" s="4"/>
      <c r="N149" s="4"/>
      <c r="O149" s="61">
        <f t="shared" si="25"/>
        <v>0</v>
      </c>
      <c r="P149" s="60">
        <f t="shared" si="26"/>
        <v>0</v>
      </c>
      <c r="Q149" s="61" t="str">
        <f>_xlfn.IFNA(VLOOKUP($F149,tblInfluence[],3,FALSE),"")</f>
        <v/>
      </c>
      <c r="R149" s="61" t="str">
        <f>_xlfn.IFNA(VLOOKUP($F149,tblInfluence[],4,FALSE),"")</f>
        <v/>
      </c>
      <c r="Y149" s="15" t="s">
        <v>191</v>
      </c>
      <c r="Z149" s="19"/>
      <c r="AA149" s="61" t="str">
        <f t="shared" si="23"/>
        <v/>
      </c>
      <c r="AC149" s="60"/>
      <c r="AD149" s="20"/>
      <c r="AE149" s="20" t="str">
        <f t="shared" si="24"/>
        <v/>
      </c>
      <c r="AF149" s="61" t="str" cm="1">
        <f t="array" ref="AF149">IF(AC149="","",SUMPRODUCT(($F$138:$F$157=AC149)*($G$138:$G$157=IF(AD149="","",AD149))*$P$138:$P$157))</f>
        <v/>
      </c>
    </row>
    <row r="150" spans="1:32">
      <c r="A150" s="1" t="s">
        <v>149</v>
      </c>
      <c r="B150" t="str">
        <f t="shared" si="27"/>
        <v>¬</v>
      </c>
      <c r="D150" s="19"/>
      <c r="E150" s="15" t="s">
        <v>188</v>
      </c>
      <c r="F150" s="3"/>
      <c r="G150" s="3" t="str">
        <f>IFERROR(VLOOKUP(F150,tblManoeuvre[],2,FALSE)&amp;" "&amp;VLOOKUP(F150,tblManoeuvre[],3,FALSE),"")</f>
        <v/>
      </c>
      <c r="H150" s="67" t="str">
        <f>IFERROR(IF(VLOOKUP(F150,tblManoeuvre[],8,FALSE)=0,"None",VLOOKUP(F150,tblManoeuvre[],8,FALSE)),"None")</f>
        <v>None</v>
      </c>
      <c r="I150" s="67"/>
      <c r="L150" s="4"/>
      <c r="M150" s="4"/>
      <c r="N150" s="4"/>
      <c r="O150" s="61">
        <f t="shared" si="25"/>
        <v>0</v>
      </c>
      <c r="P150" s="60">
        <f t="shared" si="26"/>
        <v>0</v>
      </c>
      <c r="Q150" s="61" t="str">
        <f>_xlfn.IFNA(VLOOKUP($F150,tblInfluence[],3,FALSE),"")</f>
        <v/>
      </c>
      <c r="R150" s="61" t="str">
        <f>_xlfn.IFNA(VLOOKUP($F150,tblInfluence[],4,FALSE),"")</f>
        <v/>
      </c>
      <c r="Y150" s="15" t="s">
        <v>192</v>
      </c>
      <c r="Z150" s="19"/>
      <c r="AA150" s="61" t="str">
        <f t="shared" si="23"/>
        <v/>
      </c>
      <c r="AC150" s="60"/>
      <c r="AD150" s="20"/>
      <c r="AE150" s="20" t="str">
        <f t="shared" si="24"/>
        <v/>
      </c>
      <c r="AF150" s="61" t="str" cm="1">
        <f t="array" ref="AF150">IF(AC150="","",SUMPRODUCT(($F$138:$F$157=AC150)*($G$138:$G$157=IF(AD150="","",AD150))*$P$138:$P$157))</f>
        <v/>
      </c>
    </row>
    <row r="151" spans="1:32">
      <c r="A151" s="1" t="s">
        <v>150</v>
      </c>
      <c r="B151" t="str">
        <f t="shared" si="27"/>
        <v>¬</v>
      </c>
      <c r="D151" s="19"/>
      <c r="E151" s="15" t="s">
        <v>189</v>
      </c>
      <c r="F151" s="3"/>
      <c r="G151" s="3" t="str">
        <f>IFERROR(VLOOKUP(F151,tblManoeuvre[],2,FALSE)&amp;" "&amp;VLOOKUP(F151,tblManoeuvre[],3,FALSE),"")</f>
        <v/>
      </c>
      <c r="H151" s="67" t="str">
        <f>IFERROR(IF(VLOOKUP(F151,tblManoeuvre[],8,FALSE)=0,"None",VLOOKUP(F151,tblManoeuvre[],8,FALSE)),"None")</f>
        <v>None</v>
      </c>
      <c r="I151" s="67"/>
      <c r="L151" s="4"/>
      <c r="M151" s="4"/>
      <c r="N151" s="4"/>
      <c r="O151" s="61">
        <f t="shared" si="25"/>
        <v>0</v>
      </c>
      <c r="P151" s="60">
        <f t="shared" si="26"/>
        <v>0</v>
      </c>
      <c r="Q151" s="61" t="str">
        <f>_xlfn.IFNA(VLOOKUP($F151,tblInfluence[],3,FALSE),"")</f>
        <v/>
      </c>
      <c r="R151" s="61" t="str">
        <f>_xlfn.IFNA(VLOOKUP($F151,tblInfluence[],4,FALSE),"")</f>
        <v/>
      </c>
      <c r="Y151" s="15" t="s">
        <v>193</v>
      </c>
      <c r="Z151" s="19"/>
      <c r="AA151" s="61" t="str">
        <f t="shared" si="23"/>
        <v/>
      </c>
      <c r="AC151" s="60"/>
      <c r="AD151" s="20"/>
      <c r="AE151" s="20" t="str">
        <f t="shared" si="24"/>
        <v/>
      </c>
      <c r="AF151" s="61" t="str" cm="1">
        <f t="array" ref="AF151">IF(AC151="","",SUMPRODUCT(($F$138:$F$157=AC151)*($G$138:$G$157=IF(AD151="","",AD151))*$P$138:$P$157))</f>
        <v/>
      </c>
    </row>
    <row r="152" spans="1:32">
      <c r="A152" s="1" t="s">
        <v>151</v>
      </c>
      <c r="B152" t="str">
        <f t="shared" si="27"/>
        <v>¬</v>
      </c>
      <c r="D152" s="19"/>
      <c r="E152" s="15" t="s">
        <v>190</v>
      </c>
      <c r="F152" s="3"/>
      <c r="G152" s="3" t="str">
        <f>IFERROR(VLOOKUP(F152,tblManoeuvre[],2,FALSE)&amp;" "&amp;VLOOKUP(F152,tblManoeuvre[],3,FALSE),"")</f>
        <v/>
      </c>
      <c r="H152" s="67" t="str">
        <f>IFERROR(IF(VLOOKUP(F152,tblManoeuvre[],8,FALSE)=0,"None",VLOOKUP(F152,tblManoeuvre[],8,FALSE)),"None")</f>
        <v>None</v>
      </c>
      <c r="I152" s="67"/>
      <c r="L152" s="4"/>
      <c r="M152" s="4"/>
      <c r="N152" s="4"/>
      <c r="O152" s="61">
        <f t="shared" si="25"/>
        <v>0</v>
      </c>
      <c r="P152" s="60">
        <f t="shared" si="26"/>
        <v>0</v>
      </c>
      <c r="Q152" s="61" t="str">
        <f>_xlfn.IFNA(VLOOKUP($F152,tblInfluence[],3,FALSE),"")</f>
        <v/>
      </c>
      <c r="R152" s="61" t="str">
        <f>_xlfn.IFNA(VLOOKUP($F152,tblInfluence[],4,FALSE),"")</f>
        <v/>
      </c>
      <c r="Y152" s="15" t="s">
        <v>194</v>
      </c>
      <c r="Z152" s="19"/>
      <c r="AA152" s="61" t="str">
        <f t="shared" si="23"/>
        <v/>
      </c>
      <c r="AC152" s="60"/>
      <c r="AD152" s="20"/>
      <c r="AE152" s="20" t="str">
        <f t="shared" si="24"/>
        <v/>
      </c>
      <c r="AF152" s="61" t="str" cm="1">
        <f t="array" ref="AF152">IF(AC152="","",SUMPRODUCT(($F$138:$F$157=AC152)*($G$138:$G$157=IF(AD152="","",AD152))*$P$138:$P$157))</f>
        <v/>
      </c>
    </row>
    <row r="153" spans="1:32">
      <c r="A153" s="1" t="s">
        <v>152</v>
      </c>
      <c r="B153" t="str">
        <f t="shared" si="27"/>
        <v>¬</v>
      </c>
      <c r="D153" s="19"/>
      <c r="E153" s="15" t="s">
        <v>191</v>
      </c>
      <c r="F153" s="3"/>
      <c r="G153" s="3" t="str">
        <f>IFERROR(VLOOKUP(F153,tblManoeuvre[],2,FALSE)&amp;" "&amp;VLOOKUP(F153,tblManoeuvre[],3,FALSE),"")</f>
        <v/>
      </c>
      <c r="H153" s="67" t="str">
        <f>IFERROR(IF(VLOOKUP(F153,tblManoeuvre[],8,FALSE)=0,"None",VLOOKUP(F153,tblManoeuvre[],8,FALSE)),"None")</f>
        <v>None</v>
      </c>
      <c r="I153" s="67"/>
      <c r="L153" s="4"/>
      <c r="M153" s="4"/>
      <c r="N153" s="4"/>
      <c r="O153" s="61">
        <f t="shared" si="25"/>
        <v>0</v>
      </c>
      <c r="P153" s="60">
        <f t="shared" si="26"/>
        <v>0</v>
      </c>
      <c r="Q153" s="61" t="str">
        <f>_xlfn.IFNA(VLOOKUP($F153,tblInfluence[],3,FALSE),"")</f>
        <v/>
      </c>
      <c r="R153" s="61" t="str">
        <f>_xlfn.IFNA(VLOOKUP($F153,tblInfluence[],4,FALSE),"")</f>
        <v/>
      </c>
      <c r="Y153" s="15" t="s">
        <v>195</v>
      </c>
      <c r="Z153" s="19"/>
      <c r="AA153" s="61" t="str">
        <f t="shared" si="23"/>
        <v/>
      </c>
      <c r="AC153" s="60"/>
      <c r="AD153" s="20"/>
      <c r="AE153" s="20" t="str">
        <f t="shared" si="24"/>
        <v/>
      </c>
      <c r="AF153" s="61" t="str" cm="1">
        <f t="array" ref="AF153">IF(AC153="","",SUMPRODUCT(($F$138:$F$157=AC153)*($G$138:$G$157=IF(AD153="","",AD153))*$P$138:$P$157))</f>
        <v/>
      </c>
    </row>
    <row r="154" spans="1:32">
      <c r="A154" s="1" t="s">
        <v>153</v>
      </c>
      <c r="B154" t="str">
        <f t="shared" si="27"/>
        <v>¬</v>
      </c>
      <c r="D154" s="19"/>
      <c r="E154" s="15" t="s">
        <v>192</v>
      </c>
      <c r="F154" s="3"/>
      <c r="G154" s="3" t="str">
        <f>IFERROR(VLOOKUP(F154,tblManoeuvre[],2,FALSE)&amp;" "&amp;VLOOKUP(F154,tblManoeuvre[],3,FALSE),"")</f>
        <v/>
      </c>
      <c r="H154" s="67" t="str">
        <f>IFERROR(IF(VLOOKUP(F154,tblManoeuvre[],8,FALSE)=0,"None",VLOOKUP(F154,tblManoeuvre[],8,FALSE)),"None")</f>
        <v>None</v>
      </c>
      <c r="I154" s="67"/>
      <c r="L154" s="4"/>
      <c r="M154" s="4"/>
      <c r="N154" s="4"/>
      <c r="O154" s="61">
        <f t="shared" si="25"/>
        <v>0</v>
      </c>
      <c r="P154" s="60">
        <f t="shared" si="26"/>
        <v>0</v>
      </c>
      <c r="Q154" s="61" t="str">
        <f>_xlfn.IFNA(VLOOKUP($F154,tblInfluence[],3,FALSE),"")</f>
        <v/>
      </c>
      <c r="R154" s="61" t="str">
        <f>_xlfn.IFNA(VLOOKUP($F154,tblInfluence[],4,FALSE),"")</f>
        <v/>
      </c>
    </row>
    <row r="155" spans="1:32">
      <c r="A155" s="1" t="s">
        <v>154</v>
      </c>
      <c r="B155" t="str">
        <f t="shared" si="27"/>
        <v>¬</v>
      </c>
      <c r="D155" s="19"/>
      <c r="E155" s="15" t="s">
        <v>193</v>
      </c>
      <c r="F155" s="3"/>
      <c r="G155" s="3" t="str">
        <f>IFERROR(VLOOKUP(F155,tblManoeuvre[],2,FALSE)&amp;" "&amp;VLOOKUP(F155,tblManoeuvre[],3,FALSE),"")</f>
        <v/>
      </c>
      <c r="H155" s="67" t="str">
        <f>IFERROR(IF(VLOOKUP(F155,tblManoeuvre[],8,FALSE)=0,"None",VLOOKUP(F155,tblManoeuvre[],8,FALSE)),"None")</f>
        <v>None</v>
      </c>
      <c r="I155" s="67"/>
      <c r="L155" s="4"/>
      <c r="M155" s="4"/>
      <c r="N155" s="4"/>
      <c r="O155" s="61">
        <f t="shared" si="25"/>
        <v>0</v>
      </c>
      <c r="P155" s="60">
        <f t="shared" si="26"/>
        <v>0</v>
      </c>
      <c r="Q155" s="61" t="str">
        <f>_xlfn.IFNA(VLOOKUP($F155,tblInfluence[],3,FALSE),"")</f>
        <v/>
      </c>
      <c r="R155" s="61" t="str">
        <f>_xlfn.IFNA(VLOOKUP($F155,tblInfluence[],4,FALSE),"")</f>
        <v/>
      </c>
      <c r="AE155" s="61">
        <f>IF(P160=5,1,0)</f>
        <v>0</v>
      </c>
    </row>
    <row r="156" spans="1:32">
      <c r="A156" s="1" t="s">
        <v>155</v>
      </c>
      <c r="B156" t="str">
        <f t="shared" si="27"/>
        <v>¬</v>
      </c>
      <c r="D156" s="19"/>
      <c r="E156" s="15" t="s">
        <v>194</v>
      </c>
      <c r="F156" s="3"/>
      <c r="G156" s="3" t="str">
        <f>IFERROR(VLOOKUP(F156,tblManoeuvre[],2,FALSE)&amp;" "&amp;VLOOKUP(F156,tblManoeuvre[],3,FALSE),"")</f>
        <v/>
      </c>
      <c r="H156" s="67" t="str">
        <f>IFERROR(IF(VLOOKUP(F156,tblManoeuvre[],8,FALSE)=0,"None",VLOOKUP(F156,tblManoeuvre[],8,FALSE)),"None")</f>
        <v>None</v>
      </c>
      <c r="I156" s="67"/>
      <c r="L156" s="4"/>
      <c r="M156" s="4"/>
      <c r="N156" s="4"/>
      <c r="O156" s="61">
        <f t="shared" si="25"/>
        <v>0</v>
      </c>
      <c r="P156" s="60">
        <f t="shared" si="26"/>
        <v>0</v>
      </c>
      <c r="Q156" s="61" t="str">
        <f>_xlfn.IFNA(VLOOKUP($F156,tblInfluence[],3,FALSE),"")</f>
        <v/>
      </c>
      <c r="R156" s="61" t="str">
        <f>_xlfn.IFNA(VLOOKUP($F156,tblInfluence[],4,FALSE),"")</f>
        <v/>
      </c>
      <c r="AE156" s="61" t="b">
        <f>COUNTIF(AA2:AA21,"*Honey With Vinegar*")&gt;0</f>
        <v>0</v>
      </c>
    </row>
    <row r="157" spans="1:32">
      <c r="A157" s="1" t="s">
        <v>156</v>
      </c>
      <c r="B157" t="str">
        <f t="shared" si="27"/>
        <v>¬</v>
      </c>
      <c r="D157" s="19"/>
      <c r="E157" s="15" t="s">
        <v>195</v>
      </c>
      <c r="F157" s="3"/>
      <c r="G157" s="3" t="str">
        <f>IFERROR(VLOOKUP(F157,tblManoeuvre[],2,FALSE)&amp;" "&amp;VLOOKUP(F157,tblManoeuvre[],3,FALSE),"")</f>
        <v/>
      </c>
      <c r="H157" s="67" t="str">
        <f>IFERROR(IF(VLOOKUP(F157,tblManoeuvre[],8,FALSE)=0,"None",VLOOKUP(F157,tblManoeuvre[],8,FALSE)),"None")</f>
        <v>None</v>
      </c>
      <c r="I157" s="67"/>
      <c r="L157" s="4"/>
      <c r="M157" s="4"/>
      <c r="N157" s="4"/>
      <c r="O157" s="61">
        <f t="shared" si="25"/>
        <v>0</v>
      </c>
      <c r="P157" s="60">
        <f t="shared" si="26"/>
        <v>0</v>
      </c>
      <c r="Q157" s="61" t="str">
        <f>_xlfn.IFNA(VLOOKUP($F157,tblInfluence[],3,FALSE),"")</f>
        <v/>
      </c>
      <c r="R157" s="61" t="str">
        <f>_xlfn.IFNA(VLOOKUP($F157,tblInfluence[],4,FALSE),"")</f>
        <v/>
      </c>
    </row>
    <row r="158" spans="1:32">
      <c r="A158" s="1" t="s">
        <v>157</v>
      </c>
      <c r="B158" t="str">
        <f t="shared" si="27"/>
        <v>¬</v>
      </c>
    </row>
    <row r="159" spans="1:32">
      <c r="A159" s="1" t="s">
        <v>158</v>
      </c>
      <c r="B159" t="str">
        <f t="shared" si="27"/>
        <v>¬</v>
      </c>
      <c r="D159" s="16" t="s">
        <v>1486</v>
      </c>
      <c r="E159" s="17"/>
      <c r="F159" s="17" t="s">
        <v>1487</v>
      </c>
      <c r="G159" s="17"/>
      <c r="H159" s="17"/>
      <c r="I159" s="17"/>
    </row>
    <row r="160" spans="1:32">
      <c r="A160" s="1" t="s">
        <v>159</v>
      </c>
      <c r="B160" t="str">
        <f t="shared" si="27"/>
        <v>¬</v>
      </c>
      <c r="D160" s="19"/>
      <c r="E160" s="15" t="s">
        <v>98</v>
      </c>
      <c r="F160" s="3"/>
      <c r="G160" s="60"/>
      <c r="H160" s="60"/>
      <c r="I160" s="60"/>
      <c r="L160" s="4"/>
      <c r="M160" s="4"/>
      <c r="N160" s="4"/>
      <c r="O160" s="61">
        <f>N160</f>
        <v>0</v>
      </c>
      <c r="P160" s="60">
        <f>MIN(SUM(L160,M160,O160),R160)</f>
        <v>0</v>
      </c>
      <c r="Q160" s="61">
        <v>1</v>
      </c>
      <c r="R160" s="61">
        <v>5</v>
      </c>
    </row>
    <row r="161" spans="1:18">
      <c r="A161" s="1" t="s">
        <v>160</v>
      </c>
      <c r="B161" t="str">
        <f t="shared" si="27"/>
        <v>¬</v>
      </c>
      <c r="D161" s="19"/>
      <c r="E161" s="15" t="s">
        <v>100</v>
      </c>
      <c r="F161" s="3"/>
      <c r="G161" s="60"/>
      <c r="H161" s="60"/>
      <c r="I161" s="60"/>
      <c r="L161" s="4"/>
      <c r="M161" s="4"/>
      <c r="N161" s="4"/>
      <c r="O161" s="61">
        <f>N161</f>
        <v>0</v>
      </c>
      <c r="P161" s="60">
        <f>MIN(SUM(L161,M161,O161),R161)</f>
        <v>0</v>
      </c>
      <c r="Q161" s="61">
        <v>1</v>
      </c>
      <c r="R161" s="61">
        <v>5</v>
      </c>
    </row>
    <row r="162" spans="1:18">
      <c r="A162" s="1" t="s">
        <v>161</v>
      </c>
      <c r="B162" t="str">
        <f t="shared" si="27"/>
        <v>¬</v>
      </c>
    </row>
    <row r="163" spans="1:18" ht="15.75" thickBot="1">
      <c r="A163" s="1" t="s">
        <v>162</v>
      </c>
      <c r="B163" t="str">
        <f t="shared" si="27"/>
        <v>¬</v>
      </c>
      <c r="D163" s="14" t="s">
        <v>1488</v>
      </c>
      <c r="E163" s="14"/>
      <c r="F163" s="14"/>
      <c r="G163" s="14"/>
      <c r="H163" s="14"/>
      <c r="I163" s="14"/>
      <c r="N163" s="60">
        <f>SUM(N165:N174)+SUM(N177:N181)+SUM(N184:N185)+SUM(N187:N191)+SUM(N194:N203)</f>
        <v>0</v>
      </c>
    </row>
    <row r="164" spans="1:18">
      <c r="A164" s="1" t="s">
        <v>163</v>
      </c>
      <c r="B164" t="str">
        <f t="shared" si="27"/>
        <v>¬</v>
      </c>
      <c r="D164" s="16" t="s">
        <v>1489</v>
      </c>
      <c r="E164" s="15" t="s">
        <v>1490</v>
      </c>
      <c r="F164" s="61" t="str">
        <f>IFERROR(IF($F$8="",VLOOKUP($F$7,tblClans[],5,FALSE),VLOOKUP($F$8,tblBloodlines[],5,FALSE)),"")</f>
        <v/>
      </c>
      <c r="G164" s="61" t="str">
        <f>IFERROR(IF($F$8="",VLOOKUP($F$7,tblClans[],6,FALSE),VLOOKUP($F$8,tblBloodlines[],6,FALSE)),"")</f>
        <v/>
      </c>
      <c r="H164" s="61" t="str">
        <f>IFERROR(IF($F$8="",VLOOKUP($F$7,tblClans[],7,FALSE),VLOOKUP($F$8,tblBloodlines[],7,FALSE)),"")</f>
        <v/>
      </c>
      <c r="I164" s="61" t="str">
        <f>IFERROR(IF($F$8="",VLOOKUP($F$7,tblClans[],8,FALSE),VLOOKUP($F$8,tblBloodlines[],8,FALSE)),"")</f>
        <v/>
      </c>
      <c r="L164" s="60">
        <f>3-SUM(L165:L174)-SUM(L184:L185)</f>
        <v>3</v>
      </c>
    </row>
    <row r="165" spans="1:18">
      <c r="A165" s="1" t="s">
        <v>164</v>
      </c>
      <c r="B165" t="str">
        <f t="shared" si="27"/>
        <v>¬</v>
      </c>
      <c r="D165" s="19"/>
      <c r="E165" s="15" t="s">
        <v>236</v>
      </c>
      <c r="F165" s="19"/>
      <c r="G165" s="19"/>
      <c r="H165" s="19"/>
      <c r="I165" s="19"/>
      <c r="L165" s="4"/>
      <c r="N165" s="4"/>
      <c r="O165" s="61">
        <f t="shared" ref="O165:O174" si="28">ROUNDDOWN(IF(COUNTIF($F$164:$I$164,$E165)&gt;0,N165/3,N165/4),0)</f>
        <v>0</v>
      </c>
      <c r="P165" s="60">
        <f>MIN(SUM(L165,O165),R165)</f>
        <v>0</v>
      </c>
      <c r="Q165" s="61">
        <v>0</v>
      </c>
      <c r="R165" s="61">
        <v>5</v>
      </c>
    </row>
    <row r="166" spans="1:18">
      <c r="A166" s="1" t="s">
        <v>165</v>
      </c>
      <c r="B166" t="str">
        <f t="shared" si="27"/>
        <v>¬</v>
      </c>
      <c r="D166" s="19"/>
      <c r="E166" s="15" t="s">
        <v>237</v>
      </c>
      <c r="F166" s="19"/>
      <c r="G166" s="19"/>
      <c r="H166" s="19"/>
      <c r="I166" s="19"/>
      <c r="L166" s="4"/>
      <c r="N166" s="4"/>
      <c r="O166" s="61">
        <f t="shared" si="28"/>
        <v>0</v>
      </c>
      <c r="P166" s="60">
        <f t="shared" ref="P166:P174" si="29">MIN(SUM(L166,O166),R166)</f>
        <v>0</v>
      </c>
      <c r="Q166" s="61">
        <v>0</v>
      </c>
      <c r="R166" s="61">
        <v>5</v>
      </c>
    </row>
    <row r="167" spans="1:18">
      <c r="A167" s="1" t="s">
        <v>166</v>
      </c>
      <c r="B167" t="str">
        <f t="shared" si="27"/>
        <v>¬</v>
      </c>
      <c r="D167" s="19"/>
      <c r="E167" s="15" t="s">
        <v>238</v>
      </c>
      <c r="F167" s="19"/>
      <c r="G167" s="19"/>
      <c r="H167" s="19"/>
      <c r="I167" s="19"/>
      <c r="L167" s="4"/>
      <c r="N167" s="4"/>
      <c r="O167" s="61">
        <f t="shared" si="28"/>
        <v>0</v>
      </c>
      <c r="P167" s="60">
        <f t="shared" si="29"/>
        <v>0</v>
      </c>
      <c r="Q167" s="61">
        <v>0</v>
      </c>
      <c r="R167" s="61">
        <v>5</v>
      </c>
    </row>
    <row r="168" spans="1:18">
      <c r="A168" s="1" t="s">
        <v>167</v>
      </c>
      <c r="B168" t="str">
        <f t="shared" si="27"/>
        <v>¬</v>
      </c>
      <c r="D168" s="19"/>
      <c r="E168" s="15" t="s">
        <v>239</v>
      </c>
      <c r="F168" s="19"/>
      <c r="G168" s="19"/>
      <c r="H168" s="19"/>
      <c r="I168" s="19"/>
      <c r="L168" s="4"/>
      <c r="N168" s="4"/>
      <c r="O168" s="61">
        <f t="shared" si="28"/>
        <v>0</v>
      </c>
      <c r="P168" s="60">
        <f t="shared" si="29"/>
        <v>0</v>
      </c>
      <c r="Q168" s="61">
        <v>0</v>
      </c>
      <c r="R168" s="61">
        <v>5</v>
      </c>
    </row>
    <row r="169" spans="1:18">
      <c r="A169" s="1" t="s">
        <v>168</v>
      </c>
      <c r="B169" t="str">
        <f t="shared" si="27"/>
        <v>¬</v>
      </c>
      <c r="D169" s="19"/>
      <c r="E169" s="15" t="s">
        <v>240</v>
      </c>
      <c r="F169" s="19"/>
      <c r="G169" s="19"/>
      <c r="H169" s="19"/>
      <c r="I169" s="19"/>
      <c r="L169" s="4"/>
      <c r="N169" s="4"/>
      <c r="O169" s="61">
        <f t="shared" si="28"/>
        <v>0</v>
      </c>
      <c r="P169" s="60">
        <f t="shared" si="29"/>
        <v>0</v>
      </c>
      <c r="Q169" s="61">
        <v>0</v>
      </c>
      <c r="R169" s="61">
        <v>5</v>
      </c>
    </row>
    <row r="170" spans="1:18">
      <c r="A170" s="1" t="s">
        <v>169</v>
      </c>
      <c r="B170" t="str">
        <f t="shared" si="27"/>
        <v>¬</v>
      </c>
      <c r="D170" s="19"/>
      <c r="E170" s="15" t="s">
        <v>241</v>
      </c>
      <c r="F170" s="19"/>
      <c r="G170" s="19"/>
      <c r="H170" s="19"/>
      <c r="I170" s="19"/>
      <c r="L170" s="4"/>
      <c r="N170" s="4"/>
      <c r="O170" s="61">
        <f t="shared" si="28"/>
        <v>0</v>
      </c>
      <c r="P170" s="60">
        <f t="shared" si="29"/>
        <v>0</v>
      </c>
      <c r="Q170" s="61">
        <v>0</v>
      </c>
      <c r="R170" s="61">
        <v>5</v>
      </c>
    </row>
    <row r="171" spans="1:18">
      <c r="A171" s="1" t="s">
        <v>170</v>
      </c>
      <c r="B171" t="str">
        <f t="shared" si="27"/>
        <v>¬</v>
      </c>
      <c r="D171" s="19"/>
      <c r="E171" s="15" t="s">
        <v>242</v>
      </c>
      <c r="F171" s="19"/>
      <c r="G171" s="19"/>
      <c r="H171" s="19"/>
      <c r="I171" s="19"/>
      <c r="L171" s="4"/>
      <c r="N171" s="4"/>
      <c r="O171" s="61">
        <f t="shared" si="28"/>
        <v>0</v>
      </c>
      <c r="P171" s="60">
        <f t="shared" si="29"/>
        <v>0</v>
      </c>
      <c r="Q171" s="61">
        <v>0</v>
      </c>
      <c r="R171" s="61">
        <v>5</v>
      </c>
    </row>
    <row r="172" spans="1:18">
      <c r="A172" s="1" t="s">
        <v>171</v>
      </c>
      <c r="B172" t="str">
        <f t="shared" si="27"/>
        <v>¬</v>
      </c>
      <c r="D172" s="19"/>
      <c r="E172" s="15" t="s">
        <v>243</v>
      </c>
      <c r="F172" s="19"/>
      <c r="G172" s="19"/>
      <c r="H172" s="19"/>
      <c r="I172" s="19"/>
      <c r="L172" s="4"/>
      <c r="N172" s="4"/>
      <c r="O172" s="61">
        <f t="shared" si="28"/>
        <v>0</v>
      </c>
      <c r="P172" s="60">
        <f t="shared" si="29"/>
        <v>0</v>
      </c>
      <c r="Q172" s="61">
        <v>0</v>
      </c>
      <c r="R172" s="61">
        <v>5</v>
      </c>
    </row>
    <row r="173" spans="1:18">
      <c r="A173" s="1" t="s">
        <v>172</v>
      </c>
      <c r="B173" t="str">
        <f t="shared" si="27"/>
        <v>¬</v>
      </c>
      <c r="D173" s="19"/>
      <c r="E173" s="15" t="s">
        <v>244</v>
      </c>
      <c r="F173" s="19"/>
      <c r="G173" s="19"/>
      <c r="H173" s="19"/>
      <c r="I173" s="19"/>
      <c r="L173" s="4"/>
      <c r="N173" s="4"/>
      <c r="O173" s="61">
        <f t="shared" si="28"/>
        <v>0</v>
      </c>
      <c r="P173" s="60">
        <f t="shared" si="29"/>
        <v>0</v>
      </c>
      <c r="Q173" s="61">
        <v>0</v>
      </c>
      <c r="R173" s="61">
        <v>5</v>
      </c>
    </row>
    <row r="174" spans="1:18">
      <c r="A174" s="1" t="s">
        <v>173</v>
      </c>
      <c r="B174" t="str">
        <f t="shared" si="27"/>
        <v>¬</v>
      </c>
      <c r="D174" s="19"/>
      <c r="E174" s="15" t="s">
        <v>245</v>
      </c>
      <c r="F174" s="19"/>
      <c r="G174" s="19"/>
      <c r="H174" s="19"/>
      <c r="I174" s="19"/>
      <c r="L174" s="4"/>
      <c r="N174" s="4"/>
      <c r="O174" s="61">
        <f t="shared" si="28"/>
        <v>0</v>
      </c>
      <c r="P174" s="60">
        <f t="shared" si="29"/>
        <v>0</v>
      </c>
      <c r="Q174" s="61">
        <v>0</v>
      </c>
      <c r="R174" s="61">
        <v>5</v>
      </c>
    </row>
    <row r="175" spans="1:18">
      <c r="A175" s="1" t="s">
        <v>174</v>
      </c>
      <c r="B175" t="str">
        <f>_xlfn.CONCAT(I137-H137," / ",I137)</f>
        <v>0 / 0</v>
      </c>
    </row>
    <row r="176" spans="1:18">
      <c r="A176" s="1" t="s">
        <v>175</v>
      </c>
      <c r="B176" t="str">
        <f>REPT("□",I137-H137) &amp; REPT("■",H137)</f>
        <v/>
      </c>
      <c r="D176" s="16" t="s">
        <v>1491</v>
      </c>
      <c r="E176" s="16"/>
      <c r="F176" s="16"/>
      <c r="G176" s="16"/>
      <c r="H176" s="16"/>
      <c r="I176" s="16"/>
    </row>
    <row r="177" spans="1:18">
      <c r="A177" s="1" t="s">
        <v>176</v>
      </c>
      <c r="B177" t="str">
        <f t="shared" ref="B177:B196" si="30">IF(AC134="","¬",AC134)</f>
        <v>¬</v>
      </c>
      <c r="D177" s="19"/>
      <c r="E177" s="15" t="s">
        <v>1492</v>
      </c>
      <c r="F177" s="3"/>
      <c r="G177" s="19"/>
      <c r="H177" s="72" t="str">
        <f>IFERROR(IF(VLOOKUP(F177,tblDisciplines[],14,FALSE)=0,"None",VLOOKUP(F177,tblDisciplines[],14,FALSE)),"None")</f>
        <v>None</v>
      </c>
      <c r="I177" s="73"/>
      <c r="N177" s="4"/>
      <c r="O177" s="61">
        <f>N177</f>
        <v>0</v>
      </c>
      <c r="P177" s="60" t="str">
        <f>IF(O177=R177,O177,"")</f>
        <v/>
      </c>
      <c r="R177" s="61" t="str">
        <f>_xlfn.IFNA(VLOOKUP(F177,tblDisciplines[],15,FALSE),"")</f>
        <v/>
      </c>
    </row>
    <row r="178" spans="1:18">
      <c r="A178" s="1" t="s">
        <v>177</v>
      </c>
      <c r="B178" t="str">
        <f t="shared" si="30"/>
        <v>¬</v>
      </c>
      <c r="D178" s="19"/>
      <c r="E178" s="15" t="s">
        <v>1493</v>
      </c>
      <c r="F178" s="3"/>
      <c r="G178" s="19"/>
      <c r="H178" s="72" t="str">
        <f>IFERROR(IF(VLOOKUP(F178,tblDisciplines[],14,FALSE)=0,"None",VLOOKUP(F178,tblDisciplines[],14,FALSE)),"None")</f>
        <v>None</v>
      </c>
      <c r="I178" s="73"/>
      <c r="N178" s="4"/>
      <c r="O178" s="61">
        <f>N178</f>
        <v>0</v>
      </c>
      <c r="P178" s="60" t="str">
        <f>IF(O178=R178,O178,"")</f>
        <v/>
      </c>
      <c r="R178" s="61" t="str">
        <f>_xlfn.IFNA(VLOOKUP(F178,tblDisciplines[],15,FALSE),"")</f>
        <v/>
      </c>
    </row>
    <row r="179" spans="1:18">
      <c r="A179" s="1" t="s">
        <v>178</v>
      </c>
      <c r="B179" t="str">
        <f t="shared" si="30"/>
        <v>¬</v>
      </c>
      <c r="D179" s="19"/>
      <c r="E179" s="15" t="s">
        <v>1494</v>
      </c>
      <c r="F179" s="3"/>
      <c r="G179" s="19"/>
      <c r="H179" s="72" t="str">
        <f>IFERROR(IF(VLOOKUP(F179,tblDisciplines[],14,FALSE)=0,"None",VLOOKUP(F179,tblDisciplines[],14,FALSE)),"None")</f>
        <v>None</v>
      </c>
      <c r="I179" s="73"/>
      <c r="N179" s="4"/>
      <c r="O179" s="61">
        <f>N179</f>
        <v>0</v>
      </c>
      <c r="P179" s="60" t="str">
        <f>IF(O179=R179,O179,"")</f>
        <v/>
      </c>
      <c r="R179" s="61" t="str">
        <f>_xlfn.IFNA(VLOOKUP(F179,tblDisciplines[],15,FALSE),"")</f>
        <v/>
      </c>
    </row>
    <row r="180" spans="1:18">
      <c r="A180" s="1" t="s">
        <v>179</v>
      </c>
      <c r="B180" t="str">
        <f t="shared" si="30"/>
        <v>¬</v>
      </c>
      <c r="D180" s="19"/>
      <c r="E180" s="15" t="s">
        <v>1495</v>
      </c>
      <c r="F180" s="3"/>
      <c r="G180" s="19"/>
      <c r="H180" s="72" t="str">
        <f>IFERROR(IF(VLOOKUP(F180,tblDisciplines[],14,FALSE)=0,"None",VLOOKUP(F180,tblDisciplines[],14,FALSE)),"None")</f>
        <v>None</v>
      </c>
      <c r="I180" s="73"/>
      <c r="N180" s="4"/>
      <c r="O180" s="61">
        <f>N180</f>
        <v>0</v>
      </c>
      <c r="P180" s="60" t="str">
        <f>IF(O180=R180,O180,"")</f>
        <v/>
      </c>
      <c r="R180" s="61" t="str">
        <f>_xlfn.IFNA(VLOOKUP(F180,tblDisciplines[],15,FALSE),"")</f>
        <v/>
      </c>
    </row>
    <row r="181" spans="1:18">
      <c r="A181" s="1" t="s">
        <v>180</v>
      </c>
      <c r="B181" t="str">
        <f t="shared" si="30"/>
        <v>¬</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30"/>
        <v>¬</v>
      </c>
    </row>
    <row r="183" spans="1:18">
      <c r="A183" s="1" t="s">
        <v>182</v>
      </c>
      <c r="B183" t="str">
        <f t="shared" si="30"/>
        <v>¬</v>
      </c>
      <c r="D183" s="16" t="s">
        <v>1497</v>
      </c>
      <c r="E183" s="16"/>
      <c r="F183" s="16"/>
      <c r="G183" s="16"/>
      <c r="H183" s="16"/>
      <c r="I183" s="16"/>
    </row>
    <row r="184" spans="1:18">
      <c r="A184" s="1" t="s">
        <v>183</v>
      </c>
      <c r="B184" t="str">
        <f t="shared" si="30"/>
        <v>¬</v>
      </c>
      <c r="D184" s="19"/>
      <c r="E184" s="15" t="s">
        <v>246</v>
      </c>
      <c r="F184" s="19"/>
      <c r="G184" s="19"/>
      <c r="H184" s="19"/>
      <c r="I184" s="60" t="b">
        <f>IF(OR(F$9="Circle of the Crone",COUNTIF(F$79:F$93,"Chorister")&gt;0),TRUE,FALSE)</f>
        <v>0</v>
      </c>
      <c r="L184" s="4"/>
      <c r="N184" s="4"/>
      <c r="O184" s="61">
        <f>ROUNDDOWN(N184/4,0)</f>
        <v>0</v>
      </c>
      <c r="P184" s="60">
        <f>SUM(L184,O184)</f>
        <v>0</v>
      </c>
      <c r="Q184" s="61">
        <v>0</v>
      </c>
      <c r="R184" s="61">
        <v>5</v>
      </c>
    </row>
    <row r="185" spans="1:18">
      <c r="A185" s="1" t="s">
        <v>184</v>
      </c>
      <c r="B185" t="str">
        <f t="shared" si="30"/>
        <v>¬</v>
      </c>
      <c r="D185" s="19"/>
      <c r="E185" s="15" t="s">
        <v>247</v>
      </c>
      <c r="F185" s="19"/>
      <c r="G185" s="19"/>
      <c r="H185" s="19"/>
      <c r="I185" s="60" t="b">
        <f>IF(OR(F$9="Lancea et Sanctum",COUNTIF(F$79:F$93,"Laity")&gt;0),TRUE,FALSE)</f>
        <v>0</v>
      </c>
      <c r="L185" s="4"/>
      <c r="N185" s="4"/>
      <c r="O185" s="61">
        <f>ROUNDDOWN(N185/4,0)</f>
        <v>0</v>
      </c>
      <c r="P185" s="60">
        <f>SUM(L185,O185)</f>
        <v>0</v>
      </c>
      <c r="Q185" s="61">
        <v>0</v>
      </c>
      <c r="R185" s="61">
        <v>5</v>
      </c>
    </row>
    <row r="186" spans="1:18">
      <c r="A186" s="1" t="s">
        <v>185</v>
      </c>
      <c r="B186" t="str">
        <f t="shared" si="30"/>
        <v>¬</v>
      </c>
      <c r="D186" s="19"/>
      <c r="E186" s="19"/>
      <c r="F186" s="19"/>
      <c r="G186" s="19"/>
      <c r="H186" s="19"/>
      <c r="I186" s="19"/>
      <c r="L186" s="60">
        <f>SUM(P184:P185)-SUM(L187:L191)</f>
        <v>0</v>
      </c>
    </row>
    <row r="187" spans="1:18">
      <c r="A187" s="1" t="s">
        <v>186</v>
      </c>
      <c r="B187" t="str">
        <f t="shared" si="30"/>
        <v>¬</v>
      </c>
      <c r="D187" s="19"/>
      <c r="E187" s="15" t="s">
        <v>248</v>
      </c>
      <c r="F187" s="19"/>
      <c r="G187" s="19"/>
      <c r="H187" s="19"/>
      <c r="I187" s="19"/>
      <c r="L187" s="4"/>
      <c r="M187" s="61">
        <f>IF(AND(I184,L184&gt;=1),1,0)</f>
        <v>0</v>
      </c>
      <c r="N187" s="4"/>
      <c r="O187" s="61">
        <f>ROUNDDOWN(N187/2,0)</f>
        <v>0</v>
      </c>
      <c r="P187" s="60">
        <f>MIN(SUM(L187,M187,O187),R187)</f>
        <v>0</v>
      </c>
      <c r="Q187" s="61">
        <v>0</v>
      </c>
      <c r="R187" s="61">
        <f>MAX(P$184,P$185)</f>
        <v>0</v>
      </c>
    </row>
    <row r="188" spans="1:18">
      <c r="A188" s="1" t="s">
        <v>187</v>
      </c>
      <c r="B188" t="str">
        <f t="shared" si="30"/>
        <v>¬</v>
      </c>
      <c r="D188" s="19"/>
      <c r="E188" s="15" t="s">
        <v>249</v>
      </c>
      <c r="F188" s="19"/>
      <c r="G188" s="19"/>
      <c r="H188" s="19"/>
      <c r="I188" s="19"/>
      <c r="L188" s="4"/>
      <c r="M188" s="61"/>
      <c r="N188" s="4"/>
      <c r="O188" s="61">
        <f>ROUNDDOWN(N188/2,0)</f>
        <v>0</v>
      </c>
      <c r="P188" s="60">
        <f>MIN(SUM(L188,M188,O188),R188)</f>
        <v>0</v>
      </c>
      <c r="Q188" s="61">
        <v>0</v>
      </c>
      <c r="R188" s="61">
        <f>MAX(P$184,P$185)</f>
        <v>0</v>
      </c>
    </row>
    <row r="189" spans="1:18">
      <c r="A189" s="1" t="s">
        <v>188</v>
      </c>
      <c r="B189" t="str">
        <f t="shared" si="30"/>
        <v>¬</v>
      </c>
      <c r="D189" s="19"/>
      <c r="E189" s="15" t="s">
        <v>250</v>
      </c>
      <c r="F189" s="19"/>
      <c r="G189" s="19"/>
      <c r="H189" s="19"/>
      <c r="I189" s="19"/>
      <c r="L189" s="4"/>
      <c r="M189" s="61">
        <f>IF(AND(I185,L185&gt;=1),1,0)</f>
        <v>0</v>
      </c>
      <c r="N189" s="4"/>
      <c r="O189" s="61">
        <f>ROUNDDOWN(N189/2,0)</f>
        <v>0</v>
      </c>
      <c r="P189" s="60">
        <f>MIN(SUM(L189,M189,O189),R189)</f>
        <v>0</v>
      </c>
      <c r="Q189" s="61">
        <v>0</v>
      </c>
      <c r="R189" s="61">
        <f>MAX(P$184,P$185)</f>
        <v>0</v>
      </c>
    </row>
    <row r="190" spans="1:18">
      <c r="A190" s="1" t="s">
        <v>189</v>
      </c>
      <c r="B190" t="str">
        <f t="shared" si="30"/>
        <v>¬</v>
      </c>
      <c r="D190" s="19"/>
      <c r="E190" s="15" t="s">
        <v>251</v>
      </c>
      <c r="F190" s="19"/>
      <c r="G190" s="19"/>
      <c r="H190" s="19"/>
      <c r="I190" s="19"/>
      <c r="L190" s="4"/>
      <c r="M190" s="61">
        <f>IF(AND(I184,L184&gt;=1),1,0)</f>
        <v>0</v>
      </c>
      <c r="N190" s="4"/>
      <c r="O190" s="61">
        <f>ROUNDDOWN(N190/2,0)</f>
        <v>0</v>
      </c>
      <c r="P190" s="60">
        <f>MIN(SUM(L190,M190,O190),R190)</f>
        <v>0</v>
      </c>
      <c r="Q190" s="61">
        <v>0</v>
      </c>
      <c r="R190" s="61">
        <f>MAX(P$184,P$185)</f>
        <v>0</v>
      </c>
    </row>
    <row r="191" spans="1:18">
      <c r="A191" s="1" t="s">
        <v>190</v>
      </c>
      <c r="B191" t="str">
        <f t="shared" si="30"/>
        <v>¬</v>
      </c>
      <c r="D191" s="19"/>
      <c r="E191" s="15" t="s">
        <v>252</v>
      </c>
      <c r="F191" s="19"/>
      <c r="G191" s="19"/>
      <c r="H191" s="19"/>
      <c r="I191" s="19"/>
      <c r="L191" s="4"/>
      <c r="M191" s="61">
        <f>IF(AND(I185,L185&gt;=1),1,0)</f>
        <v>0</v>
      </c>
      <c r="N191" s="4"/>
      <c r="O191" s="61">
        <f>ROUNDDOWN(N191/2,0)</f>
        <v>0</v>
      </c>
      <c r="P191" s="60">
        <f>MIN(SUM(L191,M191,O191),R191)</f>
        <v>0</v>
      </c>
      <c r="Q191" s="61">
        <v>0</v>
      </c>
      <c r="R191" s="61">
        <f>MAX(P$184,P$185)</f>
        <v>0</v>
      </c>
    </row>
    <row r="192" spans="1:18">
      <c r="A192" s="1" t="s">
        <v>191</v>
      </c>
      <c r="B192" t="str">
        <f t="shared" si="30"/>
        <v>¬</v>
      </c>
    </row>
    <row r="193" spans="1:18">
      <c r="A193" s="1" t="s">
        <v>192</v>
      </c>
      <c r="B193" t="str">
        <f t="shared" si="30"/>
        <v>¬</v>
      </c>
      <c r="D193" s="16" t="s">
        <v>1474</v>
      </c>
      <c r="E193" s="16"/>
      <c r="F193" s="16"/>
      <c r="G193" s="16"/>
      <c r="H193" s="16"/>
      <c r="I193" s="16"/>
      <c r="L193" s="60">
        <f>SUM(P184:P185)+SUM(O187:O191)-SUM(L194:L203)</f>
        <v>0</v>
      </c>
    </row>
    <row r="194" spans="1:18">
      <c r="A194" s="1" t="s">
        <v>193</v>
      </c>
      <c r="B194" t="str">
        <f t="shared" si="30"/>
        <v>¬</v>
      </c>
      <c r="D194" s="19"/>
      <c r="E194" s="15" t="s">
        <v>1498</v>
      </c>
      <c r="F194" s="3"/>
      <c r="G194" s="61" t="str">
        <f>_xlfn.IFNA(VLOOKUP(F194,tblDisciplines[],2,FALSE),"")</f>
        <v/>
      </c>
      <c r="H194" s="19"/>
      <c r="I194" s="19"/>
      <c r="L194" s="4"/>
      <c r="N194" s="4"/>
      <c r="O194" s="61">
        <f>N194</f>
        <v>0</v>
      </c>
      <c r="P194" s="60" t="str">
        <f>IF(OR(L194=R194,O194=R194),R194,MIN(SUM(L194,O194),R194))</f>
        <v/>
      </c>
      <c r="R194" s="61" t="str">
        <f>_xlfn.IFNA(VLOOKUP(F194,tblDisciplines[],3,FALSE),"")</f>
        <v/>
      </c>
    </row>
    <row r="195" spans="1:18">
      <c r="A195" s="1" t="s">
        <v>194</v>
      </c>
      <c r="B195" t="str">
        <f t="shared" si="30"/>
        <v>¬</v>
      </c>
      <c r="D195" s="19"/>
      <c r="E195" s="15" t="s">
        <v>1499</v>
      </c>
      <c r="F195" s="3"/>
      <c r="G195" s="61" t="str">
        <f>_xlfn.IFNA(VLOOKUP(F195,tblDisciplines[],2,FALSE),"")</f>
        <v/>
      </c>
      <c r="H195" s="19"/>
      <c r="I195" s="19"/>
      <c r="L195" s="4"/>
      <c r="N195" s="4"/>
      <c r="O195" s="61">
        <f t="shared" ref="O195:O203" si="31">N195</f>
        <v>0</v>
      </c>
      <c r="P195" s="60" t="str">
        <f t="shared" ref="P195:P203" si="32">IF(OR(L195=R195,O195=R195),R195,MIN(SUM(L195,O195),R195))</f>
        <v/>
      </c>
      <c r="R195" s="61" t="str">
        <f>_xlfn.IFNA(VLOOKUP(F195,tblDisciplines[],3,FALSE),"")</f>
        <v/>
      </c>
    </row>
    <row r="196" spans="1:18">
      <c r="A196" s="1" t="s">
        <v>195</v>
      </c>
      <c r="B196" t="str">
        <f t="shared" si="30"/>
        <v>¬</v>
      </c>
      <c r="D196" s="19"/>
      <c r="E196" s="15" t="s">
        <v>1500</v>
      </c>
      <c r="F196" s="3"/>
      <c r="G196" s="61" t="str">
        <f>_xlfn.IFNA(VLOOKUP(F196,tblDisciplines[],2,FALSE),"")</f>
        <v/>
      </c>
      <c r="H196" s="19"/>
      <c r="I196" s="19"/>
      <c r="L196" s="4"/>
      <c r="N196" s="4"/>
      <c r="O196" s="61">
        <f t="shared" si="31"/>
        <v>0</v>
      </c>
      <c r="P196" s="60" t="str">
        <f t="shared" si="32"/>
        <v/>
      </c>
      <c r="R196" s="61" t="str">
        <f>_xlfn.IFNA(VLOOKUP(F196,tblDisciplines[],3,FALSE),"")</f>
        <v/>
      </c>
    </row>
    <row r="197" spans="1:18">
      <c r="A197" s="1" t="s">
        <v>196</v>
      </c>
      <c r="B197" t="str">
        <f>IF(AD134="","¬",AD134)</f>
        <v>¬</v>
      </c>
      <c r="D197" s="19"/>
      <c r="E197" s="15" t="s">
        <v>1501</v>
      </c>
      <c r="F197" s="3"/>
      <c r="G197" s="61" t="str">
        <f>_xlfn.IFNA(VLOOKUP(F197,tblDisciplines[],2,FALSE),"")</f>
        <v/>
      </c>
      <c r="H197" s="19"/>
      <c r="I197" s="19"/>
      <c r="L197" s="4"/>
      <c r="N197" s="4"/>
      <c r="O197" s="61">
        <f t="shared" si="31"/>
        <v>0</v>
      </c>
      <c r="P197" s="60" t="str">
        <f t="shared" si="32"/>
        <v/>
      </c>
      <c r="R197" s="61" t="str">
        <f>_xlfn.IFNA(VLOOKUP(F197,tblDisciplines[],3,FALSE),"")</f>
        <v/>
      </c>
    </row>
    <row r="198" spans="1:18">
      <c r="A198" s="1" t="s">
        <v>197</v>
      </c>
      <c r="B198" t="str">
        <f t="shared" ref="B198:B216" si="33">IF(AD135="","¬",AD135)</f>
        <v>¬</v>
      </c>
      <c r="D198" s="19"/>
      <c r="E198" s="15" t="s">
        <v>1502</v>
      </c>
      <c r="F198" s="3"/>
      <c r="G198" s="61" t="str">
        <f>_xlfn.IFNA(VLOOKUP(F198,tblDisciplines[],2,FALSE),"")</f>
        <v/>
      </c>
      <c r="H198" s="19"/>
      <c r="I198" s="19"/>
      <c r="L198" s="4"/>
      <c r="N198" s="4"/>
      <c r="O198" s="61">
        <f t="shared" si="31"/>
        <v>0</v>
      </c>
      <c r="P198" s="60" t="str">
        <f t="shared" si="32"/>
        <v/>
      </c>
      <c r="R198" s="61" t="str">
        <f>_xlfn.IFNA(VLOOKUP(F198,tblDisciplines[],3,FALSE),"")</f>
        <v/>
      </c>
    </row>
    <row r="199" spans="1:18">
      <c r="A199" s="1" t="s">
        <v>198</v>
      </c>
      <c r="B199" t="str">
        <f t="shared" si="33"/>
        <v>¬</v>
      </c>
      <c r="D199" s="19"/>
      <c r="E199" s="15" t="s">
        <v>1503</v>
      </c>
      <c r="F199" s="3"/>
      <c r="G199" s="61" t="str">
        <f>_xlfn.IFNA(VLOOKUP(F199,tblDisciplines[],2,FALSE),"")</f>
        <v/>
      </c>
      <c r="H199" s="19"/>
      <c r="I199" s="19"/>
      <c r="L199" s="4"/>
      <c r="N199" s="4"/>
      <c r="O199" s="61">
        <f t="shared" si="31"/>
        <v>0</v>
      </c>
      <c r="P199" s="60" t="str">
        <f t="shared" si="32"/>
        <v/>
      </c>
      <c r="R199" s="61" t="str">
        <f>_xlfn.IFNA(VLOOKUP(F199,tblDisciplines[],3,FALSE),"")</f>
        <v/>
      </c>
    </row>
    <row r="200" spans="1:18">
      <c r="A200" s="1" t="s">
        <v>199</v>
      </c>
      <c r="B200" t="str">
        <f t="shared" si="33"/>
        <v>¬</v>
      </c>
      <c r="D200" s="19"/>
      <c r="E200" s="15" t="s">
        <v>1504</v>
      </c>
      <c r="F200" s="3"/>
      <c r="G200" s="61" t="str">
        <f>_xlfn.IFNA(VLOOKUP(F200,tblDisciplines[],2,FALSE),"")</f>
        <v/>
      </c>
      <c r="H200" s="19"/>
      <c r="I200" s="19"/>
      <c r="L200" s="4"/>
      <c r="N200" s="4"/>
      <c r="O200" s="61">
        <f t="shared" si="31"/>
        <v>0</v>
      </c>
      <c r="P200" s="60" t="str">
        <f t="shared" si="32"/>
        <v/>
      </c>
      <c r="R200" s="61" t="str">
        <f>_xlfn.IFNA(VLOOKUP(F200,tblDisciplines[],3,FALSE),"")</f>
        <v/>
      </c>
    </row>
    <row r="201" spans="1:18">
      <c r="A201" s="1" t="s">
        <v>200</v>
      </c>
      <c r="B201" t="str">
        <f t="shared" si="33"/>
        <v>¬</v>
      </c>
      <c r="D201" s="19"/>
      <c r="E201" s="15" t="s">
        <v>1505</v>
      </c>
      <c r="F201" s="3"/>
      <c r="G201" s="61" t="str">
        <f>_xlfn.IFNA(VLOOKUP(F201,tblDisciplines[],2,FALSE),"")</f>
        <v/>
      </c>
      <c r="H201" s="19"/>
      <c r="I201" s="19"/>
      <c r="L201" s="4"/>
      <c r="N201" s="4"/>
      <c r="O201" s="61">
        <f t="shared" si="31"/>
        <v>0</v>
      </c>
      <c r="P201" s="60" t="str">
        <f t="shared" si="32"/>
        <v/>
      </c>
      <c r="R201" s="61" t="str">
        <f>_xlfn.IFNA(VLOOKUP(F201,tblDisciplines[],3,FALSE),"")</f>
        <v/>
      </c>
    </row>
    <row r="202" spans="1:18">
      <c r="A202" s="1" t="s">
        <v>201</v>
      </c>
      <c r="B202" t="str">
        <f t="shared" si="33"/>
        <v>¬</v>
      </c>
      <c r="D202" s="19"/>
      <c r="E202" s="15" t="s">
        <v>1506</v>
      </c>
      <c r="F202" s="3"/>
      <c r="G202" s="61" t="str">
        <f>_xlfn.IFNA(VLOOKUP(F202,tblDisciplines[],2,FALSE),"")</f>
        <v/>
      </c>
      <c r="H202" s="19"/>
      <c r="I202" s="19"/>
      <c r="L202" s="4"/>
      <c r="N202" s="4"/>
      <c r="O202" s="61">
        <f t="shared" si="31"/>
        <v>0</v>
      </c>
      <c r="P202" s="60" t="str">
        <f t="shared" si="32"/>
        <v/>
      </c>
      <c r="R202" s="61" t="str">
        <f>_xlfn.IFNA(VLOOKUP(F202,tblDisciplines[],3,FALSE),"")</f>
        <v/>
      </c>
    </row>
    <row r="203" spans="1:18">
      <c r="A203" s="1" t="s">
        <v>202</v>
      </c>
      <c r="B203" t="str">
        <f t="shared" si="33"/>
        <v>¬</v>
      </c>
      <c r="D203" s="19"/>
      <c r="E203" s="15" t="s">
        <v>1507</v>
      </c>
      <c r="F203" s="3"/>
      <c r="G203" s="61" t="str">
        <f>_xlfn.IFNA(VLOOKUP(F203,tblDisciplines[],2,FALSE),"")</f>
        <v/>
      </c>
      <c r="H203" s="19"/>
      <c r="I203" s="19"/>
      <c r="L203" s="4"/>
      <c r="N203" s="4"/>
      <c r="O203" s="61">
        <f t="shared" si="31"/>
        <v>0</v>
      </c>
      <c r="P203" s="60" t="str">
        <f t="shared" si="32"/>
        <v/>
      </c>
      <c r="R203" s="61" t="str">
        <f>_xlfn.IFNA(VLOOKUP(F203,tblDisciplines[],3,FALSE),"")</f>
        <v/>
      </c>
    </row>
    <row r="204" spans="1:18">
      <c r="A204" s="1" t="s">
        <v>203</v>
      </c>
      <c r="B204" t="str">
        <f t="shared" si="33"/>
        <v>¬</v>
      </c>
    </row>
    <row r="205" spans="1:18">
      <c r="A205" s="1" t="s">
        <v>204</v>
      </c>
      <c r="B205" t="str">
        <f t="shared" si="33"/>
        <v>¬</v>
      </c>
      <c r="D205" s="16" t="s">
        <v>1508</v>
      </c>
      <c r="E205" s="17"/>
      <c r="F205" s="17"/>
      <c r="G205" s="17"/>
      <c r="H205" s="17"/>
      <c r="I205" s="17"/>
    </row>
    <row r="206" spans="1:18">
      <c r="A206" s="1" t="s">
        <v>205</v>
      </c>
      <c r="B206" t="str">
        <f t="shared" si="33"/>
        <v>¬</v>
      </c>
      <c r="D206" s="19"/>
      <c r="E206" s="15" t="s">
        <v>1476</v>
      </c>
      <c r="F206" s="3"/>
      <c r="G206" s="19" t="str">
        <f>IFERROR(VLOOKUP(F206,tblManoeuvre[],2,FALSE)&amp;" "&amp;VLOOKUP(F206,tblManoeuvre[],3,FALSE),"")</f>
        <v/>
      </c>
      <c r="H206" s="68" t="str">
        <f>_xlfn.IFNA(IF(VLOOKUP(F206,tblMerits[],6,FALSE)=0,"None",VLOOKUP(F206,tblMerits[],6,FALSE)),"None")</f>
        <v>None</v>
      </c>
      <c r="I206" s="69"/>
      <c r="L206" s="4"/>
      <c r="M206" s="4"/>
      <c r="N206" s="4"/>
      <c r="O206" s="61">
        <f t="shared" ref="O206:O215" si="34">N206</f>
        <v>0</v>
      </c>
      <c r="P206" s="60">
        <f t="shared" ref="P206:P215" si="35">MIN(SUM(L206,M206,O206),R206)</f>
        <v>0</v>
      </c>
      <c r="Q206" s="61" t="str">
        <f>_xlfn.IFNA(VLOOKUP($F206,tblPacts[],3,FALSE),"")</f>
        <v/>
      </c>
      <c r="R206" s="61" t="str">
        <f>_xlfn.IFNA(VLOOKUP($F206,tblPacts[],4,FALSE),"")</f>
        <v/>
      </c>
    </row>
    <row r="207" spans="1:18">
      <c r="A207" s="1" t="s">
        <v>206</v>
      </c>
      <c r="B207" t="str">
        <f t="shared" si="33"/>
        <v>¬</v>
      </c>
      <c r="D207" s="19"/>
      <c r="E207" s="15" t="s">
        <v>1477</v>
      </c>
      <c r="F207" s="3"/>
      <c r="G207" s="19" t="str">
        <f>IFERROR(VLOOKUP(F207,tblManoeuvre[],2,FALSE)&amp;" "&amp;VLOOKUP(F207,tblManoeuvre[],3,FALSE),"")</f>
        <v/>
      </c>
      <c r="H207" s="68" t="str">
        <f>_xlfn.IFNA(IF(VLOOKUP(F207,tblMerits[],6,FALSE)=0,"None",VLOOKUP(F207,tblMerits[],6,FALSE)),"None")</f>
        <v>None</v>
      </c>
      <c r="I207" s="69"/>
      <c r="L207" s="4"/>
      <c r="M207" s="4"/>
      <c r="N207" s="4"/>
      <c r="O207" s="61">
        <f t="shared" si="34"/>
        <v>0</v>
      </c>
      <c r="P207" s="60">
        <f t="shared" si="35"/>
        <v>0</v>
      </c>
      <c r="Q207" s="61" t="str">
        <f>_xlfn.IFNA(VLOOKUP($F207,tblPacts[],3,FALSE),"")</f>
        <v/>
      </c>
      <c r="R207" s="61" t="str">
        <f>_xlfn.IFNA(VLOOKUP($F207,tblPacts[],4,FALSE),"")</f>
        <v/>
      </c>
    </row>
    <row r="208" spans="1:18">
      <c r="A208" s="1" t="s">
        <v>207</v>
      </c>
      <c r="B208" t="str">
        <f t="shared" si="33"/>
        <v>¬</v>
      </c>
      <c r="D208" s="19"/>
      <c r="E208" s="15" t="s">
        <v>1478</v>
      </c>
      <c r="F208" s="3"/>
      <c r="G208" s="19" t="str">
        <f>IFERROR(VLOOKUP(F208,tblManoeuvre[],2,FALSE)&amp;" "&amp;VLOOKUP(F208,tblManoeuvre[],3,FALSE),"")</f>
        <v/>
      </c>
      <c r="H208" s="68" t="str">
        <f>_xlfn.IFNA(IF(VLOOKUP(F208,tblMerits[],6,FALSE)=0,"None",VLOOKUP(F208,tblMerits[],6,FALSE)),"None")</f>
        <v>None</v>
      </c>
      <c r="I208" s="69"/>
      <c r="L208" s="4"/>
      <c r="M208" s="4"/>
      <c r="N208" s="4"/>
      <c r="O208" s="61">
        <f t="shared" si="34"/>
        <v>0</v>
      </c>
      <c r="P208" s="60">
        <f t="shared" si="35"/>
        <v>0</v>
      </c>
      <c r="Q208" s="61" t="str">
        <f>_xlfn.IFNA(VLOOKUP($F208,tblPacts[],3,FALSE),"")</f>
        <v/>
      </c>
      <c r="R208" s="61" t="str">
        <f>_xlfn.IFNA(VLOOKUP($F208,tblPacts[],4,FALSE),"")</f>
        <v/>
      </c>
    </row>
    <row r="209" spans="1:18">
      <c r="A209" s="1" t="s">
        <v>208</v>
      </c>
      <c r="B209" t="str">
        <f t="shared" si="33"/>
        <v>¬</v>
      </c>
      <c r="D209" s="19"/>
      <c r="E209" s="15" t="s">
        <v>1479</v>
      </c>
      <c r="F209" s="3"/>
      <c r="G209" s="19" t="str">
        <f>IFERROR(VLOOKUP(F209,tblManoeuvre[],2,FALSE)&amp;" "&amp;VLOOKUP(F209,tblManoeuvre[],3,FALSE),"")</f>
        <v/>
      </c>
      <c r="H209" s="68" t="str">
        <f>_xlfn.IFNA(IF(VLOOKUP(F209,tblMerits[],6,FALSE)=0,"None",VLOOKUP(F209,tblMerits[],6,FALSE)),"None")</f>
        <v>None</v>
      </c>
      <c r="I209" s="69"/>
      <c r="L209" s="4"/>
      <c r="M209" s="4"/>
      <c r="N209" s="4"/>
      <c r="O209" s="61">
        <f t="shared" si="34"/>
        <v>0</v>
      </c>
      <c r="P209" s="60">
        <f t="shared" si="35"/>
        <v>0</v>
      </c>
      <c r="Q209" s="61" t="str">
        <f>_xlfn.IFNA(VLOOKUP($F209,tblPacts[],3,FALSE),"")</f>
        <v/>
      </c>
      <c r="R209" s="61" t="str">
        <f>_xlfn.IFNA(VLOOKUP($F209,tblPacts[],4,FALSE),"")</f>
        <v/>
      </c>
    </row>
    <row r="210" spans="1:18">
      <c r="A210" s="1" t="s">
        <v>209</v>
      </c>
      <c r="B210" t="str">
        <f t="shared" si="33"/>
        <v>¬</v>
      </c>
      <c r="D210" s="19"/>
      <c r="E210" s="15" t="s">
        <v>1480</v>
      </c>
      <c r="F210" s="3"/>
      <c r="G210" s="19" t="str">
        <f>IFERROR(VLOOKUP(F210,tblManoeuvre[],2,FALSE)&amp;" "&amp;VLOOKUP(F210,tblManoeuvre[],3,FALSE),"")</f>
        <v/>
      </c>
      <c r="H210" s="68" t="str">
        <f>_xlfn.IFNA(IF(VLOOKUP(F210,tblMerits[],6,FALSE)=0,"None",VLOOKUP(F210,tblMerits[],6,FALSE)),"None")</f>
        <v>None</v>
      </c>
      <c r="I210" s="69"/>
      <c r="L210" s="4"/>
      <c r="M210" s="4"/>
      <c r="N210" s="4"/>
      <c r="O210" s="61">
        <f t="shared" si="34"/>
        <v>0</v>
      </c>
      <c r="P210" s="60">
        <f t="shared" si="35"/>
        <v>0</v>
      </c>
      <c r="Q210" s="61" t="str">
        <f>_xlfn.IFNA(VLOOKUP($F210,tblPacts[],3,FALSE),"")</f>
        <v/>
      </c>
      <c r="R210" s="61" t="str">
        <f>_xlfn.IFNA(VLOOKUP($F210,tblPacts[],4,FALSE),"")</f>
        <v/>
      </c>
    </row>
    <row r="211" spans="1:18">
      <c r="A211" s="1" t="s">
        <v>210</v>
      </c>
      <c r="B211" t="str">
        <f t="shared" si="33"/>
        <v>¬</v>
      </c>
      <c r="D211" s="19"/>
      <c r="E211" s="15" t="s">
        <v>1481</v>
      </c>
      <c r="F211" s="3"/>
      <c r="G211" s="19" t="str">
        <f>IFERROR(VLOOKUP(F211,tblManoeuvre[],2,FALSE)&amp;" "&amp;VLOOKUP(F211,tblManoeuvre[],3,FALSE),"")</f>
        <v/>
      </c>
      <c r="H211" s="68" t="str">
        <f>_xlfn.IFNA(IF(VLOOKUP(F211,tblMerits[],6,FALSE)=0,"None",VLOOKUP(F211,tblMerits[],6,FALSE)),"None")</f>
        <v>None</v>
      </c>
      <c r="I211" s="69"/>
      <c r="L211" s="4"/>
      <c r="M211" s="4"/>
      <c r="N211" s="4"/>
      <c r="O211" s="61">
        <f t="shared" si="34"/>
        <v>0</v>
      </c>
      <c r="P211" s="60">
        <f t="shared" si="35"/>
        <v>0</v>
      </c>
      <c r="Q211" s="61" t="str">
        <f>_xlfn.IFNA(VLOOKUP($F211,tblPacts[],3,FALSE),"")</f>
        <v/>
      </c>
      <c r="R211" s="61" t="str">
        <f>_xlfn.IFNA(VLOOKUP($F211,tblPacts[],4,FALSE),"")</f>
        <v/>
      </c>
    </row>
    <row r="212" spans="1:18">
      <c r="A212" s="1" t="s">
        <v>211</v>
      </c>
      <c r="B212" t="str">
        <f t="shared" si="33"/>
        <v>¬</v>
      </c>
      <c r="D212" s="19"/>
      <c r="E212" s="15" t="s">
        <v>1482</v>
      </c>
      <c r="F212" s="3"/>
      <c r="G212" s="19" t="str">
        <f>IFERROR(VLOOKUP(F212,tblManoeuvre[],2,FALSE)&amp;" "&amp;VLOOKUP(F212,tblManoeuvre[],3,FALSE),"")</f>
        <v/>
      </c>
      <c r="H212" s="68" t="str">
        <f>_xlfn.IFNA(IF(VLOOKUP(F212,tblMerits[],6,FALSE)=0,"None",VLOOKUP(F212,tblMerits[],6,FALSE)),"None")</f>
        <v>None</v>
      </c>
      <c r="I212" s="69"/>
      <c r="L212" s="4"/>
      <c r="M212" s="4"/>
      <c r="N212" s="4"/>
      <c r="O212" s="61">
        <f t="shared" si="34"/>
        <v>0</v>
      </c>
      <c r="P212" s="60">
        <f t="shared" si="35"/>
        <v>0</v>
      </c>
      <c r="Q212" s="61" t="str">
        <f>_xlfn.IFNA(VLOOKUP($F212,tblPacts[],3,FALSE),"")</f>
        <v/>
      </c>
      <c r="R212" s="61" t="str">
        <f>_xlfn.IFNA(VLOOKUP($F212,tblPacts[],4,FALSE),"")</f>
        <v/>
      </c>
    </row>
    <row r="213" spans="1:18">
      <c r="A213" s="1" t="s">
        <v>212</v>
      </c>
      <c r="B213" t="str">
        <f t="shared" si="33"/>
        <v>¬</v>
      </c>
      <c r="D213" s="19"/>
      <c r="E213" s="15" t="s">
        <v>1483</v>
      </c>
      <c r="F213" s="3"/>
      <c r="G213" s="19" t="str">
        <f>IFERROR(VLOOKUP(F213,tblManoeuvre[],2,FALSE)&amp;" "&amp;VLOOKUP(F213,tblManoeuvre[],3,FALSE),"")</f>
        <v/>
      </c>
      <c r="H213" s="68" t="str">
        <f>_xlfn.IFNA(IF(VLOOKUP(F213,tblMerits[],6,FALSE)=0,"None",VLOOKUP(F213,tblMerits[],6,FALSE)),"None")</f>
        <v>None</v>
      </c>
      <c r="I213" s="69"/>
      <c r="L213" s="4"/>
      <c r="M213" s="4"/>
      <c r="N213" s="4"/>
      <c r="O213" s="61">
        <f t="shared" si="34"/>
        <v>0</v>
      </c>
      <c r="P213" s="60">
        <f t="shared" si="35"/>
        <v>0</v>
      </c>
      <c r="Q213" s="61" t="str">
        <f>_xlfn.IFNA(VLOOKUP($F213,tblPacts[],3,FALSE),"")</f>
        <v/>
      </c>
      <c r="R213" s="61" t="str">
        <f>_xlfn.IFNA(VLOOKUP($F213,tblPacts[],4,FALSE),"")</f>
        <v/>
      </c>
    </row>
    <row r="214" spans="1:18">
      <c r="A214" s="1" t="s">
        <v>213</v>
      </c>
      <c r="B214" t="str">
        <f t="shared" si="33"/>
        <v>¬</v>
      </c>
      <c r="D214" s="19"/>
      <c r="E214" s="15" t="s">
        <v>1484</v>
      </c>
      <c r="F214" s="3"/>
      <c r="G214" s="19" t="str">
        <f>IFERROR(VLOOKUP(F214,tblManoeuvre[],2,FALSE)&amp;" "&amp;VLOOKUP(F214,tblManoeuvre[],3,FALSE),"")</f>
        <v/>
      </c>
      <c r="H214" s="68" t="str">
        <f>_xlfn.IFNA(IF(VLOOKUP(F214,tblMerits[],6,FALSE)=0,"None",VLOOKUP(F214,tblMerits[],6,FALSE)),"None")</f>
        <v>None</v>
      </c>
      <c r="I214" s="69"/>
      <c r="L214" s="4"/>
      <c r="M214" s="4"/>
      <c r="N214" s="4"/>
      <c r="O214" s="61">
        <f t="shared" si="34"/>
        <v>0</v>
      </c>
      <c r="P214" s="60">
        <f t="shared" si="35"/>
        <v>0</v>
      </c>
      <c r="Q214" s="61" t="str">
        <f>_xlfn.IFNA(VLOOKUP($F214,tblPacts[],3,FALSE),"")</f>
        <v/>
      </c>
      <c r="R214" s="61" t="str">
        <f>_xlfn.IFNA(VLOOKUP($F214,tblPacts[],4,FALSE),"")</f>
        <v/>
      </c>
    </row>
    <row r="215" spans="1:18">
      <c r="A215" s="1" t="s">
        <v>214</v>
      </c>
      <c r="B215" t="str">
        <f t="shared" si="33"/>
        <v>¬</v>
      </c>
      <c r="D215" s="19"/>
      <c r="E215" s="15" t="s">
        <v>1485</v>
      </c>
      <c r="F215" s="3"/>
      <c r="G215" s="19" t="str">
        <f>IFERROR(VLOOKUP(F215,tblManoeuvre[],2,FALSE)&amp;" "&amp;VLOOKUP(F215,tblManoeuvre[],3,FALSE),"")</f>
        <v/>
      </c>
      <c r="H215" s="68" t="str">
        <f>_xlfn.IFNA(IF(VLOOKUP(F215,tblMerits[],6,FALSE)=0,"None",VLOOKUP(F215,tblMerits[],6,FALSE)),"None")</f>
        <v>None</v>
      </c>
      <c r="I215" s="69"/>
      <c r="L215" s="4"/>
      <c r="M215" s="4"/>
      <c r="N215" s="4"/>
      <c r="O215" s="61">
        <f t="shared" si="34"/>
        <v>0</v>
      </c>
      <c r="P215" s="60">
        <f t="shared" si="35"/>
        <v>0</v>
      </c>
      <c r="Q215" s="61" t="str">
        <f>_xlfn.IFNA(VLOOKUP($F215,tblPacts[],3,FALSE),"")</f>
        <v/>
      </c>
      <c r="R215" s="61" t="str">
        <f>_xlfn.IFNA(VLOOKUP($F215,tblPacts[],4,FALSE),"")</f>
        <v/>
      </c>
    </row>
    <row r="216" spans="1:18">
      <c r="A216" s="1" t="s">
        <v>215</v>
      </c>
      <c r="B216" t="str">
        <f t="shared" si="33"/>
        <v>¬</v>
      </c>
    </row>
    <row r="217" spans="1:18">
      <c r="A217" s="1" t="s">
        <v>216</v>
      </c>
      <c r="B217" t="str">
        <f>IF(OR(AF134=0,AF134=""),"",REPT("●",AF134))</f>
        <v/>
      </c>
      <c r="D217" s="16" t="s">
        <v>1509</v>
      </c>
      <c r="E217" s="16"/>
      <c r="F217" s="16"/>
      <c r="G217" s="16"/>
      <c r="H217" s="16"/>
      <c r="I217" s="16"/>
    </row>
    <row r="218" spans="1:18">
      <c r="A218" s="1" t="s">
        <v>217</v>
      </c>
      <c r="B218" t="str">
        <f t="shared" ref="B218:B236" si="36">IF(OR(AF135=0,AF135=""),"",REPT("●",AF135))</f>
        <v/>
      </c>
      <c r="D218" s="19"/>
      <c r="E218" s="15" t="s">
        <v>353</v>
      </c>
      <c r="F218" s="19"/>
      <c r="G218" s="19"/>
      <c r="H218" s="19"/>
      <c r="I218" s="19"/>
      <c r="M218" s="61">
        <f>IF(COUNTIF(F79:F93,"Giant")&gt;0,1,0)+IF(COUNTIF(F79:F93,"Small-Framed")&gt;0,-1,0)</f>
        <v>0</v>
      </c>
      <c r="P218" s="60">
        <f>5+M218</f>
        <v>5</v>
      </c>
    </row>
    <row r="219" spans="1:18">
      <c r="A219" s="1" t="s">
        <v>218</v>
      </c>
      <c r="B219" t="str">
        <f t="shared" si="36"/>
        <v/>
      </c>
      <c r="D219" s="19"/>
      <c r="E219" s="15" t="s">
        <v>354</v>
      </c>
      <c r="F219" s="19"/>
      <c r="G219" s="19"/>
      <c r="H219" s="19"/>
      <c r="I219" s="19"/>
      <c r="P219" s="60">
        <f ca="1">VLOOKUP("Size",INDIRECT($AH$1),2,FALSE)+VLOOKUP("Strength",INDIRECT($AH$1),2,FALSE)+VLOOKUP("Dexterity",INDIRECT($AH$1),2,FALSE)+VLOOKUP("Vigour",INDIRECT($AH$1),2,FALSE)</f>
        <v>7</v>
      </c>
    </row>
    <row r="220" spans="1:18">
      <c r="A220" s="1" t="s">
        <v>219</v>
      </c>
      <c r="B220" t="str">
        <f t="shared" si="36"/>
        <v/>
      </c>
      <c r="D220" s="19"/>
      <c r="E220" s="15" t="s">
        <v>355</v>
      </c>
      <c r="F220" s="19"/>
      <c r="G220" s="19"/>
      <c r="H220" s="19"/>
      <c r="I220" s="19"/>
      <c r="P220" s="60">
        <f ca="1">MIN(VLOOKUP("Dexterity",INDIRECT($AH$1),2,FALSE),VLOOKUP("Wits",INDIRECT($AH$1),2,FALSE))+VLOOKUP("Athletics",INDIRECT($AH$1),2,FALSE)</f>
        <v>1</v>
      </c>
    </row>
    <row r="221" spans="1:18">
      <c r="A221" s="1" t="s">
        <v>220</v>
      </c>
      <c r="B221" t="str">
        <f t="shared" si="36"/>
        <v/>
      </c>
      <c r="D221" s="19"/>
      <c r="E221" s="15" t="s">
        <v>52</v>
      </c>
      <c r="F221" s="19"/>
      <c r="G221" s="19"/>
      <c r="H221" s="19"/>
      <c r="I221" s="19"/>
      <c r="P221" s="60">
        <f ca="1">VLOOKUP("Size",INDIRECT($AH$1),2,FALSE)+VLOOKUP("Stamina",INDIRECT($AH$1),2,FALSE)+VLOOKUP("Resilience",INDIRECT($AH$1),2,FALSE)</f>
        <v>6</v>
      </c>
    </row>
    <row r="222" spans="1:18">
      <c r="A222" s="1" t="s">
        <v>221</v>
      </c>
      <c r="B222" t="str">
        <f t="shared" si="36"/>
        <v/>
      </c>
      <c r="D222" s="19"/>
      <c r="E222" s="19"/>
      <c r="F222" s="19"/>
      <c r="G222" s="19"/>
      <c r="H222" s="15" t="s">
        <v>1510</v>
      </c>
      <c r="I222" s="19"/>
      <c r="L222" s="4"/>
    </row>
    <row r="223" spans="1:18">
      <c r="A223" s="1" t="s">
        <v>222</v>
      </c>
      <c r="B223" t="str">
        <f t="shared" si="36"/>
        <v/>
      </c>
      <c r="D223" s="19"/>
      <c r="E223" s="15" t="s">
        <v>1511</v>
      </c>
      <c r="F223" s="7"/>
      <c r="G223" s="19"/>
      <c r="H223" s="15" t="s">
        <v>1512</v>
      </c>
      <c r="I223" s="19"/>
      <c r="L223" s="4"/>
    </row>
    <row r="224" spans="1:18">
      <c r="A224" s="1" t="s">
        <v>223</v>
      </c>
      <c r="B224" t="str">
        <f t="shared" si="36"/>
        <v/>
      </c>
      <c r="D224" s="19"/>
      <c r="E224" s="15" t="s">
        <v>1513</v>
      </c>
      <c r="F224" s="7"/>
      <c r="G224" s="19"/>
      <c r="H224" s="15" t="s">
        <v>1514</v>
      </c>
      <c r="I224" s="19"/>
      <c r="L224" s="4"/>
    </row>
    <row r="225" spans="1:12">
      <c r="A225" s="1" t="s">
        <v>224</v>
      </c>
      <c r="B225" t="str">
        <f t="shared" si="36"/>
        <v/>
      </c>
      <c r="D225" s="19"/>
      <c r="E225" s="15" t="s">
        <v>1515</v>
      </c>
      <c r="F225" s="7"/>
      <c r="G225" s="19"/>
      <c r="H225" s="15" t="s">
        <v>1516</v>
      </c>
      <c r="I225" s="19"/>
      <c r="L225" s="4"/>
    </row>
    <row r="226" spans="1:12">
      <c r="A226" s="1" t="s">
        <v>225</v>
      </c>
      <c r="B226" t="str">
        <f t="shared" si="36"/>
        <v/>
      </c>
      <c r="D226" s="19"/>
      <c r="E226" s="15" t="s">
        <v>1517</v>
      </c>
      <c r="F226" s="7"/>
      <c r="G226" s="19"/>
      <c r="H226" s="19"/>
      <c r="I226" s="19"/>
    </row>
    <row r="227" spans="1:12">
      <c r="A227" s="1" t="s">
        <v>226</v>
      </c>
      <c r="B227" t="str">
        <f t="shared" si="36"/>
        <v/>
      </c>
      <c r="D227" s="19"/>
      <c r="E227" s="15" t="s">
        <v>1518</v>
      </c>
      <c r="F227" s="7"/>
      <c r="G227" s="19"/>
      <c r="H227" s="19"/>
      <c r="I227" s="19"/>
    </row>
    <row r="228" spans="1:12">
      <c r="A228" s="1" t="s">
        <v>227</v>
      </c>
      <c r="B228" t="str">
        <f t="shared" si="36"/>
        <v/>
      </c>
      <c r="D228" s="19"/>
      <c r="E228" s="15" t="s">
        <v>1519</v>
      </c>
      <c r="F228" s="7"/>
      <c r="G228" s="19"/>
      <c r="H228" s="19"/>
      <c r="I228" s="19"/>
    </row>
    <row r="229" spans="1:12">
      <c r="A229" s="1" t="s">
        <v>228</v>
      </c>
      <c r="B229" t="str">
        <f t="shared" si="36"/>
        <v/>
      </c>
      <c r="D229" s="19"/>
      <c r="E229" s="15" t="s">
        <v>1520</v>
      </c>
      <c r="F229" s="7"/>
      <c r="G229" s="19"/>
      <c r="H229" s="19"/>
      <c r="I229" s="19"/>
    </row>
    <row r="230" spans="1:12">
      <c r="A230" s="1" t="s">
        <v>229</v>
      </c>
      <c r="B230" t="str">
        <f t="shared" si="36"/>
        <v/>
      </c>
      <c r="D230" s="19"/>
      <c r="E230" s="15" t="s">
        <v>1521</v>
      </c>
      <c r="F230" s="7"/>
      <c r="G230" s="19"/>
      <c r="H230" s="19"/>
      <c r="I230" s="19"/>
    </row>
    <row r="231" spans="1:12">
      <c r="A231" s="1" t="s">
        <v>230</v>
      </c>
      <c r="B231" t="str">
        <f t="shared" si="36"/>
        <v/>
      </c>
      <c r="D231" s="19"/>
      <c r="E231" s="15" t="s">
        <v>1522</v>
      </c>
      <c r="F231" s="7"/>
      <c r="G231" s="19"/>
      <c r="H231" s="19"/>
      <c r="I231" s="19"/>
    </row>
    <row r="232" spans="1:12">
      <c r="A232" s="1" t="s">
        <v>231</v>
      </c>
      <c r="B232" t="str">
        <f t="shared" si="36"/>
        <v/>
      </c>
      <c r="D232" s="19"/>
      <c r="E232" s="15" t="s">
        <v>1523</v>
      </c>
      <c r="F232" s="7"/>
      <c r="G232" s="19"/>
      <c r="H232" s="19"/>
      <c r="I232" s="19"/>
    </row>
    <row r="233" spans="1:12">
      <c r="A233" s="1" t="s">
        <v>232</v>
      </c>
      <c r="B233" t="str">
        <f t="shared" si="36"/>
        <v/>
      </c>
      <c r="D233" s="19"/>
      <c r="E233" s="19"/>
      <c r="F233" s="19"/>
      <c r="G233" s="19"/>
      <c r="H233" s="19"/>
      <c r="I233" s="19"/>
    </row>
    <row r="234" spans="1:12">
      <c r="A234" s="1" t="s">
        <v>233</v>
      </c>
      <c r="B234" t="str">
        <f t="shared" si="36"/>
        <v/>
      </c>
      <c r="D234" s="19"/>
      <c r="E234" s="15" t="s">
        <v>343</v>
      </c>
      <c r="F234" s="61" t="str">
        <f>_xlfn.IFNA(VLOOKUP(F7,tblClans[],4,FALSE),"")</f>
        <v/>
      </c>
      <c r="G234" s="19"/>
      <c r="H234" s="74" t="str">
        <f>_xlfn.IFNA(VLOOKUP(F234,tblBanes[],2,FALSE),"")</f>
        <v/>
      </c>
      <c r="I234" s="74"/>
    </row>
    <row r="235" spans="1:12">
      <c r="A235" s="1" t="s">
        <v>234</v>
      </c>
      <c r="B235" t="str">
        <f t="shared" si="36"/>
        <v/>
      </c>
      <c r="D235" s="19"/>
      <c r="E235" s="15" t="s">
        <v>344</v>
      </c>
      <c r="F235" s="19"/>
      <c r="G235" s="19"/>
      <c r="H235" s="19"/>
      <c r="I235" s="19"/>
    </row>
    <row r="236" spans="1:12">
      <c r="A236" s="1" t="s">
        <v>235</v>
      </c>
      <c r="B236" t="str">
        <f t="shared" si="36"/>
        <v/>
      </c>
      <c r="D236" s="19"/>
      <c r="E236" s="15" t="s">
        <v>345</v>
      </c>
      <c r="F236" s="3"/>
      <c r="G236" s="19"/>
      <c r="H236" s="70" t="str">
        <f>_xlfn.IFNA(VLOOKUP(F236,tblBanes[],2,FALSE),"")</f>
        <v/>
      </c>
      <c r="I236" s="71"/>
    </row>
    <row r="237" spans="1:12">
      <c r="A237" s="1" t="s">
        <v>236</v>
      </c>
      <c r="B237" t="str">
        <f ca="1">_xlfn.LET(_xlpm.v,VLOOKUP(tblCharData[[#This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_xlfn.LET(_xlpm.v,VLOOKUP(tblCharData[[#This Row],[Field]],INDIRECT($AH$1),2,FALSE),IF(OR(_xlpm.v=0,_xlpm.v=""),"-",REPT("●",_xlpm.v)))</f>
        <v>-</v>
      </c>
      <c r="D239" s="19"/>
      <c r="E239" s="19"/>
      <c r="F239" s="19"/>
      <c r="G239" s="19"/>
      <c r="H239" s="19"/>
      <c r="I239" s="19"/>
    </row>
    <row r="240" spans="1:12">
      <c r="A240" s="1" t="s">
        <v>239</v>
      </c>
      <c r="B240" t="str">
        <f ca="1">_xlfn.LET(_xlpm.v,VLOOKUP(tblCharData[[#This Row],[Field]],INDIRECT($AH$1),2,FALSE),IF(OR(_xlpm.v=0,_xlpm.v=""),"-",REPT("●",_xlpm.v)))</f>
        <v>-</v>
      </c>
      <c r="D240" s="19"/>
      <c r="E240" s="15" t="s">
        <v>360</v>
      </c>
      <c r="F240" s="62"/>
      <c r="G240" s="63"/>
      <c r="H240" s="63"/>
      <c r="I240" s="64"/>
    </row>
    <row r="241" spans="1:9">
      <c r="A241" s="1" t="s">
        <v>240</v>
      </c>
      <c r="B241" t="str">
        <f ca="1">_xlfn.LET(_xlpm.v,VLOOKUP(tblCharData[[#This Row],[Field]],INDIRECT($AH$1),2,FALSE),IF(OR(_xlpm.v=0,_xlpm.v=""),"-",REPT("●",_xlpm.v)))</f>
        <v>-</v>
      </c>
      <c r="D241" s="19"/>
      <c r="E241" s="15" t="s">
        <v>361</v>
      </c>
      <c r="F241" s="62"/>
      <c r="G241" s="63"/>
      <c r="H241" s="63"/>
      <c r="I241" s="64"/>
    </row>
    <row r="242" spans="1:9">
      <c r="A242" s="1" t="s">
        <v>241</v>
      </c>
      <c r="B242" t="str">
        <f ca="1">_xlfn.LET(_xlpm.v,VLOOKUP(tblCharData[[#This Row],[Field]],INDIRECT($AH$1),2,FALSE),IF(OR(_xlpm.v=0,_xlpm.v=""),"-",REPT("●",_xlpm.v)))</f>
        <v>-</v>
      </c>
      <c r="D242" s="19"/>
      <c r="E242" s="15" t="s">
        <v>362</v>
      </c>
      <c r="F242" s="62"/>
      <c r="G242" s="63"/>
      <c r="H242" s="63"/>
      <c r="I242" s="64"/>
    </row>
    <row r="243" spans="1:9">
      <c r="A243" s="1" t="s">
        <v>242</v>
      </c>
      <c r="B243" t="str">
        <f ca="1">_xlfn.LET(_xlpm.v,VLOOKUP(tblCharData[[#This Row],[Field]],INDIRECT($AH$1),2,FALSE),IF(OR(_xlpm.v=0,_xlpm.v=""),"-",REPT("●",_xlpm.v)))</f>
        <v>-</v>
      </c>
      <c r="D243" s="19"/>
      <c r="E243" s="19"/>
      <c r="F243" s="19"/>
      <c r="G243" s="19"/>
      <c r="H243" s="19"/>
      <c r="I243" s="19"/>
    </row>
    <row r="244" spans="1:9">
      <c r="A244" s="1" t="s">
        <v>243</v>
      </c>
      <c r="B244" t="str">
        <f ca="1">_xlfn.LET(_xlpm.v,VLOOKUP(tblCharData[[#This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_xlfn.LET(_xlpm.v,VLOOKUP(tblCharData[[#This Row],[Field]],INDIRECT($AH$1),2,FALSE),IF(OR(_xlpm.v=0,_xlpm.v=""),"-",REPT("●",_xlpm.v)))</f>
        <v>-</v>
      </c>
      <c r="D245" s="19"/>
      <c r="E245" s="15" t="s">
        <v>1524</v>
      </c>
      <c r="F245" s="62"/>
      <c r="G245" s="63"/>
      <c r="H245" s="63"/>
      <c r="I245" s="64"/>
    </row>
    <row r="246" spans="1:9">
      <c r="A246" s="1" t="s">
        <v>245</v>
      </c>
      <c r="B246" t="str">
        <f ca="1">_xlfn.LET(_xlpm.v,VLOOKUP(tblCharData[[#This Row],[Field]],INDIRECT($AH$1),2,FALSE),IF(OR(_xlpm.v=0,_xlpm.v=""),"-",REPT("●",_xlpm.v)))</f>
        <v>-</v>
      </c>
    </row>
    <row r="247" spans="1:9">
      <c r="A247" s="1" t="s">
        <v>246</v>
      </c>
      <c r="B247" t="str">
        <f ca="1">_xlfn.LET(_xlpm.v,VLOOKUP(tblCharData[[#This Row],[Field]],INDIRECT($AH$1),2,FALSE),IF(OR(_xlpm.v=0,_xlpm.v=""),"-",REPT("●",_xlpm.v)))</f>
        <v>-</v>
      </c>
      <c r="D247" s="16" t="s">
        <v>1525</v>
      </c>
      <c r="E247" s="16"/>
      <c r="F247" s="16" t="s">
        <v>1526</v>
      </c>
      <c r="G247" s="16" t="s">
        <v>1527</v>
      </c>
      <c r="H247" s="16"/>
      <c r="I247" s="16"/>
    </row>
    <row r="248" spans="1:9">
      <c r="A248" s="1" t="s">
        <v>247</v>
      </c>
      <c r="B248" t="str">
        <f ca="1">_xlfn.LET(_xlpm.v,VLOOKUP(tblCharData[[#This Row],[Field]],INDIRECT($AH$1),2,FALSE),IF(OR(_xlpm.v=0,_xlpm.v=""),"-",REPT("●",_xlpm.v)))</f>
        <v>-</v>
      </c>
      <c r="D248" s="19"/>
      <c r="E248" s="15" t="s">
        <v>1528</v>
      </c>
      <c r="F248" s="7"/>
      <c r="G248" s="7"/>
      <c r="H248" s="19"/>
      <c r="I248" s="19" t="s">
        <v>1529</v>
      </c>
    </row>
    <row r="249" spans="1:9">
      <c r="A249" s="1" t="s">
        <v>248</v>
      </c>
      <c r="B249" t="str">
        <f ca="1">_xlfn.LET(_xlpm.v,VLOOKUP(tblCharData[[#This Row],[Field]],INDIRECT($AH$1),2,FALSE),IF(OR(_xlpm.v=0,_xlpm.v=""),"-",REPT("●",_xlpm.v)))</f>
        <v>-</v>
      </c>
      <c r="D249" s="19"/>
      <c r="E249" s="15" t="s">
        <v>1530</v>
      </c>
      <c r="F249" s="7"/>
      <c r="G249" s="7"/>
      <c r="H249" s="19"/>
      <c r="I249" s="19" t="s">
        <v>1531</v>
      </c>
    </row>
    <row r="250" spans="1:9">
      <c r="A250" s="1" t="s">
        <v>249</v>
      </c>
      <c r="B250" t="str">
        <f ca="1">_xlfn.LET(_xlpm.v,VLOOKUP(tblCharData[[#This Row],[Field]],INDIRECT($AH$1),2,FALSE),IF(OR(_xlpm.v=0,_xlpm.v=""),"-",REPT("●",_xlpm.v)))</f>
        <v>-</v>
      </c>
      <c r="D250" s="19" t="s">
        <v>1532</v>
      </c>
      <c r="E250" s="15" t="s">
        <v>1533</v>
      </c>
      <c r="F250" s="7"/>
      <c r="G250" s="7"/>
      <c r="H250" s="19"/>
      <c r="I250" s="19"/>
    </row>
    <row r="251" spans="1:9">
      <c r="A251" s="1" t="s">
        <v>250</v>
      </c>
      <c r="B251" t="str">
        <f ca="1">_xlfn.LET(_xlpm.v,VLOOKUP(tblCharData[[#This Row],[Field]],INDIRECT($AH$1),2,FALSE),IF(OR(_xlpm.v=0,_xlpm.v=""),"-",REPT("●",_xlpm.v)))</f>
        <v>-</v>
      </c>
      <c r="D251" s="19" t="s">
        <v>1532</v>
      </c>
      <c r="E251" s="15" t="s">
        <v>1534</v>
      </c>
      <c r="F251" s="7"/>
      <c r="G251" s="7"/>
      <c r="H251" s="19"/>
      <c r="I251" s="19"/>
    </row>
    <row r="252" spans="1:9">
      <c r="A252" s="1" t="s">
        <v>251</v>
      </c>
      <c r="B252" t="str">
        <f ca="1">_xlfn.LET(_xlpm.v,VLOOKUP(tblCharData[[#This Row],[Field]],INDIRECT($AH$1),2,FALSE),IF(OR(_xlpm.v=0,_xlpm.v=""),"-",REPT("●",_xlpm.v)))</f>
        <v>-</v>
      </c>
      <c r="D252" s="19" t="s">
        <v>1532</v>
      </c>
      <c r="E252" s="15" t="s">
        <v>1535</v>
      </c>
      <c r="F252" s="7"/>
      <c r="G252" s="7"/>
      <c r="H252" s="19"/>
      <c r="I252" s="19"/>
    </row>
    <row r="253" spans="1:9">
      <c r="A253" s="1" t="s">
        <v>252</v>
      </c>
      <c r="B253" t="str">
        <f ca="1">_xlfn.LET(_xlpm.v,VLOOKUP(tblCharData[[#This Row],[Field]],INDIRECT($AH$1),2,FALSE),IF(OR(_xlpm.v=0,_xlpm.v=""),"-",REPT("●",_xlpm.v)))</f>
        <v>-</v>
      </c>
      <c r="D253" s="19" t="s">
        <v>1532</v>
      </c>
      <c r="E253" s="15" t="s">
        <v>1536</v>
      </c>
      <c r="F253" s="7"/>
      <c r="G253" s="7"/>
      <c r="H253" s="19"/>
      <c r="I253" s="19"/>
    </row>
    <row r="254" spans="1:9">
      <c r="A254" s="1" t="s">
        <v>253</v>
      </c>
      <c r="B254" t="str">
        <f t="shared" ref="B254:B283" si="37">IF(AD44="","¬",AD44)</f>
        <v>¬</v>
      </c>
      <c r="D254" s="19" t="s">
        <v>1532</v>
      </c>
      <c r="E254" s="15" t="s">
        <v>1537</v>
      </c>
      <c r="F254" s="7"/>
      <c r="G254" s="7"/>
      <c r="H254" s="19"/>
      <c r="I254" s="19"/>
    </row>
    <row r="255" spans="1:9">
      <c r="A255" s="1" t="s">
        <v>254</v>
      </c>
      <c r="B255" t="str">
        <f t="shared" si="37"/>
        <v>¬</v>
      </c>
      <c r="D255" s="19" t="s">
        <v>1532</v>
      </c>
      <c r="E255" s="15" t="s">
        <v>1538</v>
      </c>
      <c r="F255" s="7"/>
      <c r="G255" s="7"/>
      <c r="H255" s="19"/>
      <c r="I255" s="19"/>
    </row>
    <row r="256" spans="1:9">
      <c r="A256" s="1" t="s">
        <v>255</v>
      </c>
      <c r="B256" t="str">
        <f t="shared" si="37"/>
        <v>¬</v>
      </c>
      <c r="D256" s="19" t="s">
        <v>1532</v>
      </c>
      <c r="E256" s="15" t="s">
        <v>1539</v>
      </c>
      <c r="F256" s="7"/>
      <c r="G256" s="7"/>
      <c r="H256" s="19"/>
      <c r="I256" s="19"/>
    </row>
    <row r="257" spans="1:9">
      <c r="A257" s="1" t="s">
        <v>256</v>
      </c>
      <c r="B257" t="str">
        <f t="shared" si="37"/>
        <v>¬</v>
      </c>
      <c r="D257" s="19" t="s">
        <v>1532</v>
      </c>
      <c r="E257" s="15" t="s">
        <v>1540</v>
      </c>
      <c r="F257" s="7"/>
      <c r="G257" s="7"/>
      <c r="H257" s="19"/>
      <c r="I257" s="19"/>
    </row>
    <row r="258" spans="1:9">
      <c r="A258" s="1" t="s">
        <v>257</v>
      </c>
      <c r="B258" t="str">
        <f t="shared" si="37"/>
        <v>¬</v>
      </c>
      <c r="D258" s="19" t="s">
        <v>1532</v>
      </c>
      <c r="E258" s="15" t="s">
        <v>1541</v>
      </c>
      <c r="F258" s="7"/>
      <c r="G258" s="7"/>
      <c r="H258" s="19"/>
      <c r="I258" s="19"/>
    </row>
    <row r="259" spans="1:9">
      <c r="A259" s="1" t="s">
        <v>258</v>
      </c>
      <c r="B259" t="str">
        <f t="shared" si="37"/>
        <v>¬</v>
      </c>
      <c r="D259" s="19" t="s">
        <v>1532</v>
      </c>
      <c r="E259" s="15" t="s">
        <v>1542</v>
      </c>
      <c r="F259" s="7"/>
      <c r="G259" s="7"/>
      <c r="H259" s="19"/>
      <c r="I259" s="19"/>
    </row>
    <row r="260" spans="1:9">
      <c r="A260" s="1" t="s">
        <v>259</v>
      </c>
      <c r="B260" t="str">
        <f t="shared" si="37"/>
        <v>¬</v>
      </c>
      <c r="D260" s="19" t="s">
        <v>1532</v>
      </c>
      <c r="E260" s="15" t="s">
        <v>1543</v>
      </c>
      <c r="F260" s="7"/>
      <c r="G260" s="7"/>
      <c r="H260" s="19"/>
      <c r="I260" s="19"/>
    </row>
    <row r="261" spans="1:9">
      <c r="A261" s="1" t="s">
        <v>260</v>
      </c>
      <c r="B261" t="str">
        <f t="shared" si="37"/>
        <v>¬</v>
      </c>
      <c r="D261" s="19" t="s">
        <v>1532</v>
      </c>
      <c r="E261" s="15" t="s">
        <v>1544</v>
      </c>
      <c r="F261" s="7"/>
      <c r="G261" s="7"/>
      <c r="H261" s="19"/>
      <c r="I261" s="19"/>
    </row>
    <row r="262" spans="1:9">
      <c r="A262" s="1" t="s">
        <v>261</v>
      </c>
      <c r="B262" t="str">
        <f t="shared" si="37"/>
        <v>¬</v>
      </c>
      <c r="D262" s="19" t="s">
        <v>1532</v>
      </c>
      <c r="E262" s="15" t="s">
        <v>1545</v>
      </c>
      <c r="F262" s="7"/>
      <c r="G262" s="7"/>
      <c r="H262" s="19"/>
      <c r="I262" s="19"/>
    </row>
    <row r="263" spans="1:9">
      <c r="A263" s="1" t="s">
        <v>262</v>
      </c>
      <c r="B263" t="str">
        <f t="shared" si="37"/>
        <v>¬</v>
      </c>
      <c r="D263" s="19" t="s">
        <v>1532</v>
      </c>
      <c r="E263" s="15" t="s">
        <v>1546</v>
      </c>
      <c r="F263" s="7"/>
      <c r="G263" s="7"/>
      <c r="H263" s="19"/>
      <c r="I263" s="19"/>
    </row>
    <row r="264" spans="1:9">
      <c r="A264" s="1" t="s">
        <v>263</v>
      </c>
      <c r="B264" t="str">
        <f t="shared" si="37"/>
        <v>¬</v>
      </c>
      <c r="D264" s="19" t="s">
        <v>1532</v>
      </c>
      <c r="E264" s="15" t="s">
        <v>1547</v>
      </c>
      <c r="F264" s="7"/>
      <c r="G264" s="7"/>
      <c r="H264" s="19"/>
      <c r="I264" s="19"/>
    </row>
    <row r="265" spans="1:9">
      <c r="A265" s="1" t="s">
        <v>264</v>
      </c>
      <c r="B265" t="str">
        <f t="shared" si="37"/>
        <v>¬</v>
      </c>
      <c r="D265" s="19" t="s">
        <v>1532</v>
      </c>
      <c r="E265" s="15" t="s">
        <v>1548</v>
      </c>
      <c r="F265" s="7"/>
      <c r="G265" s="7"/>
      <c r="H265" s="19"/>
      <c r="I265" s="19"/>
    </row>
    <row r="266" spans="1:9">
      <c r="A266" s="1" t="s">
        <v>265</v>
      </c>
      <c r="B266" t="str">
        <f t="shared" si="37"/>
        <v>¬</v>
      </c>
      <c r="D266" s="19" t="s">
        <v>1532</v>
      </c>
      <c r="E266" s="15" t="s">
        <v>1549</v>
      </c>
      <c r="F266" s="7"/>
      <c r="G266" s="7"/>
      <c r="H266" s="19"/>
      <c r="I266" s="19"/>
    </row>
    <row r="267" spans="1:9">
      <c r="A267" s="1" t="s">
        <v>266</v>
      </c>
      <c r="B267" t="str">
        <f t="shared" si="37"/>
        <v>¬</v>
      </c>
      <c r="D267" s="19" t="s">
        <v>1532</v>
      </c>
      <c r="E267" s="15" t="s">
        <v>1550</v>
      </c>
      <c r="F267" s="7"/>
      <c r="G267" s="7"/>
      <c r="H267" s="19"/>
      <c r="I267" s="19"/>
    </row>
    <row r="268" spans="1:9">
      <c r="A268" s="1" t="s">
        <v>267</v>
      </c>
      <c r="B268" t="str">
        <f t="shared" si="37"/>
        <v>¬</v>
      </c>
      <c r="D268" s="19" t="s">
        <v>1532</v>
      </c>
      <c r="E268" s="15" t="s">
        <v>1551</v>
      </c>
      <c r="F268" s="7"/>
      <c r="G268" s="7"/>
      <c r="H268" s="19"/>
      <c r="I268" s="19"/>
    </row>
    <row r="269" spans="1:9">
      <c r="A269" s="1" t="s">
        <v>268</v>
      </c>
      <c r="B269" t="str">
        <f t="shared" si="37"/>
        <v>¬</v>
      </c>
      <c r="D269" s="19" t="s">
        <v>1532</v>
      </c>
      <c r="E269" s="15" t="s">
        <v>1552</v>
      </c>
      <c r="F269" s="7"/>
      <c r="G269" s="7"/>
      <c r="H269" s="19"/>
      <c r="I269" s="19"/>
    </row>
    <row r="270" spans="1:9">
      <c r="A270" s="1" t="s">
        <v>269</v>
      </c>
      <c r="B270" t="str">
        <f t="shared" si="37"/>
        <v>¬</v>
      </c>
      <c r="D270" s="19" t="s">
        <v>1532</v>
      </c>
      <c r="E270" s="15" t="s">
        <v>1553</v>
      </c>
      <c r="F270" s="7"/>
      <c r="G270" s="7"/>
      <c r="H270" s="19"/>
      <c r="I270" s="19"/>
    </row>
    <row r="271" spans="1:9">
      <c r="A271" s="1" t="s">
        <v>270</v>
      </c>
      <c r="B271" t="str">
        <f t="shared" si="37"/>
        <v>¬</v>
      </c>
      <c r="D271" s="19" t="s">
        <v>1532</v>
      </c>
      <c r="E271" s="15" t="s">
        <v>1554</v>
      </c>
      <c r="F271" s="7"/>
      <c r="G271" s="7"/>
      <c r="H271" s="19"/>
      <c r="I271" s="19"/>
    </row>
    <row r="272" spans="1:9">
      <c r="A272" s="1" t="s">
        <v>271</v>
      </c>
      <c r="B272" t="str">
        <f t="shared" si="37"/>
        <v>¬</v>
      </c>
      <c r="D272" s="19" t="s">
        <v>1532</v>
      </c>
      <c r="E272" s="15" t="s">
        <v>1555</v>
      </c>
      <c r="F272" s="7"/>
      <c r="G272" s="7"/>
      <c r="H272" s="19"/>
      <c r="I272" s="19"/>
    </row>
    <row r="273" spans="1:14">
      <c r="A273" s="1" t="s">
        <v>272</v>
      </c>
      <c r="B273" t="str">
        <f t="shared" si="37"/>
        <v>¬</v>
      </c>
      <c r="D273" s="19" t="s">
        <v>1532</v>
      </c>
      <c r="E273" s="15" t="s">
        <v>1556</v>
      </c>
      <c r="F273" s="7"/>
      <c r="G273" s="7"/>
      <c r="H273" s="19"/>
      <c r="I273" s="19"/>
    </row>
    <row r="274" spans="1:14">
      <c r="A274" s="1" t="s">
        <v>273</v>
      </c>
      <c r="B274" t="str">
        <f t="shared" si="37"/>
        <v>¬</v>
      </c>
      <c r="D274" s="19" t="s">
        <v>1532</v>
      </c>
      <c r="E274" s="15" t="s">
        <v>1557</v>
      </c>
      <c r="F274" s="7"/>
      <c r="G274" s="7"/>
      <c r="H274" s="19"/>
      <c r="I274" s="19"/>
    </row>
    <row r="275" spans="1:14">
      <c r="A275" s="1" t="s">
        <v>274</v>
      </c>
      <c r="B275" t="str">
        <f t="shared" si="37"/>
        <v>¬</v>
      </c>
      <c r="D275" s="19" t="s">
        <v>1532</v>
      </c>
      <c r="E275" s="15" t="s">
        <v>1558</v>
      </c>
      <c r="F275" s="7"/>
      <c r="G275" s="7"/>
      <c r="H275" s="19"/>
      <c r="I275" s="19"/>
    </row>
    <row r="276" spans="1:14">
      <c r="A276" s="1" t="s">
        <v>275</v>
      </c>
      <c r="B276" t="str">
        <f t="shared" si="37"/>
        <v>¬</v>
      </c>
      <c r="D276" s="19" t="s">
        <v>1532</v>
      </c>
      <c r="E276" s="15" t="s">
        <v>1559</v>
      </c>
      <c r="F276" s="7"/>
      <c r="G276" s="7"/>
      <c r="H276" s="19"/>
      <c r="I276" s="19"/>
    </row>
    <row r="277" spans="1:14">
      <c r="A277" s="1" t="s">
        <v>276</v>
      </c>
      <c r="B277" t="str">
        <f t="shared" si="37"/>
        <v>¬</v>
      </c>
      <c r="D277" s="19" t="s">
        <v>1532</v>
      </c>
      <c r="E277" s="15" t="s">
        <v>1560</v>
      </c>
      <c r="F277" s="7"/>
      <c r="G277" s="7"/>
      <c r="H277" s="19"/>
      <c r="I277" s="19"/>
    </row>
    <row r="278" spans="1:14">
      <c r="A278" s="1" t="s">
        <v>277</v>
      </c>
      <c r="B278" t="str">
        <f t="shared" si="37"/>
        <v>¬</v>
      </c>
    </row>
    <row r="279" spans="1:14">
      <c r="A279" s="1" t="s">
        <v>278</v>
      </c>
      <c r="B279" t="str">
        <f t="shared" si="37"/>
        <v>¬</v>
      </c>
      <c r="D279" s="16" t="s">
        <v>1561</v>
      </c>
      <c r="E279" s="16"/>
      <c r="F279" s="16" t="s">
        <v>1347</v>
      </c>
      <c r="G279" s="16" t="s">
        <v>1348</v>
      </c>
      <c r="H279" s="16" t="s">
        <v>1349</v>
      </c>
      <c r="I279" s="16" t="s">
        <v>1350</v>
      </c>
      <c r="N279" s="60">
        <f ca="1">SUM(N280:N282)</f>
        <v>0</v>
      </c>
    </row>
    <row r="280" spans="1:14">
      <c r="A280" s="1" t="s">
        <v>279</v>
      </c>
      <c r="B280" t="str">
        <f t="shared" si="37"/>
        <v>¬</v>
      </c>
      <c r="D280" s="61" cm="1">
        <f t="array" aca="1" ref="D280" ca="1">INDEX(Attendance!$C$14:$GP$44,
       MATCH($F$4, Attendance!$C$14:$C$44, 0),
       MATCH(1, (Attendance!$C$12:$GP$12=$E280) * (Attendance!$C$13:$GP$13="Paid"), 0)
)</f>
        <v>0</v>
      </c>
      <c r="E280" s="41">
        <v>46054</v>
      </c>
      <c r="F280" s="61" cm="1">
        <f t="array" aca="1" ref="F280" ca="1">N(INDEX(Attendance!$C$14:$GP$104,
       MATCH($F$4, Attendance!$C$14:$C$104, 0),
       MATCH(1, (Attendance!$C$12:$GP$12=$E280) * (Attendance!$C$13:$GP$13=$F$279), 0)
))</f>
        <v>0</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0</v>
      </c>
      <c r="I280" s="61" cm="1">
        <f t="array" aca="1" ref="I280" ca="1">INDEX(Attendance!$C$14:$GP$44,
       MATCH($F$4, Attendance!$C$14:$C$44, 0),
       MATCH(1, (Attendance!$C$12:$GP$12=$E280) * (Attendance!$C$13:$GP$13=$I$279), 0)
)</f>
        <v>0</v>
      </c>
      <c r="K280" s="18"/>
      <c r="L280" s="18"/>
      <c r="M280" s="18" t="s">
        <v>1562</v>
      </c>
      <c r="N280" s="61">
        <f ca="1">SUM(F$280:F$316)</f>
        <v>0</v>
      </c>
    </row>
    <row r="281" spans="1:14">
      <c r="A281" s="1" t="s">
        <v>280</v>
      </c>
      <c r="B281" t="str">
        <f t="shared" si="37"/>
        <v>¬</v>
      </c>
      <c r="D281" s="61" cm="1">
        <f t="array" aca="1" ref="D281" ca="1">INDEX(Attendance!$C$14:$GP$44,
       MATCH($F$4, Attendance!$C$14:$C$44, 0),
       MATCH(1, (Attendance!$C$12:$GP$12=$E281) * (Attendance!$C$13:$GP$13="Paid"), 0)
)</f>
        <v>0</v>
      </c>
      <c r="E281" s="42">
        <f t="shared" ref="E281:E316" si="38">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7"/>
        <v>¬</v>
      </c>
      <c r="D282" s="61" t="str" cm="1">
        <f t="array" aca="1" ref="D282" ca="1">INDEX(Attendance!$C$14:$GP$44,
       MATCH($F$4, Attendance!$C$14:$C$44, 0),
       MATCH(1, (Attendance!$C$12:$GP$12=$E282) * (Attendance!$C$13:$GP$13="Paid"), 0)
)</f>
        <v> </v>
      </c>
      <c r="E282" s="42">
        <f t="shared" si="38"/>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0</v>
      </c>
    </row>
    <row r="283" spans="1:14">
      <c r="A283" s="1" t="s">
        <v>282</v>
      </c>
      <c r="B283" t="str">
        <f t="shared" si="37"/>
        <v>¬</v>
      </c>
      <c r="D283" s="61" t="str" cm="1">
        <f t="array" aca="1" ref="D283" ca="1">INDEX(Attendance!$C$14:$GP$44,
       MATCH($F$4, Attendance!$C$14:$C$44, 0),
       MATCH(1, (Attendance!$C$12:$GP$12=$E283) * (Attendance!$C$13:$GP$13="Paid"), 0)
)</f>
        <v> </v>
      </c>
      <c r="E283" s="42">
        <f t="shared" si="38"/>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9">IF(AE44="","¬",AE44)</f>
        <v>¬</v>
      </c>
      <c r="D284" s="61" t="str" cm="1">
        <f t="array" aca="1" ref="D284" ca="1">INDEX(Attendance!$C$14:$GP$44,
       MATCH($F$4, Attendance!$C$14:$C$44, 0),
       MATCH(1, (Attendance!$C$12:$GP$12=$E284) * (Attendance!$C$13:$GP$13="Paid"), 0)
)</f>
        <v> </v>
      </c>
      <c r="E284" s="42">
        <f t="shared" si="38"/>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9"/>
        <v>¬</v>
      </c>
      <c r="D285" s="61" t="str" cm="1">
        <f t="array" aca="1" ref="D285" ca="1">INDEX(Attendance!$C$14:$GP$44,
       MATCH($F$4, Attendance!$C$14:$C$44, 0),
       MATCH(1, (Attendance!$C$12:$GP$12=$E285) * (Attendance!$C$13:$GP$13="Paid"), 0)
)</f>
        <v> </v>
      </c>
      <c r="E285" s="42">
        <f t="shared" si="38"/>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9"/>
        <v>¬</v>
      </c>
      <c r="D286" s="61" t="str" cm="1">
        <f t="array" aca="1" ref="D286" ca="1">INDEX(Attendance!$C$14:$GP$44,
       MATCH($F$4, Attendance!$C$14:$C$44, 0),
       MATCH(1, (Attendance!$C$12:$GP$12=$E286) * (Attendance!$C$13:$GP$13="Paid"), 0)
)</f>
        <v> </v>
      </c>
      <c r="E286" s="42">
        <f t="shared" si="38"/>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9"/>
        <v>¬</v>
      </c>
      <c r="D287" s="61" t="str" cm="1">
        <f t="array" aca="1" ref="D287" ca="1">INDEX(Attendance!$C$14:$GP$44,
       MATCH($F$4, Attendance!$C$14:$C$44, 0),
       MATCH(1, (Attendance!$C$12:$GP$12=$E287) * (Attendance!$C$13:$GP$13="Paid"), 0)
)</f>
        <v> </v>
      </c>
      <c r="E287" s="42">
        <f t="shared" si="38"/>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9"/>
        <v>¬</v>
      </c>
      <c r="D288" s="61" t="str" cm="1">
        <f t="array" aca="1" ref="D288" ca="1">INDEX(Attendance!$C$14:$GP$44,
       MATCH($F$4, Attendance!$C$14:$C$44, 0),
       MATCH(1, (Attendance!$C$12:$GP$12=$E288) * (Attendance!$C$13:$GP$13="Paid"), 0)
)</f>
        <v> </v>
      </c>
      <c r="E288" s="42">
        <f t="shared" si="38"/>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9"/>
        <v>¬</v>
      </c>
      <c r="D289" s="61" t="str" cm="1">
        <f t="array" aca="1" ref="D289" ca="1">INDEX(Attendance!$C$14:$GP$44,
       MATCH($F$4, Attendance!$C$14:$C$44, 0),
       MATCH(1, (Attendance!$C$12:$GP$12=$E289) * (Attendance!$C$13:$GP$13="Paid"), 0)
)</f>
        <v> </v>
      </c>
      <c r="E289" s="42">
        <f t="shared" si="38"/>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9"/>
        <v>¬</v>
      </c>
      <c r="D290" s="61" t="str" cm="1">
        <f t="array" aca="1" ref="D290" ca="1">INDEX(Attendance!$C$14:$GP$44,
       MATCH($F$4, Attendance!$C$14:$C$44, 0),
       MATCH(1, (Attendance!$C$12:$GP$12=$E290) * (Attendance!$C$13:$GP$13="Paid"), 0)
)</f>
        <v> </v>
      </c>
      <c r="E290" s="42">
        <f t="shared" si="38"/>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9"/>
        <v>¬</v>
      </c>
      <c r="D291" s="61" t="str" cm="1">
        <f t="array" aca="1" ref="D291" ca="1">INDEX(Attendance!$C$14:$GP$44,
       MATCH($F$4, Attendance!$C$14:$C$44, 0),
       MATCH(1, (Attendance!$C$12:$GP$12=$E291) * (Attendance!$C$13:$GP$13="Paid"), 0)
)</f>
        <v> </v>
      </c>
      <c r="E291" s="42">
        <f t="shared" si="38"/>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9"/>
        <v>¬</v>
      </c>
      <c r="D292" s="61" t="str" cm="1">
        <f t="array" aca="1" ref="D292" ca="1">INDEX(Attendance!$C$14:$GP$44,
       MATCH($F$4, Attendance!$C$14:$C$44, 0),
       MATCH(1, (Attendance!$C$12:$GP$12=$E292) * (Attendance!$C$13:$GP$13="Paid"), 0)
)</f>
        <v> </v>
      </c>
      <c r="E292" s="42">
        <f t="shared" si="38"/>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9"/>
        <v>¬</v>
      </c>
      <c r="D293" s="61" t="str" cm="1">
        <f t="array" aca="1" ref="D293" ca="1">INDEX(Attendance!$C$14:$GP$44,
       MATCH($F$4, Attendance!$C$14:$C$44, 0),
       MATCH(1, (Attendance!$C$12:$GP$12=$E293) * (Attendance!$C$13:$GP$13="Paid"), 0)
)</f>
        <v> </v>
      </c>
      <c r="E293" s="42">
        <f t="shared" si="38"/>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9"/>
        <v>¬</v>
      </c>
      <c r="D294" s="61" t="str" cm="1">
        <f t="array" aca="1" ref="D294" ca="1">INDEX(Attendance!$C$14:$GP$44,
       MATCH($F$4, Attendance!$C$14:$C$44, 0),
       MATCH(1, (Attendance!$C$12:$GP$12=$E294) * (Attendance!$C$13:$GP$13="Paid"), 0)
)</f>
        <v> </v>
      </c>
      <c r="E294" s="42">
        <f t="shared" si="38"/>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9"/>
        <v>¬</v>
      </c>
      <c r="D295" s="61" t="str" cm="1">
        <f t="array" aca="1" ref="D295" ca="1">INDEX(Attendance!$C$14:$GP$44,
       MATCH($F$4, Attendance!$C$14:$C$44, 0),
       MATCH(1, (Attendance!$C$12:$GP$12=$E295) * (Attendance!$C$13:$GP$13="Paid"), 0)
)</f>
        <v> </v>
      </c>
      <c r="E295" s="42">
        <f t="shared" si="38"/>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9"/>
        <v>¬</v>
      </c>
      <c r="D296" s="61" t="str" cm="1">
        <f t="array" aca="1" ref="D296" ca="1">INDEX(Attendance!$C$14:$GP$44,
       MATCH($F$4, Attendance!$C$14:$C$44, 0),
       MATCH(1, (Attendance!$C$12:$GP$12=$E296) * (Attendance!$C$13:$GP$13="Paid"), 0)
)</f>
        <v> </v>
      </c>
      <c r="E296" s="42">
        <f t="shared" si="38"/>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9"/>
        <v>¬</v>
      </c>
      <c r="D297" s="61" t="str" cm="1">
        <f t="array" aca="1" ref="D297" ca="1">INDEX(Attendance!$C$14:$GP$44,
       MATCH($F$4, Attendance!$C$14:$C$44, 0),
       MATCH(1, (Attendance!$C$12:$GP$12=$E297) * (Attendance!$C$13:$GP$13="Paid"), 0)
)</f>
        <v> </v>
      </c>
      <c r="E297" s="42">
        <f t="shared" si="38"/>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9"/>
        <v>¬</v>
      </c>
      <c r="D298" s="61" t="str" cm="1">
        <f t="array" aca="1" ref="D298" ca="1">INDEX(Attendance!$C$14:$GP$44,
       MATCH($F$4, Attendance!$C$14:$C$44, 0),
       MATCH(1, (Attendance!$C$12:$GP$12=$E298) * (Attendance!$C$13:$GP$13="Paid"), 0)
)</f>
        <v> </v>
      </c>
      <c r="E298" s="42">
        <f t="shared" si="38"/>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9"/>
        <v>¬</v>
      </c>
      <c r="D299" s="61" t="str" cm="1">
        <f t="array" aca="1" ref="D299" ca="1">INDEX(Attendance!$C$14:$GP$44,
       MATCH($F$4, Attendance!$C$14:$C$44, 0),
       MATCH(1, (Attendance!$C$12:$GP$12=$E299) * (Attendance!$C$13:$GP$13="Paid"), 0)
)</f>
        <v> </v>
      </c>
      <c r="E299" s="42">
        <f t="shared" si="38"/>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9"/>
        <v>¬</v>
      </c>
      <c r="D300" s="61" t="str" cm="1">
        <f t="array" aca="1" ref="D300" ca="1">INDEX(Attendance!$C$14:$GP$44,
       MATCH($F$4, Attendance!$C$14:$C$44, 0),
       MATCH(1, (Attendance!$C$12:$GP$12=$E300) * (Attendance!$C$13:$GP$13="Paid"), 0)
)</f>
        <v> </v>
      </c>
      <c r="E300" s="42">
        <f t="shared" si="38"/>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9"/>
        <v>¬</v>
      </c>
      <c r="D301" s="61" t="str" cm="1">
        <f t="array" aca="1" ref="D301" ca="1">INDEX(Attendance!$C$14:$GP$44,
       MATCH($F$4, Attendance!$C$14:$C$44, 0),
       MATCH(1, (Attendance!$C$12:$GP$12=$E301) * (Attendance!$C$13:$GP$13="Paid"), 0)
)</f>
        <v> </v>
      </c>
      <c r="E301" s="42">
        <f t="shared" si="38"/>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9"/>
        <v>¬</v>
      </c>
      <c r="D302" s="61" t="str" cm="1">
        <f t="array" aca="1" ref="D302" ca="1">INDEX(Attendance!$C$14:$GP$44,
       MATCH($F$4, Attendance!$C$14:$C$44, 0),
       MATCH(1, (Attendance!$C$12:$GP$12=$E302) * (Attendance!$C$13:$GP$13="Paid"), 0)
)</f>
        <v> </v>
      </c>
      <c r="E302" s="42">
        <f t="shared" si="38"/>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9"/>
        <v>¬</v>
      </c>
      <c r="D303" s="61" t="str" cm="1">
        <f t="array" aca="1" ref="D303" ca="1">INDEX(Attendance!$C$14:$GP$44,
       MATCH($F$4, Attendance!$C$14:$C$44, 0),
       MATCH(1, (Attendance!$C$12:$GP$12=$E303) * (Attendance!$C$13:$GP$13="Paid"), 0)
)</f>
        <v> </v>
      </c>
      <c r="E303" s="42">
        <f t="shared" si="38"/>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9"/>
        <v>¬</v>
      </c>
      <c r="D304" s="61" t="str" cm="1">
        <f t="array" aca="1" ref="D304" ca="1">INDEX(Attendance!$C$14:$GP$44,
       MATCH($F$4, Attendance!$C$14:$C$44, 0),
       MATCH(1, (Attendance!$C$12:$GP$12=$E304) * (Attendance!$C$13:$GP$13="Paid"), 0)
)</f>
        <v> </v>
      </c>
      <c r="E304" s="42">
        <f t="shared" si="38"/>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9"/>
        <v>¬</v>
      </c>
      <c r="D305" s="61" t="str" cm="1">
        <f t="array" aca="1" ref="D305" ca="1">INDEX(Attendance!$C$14:$GP$44,
       MATCH($F$4, Attendance!$C$14:$C$44, 0),
       MATCH(1, (Attendance!$C$12:$GP$12=$E305) * (Attendance!$C$13:$GP$13="Paid"), 0)
)</f>
        <v> </v>
      </c>
      <c r="E305" s="42">
        <f t="shared" si="38"/>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9"/>
        <v>¬</v>
      </c>
      <c r="D306" s="61" t="str" cm="1">
        <f t="array" aca="1" ref="D306" ca="1">INDEX(Attendance!$C$14:$GP$44,
       MATCH($F$4, Attendance!$C$14:$C$44, 0),
       MATCH(1, (Attendance!$C$12:$GP$12=$E306) * (Attendance!$C$13:$GP$13="Paid"), 0)
)</f>
        <v> </v>
      </c>
      <c r="E306" s="42">
        <f t="shared" si="38"/>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9"/>
        <v>¬</v>
      </c>
      <c r="D307" s="61" t="str" cm="1">
        <f t="array" aca="1" ref="D307" ca="1">INDEX(Attendance!$C$14:$GP$44,
       MATCH($F$4, Attendance!$C$14:$C$44, 0),
       MATCH(1, (Attendance!$C$12:$GP$12=$E307) * (Attendance!$C$13:$GP$13="Paid"), 0)
)</f>
        <v> </v>
      </c>
      <c r="E307" s="42">
        <f t="shared" si="38"/>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9"/>
        <v>¬</v>
      </c>
      <c r="D308" s="61" t="str" cm="1">
        <f t="array" aca="1" ref="D308" ca="1">INDEX(Attendance!$C$14:$GP$44,
       MATCH($F$4, Attendance!$C$14:$C$44, 0),
       MATCH(1, (Attendance!$C$12:$GP$12=$E308) * (Attendance!$C$13:$GP$13="Paid"), 0)
)</f>
        <v> </v>
      </c>
      <c r="E308" s="42">
        <f t="shared" si="38"/>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9"/>
        <v>¬</v>
      </c>
      <c r="D309" s="61" t="str" cm="1">
        <f t="array" aca="1" ref="D309" ca="1">INDEX(Attendance!$C$14:$GP$44,
       MATCH($F$4, Attendance!$C$14:$C$44, 0),
       MATCH(1, (Attendance!$C$12:$GP$12=$E309) * (Attendance!$C$13:$GP$13="Paid"), 0)
)</f>
        <v> </v>
      </c>
      <c r="E309" s="42">
        <f t="shared" si="38"/>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9"/>
        <v>¬</v>
      </c>
      <c r="D310" s="61" t="str" cm="1">
        <f t="array" aca="1" ref="D310" ca="1">INDEX(Attendance!$C$14:$GP$44,
       MATCH($F$4, Attendance!$C$14:$C$44, 0),
       MATCH(1, (Attendance!$C$12:$GP$12=$E310) * (Attendance!$C$13:$GP$13="Paid"), 0)
)</f>
        <v> </v>
      </c>
      <c r="E310" s="42">
        <f t="shared" si="38"/>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9"/>
        <v>¬</v>
      </c>
      <c r="D311" s="61" t="str" cm="1">
        <f t="array" aca="1" ref="D311" ca="1">INDEX(Attendance!$C$14:$GP$44,
       MATCH($F$4, Attendance!$C$14:$C$44, 0),
       MATCH(1, (Attendance!$C$12:$GP$12=$E311) * (Attendance!$C$13:$GP$13="Paid"), 0)
)</f>
        <v> </v>
      </c>
      <c r="E311" s="42">
        <f t="shared" si="38"/>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9"/>
        <v>¬</v>
      </c>
      <c r="D312" s="61" t="str" cm="1">
        <f t="array" aca="1" ref="D312" ca="1">INDEX(Attendance!$C$14:$GP$44,
       MATCH($F$4, Attendance!$C$14:$C$44, 0),
       MATCH(1, (Attendance!$C$12:$GP$12=$E312) * (Attendance!$C$13:$GP$13="Paid"), 0)
)</f>
        <v> </v>
      </c>
      <c r="E312" s="42">
        <f t="shared" si="38"/>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9"/>
        <v>¬</v>
      </c>
      <c r="D313" s="61" t="str" cm="1">
        <f t="array" aca="1" ref="D313" ca="1">INDEX(Attendance!$C$14:$GP$44,
       MATCH($F$4, Attendance!$C$14:$C$44, 0),
       MATCH(1, (Attendance!$C$12:$GP$12=$E313) * (Attendance!$C$13:$GP$13="Paid"), 0)
)</f>
        <v> </v>
      </c>
      <c r="E313" s="42">
        <f t="shared" si="38"/>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40">IF(AF44="","¬",AF44)</f>
        <v>¬</v>
      </c>
      <c r="D314" s="61" t="str" cm="1">
        <f t="array" aca="1" ref="D314" ca="1">INDEX(Attendance!$C$14:$GP$44,
       MATCH($F$4, Attendance!$C$14:$C$44, 0),
       MATCH(1, (Attendance!$C$12:$GP$12=$E314) * (Attendance!$C$13:$GP$13="Paid"), 0)
)</f>
        <v> </v>
      </c>
      <c r="E314" s="42">
        <f t="shared" si="38"/>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40"/>
        <v>¬</v>
      </c>
      <c r="D315" s="61" t="str" cm="1">
        <f t="array" aca="1" ref="D315" ca="1">INDEX(Attendance!$C$14:$GP$44,
       MATCH($F$4, Attendance!$C$14:$C$44, 0),
       MATCH(1, (Attendance!$C$12:$GP$12=$E315) * (Attendance!$C$13:$GP$13="Paid"), 0)
)</f>
        <v> </v>
      </c>
      <c r="E315" s="42">
        <f t="shared" si="38"/>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40"/>
        <v>¬</v>
      </c>
      <c r="D316" s="61" t="str" cm="1">
        <f t="array" aca="1" ref="D316" ca="1">INDEX(Attendance!$C$14:$GP$44,
       MATCH($F$4, Attendance!$C$14:$C$44, 0),
       MATCH(1, (Attendance!$C$12:$GP$12=$E316) * (Attendance!$C$13:$GP$13="Paid"), 0)
)</f>
        <v> </v>
      </c>
      <c r="E316" s="42">
        <f t="shared" si="38"/>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40"/>
        <v>¬</v>
      </c>
    </row>
    <row r="318" spans="1:9">
      <c r="A318" s="1" t="s">
        <v>317</v>
      </c>
      <c r="B318" t="str">
        <f t="shared" si="40"/>
        <v>¬</v>
      </c>
    </row>
    <row r="319" spans="1:9">
      <c r="A319" s="1" t="s">
        <v>318</v>
      </c>
      <c r="B319" t="str">
        <f t="shared" si="40"/>
        <v>¬</v>
      </c>
    </row>
    <row r="320" spans="1:9">
      <c r="A320" s="1" t="s">
        <v>319</v>
      </c>
      <c r="B320" t="str">
        <f t="shared" si="40"/>
        <v>¬</v>
      </c>
    </row>
    <row r="321" spans="1:2">
      <c r="A321" s="1" t="s">
        <v>320</v>
      </c>
      <c r="B321" t="str">
        <f t="shared" si="40"/>
        <v>¬</v>
      </c>
    </row>
    <row r="322" spans="1:2">
      <c r="A322" s="1" t="s">
        <v>321</v>
      </c>
      <c r="B322" t="str">
        <f t="shared" si="40"/>
        <v>¬</v>
      </c>
    </row>
    <row r="323" spans="1:2">
      <c r="A323" s="1" t="s">
        <v>322</v>
      </c>
      <c r="B323" t="str">
        <f t="shared" si="40"/>
        <v>¬</v>
      </c>
    </row>
    <row r="324" spans="1:2">
      <c r="A324" s="1" t="s">
        <v>323</v>
      </c>
      <c r="B324" t="str">
        <f t="shared" si="40"/>
        <v>¬</v>
      </c>
    </row>
    <row r="325" spans="1:2">
      <c r="A325" s="1" t="s">
        <v>324</v>
      </c>
      <c r="B325" t="str">
        <f t="shared" si="40"/>
        <v>¬</v>
      </c>
    </row>
    <row r="326" spans="1:2">
      <c r="A326" s="1" t="s">
        <v>325</v>
      </c>
      <c r="B326" t="str">
        <f t="shared" si="40"/>
        <v>¬</v>
      </c>
    </row>
    <row r="327" spans="1:2">
      <c r="A327" s="1" t="s">
        <v>326</v>
      </c>
      <c r="B327" t="str">
        <f t="shared" si="40"/>
        <v>¬</v>
      </c>
    </row>
    <row r="328" spans="1:2">
      <c r="A328" s="1" t="s">
        <v>327</v>
      </c>
      <c r="B328" t="str">
        <f t="shared" si="40"/>
        <v>¬</v>
      </c>
    </row>
    <row r="329" spans="1:2">
      <c r="A329" s="1" t="s">
        <v>328</v>
      </c>
      <c r="B329" t="str">
        <f t="shared" si="40"/>
        <v>¬</v>
      </c>
    </row>
    <row r="330" spans="1:2">
      <c r="A330" s="1" t="s">
        <v>329</v>
      </c>
      <c r="B330" t="str">
        <f t="shared" si="40"/>
        <v>¬</v>
      </c>
    </row>
    <row r="331" spans="1:2">
      <c r="A331" s="1" t="s">
        <v>330</v>
      </c>
      <c r="B331" t="str">
        <f t="shared" si="40"/>
        <v>¬</v>
      </c>
    </row>
    <row r="332" spans="1:2">
      <c r="A332" s="1" t="s">
        <v>331</v>
      </c>
      <c r="B332" t="str">
        <f t="shared" si="40"/>
        <v>¬</v>
      </c>
    </row>
    <row r="333" spans="1:2">
      <c r="A333" s="1" t="s">
        <v>332</v>
      </c>
      <c r="B333" t="str">
        <f t="shared" si="40"/>
        <v>¬</v>
      </c>
    </row>
    <row r="334" spans="1:2">
      <c r="A334" s="1" t="s">
        <v>333</v>
      </c>
      <c r="B334" t="str">
        <f t="shared" si="40"/>
        <v>¬</v>
      </c>
    </row>
    <row r="335" spans="1:2">
      <c r="A335" s="1" t="s">
        <v>334</v>
      </c>
      <c r="B335" t="str">
        <f t="shared" si="40"/>
        <v>¬</v>
      </c>
    </row>
    <row r="336" spans="1:2">
      <c r="A336" s="1" t="s">
        <v>335</v>
      </c>
      <c r="B336" t="str">
        <f t="shared" si="40"/>
        <v>¬</v>
      </c>
    </row>
    <row r="337" spans="1:2">
      <c r="A337" s="1" t="s">
        <v>336</v>
      </c>
      <c r="B337" t="str">
        <f t="shared" si="40"/>
        <v>¬</v>
      </c>
    </row>
    <row r="338" spans="1:2">
      <c r="A338" s="1" t="s">
        <v>337</v>
      </c>
      <c r="B338" t="str">
        <f t="shared" si="40"/>
        <v>¬</v>
      </c>
    </row>
    <row r="339" spans="1:2">
      <c r="A339" s="1" t="s">
        <v>338</v>
      </c>
      <c r="B339" t="str">
        <f t="shared" si="40"/>
        <v>¬</v>
      </c>
    </row>
    <row r="340" spans="1:2">
      <c r="A340" s="1" t="s">
        <v>339</v>
      </c>
      <c r="B340" t="str">
        <f t="shared" si="40"/>
        <v>¬</v>
      </c>
    </row>
    <row r="341" spans="1:2">
      <c r="A341" s="1" t="s">
        <v>340</v>
      </c>
      <c r="B341" t="str">
        <f t="shared" si="40"/>
        <v>¬</v>
      </c>
    </row>
    <row r="342" spans="1:2">
      <c r="A342" s="1" t="s">
        <v>341</v>
      </c>
      <c r="B342" t="str">
        <f t="shared" si="40"/>
        <v>¬</v>
      </c>
    </row>
    <row r="343" spans="1:2">
      <c r="A343" s="1" t="s">
        <v>342</v>
      </c>
      <c r="B343" t="str">
        <f t="shared" si="40"/>
        <v>¬</v>
      </c>
    </row>
    <row r="344" spans="1:2">
      <c r="A344" s="1" t="s">
        <v>343</v>
      </c>
      <c r="B344" s="8" t="str">
        <f>IF(VLOOKUP(tblCharData[[#This Row],[Field]],$E$2:$F$361,2,FALSE)="","¬",VLOOKUP(tblCharData[[#This Row],[Field]],$E$2:$F$361,2,FALSE))</f>
        <v>¬</v>
      </c>
    </row>
    <row r="345" spans="1:2">
      <c r="A345" s="1" t="s">
        <v>344</v>
      </c>
      <c r="B345" s="8" t="str">
        <f>IF(VLOOKUP(tblCharData[[#This Row],[Field]],$E$2:$F$361,2,FALSE)="","¬",VLOOKUP(tblCharData[[#This Row],[Field]],$E$2:$F$361,2,FALSE))</f>
        <v>¬</v>
      </c>
    </row>
    <row r="346" spans="1:2">
      <c r="A346" s="1" t="s">
        <v>345</v>
      </c>
      <c r="B346" s="8" t="str">
        <f>IF(VLOOKUP(tblCharData[[#This Row],[Field]],$E$2:$F$361,2,FALSE)="","¬",VLOOKUP(tblCharData[[#This Row],[Field]],$E$2:$F$361,2,FALSE))</f>
        <v>¬</v>
      </c>
    </row>
    <row r="347" spans="1:2">
      <c r="A347" s="1" t="s">
        <v>346</v>
      </c>
      <c r="B347" s="8" t="str">
        <f>IF(VLOOKUP(tblCharData[[#This Row],[Field]],$E$2:$F$361,2,FALSE)="","¬",VLOOKUP(tblCharData[[#This Row],[Field]],$E$2:$F$361,2,FALSE))</f>
        <v>¬</v>
      </c>
    </row>
    <row r="348" spans="1:2">
      <c r="A348" s="1" t="s">
        <v>347</v>
      </c>
      <c r="B348" s="8" t="str">
        <f>IF(VLOOKUP(tblCharData[[#This Row],[Field]],$E$2:$F$361,2,FALSE)="","¬",VLOOKUP(tblCharData[[#This Row],[Field]],$E$2:$F$361,2,FALSE))</f>
        <v>¬</v>
      </c>
    </row>
    <row r="349" spans="1:2">
      <c r="A349" s="1" t="s">
        <v>348</v>
      </c>
      <c r="B349" t="str">
        <f>_xlfn.IFNA(VLOOKUP(B344,$F$234:$I$238,3,FALSE),"")</f>
        <v/>
      </c>
    </row>
    <row r="350" spans="1:2">
      <c r="A350" s="1" t="s">
        <v>349</v>
      </c>
      <c r="B350" t="str">
        <f>_xlfn.IFNA(VLOOKUP(B345,$F$234:$I$238,3,FALSE),"¬")</f>
        <v>¬</v>
      </c>
    </row>
    <row r="351" spans="1:2">
      <c r="A351" s="1" t="s">
        <v>350</v>
      </c>
      <c r="B351" t="str">
        <f>_xlfn.IFNA(VLOOKUP(B346,$F$234:$I$238,3,FALSE),"")</f>
        <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7</v>
      </c>
    </row>
    <row r="356" spans="1:2">
      <c r="A356" s="1" t="s">
        <v>355</v>
      </c>
      <c r="B356">
        <f ca="1">P220</f>
        <v>1</v>
      </c>
    </row>
    <row r="357" spans="1:2">
      <c r="A357" s="1" t="s">
        <v>356</v>
      </c>
      <c r="B357" t="str">
        <f>IF(F10="","¬",VLOOKUP(F10,tblAnchors[],2,FALSE))</f>
        <v>¬</v>
      </c>
    </row>
    <row r="358" spans="1:2">
      <c r="A358" s="1" t="s">
        <v>357</v>
      </c>
      <c r="B358" t="str">
        <f>IF(F10="","¬",VLOOKUP(F10,tblAnchors[],3,FALSE))</f>
        <v>¬</v>
      </c>
    </row>
    <row r="359" spans="1:2">
      <c r="A359" s="1" t="s">
        <v>358</v>
      </c>
      <c r="B359" t="str">
        <f>IF(F11="","¬",VLOOKUP(F11,tblAnchors[],2,FALSE))</f>
        <v>¬</v>
      </c>
    </row>
    <row r="360" spans="1:2">
      <c r="A360" s="1" t="s">
        <v>359</v>
      </c>
      <c r="B360" t="str">
        <f>IF(F11="","¬",VLOOKUP(F11,tblAnchors[],3,FALSE))</f>
        <v>¬</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
      </c>
    </row>
    <row r="365" spans="1:2">
      <c r="A365" s="1" t="s">
        <v>364</v>
      </c>
      <c r="B365" t="str">
        <f>_xlfn.LET(_xlpm.a,IF(F244="","",F244),_xlpm.b,IF(F245="","",F245),IF(AND(_xlpm.a&lt;&gt;"",_xlpm.b&lt;&gt;""),_xlpm.a&amp;", "&amp;_xlpm.b,IF(_xlpm.a&lt;&gt;"",_xlpm.a,IF(_xlpm.b&lt;&gt;"",_xlpm.b,""))))</f>
        <v/>
      </c>
    </row>
  </sheetData>
  <sortState xmlns:xlrd2="http://schemas.microsoft.com/office/spreadsheetml/2017/richdata2" ref="AI2:AI58">
    <sortCondition ref="AI2:AI58"/>
  </sortState>
  <mergeCells count="89">
    <mergeCell ref="F244:I244"/>
    <mergeCell ref="O10:P10"/>
    <mergeCell ref="O11:P11"/>
    <mergeCell ref="O12:P12"/>
    <mergeCell ref="H154:I154"/>
    <mergeCell ref="H155:I155"/>
    <mergeCell ref="H144:I144"/>
    <mergeCell ref="H145:I145"/>
    <mergeCell ref="H146:I146"/>
    <mergeCell ref="H147:I147"/>
    <mergeCell ref="H148:I148"/>
    <mergeCell ref="H139:I139"/>
    <mergeCell ref="H140:I140"/>
    <mergeCell ref="H141:I141"/>
    <mergeCell ref="H142:I142"/>
    <mergeCell ref="H143:I143"/>
    <mergeCell ref="H156:I156"/>
    <mergeCell ref="H157:I157"/>
    <mergeCell ref="H149:I149"/>
    <mergeCell ref="H150:I150"/>
    <mergeCell ref="H151:I151"/>
    <mergeCell ref="H152:I152"/>
    <mergeCell ref="H153:I153"/>
    <mergeCell ref="H108:I108"/>
    <mergeCell ref="H138:I138"/>
    <mergeCell ref="H112:I112"/>
    <mergeCell ref="H113:I113"/>
    <mergeCell ref="H114:I114"/>
    <mergeCell ref="H115:I115"/>
    <mergeCell ref="H116:I116"/>
    <mergeCell ref="H111:I111"/>
    <mergeCell ref="H118:I118"/>
    <mergeCell ref="H119:I119"/>
    <mergeCell ref="H120:I120"/>
    <mergeCell ref="H109:I109"/>
    <mergeCell ref="H117:I117"/>
    <mergeCell ref="H103:I103"/>
    <mergeCell ref="H104:I104"/>
    <mergeCell ref="H105:I105"/>
    <mergeCell ref="H106:I106"/>
    <mergeCell ref="H107:I107"/>
    <mergeCell ref="O9:P9"/>
    <mergeCell ref="H236:I236"/>
    <mergeCell ref="H237:I237"/>
    <mergeCell ref="H238:I238"/>
    <mergeCell ref="H178:I178"/>
    <mergeCell ref="H179:I179"/>
    <mergeCell ref="H180:I180"/>
    <mergeCell ref="H181:I181"/>
    <mergeCell ref="H234:I234"/>
    <mergeCell ref="H177:I177"/>
    <mergeCell ref="H110:I110"/>
    <mergeCell ref="H206:I206"/>
    <mergeCell ref="H207:I207"/>
    <mergeCell ref="H208:I208"/>
    <mergeCell ref="H209:I209"/>
    <mergeCell ref="H210:I210"/>
    <mergeCell ref="H211:I211"/>
    <mergeCell ref="H212:I212"/>
    <mergeCell ref="H213:I213"/>
    <mergeCell ref="H214:I214"/>
    <mergeCell ref="H215:I215"/>
    <mergeCell ref="H102:I102"/>
    <mergeCell ref="H94:I94"/>
    <mergeCell ref="H95:I95"/>
    <mergeCell ref="H96:I96"/>
    <mergeCell ref="H97:I97"/>
    <mergeCell ref="H98:I98"/>
    <mergeCell ref="H89:I89"/>
    <mergeCell ref="H91:I91"/>
    <mergeCell ref="H92:I92"/>
    <mergeCell ref="H93:I93"/>
    <mergeCell ref="H101:I101"/>
    <mergeCell ref="F245:I245"/>
    <mergeCell ref="F240:I240"/>
    <mergeCell ref="F241:I241"/>
    <mergeCell ref="F242:I242"/>
    <mergeCell ref="O8:P8"/>
    <mergeCell ref="H90:I90"/>
    <mergeCell ref="H79:I79"/>
    <mergeCell ref="H80:I80"/>
    <mergeCell ref="H81:I81"/>
    <mergeCell ref="H82:I82"/>
    <mergeCell ref="H83:I83"/>
    <mergeCell ref="H84:I84"/>
    <mergeCell ref="H85:I85"/>
    <mergeCell ref="H86:I86"/>
    <mergeCell ref="H87:I87"/>
    <mergeCell ref="H88:I88"/>
  </mergeCells>
  <phoneticPr fontId="1" type="noConversion"/>
  <dataValidations count="15">
    <dataValidation type="list" allowBlank="1" showInputMessage="1" showErrorMessage="1" sqref="F7" xr:uid="{B62A71C8-750D-4B69-B89C-AAF58E9BD5BA}">
      <formula1>lstClan</formula1>
    </dataValidation>
    <dataValidation type="list" allowBlank="1" showInputMessage="1" showErrorMessage="1" sqref="F9" xr:uid="{4F3DA7AC-80B2-4A6C-813D-061EE4304C09}">
      <formula1>lstCovenant</formula1>
    </dataValidation>
    <dataValidation type="list" allowBlank="1" showInputMessage="1" showErrorMessage="1" sqref="F8" xr:uid="{C5710231-64B7-494A-9C6B-A9BF4F869871}">
      <formula1>lstBloodlines</formula1>
    </dataValidation>
    <dataValidation type="list" allowBlank="1" showInputMessage="1" showErrorMessage="1" sqref="F10:F11" xr:uid="{C4D2CDA8-2791-4559-AFD4-0B4AF0E951A1}">
      <formula1>lstNature</formula1>
    </dataValidation>
    <dataValidation type="list" allowBlank="1" showInputMessage="1" showErrorMessage="1" sqref="I25 I30 I35 I41 I51 I61" xr:uid="{22898F20-3787-46BC-AA43-B4092E92D670}">
      <formula1>lstPriority</formula1>
    </dataValidation>
    <dataValidation type="list" allowBlank="1" showInputMessage="1" showErrorMessage="1" sqref="F24" xr:uid="{295FA377-36BC-46A3-97B7-662FAA3D4B7D}">
      <formula1>$D$7:$D$8</formula1>
    </dataValidation>
    <dataValidation type="list" allowBlank="1" showInputMessage="1" showErrorMessage="1" sqref="F17:F21" xr:uid="{88DE38D0-1433-4E55-9413-561BAC6DD90D}">
      <formula1>"TRUE,FALSE"</formula1>
    </dataValidation>
    <dataValidation type="list" allowBlank="1" showInputMessage="1" showErrorMessage="1" sqref="F177:F181" xr:uid="{F0A56220-16BB-4046-9F05-89736DF21CD6}">
      <formula1>lstDevotions</formula1>
    </dataValidation>
    <dataValidation type="list" allowBlank="1" showInputMessage="1" showErrorMessage="1" sqref="F194:F205 F207:F215" xr:uid="{0EED5A68-223A-4727-9503-198CC3C1540E}">
      <formula1>lstRites</formula1>
    </dataValidation>
    <dataValidation type="list" allowBlank="1" showInputMessage="1" showErrorMessage="1" sqref="G12:G13" xr:uid="{79AC4B82-E357-4965-9BEC-E56BEDA42AFF}">
      <formula1>lstStatus</formula1>
    </dataValidation>
    <dataValidation type="list" allowBlank="1" showInputMessage="1" showErrorMessage="1" sqref="F206:F215" xr:uid="{A221F24A-8E8F-4C03-80EB-872699C63617}">
      <formula1>lstPacts</formula1>
    </dataValidation>
    <dataValidation type="list" allowBlank="1" showInputMessage="1" showErrorMessage="1" sqref="F236:F238" xr:uid="{9C3FD7A1-DA08-4FF9-BB1E-F511CC811F46}">
      <formula1>lstBanes</formula1>
    </dataValidation>
    <dataValidation type="list" allowBlank="1" showInputMessage="1" showErrorMessage="1" sqref="F79:F98" xr:uid="{0EB14CD8-A6DB-4E97-AD9C-639FB6FB78EE}">
      <formula1>lstMerits</formula1>
    </dataValidation>
    <dataValidation type="list" allowBlank="1" showInputMessage="1" showErrorMessage="1" sqref="F101:F120" xr:uid="{CB3A3918-4D3A-4F4A-92F6-936CE45285D4}">
      <formula1>lstManoeuvres</formula1>
    </dataValidation>
    <dataValidation type="list" allowBlank="1" showInputMessage="1" showErrorMessage="1" sqref="G248:G277" xr:uid="{736575A1-B0F7-4D6B-9688-2EC9A4C48715}">
      <formula1>$I$248:$I$249</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94A236FA-A713-4441-A5C6-87B3AE686966}">
          <x14:formula1>
            <xm:f>'Lookup-Domain'!$A$2:$A$8</xm:f>
          </x14:formula1>
          <xm:sqref>F138:F157 F161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BC821-C2CD-4527-8DEA-B0DA61A728DD}">
  <dimension ref="A1:AK365"/>
  <sheetViews>
    <sheetView zoomScale="70" zoomScaleNormal="70" workbookViewId="0">
      <pane ySplit="1" topLeftCell="A7" activePane="bottomLeft" state="frozen"/>
      <selection pane="bottomLeft" activeCell="O26" sqref="O26"/>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Viral Mythology</v>
      </c>
      <c r="AC2" s="60" t="str" cm="1">
        <f t="array" ref="AC2:AC5">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Hobbyist Clique</v>
      </c>
      <c r="AD2" s="20" t="str">
        <f>IF(AC2="","¬",_xlfn.LET(_xlpm.base,IFERROR(LEFT(AC2,FIND(" (",AC2)-1),AC2),IFERROR(VLOOKUP(_xlpm.base,tblManoeuvre[],2,FALSE) &amp; " " &amp; REPT("●",VLOOKUP(_xlpm.base,tblManoeuvre[],3,FALSE)) &amp; " | " &amp; AC2,AC2 &amp; " " &amp; REPT("●",VLOOKUP(_xlpm.base,$F$79:$P$120,11,FALSE)))))</f>
        <v>Hobbyist Clique ●</v>
      </c>
      <c r="AE2" s="20"/>
      <c r="AF2" s="20" t="str">
        <f>IF(LEN(AC2)=0,"¬",_xlfn.LET(_xlpm.base,IFERROR(LEFT(AC2,FIND(" (",AC2)-1),AC2),IFERROR(VLOOKUP(_xlpm.base,tblMerits[],5,FALSE),IFERROR(VLOOKUP(_xlpm.base,tblManoeuvre[],9,FALSE),"¬"))))</f>
        <v>9-Again on hobby Skill; +2 to extended actions with that Skill.</v>
      </c>
      <c r="AI2" s="15" t="s">
        <v>25</v>
      </c>
      <c r="AJ2" s="61">
        <f t="shared" ref="AJ2:AJ33" si="1">VLOOKUP(AI2,$E$3:$P$221,12,FALSE)</f>
        <v>2</v>
      </c>
      <c r="AK2" s="61">
        <f>IF(AJ2=0,IF(COUNTIF($E$42:$E$49,AI2)&gt;0,-3,-1),AJ2)</f>
        <v>2</v>
      </c>
    </row>
    <row r="3" spans="1:37">
      <c r="A3" s="1" t="s">
        <v>2</v>
      </c>
      <c r="B3">
        <f ca="1">N3</f>
        <v>9</v>
      </c>
      <c r="D3" s="19"/>
      <c r="E3" s="15" t="s">
        <v>4</v>
      </c>
      <c r="F3" s="3" t="s">
        <v>366</v>
      </c>
      <c r="G3" s="18"/>
      <c r="H3" s="18"/>
      <c r="I3" s="18" t="s">
        <v>1425</v>
      </c>
      <c r="N3" s="60">
        <f ca="1">10+SUM(N4:N6)-SUM(N7)</f>
        <v>9</v>
      </c>
      <c r="Y3" s="15" t="s">
        <v>115</v>
      </c>
      <c r="Z3" s="19"/>
      <c r="AA3" s="61" t="str">
        <f t="shared" si="0"/>
        <v>Secret Society Junkie (Does not qualify)</v>
      </c>
      <c r="AC3" s="60" t="str">
        <v>Library (Occult)</v>
      </c>
      <c r="AD3" s="20" t="str">
        <f>IF(AC3="","¬",_xlfn.LET(_xlpm.base,IFERROR(LEFT(AC3,FIND(" (",AC3)-1),AC3),IFERROR(VLOOKUP(_xlpm.base,tblManoeuvre[],2,FALSE) &amp; " " &amp; REPT("●",VLOOKUP(_xlpm.base,tblManoeuvre[],3,FALSE)) &amp; " | " &amp; AC3,AC3 &amp; " " &amp; REPT("●",VLOOKUP(_xlpm.base,$F$79:$P$120,11,FALSE)))))</f>
        <v>Library (Occult) ●●</v>
      </c>
      <c r="AE3" s="20"/>
      <c r="AF3" s="20" t="str">
        <f>IF(LEN(AC3)=0,"¬",_xlfn.LET(_xlpm.base,IFERROR(LEFT(AC3,FIND(" (",AC3)-1),AC3),IFERROR(VLOOKUP(_xlpm.base,tblMerits[],5,FALSE),IFERROR(VLOOKUP(_xlpm.base,tblManoeuvre[],9,FALSE),"¬"))))</f>
        <v>Add dots to extended rolls for a chosen Skill's subject matter.</v>
      </c>
      <c r="AI3" s="15" t="s">
        <v>41</v>
      </c>
      <c r="AJ3" s="61">
        <f t="shared" si="1"/>
        <v>0</v>
      </c>
      <c r="AK3" s="61">
        <f>IF(AJ3=0,IF(COUNTIF($E$42:$E$49,AI3)&gt;0,-3,-1),AJ3)</f>
        <v>-1</v>
      </c>
    </row>
    <row r="4" spans="1:37">
      <c r="A4" s="1" t="s">
        <v>3</v>
      </c>
      <c r="B4">
        <f ca="1">SUM(N3:N9)</f>
        <v>32</v>
      </c>
      <c r="D4" s="19"/>
      <c r="E4" s="15" t="s">
        <v>5</v>
      </c>
      <c r="F4" s="3" t="s">
        <v>367</v>
      </c>
      <c r="G4" s="18"/>
      <c r="H4" s="18"/>
      <c r="I4" s="18" t="s">
        <v>1426</v>
      </c>
      <c r="N4" s="61">
        <f>K73*2</f>
        <v>2</v>
      </c>
      <c r="Y4" s="15" t="s">
        <v>116</v>
      </c>
      <c r="Z4" s="19"/>
      <c r="AA4" s="61" t="str">
        <f t="shared" si="0"/>
        <v>Hobbyist Clique</v>
      </c>
      <c r="AC4" s="60" t="str">
        <v>Secret Society Junkie (Does not qualify)</v>
      </c>
      <c r="AD4" s="20" t="str">
        <f>IF(AC4="","¬",_xlfn.LET(_xlpm.base,IFERROR(LEFT(AC4,FIND(" (",AC4)-1),AC4),IFERROR(VLOOKUP(_xlpm.base,tblManoeuvre[],2,FALSE) &amp; " " &amp; REPT("●",VLOOKUP(_xlpm.base,tblManoeuvre[],3,FALSE)) &amp; " | " &amp; AC4,AC4 &amp; " " &amp; REPT("●",VLOOKUP(_xlpm.base,$F$79:$P$120,11,FALSE)))))</f>
        <v>Secret Society Junkie (Does not qualify) ●</v>
      </c>
      <c r="AE4" s="20"/>
      <c r="AF4" s="20" t="str">
        <f>IF(LEN(AC4)=0,"¬",_xlfn.LET(_xlpm.base,IFERROR(LEFT(AC4,FIND(" (",AC4)-1),AC4),IFERROR(VLOOKUP(_xlpm.base,tblMerits[],5,FALSE),IFERROR(VLOOKUP(_xlpm.base,tblManoeuvre[],9,FALSE),"¬"))))</f>
        <v>Dots in Status or Mystery Cult Initiation representing human secret societies also count as dots of Herd.</v>
      </c>
      <c r="AI4" s="15" t="s">
        <v>236</v>
      </c>
      <c r="AJ4" s="61">
        <f t="shared" si="1"/>
        <v>0</v>
      </c>
      <c r="AK4" s="61">
        <f>AJ4</f>
        <v>0</v>
      </c>
    </row>
    <row r="5" spans="1:37">
      <c r="A5" s="1" t="s">
        <v>4</v>
      </c>
      <c r="B5" t="str">
        <f>IF(VLOOKUP(tblCharDataAlice[[#This Row],[Field]],$E$2:$F$362,2,FALSE)="","¬",VLOOKUP(tblCharDataAlice[[#This Row],[Field]],$E$2:$F$362,2,FALSE))</f>
        <v>Katherine H</v>
      </c>
      <c r="D5" s="19"/>
      <c r="E5" s="15" t="s">
        <v>6</v>
      </c>
      <c r="F5" s="3" t="s">
        <v>368</v>
      </c>
      <c r="G5" s="18"/>
      <c r="H5" s="18"/>
      <c r="I5" s="18" t="s">
        <v>1427</v>
      </c>
      <c r="N5" s="61">
        <f>N16</f>
        <v>6</v>
      </c>
      <c r="Y5" s="15" t="s">
        <v>117</v>
      </c>
      <c r="Z5" s="19"/>
      <c r="AA5" s="61" t="str">
        <f t="shared" si="0"/>
        <v>Library (Occult)</v>
      </c>
      <c r="AC5" s="60" t="str">
        <v>Viral Mythology</v>
      </c>
      <c r="AD5" s="20" t="str">
        <f>IF(AC5="","¬",_xlfn.LET(_xlpm.base,IFERROR(LEFT(AC5,FIND(" (",AC5)-1),AC5),IFERROR(VLOOKUP(_xlpm.base,tblManoeuvre[],2,FALSE) &amp; " " &amp; REPT("●",VLOOKUP(_xlpm.base,tblManoeuvre[],3,FALSE)) &amp; " | " &amp; AC5,AC5 &amp; " " &amp; REPT("●",VLOOKUP(_xlpm.base,$F$79:$P$120,11,FALSE)))))</f>
        <v>Viral Mythology ●●●</v>
      </c>
      <c r="AE5" s="20"/>
      <c r="AF5" s="20" t="str">
        <f>IF(LEN(AC5)=0,"¬",_xlfn.LET(_xlpm.base,IFERROR(LEFT(AC5,FIND(" (",AC5)-1),AC5),IFERROR(VLOOKUP(_xlpm.base,tblMerits[],5,FALSE),IFERROR(VLOOKUP(_xlpm.base,tblManoeuvre[],9,FALSE),"¬"))))</f>
        <v>Presence + Expression vs Wits + Composure to inflict contagious awe. Allies and Herd double their yield.</v>
      </c>
      <c r="AI5" s="15" t="s">
        <v>33</v>
      </c>
      <c r="AJ5" s="61">
        <f t="shared" si="1"/>
        <v>0</v>
      </c>
      <c r="AK5" s="61">
        <f>IF(AJ5=0,IF(COUNTIF($E$42:$E$49,AI5)&gt;0,-3,-1),AJ5)</f>
        <v>-1</v>
      </c>
    </row>
    <row r="6" spans="1:37">
      <c r="A6" s="1" t="s">
        <v>5</v>
      </c>
      <c r="B6" t="str">
        <f>IF(VLOOKUP(tblCharDataAlice[[#This Row],[Field]],$E$2:$F$362,2,FALSE)="","¬",VLOOKUP(tblCharDataAlice[[#This Row],[Field]],$E$2:$F$362,2,FALSE))</f>
        <v>Alice Vunder</v>
      </c>
      <c r="D6" s="19"/>
      <c r="E6" s="15" t="s">
        <v>7</v>
      </c>
      <c r="F6" s="3" t="s">
        <v>369</v>
      </c>
      <c r="G6" s="18"/>
      <c r="H6" s="18"/>
      <c r="I6" s="18" t="s">
        <v>1347</v>
      </c>
      <c r="N6" s="61">
        <f ca="1">N279</f>
        <v>3</v>
      </c>
      <c r="Y6" s="15" t="s">
        <v>118</v>
      </c>
      <c r="Z6" s="19"/>
      <c r="AA6" s="61" t="str">
        <f t="shared" si="0"/>
        <v/>
      </c>
      <c r="AC6" s="60"/>
      <c r="AD6" s="20" t="str">
        <f>IF(AC6="","¬",_xlfn.LET(_xlpm.base,IFERROR(LEFT(AC6,FIND(" (",AC6)-1),AC6),IFERROR(VLOOKUP(_xlpm.base,tblManoeuvre[],2,FALSE) &amp; " " &amp; REPT("●",VLOOKUP(_xlpm.base,tblManoeuvre[],3,FALSE)) &amp; " | " &amp; AC6,AC6 &amp; " " &amp; REPT("●",VLOOKUP(_xlpm.base,$F$79:$P$120,11,FALSE)))))</f>
        <v>¬</v>
      </c>
      <c r="AE6" s="20"/>
      <c r="AF6" s="20" t="str">
        <f>IF(LEN(AC6)=0,"¬",_xlfn.LET(_xlpm.base,IFERROR(LEFT(AC6,FIND(" (",AC6)-1),AC6),IFERROR(VLOOKUP(_xlpm.base,tblMerits[],5,FALSE),IFERROR(VLOOKUP(_xlpm.base,tblManoeuvre[],9,FALSE),"¬"))))</f>
        <v>¬</v>
      </c>
      <c r="AI6" s="15" t="s">
        <v>237</v>
      </c>
      <c r="AJ6" s="61">
        <f t="shared" si="1"/>
        <v>1</v>
      </c>
      <c r="AK6" s="61">
        <f>AJ6</f>
        <v>1</v>
      </c>
    </row>
    <row r="7" spans="1:37">
      <c r="A7" s="1" t="s">
        <v>6</v>
      </c>
      <c r="B7" t="str">
        <f>IF(VLOOKUP(tblCharDataAlice[[#This Row],[Field]],$E$2:$F$362,2,FALSE)="","¬",VLOOKUP(tblCharDataAlice[[#This Row],[Field]],$E$2:$F$362,2,FALSE))</f>
        <v>Curious archivist</v>
      </c>
      <c r="D7" s="19" t="str">
        <f>VLOOKUP(F7,tblClans[],3,FALSE)</f>
        <v>Wits</v>
      </c>
      <c r="E7" s="15" t="s">
        <v>8</v>
      </c>
      <c r="F7" s="3" t="s">
        <v>370</v>
      </c>
      <c r="G7" s="18"/>
      <c r="H7" s="18"/>
      <c r="I7" s="18"/>
      <c r="N7" s="60">
        <f>SUM(N8:N12)</f>
        <v>12</v>
      </c>
      <c r="Y7" s="15" t="s">
        <v>119</v>
      </c>
      <c r="Z7" s="19"/>
      <c r="AA7" s="61" t="str">
        <f t="shared" si="0"/>
        <v/>
      </c>
      <c r="AC7" s="60"/>
      <c r="AD7" s="20" t="str">
        <f>IF(AC7="","¬",_xlfn.LET(_xlpm.base,IFERROR(LEFT(AC7,FIND(" (",AC7)-1),AC7),IFERROR(VLOOKUP(_xlpm.base,tblManoeuvre[],2,FALSE) &amp; " " &amp; REPT("●",VLOOKUP(_xlpm.base,tblManoeuvre[],3,FALSE)) &amp; " | " &amp; AC7,AC7 &amp; " " &amp; REPT("●",VLOOKUP(_xlpm.base,$F$79:$P$120,11,FALSE)))))</f>
        <v>¬</v>
      </c>
      <c r="AE7" s="20"/>
      <c r="AF7" s="20" t="str">
        <f>IF(LEN(AC7)=0,"¬",_xlfn.LET(_xlpm.base,IFERROR(LEFT(AC7,FIND(" (",AC7)-1),AC7),IFERROR(VLOOKUP(_xlpm.base,tblMerits[],5,FALSE),IFERROR(VLOOKUP(_xlpm.base,tblManoeuvre[],9,FALSE),"¬"))))</f>
        <v>¬</v>
      </c>
      <c r="AI7" s="15" t="s">
        <v>49</v>
      </c>
      <c r="AJ7" s="61">
        <f t="shared" si="1"/>
        <v>1</v>
      </c>
      <c r="AK7" s="61">
        <f>AJ7</f>
        <v>1</v>
      </c>
    </row>
    <row r="8" spans="1:37">
      <c r="A8" s="1" t="s">
        <v>7</v>
      </c>
      <c r="B8" t="str">
        <f>IF(VLOOKUP(tblCharDataAlice[[#This Row],[Field]],$E$2:$F$362,2,FALSE)="","¬",LOWER(VLOOKUP(tblCharDataAlice[[#This Row],[Field]],$E$2:$F$362,2,FALSE)))</f>
        <v>she/her</v>
      </c>
      <c r="D8" s="19" t="str">
        <f>VLOOKUP(F7,tblClans[],2,FALSE)</f>
        <v>Intelligence</v>
      </c>
      <c r="E8" s="15" t="s">
        <v>10</v>
      </c>
      <c r="F8" s="3"/>
      <c r="G8" s="61" t="str">
        <f>IFERROR(IF(OR(AND(VLOOKUP(F8,tblBloodlines[],2,FALSE)="",VLOOKUP(F8,tblBloodlines[],3,FALSE)="",VLOOKUP(F8,tblBloodlines[],4,FALSE)=""),AND(VLOOKUP(F8,tblBloodlines[],2,FALSE)="",VLOOKUP(F8,tblBloodlines[],3,FALSE)="",F9=VLOOKUP(F8,tblBloodlines[],4,FALSE)),F7=VLOOKUP(F8,tblBloodlines[],2,FALSE),F7=VLOOKUP(F8,tblBloodlines[],3,FALSE)),TRUE,FALSE),"")</f>
        <v/>
      </c>
      <c r="H8" s="18"/>
      <c r="I8" s="18" t="s">
        <v>1428</v>
      </c>
      <c r="N8" s="61">
        <f>N23</f>
        <v>0</v>
      </c>
      <c r="O8" s="65">
        <f>N8/SUM(N$7:N$12)</f>
        <v>0</v>
      </c>
      <c r="P8" s="66"/>
      <c r="Y8" s="15" t="s">
        <v>120</v>
      </c>
      <c r="Z8" s="19"/>
      <c r="AA8" s="61" t="str">
        <f t="shared" si="0"/>
        <v/>
      </c>
      <c r="AC8" s="60"/>
      <c r="AD8" s="20" t="str">
        <f>IF(AC8="","¬",_xlfn.LET(_xlpm.base,IFERROR(LEFT(AC8,FIND(" (",AC8)-1),AC8),IFERROR(VLOOKUP(_xlpm.base,tblManoeuvre[],2,FALSE) &amp; " " &amp; REPT("●",VLOOKUP(_xlpm.base,tblManoeuvre[],3,FALSE)) &amp; " | " &amp; AC8,AC8 &amp; " " &amp; REPT("●",VLOOKUP(_xlpm.base,$F$79:$P$120,11,FALSE)))))</f>
        <v>¬</v>
      </c>
      <c r="AE8" s="20"/>
      <c r="AF8" s="20" t="str">
        <f>IF(LEN(AC8)=0,"¬",_xlfn.LET(_xlpm.base,IFERROR(LEFT(AC8,FIND(" (",AC8)-1),AC8),IFERROR(VLOOKUP(_xlpm.base,tblMerits[],5,FALSE),IFERROR(VLOOKUP(_xlpm.base,tblManoeuvre[],9,FALSE),"¬"))))</f>
        <v>¬</v>
      </c>
      <c r="AI8" s="15" t="s">
        <v>34</v>
      </c>
      <c r="AJ8" s="61">
        <f t="shared" si="1"/>
        <v>0</v>
      </c>
      <c r="AK8" s="61">
        <f>IF(AJ8=0,IF(COUNTIF($E$42:$E$49,AI8)&gt;0,-3,-1),AJ8)</f>
        <v>-1</v>
      </c>
    </row>
    <row r="9" spans="1:37">
      <c r="A9" s="1" t="s">
        <v>8</v>
      </c>
      <c r="B9" t="str">
        <f>IF(VLOOKUP(tblCharDataAlice[[#This Row],[Field]],$E$2:$F$362,2,FALSE)="","¬",VLOOKUP(tblCharDataAlice[[#This Row],[Field]],$E$2:$F$362,2,FALSE))</f>
        <v>Mekhet</v>
      </c>
      <c r="D9" s="19"/>
      <c r="E9" s="15" t="s">
        <v>11</v>
      </c>
      <c r="F9" s="3" t="s">
        <v>373</v>
      </c>
      <c r="G9" s="18"/>
      <c r="H9" s="18"/>
      <c r="I9" s="18" t="s">
        <v>1429</v>
      </c>
      <c r="N9" s="61">
        <f>N40+T40</f>
        <v>0</v>
      </c>
      <c r="O9" s="65">
        <f>N9/SUM(N$7:N$12)</f>
        <v>0</v>
      </c>
      <c r="P9" s="66"/>
      <c r="Y9" s="15" t="s">
        <v>121</v>
      </c>
      <c r="Z9" s="19"/>
      <c r="AA9" s="61" t="str">
        <f t="shared" si="0"/>
        <v/>
      </c>
      <c r="AC9" s="60"/>
      <c r="AD9" s="20" t="str">
        <f>IF(AC9="","¬",_xlfn.LET(_xlpm.base,IFERROR(LEFT(AC9,FIND(" (",AC9)-1),AC9),IFERROR(VLOOKUP(_xlpm.base,tblManoeuvre[],2,FALSE) &amp; " " &amp; REPT("●",VLOOKUP(_xlpm.base,tblManoeuvre[],3,FALSE)) &amp; " | " &amp; AC9,AC9 &amp; " " &amp; REPT("●",VLOOKUP(_xlpm.base,$F$79:$P$120,11,FALSE)))))</f>
        <v>¬</v>
      </c>
      <c r="AE9" s="20"/>
      <c r="AF9" s="20" t="str">
        <f>IF(LEN(AC9)=0,"¬",_xlfn.LET(_xlpm.base,IFERROR(LEFT(AC9,FIND(" (",AC9)-1),AC9),IFERROR(VLOOKUP(_xlpm.base,tblMerits[],5,FALSE),IFERROR(VLOOKUP(_xlpm.base,tblManoeuvre[],9,FALSE),"¬"))))</f>
        <v>¬</v>
      </c>
      <c r="AI9" s="15" t="s">
        <v>238</v>
      </c>
      <c r="AJ9" s="61">
        <f t="shared" si="1"/>
        <v>1</v>
      </c>
      <c r="AK9" s="61">
        <f>AJ9</f>
        <v>1</v>
      </c>
    </row>
    <row r="10" spans="1:37">
      <c r="A10" s="1" t="s">
        <v>9</v>
      </c>
      <c r="B10" t="str">
        <f>CONCATENATE(Elements,B9," icon.svg")</f>
        <v>D:\Terra Mortis\Character Sheets\Sheet Elements\Mekhet icon.svg</v>
      </c>
      <c r="D10" s="19"/>
      <c r="E10" s="15" t="s">
        <v>13</v>
      </c>
      <c r="F10" s="3" t="s">
        <v>375</v>
      </c>
      <c r="G10" s="18"/>
      <c r="H10" s="18"/>
      <c r="I10" s="18" t="s">
        <v>1430</v>
      </c>
      <c r="N10" s="61">
        <f>N77</f>
        <v>3</v>
      </c>
      <c r="O10" s="65">
        <f>N10/SUM(N$7:N$12)</f>
        <v>0.125</v>
      </c>
      <c r="P10" s="66"/>
      <c r="Y10" s="15" t="s">
        <v>122</v>
      </c>
      <c r="Z10" s="19"/>
      <c r="AA10" s="61" t="str">
        <f t="shared" si="0"/>
        <v/>
      </c>
      <c r="AC10" s="60"/>
      <c r="AD10" s="20" t="str">
        <f>IF(AC10="","¬",_xlfn.LET(_xlpm.base,IFERROR(LEFT(AC10,FIND(" (",AC10)-1),AC10),IFERROR(VLOOKUP(_xlpm.base,tblManoeuvre[],2,FALSE) &amp; " " &amp; REPT("●",VLOOKUP(_xlpm.base,tblManoeuvre[],3,FALSE)) &amp; " | " &amp; AC10,AC10 &amp; " " &amp; REPT("●",VLOOKUP(_xlpm.base,$F$79:$P$120,11,FALSE)))))</f>
        <v>¬</v>
      </c>
      <c r="AE10" s="20"/>
      <c r="AF10" s="20" t="str">
        <f>IF(LEN(AC10)=0,"¬",_xlfn.LET(_xlpm.base,IFERROR(LEFT(AC10,FIND(" (",AC10)-1),AC10),IFERROR(VLOOKUP(_xlpm.base,tblMerits[],5,FALSE),IFERROR(VLOOKUP(_xlpm.base,tblManoeuvre[],9,FALSE),"¬"))))</f>
        <v>¬</v>
      </c>
      <c r="AI10" s="15" t="s">
        <v>24</v>
      </c>
      <c r="AJ10" s="61">
        <f t="shared" si="1"/>
        <v>2</v>
      </c>
      <c r="AK10" s="61">
        <f>AJ10+IFERROR(INDEX($V$26:$V$38,MATCH(AI10,$E$26:$E$38,0)),0)</f>
        <v>2</v>
      </c>
    </row>
    <row r="11" spans="1:37">
      <c r="A11" s="1" t="s">
        <v>10</v>
      </c>
      <c r="B11" t="str">
        <f>IF(VLOOKUP(tblCharDataAlice[[#This Row],[Field]],$E$2:$F$362,2,FALSE)="","¬",VLOOKUP(tblCharDataAlice[[#This Row],[Field]],$E$2:$F$362,2,FALSE))</f>
        <v>¬</v>
      </c>
      <c r="D11" s="19"/>
      <c r="E11" s="15" t="s">
        <v>14</v>
      </c>
      <c r="F11" s="3" t="s">
        <v>376</v>
      </c>
      <c r="G11" s="18"/>
      <c r="H11" s="18"/>
      <c r="I11" s="18" t="s">
        <v>1431</v>
      </c>
      <c r="N11" s="61">
        <f>N163</f>
        <v>9</v>
      </c>
      <c r="O11" s="65">
        <f>N11/SUM(N$7:N$12)</f>
        <v>0.375</v>
      </c>
      <c r="P11" s="66"/>
      <c r="Y11" s="15" t="s">
        <v>123</v>
      </c>
      <c r="Z11" s="19"/>
      <c r="AA11" s="61" t="str">
        <f t="shared" si="0"/>
        <v/>
      </c>
      <c r="AC11" s="60"/>
      <c r="AD11" s="20" t="str">
        <f>IF(AC11="","¬",_xlfn.LET(_xlpm.base,IFERROR(LEFT(AC11,FIND(" (",AC11)-1),AC11),IFERROR(VLOOKUP(_xlpm.base,tblManoeuvre[],2,FALSE) &amp; " " &amp; REPT("●",VLOOKUP(_xlpm.base,tblManoeuvre[],3,FALSE)) &amp; " | " &amp; AC11,AC11 &amp; " " &amp; REPT("●",VLOOKUP(_xlpm.base,$F$79:$P$120,11,FALSE)))))</f>
        <v>¬</v>
      </c>
      <c r="AE11" s="20"/>
      <c r="AF11" s="20" t="str">
        <f>IF(LEN(AC11)=0,"¬",_xlfn.LET(_xlpm.base,IFERROR(LEFT(AC11,FIND(" (",AC11)-1),AC11),IFERROR(VLOOKUP(_xlpm.base,tblMerits[],5,FALSE),IFERROR(VLOOKUP(_xlpm.base,tblManoeuvre[],9,FALSE),"¬"))))</f>
        <v>¬</v>
      </c>
      <c r="AI11" s="15" t="s">
        <v>26</v>
      </c>
      <c r="AJ11" s="61">
        <f t="shared" si="1"/>
        <v>3</v>
      </c>
      <c r="AK11" s="61">
        <f>IF(AJ11=0,IF(COUNTIF($E$42:$E$49,AI11)&gt;0,-3,-1),AJ11)</f>
        <v>3</v>
      </c>
    </row>
    <row r="12" spans="1:37">
      <c r="A12" s="1" t="s">
        <v>11</v>
      </c>
      <c r="B12" t="str">
        <f>IF(VLOOKUP(tblCharDataAlice[[#This Row],[Field]],$E$2:$F$362,2,FALSE)="","¬",VLOOKUP(tblCharDataAlice[[#This Row],[Field]],$E$2:$F$362,2,FALSE))</f>
        <v>Circle of the Crone</v>
      </c>
      <c r="D12" s="19"/>
      <c r="E12" s="15" t="s">
        <v>15</v>
      </c>
      <c r="F12" s="3" t="s">
        <v>377</v>
      </c>
      <c r="G12" s="3" t="s">
        <v>377</v>
      </c>
      <c r="H12" s="18"/>
      <c r="I12" s="18" t="s">
        <v>1432</v>
      </c>
      <c r="N12" s="61">
        <f>N71</f>
        <v>0</v>
      </c>
      <c r="O12" s="65">
        <f>N12/SUM(N$7:N$12)</f>
        <v>0</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0</v>
      </c>
      <c r="AK12" s="61">
        <f>IF(AJ12=0,IF(COUNTIF($E$42:$E$49,AI12)&gt;0,-3,-1),AJ12)</f>
        <v>-3</v>
      </c>
    </row>
    <row r="13" spans="1:37">
      <c r="A13" s="1" t="s">
        <v>12</v>
      </c>
      <c r="B13" t="str">
        <f>_xlfn.IFNA(CONCATENATE(Elements,VLOOKUP(B12,tblCovenantShortName[#Data],2,FALSE)," icon.svg"),"")</f>
        <v>D:\Terra Mortis\Character Sheets\Sheet Elements\Crone icon.svg</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1</v>
      </c>
      <c r="AK13" s="61">
        <f t="shared" ref="AK13:AK19" si="2">AJ13</f>
        <v>1</v>
      </c>
    </row>
    <row r="14" spans="1:37">
      <c r="A14" s="1" t="s">
        <v>13</v>
      </c>
      <c r="B14" t="str">
        <f>IF(VLOOKUP(tblCharDataAlice[[#This Row],[Field]],$E$2:$F$362,2,FALSE)="","¬",VLOOKUP(tblCharDataAlice[[#This Row],[Field]],$E$2:$F$362,2,FALSE))</f>
        <v>Follower</v>
      </c>
      <c r="D14" s="19"/>
      <c r="E14" s="15" t="s">
        <v>1433</v>
      </c>
      <c r="F14" s="28"/>
      <c r="G14" s="3"/>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1</v>
      </c>
      <c r="AK14" s="61">
        <f t="shared" si="2"/>
        <v>1</v>
      </c>
    </row>
    <row r="15" spans="1:37">
      <c r="A15" s="1" t="s">
        <v>14</v>
      </c>
      <c r="B15" t="str">
        <f>IF(VLOOKUP(tblCharDataAlice[[#This Row],[Field]],$E$2:$F$362,2,FALSE)="","¬",VLOOKUP(tblCharDataAlice[[#This Row],[Field]],$E$2:$F$362,2,FALSE))</f>
        <v>Scholar</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3</v>
      </c>
      <c r="AK15" s="61">
        <f t="shared" ca="1" si="2"/>
        <v>3</v>
      </c>
    </row>
    <row r="16" spans="1:37" ht="15.75" thickBot="1">
      <c r="A16" s="1" t="s">
        <v>15</v>
      </c>
      <c r="B16" t="str">
        <f ca="1">_xlfn.LET(_xlpm.a,VLOOKUP(tblCharDataAlice[[#This Row],[Field]],$E$2:$F$362,2,FALSE),_xlpm.b,VLOOKUP(OFFSET(tblCharDataAlice[[#This Row],[Field]],1,0),$E$2:$F$362,2,FALSE),IF(AND(_xlpm.a&lt;&gt;"",_xlpm.b&lt;&gt;""),_xlpm.a&amp;" &amp; "&amp;_xlpm.b,IF(_xlpm.a&lt;&gt;"",_xlpm.a,IF(_xlpm.b&lt;&gt;"",_xlpm.b,"¬"))))</f>
        <v>Regent</v>
      </c>
      <c r="D16" s="14" t="s">
        <v>1427</v>
      </c>
      <c r="E16" s="14"/>
      <c r="F16" s="14"/>
      <c r="G16" s="14"/>
      <c r="H16" s="14"/>
      <c r="I16" s="14"/>
      <c r="N16" s="60">
        <f>SUM(N17:N21)</f>
        <v>6</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REPT("●",IFERROR(INDEX($P$26:$P$38,MATCH(tblCharDataAlice[[#This Row],[Field]],$E$26:$E$38,0)),0))&amp;REPT("○",IFERROR(INDEX($V$26:$V$38,MATCH(tblCharDataAlice[[#This Row],[Field]],$E$26:$E$38,0)),0))</f>
        <v>●●●●</v>
      </c>
      <c r="D17" s="19"/>
      <c r="E17" s="15" t="s">
        <v>1435</v>
      </c>
      <c r="F17" s="3" t="b">
        <v>1</v>
      </c>
      <c r="G17" s="19"/>
      <c r="H17" s="19"/>
      <c r="I17" s="19"/>
      <c r="N17" s="61">
        <f>IF(F17=TRUE,3,0)</f>
        <v>3</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3</v>
      </c>
      <c r="AK17" s="61">
        <f>AJ17+IFERROR(INDEX($V$26:$V$38,MATCH(AI17,$E$26:$E$38,0)),0)</f>
        <v>3</v>
      </c>
    </row>
    <row r="18" spans="1:37">
      <c r="A18" s="1" t="s">
        <v>17</v>
      </c>
      <c r="B18" t="str">
        <f>REPT("●",IFERROR(INDEX($P$26:$P$38,MATCH(tblCharDataAlice[[#This Row],[Field]],$E$26:$E$38,0)),0))&amp;REPT("○",IFERROR(INDEX($V$26:$V$38,MATCH(tblCharDataAlice[[#This Row],[Field]],$E$26:$E$38,0)),0))</f>
        <v>●●●</v>
      </c>
      <c r="D18" s="19"/>
      <c r="E18" s="15" t="s">
        <v>1436</v>
      </c>
      <c r="F18" s="3" t="b">
        <v>1</v>
      </c>
      <c r="G18" s="19"/>
      <c r="H18" s="19"/>
      <c r="I18" s="19"/>
      <c r="N18" s="61">
        <f>IF(F18=TRUE,3,0)</f>
        <v>3</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1</v>
      </c>
      <c r="AK18" s="61">
        <f t="shared" si="2"/>
        <v>1</v>
      </c>
    </row>
    <row r="19" spans="1:37">
      <c r="A19" s="1" t="s">
        <v>18</v>
      </c>
      <c r="B19" t="str">
        <f>REPT("●",IFERROR(INDEX($P$26:$P$38,MATCH(tblCharDataAlice[[#This Row],[Field]],$E$26:$E$38,0)),0))&amp;REPT("○",IFERROR(INDEX($V$26:$V$38,MATCH(tblCharDataAlice[[#This Row],[Field]],$E$26:$E$38,0)),0))</f>
        <v>●●</v>
      </c>
      <c r="D19" s="19"/>
      <c r="E19" s="15" t="s">
        <v>1437</v>
      </c>
      <c r="F19" s="3"/>
      <c r="G19" s="19"/>
      <c r="H19" s="19"/>
      <c r="I19" s="19"/>
      <c r="N19" s="61">
        <f>IF(F19=TRUE,3,0)</f>
        <v>0</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0</v>
      </c>
      <c r="AK19" s="61">
        <f t="shared" si="2"/>
        <v>0</v>
      </c>
    </row>
    <row r="20" spans="1:37">
      <c r="A20" s="1" t="s">
        <v>19</v>
      </c>
      <c r="B20" t="str">
        <f>REPT("●",IFERROR(INDEX($P$26:$P$38,MATCH(tblCharDataAlice[[#This Row],[Field]],$E$26:$E$38,0)),0))&amp;REPT("○",IFERROR(INDEX($V$26:$V$38,MATCH(tblCharDataAlice[[#This Row],[Field]],$E$26:$E$38,0)),0))</f>
        <v>●</v>
      </c>
      <c r="D20" s="19"/>
      <c r="E20" s="15" t="s">
        <v>1438</v>
      </c>
      <c r="F20" s="3"/>
      <c r="G20" s="19"/>
      <c r="H20" s="19"/>
      <c r="I20" s="19"/>
      <c r="N20" s="61">
        <f>IF(F20=TRUE,3,0)</f>
        <v>0</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REPT("●",IFERROR(INDEX($P$26:$P$38,MATCH(tblCharDataAlice[[#This Row],[Field]],$E$26:$E$38,0)),0))&amp;REPT("○",IFERROR(INDEX($V$26:$V$38,MATCH(tblCharDataAlice[[#This Row],[Field]],$E$26:$E$38,0)),0))</f>
        <v>●●●</v>
      </c>
      <c r="D21" s="19"/>
      <c r="E21" s="15" t="s">
        <v>11</v>
      </c>
      <c r="F21" s="3"/>
      <c r="G21" s="19"/>
      <c r="H21" s="19"/>
      <c r="I21" s="19"/>
      <c r="N21" s="61">
        <f>IF(F21=TRUE,3,0)</f>
        <v>0</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2</v>
      </c>
      <c r="AK21" s="61">
        <f>IF(AJ21=0,IF(COUNTIF($E$42:$E$49,AI21)&gt;0,-3,-1),AJ21)</f>
        <v>2</v>
      </c>
    </row>
    <row r="22" spans="1:37">
      <c r="A22" s="1" t="s">
        <v>21</v>
      </c>
      <c r="B22" t="str">
        <f>REPT("●",IFERROR(INDEX($P$26:$P$38,MATCH(tblCharDataAlice[[#This Row],[Field]],$E$26:$E$38,0)),0))&amp;REPT("○",IFERROR(INDEX($V$26:$V$38,MATCH(tblCharDataAlice[[#This Row],[Field]],$E$26:$E$38,0)),0))</f>
        <v>●●</v>
      </c>
      <c r="Y22" s="15" t="s">
        <v>1439</v>
      </c>
      <c r="Z22" s="61" t="str">
        <f>IFERROR(VLOOKUP(AA22,tblManoeuvre[],2,FALSE),"")</f>
        <v/>
      </c>
      <c r="AA22" s="61" t="str">
        <f t="shared" ref="AA22:AA41" si="3">_xlfn.LET(_xlpm.name,VLOOKUP(Y22,$E$2:$F$362,2,FALSE),_xlpm.paid,_xlfn.IFNA(VLOOKUP(_xlpm.name,$F$79:$Q$120,11,FALSE)&gt;=VLOOKUP(_xlpm.name,$F$79:$Q$120,12,FALSE),FALSE),IF(AND(_xlpm.name&lt;&gt;"",_xlpm.paid),_xlpm.name,""))</f>
        <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3</v>
      </c>
      <c r="AK22" s="61">
        <f>IF(AJ22=0,IF(COUNTIF($E$42:$E$49,AI22)&gt;0,-3,-1),AJ22)</f>
        <v>3</v>
      </c>
    </row>
    <row r="23" spans="1:37" ht="15.75" thickBot="1">
      <c r="A23" s="1" t="s">
        <v>22</v>
      </c>
      <c r="B23" t="str">
        <f>REPT("●",IFERROR(INDEX($P$26:$P$38,MATCH(tblCharDataAlice[[#This Row],[Field]],$E$26:$E$38,0)),0))&amp;REPT("○",IFERROR(INDEX($V$26:$V$38,MATCH(tblCharDataAlice[[#This Row],[Field]],$E$26:$E$38,0)),0))</f>
        <v>●●●</v>
      </c>
      <c r="D23" s="14" t="s">
        <v>1440</v>
      </c>
      <c r="E23" s="14"/>
      <c r="F23" s="14"/>
      <c r="G23" s="14"/>
      <c r="H23" s="14"/>
      <c r="I23" s="14"/>
      <c r="N23" s="60">
        <f>SUM(N26:N28,N31:N33,N36:N38)</f>
        <v>0</v>
      </c>
      <c r="Y23" s="15" t="s">
        <v>1441</v>
      </c>
      <c r="Z23" s="61" t="str">
        <f>IFERROR(VLOOKUP(AA23,tblManoeuvre[],2,FALSE),"")</f>
        <v/>
      </c>
      <c r="AA23" s="61" t="str">
        <f t="shared" si="3"/>
        <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0</v>
      </c>
      <c r="AK23" s="61">
        <f>IF(AJ23=0,VLOOKUP(AI23,$E$42:$Q$69,13,FALSE),AJ23)</f>
        <v>0</v>
      </c>
    </row>
    <row r="24" spans="1:37">
      <c r="A24" s="1" t="s">
        <v>23</v>
      </c>
      <c r="B24" t="str">
        <f>REPT("●",IFERROR(INDEX($P$26:$P$38,MATCH(tblCharDataAlice[[#This Row],[Field]],$E$26:$E$38,0)),0))&amp;REPT("○",IFERROR(INDEX($V$26:$V$38,MATCH(tblCharDataAlice[[#This Row],[Field]],$E$26:$E$38,0)),0))</f>
        <v>●●</v>
      </c>
      <c r="E24" s="15" t="s">
        <v>1442</v>
      </c>
      <c r="F24" s="3" t="s">
        <v>16</v>
      </c>
      <c r="Y24" s="15" t="s">
        <v>1443</v>
      </c>
      <c r="Z24" s="61" t="str">
        <f>IFERROR(VLOOKUP(AA24,tblManoeuvre[],2,FALSE),"")</f>
        <v/>
      </c>
      <c r="AA24" s="61" t="str">
        <f t="shared" si="3"/>
        <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7</v>
      </c>
      <c r="AK24" s="61">
        <f ca="1">AJ24</f>
        <v>7</v>
      </c>
    </row>
    <row r="25" spans="1:37">
      <c r="A25" s="1" t="s">
        <v>24</v>
      </c>
      <c r="B25" t="str">
        <f>REPT("●",IFERROR(INDEX($P$26:$P$38,MATCH(tblCharDataAlice[[#This Row],[Field]],$E$26:$E$38,0)),0))&amp;REPT("○",IFERROR(INDEX($V$26:$V$38,MATCH(tblCharDataAlice[[#This Row],[Field]],$E$26:$E$38,0)),0))</f>
        <v>●●</v>
      </c>
      <c r="D25" s="16" t="s">
        <v>1444</v>
      </c>
      <c r="E25" s="17"/>
      <c r="F25" s="17"/>
      <c r="G25" s="17" t="s">
        <v>1445</v>
      </c>
      <c r="H25" s="16" t="s">
        <v>1446</v>
      </c>
      <c r="I25" s="3" t="s">
        <v>1565</v>
      </c>
      <c r="L25" s="60">
        <f>IF(I25="",0,VLOOKUP(I25,tblPriority[#Data],2,FALSE))-SUM(L26:L28)</f>
        <v>0</v>
      </c>
      <c r="Y25" s="15" t="s">
        <v>1447</v>
      </c>
      <c r="Z25" s="61" t="str">
        <f>IFERROR(VLOOKUP(AA25,tblManoeuvre[],2,FALSE),"")</f>
        <v/>
      </c>
      <c r="AA25" s="61" t="str">
        <f t="shared" si="3"/>
        <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6</v>
      </c>
      <c r="AK25" s="61">
        <f>AJ25</f>
        <v>6</v>
      </c>
    </row>
    <row r="26" spans="1:37">
      <c r="A26" s="1" t="s">
        <v>25</v>
      </c>
      <c r="B26" t="str">
        <f>REPT("●",IFERROR(INDEX($P$42:$P$69,MATCH(tblCharDataAlice[[#This Row],[Field]],$E$42:$E$69,0)),0))&amp;REPT("○",IFERROR(INDEX($V$42:$V$69,MATCH(tblCharDataAlice[[#This Row],[Field]],$E$42:$E$69,0)),0))&amp;IF(IFERROR(INDEX($W$42:$W$69,MATCH(tblCharDataAlice[[#This Row],[Field]],$E$42:$E$69,0)),0)=1,"†","")</f>
        <v>●●</v>
      </c>
      <c r="D26" s="18"/>
      <c r="E26" s="15" t="s">
        <v>16</v>
      </c>
      <c r="F26" s="18"/>
      <c r="G26" s="3"/>
      <c r="H26" s="18"/>
      <c r="I26" s="18"/>
      <c r="L26" s="3">
        <v>2</v>
      </c>
      <c r="M26" s="60">
        <f>IF(E26=$F$24,2,1)</f>
        <v>2</v>
      </c>
      <c r="N26" s="3"/>
      <c r="O26" s="61">
        <f>ROUNDDOWN(N26/4,0)</f>
        <v>0</v>
      </c>
      <c r="P26" s="60">
        <f>MIN(SUM(L26,M26,O26),R26)</f>
        <v>4</v>
      </c>
      <c r="R26" s="61">
        <v>5</v>
      </c>
      <c r="U26" s="4"/>
      <c r="V26" s="61">
        <f>U26</f>
        <v>0</v>
      </c>
      <c r="Y26" s="15" t="s">
        <v>1449</v>
      </c>
      <c r="Z26" s="61" t="str">
        <f>IFERROR(VLOOKUP(AA26,tblManoeuvre[],2,FALSE),"")</f>
        <v/>
      </c>
      <c r="AA26" s="61" t="str">
        <f t="shared" si="3"/>
        <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4</v>
      </c>
      <c r="AK26" s="61">
        <f>AJ26+IFERROR(INDEX($V$26:$V$38,MATCH(AI26,$E$26:$E$38,0)),0)</f>
        <v>4</v>
      </c>
    </row>
    <row r="27" spans="1:37">
      <c r="A27" s="1" t="s">
        <v>26</v>
      </c>
      <c r="B27" t="str">
        <f>REPT("●",IFERROR(INDEX($P$42:$P$69,MATCH(tblCharDataAlice[[#This Row],[Field]],$E$42:$E$69,0)),0))&amp;REPT("○",IFERROR(INDEX($V$42:$V$69,MATCH(tblCharDataAlice[[#This Row],[Field]],$E$42:$E$69,0)),0))&amp;IF(IFERROR(INDEX($W$42:$W$69,MATCH(tblCharDataAlice[[#This Row],[Field]],$E$42:$E$69,0)),0)=1,"†","")</f>
        <v>●●●</v>
      </c>
      <c r="D27" s="18"/>
      <c r="E27" s="15" t="s">
        <v>17</v>
      </c>
      <c r="F27" s="18"/>
      <c r="G27" s="3"/>
      <c r="H27" s="18"/>
      <c r="I27" s="18"/>
      <c r="L27" s="3">
        <v>2</v>
      </c>
      <c r="M27" s="60">
        <f>IF(E27=$F$24,2,1)</f>
        <v>1</v>
      </c>
      <c r="N27" s="3"/>
      <c r="O27" s="61">
        <f>ROUNDDOWN(N27/4,0)</f>
        <v>0</v>
      </c>
      <c r="P27" s="60">
        <f>MIN(SUM(L27,M27,O27),R27)</f>
        <v>3</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0</v>
      </c>
      <c r="AK27" s="61">
        <f>IF(AJ27=0,IF(COUNTIF($E$42:$E$49,AI27)&gt;0,-3,-1),AJ27)</f>
        <v>-1</v>
      </c>
    </row>
    <row r="28" spans="1:37">
      <c r="A28" s="1" t="s">
        <v>27</v>
      </c>
      <c r="B28" t="str">
        <f>REPT("●",IFERROR(INDEX($P$42:$P$69,MATCH(tblCharDataAlice[[#This Row],[Field]],$E$42:$E$69,0)),0))&amp;REPT("○",IFERROR(INDEX($V$42:$V$69,MATCH(tblCharDataAlice[[#This Row],[Field]],$E$42:$E$69,0)),0))&amp;IF(IFERROR(INDEX($W$42:$W$69,MATCH(tblCharDataAlice[[#This Row],[Field]],$E$42:$E$69,0)),0)=1,"†","")</f>
        <v/>
      </c>
      <c r="D28" s="18"/>
      <c r="E28" s="15" t="s">
        <v>18</v>
      </c>
      <c r="F28" s="18"/>
      <c r="G28" s="3"/>
      <c r="H28" s="18"/>
      <c r="I28" s="18"/>
      <c r="L28" s="3">
        <v>1</v>
      </c>
      <c r="M28" s="60">
        <f>IF(E28=$F$24,2,1)</f>
        <v>1</v>
      </c>
      <c r="N28" s="3"/>
      <c r="O28" s="61">
        <f>ROUNDDOWN(N28/4,0)</f>
        <v>0</v>
      </c>
      <c r="P28" s="60">
        <f>MIN(SUM(L28,M28,O28),R28)</f>
        <v>2</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3</v>
      </c>
      <c r="AK28" s="61">
        <f>IF(AJ28=0,IF(COUNTIF($E$42:$E$49,AI28)&gt;0,-3,-1),AJ28)</f>
        <v>3</v>
      </c>
    </row>
    <row r="29" spans="1:37">
      <c r="A29" s="1" t="s">
        <v>28</v>
      </c>
      <c r="B29" t="str">
        <f>REPT("●",IFERROR(INDEX($P$42:$P$69,MATCH(tblCharDataAlice[[#This Row],[Field]],$E$42:$E$69,0)),0))&amp;REPT("○",IFERROR(INDEX($V$42:$V$69,MATCH(tblCharDataAlice[[#This Row],[Field]],$E$42:$E$69,0)),0))&amp;IF(IFERROR(INDEX($W$42:$W$69,MATCH(tblCharDataAlice[[#This Row],[Field]],$E$42:$E$69,0)),0)=1,"†","")</f>
        <v>●●●</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2</v>
      </c>
      <c r="AK29" s="61">
        <f>IF(AJ29=0,IF(COUNTIF($E$42:$E$49,AI29)&gt;0,-3,-1),AJ29)</f>
        <v>2</v>
      </c>
    </row>
    <row r="30" spans="1:37">
      <c r="A30" s="1" t="s">
        <v>29</v>
      </c>
      <c r="B30" t="str">
        <f>REPT("●",IFERROR(INDEX($P$42:$P$69,MATCH(tblCharDataAlice[[#This Row],[Field]],$E$42:$E$69,0)),0))&amp;REPT("○",IFERROR(INDEX($V$42:$V$69,MATCH(tblCharDataAlice[[#This Row],[Field]],$E$42:$E$69,0)),0))&amp;IF(IFERROR(INDEX($W$42:$W$69,MATCH(tblCharDataAlice[[#This Row],[Field]],$E$42:$E$69,0)),0)=1,"†","")</f>
        <v/>
      </c>
      <c r="D30" s="16" t="s">
        <v>1453</v>
      </c>
      <c r="E30" s="17"/>
      <c r="F30" s="17"/>
      <c r="G30" s="17" t="s">
        <v>1445</v>
      </c>
      <c r="H30" s="16" t="s">
        <v>1446</v>
      </c>
      <c r="I30" s="3" t="s">
        <v>1566</v>
      </c>
      <c r="L30" s="60">
        <f>IF(I30="",0,VLOOKUP(I30,tblPriority[#Data],2,FALSE))-SUM(L31:L33)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0</v>
      </c>
      <c r="AK30" s="61">
        <f>AJ30</f>
        <v>0</v>
      </c>
    </row>
    <row r="31" spans="1:37">
      <c r="A31" s="1" t="s">
        <v>30</v>
      </c>
      <c r="B31" t="str">
        <f>REPT("●",IFERROR(INDEX($P$42:$P$69,MATCH(tblCharDataAlice[[#This Row],[Field]],$E$42:$E$69,0)),0))&amp;REPT("○",IFERROR(INDEX($V$42:$V$69,MATCH(tblCharDataAlice[[#This Row],[Field]],$E$42:$E$69,0)),0))&amp;IF(IFERROR(INDEX($W$42:$W$69,MATCH(tblCharDataAlice[[#This Row],[Field]],$E$42:$E$69,0)),0)=1,"†","")</f>
        <v>●●●</v>
      </c>
      <c r="D31" s="18"/>
      <c r="E31" s="15" t="s">
        <v>19</v>
      </c>
      <c r="F31" s="18"/>
      <c r="G31" s="3"/>
      <c r="H31" s="18"/>
      <c r="I31" s="18"/>
      <c r="L31" s="3"/>
      <c r="M31" s="60">
        <f>IF(E31=$F$24,2,1)</f>
        <v>1</v>
      </c>
      <c r="N31" s="3"/>
      <c r="O31" s="61">
        <f>ROUNDDOWN(N31/4,0)</f>
        <v>0</v>
      </c>
      <c r="P31" s="60">
        <f>MIN(SUM(L31,M31,O31),R31)</f>
        <v>1</v>
      </c>
      <c r="R31" s="61">
        <v>5</v>
      </c>
      <c r="U31" s="4"/>
      <c r="V31" s="61">
        <f>$P$174+U31</f>
        <v>0</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2</v>
      </c>
      <c r="AK31" s="61">
        <f>AJ31+IFERROR(INDEX($V$26:$V$38,MATCH(AI31,$E$26:$E$38,0)),0)</f>
        <v>2</v>
      </c>
    </row>
    <row r="32" spans="1:37">
      <c r="A32" s="1" t="s">
        <v>31</v>
      </c>
      <c r="B32" t="str">
        <f>REPT("●",IFERROR(INDEX($P$42:$P$69,MATCH(tblCharDataAlice[[#This Row],[Field]],$E$42:$E$69,0)),0))&amp;REPT("○",IFERROR(INDEX($V$42:$V$69,MATCH(tblCharDataAlice[[#This Row],[Field]],$E$42:$E$69,0)),0))&amp;IF(IFERROR(INDEX($W$42:$W$69,MATCH(tblCharDataAlice[[#This Row],[Field]],$E$42:$E$69,0)),0)=1,"†","")</f>
        <v/>
      </c>
      <c r="D32" s="18"/>
      <c r="E32" s="15" t="s">
        <v>20</v>
      </c>
      <c r="F32" s="18"/>
      <c r="G32" s="3"/>
      <c r="H32" s="18"/>
      <c r="I32" s="18"/>
      <c r="L32" s="3">
        <v>2</v>
      </c>
      <c r="M32" s="60">
        <f>IF(E32=$F$24,2,1)</f>
        <v>1</v>
      </c>
      <c r="N32" s="3"/>
      <c r="O32" s="61">
        <f>ROUNDDOWN(N32/4,0)</f>
        <v>0</v>
      </c>
      <c r="P32" s="60">
        <f>MIN(SUM(L32,M32,O32),R32)</f>
        <v>3</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REPT("●",IFERROR(INDEX($P$42:$P$69,MATCH(tblCharDataAlice[[#This Row],[Field]],$E$42:$E$69,0)),0))&amp;REPT("○",IFERROR(INDEX($V$42:$V$69,MATCH(tblCharDataAlice[[#This Row],[Field]],$E$42:$E$69,0)),0))&amp;IF(IFERROR(INDEX($W$42:$W$69,MATCH(tblCharDataAlice[[#This Row],[Field]],$E$42:$E$69,0)),0)=1,"†","")</f>
        <v/>
      </c>
      <c r="D33" s="18"/>
      <c r="E33" s="15" t="s">
        <v>21</v>
      </c>
      <c r="F33" s="18"/>
      <c r="G33" s="3"/>
      <c r="H33" s="18"/>
      <c r="I33" s="18"/>
      <c r="L33" s="3">
        <v>1</v>
      </c>
      <c r="M33" s="60">
        <f>IF(E33=$F$24,2,1)</f>
        <v>1</v>
      </c>
      <c r="N33" s="3"/>
      <c r="O33" s="61">
        <f>ROUNDDOWN(N33/4,0)</f>
        <v>0</v>
      </c>
      <c r="P33" s="60">
        <f>MIN(SUM(L33,M33,O33),R33)</f>
        <v>2</v>
      </c>
      <c r="R33" s="61">
        <v>5</v>
      </c>
      <c r="U33" s="4"/>
      <c r="V33" s="61">
        <f>$P$173+U33</f>
        <v>0</v>
      </c>
      <c r="Y33" s="15" t="s">
        <v>1457</v>
      </c>
      <c r="Z33" s="61" t="str">
        <f>IFERROR(VLOOKUP(AA33,tblManoeuvre[],2,FALSE),"")</f>
        <v/>
      </c>
      <c r="AA33" s="61" t="str">
        <f t="shared" si="3"/>
        <v/>
      </c>
      <c r="AI33" s="15" t="s">
        <v>241</v>
      </c>
      <c r="AJ33" s="61">
        <f t="shared" si="1"/>
        <v>0</v>
      </c>
      <c r="AK33" s="61">
        <f>AJ33</f>
        <v>0</v>
      </c>
    </row>
    <row r="34" spans="1:37">
      <c r="A34" s="1" t="s">
        <v>33</v>
      </c>
      <c r="B34" t="str">
        <f>REPT("●",IFERROR(INDEX($P$42:$P$69,MATCH(tblCharDataAlice[[#This Row],[Field]],$E$42:$E$69,0)),0))&amp;REPT("○",IFERROR(INDEX($V$42:$V$69,MATCH(tblCharDataAlice[[#This Row],[Field]],$E$42:$E$69,0)),0))&amp;IF(IFERROR(INDEX($W$42:$W$69,MATCH(tblCharDataAlice[[#This Row],[Field]],$E$42:$E$69,0)),0)=1,"†","")</f>
        <v/>
      </c>
      <c r="Y34" s="15" t="s">
        <v>1458</v>
      </c>
      <c r="Z34" s="61" t="str">
        <f>IFERROR(VLOOKUP(AA34,tblManoeuvre[],2,FALSE),"")</f>
        <v/>
      </c>
      <c r="AA34" s="61" t="str">
        <f t="shared" si="3"/>
        <v/>
      </c>
      <c r="AI34" s="15" t="s">
        <v>242</v>
      </c>
      <c r="AJ34" s="61">
        <f t="shared" ref="AJ34:AJ58" si="4">VLOOKUP(AI34,$E$3:$P$221,12,FALSE)</f>
        <v>3</v>
      </c>
      <c r="AK34" s="61">
        <f>AJ34</f>
        <v>3</v>
      </c>
    </row>
    <row r="35" spans="1:37">
      <c r="A35" s="1" t="s">
        <v>34</v>
      </c>
      <c r="B35" t="str">
        <f>REPT("●",IFERROR(INDEX($P$42:$P$69,MATCH(tblCharDataAlice[[#This Row],[Field]],$E$42:$E$69,0)),0))&amp;REPT("○",IFERROR(INDEX($V$42:$V$69,MATCH(tblCharDataAlice[[#This Row],[Field]],$E$42:$E$69,0)),0))&amp;IF(IFERROR(INDEX($W$42:$W$69,MATCH(tblCharDataAlice[[#This Row],[Field]],$E$42:$E$69,0)),0)=1,"†","")</f>
        <v/>
      </c>
      <c r="D35" s="16" t="s">
        <v>1459</v>
      </c>
      <c r="E35" s="17"/>
      <c r="F35" s="17"/>
      <c r="G35" s="17" t="s">
        <v>1445</v>
      </c>
      <c r="H35" s="16" t="s">
        <v>1446</v>
      </c>
      <c r="I35" s="3" t="s">
        <v>1567</v>
      </c>
      <c r="L35" s="60">
        <f>IF(I35="",0,VLOOKUP(I35,tblPriority[#Data],2,FALSE))-SUM(L36:L38)</f>
        <v>0</v>
      </c>
      <c r="Y35" s="15" t="s">
        <v>1460</v>
      </c>
      <c r="Z35" s="61" t="str">
        <f>IFERROR(VLOOKUP(AA35,tblManoeuvre[],2,FALSE),"")</f>
        <v/>
      </c>
      <c r="AA35" s="61" t="str">
        <f t="shared" si="3"/>
        <v/>
      </c>
      <c r="AI35" s="15" t="s">
        <v>30</v>
      </c>
      <c r="AJ35" s="61">
        <f t="shared" si="4"/>
        <v>3</v>
      </c>
      <c r="AK35" s="61">
        <f>IF(AJ35=0,IF(COUNTIF($E$42:$E$49,AI35)&gt;0,-3,-1),AJ35)</f>
        <v>3</v>
      </c>
    </row>
    <row r="36" spans="1:37">
      <c r="A36" s="1" t="s">
        <v>35</v>
      </c>
      <c r="B36" t="str">
        <f>REPT("●",IFERROR(INDEX($P$42:$P$69,MATCH(tblCharDataAlice[[#This Row],[Field]],$E$42:$E$69,0)),0))&amp;REPT("○",IFERROR(INDEX($V$42:$V$69,MATCH(tblCharDataAlice[[#This Row],[Field]],$E$42:$E$69,0)),0))&amp;IF(IFERROR(INDEX($W$42:$W$69,MATCH(tblCharDataAlice[[#This Row],[Field]],$E$42:$E$69,0)),0)=1,"†","")</f>
        <v/>
      </c>
      <c r="D36" s="18"/>
      <c r="E36" s="15" t="s">
        <v>22</v>
      </c>
      <c r="F36" s="18"/>
      <c r="G36" s="3"/>
      <c r="H36" s="18"/>
      <c r="I36" s="18"/>
      <c r="L36" s="3">
        <v>2</v>
      </c>
      <c r="M36" s="60">
        <f>IF(E36=$F$24,2,1)</f>
        <v>1</v>
      </c>
      <c r="N36" s="3"/>
      <c r="O36" s="61">
        <f>ROUNDDOWN(N36/4,0)</f>
        <v>0</v>
      </c>
      <c r="P36" s="60">
        <f>MIN(SUM(L36,M36,O36),R36)</f>
        <v>3</v>
      </c>
      <c r="R36" s="61">
        <v>5</v>
      </c>
      <c r="U36" s="4"/>
      <c r="V36" s="61">
        <f>U36</f>
        <v>0</v>
      </c>
      <c r="Y36" s="15" t="s">
        <v>1461</v>
      </c>
      <c r="Z36" s="61" t="str">
        <f>IFERROR(VLOOKUP(AA36,tblManoeuvre[],2,FALSE),"")</f>
        <v/>
      </c>
      <c r="AA36" s="61" t="str">
        <f t="shared" si="3"/>
        <v/>
      </c>
      <c r="AI36" s="15" t="s">
        <v>45</v>
      </c>
      <c r="AJ36" s="61">
        <f t="shared" si="4"/>
        <v>0</v>
      </c>
      <c r="AK36" s="61">
        <f>IF(AJ36=0,IF(COUNTIF($E$42:$E$49,AI36)&gt;0,-3,-1),AJ36)</f>
        <v>-1</v>
      </c>
    </row>
    <row r="37" spans="1:37">
      <c r="A37" s="1" t="s">
        <v>36</v>
      </c>
      <c r="B37" t="str">
        <f>REPT("●",IFERROR(INDEX($P$42:$P$69,MATCH(tblCharDataAlice[[#This Row],[Field]],$E$42:$E$69,0)),0))&amp;REPT("○",IFERROR(INDEX($V$42:$V$69,MATCH(tblCharDataAlice[[#This Row],[Field]],$E$42:$E$69,0)),0))&amp;IF(IFERROR(INDEX($W$42:$W$69,MATCH(tblCharDataAlice[[#This Row],[Field]],$E$42:$E$69,0)),0)=1,"†","")</f>
        <v/>
      </c>
      <c r="D37" s="18"/>
      <c r="E37" s="15" t="s">
        <v>23</v>
      </c>
      <c r="F37" s="18"/>
      <c r="G37" s="3"/>
      <c r="H37" s="18"/>
      <c r="I37" s="18"/>
      <c r="L37" s="3">
        <v>1</v>
      </c>
      <c r="M37" s="60">
        <f>IF(E37=$F$24,2,1)</f>
        <v>1</v>
      </c>
      <c r="N37" s="3"/>
      <c r="O37" s="61">
        <f>ROUNDDOWN(N37/4,0)</f>
        <v>0</v>
      </c>
      <c r="P37" s="60">
        <f>MIN(SUM(L37,M37,O37),R37)</f>
        <v>2</v>
      </c>
      <c r="R37" s="61">
        <v>5</v>
      </c>
      <c r="U37" s="4"/>
      <c r="V37" s="61">
        <f>U37</f>
        <v>0</v>
      </c>
      <c r="Y37" s="15" t="s">
        <v>1462</v>
      </c>
      <c r="Z37" s="61" t="str">
        <f>IFERROR(VLOOKUP(AA37,tblManoeuvre[],2,FALSE),"")</f>
        <v/>
      </c>
      <c r="AA37" s="61" t="str">
        <f t="shared" si="3"/>
        <v/>
      </c>
      <c r="AI37" s="15" t="s">
        <v>31</v>
      </c>
      <c r="AJ37" s="61">
        <f t="shared" si="4"/>
        <v>0</v>
      </c>
      <c r="AK37" s="61">
        <f>IF(AJ37=0,IF(COUNTIF($E$42:$E$49,AI37)&gt;0,-3,-1),AJ37)</f>
        <v>-3</v>
      </c>
    </row>
    <row r="38" spans="1:37">
      <c r="A38" s="1" t="s">
        <v>37</v>
      </c>
      <c r="B38" t="str">
        <f>REPT("●",IFERROR(INDEX($P$42:$P$69,MATCH(tblCharDataAlice[[#This Row],[Field]],$E$42:$E$69,0)),0))&amp;REPT("○",IFERROR(INDEX($V$42:$V$69,MATCH(tblCharDataAlice[[#This Row],[Field]],$E$42:$E$69,0)),0))&amp;IF(IFERROR(INDEX($W$42:$W$69,MATCH(tblCharDataAlice[[#This Row],[Field]],$E$42:$E$69,0)),0)=1,"†","")</f>
        <v>●●</v>
      </c>
      <c r="D38" s="18"/>
      <c r="E38" s="15" t="s">
        <v>24</v>
      </c>
      <c r="F38" s="18"/>
      <c r="G38" s="3"/>
      <c r="H38" s="18"/>
      <c r="I38" s="18"/>
      <c r="L38" s="3">
        <v>1</v>
      </c>
      <c r="M38" s="60">
        <f>IF(E38=$F$24,2,1)</f>
        <v>1</v>
      </c>
      <c r="N38" s="3"/>
      <c r="O38" s="61">
        <f>ROUNDDOWN(N38/4,0)</f>
        <v>0</v>
      </c>
      <c r="P38" s="60">
        <f>MIN(SUM(L38,M38,O38),R38)</f>
        <v>2</v>
      </c>
      <c r="R38" s="61">
        <v>5</v>
      </c>
      <c r="U38" s="4"/>
      <c r="V38" s="61">
        <f>U38</f>
        <v>0</v>
      </c>
      <c r="Y38" s="15" t="s">
        <v>1463</v>
      </c>
      <c r="Z38" s="61" t="str">
        <f>IFERROR(VLOOKUP(AA38,tblManoeuvre[],2,FALSE),"")</f>
        <v/>
      </c>
      <c r="AA38" s="61" t="str">
        <f t="shared" si="3"/>
        <v/>
      </c>
      <c r="AI38" s="15" t="s">
        <v>22</v>
      </c>
      <c r="AJ38" s="61">
        <f t="shared" si="4"/>
        <v>3</v>
      </c>
      <c r="AK38" s="61">
        <f>AJ38+IFERROR(INDEX($V$26:$V$38,MATCH(AI38,$E$26:$E$38,0)),0)</f>
        <v>3</v>
      </c>
    </row>
    <row r="39" spans="1:37">
      <c r="A39" s="1" t="s">
        <v>38</v>
      </c>
      <c r="B39" t="str">
        <f>REPT("●",IFERROR(INDEX($P$42:$P$69,MATCH(tblCharDataAlice[[#This Row],[Field]],$E$42:$E$69,0)),0))&amp;REPT("○",IFERROR(INDEX($V$42:$V$69,MATCH(tblCharDataAlice[[#This Row],[Field]],$E$42:$E$69,0)),0))&amp;IF(IFERROR(INDEX($W$42:$W$69,MATCH(tblCharDataAlice[[#This Row],[Field]],$E$42:$E$69,0)),0)=1,"†","")</f>
        <v>●●</v>
      </c>
      <c r="Y39" s="15" t="s">
        <v>1464</v>
      </c>
      <c r="Z39" s="61" t="str">
        <f>IFERROR(VLOOKUP(AA39,tblManoeuvre[],2,FALSE),"")</f>
        <v/>
      </c>
      <c r="AA39" s="61" t="str">
        <f t="shared" si="3"/>
        <v/>
      </c>
      <c r="AI39" s="15" t="s">
        <v>243</v>
      </c>
      <c r="AJ39" s="61">
        <f t="shared" si="4"/>
        <v>0</v>
      </c>
      <c r="AK39" s="61">
        <f>AJ39</f>
        <v>0</v>
      </c>
    </row>
    <row r="40" spans="1:37" ht="15.75" thickBot="1">
      <c r="A40" s="1" t="s">
        <v>39</v>
      </c>
      <c r="B40" t="str">
        <f>REPT("●",IFERROR(INDEX($P$42:$P$69,MATCH(tblCharDataAlice[[#This Row],[Field]],$E$42:$E$69,0)),0))&amp;REPT("○",IFERROR(INDEX($V$42:$V$69,MATCH(tblCharDataAlice[[#This Row],[Field]],$E$42:$E$69,0)),0))&amp;IF(IFERROR(INDEX($W$42:$W$69,MATCH(tblCharDataAlice[[#This Row],[Field]],$E$42:$E$69,0)),0)=1,"†","")</f>
        <v/>
      </c>
      <c r="D40" s="14" t="s">
        <v>1465</v>
      </c>
      <c r="E40" s="14"/>
      <c r="F40" s="14"/>
      <c r="G40" s="14"/>
      <c r="H40" s="14"/>
      <c r="I40" s="14"/>
      <c r="N40" s="60">
        <f>SUM(N42:N49,N52:N59,N62:N69)</f>
        <v>0</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4"/>
        <v>1</v>
      </c>
      <c r="AK40" s="61">
        <f>AJ40</f>
        <v>1</v>
      </c>
    </row>
    <row r="41" spans="1:37">
      <c r="A41" s="1" t="s">
        <v>40</v>
      </c>
      <c r="B41" t="str">
        <f>REPT("●",IFERROR(INDEX($P$42:$P$69,MATCH(tblCharDataAlice[[#This Row],[Field]],$E$42:$E$69,0)),0))&amp;REPT("○",IFERROR(INDEX($V$42:$V$69,MATCH(tblCharDataAlice[[#This Row],[Field]],$E$42:$E$69,0)),0))&amp;IF(IFERROR(INDEX($W$42:$W$69,MATCH(tblCharDataAlice[[#This Row],[Field]],$E$42:$E$69,0)),0)=1,"†","")</f>
        <v/>
      </c>
      <c r="D41" s="16" t="s">
        <v>1444</v>
      </c>
      <c r="E41" s="17"/>
      <c r="F41" s="17"/>
      <c r="G41" s="17" t="s">
        <v>1467</v>
      </c>
      <c r="H41" s="16" t="s">
        <v>1446</v>
      </c>
      <c r="I41" s="3" t="s">
        <v>1565</v>
      </c>
      <c r="L41" s="60">
        <f>IF(I41="",0,VLOOKUP(I41,tblPriority[],3,FALSE))-SUM(L42:L49)</f>
        <v>0</v>
      </c>
      <c r="T41" s="60">
        <f>MAX(3+IF(P161&gt;=3,2,0)-SUM(T42:T49,T52:T59,T62:T69),0)</f>
        <v>0</v>
      </c>
      <c r="Y41" s="15" t="s">
        <v>1468</v>
      </c>
      <c r="Z41" s="61" t="str">
        <f>IFERROR(VLOOKUP(AA41,tblManoeuvre[],2,FALSE),"")</f>
        <v/>
      </c>
      <c r="AA41" s="61" t="str">
        <f t="shared" si="3"/>
        <v/>
      </c>
      <c r="AI41" s="15" t="s">
        <v>244</v>
      </c>
      <c r="AJ41" s="61">
        <f t="shared" si="4"/>
        <v>0</v>
      </c>
      <c r="AK41" s="61">
        <f>AJ41</f>
        <v>0</v>
      </c>
    </row>
    <row r="42" spans="1:37">
      <c r="A42" s="1" t="s">
        <v>41</v>
      </c>
      <c r="B42" t="str">
        <f>REPT("●",IFERROR(INDEX($P$42:$P$69,MATCH(tblCharDataAlice[[#This Row],[Field]],$E$42:$E$69,0)),0))&amp;REPT("○",IFERROR(INDEX($V$42:$V$69,MATCH(tblCharDataAlice[[#This Row],[Field]],$E$42:$E$69,0)),0))&amp;IF(IFERROR(INDEX($W$42:$W$69,MATCH(tblCharDataAlice[[#This Row],[Field]],$E$42:$E$69,0)),0)=1,"†","")</f>
        <v/>
      </c>
      <c r="D42" s="18"/>
      <c r="E42" s="15" t="s">
        <v>25</v>
      </c>
      <c r="F42" s="18"/>
      <c r="G42" s="3" t="s">
        <v>390</v>
      </c>
      <c r="H42" s="18"/>
      <c r="I42" s="18"/>
      <c r="L42" s="4">
        <v>2</v>
      </c>
      <c r="M42" s="60"/>
      <c r="N42" s="4"/>
      <c r="O42" s="61">
        <f>ROUNDDOWN(N42/2,0)</f>
        <v>0</v>
      </c>
      <c r="P42" s="60">
        <f t="shared" ref="P42:P49" si="5">MIN(SUM(L42,M42,O42),R42)</f>
        <v>2</v>
      </c>
      <c r="R42" s="61">
        <v>5</v>
      </c>
      <c r="T42" s="4">
        <v>1</v>
      </c>
      <c r="U42" s="4"/>
      <c r="V42" s="61">
        <f t="shared" ref="V42:V49" si="6">U42</f>
        <v>0</v>
      </c>
      <c r="W42" s="4"/>
      <c r="AI42" s="15" t="s">
        <v>18</v>
      </c>
      <c r="AJ42" s="61">
        <f t="shared" si="4"/>
        <v>2</v>
      </c>
      <c r="AK42" s="61">
        <f>AJ42+IFERROR(INDEX($V$26:$V$38,MATCH(AI42,$E$26:$E$38,0)),0)</f>
        <v>2</v>
      </c>
    </row>
    <row r="43" spans="1:37">
      <c r="A43" s="1" t="s">
        <v>42</v>
      </c>
      <c r="B43" t="str">
        <f>REPT("●",IFERROR(INDEX($P$42:$P$69,MATCH(tblCharDataAlice[[#This Row],[Field]],$E$42:$E$69,0)),0))&amp;REPT("○",IFERROR(INDEX($V$42:$V$69,MATCH(tblCharDataAlice[[#This Row],[Field]],$E$42:$E$69,0)),0))&amp;IF(IFERROR(INDEX($W$42:$W$69,MATCH(tblCharDataAlice[[#This Row],[Field]],$E$42:$E$69,0)),0)=1,"†","")</f>
        <v>●●</v>
      </c>
      <c r="D43" s="18"/>
      <c r="E43" s="15" t="s">
        <v>26</v>
      </c>
      <c r="F43" s="18"/>
      <c r="G43" s="3" t="s">
        <v>391</v>
      </c>
      <c r="H43" s="18"/>
      <c r="I43" s="18"/>
      <c r="L43" s="4">
        <v>3</v>
      </c>
      <c r="M43" s="60"/>
      <c r="N43" s="4"/>
      <c r="O43" s="61">
        <f t="shared" ref="O43:O49" si="7">ROUNDDOWN(N43/2,0)</f>
        <v>0</v>
      </c>
      <c r="P43" s="60">
        <f t="shared" si="5"/>
        <v>3</v>
      </c>
      <c r="R43" s="61">
        <v>5</v>
      </c>
      <c r="T43" s="4">
        <v>1</v>
      </c>
      <c r="U43" s="4"/>
      <c r="V43" s="61">
        <f t="shared" si="6"/>
        <v>0</v>
      </c>
      <c r="W43" s="4"/>
      <c r="AI43" s="15" t="s">
        <v>32</v>
      </c>
      <c r="AJ43" s="61">
        <f t="shared" si="4"/>
        <v>0</v>
      </c>
      <c r="AK43" s="61">
        <f>IF(AJ43=0,IF(COUNTIF($E$42:$E$49,AI43)&gt;0,-3,-1),AJ43)</f>
        <v>-3</v>
      </c>
    </row>
    <row r="44" spans="1:37">
      <c r="A44" s="1" t="s">
        <v>43</v>
      </c>
      <c r="B44" t="str">
        <f>REPT("●",IFERROR(INDEX($P$42:$P$69,MATCH(tblCharDataAlice[[#This Row],[Field]],$E$42:$E$69,0)),0))&amp;REPT("○",IFERROR(INDEX($V$42:$V$69,MATCH(tblCharDataAlice[[#This Row],[Field]],$E$42:$E$69,0)),0))&amp;IF(IFERROR(INDEX($W$42:$W$69,MATCH(tblCharDataAlice[[#This Row],[Field]],$E$42:$E$69,0)),0)=1,"†","")</f>
        <v>●●●</v>
      </c>
      <c r="D44" s="18"/>
      <c r="E44" s="15" t="s">
        <v>27</v>
      </c>
      <c r="F44" s="18"/>
      <c r="G44" s="3"/>
      <c r="H44" s="18"/>
      <c r="I44" s="18"/>
      <c r="L44" s="4"/>
      <c r="M44" s="60"/>
      <c r="N44" s="4"/>
      <c r="O44" s="61">
        <f t="shared" si="7"/>
        <v>0</v>
      </c>
      <c r="P44" s="60">
        <f t="shared" si="5"/>
        <v>0</v>
      </c>
      <c r="R44" s="61">
        <v>5</v>
      </c>
      <c r="T44" s="4"/>
      <c r="U44" s="4"/>
      <c r="V44" s="61">
        <f t="shared" si="6"/>
        <v>0</v>
      </c>
      <c r="W44" s="4"/>
      <c r="Y44" s="15">
        <v>1</v>
      </c>
      <c r="Z44" s="61" t="s">
        <v>236</v>
      </c>
      <c r="AA44" s="60" t="str" cm="1">
        <f t="array" ref="AA44">IF(OR(Y44=0,Y44=""),"",IF(VLOOKUP(Z44,$AI$1:$AJ$58,2,FALSE)&gt;=Y44,INDEX(tblDisciplines[Name],MATCH(1,(tblDisciplines[Discipline]=Z44)*(tblDisciplines[Rank]=Y44),0)),""))</f>
        <v/>
      </c>
      <c r="AC44" s="60" t="str" cm="1">
        <f t="array" ref="AC44:AC52">IFERROR(_xlfn.VSTACK(IFERROR(_xlfn._xlws.FILTER(AA44:AA121,AA44:AA121&lt;&gt;""),""),IFERROR(_xlfn._xlws.SORT(_xlfn._xlws.FILTER(AA123:AA132,AA123:AA132&lt;&gt;"")),"")),"")</f>
        <v>Beast's Hackles</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Auspex ● | Beast's Hackles</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Free (1 V for Insight)  •  Pool: - - Composure &amp; Closed Book  •  Instant  •  Scene</v>
      </c>
      <c r="AF44" s="20" t="str">
        <f>IF(AC44="","",IFERROR(VLOOKUP(AC44,tblDisciplines[],12,FALSE),VLOOKUP(AC44,tblPacts[],5,FALSE)))</f>
        <v>Add Auspex dots to any rolls to resist surprise. Access to Tier 1 Auspex Insight questions.</v>
      </c>
      <c r="AI44" s="15" t="s">
        <v>353</v>
      </c>
      <c r="AJ44" s="61">
        <f t="shared" si="4"/>
        <v>5</v>
      </c>
      <c r="AK44" s="61">
        <f>AJ44</f>
        <v>5</v>
      </c>
    </row>
    <row r="45" spans="1:37">
      <c r="A45" s="1" t="s">
        <v>44</v>
      </c>
      <c r="B45" t="str">
        <f>REPT("●",IFERROR(INDEX($P$42:$P$69,MATCH(tblCharDataAlice[[#This Row],[Field]],$E$42:$E$69,0)),0))&amp;REPT("○",IFERROR(INDEX($V$42:$V$69,MATCH(tblCharDataAlice[[#This Row],[Field]],$E$42:$E$69,0)),0))&amp;IF(IFERROR(INDEX($W$42:$W$69,MATCH(tblCharDataAlice[[#This Row],[Field]],$E$42:$E$69,0)),0)=1,"†","")</f>
        <v/>
      </c>
      <c r="D45" s="18"/>
      <c r="E45" s="15" t="s">
        <v>28</v>
      </c>
      <c r="F45" s="18"/>
      <c r="G45" s="3"/>
      <c r="H45" s="18"/>
      <c r="I45" s="18"/>
      <c r="L45" s="4">
        <v>3</v>
      </c>
      <c r="M45" s="60"/>
      <c r="N45" s="4"/>
      <c r="O45" s="61">
        <f t="shared" si="7"/>
        <v>0</v>
      </c>
      <c r="P45" s="60">
        <f t="shared" si="5"/>
        <v>3</v>
      </c>
      <c r="R45" s="61">
        <v>5</v>
      </c>
      <c r="T45" s="4"/>
      <c r="U45" s="4"/>
      <c r="V45" s="61">
        <f t="shared" si="6"/>
        <v>0</v>
      </c>
      <c r="W45" s="4"/>
      <c r="Y45" s="15">
        <v>2</v>
      </c>
      <c r="Z45" s="61" t="s">
        <v>236</v>
      </c>
      <c r="AA45" s="60" t="str" cm="1">
        <f t="array" ref="AA45">IF(OR(Y45=0,Y45=""),"",IF(VLOOKUP(Z45,$AI$1:$AJ$58,2,FALSE)&gt;=Y45,INDEX(tblDisciplines[Name],MATCH(1,(tblDisciplines[Discipline]=Z45)*(tblDisciplines[Rank]=Y45),0)),""))</f>
        <v/>
      </c>
      <c r="AC45" s="60" t="str">
        <v>Celerity 1</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Celerity ●</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1 V per effect  •  Pool: -  •  Reflexive  •  1 turn</v>
      </c>
      <c r="AF45" s="20" t="str">
        <f>IF(AC45="","",IFERROR(VLOOKUP(AC45,tblDisciplines[],12,FALSE),VLOOKUP(AC45,tblPacts[],5,FALSE)))</f>
        <v>Persistent improved Defence or Dodge. Activate for supernatural speed benefits. Unnatural Grace: add Celerity dots as bonus dice to non-combat speed-based pools.</v>
      </c>
      <c r="AI45" s="15" t="s">
        <v>46</v>
      </c>
      <c r="AJ45" s="61">
        <f t="shared" si="4"/>
        <v>2</v>
      </c>
      <c r="AK45" s="61">
        <f>IF(AJ45=0,IF(COUNTIF($E$42:$E$49,AI45)&gt;0,-3,-1),AJ45)</f>
        <v>2</v>
      </c>
    </row>
    <row r="46" spans="1:37">
      <c r="A46" s="1" t="s">
        <v>45</v>
      </c>
      <c r="B46" t="str">
        <f>REPT("●",IFERROR(INDEX($P$42:$P$69,MATCH(tblCharDataAlice[[#This Row],[Field]],$E$42:$E$69,0)),0))&amp;REPT("○",IFERROR(INDEX($V$42:$V$69,MATCH(tblCharDataAlice[[#This Row],[Field]],$E$42:$E$69,0)),0))&amp;IF(IFERROR(INDEX($W$42:$W$69,MATCH(tblCharDataAlice[[#This Row],[Field]],$E$42:$E$69,0)),0)=1,"†","")</f>
        <v/>
      </c>
      <c r="D46" s="18"/>
      <c r="E46" s="15" t="s">
        <v>29</v>
      </c>
      <c r="F46" s="18"/>
      <c r="G46" s="3"/>
      <c r="H46" s="18"/>
      <c r="I46" s="18"/>
      <c r="L46" s="4"/>
      <c r="M46" s="60"/>
      <c r="N46" s="4"/>
      <c r="O46" s="61">
        <f t="shared" si="7"/>
        <v>0</v>
      </c>
      <c r="P46" s="60">
        <f t="shared" si="5"/>
        <v>0</v>
      </c>
      <c r="R46" s="61">
        <v>5</v>
      </c>
      <c r="T46" s="4"/>
      <c r="U46" s="4"/>
      <c r="V46" s="61">
        <f t="shared" si="6"/>
        <v>0</v>
      </c>
      <c r="W46" s="4"/>
      <c r="Y46" s="15">
        <v>3</v>
      </c>
      <c r="Z46" s="61" t="s">
        <v>236</v>
      </c>
      <c r="AA46" s="60" t="str" cm="1">
        <f t="array" ref="AA46">IF(OR(Y46=0,Y46=""),"",IF(VLOOKUP(Z46,$AI$1:$AJ$58,2,FALSE)&gt;=Y46,INDEX(tblDisciplines[Name],MATCH(1,(tblDisciplines[Discipline]=Z46)*(tblDisciplines[Rank]=Y46),0)),""))</f>
        <v/>
      </c>
      <c r="AC46" s="60" t="str">
        <v>Face in the Crowd</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Obfuscate ● | Face in the Crowd</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  •  Pool: -  •  Instant  •  Scene</v>
      </c>
      <c r="AF46" s="20" t="str">
        <f>IF(AC46="","",IFERROR(VLOOKUP(AC46,tblDisciplines[],12,FALSE),VLOOKUP(AC46,tblPacts[],5,FALSE)))</f>
        <v>Blend into surroundings, visible but unnoticeable. Predatory aura fully on or off. Leaving combat: Wits + Composure - Obfuscate to notice; auto Clash of Wills vs Auspex.</v>
      </c>
      <c r="AI46" s="15" t="s">
        <v>354</v>
      </c>
      <c r="AJ46" s="61">
        <f t="shared" ca="1" si="4"/>
        <v>9</v>
      </c>
      <c r="AK46" s="61">
        <f ca="1">AJ46</f>
        <v>9</v>
      </c>
    </row>
    <row r="47" spans="1:37">
      <c r="A47" s="1" t="s">
        <v>46</v>
      </c>
      <c r="B47" t="str">
        <f>REPT("●",IFERROR(INDEX($P$42:$P$69,MATCH(tblCharDataAlice[[#This Row],[Field]],$E$42:$E$69,0)),0))&amp;REPT("○",IFERROR(INDEX($V$42:$V$69,MATCH(tblCharDataAlice[[#This Row],[Field]],$E$42:$E$69,0)),0))&amp;IF(IFERROR(INDEX($W$42:$W$69,MATCH(tblCharDataAlice[[#This Row],[Field]],$E$42:$E$69,0)),0)=1,"†","")</f>
        <v>●●</v>
      </c>
      <c r="D47" s="18"/>
      <c r="E47" s="15" t="s">
        <v>30</v>
      </c>
      <c r="F47" s="18"/>
      <c r="G47" s="3"/>
      <c r="H47" s="18"/>
      <c r="I47" s="18"/>
      <c r="L47" s="4">
        <v>3</v>
      </c>
      <c r="M47" s="60"/>
      <c r="N47" s="4"/>
      <c r="O47" s="61">
        <f t="shared" si="7"/>
        <v>0</v>
      </c>
      <c r="P47" s="60">
        <f t="shared" si="5"/>
        <v>3</v>
      </c>
      <c r="R47" s="61">
        <v>5</v>
      </c>
      <c r="T47" s="4"/>
      <c r="U47" s="4"/>
      <c r="V47" s="61">
        <f t="shared" si="6"/>
        <v>0</v>
      </c>
      <c r="W47" s="4"/>
      <c r="Y47" s="15">
        <v>4</v>
      </c>
      <c r="Z47" s="61" t="s">
        <v>236</v>
      </c>
      <c r="AA47" s="60" t="str" cm="1">
        <f t="array" ref="AA47">IF(OR(Y47=0,Y47=""),"",IF(VLOOKUP(Z47,$AI$1:$AJ$58,2,FALSE)&gt;=Y47,INDEX(tblDisciplines[Name],MATCH(1,(tblDisciplines[Discipline]=Z47)*(tblDisciplines[Rank]=Y47),0)),""))</f>
        <v/>
      </c>
      <c r="AC47" s="60" t="str">
        <v>Touch of Shadow</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Obfuscate ●● | Touch of Shadow</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Cost: 1 V  •  Pool: 8  •  Instant  •  Scene</v>
      </c>
      <c r="AF47" s="20" t="str">
        <f>IF(AC47="","",IFERROR(VLOOKUP(AC47,tblDisciplines[],12,FALSE),VLOOKUP(AC47,tblPacts[],5,FALSE)))</f>
        <v>Cast Face in the Crowd on object or person. Free and unlimited duration on carried/worn objects if not drawing attention.</v>
      </c>
      <c r="AI47" s="15" t="s">
        <v>21</v>
      </c>
      <c r="AJ47" s="61">
        <f t="shared" si="4"/>
        <v>2</v>
      </c>
      <c r="AK47" s="61">
        <f>AJ47+IFERROR(INDEX($V$26:$V$38,MATCH(AI47,$E$26:$E$38,0)),0)</f>
        <v>2</v>
      </c>
    </row>
    <row r="48" spans="1:37">
      <c r="A48" s="1" t="s">
        <v>47</v>
      </c>
      <c r="B48" t="str">
        <f>REPT("●",IFERROR(INDEX($P$42:$P$69,MATCH(tblCharDataAlice[[#This Row],[Field]],$E$42:$E$69,0)),0))&amp;REPT("○",IFERROR(INDEX($V$42:$V$69,MATCH(tblCharDataAlice[[#This Row],[Field]],$E$42:$E$69,0)),0))&amp;IF(IFERROR(INDEX($W$42:$W$69,MATCH(tblCharDataAlice[[#This Row],[Field]],$E$42:$E$69,0)),0)=1,"†","")</f>
        <v/>
      </c>
      <c r="D48" s="18"/>
      <c r="E48" s="15" t="s">
        <v>31</v>
      </c>
      <c r="F48" s="18"/>
      <c r="G48" s="3"/>
      <c r="H48" s="18"/>
      <c r="I48" s="18"/>
      <c r="L48" s="4"/>
      <c r="M48" s="60"/>
      <c r="N48" s="4"/>
      <c r="O48" s="61">
        <f t="shared" si="7"/>
        <v>0</v>
      </c>
      <c r="P48" s="60">
        <f t="shared" si="5"/>
        <v>0</v>
      </c>
      <c r="R48" s="61">
        <v>5</v>
      </c>
      <c r="T48" s="4"/>
      <c r="U48" s="4"/>
      <c r="V48" s="61">
        <f t="shared" si="6"/>
        <v>0</v>
      </c>
      <c r="W48" s="4"/>
      <c r="Y48" s="15">
        <v>5</v>
      </c>
      <c r="Z48" s="61" t="s">
        <v>236</v>
      </c>
      <c r="AA48" s="60" t="str" cm="1">
        <f t="array" ref="AA48">IF(OR(Y48=0,Y48=""),"",IF(VLOOKUP(Z48,$AI$1:$AJ$58,2,FALSE)&gt;=Y48,INDEX(tblDisciplines[Name],MATCH(1,(tblDisciplines[Discipline]=Z48)*(tblDisciplines[Rank]=Y48),0)),""))</f>
        <v/>
      </c>
      <c r="AC48" s="60" t="str">
        <v>Cloak of Night</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Obfuscate ●●● | Cloak of Night</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Cost: 1 V  •  Pool: -  •  None</v>
      </c>
      <c r="AF48" s="20" t="str">
        <f>IF(AC48="","",IFERROR(VLOOKUP(AC48,tblDisciplines[],12,FALSE),VLOOKUP(AC48,tblPacts[],5,FALSE)))</f>
        <v>Become invisible. Leaving combat: auto Clash of Wills vs Auspex 2.</v>
      </c>
      <c r="AI48" s="15" t="s">
        <v>38</v>
      </c>
      <c r="AJ48" s="61">
        <f t="shared" si="4"/>
        <v>2</v>
      </c>
      <c r="AK48" s="61">
        <f>IF(AJ48=0,IF(COUNTIF($E$42:$E$49,AI48)&gt;0,-3,-1),AJ48)</f>
        <v>2</v>
      </c>
    </row>
    <row r="49" spans="1:37">
      <c r="A49" s="1" t="s">
        <v>48</v>
      </c>
      <c r="B49" t="str">
        <f>REPT("●",IFERROR(INDEX($P$42:$P$69,MATCH(tblCharDataAlice[[#This Row],[Field]],$E$42:$E$69,0)),0))&amp;REPT("○",IFERROR(INDEX($V$42:$V$69,MATCH(tblCharDataAlice[[#This Row],[Field]],$E$42:$E$69,0)),0))&amp;IF(IFERROR(INDEX($W$42:$W$69,MATCH(tblCharDataAlice[[#This Row],[Field]],$E$42:$E$69,0)),0)=1,"†","")</f>
        <v/>
      </c>
      <c r="D49" s="18"/>
      <c r="E49" s="15" t="s">
        <v>32</v>
      </c>
      <c r="F49" s="18"/>
      <c r="G49" s="3"/>
      <c r="H49" s="18"/>
      <c r="I49" s="18"/>
      <c r="L49" s="4"/>
      <c r="M49" s="60"/>
      <c r="N49" s="4"/>
      <c r="O49" s="61">
        <f t="shared" si="7"/>
        <v>0</v>
      </c>
      <c r="P49" s="60">
        <f t="shared" si="5"/>
        <v>0</v>
      </c>
      <c r="R49" s="61">
        <v>5</v>
      </c>
      <c r="T49" s="4"/>
      <c r="U49" s="4"/>
      <c r="V49" s="61">
        <f t="shared" si="6"/>
        <v>0</v>
      </c>
      <c r="W49" s="4"/>
      <c r="Y49" s="15">
        <v>1</v>
      </c>
      <c r="Z49" s="61" t="s">
        <v>237</v>
      </c>
      <c r="AA49" s="60" t="str" cm="1">
        <f t="array" ref="AA49">IF(OR(Y49=0,Y49=""),"",IF(VLOOKUP(Z49,$AI$1:$AJ$58,2,FALSE)&gt;=Y49,INDEX(tblDisciplines[Name],MATCH(1,(tblDisciplines[Discipline]=Z49)*(tblDisciplines[Rank]=Y49),0)),""))</f>
        <v>Beast's Hackles</v>
      </c>
      <c r="AC49" s="60" t="str">
        <v>Creation 1</v>
      </c>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Blood Sorcery | Creation ●</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v>
      </c>
      <c r="AF49" s="20" t="str">
        <f>IF(AC49="","",IFERROR(VLOOKUP(AC49,tblDisciplines[],12,FALSE),VLOOKUP(AC49,tblPacts[],5,FALSE)))</f>
        <v>Summon liquids, dead organic matter, sensory phenomena. Bonus/penalty = Potency.</v>
      </c>
      <c r="AI49" s="15" t="s">
        <v>47</v>
      </c>
      <c r="AJ49" s="61">
        <f t="shared" si="4"/>
        <v>0</v>
      </c>
      <c r="AK49" s="61">
        <f>IF(AJ49=0,IF(COUNTIF($E$42:$E$49,AI49)&gt;0,-3,-1),AJ49)</f>
        <v>-1</v>
      </c>
    </row>
    <row r="50" spans="1:37">
      <c r="A50" s="1" t="s">
        <v>49</v>
      </c>
      <c r="B50" t="str">
        <f ca="1">REPT("●",VLOOKUP(tblCharDataAlice[[#This Row],[Field]],INDIRECT($AH$1),2,FALSE)) &amp; REPT("○",10-VLOOKUP(tblCharDataAlice[[#This Row],[Field]],INDIRECT($AH$1),2,FALSE))</f>
        <v>●○○○○○○○○○</v>
      </c>
      <c r="Y50" s="15">
        <v>2</v>
      </c>
      <c r="Z50" s="61" t="s">
        <v>237</v>
      </c>
      <c r="AA50" s="60" t="str" cm="1">
        <f t="array" ref="AA50">IF(OR(Y50=0,Y50=""),"",IF(VLOOKUP(Z50,$AI$1:$AJ$58,2,FALSE)&gt;=Y50,INDEX(tblDisciplines[Name],MATCH(1,(tblDisciplines[Discipline]=Z50)*(tblDisciplines[Rank]=Y50),0)),""))</f>
        <v/>
      </c>
      <c r="AC50" s="60" t="str">
        <v>Divination 1</v>
      </c>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Blood Sorcery | Divination ●</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v>
      </c>
      <c r="AF50" s="20" t="str">
        <f>IF(AC50="","",IFERROR(VLOOKUP(AC50,tblDisciplines[],12,FALSE),VLOOKUP(AC50,tblPacts[],5,FALSE)))</f>
        <v>Glimpse fragmented details about intended actions. Learn basic info about a target.</v>
      </c>
      <c r="AI50" s="15" t="s">
        <v>19</v>
      </c>
      <c r="AJ50" s="61">
        <f t="shared" si="4"/>
        <v>1</v>
      </c>
      <c r="AK50" s="61">
        <f>AJ50+IFERROR(INDEX($V$26:$V$38,MATCH(AI50,$E$26:$E$38,0)),0)</f>
        <v>1</v>
      </c>
    </row>
    <row r="51" spans="1:37">
      <c r="A51" s="1" t="s">
        <v>50</v>
      </c>
      <c r="B51">
        <f>P72</f>
        <v>1</v>
      </c>
      <c r="D51" s="16" t="s">
        <v>1453</v>
      </c>
      <c r="E51" s="17"/>
      <c r="F51" s="17"/>
      <c r="G51" s="17" t="s">
        <v>1467</v>
      </c>
      <c r="H51" s="16" t="s">
        <v>1446</v>
      </c>
      <c r="I51" s="3" t="s">
        <v>1566</v>
      </c>
      <c r="L51" s="60">
        <f>IF(I51="",0,VLOOKUP(I51,tblPriority[],3,FALSE))-SUM(L52:L59)</f>
        <v>0</v>
      </c>
      <c r="Y51" s="15">
        <v>3</v>
      </c>
      <c r="Z51" s="61" t="s">
        <v>237</v>
      </c>
      <c r="AA51" s="60" t="str" cm="1">
        <f t="array" ref="AA51">IF(OR(Y51=0,Y51=""),"",IF(VLOOKUP(Z51,$AI$1:$AJ$58,2,FALSE)&gt;=Y51,INDEX(tblDisciplines[Name],MATCH(1,(tblDisciplines[Discipline]=Z51)*(tblDisciplines[Rank]=Y51),0)),""))</f>
        <v/>
      </c>
      <c r="AC51" s="60" t="str">
        <v>Protection 1</v>
      </c>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Blood Sorcery | Protection ●</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v>
      </c>
      <c r="AF51" s="20" t="str">
        <f>IF(AC51="","",IFERROR(VLOOKUP(AC51,tblDisciplines[],12,FALSE),VLOOKUP(AC51,tblPacts[],5,FALSE)))</f>
        <v>Subtract Potency from ritual rolls targeting subject. Heal bashing in vampires. Protect from the Kiss (add Potency to resistance).</v>
      </c>
      <c r="AI51" s="15" t="s">
        <v>48</v>
      </c>
      <c r="AJ51" s="61">
        <f t="shared" si="4"/>
        <v>0</v>
      </c>
      <c r="AK51" s="61">
        <f>IF(AJ51=0,IF(COUNTIF($E$42:$E$49,AI51)&gt;0,-3,-1),AJ51)</f>
        <v>-1</v>
      </c>
    </row>
    <row r="52" spans="1:37">
      <c r="A52" s="1" t="s">
        <v>51</v>
      </c>
      <c r="B52" t="str">
        <f>_xlfn.IFNA(VLOOKUP(P72,tblBloodPotency[#Data],5,FALSE),"")</f>
        <v/>
      </c>
      <c r="D52" s="18"/>
      <c r="E52" s="15" t="s">
        <v>33</v>
      </c>
      <c r="F52" s="18"/>
      <c r="G52" s="3"/>
      <c r="H52" s="18"/>
      <c r="I52" s="18"/>
      <c r="L52" s="4"/>
      <c r="M52" s="60"/>
      <c r="N52" s="4"/>
      <c r="O52" s="61">
        <f>ROUNDDOWN(N52/2,0)</f>
        <v>0</v>
      </c>
      <c r="P52" s="60">
        <f t="shared" ref="P52:P59" si="8">MIN(SUM(L52,M52,O52),R52)</f>
        <v>0</v>
      </c>
      <c r="R52" s="61">
        <v>5</v>
      </c>
      <c r="T52" s="4"/>
      <c r="U52" s="4"/>
      <c r="V52" s="61">
        <f t="shared" ref="V52:V59" si="9">U52</f>
        <v>0</v>
      </c>
      <c r="W52" s="4"/>
      <c r="Y52" s="15">
        <v>4</v>
      </c>
      <c r="Z52" s="61" t="s">
        <v>237</v>
      </c>
      <c r="AA52" s="60" t="str" cm="1">
        <f t="array" ref="AA52">IF(OR(Y52=0,Y52=""),"",IF(VLOOKUP(Z52,$AI$1:$AJ$58,2,FALSE)&gt;=Y52,INDEX(tblDisciplines[Name],MATCH(1,(tblDisciplines[Discipline]=Z52)*(tblDisciplines[Rank]=Y52),0)),""))</f>
        <v/>
      </c>
      <c r="AC52" s="60" t="str">
        <v/>
      </c>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
      </c>
      <c r="AF52" s="20" t="str">
        <f>IF(AC52="","",IFERROR(VLOOKUP(AC52,tblDisciplines[],12,FALSE),VLOOKUP(AC52,tblPacts[],5,FALSE)))</f>
        <v/>
      </c>
      <c r="AI52" s="15" t="s">
        <v>39</v>
      </c>
      <c r="AJ52" s="61">
        <f t="shared" si="4"/>
        <v>0</v>
      </c>
      <c r="AK52" s="61">
        <f>IF(AJ52=0,IF(COUNTIF($E$42:$E$49,AI52)&gt;0,-3,-1),AJ52)</f>
        <v>-1</v>
      </c>
    </row>
    <row r="53" spans="1:37">
      <c r="A53" s="1" t="s">
        <v>52</v>
      </c>
      <c r="B53" t="str">
        <f ca="1">REPT("□",P221) &amp; REPT("■",15-P221)</f>
        <v>□□□□□□□■■■■■■■■</v>
      </c>
      <c r="D53" s="18"/>
      <c r="E53" s="15" t="s">
        <v>34</v>
      </c>
      <c r="F53" s="18"/>
      <c r="G53" s="3"/>
      <c r="H53" s="18"/>
      <c r="I53" s="18"/>
      <c r="L53" s="4"/>
      <c r="M53" s="60"/>
      <c r="N53" s="4"/>
      <c r="O53" s="61">
        <f t="shared" ref="O53:O59" si="10">ROUNDDOWN(N53/2,0)</f>
        <v>0</v>
      </c>
      <c r="P53" s="60">
        <f t="shared" si="8"/>
        <v>0</v>
      </c>
      <c r="R53" s="61">
        <v>5</v>
      </c>
      <c r="T53" s="4"/>
      <c r="U53" s="4"/>
      <c r="V53" s="61">
        <f t="shared" si="9"/>
        <v>0</v>
      </c>
      <c r="W53" s="4"/>
      <c r="Y53" s="15">
        <v>5</v>
      </c>
      <c r="Z53" s="61" t="s">
        <v>237</v>
      </c>
      <c r="AA53" s="60" t="str" cm="1">
        <f t="array" ref="AA53">IF(OR(Y53=0,Y53=""),"",IF(VLOOKUP(Z53,$AI$1:$AJ$58,2,FALSE)&gt;=Y53,INDEX(tblDisciplines[Name],MATCH(1,(tblDisciplines[Discipline]=Z53)*(tblDisciplines[Rank]=Y53),0)),""))</f>
        <v/>
      </c>
      <c r="AC53" s="60"/>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
      </c>
      <c r="AF53" s="20" t="str">
        <f>IF(AC53="","",IFERROR(VLOOKUP(AC53,tblDisciplines[],12,FALSE),VLOOKUP(AC53,tblPacts[],5,FALSE)))</f>
        <v/>
      </c>
      <c r="AI53" s="15" t="s">
        <v>247</v>
      </c>
      <c r="AJ53" s="61">
        <f t="shared" si="4"/>
        <v>0</v>
      </c>
      <c r="AK53" s="61">
        <f>AJ53</f>
        <v>0</v>
      </c>
    </row>
    <row r="54" spans="1:37">
      <c r="A54" s="1" t="s">
        <v>53</v>
      </c>
      <c r="B54" t="str">
        <f>_xlfn.CONCAT(P74-L224," / ",P74)</f>
        <v>4 / 4</v>
      </c>
      <c r="D54" s="18"/>
      <c r="E54" s="15" t="s">
        <v>35</v>
      </c>
      <c r="F54" s="18"/>
      <c r="G54" s="3"/>
      <c r="H54" s="18"/>
      <c r="I54" s="18"/>
      <c r="L54" s="4"/>
      <c r="M54" s="60"/>
      <c r="N54" s="4"/>
      <c r="O54" s="61">
        <f t="shared" si="10"/>
        <v>0</v>
      </c>
      <c r="P54" s="60">
        <f t="shared" si="8"/>
        <v>0</v>
      </c>
      <c r="R54" s="61">
        <v>5</v>
      </c>
      <c r="T54" s="4"/>
      <c r="U54" s="4"/>
      <c r="V54" s="61">
        <f t="shared" si="9"/>
        <v>0</v>
      </c>
      <c r="W54" s="4"/>
      <c r="Y54" s="15">
        <f>P167</f>
        <v>1</v>
      </c>
      <c r="Z54" s="61" t="s">
        <v>238</v>
      </c>
      <c r="AA54" s="60" t="str" cm="1">
        <f t="array" ref="AA54">IF(OR(Y54=0,Y54=""),"",IF(VLOOKUP(Z54,$AI$1:$AJ$58,2,FALSE)&gt;=Y54,INDEX(tblDisciplines[Name],MATCH(1,(tblDisciplines[Discipline]=Z54)*(tblDisciplines[Rank]=Y54),0)),""))</f>
        <v>Celerity 1</v>
      </c>
      <c r="AC54" s="60"/>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
      </c>
      <c r="AF54" s="20" t="str">
        <f>IF(AC54="","",IFERROR(VLOOKUP(AC54,tblDisciplines[],12,FALSE),VLOOKUP(AC54,tblPacts[],5,FALSE)))</f>
        <v/>
      </c>
      <c r="AI54" s="15" t="s">
        <v>252</v>
      </c>
      <c r="AJ54" s="61">
        <f t="shared" si="4"/>
        <v>0</v>
      </c>
      <c r="AK54" s="61">
        <f>AJ54</f>
        <v>0</v>
      </c>
    </row>
    <row r="55" spans="1:37">
      <c r="A55" s="1" t="s">
        <v>54</v>
      </c>
      <c r="B55" t="str">
        <f>REPT("□",P74) &amp; REPT("■",10-P74)</f>
        <v>□□□□■■■■■■</v>
      </c>
      <c r="D55" s="18"/>
      <c r="E55" s="15" t="s">
        <v>36</v>
      </c>
      <c r="F55" s="18"/>
      <c r="G55" s="3"/>
      <c r="H55" s="18"/>
      <c r="I55" s="18"/>
      <c r="L55" s="4"/>
      <c r="M55" s="60"/>
      <c r="N55" s="4"/>
      <c r="O55" s="61">
        <f t="shared" si="10"/>
        <v>0</v>
      </c>
      <c r="P55" s="60">
        <f t="shared" si="8"/>
        <v>0</v>
      </c>
      <c r="R55" s="61">
        <v>5</v>
      </c>
      <c r="T55" s="4"/>
      <c r="U55" s="4"/>
      <c r="V55" s="61">
        <f t="shared" si="9"/>
        <v>0</v>
      </c>
      <c r="W55" s="4"/>
      <c r="Y55" s="15">
        <v>1</v>
      </c>
      <c r="Z55" s="61" t="s">
        <v>239</v>
      </c>
      <c r="AA55" s="60" t="str" cm="1">
        <f t="array" ref="AA55">IF(OR(Y55=0,Y55=""),"",IF(VLOOKUP(Z55,$AI$1:$AJ$58,2,FALSE)&gt;=Y55,INDEX(tblDisciplines[Name],MATCH(1,(tblDisciplines[Discipline]=Z55)*(tblDisciplines[Rank]=Y55),0)),""))</f>
        <v/>
      </c>
      <c r="AC55" s="60"/>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
      </c>
      <c r="AF55" s="20" t="str">
        <f>IF(AC55="","",IFERROR(VLOOKUP(AC55,tblDisciplines[],12,FALSE),VLOOKUP(AC55,tblPacts[],5,FALSE)))</f>
        <v/>
      </c>
      <c r="AI55" s="15" t="s">
        <v>245</v>
      </c>
      <c r="AJ55" s="61">
        <f t="shared" si="4"/>
        <v>0</v>
      </c>
      <c r="AK55" s="61">
        <f>AJ55+IFERROR(INDEX($V$26:$V$38,MATCH(AI55,$E$26:$E$38,0)),0)</f>
        <v>0</v>
      </c>
    </row>
    <row r="56" spans="1:37">
      <c r="A56" s="1" t="s">
        <v>55</v>
      </c>
      <c r="B56" t="str">
        <f ca="1">_xlfn.CONCAT(P75-L223," / ",P75)</f>
        <v>10 / 10</v>
      </c>
      <c r="D56" s="19"/>
      <c r="E56" s="15" t="s">
        <v>37</v>
      </c>
      <c r="F56" s="18"/>
      <c r="G56" s="3"/>
      <c r="H56" s="18"/>
      <c r="I56" s="18"/>
      <c r="L56" s="4">
        <v>2</v>
      </c>
      <c r="M56" s="60"/>
      <c r="N56" s="4"/>
      <c r="O56" s="61">
        <f t="shared" si="10"/>
        <v>0</v>
      </c>
      <c r="P56" s="60">
        <f t="shared" si="8"/>
        <v>2</v>
      </c>
      <c r="R56" s="61">
        <v>5</v>
      </c>
      <c r="T56" s="4"/>
      <c r="U56" s="4"/>
      <c r="V56" s="61">
        <f t="shared" si="9"/>
        <v>0</v>
      </c>
      <c r="W56" s="4"/>
      <c r="Y56" s="15">
        <v>2</v>
      </c>
      <c r="Z56" s="61" t="s">
        <v>239</v>
      </c>
      <c r="AA56" s="60" t="str" cm="1">
        <f t="array" ref="AA56">IF(OR(Y56=0,Y56=""),"",IF(VLOOKUP(Z56,$AI$1:$AJ$58,2,FALSE)&gt;=Y56,INDEX(tblDisciplines[Name],MATCH(1,(tblDisciplines[Discipline]=Z56)*(tblDisciplines[Rank]=Y56),0)),""))</f>
        <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4"/>
        <v>0</v>
      </c>
      <c r="AK56" s="61">
        <f>IF(AJ56=0,IF(COUNTIF($E$42:$E$49,AI56)&gt;0,-3,-1),AJ56)</f>
        <v>-1</v>
      </c>
    </row>
    <row r="57" spans="1:37">
      <c r="A57" s="1" t="s">
        <v>56</v>
      </c>
      <c r="B57" t="str">
        <f ca="1">REPT("□",P75-L223) &amp; REPT("■",20-P75+L223)</f>
        <v>□□□□□□□□□□■■■■■■■■■■</v>
      </c>
      <c r="D57" s="19"/>
      <c r="E57" s="15" t="s">
        <v>38</v>
      </c>
      <c r="F57" s="18"/>
      <c r="G57" s="3"/>
      <c r="H57" s="18"/>
      <c r="I57" s="18"/>
      <c r="L57" s="4">
        <v>2</v>
      </c>
      <c r="M57" s="60"/>
      <c r="N57" s="4"/>
      <c r="O57" s="61">
        <f t="shared" si="10"/>
        <v>0</v>
      </c>
      <c r="P57" s="60">
        <f t="shared" si="8"/>
        <v>2</v>
      </c>
      <c r="R57" s="61">
        <v>5</v>
      </c>
      <c r="T57" s="4"/>
      <c r="U57" s="4"/>
      <c r="V57" s="61">
        <f t="shared" si="9"/>
        <v>0</v>
      </c>
      <c r="W57" s="4"/>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4"/>
        <v>4</v>
      </c>
      <c r="AK57" s="61">
        <f>AJ57</f>
        <v>4</v>
      </c>
    </row>
    <row r="58" spans="1:37">
      <c r="A58" s="1" t="s">
        <v>57</v>
      </c>
      <c r="B58">
        <f ca="1">VLOOKUP(VLOOKUP("Blood Potency", INDIRECT($AH$1),2,FALSE),tblBloodPotency[#Data],3,FALSE)</f>
        <v>1</v>
      </c>
      <c r="D58" s="19"/>
      <c r="E58" s="15" t="s">
        <v>39</v>
      </c>
      <c r="F58" s="18"/>
      <c r="G58" s="3"/>
      <c r="H58" s="18"/>
      <c r="I58" s="18"/>
      <c r="L58" s="4"/>
      <c r="M58" s="60"/>
      <c r="N58" s="4"/>
      <c r="O58" s="61">
        <f t="shared" si="10"/>
        <v>0</v>
      </c>
      <c r="P58" s="60">
        <f t="shared" si="8"/>
        <v>0</v>
      </c>
      <c r="R58" s="61">
        <v>5</v>
      </c>
      <c r="T58" s="4"/>
      <c r="U58" s="4"/>
      <c r="V58" s="61">
        <f t="shared" si="9"/>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4"/>
        <v>3</v>
      </c>
      <c r="AK58" s="61">
        <f>AJ58+IFERROR(INDEX($V$26:$V$38,MATCH(AI58,$E$26:$E$38,0)),0)</f>
        <v>3</v>
      </c>
    </row>
    <row r="59" spans="1:37">
      <c r="A59" s="1" t="s">
        <v>58</v>
      </c>
      <c r="B59" t="str">
        <f ca="1">VLOOKUP(VLOOKUP("Blood Potency", INDIRECT($AH$1),2,FALSE),tblBloodPotency[#Data],4,FALSE)</f>
        <v>Animals</v>
      </c>
      <c r="D59" s="19"/>
      <c r="E59" s="15" t="s">
        <v>40</v>
      </c>
      <c r="F59" s="18"/>
      <c r="G59" s="3"/>
      <c r="H59" s="18"/>
      <c r="I59" s="18"/>
      <c r="L59" s="4"/>
      <c r="M59" s="60"/>
      <c r="N59" s="4"/>
      <c r="O59" s="61">
        <f t="shared" si="10"/>
        <v>0</v>
      </c>
      <c r="P59" s="60">
        <f t="shared" si="8"/>
        <v>0</v>
      </c>
      <c r="R59" s="61">
        <v>5</v>
      </c>
      <c r="T59" s="4"/>
      <c r="U59" s="4"/>
      <c r="V59" s="61">
        <f t="shared" si="9"/>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1">IFERROR(IF(VLOOKUP(SUBSTITUTE(A60," Spec",""),$E$42:$G$69,3,FALSE)=0,"",VLOOKUP(SUBSTITUTE(A60," Spec",""),$E$42:$G$69,3,FALSE)),"")</f>
        <v>Research</v>
      </c>
      <c r="Y60" s="15">
        <v>1</v>
      </c>
      <c r="Z60" s="61" t="s">
        <v>240</v>
      </c>
      <c r="AA60" s="60" t="str" cm="1">
        <f t="array" ref="AA60">IF(OR(Y60=0,Y60=""),"",IF(VLOOKUP(Z60,$AI$1:$AJ$58,2,FALSE)&gt;=Y60,INDEX(tblDisciplines[Name],MATCH(1,(tblDisciplines[Discipline]=Z60)*(tblDisciplines[Rank]=Y60),0)),""))</f>
        <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1"/>
        <v>Hacking</v>
      </c>
      <c r="D61" s="16" t="s">
        <v>1459</v>
      </c>
      <c r="E61" s="17"/>
      <c r="F61" s="17"/>
      <c r="G61" s="17" t="s">
        <v>1467</v>
      </c>
      <c r="H61" s="16" t="s">
        <v>1446</v>
      </c>
      <c r="I61" s="3" t="s">
        <v>1567</v>
      </c>
      <c r="L61" s="60">
        <f>IF(I61="",0,VLOOKUP(I61,tblPriority[],3,FALSE))-SUM(L62:L69)</f>
        <v>0</v>
      </c>
      <c r="Y61" s="15">
        <v>2</v>
      </c>
      <c r="Z61" s="61" t="s">
        <v>240</v>
      </c>
      <c r="AA61" s="60" t="str" cm="1">
        <f t="array" ref="AA61">IF(OR(Y61=0,Y61=""),"",IF(VLOOKUP(Z61,$AI$1:$AJ$58,2,FALSE)&gt;=Y61,INDEX(tblDisciplines[Name],MATCH(1,(tblDisciplines[Discipline]=Z61)*(tblDisciplines[Rank]=Y61),0)),""))</f>
        <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1"/>
        <v/>
      </c>
      <c r="D62" s="18"/>
      <c r="E62" s="15" t="s">
        <v>41</v>
      </c>
      <c r="F62" s="18"/>
      <c r="G62" s="3"/>
      <c r="H62" s="18"/>
      <c r="I62" s="18"/>
      <c r="L62" s="4"/>
      <c r="M62" s="60"/>
      <c r="N62" s="4"/>
      <c r="O62" s="61">
        <f>ROUNDDOWN(N62/2,0)</f>
        <v>0</v>
      </c>
      <c r="P62" s="60">
        <f t="shared" ref="P62:P69" si="12">MIN(SUM(L62,M62,O62),R62)</f>
        <v>0</v>
      </c>
      <c r="R62" s="61">
        <v>5</v>
      </c>
      <c r="T62" s="4"/>
      <c r="U62" s="4"/>
      <c r="V62" s="61">
        <f t="shared" ref="V62:V69" si="13">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1"/>
        <v/>
      </c>
      <c r="D63" s="19"/>
      <c r="E63" s="15" t="s">
        <v>42</v>
      </c>
      <c r="F63" s="18"/>
      <c r="G63" s="3" t="s">
        <v>392</v>
      </c>
      <c r="H63" s="18"/>
      <c r="I63" s="18"/>
      <c r="L63" s="4">
        <v>2</v>
      </c>
      <c r="M63" s="60"/>
      <c r="N63" s="4"/>
      <c r="O63" s="61">
        <f t="shared" ref="O63:O69" si="14">ROUNDDOWN(N63/2,0)</f>
        <v>0</v>
      </c>
      <c r="P63" s="60">
        <f t="shared" si="12"/>
        <v>2</v>
      </c>
      <c r="R63" s="61">
        <v>5</v>
      </c>
      <c r="T63" s="4">
        <v>1</v>
      </c>
      <c r="U63" s="4"/>
      <c r="V63" s="61">
        <f t="shared" si="13"/>
        <v>0</v>
      </c>
      <c r="W63" s="4"/>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1"/>
        <v/>
      </c>
      <c r="D64" s="19"/>
      <c r="E64" s="15" t="s">
        <v>43</v>
      </c>
      <c r="F64" s="18"/>
      <c r="G64" s="3"/>
      <c r="H64" s="18"/>
      <c r="I64" s="18"/>
      <c r="L64" s="4">
        <v>3</v>
      </c>
      <c r="M64" s="60"/>
      <c r="N64" s="4"/>
      <c r="O64" s="61">
        <f t="shared" si="14"/>
        <v>0</v>
      </c>
      <c r="P64" s="60">
        <f t="shared" si="12"/>
        <v>3</v>
      </c>
      <c r="R64" s="61">
        <v>5</v>
      </c>
      <c r="T64" s="4"/>
      <c r="U64" s="4"/>
      <c r="V64" s="61">
        <f t="shared" si="13"/>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1"/>
        <v/>
      </c>
      <c r="D65" s="19"/>
      <c r="E65" s="15" t="s">
        <v>44</v>
      </c>
      <c r="F65" s="18"/>
      <c r="G65" s="3"/>
      <c r="H65" s="18"/>
      <c r="I65" s="18"/>
      <c r="L65" s="4"/>
      <c r="M65" s="60"/>
      <c r="N65" s="4"/>
      <c r="O65" s="61">
        <f t="shared" si="14"/>
        <v>0</v>
      </c>
      <c r="P65" s="60">
        <f t="shared" si="12"/>
        <v>0</v>
      </c>
      <c r="R65" s="61">
        <v>5</v>
      </c>
      <c r="T65" s="4"/>
      <c r="U65" s="4"/>
      <c r="V65" s="61">
        <f t="shared" si="13"/>
        <v>0</v>
      </c>
      <c r="W65" s="4"/>
      <c r="Y65" s="15">
        <v>1</v>
      </c>
      <c r="Z65" s="61" t="s">
        <v>241</v>
      </c>
      <c r="AA65" s="60" t="str" cm="1">
        <f t="array" ref="AA65">IF(OR(Y65=0,Y65=""),"",IF(VLOOKUP(Z65,$AI$1:$AJ$58,2,FALSE)&gt;=Y65,INDEX(tblDisciplines[Name],MATCH(1,(tblDisciplines[Discipline]=Z65)*(tblDisciplines[Rank]=Y65),0)),""))</f>
        <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1"/>
        <v/>
      </c>
      <c r="D66" s="19"/>
      <c r="E66" s="15" t="s">
        <v>45</v>
      </c>
      <c r="F66" s="18"/>
      <c r="G66" s="3"/>
      <c r="H66" s="18"/>
      <c r="I66" s="18"/>
      <c r="L66" s="4"/>
      <c r="M66" s="60"/>
      <c r="N66" s="4"/>
      <c r="O66" s="61">
        <f t="shared" si="14"/>
        <v>0</v>
      </c>
      <c r="P66" s="60">
        <f t="shared" si="12"/>
        <v>0</v>
      </c>
      <c r="R66" s="61">
        <v>5</v>
      </c>
      <c r="T66" s="4"/>
      <c r="U66" s="4"/>
      <c r="V66" s="61">
        <f t="shared" si="13"/>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1"/>
        <v/>
      </c>
      <c r="D67" s="19"/>
      <c r="E67" s="15" t="s">
        <v>46</v>
      </c>
      <c r="F67" s="18"/>
      <c r="G67" s="3"/>
      <c r="H67" s="18"/>
      <c r="I67" s="18"/>
      <c r="L67" s="4">
        <v>2</v>
      </c>
      <c r="M67" s="60"/>
      <c r="N67" s="4"/>
      <c r="O67" s="61">
        <f t="shared" si="14"/>
        <v>0</v>
      </c>
      <c r="P67" s="60">
        <f t="shared" si="12"/>
        <v>2</v>
      </c>
      <c r="R67" s="61">
        <v>5</v>
      </c>
      <c r="T67" s="4"/>
      <c r="U67" s="4"/>
      <c r="V67" s="61">
        <f t="shared" si="13"/>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1"/>
        <v/>
      </c>
      <c r="D68" s="18"/>
      <c r="E68" s="15" t="s">
        <v>47</v>
      </c>
      <c r="F68" s="18"/>
      <c r="G68" s="3"/>
      <c r="H68" s="18"/>
      <c r="I68" s="18"/>
      <c r="L68" s="4"/>
      <c r="M68" s="60"/>
      <c r="N68" s="4"/>
      <c r="O68" s="61">
        <f t="shared" si="14"/>
        <v>0</v>
      </c>
      <c r="P68" s="60">
        <f t="shared" si="12"/>
        <v>0</v>
      </c>
      <c r="R68" s="61">
        <v>5</v>
      </c>
      <c r="T68" s="4"/>
      <c r="U68" s="4"/>
      <c r="V68" s="61">
        <f t="shared" si="13"/>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1"/>
        <v/>
      </c>
      <c r="D69" s="18"/>
      <c r="E69" s="15" t="s">
        <v>48</v>
      </c>
      <c r="F69" s="18"/>
      <c r="G69" s="3"/>
      <c r="H69" s="18"/>
      <c r="I69" s="18"/>
      <c r="L69" s="4"/>
      <c r="M69" s="60"/>
      <c r="N69" s="4"/>
      <c r="O69" s="61">
        <f t="shared" si="14"/>
        <v>0</v>
      </c>
      <c r="P69" s="60">
        <f t="shared" si="12"/>
        <v>0</v>
      </c>
      <c r="R69" s="61">
        <v>5</v>
      </c>
      <c r="T69" s="4"/>
      <c r="U69" s="4"/>
      <c r="V69" s="61">
        <f t="shared" si="13"/>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1"/>
        <v/>
      </c>
      <c r="Y70" s="15">
        <v>1</v>
      </c>
      <c r="Z70" s="61" t="s">
        <v>242</v>
      </c>
      <c r="AA70" s="60" t="str" cm="1">
        <f t="array" ref="AA70">IF(OR(Y70=0,Y70=""),"",IF(VLOOKUP(Z70,$AI$1:$AJ$58,2,FALSE)&gt;=Y70,INDEX(tblDisciplines[Name],MATCH(1,(tblDisciplines[Discipline]=Z70)*(tblDisciplines[Rank]=Y70),0)),""))</f>
        <v>Face in the Crowd</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1"/>
        <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Touch of Shadow</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1"/>
        <v/>
      </c>
      <c r="D72" s="19"/>
      <c r="E72" s="15" t="s">
        <v>49</v>
      </c>
      <c r="F72" s="19"/>
      <c r="G72" s="19"/>
      <c r="H72" s="19"/>
      <c r="I72" s="19"/>
      <c r="K72" s="4"/>
      <c r="L72" s="4"/>
      <c r="M72" s="60">
        <v>1</v>
      </c>
      <c r="N72" s="4"/>
      <c r="O72" s="61">
        <f>ROUNDDOWN(N72/5,0)</f>
        <v>0</v>
      </c>
      <c r="P72" s="60">
        <f>MIN(SUM(K72*-1,ROUNDDOWN(L72/5,0),M72,O72),R72)</f>
        <v>1</v>
      </c>
      <c r="R72" s="61">
        <v>2</v>
      </c>
      <c r="Y72" s="15">
        <v>3</v>
      </c>
      <c r="Z72" s="61" t="s">
        <v>242</v>
      </c>
      <c r="AA72" s="60" t="str" cm="1">
        <f t="array" ref="AA72">IF(OR(Y72=0,Y72=""),"",IF(VLOOKUP(Z72,$AI$1:$AJ$58,2,FALSE)&gt;=Y72,INDEX(tblDisciplines[Name],MATCH(1,(tblDisciplines[Discipline]=Z72)*(tblDisciplines[Rank]=Y72),0)),""))</f>
        <v>Cloak of Night</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1"/>
        <v/>
      </c>
      <c r="D73" s="19"/>
      <c r="E73" s="15" t="s">
        <v>1448</v>
      </c>
      <c r="F73" s="19"/>
      <c r="G73" s="19"/>
      <c r="H73" s="19"/>
      <c r="I73" s="19"/>
      <c r="K73" s="4">
        <v>1</v>
      </c>
      <c r="M73" s="60">
        <v>7</v>
      </c>
      <c r="N73" s="4"/>
      <c r="O73" s="61">
        <f>ROUNDDOWN(N73/2,0)</f>
        <v>0</v>
      </c>
      <c r="P73" s="60">
        <f>MIN(SUM(K73*-1,M73,O73),R73)</f>
        <v>6</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1"/>
        <v/>
      </c>
      <c r="D74" s="19"/>
      <c r="E74" s="15" t="s">
        <v>53</v>
      </c>
      <c r="F74" s="19"/>
      <c r="G74" s="19"/>
      <c r="H74" s="19"/>
      <c r="I74" s="19"/>
      <c r="K74" s="4"/>
      <c r="M74" s="60">
        <f>P28+P38</f>
        <v>4</v>
      </c>
      <c r="N74" s="4"/>
      <c r="O74" s="61">
        <f>N74</f>
        <v>0</v>
      </c>
      <c r="P74" s="60">
        <f>MIN(SUM(K74*-1,M74,O74),R74)</f>
        <v>4</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1"/>
        <v/>
      </c>
      <c r="D75" s="19"/>
      <c r="E75" s="15" t="s">
        <v>55</v>
      </c>
      <c r="F75" s="19"/>
      <c r="G75" s="19"/>
      <c r="H75" s="19"/>
      <c r="I75" s="19"/>
      <c r="P75" s="60">
        <f ca="1">VLOOKUP(VLOOKUP("Blood Potency",INDIRECT($AH$1),2,FALSE),tblBloodPotency[],2,FALSE)</f>
        <v>10</v>
      </c>
      <c r="Y75" s="15">
        <v>1</v>
      </c>
      <c r="Z75" s="61" t="s">
        <v>243</v>
      </c>
      <c r="AA75" s="60" t="str" cm="1">
        <f t="array" ref="AA75">IF(OR(Y75=0,Y75=""),"",IF(VLOOKUP(Z75,$AI$1:$AJ$58,2,FALSE)&gt;=Y75,INDEX(tblDisciplines[Name],MATCH(1,(tblDisciplines[Discipline]=Z75)*(tblDisciplines[Rank]=Y75),0)),""))</f>
        <v/>
      </c>
    </row>
    <row r="76" spans="1:32">
      <c r="A76" s="1" t="s">
        <v>75</v>
      </c>
      <c r="B76" t="str">
        <f t="shared" si="11"/>
        <v/>
      </c>
      <c r="Y76" s="15">
        <v>2</v>
      </c>
      <c r="Z76" s="61" t="s">
        <v>243</v>
      </c>
      <c r="AA76" s="60" t="str" cm="1">
        <f t="array" ref="AA76">IF(OR(Y76=0,Y76=""),"",IF(VLOOKUP(Z76,$AI$1:$AJ$58,2,FALSE)&gt;=Y76,INDEX(tblDisciplines[Name],MATCH(1,(tblDisciplines[Discipline]=Z76)*(tblDisciplines[Rank]=Y76),0)),""))</f>
        <v/>
      </c>
    </row>
    <row r="77" spans="1:32" ht="15.75" thickBot="1">
      <c r="A77" s="1" t="s">
        <v>76</v>
      </c>
      <c r="B77" t="str">
        <f t="shared" si="11"/>
        <v>Motives</v>
      </c>
      <c r="D77" s="14" t="s">
        <v>1470</v>
      </c>
      <c r="E77" s="14"/>
      <c r="F77" s="14"/>
      <c r="G77" s="14"/>
      <c r="H77" s="14"/>
      <c r="I77" s="14"/>
      <c r="N77" s="60">
        <f>SUM(N79:N98,N101:N120,N206:N215,N132:N135,N138:N157,N160:N161)</f>
        <v>3</v>
      </c>
      <c r="Y77" s="15">
        <v>3</v>
      </c>
      <c r="Z77" s="61" t="s">
        <v>243</v>
      </c>
      <c r="AA77" s="60" t="str" cm="1">
        <f t="array" ref="AA77">IF(OR(Y77=0,Y77=""),"",IF(VLOOKUP(Z77,$AI$1:$AJ$58,2,FALSE)&gt;=Y77,INDEX(tblDisciplines[Name],MATCH(1,(tblDisciplines[Discipline]=Z77)*(tblDisciplines[Rank]=Y77),0)),""))</f>
        <v/>
      </c>
    </row>
    <row r="78" spans="1:32">
      <c r="A78" s="1" t="s">
        <v>77</v>
      </c>
      <c r="B78" t="str">
        <f t="shared" si="11"/>
        <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1"/>
        <v/>
      </c>
      <c r="D79" s="19"/>
      <c r="E79" s="15" t="s">
        <v>114</v>
      </c>
      <c r="F79" s="3" t="s">
        <v>1568</v>
      </c>
      <c r="G79" s="3"/>
      <c r="H79" s="67" t="str">
        <f>_xlfn.IFNA(IF(VLOOKUP(F79,tblMerits[],6,FALSE)=0,"None",VLOOKUP(F79,tblMerits[],6,FALSE)),"None")</f>
        <v>Presence 3, Expression 3, Crúac 1</v>
      </c>
      <c r="I79" s="67"/>
      <c r="L79" s="4">
        <v>3</v>
      </c>
      <c r="M79" s="4"/>
      <c r="N79" s="4"/>
      <c r="O79" s="61">
        <f>N79</f>
        <v>0</v>
      </c>
      <c r="P79" s="60">
        <f t="shared" ref="P79:P98" si="15">MIN(SUM(L79,M79,O79),R79)</f>
        <v>3</v>
      </c>
      <c r="Q79" s="61">
        <f>_xlfn.IFNA(VLOOKUP($F79,tblMerits[],3,FALSE),"")</f>
        <v>3</v>
      </c>
      <c r="R79" s="61">
        <f>_xlfn.IFNA(VLOOKUP($F79,tblMerits[],4,FALSE),"")</f>
        <v>3</v>
      </c>
      <c r="Y79" s="15">
        <v>5</v>
      </c>
      <c r="Z79" s="61" t="s">
        <v>243</v>
      </c>
      <c r="AA79" s="60" t="str" cm="1">
        <f t="array" ref="AA79">IF(OR(Y79=0,Y79=""),"",IF(VLOOKUP(Z79,$AI$1:$AJ$58,2,FALSE)&gt;=Y79,INDEX(tblDisciplines[Name],MATCH(1,(tblDisciplines[Discipline]=Z79)*(tblDisciplines[Rank]=Y79),0)),""))</f>
        <v/>
      </c>
    </row>
    <row r="80" spans="1:32">
      <c r="A80" s="1" t="s">
        <v>79</v>
      </c>
      <c r="B80" t="str">
        <f t="shared" si="11"/>
        <v/>
      </c>
      <c r="D80" s="19"/>
      <c r="E80" s="15" t="s">
        <v>115</v>
      </c>
      <c r="F80" s="3" t="s">
        <v>1569</v>
      </c>
      <c r="G80" s="3" t="s">
        <v>1570</v>
      </c>
      <c r="H80" s="67" t="str">
        <f>_xlfn.IFNA(IF(VLOOKUP(F80,tblMerits[],6,FALSE)=0,"None",VLOOKUP(F80,tblMerits[],6,FALSE)),"None")</f>
        <v>Crone Status 2 or Invictus Status 2</v>
      </c>
      <c r="I80" s="67"/>
      <c r="L80" s="4">
        <v>1</v>
      </c>
      <c r="M80" s="4"/>
      <c r="N80" s="4"/>
      <c r="O80" s="61">
        <f t="shared" ref="O80:O98" si="16">N80</f>
        <v>0</v>
      </c>
      <c r="P80" s="60">
        <f t="shared" si="15"/>
        <v>1</v>
      </c>
      <c r="Q80" s="61">
        <f>_xlfn.IFNA(VLOOKUP($F80,tblMerits[],3,FALSE),"")</f>
        <v>1</v>
      </c>
      <c r="R80" s="61">
        <f>_xlfn.IFNA(VLOOKUP($F80,tblMerits[],4,FALSE),"")</f>
        <v>1</v>
      </c>
      <c r="Y80" s="15">
        <f>P173</f>
        <v>0</v>
      </c>
      <c r="Z80" s="61" t="s">
        <v>244</v>
      </c>
      <c r="AA80" s="60" t="str" cm="1">
        <f t="array" ref="AA80">IF(OR(Y80=0,Y80=""),"",IF(VLOOKUP(Z80,$AI$1:$AJ$58,2,FALSE)&gt;=Y80,INDEX(tblDisciplines[Name],MATCH(1,(tblDisciplines[Discipline]=Z80)*(tblDisciplines[Rank]=Y80),0)),""))</f>
        <v/>
      </c>
    </row>
    <row r="81" spans="1:27">
      <c r="A81" s="1" t="s">
        <v>80</v>
      </c>
      <c r="B81" t="str">
        <f t="shared" si="11"/>
        <v/>
      </c>
      <c r="D81" s="58" t="s">
        <v>1571</v>
      </c>
      <c r="E81" s="15" t="s">
        <v>116</v>
      </c>
      <c r="F81" s="3" t="s">
        <v>1572</v>
      </c>
      <c r="G81" s="3"/>
      <c r="H81" s="67" t="str">
        <f>_xlfn.IFNA(IF(VLOOKUP(F81,tblMerits[],6,FALSE)=0,"None",VLOOKUP(F81,tblMerits[],6,FALSE)),"None")</f>
        <v>None</v>
      </c>
      <c r="I81" s="67"/>
      <c r="L81" s="4"/>
      <c r="M81" s="4">
        <v>1</v>
      </c>
      <c r="N81" s="4"/>
      <c r="O81" s="61">
        <f t="shared" si="16"/>
        <v>0</v>
      </c>
      <c r="P81" s="60">
        <f t="shared" si="15"/>
        <v>1</v>
      </c>
      <c r="Q81" s="61">
        <f>_xlfn.IFNA(VLOOKUP($F81,tblMerits[],3,FALSE),"")</f>
        <v>1</v>
      </c>
      <c r="R81" s="61">
        <f>_xlfn.IFNA(VLOOKUP($F81,tblMerits[],4,FALSE),"")</f>
        <v>1</v>
      </c>
      <c r="Y81" s="15">
        <f>P174</f>
        <v>0</v>
      </c>
      <c r="Z81" s="61" t="s">
        <v>245</v>
      </c>
      <c r="AA81" s="60" t="str" cm="1">
        <f t="array" ref="AA81">IF(OR(Y81=0,Y81=""),"",IF(VLOOKUP(Z81,$AI$1:$AJ$58,2,FALSE)&gt;=Y81,INDEX(tblDisciplines[Name],MATCH(1,(tblDisciplines[Discipline]=Z81)*(tblDisciplines[Rank]=Y81),0)),""))</f>
        <v/>
      </c>
    </row>
    <row r="82" spans="1:27">
      <c r="A82" s="1" t="s">
        <v>81</v>
      </c>
      <c r="B82" t="str">
        <f t="shared" si="11"/>
        <v/>
      </c>
      <c r="D82" s="58"/>
      <c r="E82" s="15" t="s">
        <v>117</v>
      </c>
      <c r="F82" s="3" t="s">
        <v>1573</v>
      </c>
      <c r="G82" s="3" t="s">
        <v>30</v>
      </c>
      <c r="H82" s="67" t="str">
        <f>_xlfn.IFNA(IF(VLOOKUP(F82,tblMerits[],6,FALSE)=0,"None",VLOOKUP(F82,tblMerits[],6,FALSE)),"None")</f>
        <v>None</v>
      </c>
      <c r="I82" s="67"/>
      <c r="L82" s="4"/>
      <c r="M82" s="4"/>
      <c r="N82" s="4">
        <v>2</v>
      </c>
      <c r="O82" s="61">
        <f t="shared" si="16"/>
        <v>2</v>
      </c>
      <c r="P82" s="60">
        <f t="shared" si="15"/>
        <v>2</v>
      </c>
      <c r="Q82" s="61">
        <f>_xlfn.IFNA(VLOOKUP($F82,tblMerits[],3,FALSE),"")</f>
        <v>1</v>
      </c>
      <c r="R82" s="61">
        <f>_xlfn.IFNA(VLOOKUP($F82,tblMerits[],4,FALSE),"")</f>
        <v>3</v>
      </c>
      <c r="Y82" s="61" t="s">
        <v>1472</v>
      </c>
      <c r="Z82" s="19"/>
      <c r="AA82" s="60" t="str">
        <f>IF(P177="","",F177)</f>
        <v/>
      </c>
    </row>
    <row r="83" spans="1:27">
      <c r="A83" s="1" t="s">
        <v>82</v>
      </c>
      <c r="B83" t="str">
        <f t="shared" si="11"/>
        <v/>
      </c>
      <c r="D83" s="19"/>
      <c r="E83" s="15" t="s">
        <v>118</v>
      </c>
      <c r="F83" s="3"/>
      <c r="G83" s="3"/>
      <c r="H83" s="67" t="str">
        <f>_xlfn.IFNA(IF(VLOOKUP(F83,tblMerits[],6,FALSE)=0,"None",VLOOKUP(F83,tblMerits[],6,FALSE)),"None")</f>
        <v>None</v>
      </c>
      <c r="I83" s="67"/>
      <c r="L83" s="4"/>
      <c r="M83" s="4"/>
      <c r="N83" s="4"/>
      <c r="O83" s="61">
        <f t="shared" si="16"/>
        <v>0</v>
      </c>
      <c r="P83" s="60">
        <f t="shared" si="15"/>
        <v>0</v>
      </c>
      <c r="Q83" s="61" t="str">
        <f>_xlfn.IFNA(VLOOKUP($F83,tblMerits[],3,FALSE),"")</f>
        <v/>
      </c>
      <c r="R83" s="61" t="str">
        <f>_xlfn.IFNA(VLOOKUP($F83,tblMerits[],4,FALSE),"")</f>
        <v/>
      </c>
      <c r="Y83" s="61" t="s">
        <v>1472</v>
      </c>
      <c r="Z83" s="19"/>
      <c r="AA83" s="60" t="str">
        <f>IF(P178="","",F178)</f>
        <v/>
      </c>
    </row>
    <row r="84" spans="1:27">
      <c r="A84" s="1" t="s">
        <v>83</v>
      </c>
      <c r="B84">
        <f>P124</f>
        <v>2</v>
      </c>
      <c r="D84" s="19"/>
      <c r="E84" s="15" t="s">
        <v>119</v>
      </c>
      <c r="F84" s="3"/>
      <c r="G84" s="3"/>
      <c r="H84" s="67" t="str">
        <f>_xlfn.IFNA(IF(VLOOKUP(F84,tblMerits[],6,FALSE)=0,"None",VLOOKUP(F84,tblMerits[],6,FALSE)),"None")</f>
        <v>None</v>
      </c>
      <c r="I84" s="67"/>
      <c r="L84" s="4"/>
      <c r="M84" s="4"/>
      <c r="N84" s="4"/>
      <c r="O84" s="61">
        <f t="shared" si="16"/>
        <v>0</v>
      </c>
      <c r="P84" s="60">
        <f t="shared" si="15"/>
        <v>0</v>
      </c>
      <c r="Q84" s="61" t="str">
        <f>_xlfn.IFNA(VLOOKUP($F84,tblMerits[],3,FALSE),"")</f>
        <v/>
      </c>
      <c r="R84" s="61" t="str">
        <f>_xlfn.IFNA(VLOOKUP($F84,tblMerits[],4,FALSE),"")</f>
        <v/>
      </c>
      <c r="Y84" s="61" t="s">
        <v>1472</v>
      </c>
      <c r="Z84" s="19"/>
      <c r="AA84" s="60" t="str">
        <f>IF(P179="","",F179)</f>
        <v/>
      </c>
    </row>
    <row r="85" spans="1:27">
      <c r="A85" s="1" t="s">
        <v>84</v>
      </c>
      <c r="B85">
        <f>P125</f>
        <v>1</v>
      </c>
      <c r="D85" s="19"/>
      <c r="E85" s="15" t="s">
        <v>120</v>
      </c>
      <c r="F85" s="3"/>
      <c r="G85" s="3"/>
      <c r="H85" s="67" t="str">
        <f>_xlfn.IFNA(IF(VLOOKUP(F85,tblMerits[],6,FALSE)=0,"None",VLOOKUP(F85,tblMerits[],6,FALSE)),"None")</f>
        <v>None</v>
      </c>
      <c r="I85" s="67"/>
      <c r="L85" s="4"/>
      <c r="M85" s="4"/>
      <c r="N85" s="4"/>
      <c r="O85" s="61">
        <f t="shared" si="16"/>
        <v>0</v>
      </c>
      <c r="P85" s="60">
        <f t="shared" si="15"/>
        <v>0</v>
      </c>
      <c r="Q85" s="61" t="str">
        <f>_xlfn.IFNA(VLOOKUP($F85,tblMerits[],3,FALSE),"")</f>
        <v/>
      </c>
      <c r="R85" s="61" t="str">
        <f>_xlfn.IFNA(VLOOKUP($F85,tblMerits[],4,FALSE),"")</f>
        <v/>
      </c>
      <c r="Y85" s="61" t="s">
        <v>1472</v>
      </c>
      <c r="Z85" s="19"/>
      <c r="AA85" s="60" t="str">
        <f>IF(P180="","",F180)</f>
        <v/>
      </c>
    </row>
    <row r="86" spans="1:27">
      <c r="A86" s="1" t="s">
        <v>85</v>
      </c>
      <c r="B86">
        <f>P126</f>
        <v>2</v>
      </c>
      <c r="D86" s="19"/>
      <c r="E86" s="15" t="s">
        <v>121</v>
      </c>
      <c r="F86" s="3"/>
      <c r="G86" s="3"/>
      <c r="H86" s="67" t="str">
        <f>_xlfn.IFNA(IF(VLOOKUP(F86,tblMerits[],6,FALSE)=0,"None",VLOOKUP(F86,tblMerits[],6,FALSE)),"None")</f>
        <v>None</v>
      </c>
      <c r="I86" s="67"/>
      <c r="L86" s="4"/>
      <c r="M86" s="4"/>
      <c r="N86" s="4"/>
      <c r="O86" s="61">
        <f t="shared" si="16"/>
        <v>0</v>
      </c>
      <c r="P86" s="60">
        <f t="shared" si="15"/>
        <v>0</v>
      </c>
      <c r="Q86" s="61" t="str">
        <f>_xlfn.IFNA(VLOOKUP($F86,tblMerits[],3,FALSE),"")</f>
        <v/>
      </c>
      <c r="R86" s="61" t="str">
        <f>_xlfn.IFNA(VLOOKUP($F86,tblMerits[],4,FALSE),"")</f>
        <v/>
      </c>
      <c r="Y86" s="61" t="s">
        <v>1472</v>
      </c>
      <c r="Z86" s="19"/>
      <c r="AA86" s="60" t="str">
        <f>IF(P181="","",F181)</f>
        <v/>
      </c>
    </row>
    <row r="87" spans="1:27">
      <c r="A87" s="1" t="s">
        <v>86</v>
      </c>
      <c r="B87" t="str">
        <f>IF(F126="","¬",F126)</f>
        <v>Crone</v>
      </c>
      <c r="D87" s="19"/>
      <c r="E87" s="15" t="s">
        <v>122</v>
      </c>
      <c r="F87" s="3"/>
      <c r="G87" s="3"/>
      <c r="H87" s="67" t="str">
        <f>_xlfn.IFNA(IF(VLOOKUP(F87,tblMerits[],6,FALSE)=0,"None",VLOOKUP(F87,tblMerits[],6,FALSE)),"None")</f>
        <v>None</v>
      </c>
      <c r="I87" s="67"/>
      <c r="L87" s="4"/>
      <c r="M87" s="4"/>
      <c r="N87" s="4"/>
      <c r="O87" s="61">
        <f t="shared" si="16"/>
        <v>0</v>
      </c>
      <c r="P87" s="60">
        <f t="shared" si="15"/>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Creation 1</v>
      </c>
    </row>
    <row r="88" spans="1:27">
      <c r="A88" s="1" t="s">
        <v>87</v>
      </c>
      <c r="B88" t="str">
        <f>REPT("●",P126)</f>
        <v>●●</v>
      </c>
      <c r="D88" s="19"/>
      <c r="E88" s="15" t="s">
        <v>123</v>
      </c>
      <c r="F88" s="3"/>
      <c r="G88" s="3"/>
      <c r="H88" s="67" t="str">
        <f>_xlfn.IFNA(IF(VLOOKUP(F88,tblMerits[],6,FALSE)=0,"None",VLOOKUP(F88,tblMerits[],6,FALSE)),"None")</f>
        <v>None</v>
      </c>
      <c r="I88" s="67"/>
      <c r="L88" s="4"/>
      <c r="M88" s="4"/>
      <c r="N88" s="4"/>
      <c r="O88" s="61">
        <f t="shared" si="16"/>
        <v>0</v>
      </c>
      <c r="P88" s="60">
        <f t="shared" si="15"/>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Carthian</v>
      </c>
      <c r="D89" s="19"/>
      <c r="E89" s="15" t="s">
        <v>124</v>
      </c>
      <c r="F89" s="3"/>
      <c r="G89" s="3"/>
      <c r="H89" s="67" t="str">
        <f>_xlfn.IFNA(IF(VLOOKUP(F89,tblMerits[],6,FALSE)=0,"None",VLOOKUP(F89,tblMerits[],6,FALSE)),"None")</f>
        <v>None</v>
      </c>
      <c r="I89" s="67"/>
      <c r="L89" s="4"/>
      <c r="M89" s="4"/>
      <c r="N89" s="4"/>
      <c r="O89" s="61">
        <f t="shared" si="16"/>
        <v>0</v>
      </c>
      <c r="P89" s="60">
        <f t="shared" si="15"/>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_xlfn.IFNA(IF(VLOOKUP(F90,tblMerits[],6,FALSE)=0,"None",VLOOKUP(F90,tblMerits[],6,FALSE)),"None")</f>
        <v>None</v>
      </c>
      <c r="I90" s="67"/>
      <c r="L90" s="4"/>
      <c r="M90" s="4"/>
      <c r="N90" s="4"/>
      <c r="O90" s="61">
        <f t="shared" si="16"/>
        <v>0</v>
      </c>
      <c r="P90" s="60">
        <f t="shared" si="15"/>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Invictus</v>
      </c>
      <c r="D91" s="19"/>
      <c r="E91" s="15" t="s">
        <v>126</v>
      </c>
      <c r="F91" s="3"/>
      <c r="G91" s="3"/>
      <c r="H91" s="67" t="str">
        <f>_xlfn.IFNA(IF(VLOOKUP(F91,tblMerits[],6,FALSE)=0,"None",VLOOKUP(F91,tblMerits[],6,FALSE)),"None")</f>
        <v>None</v>
      </c>
      <c r="I91" s="67"/>
      <c r="L91" s="4"/>
      <c r="M91" s="4"/>
      <c r="N91" s="4"/>
      <c r="O91" s="61">
        <f t="shared" si="16"/>
        <v>0</v>
      </c>
      <c r="P91" s="60">
        <f t="shared" si="15"/>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6"/>
        <v>0</v>
      </c>
      <c r="P92" s="60">
        <f t="shared" si="15"/>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Lance</v>
      </c>
      <c r="D93" s="19"/>
      <c r="E93" s="15" t="s">
        <v>128</v>
      </c>
      <c r="F93" s="3"/>
      <c r="G93" s="3"/>
      <c r="H93" s="67" t="str">
        <f>_xlfn.IFNA(IF(VLOOKUP(F93,tblMerits[],6,FALSE)=0,"None",VLOOKUP(F93,tblMerits[],6,FALSE)),"None")</f>
        <v>None</v>
      </c>
      <c r="I93" s="67"/>
      <c r="L93" s="4"/>
      <c r="M93" s="4"/>
      <c r="N93" s="4"/>
      <c r="O93" s="61">
        <f t="shared" si="16"/>
        <v>0</v>
      </c>
      <c r="P93" s="60">
        <f t="shared" si="15"/>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6"/>
        <v>0</v>
      </c>
      <c r="P94" s="60">
        <f t="shared" si="15"/>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6"/>
        <v>0</v>
      </c>
      <c r="P95" s="60">
        <f t="shared" si="15"/>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6"/>
        <v>0</v>
      </c>
      <c r="P96" s="60">
        <f t="shared" si="15"/>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6"/>
        <v>0</v>
      </c>
      <c r="P97" s="60">
        <f t="shared" si="15"/>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Divination 1</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6"/>
        <v>0</v>
      </c>
      <c r="P98" s="60">
        <f t="shared" si="15"/>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The Archive</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c r="G101" s="60" t="str">
        <f>IFERROR(VLOOKUP(F101,tblManoeuvre[],2,FALSE)&amp;" "&amp;VLOOKUP(F101,tblManoeuvre[],3,FALSE),"")</f>
        <v/>
      </c>
      <c r="H101" s="67" t="str">
        <f>IFERROR(IF(VLOOKUP(F101,tblManoeuvre[],8,FALSE)=0,"None",VLOOKUP(F101,tblManoeuvre[],8,FALSE)),"None")</f>
        <v>None</v>
      </c>
      <c r="I101" s="67"/>
      <c r="L101" s="4"/>
      <c r="M101" s="4"/>
      <c r="N101" s="4"/>
      <c r="O101" s="61">
        <f t="shared" ref="O101:O120" si="17">N101</f>
        <v>0</v>
      </c>
      <c r="P101" s="60">
        <f t="shared" ref="P101:P120" si="18">MIN(SUM(L101,M101,O101),R101)</f>
        <v>0</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
      </c>
      <c r="D102" s="19"/>
      <c r="E102" s="15" t="s">
        <v>1441</v>
      </c>
      <c r="F102" s="3"/>
      <c r="G102" s="60" t="str">
        <f>IFERROR(VLOOKUP(F102,tblManoeuvre[],2,FALSE)&amp;" "&amp;VLOOKUP(F102,tblManoeuvre[],3,FALSE),"")</f>
        <v/>
      </c>
      <c r="H102" s="67" t="str">
        <f>IFERROR(IF(VLOOKUP(F102,tblManoeuvre[],8,FALSE)=0,"None",VLOOKUP(F102,tblManoeuvre[],8,FALSE)),"None")</f>
        <v>None</v>
      </c>
      <c r="I102" s="67"/>
      <c r="L102" s="4"/>
      <c r="M102" s="4"/>
      <c r="N102" s="4"/>
      <c r="O102" s="61">
        <f t="shared" si="17"/>
        <v>0</v>
      </c>
      <c r="P102" s="60">
        <f t="shared" si="18"/>
        <v>0</v>
      </c>
      <c r="Q102" s="61">
        <v>1</v>
      </c>
      <c r="R102" s="61">
        <v>1</v>
      </c>
      <c r="Y102" s="15">
        <v>1</v>
      </c>
      <c r="Z102" s="61" t="s">
        <v>251</v>
      </c>
      <c r="AA102" s="60" t="str" cm="1">
        <f t="array" ref="AA102">IF(VLOOKUP(Z102,$AI$1:$AJ$58,2,FALSE)&gt;=Y102,INDEX(tblDisciplines[Name],MATCH(1,(tblDisciplines[Discipline]=Z102)*(tblDisciplines[Rank]=Y102),0)),"")</f>
        <v>Protection 1</v>
      </c>
    </row>
    <row r="103" spans="1:27">
      <c r="A103" s="1" t="s">
        <v>102</v>
      </c>
      <c r="B103">
        <f>P73</f>
        <v>6</v>
      </c>
      <c r="D103" s="19"/>
      <c r="E103" s="15" t="s">
        <v>1443</v>
      </c>
      <c r="F103" s="3"/>
      <c r="G103" s="60" t="str">
        <f>IFERROR(VLOOKUP(F103,tblManoeuvre[],2,FALSE)&amp;" "&amp;VLOOKUP(F103,tblManoeuvre[],3,FALSE),"")</f>
        <v/>
      </c>
      <c r="H103" s="67" t="str">
        <f>IFERROR(IF(VLOOKUP(F103,tblManoeuvre[],8,FALSE)=0,"None",VLOOKUP(F103,tblManoeuvre[],8,FALSE)),"None")</f>
        <v>None</v>
      </c>
      <c r="I103" s="67"/>
      <c r="L103" s="4"/>
      <c r="M103" s="4"/>
      <c r="N103" s="4"/>
      <c r="O103" s="61">
        <f t="shared" si="17"/>
        <v>0</v>
      </c>
      <c r="P103" s="60">
        <f t="shared" si="18"/>
        <v>0</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c r="G104" s="60" t="str">
        <f>IFERROR(VLOOKUP(F104,tblManoeuvre[],2,FALSE)&amp;" "&amp;VLOOKUP(F104,tblManoeuvre[],3,FALSE),"")</f>
        <v/>
      </c>
      <c r="H104" s="67" t="str">
        <f>IFERROR(IF(VLOOKUP(F104,tblManoeuvre[],8,FALSE)=0,"None",VLOOKUP(F104,tblManoeuvre[],8,FALSE)),"None")</f>
        <v>None</v>
      </c>
      <c r="I104" s="67"/>
      <c r="L104" s="4"/>
      <c r="M104" s="4"/>
      <c r="N104" s="4"/>
      <c r="O104" s="61">
        <f t="shared" si="17"/>
        <v>0</v>
      </c>
      <c r="P104" s="60">
        <f t="shared" si="18"/>
        <v>0</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c r="G105" s="60" t="str">
        <f>IFERROR(VLOOKUP(F105,tblManoeuvre[],2,FALSE)&amp;" "&amp;VLOOKUP(F105,tblManoeuvre[],3,FALSE),"")</f>
        <v/>
      </c>
      <c r="H105" s="67" t="str">
        <f>IFERROR(IF(VLOOKUP(F105,tblManoeuvre[],8,FALSE)=0,"None",VLOOKUP(F105,tblManoeuvre[],8,FALSE)),"None")</f>
        <v>None</v>
      </c>
      <c r="I105" s="67"/>
      <c r="L105" s="4"/>
      <c r="M105" s="4"/>
      <c r="N105" s="4"/>
      <c r="O105" s="61">
        <f t="shared" si="17"/>
        <v>0</v>
      </c>
      <c r="P105" s="60">
        <f t="shared" si="18"/>
        <v>0</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IFERROR(VLOOKUP(F106,tblManoeuvre[],2,FALSE)&amp;" "&amp;VLOOKUP(F106,tblManoeuvre[],3,FALSE),"")</f>
        <v/>
      </c>
      <c r="H106" s="67" t="str">
        <f>IFERROR(IF(VLOOKUP(F106,tblManoeuvre[],8,FALSE)=0,"None",VLOOKUP(F106,tblManoeuvre[],8,FALSE)),"None")</f>
        <v>None</v>
      </c>
      <c r="I106" s="67"/>
      <c r="L106" s="4"/>
      <c r="M106" s="4"/>
      <c r="N106" s="4"/>
      <c r="O106" s="61">
        <f t="shared" si="17"/>
        <v>0</v>
      </c>
      <c r="P106" s="60">
        <f t="shared" si="18"/>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IFERROR(VLOOKUP(F107,tblManoeuvre[],2,FALSE)&amp;" "&amp;VLOOKUP(F107,tblManoeuvre[],3,FALSE),"")</f>
        <v/>
      </c>
      <c r="H107" s="67" t="str">
        <f>IFERROR(IF(VLOOKUP(F107,tblManoeuvre[],8,FALSE)=0,"None",VLOOKUP(F107,tblManoeuvre[],8,FALSE)),"None")</f>
        <v>None</v>
      </c>
      <c r="I107" s="67"/>
      <c r="L107" s="4"/>
      <c r="M107" s="4"/>
      <c r="N107" s="4"/>
      <c r="O107" s="61">
        <f t="shared" si="17"/>
        <v>0</v>
      </c>
      <c r="P107" s="60">
        <f t="shared" si="18"/>
        <v>0</v>
      </c>
      <c r="Q107" s="61">
        <v>1</v>
      </c>
      <c r="R107" s="61">
        <v>1</v>
      </c>
      <c r="Y107" s="15">
        <v>1</v>
      </c>
      <c r="Z107" s="61" t="s">
        <v>252</v>
      </c>
      <c r="AA107" s="60" t="str" cm="1">
        <f t="array" ref="AA107">IF(VLOOKUP(Z107,$AI$1:$AJ$58,2,FALSE)&gt;=Y107,INDEX(tblDisciplines[Name],MATCH(1,(tblDisciplines[Discipline]=Z107)*(tblDisciplines[Rank]=Y107),0)),"")</f>
        <v/>
      </c>
    </row>
    <row r="108" spans="1:27">
      <c r="A108" s="1" t="s">
        <v>107</v>
      </c>
      <c r="B108" t="str">
        <f>IF($P$73&gt;=7,"●","○") &amp; IF(F226&lt;&gt;""," (" &amp; F226 &amp; ")","")</f>
        <v>○</v>
      </c>
      <c r="D108" s="19"/>
      <c r="E108" s="15" t="s">
        <v>1452</v>
      </c>
      <c r="F108" s="3"/>
      <c r="G108" s="60" t="str">
        <f>IFERROR(VLOOKUP(F108,tblManoeuvre[],2,FALSE)&amp;" "&amp;VLOOKUP(F108,tblManoeuvre[],3,FALSE),"")</f>
        <v/>
      </c>
      <c r="H108" s="67" t="str">
        <f>IFERROR(IF(VLOOKUP(F108,tblManoeuvre[],8,FALSE)=0,"None",VLOOKUP(F108,tblManoeuvre[],8,FALSE)),"None")</f>
        <v>None</v>
      </c>
      <c r="I108" s="67"/>
      <c r="L108" s="4"/>
      <c r="M108" s="4"/>
      <c r="N108" s="4"/>
      <c r="O108" s="61">
        <f t="shared" si="17"/>
        <v>0</v>
      </c>
      <c r="P108" s="60">
        <f t="shared" si="18"/>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 (Sister (unnamed))</v>
      </c>
      <c r="D109" s="19"/>
      <c r="E109" s="15" t="s">
        <v>1454</v>
      </c>
      <c r="F109" s="3"/>
      <c r="G109" s="60" t="str">
        <f>IFERROR(VLOOKUP(F109,tblManoeuvre[],2,FALSE)&amp;" "&amp;VLOOKUP(F109,tblManoeuvre[],3,FALSE),"")</f>
        <v/>
      </c>
      <c r="H109" s="67" t="str">
        <f>IFERROR(IF(VLOOKUP(F109,tblManoeuvre[],8,FALSE)=0,"None",VLOOKUP(F109,tblManoeuvre[],8,FALSE)),"None")</f>
        <v>None</v>
      </c>
      <c r="I109" s="67"/>
      <c r="L109" s="4"/>
      <c r="M109" s="4"/>
      <c r="N109" s="4"/>
      <c r="O109" s="61">
        <f t="shared" si="17"/>
        <v>0</v>
      </c>
      <c r="P109" s="60">
        <f t="shared" si="18"/>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 (One parent (unnamed))</v>
      </c>
      <c r="D110" s="19"/>
      <c r="E110" s="15" t="s">
        <v>1455</v>
      </c>
      <c r="F110" s="3"/>
      <c r="G110" s="60" t="str">
        <f>IFERROR(VLOOKUP(F110,tblManoeuvre[],2,FALSE)&amp;" "&amp;VLOOKUP(F110,tblManoeuvre[],3,FALSE),"")</f>
        <v/>
      </c>
      <c r="H110" s="67" t="str">
        <f>IFERROR(IF(VLOOKUP(F110,tblManoeuvre[],8,FALSE)=0,"None",VLOOKUP(F110,tblManoeuvre[],8,FALSE)),"None")</f>
        <v>None</v>
      </c>
      <c r="I110" s="67"/>
      <c r="L110" s="4"/>
      <c r="M110" s="4"/>
      <c r="N110" s="4"/>
      <c r="O110" s="61">
        <f t="shared" si="17"/>
        <v>0</v>
      </c>
      <c r="P110" s="60">
        <f t="shared" si="18"/>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t="str">
        <f>IFERROR(VLOOKUP(F111,tblManoeuvre[],2,FALSE)&amp;" "&amp;VLOOKUP(F111,tblManoeuvre[],3,FALSE),"")</f>
        <v/>
      </c>
      <c r="H111" s="67" t="str">
        <f>IFERROR(IF(VLOOKUP(F111,tblManoeuvre[],8,FALSE)=0,"None",VLOOKUP(F111,tblManoeuvre[],8,FALSE)),"None")</f>
        <v>None</v>
      </c>
      <c r="I111" s="67"/>
      <c r="L111" s="4"/>
      <c r="M111" s="4"/>
      <c r="N111" s="4"/>
      <c r="O111" s="61">
        <f t="shared" si="17"/>
        <v>0</v>
      </c>
      <c r="P111" s="60">
        <f t="shared" si="18"/>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t="str">
        <f>IFERROR(VLOOKUP(F112,tblManoeuvre[],2,FALSE)&amp;" "&amp;VLOOKUP(F112,tblManoeuvre[],3,FALSE),"")</f>
        <v/>
      </c>
      <c r="H112" s="67" t="str">
        <f>IFERROR(IF(VLOOKUP(F112,tblManoeuvre[],8,FALSE)=0,"None",VLOOKUP(F112,tblManoeuvre[],8,FALSE)),"None")</f>
        <v>None</v>
      </c>
      <c r="I112" s="67"/>
      <c r="L112" s="4"/>
      <c r="M112" s="4"/>
      <c r="N112" s="4"/>
      <c r="O112" s="61">
        <f t="shared" si="17"/>
        <v>0</v>
      </c>
      <c r="P112" s="60">
        <f t="shared" si="18"/>
        <v>0</v>
      </c>
      <c r="Q112" s="61">
        <v>1</v>
      </c>
      <c r="R112" s="61">
        <v>1</v>
      </c>
      <c r="Y112" s="61" t="s">
        <v>1474</v>
      </c>
      <c r="Z112" s="61" t="str">
        <f t="shared" ref="Z112:Z121" si="19">G194</f>
        <v/>
      </c>
      <c r="AA112" s="60" t="str">
        <f t="shared" ref="AA112:AA121" si="20">IF(P194="","",F194)</f>
        <v/>
      </c>
    </row>
    <row r="113" spans="1:27">
      <c r="A113" s="1" t="s">
        <v>112</v>
      </c>
      <c r="B113" t="str">
        <f>IF($P$73&gt;=2,"●","○") &amp; IF(F231&lt;&gt;""," (" &amp; F231 &amp; ")","")</f>
        <v>●</v>
      </c>
      <c r="D113" s="19"/>
      <c r="E113" s="15" t="s">
        <v>1458</v>
      </c>
      <c r="F113" s="3"/>
      <c r="G113" s="60" t="str">
        <f>IFERROR(VLOOKUP(F113,tblManoeuvre[],2,FALSE)&amp;" "&amp;VLOOKUP(F113,tblManoeuvre[],3,FALSE),"")</f>
        <v/>
      </c>
      <c r="H113" s="67" t="str">
        <f>IFERROR(IF(VLOOKUP(F113,tblManoeuvre[],8,FALSE)=0,"None",VLOOKUP(F113,tblManoeuvre[],8,FALSE)),"None")</f>
        <v>None</v>
      </c>
      <c r="I113" s="67"/>
      <c r="L113" s="4"/>
      <c r="M113" s="4"/>
      <c r="N113" s="4"/>
      <c r="O113" s="61">
        <f t="shared" si="17"/>
        <v>0</v>
      </c>
      <c r="P113" s="60">
        <f t="shared" si="18"/>
        <v>0</v>
      </c>
      <c r="Q113" s="61">
        <v>1</v>
      </c>
      <c r="R113" s="61">
        <v>1</v>
      </c>
      <c r="Y113" s="61" t="s">
        <v>1474</v>
      </c>
      <c r="Z113" s="61" t="str">
        <f t="shared" si="19"/>
        <v/>
      </c>
      <c r="AA113" s="60" t="str">
        <f t="shared" si="20"/>
        <v/>
      </c>
    </row>
    <row r="114" spans="1:27">
      <c r="A114" s="1" t="s">
        <v>113</v>
      </c>
      <c r="B114" t="str">
        <f>IF($P$73&gt;=1,"●","○") &amp; IF(F232&lt;&gt;""," (" &amp; F232 &amp; ")","")</f>
        <v>●</v>
      </c>
      <c r="D114" s="19"/>
      <c r="E114" s="15" t="s">
        <v>1460</v>
      </c>
      <c r="F114" s="3"/>
      <c r="G114" s="60" t="str">
        <f>IFERROR(VLOOKUP(F114,tblManoeuvre[],2,FALSE)&amp;" "&amp;VLOOKUP(F114,tblManoeuvre[],3,FALSE),"")</f>
        <v/>
      </c>
      <c r="H114" s="67" t="str">
        <f>IFERROR(IF(VLOOKUP(F114,tblManoeuvre[],8,FALSE)=0,"None",VLOOKUP(F114,tblManoeuvre[],8,FALSE)),"None")</f>
        <v>None</v>
      </c>
      <c r="I114" s="67"/>
      <c r="L114" s="4"/>
      <c r="M114" s="4"/>
      <c r="N114" s="4"/>
      <c r="O114" s="61">
        <f t="shared" si="17"/>
        <v>0</v>
      </c>
      <c r="P114" s="60">
        <f t="shared" si="18"/>
        <v>0</v>
      </c>
      <c r="Q114" s="61">
        <v>1</v>
      </c>
      <c r="R114" s="61">
        <v>1</v>
      </c>
      <c r="Y114" s="61" t="s">
        <v>1474</v>
      </c>
      <c r="Z114" s="61" t="str">
        <f t="shared" si="19"/>
        <v/>
      </c>
      <c r="AA114" s="60" t="str">
        <f t="shared" si="20"/>
        <v/>
      </c>
    </row>
    <row r="115" spans="1:27">
      <c r="A115" s="1" t="s">
        <v>114</v>
      </c>
      <c r="B115" t="str">
        <f t="shared" ref="B115:B144" si="21">IF(AD2="","¬",AD2)</f>
        <v>Hobbyist Clique ●</v>
      </c>
      <c r="D115" s="19"/>
      <c r="E115" s="15" t="s">
        <v>1461</v>
      </c>
      <c r="F115" s="3"/>
      <c r="G115" s="60" t="str">
        <f>IFERROR(VLOOKUP(F115,tblManoeuvre[],2,FALSE)&amp;" "&amp;VLOOKUP(F115,tblManoeuvre[],3,FALSE),"")</f>
        <v/>
      </c>
      <c r="H115" s="67" t="str">
        <f>IFERROR(IF(VLOOKUP(F115,tblManoeuvre[],8,FALSE)=0,"None",VLOOKUP(F115,tblManoeuvre[],8,FALSE)),"None")</f>
        <v>None</v>
      </c>
      <c r="I115" s="67"/>
      <c r="L115" s="4"/>
      <c r="M115" s="4"/>
      <c r="N115" s="4"/>
      <c r="O115" s="61">
        <f t="shared" si="17"/>
        <v>0</v>
      </c>
      <c r="P115" s="60">
        <f t="shared" si="18"/>
        <v>0</v>
      </c>
      <c r="Q115" s="61">
        <v>1</v>
      </c>
      <c r="R115" s="61">
        <v>1</v>
      </c>
      <c r="Y115" s="61" t="s">
        <v>1474</v>
      </c>
      <c r="Z115" s="61" t="str">
        <f t="shared" si="19"/>
        <v/>
      </c>
      <c r="AA115" s="60" t="str">
        <f t="shared" si="20"/>
        <v/>
      </c>
    </row>
    <row r="116" spans="1:27">
      <c r="A116" s="1" t="s">
        <v>115</v>
      </c>
      <c r="B116" t="str">
        <f t="shared" si="21"/>
        <v>Library (Occult) ●●</v>
      </c>
      <c r="D116" s="19"/>
      <c r="E116" s="15" t="s">
        <v>1462</v>
      </c>
      <c r="F116" s="3"/>
      <c r="G116" s="60" t="str">
        <f>IFERROR(VLOOKUP(F116,tblManoeuvre[],2,FALSE)&amp;" "&amp;VLOOKUP(F116,tblManoeuvre[],3,FALSE),"")</f>
        <v/>
      </c>
      <c r="H116" s="67" t="str">
        <f>IFERROR(IF(VLOOKUP(F116,tblManoeuvre[],8,FALSE)=0,"None",VLOOKUP(F116,tblManoeuvre[],8,FALSE)),"None")</f>
        <v>None</v>
      </c>
      <c r="I116" s="67"/>
      <c r="L116" s="4"/>
      <c r="M116" s="4"/>
      <c r="N116" s="4"/>
      <c r="O116" s="61">
        <f t="shared" si="17"/>
        <v>0</v>
      </c>
      <c r="P116" s="60">
        <f t="shared" si="18"/>
        <v>0</v>
      </c>
      <c r="Q116" s="61">
        <v>1</v>
      </c>
      <c r="R116" s="61">
        <v>1</v>
      </c>
      <c r="Y116" s="61" t="s">
        <v>1474</v>
      </c>
      <c r="Z116" s="61" t="str">
        <f t="shared" si="19"/>
        <v/>
      </c>
      <c r="AA116" s="60" t="str">
        <f t="shared" si="20"/>
        <v/>
      </c>
    </row>
    <row r="117" spans="1:27">
      <c r="A117" s="1" t="s">
        <v>116</v>
      </c>
      <c r="B117" t="str">
        <f t="shared" si="21"/>
        <v>Secret Society Junkie (Does not qualify) ●</v>
      </c>
      <c r="D117" s="19"/>
      <c r="E117" s="15" t="s">
        <v>1463</v>
      </c>
      <c r="F117" s="3"/>
      <c r="G117" s="60" t="str">
        <f>IFERROR(VLOOKUP(F117,tblManoeuvre[],2,FALSE)&amp;" "&amp;VLOOKUP(F117,tblManoeuvre[],3,FALSE),"")</f>
        <v/>
      </c>
      <c r="H117" s="67" t="str">
        <f>IFERROR(IF(VLOOKUP(F117,tblManoeuvre[],8,FALSE)=0,"None",VLOOKUP(F117,tblManoeuvre[],8,FALSE)),"None")</f>
        <v>None</v>
      </c>
      <c r="I117" s="67"/>
      <c r="L117" s="4"/>
      <c r="M117" s="4"/>
      <c r="N117" s="4"/>
      <c r="O117" s="61">
        <f t="shared" si="17"/>
        <v>0</v>
      </c>
      <c r="P117" s="60">
        <f t="shared" si="18"/>
        <v>0</v>
      </c>
      <c r="Q117" s="61">
        <v>1</v>
      </c>
      <c r="R117" s="61">
        <v>1</v>
      </c>
      <c r="Y117" s="61" t="s">
        <v>1474</v>
      </c>
      <c r="Z117" s="61" t="str">
        <f t="shared" si="19"/>
        <v/>
      </c>
      <c r="AA117" s="60" t="str">
        <f t="shared" si="20"/>
        <v/>
      </c>
    </row>
    <row r="118" spans="1:27">
      <c r="A118" s="1" t="s">
        <v>117</v>
      </c>
      <c r="B118" t="str">
        <f t="shared" si="21"/>
        <v>Viral Mythology ●●●</v>
      </c>
      <c r="D118" s="19"/>
      <c r="E118" s="15" t="s">
        <v>1464</v>
      </c>
      <c r="F118" s="3"/>
      <c r="G118" s="60" t="str">
        <f>IFERROR(VLOOKUP(F118,tblManoeuvre[],2,FALSE)&amp;" "&amp;VLOOKUP(F118,tblManoeuvre[],3,FALSE),"")</f>
        <v/>
      </c>
      <c r="H118" s="67" t="str">
        <f>IFERROR(IF(VLOOKUP(F118,tblManoeuvre[],8,FALSE)=0,"None",VLOOKUP(F118,tblManoeuvre[],8,FALSE)),"None")</f>
        <v>None</v>
      </c>
      <c r="I118" s="67"/>
      <c r="L118" s="4"/>
      <c r="M118" s="4"/>
      <c r="N118" s="4"/>
      <c r="O118" s="61">
        <f t="shared" si="17"/>
        <v>0</v>
      </c>
      <c r="P118" s="60">
        <f t="shared" si="18"/>
        <v>0</v>
      </c>
      <c r="Q118" s="61">
        <v>1</v>
      </c>
      <c r="R118" s="61">
        <v>1</v>
      </c>
      <c r="Y118" s="61" t="s">
        <v>1474</v>
      </c>
      <c r="Z118" s="61" t="str">
        <f t="shared" si="19"/>
        <v/>
      </c>
      <c r="AA118" s="60" t="str">
        <f t="shared" si="20"/>
        <v/>
      </c>
    </row>
    <row r="119" spans="1:27">
      <c r="A119" s="1" t="s">
        <v>118</v>
      </c>
      <c r="B119" t="str">
        <f t="shared" si="21"/>
        <v>¬</v>
      </c>
      <c r="D119" s="19"/>
      <c r="E119" s="15" t="s">
        <v>1466</v>
      </c>
      <c r="F119" s="3"/>
      <c r="G119" s="60" t="str">
        <f>IFERROR(VLOOKUP(F119,tblManoeuvre[],2,FALSE)&amp;" "&amp;VLOOKUP(F119,tblManoeuvre[],3,FALSE),"")</f>
        <v/>
      </c>
      <c r="H119" s="67" t="str">
        <f>IFERROR(IF(VLOOKUP(F119,tblManoeuvre[],8,FALSE)=0,"None",VLOOKUP(F119,tblManoeuvre[],8,FALSE)),"None")</f>
        <v>None</v>
      </c>
      <c r="I119" s="67"/>
      <c r="L119" s="4"/>
      <c r="M119" s="4"/>
      <c r="N119" s="4"/>
      <c r="O119" s="61">
        <f t="shared" si="17"/>
        <v>0</v>
      </c>
      <c r="P119" s="60">
        <f t="shared" si="18"/>
        <v>0</v>
      </c>
      <c r="Q119" s="61">
        <v>1</v>
      </c>
      <c r="R119" s="61">
        <v>1</v>
      </c>
      <c r="Y119" s="61" t="s">
        <v>1474</v>
      </c>
      <c r="Z119" s="61" t="str">
        <f t="shared" si="19"/>
        <v/>
      </c>
      <c r="AA119" s="60" t="str">
        <f t="shared" si="20"/>
        <v/>
      </c>
    </row>
    <row r="120" spans="1:27">
      <c r="A120" s="1" t="s">
        <v>119</v>
      </c>
      <c r="B120" t="str">
        <f t="shared" si="21"/>
        <v>¬</v>
      </c>
      <c r="D120" s="19"/>
      <c r="E120" s="15" t="s">
        <v>1468</v>
      </c>
      <c r="F120" s="3"/>
      <c r="G120" s="60" t="str">
        <f>IFERROR(VLOOKUP(F120,tblManoeuvre[],2,FALSE)&amp;" "&amp;VLOOKUP(F120,tblManoeuvre[],3,FALSE),"")</f>
        <v/>
      </c>
      <c r="H120" s="67" t="str">
        <f>IFERROR(IF(VLOOKUP(F120,tblManoeuvre[],8,FALSE)=0,"None",VLOOKUP(F120,tblManoeuvre[],8,FALSE)),"None")</f>
        <v>None</v>
      </c>
      <c r="I120" s="67"/>
      <c r="L120" s="4"/>
      <c r="M120" s="4"/>
      <c r="N120" s="4"/>
      <c r="O120" s="61">
        <f t="shared" si="17"/>
        <v>0</v>
      </c>
      <c r="P120" s="60">
        <f t="shared" si="18"/>
        <v>0</v>
      </c>
      <c r="Q120" s="61">
        <v>1</v>
      </c>
      <c r="R120" s="61">
        <v>1</v>
      </c>
      <c r="Y120" s="61" t="s">
        <v>1474</v>
      </c>
      <c r="Z120" s="61" t="str">
        <f t="shared" si="19"/>
        <v/>
      </c>
      <c r="AA120" s="60" t="str">
        <f t="shared" si="20"/>
        <v/>
      </c>
    </row>
    <row r="121" spans="1:27">
      <c r="A121" s="1" t="s">
        <v>120</v>
      </c>
      <c r="B121" t="str">
        <f t="shared" si="21"/>
        <v>¬</v>
      </c>
      <c r="Y121" s="61" t="s">
        <v>1474</v>
      </c>
      <c r="Z121" s="61" t="str">
        <f t="shared" si="19"/>
        <v/>
      </c>
      <c r="AA121" s="60" t="str">
        <f t="shared" si="20"/>
        <v/>
      </c>
    </row>
    <row r="122" spans="1:27" ht="15.75" thickBot="1">
      <c r="A122" s="1" t="s">
        <v>121</v>
      </c>
      <c r="B122" t="str">
        <f t="shared" si="21"/>
        <v>¬</v>
      </c>
      <c r="D122" s="14" t="s">
        <v>1475</v>
      </c>
      <c r="E122" s="14"/>
      <c r="F122" s="14"/>
      <c r="G122" s="14"/>
      <c r="H122" s="14"/>
      <c r="I122" s="14"/>
    </row>
    <row r="123" spans="1:27">
      <c r="A123" s="1" t="s">
        <v>122</v>
      </c>
      <c r="B123" t="str">
        <f t="shared" si="21"/>
        <v>¬</v>
      </c>
      <c r="D123" s="16" t="s">
        <v>927</v>
      </c>
      <c r="E123" s="17"/>
      <c r="F123" s="17"/>
      <c r="G123" s="17"/>
      <c r="H123" s="17"/>
      <c r="I123" s="17"/>
      <c r="Y123" s="15" t="s">
        <v>1476</v>
      </c>
      <c r="Z123" s="19"/>
      <c r="AA123" s="61" t="str">
        <f t="shared" ref="AA123:AA132" si="22">_xlfn.LET(_xlpm.name,VLOOKUP(Y123,$E$2:$F$362,2,FALSE),_xlpm.paid,_xlfn.IFNA(VLOOKUP(_xlpm.name,$F$121:$Q$215,11,FALSE)&gt;=VLOOKUP(_xlpm.name,$F$121:$Q$215,12,FALSE),FALSE),IF(AND(_xlpm.name&lt;&gt;"",_xlpm.paid),_xlpm.name,""))</f>
        <v/>
      </c>
    </row>
    <row r="124" spans="1:27">
      <c r="A124" s="1" t="s">
        <v>123</v>
      </c>
      <c r="B124" t="str">
        <f t="shared" si="21"/>
        <v>¬</v>
      </c>
      <c r="D124" s="19"/>
      <c r="E124" s="15" t="s">
        <v>83</v>
      </c>
      <c r="F124" s="19"/>
      <c r="G124" s="19"/>
      <c r="H124" s="19"/>
      <c r="I124" s="19"/>
      <c r="L124" s="4">
        <v>2</v>
      </c>
      <c r="M124" s="61">
        <f>IFERROR(VLOOKUP(G12,tblEffectiveStatus[],2,FALSE),0)+IFERROR(VLOOKUP(G13,tblEffectiveStatus[],2,FALSE),0)</f>
        <v>0</v>
      </c>
      <c r="P124" s="60">
        <f>MIN(L124+M124,R124)</f>
        <v>2</v>
      </c>
      <c r="R124" s="61">
        <v>10</v>
      </c>
      <c r="Y124" s="15" t="s">
        <v>1477</v>
      </c>
      <c r="Z124" s="19"/>
      <c r="AA124" s="61" t="str">
        <f t="shared" si="22"/>
        <v/>
      </c>
    </row>
    <row r="125" spans="1:27">
      <c r="A125" s="1" t="s">
        <v>124</v>
      </c>
      <c r="B125" t="str">
        <f t="shared" si="21"/>
        <v>¬</v>
      </c>
      <c r="D125" s="19"/>
      <c r="E125" s="15" t="str">
        <f>IF(F7="","Clan Status",F7&amp;" Status")</f>
        <v>Mekhet Status</v>
      </c>
      <c r="F125" s="19"/>
      <c r="G125" s="19"/>
      <c r="H125" s="19"/>
      <c r="I125" s="19"/>
      <c r="L125" s="4">
        <v>1</v>
      </c>
      <c r="P125" s="60">
        <f>IF(L125="",0,MIN(L125,R125))</f>
        <v>1</v>
      </c>
      <c r="R125" s="61">
        <v>5</v>
      </c>
      <c r="Y125" s="15" t="s">
        <v>1478</v>
      </c>
      <c r="Z125" s="19"/>
      <c r="AA125" s="61" t="str">
        <f t="shared" si="22"/>
        <v/>
      </c>
    </row>
    <row r="126" spans="1:27">
      <c r="A126" s="1" t="s">
        <v>125</v>
      </c>
      <c r="B126" t="str">
        <f t="shared" si="21"/>
        <v>¬</v>
      </c>
      <c r="D126" s="19"/>
      <c r="E126" s="15" t="str">
        <f>IF(F9="","",F9&amp;" Status")</f>
        <v>Circle of the Crone Status</v>
      </c>
      <c r="F126" s="19" t="str">
        <f>IF(F9="","",VLOOKUP(F9,tblCovenantShortName[#Data],2,FALSE))</f>
        <v>Crone</v>
      </c>
      <c r="G126" s="19"/>
      <c r="H126" s="19"/>
      <c r="I126" s="19"/>
      <c r="L126" s="4">
        <v>2</v>
      </c>
      <c r="P126" s="60">
        <f>L126</f>
        <v>2</v>
      </c>
      <c r="R126" s="61">
        <f>5-SUM(L127:L129)</f>
        <v>5</v>
      </c>
      <c r="Y126" s="15" t="s">
        <v>1479</v>
      </c>
      <c r="Z126" s="19"/>
      <c r="AA126" s="61" t="str">
        <f t="shared" si="22"/>
        <v/>
      </c>
    </row>
    <row r="127" spans="1:27">
      <c r="A127" s="1" t="s">
        <v>126</v>
      </c>
      <c r="B127" t="str">
        <f t="shared" si="21"/>
        <v>¬</v>
      </c>
      <c r="D127" s="19"/>
      <c r="E127" s="15" t="str" cm="1">
        <f t="array" ref="E127">IF(F9="","",IFERROR(INDEX(Lists!$F$2:$F$5,SMALL(IF(Lists!$F$2:$F$5&lt;&gt;$F$9,ROW(Lists!$F$2:$F$5)-ROW(Lists!$F$2)+1),1))&amp;" Status",""))</f>
        <v>Carthian Movement Status</v>
      </c>
      <c r="F127" s="19" t="str" cm="1">
        <f t="array" ref="F127">IF(F9="","",IFERROR(VLOOKUP(INDEX(Lists!$F$2:$F$5,SMALL(IF(Lists!$F$2:$F$5&lt;&gt;$F$9,ROW(Lists!$F$2:$F$5)-ROW(Lists!$F$2)+1),1)),tblCovenantShortName[],2,FALSE),""))</f>
        <v>Carthian</v>
      </c>
      <c r="G127" s="19"/>
      <c r="H127" s="19"/>
      <c r="I127" s="19"/>
      <c r="L127" s="4"/>
      <c r="P127" s="60">
        <f>L127</f>
        <v>0</v>
      </c>
      <c r="R127" s="61">
        <f>MAX(0,MIN(P126-1,5-L126-L128-L129))</f>
        <v>1</v>
      </c>
      <c r="Y127" s="15" t="s">
        <v>1480</v>
      </c>
      <c r="Z127" s="19"/>
      <c r="AA127" s="61" t="str">
        <f t="shared" si="22"/>
        <v/>
      </c>
    </row>
    <row r="128" spans="1:27">
      <c r="A128" s="1" t="s">
        <v>127</v>
      </c>
      <c r="B128" t="str">
        <f t="shared" si="21"/>
        <v>¬</v>
      </c>
      <c r="D128" s="19"/>
      <c r="E128" s="15" t="str" cm="1">
        <f t="array" ref="E128">IF(F9="","",IFERROR(INDEX(Lists!$F$2:$F$5,SMALL(IF(Lists!$F$2:$F$5&lt;&gt;$F$9,ROW(Lists!$F$2:$F$5)-ROW(Lists!$F$2)+1),2))&amp;" Status",""))</f>
        <v>Invictus Status</v>
      </c>
      <c r="F128" s="19" t="str" cm="1">
        <f t="array" ref="F128">IF(F9="","",IFERROR(VLOOKUP(INDEX(Lists!$F$2:$F$5,SMALL(IF(Lists!$F$2:$F$5&lt;&gt;$F$9,ROW(Lists!$F$2:$F$5)-ROW(Lists!$F$2)+1),2)),tblCovenantShortName[],2,FALSE),""))</f>
        <v>Invictus</v>
      </c>
      <c r="G128" s="19"/>
      <c r="H128" s="19"/>
      <c r="I128" s="19"/>
      <c r="L128" s="4"/>
      <c r="P128" s="60">
        <f>L128</f>
        <v>0</v>
      </c>
      <c r="R128" s="61">
        <f>MAX(0,MIN(P126-1,5-L126-L127-L129))</f>
        <v>1</v>
      </c>
      <c r="Y128" s="15" t="s">
        <v>1481</v>
      </c>
      <c r="Z128" s="19"/>
      <c r="AA128" s="61" t="str">
        <f t="shared" si="22"/>
        <v/>
      </c>
    </row>
    <row r="129" spans="1:32">
      <c r="A129" s="1" t="s">
        <v>128</v>
      </c>
      <c r="B129" t="str">
        <f t="shared" si="21"/>
        <v>¬</v>
      </c>
      <c r="D129" s="19"/>
      <c r="E129" s="15" t="str" cm="1">
        <f t="array" ref="E129">IF(F9="","",IFERROR(INDEX(Lists!$F$2:$F$5,SMALL(IF(Lists!$F$2:$F$5&lt;&gt;$F$9,ROW(Lists!$F$2:$F$5)-ROW(Lists!$F$2)+1),3))&amp;" Status",""))</f>
        <v>Lancea et Sanctum Status</v>
      </c>
      <c r="F129" s="19" t="str" cm="1">
        <f t="array" ref="F129">IF(F9="","",IFERROR(VLOOKUP(INDEX(Lists!$F$2:$F$5,SMALL(IF(Lists!$F$2:$F$5&lt;&gt;$F$9,ROW(Lists!$F$2:$F$5)-ROW(Lists!$F$2)+1),3)),tblCovenantShortName[],2,FALSE),""))</f>
        <v>Lance</v>
      </c>
      <c r="G129" s="19"/>
      <c r="H129" s="19"/>
      <c r="I129" s="19"/>
      <c r="L129" s="4"/>
      <c r="P129" s="60">
        <f>L129</f>
        <v>0</v>
      </c>
      <c r="R129" s="61">
        <f>MAX(0,MIN(P126-1,5-L126-L127-L128))</f>
        <v>1</v>
      </c>
      <c r="Y129" s="15" t="s">
        <v>1482</v>
      </c>
      <c r="Z129" s="19"/>
      <c r="AA129" s="61" t="str">
        <f t="shared" si="22"/>
        <v/>
      </c>
    </row>
    <row r="130" spans="1:32">
      <c r="A130" s="1" t="s">
        <v>129</v>
      </c>
      <c r="B130" t="str">
        <f t="shared" si="21"/>
        <v>¬</v>
      </c>
      <c r="Y130" s="15" t="s">
        <v>1483</v>
      </c>
      <c r="Z130" s="19"/>
      <c r="AA130" s="61" t="str">
        <f t="shared" si="22"/>
        <v/>
      </c>
    </row>
    <row r="131" spans="1:32">
      <c r="A131" s="1" t="s">
        <v>130</v>
      </c>
      <c r="B131" t="str">
        <f t="shared" si="21"/>
        <v>¬</v>
      </c>
      <c r="D131" s="16" t="s">
        <v>1475</v>
      </c>
      <c r="E131" s="17"/>
      <c r="F131" s="16" t="s">
        <v>1446</v>
      </c>
      <c r="G131" s="17"/>
      <c r="H131" s="17"/>
      <c r="I131" s="17"/>
      <c r="Y131" s="15" t="s">
        <v>1484</v>
      </c>
      <c r="Z131" s="19"/>
      <c r="AA131" s="61" t="str">
        <f t="shared" si="22"/>
        <v/>
      </c>
    </row>
    <row r="132" spans="1:32">
      <c r="A132" s="1" t="s">
        <v>131</v>
      </c>
      <c r="B132" t="str">
        <f t="shared" si="21"/>
        <v>¬</v>
      </c>
      <c r="D132" s="58" t="s">
        <v>1574</v>
      </c>
      <c r="E132" s="15" t="s">
        <v>94</v>
      </c>
      <c r="F132" s="3"/>
      <c r="G132" s="19"/>
      <c r="H132" s="19"/>
      <c r="I132" s="19"/>
      <c r="L132" s="4"/>
      <c r="M132" s="4">
        <v>1</v>
      </c>
      <c r="N132" s="4"/>
      <c r="O132" s="61">
        <f>N132</f>
        <v>0</v>
      </c>
      <c r="P132" s="60">
        <f>MIN(SUM(L132,M132,O132),R132)</f>
        <v>1</v>
      </c>
      <c r="Q132" s="61">
        <f>_xlfn.IFNA(VLOOKUP($E132,tblDomain[],3,FALSE),"")</f>
        <v>1</v>
      </c>
      <c r="R132" s="61">
        <f>_xlfn.IFNA(VLOOKUP($E132,tblDomain[],4,FALSE),"")</f>
        <v>5</v>
      </c>
      <c r="Y132" s="15" t="s">
        <v>1485</v>
      </c>
      <c r="Z132" s="19"/>
      <c r="AA132" s="61" t="str">
        <f t="shared" si="22"/>
        <v/>
      </c>
    </row>
    <row r="133" spans="1:32">
      <c r="A133" s="1" t="s">
        <v>132</v>
      </c>
      <c r="B133" t="str">
        <f t="shared" si="21"/>
        <v>¬</v>
      </c>
      <c r="D133" s="19"/>
      <c r="E133" s="15" t="s">
        <v>95</v>
      </c>
      <c r="F133" s="3"/>
      <c r="G133" s="19"/>
      <c r="H133" s="19"/>
      <c r="I133" s="19"/>
      <c r="L133" s="4">
        <v>1</v>
      </c>
      <c r="M133" s="4"/>
      <c r="N133" s="4"/>
      <c r="O133" s="61">
        <f>N133</f>
        <v>0</v>
      </c>
      <c r="P133" s="60">
        <f>MIN(SUM(L133,M133,O133),R133)</f>
        <v>1</v>
      </c>
      <c r="Q133" s="61">
        <f>_xlfn.IFNA(VLOOKUP($E133,tblDomain[],3,FALSE),"")</f>
        <v>1</v>
      </c>
      <c r="R133" s="61">
        <f>_xlfn.IFNA(VLOOKUP($E133,tblDomain[],4,FALSE),"")</f>
        <v>5</v>
      </c>
    </row>
    <row r="134" spans="1:32">
      <c r="A134" s="1" t="s">
        <v>133</v>
      </c>
      <c r="B134" t="str">
        <f t="shared" si="21"/>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3">_xlfn.LET(_xlpm.name,VLOOKUP(Y134,$E$2:$F$362,2,FALSE),_xlpm.note,VLOOKUP(Y134,$E$2:$G$362,3,FALSE),_xlpm.row,MATCH(Y134,$E$138:$E$157,0),_xlpm.dots,INDEX($P$138:$P$157,_xlpm.row),_xlpm.max,INDEX($Q$138:$Q$157,_xlpm.row),_xlpm.paid,_xlfn.IFNA(_xlpm.dots&gt;=_xlpm.max,FALSE),IF(AND(_xlpm.name&lt;&gt;"",_xlpm.paid),IF(_xlpm.note="",_xlpm.name,_xlpm.name&amp;" ("&amp;_xlpm.note&amp;")"),""))</f>
        <v>Allies (Health)</v>
      </c>
      <c r="AC134" s="60" t="str" cm="1">
        <f t="array" ref="AC134:AC138">_xlfn.LET(_xlpm.raw,IFERROR(_xlfn.VSTACK(IFERROR(_xlfn._xlws.SORT(_xlfn._xlws.FILTER(AA134:AA211,AA134:AA211&lt;&gt;"")),""),IFERROR(_xlfn._xlws.SORT(_xlfn._xlws.FILTER(AA213:AA222,AA213:AA222&lt;&gt;"")),"")),""),_xlpm.sorted,IFERROR(_xlfn._xlws.FILTER(_xlpm.raw,_xlpm.raw&lt;&gt;""),""),IFERROR(LEFT(_xlpm.sorted,FIND(" (",_xlpm.sorted)-1),_xlpm.sorted))</f>
        <v>Allies</v>
      </c>
      <c r="AD134" s="20" t="str" cm="1">
        <f t="array" ref="AD134:AD138">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Health</v>
      </c>
      <c r="AE134" s="20">
        <f t="shared" ref="AE134:AE153" si="24">IF(AC134="","",_xlfn.LET(_xlpm.sphere,AD134,_xlpm.dots,IF(OR(AF134="",AF134=0),0,AF134),_xlpm.broad,OR(_xlpm.sphere="",ISNUMBER(MATCH(_xlpm.sphere,lstAoI,0))),_xlpm.hwv,AND($AE$156,OR(AC134="Allies",AC134="Contacts",AND(AC134="Status",_xlpm.broad))),IF(_xlpm.hwv,IF(_xlpm.dots&gt;=4,2,IF(_xlpm.dots&gt;=2,1,0)),IF(OR(_xlpm.broad,AC134="Contacts",AC134="Retainer"),IF(_xlpm.dots&gt;=5,2,IF(_xlpm.dots&gt;=3,1,0)),IF(_xlpm.dots&gt;=5,1,0)))))</f>
        <v>1</v>
      </c>
      <c r="AF134" s="61" cm="1">
        <f t="array" ref="AF134">IF(AC134="","",SUMPRODUCT(($F$138:$F$157=AC134)*($G$138:$G$157=IF(AD134="","",AD134))*$P$138:$P$157))</f>
        <v>3</v>
      </c>
    </row>
    <row r="135" spans="1:32">
      <c r="A135" s="1" t="s">
        <v>134</v>
      </c>
      <c r="B135" t="str">
        <f t="shared" si="21"/>
        <v>¬</v>
      </c>
      <c r="D135" s="58" t="s">
        <v>1575</v>
      </c>
      <c r="E135" s="15" t="s">
        <v>97</v>
      </c>
      <c r="F135" s="19"/>
      <c r="G135" s="19"/>
      <c r="H135" s="19"/>
      <c r="I135" s="19"/>
      <c r="L135" s="4"/>
      <c r="M135" s="4">
        <v>5</v>
      </c>
      <c r="N135" s="4"/>
      <c r="O135" s="61">
        <f>N135</f>
        <v>0</v>
      </c>
      <c r="P135" s="60">
        <f>MIN(SUM(L135,M135,O135),R135)</f>
        <v>5</v>
      </c>
      <c r="Q135" s="61">
        <f>_xlfn.IFNA(VLOOKUP($E135,tblDomain[],3,FALSE),"")</f>
        <v>1</v>
      </c>
      <c r="R135" s="61">
        <f>_xlfn.IFNA(VLOOKUP($E135,tblDomain[],4,FALSE),"")</f>
        <v>5</v>
      </c>
      <c r="Y135" s="15" t="s">
        <v>177</v>
      </c>
      <c r="Z135" s="19"/>
      <c r="AA135" s="61" t="str">
        <f t="shared" si="23"/>
        <v>Allies (Politics)</v>
      </c>
      <c r="AC135" s="60" t="str">
        <v>Allies</v>
      </c>
      <c r="AD135" s="20" t="str">
        <v>Politics</v>
      </c>
      <c r="AE135" s="20">
        <f t="shared" si="24"/>
        <v>1</v>
      </c>
      <c r="AF135" s="61" cm="1">
        <f t="array" ref="AF135">IF(AC135="","",SUMPRODUCT(($F$138:$F$157=AC135)*($G$138:$G$157=IF(AD135="","",AD135))*$P$138:$P$157))</f>
        <v>3</v>
      </c>
    </row>
    <row r="136" spans="1:32">
      <c r="A136" s="1" t="s">
        <v>135</v>
      </c>
      <c r="B136" t="str">
        <f t="shared" si="21"/>
        <v>¬</v>
      </c>
      <c r="Y136" s="15" t="s">
        <v>178</v>
      </c>
      <c r="Z136" s="19"/>
      <c r="AA136" s="61" t="str">
        <f t="shared" si="23"/>
        <v>Contacts (Street, Occult, Industry)</v>
      </c>
      <c r="AC136" s="60" t="str">
        <v>Allies</v>
      </c>
      <c r="AD136" s="20" t="str">
        <v>Transportation</v>
      </c>
      <c r="AE136" s="20">
        <f t="shared" si="24"/>
        <v>1</v>
      </c>
      <c r="AF136" s="61" cm="1">
        <f t="array" ref="AF136">IF(AC136="","",SUMPRODUCT(($F$138:$F$157=AC136)*($G$138:$G$157=IF(AD136="","",AD136))*$P$138:$P$157))</f>
        <v>3</v>
      </c>
    </row>
    <row r="137" spans="1:32">
      <c r="A137" s="1" t="s">
        <v>136</v>
      </c>
      <c r="B137" t="str">
        <f t="shared" si="21"/>
        <v>¬</v>
      </c>
      <c r="D137" s="16" t="s">
        <v>174</v>
      </c>
      <c r="E137" s="17"/>
      <c r="F137" s="17"/>
      <c r="G137" s="17"/>
      <c r="H137" s="61">
        <f>L225</f>
        <v>0</v>
      </c>
      <c r="I137" s="61">
        <f>SUM(AE134:AE155)+SUM(P125:P129)</f>
        <v>9</v>
      </c>
      <c r="Y137" s="15" t="s">
        <v>179</v>
      </c>
      <c r="Z137" s="19"/>
      <c r="AA137" s="61" t="str">
        <f t="shared" si="23"/>
        <v>Allies (Underworld)</v>
      </c>
      <c r="AC137" s="60" t="str">
        <v>Allies</v>
      </c>
      <c r="AD137" s="20" t="str">
        <v>Underworld</v>
      </c>
      <c r="AE137" s="20">
        <f t="shared" si="24"/>
        <v>1</v>
      </c>
      <c r="AF137" s="61" cm="1">
        <f t="array" ref="AF137">IF(AC137="","",SUMPRODUCT(($F$138:$F$157=AC137)*($G$138:$G$157=IF(AD137="","",AD137))*$P$138:$P$157))</f>
        <v>3</v>
      </c>
    </row>
    <row r="138" spans="1:32">
      <c r="A138" s="1" t="s">
        <v>137</v>
      </c>
      <c r="B138" t="str">
        <f t="shared" si="21"/>
        <v>¬</v>
      </c>
      <c r="D138" s="58" t="s">
        <v>1576</v>
      </c>
      <c r="E138" s="15" t="s">
        <v>176</v>
      </c>
      <c r="F138" s="3" t="s">
        <v>412</v>
      </c>
      <c r="G138" s="3" t="s">
        <v>52</v>
      </c>
      <c r="H138" s="67" t="str">
        <f>IFERROR(IF(VLOOKUP(F138,tblManoeuvre[],8,FALSE)=0,"None",VLOOKUP(F138,tblManoeuvre[],8,FALSE)),"None")</f>
        <v>None</v>
      </c>
      <c r="I138" s="67"/>
      <c r="L138" s="4"/>
      <c r="M138" s="4">
        <v>3</v>
      </c>
      <c r="N138" s="4"/>
      <c r="O138" s="61">
        <f t="shared" ref="O138:O157" si="25">N138</f>
        <v>0</v>
      </c>
      <c r="P138" s="60">
        <f t="shared" ref="P138:P157" si="26">MIN(SUM(L138,M138,O138),R138)</f>
        <v>3</v>
      </c>
      <c r="Q138" s="61">
        <f>_xlfn.IFNA(VLOOKUP($F138,tblInfluence[],3,FALSE),"")</f>
        <v>1</v>
      </c>
      <c r="R138" s="61">
        <f>_xlfn.IFNA(VLOOKUP($F138,tblInfluence[],4,FALSE),"")</f>
        <v>5</v>
      </c>
      <c r="Y138" s="15" t="s">
        <v>180</v>
      </c>
      <c r="Z138" s="19"/>
      <c r="AA138" s="61" t="str">
        <f t="shared" si="23"/>
        <v>Allies (Transportation)</v>
      </c>
      <c r="AC138" s="60" t="str">
        <v>Contacts</v>
      </c>
      <c r="AD138" s="20" t="str">
        <v>Street, Occult, Industry</v>
      </c>
      <c r="AE138" s="20">
        <f t="shared" si="24"/>
        <v>1</v>
      </c>
      <c r="AF138" s="61" cm="1">
        <f t="array" ref="AF138">IF(AC138="","",SUMPRODUCT(($F$138:$F$157=AC138)*($G$138:$G$157=IF(AD138="","",AD138))*$P$138:$P$157))</f>
        <v>3</v>
      </c>
    </row>
    <row r="139" spans="1:32">
      <c r="A139" s="1" t="s">
        <v>138</v>
      </c>
      <c r="B139" t="str">
        <f t="shared" si="21"/>
        <v>¬</v>
      </c>
      <c r="D139" s="58" t="s">
        <v>1577</v>
      </c>
      <c r="E139" s="15" t="s">
        <v>177</v>
      </c>
      <c r="F139" s="3" t="s">
        <v>412</v>
      </c>
      <c r="G139" s="3" t="s">
        <v>31</v>
      </c>
      <c r="H139" s="67" t="str">
        <f>IFERROR(IF(VLOOKUP(F139,tblManoeuvre[],8,FALSE)=0,"None",VLOOKUP(F139,tblManoeuvre[],8,FALSE)),"None")</f>
        <v>None</v>
      </c>
      <c r="I139" s="67"/>
      <c r="L139" s="4"/>
      <c r="M139" s="4">
        <v>3</v>
      </c>
      <c r="N139" s="4"/>
      <c r="O139" s="61">
        <f t="shared" si="25"/>
        <v>0</v>
      </c>
      <c r="P139" s="60">
        <f t="shared" si="26"/>
        <v>3</v>
      </c>
      <c r="Q139" s="61">
        <f>_xlfn.IFNA(VLOOKUP($F139,tblInfluence[],3,FALSE),"")</f>
        <v>1</v>
      </c>
      <c r="R139" s="61">
        <f>_xlfn.IFNA(VLOOKUP($F139,tblInfluence[],4,FALSE),"")</f>
        <v>5</v>
      </c>
      <c r="Y139" s="15" t="s">
        <v>181</v>
      </c>
      <c r="Z139" s="19"/>
      <c r="AA139" s="61" t="str">
        <f t="shared" si="23"/>
        <v/>
      </c>
      <c r="AC139" s="60"/>
      <c r="AD139" s="20"/>
      <c r="AE139" s="20" t="str">
        <f t="shared" si="24"/>
        <v/>
      </c>
      <c r="AF139" s="61" t="str" cm="1">
        <f t="array" ref="AF139">IF(AC139="","",SUMPRODUCT(($F$138:$F$157=AC139)*($G$138:$G$157=IF(AD139="","",AD139))*$P$138:$P$157))</f>
        <v/>
      </c>
    </row>
    <row r="140" spans="1:32">
      <c r="A140" s="1" t="s">
        <v>139</v>
      </c>
      <c r="B140" t="str">
        <f t="shared" si="21"/>
        <v>¬</v>
      </c>
      <c r="D140" s="58" t="s">
        <v>1578</v>
      </c>
      <c r="E140" s="15" t="s">
        <v>178</v>
      </c>
      <c r="F140" s="3" t="s">
        <v>413</v>
      </c>
      <c r="G140" s="3" t="s">
        <v>416</v>
      </c>
      <c r="H140" s="67" t="str">
        <f>IFERROR(IF(VLOOKUP(F140,tblManoeuvre[],8,FALSE)=0,"None",VLOOKUP(F140,tblManoeuvre[],8,FALSE)),"None")</f>
        <v>None</v>
      </c>
      <c r="I140" s="67"/>
      <c r="L140" s="4"/>
      <c r="M140" s="4">
        <v>2</v>
      </c>
      <c r="N140" s="4">
        <v>1</v>
      </c>
      <c r="O140" s="61">
        <f t="shared" si="25"/>
        <v>1</v>
      </c>
      <c r="P140" s="60">
        <f t="shared" si="26"/>
        <v>3</v>
      </c>
      <c r="Q140" s="61">
        <f>_xlfn.IFNA(VLOOKUP($F140,tblInfluence[],3,FALSE),"")</f>
        <v>1</v>
      </c>
      <c r="R140" s="61">
        <f>_xlfn.IFNA(VLOOKUP($F140,tblInfluence[],4,FALSE),"")</f>
        <v>5</v>
      </c>
      <c r="Y140" s="15" t="s">
        <v>182</v>
      </c>
      <c r="Z140" s="19"/>
      <c r="AA140" s="61" t="str">
        <f t="shared" si="23"/>
        <v/>
      </c>
      <c r="AC140" s="60"/>
      <c r="AD140" s="20"/>
      <c r="AE140" s="20" t="str">
        <f t="shared" si="24"/>
        <v/>
      </c>
      <c r="AF140" s="61" t="str" cm="1">
        <f t="array" ref="AF140">IF(AC140="","",SUMPRODUCT(($F$138:$F$157=AC140)*($G$138:$G$157=IF(AD140="","",AD140))*$P$138:$P$157))</f>
        <v/>
      </c>
    </row>
    <row r="141" spans="1:32">
      <c r="A141" s="1" t="s">
        <v>140</v>
      </c>
      <c r="B141" t="str">
        <f t="shared" si="21"/>
        <v>¬</v>
      </c>
      <c r="D141" s="58" t="s">
        <v>1579</v>
      </c>
      <c r="E141" s="15" t="s">
        <v>179</v>
      </c>
      <c r="F141" s="3" t="s">
        <v>412</v>
      </c>
      <c r="G141" s="3" t="s">
        <v>415</v>
      </c>
      <c r="H141" s="67" t="str">
        <f>IFERROR(IF(VLOOKUP(F141,tblManoeuvre[],8,FALSE)=0,"None",VLOOKUP(F141,tblManoeuvre[],8,FALSE)),"None")</f>
        <v>None</v>
      </c>
      <c r="I141" s="67"/>
      <c r="L141" s="4"/>
      <c r="M141" s="4">
        <v>3</v>
      </c>
      <c r="N141" s="4"/>
      <c r="O141" s="61">
        <f t="shared" si="25"/>
        <v>0</v>
      </c>
      <c r="P141" s="60">
        <f t="shared" si="26"/>
        <v>3</v>
      </c>
      <c r="Q141" s="61">
        <f>_xlfn.IFNA(VLOOKUP($F141,tblInfluence[],3,FALSE),"")</f>
        <v>1</v>
      </c>
      <c r="R141" s="61">
        <f>_xlfn.IFNA(VLOOKUP($F141,tblInfluence[],4,FALSE),"")</f>
        <v>5</v>
      </c>
      <c r="Y141" s="15" t="s">
        <v>183</v>
      </c>
      <c r="Z141" s="19"/>
      <c r="AA141" s="61" t="str">
        <f t="shared" si="23"/>
        <v/>
      </c>
      <c r="AC141" s="60"/>
      <c r="AD141" s="20"/>
      <c r="AE141" s="20" t="str">
        <f t="shared" si="24"/>
        <v/>
      </c>
      <c r="AF141" s="61" t="str" cm="1">
        <f t="array" ref="AF141">IF(AC141="","",SUMPRODUCT(($F$138:$F$157=AC141)*($G$138:$G$157=IF(AD141="","",AD141))*$P$138:$P$157))</f>
        <v/>
      </c>
    </row>
    <row r="142" spans="1:32">
      <c r="A142" s="1" t="s">
        <v>141</v>
      </c>
      <c r="B142" t="str">
        <f t="shared" si="21"/>
        <v>¬</v>
      </c>
      <c r="D142" s="58" t="s">
        <v>1579</v>
      </c>
      <c r="E142" s="15" t="s">
        <v>180</v>
      </c>
      <c r="F142" s="3" t="s">
        <v>412</v>
      </c>
      <c r="G142" s="3" t="s">
        <v>414</v>
      </c>
      <c r="H142" s="67" t="str">
        <f>IFERROR(IF(VLOOKUP(F142,tblManoeuvre[],8,FALSE)=0,"None",VLOOKUP(F142,tblManoeuvre[],8,FALSE)),"None")</f>
        <v>None</v>
      </c>
      <c r="I142" s="67"/>
      <c r="L142" s="4"/>
      <c r="M142" s="4">
        <v>3</v>
      </c>
      <c r="N142" s="4"/>
      <c r="O142" s="61">
        <f t="shared" si="25"/>
        <v>0</v>
      </c>
      <c r="P142" s="60">
        <f t="shared" si="26"/>
        <v>3</v>
      </c>
      <c r="Q142" s="61">
        <f>_xlfn.IFNA(VLOOKUP($F142,tblInfluence[],3,FALSE),"")</f>
        <v>1</v>
      </c>
      <c r="R142" s="61">
        <f>_xlfn.IFNA(VLOOKUP($F142,tblInfluence[],4,FALSE),"")</f>
        <v>5</v>
      </c>
      <c r="Y142" s="15" t="s">
        <v>184</v>
      </c>
      <c r="Z142" s="19"/>
      <c r="AA142" s="61" t="str">
        <f t="shared" si="23"/>
        <v/>
      </c>
      <c r="AC142" s="60"/>
      <c r="AD142" s="20"/>
      <c r="AE142" s="20" t="str">
        <f t="shared" si="24"/>
        <v/>
      </c>
      <c r="AF142" s="61" t="str" cm="1">
        <f t="array" ref="AF142">IF(AC142="","",SUMPRODUCT(($F$138:$F$157=AC142)*($G$138:$G$157=IF(AD142="","",AD142))*$P$138:$P$157))</f>
        <v/>
      </c>
    </row>
    <row r="143" spans="1:32">
      <c r="A143" s="1" t="s">
        <v>142</v>
      </c>
      <c r="B143" t="str">
        <f t="shared" si="21"/>
        <v>¬</v>
      </c>
      <c r="D143" s="19"/>
      <c r="E143" s="15" t="s">
        <v>181</v>
      </c>
      <c r="F143" s="3"/>
      <c r="G143" s="3" t="str">
        <f>IFERROR(VLOOKUP(F143,tblManoeuvre[],2,FALSE)&amp;" "&amp;VLOOKUP(F143,tblManoeuvre[],3,FALSE),"")</f>
        <v/>
      </c>
      <c r="H143" s="67" t="str">
        <f>IFERROR(IF(VLOOKUP(F143,tblManoeuvre[],8,FALSE)=0,"None",VLOOKUP(F143,tblManoeuvre[],8,FALSE)),"None")</f>
        <v>None</v>
      </c>
      <c r="I143" s="67"/>
      <c r="L143" s="4"/>
      <c r="M143" s="4"/>
      <c r="N143" s="4"/>
      <c r="O143" s="61">
        <f t="shared" si="25"/>
        <v>0</v>
      </c>
      <c r="P143" s="60">
        <f t="shared" si="26"/>
        <v>0</v>
      </c>
      <c r="Q143" s="61" t="str">
        <f>_xlfn.IFNA(VLOOKUP($F143,tblInfluence[],3,FALSE),"")</f>
        <v/>
      </c>
      <c r="R143" s="61" t="str">
        <f>_xlfn.IFNA(VLOOKUP($F143,tblInfluence[],4,FALSE),"")</f>
        <v/>
      </c>
      <c r="Y143" s="15" t="s">
        <v>185</v>
      </c>
      <c r="Z143" s="19"/>
      <c r="AA143" s="61" t="str">
        <f t="shared" si="23"/>
        <v/>
      </c>
      <c r="AC143" s="60"/>
      <c r="AD143" s="20"/>
      <c r="AE143" s="20" t="str">
        <f t="shared" si="24"/>
        <v/>
      </c>
      <c r="AF143" s="61" t="str" cm="1">
        <f t="array" ref="AF143">IF(AC143="","",SUMPRODUCT(($F$138:$F$157=AC143)*($G$138:$G$157=IF(AD143="","",AD143))*$P$138:$P$157))</f>
        <v/>
      </c>
    </row>
    <row r="144" spans="1:32">
      <c r="A144" s="1" t="s">
        <v>143</v>
      </c>
      <c r="B144" t="str">
        <f t="shared" si="21"/>
        <v>¬</v>
      </c>
      <c r="D144" s="19"/>
      <c r="E144" s="15" t="s">
        <v>182</v>
      </c>
      <c r="F144" s="3"/>
      <c r="G144" s="3"/>
      <c r="H144" s="67" t="str">
        <f>IFERROR(IF(VLOOKUP(F144,tblManoeuvre[],8,FALSE)=0,"None",VLOOKUP(F144,tblManoeuvre[],8,FALSE)),"None")</f>
        <v>None</v>
      </c>
      <c r="I144" s="67"/>
      <c r="L144" s="4"/>
      <c r="M144" s="4"/>
      <c r="N144" s="4"/>
      <c r="O144" s="61">
        <f t="shared" si="25"/>
        <v>0</v>
      </c>
      <c r="P144" s="60">
        <f t="shared" si="26"/>
        <v>0</v>
      </c>
      <c r="Q144" s="61" t="str">
        <f>_xlfn.IFNA(VLOOKUP($F144,tblInfluence[],3,FALSE),"")</f>
        <v/>
      </c>
      <c r="R144" s="61" t="str">
        <f>_xlfn.IFNA(VLOOKUP($F144,tblInfluence[],4,FALSE),"")</f>
        <v/>
      </c>
      <c r="Y144" s="15" t="s">
        <v>186</v>
      </c>
      <c r="Z144" s="19"/>
      <c r="AA144" s="61" t="str">
        <f t="shared" si="23"/>
        <v/>
      </c>
      <c r="AC144" s="60"/>
      <c r="AD144" s="20"/>
      <c r="AE144" s="20" t="str">
        <f t="shared" si="24"/>
        <v/>
      </c>
      <c r="AF144" s="61" t="str" cm="1">
        <f t="array" ref="AF144">IF(AC144="","",SUMPRODUCT(($F$138:$F$157=AC144)*($G$138:$G$157=IF(AD144="","",AD144))*$P$138:$P$157))</f>
        <v/>
      </c>
    </row>
    <row r="145" spans="1:32">
      <c r="A145" s="1" t="s">
        <v>144</v>
      </c>
      <c r="B145" t="str">
        <f t="shared" ref="B145:B174" si="27">IF(AF2="","¬",AF2)</f>
        <v>9-Again on hobby Skill; +2 to extended actions with that Skill.</v>
      </c>
      <c r="D145" s="19"/>
      <c r="E145" s="15" t="s">
        <v>183</v>
      </c>
      <c r="F145" s="3"/>
      <c r="G145" s="3" t="str">
        <f>IFERROR(VLOOKUP(F145,tblManoeuvre[],2,FALSE)&amp;" "&amp;VLOOKUP(F145,tblManoeuvre[],3,FALSE),"")</f>
        <v/>
      </c>
      <c r="H145" s="67" t="str">
        <f>IFERROR(IF(VLOOKUP(F145,tblManoeuvre[],8,FALSE)=0,"None",VLOOKUP(F145,tblManoeuvre[],8,FALSE)),"None")</f>
        <v>None</v>
      </c>
      <c r="I145" s="67"/>
      <c r="L145" s="4"/>
      <c r="M145" s="4"/>
      <c r="N145" s="4"/>
      <c r="O145" s="61">
        <f t="shared" si="25"/>
        <v>0</v>
      </c>
      <c r="P145" s="60">
        <f t="shared" si="26"/>
        <v>0</v>
      </c>
      <c r="Q145" s="61" t="str">
        <f>_xlfn.IFNA(VLOOKUP($F145,tblInfluence[],3,FALSE),"")</f>
        <v/>
      </c>
      <c r="R145" s="61" t="str">
        <f>_xlfn.IFNA(VLOOKUP($F145,tblInfluence[],4,FALSE),"")</f>
        <v/>
      </c>
      <c r="Y145" s="15" t="s">
        <v>187</v>
      </c>
      <c r="Z145" s="19"/>
      <c r="AA145" s="61" t="str">
        <f t="shared" si="23"/>
        <v/>
      </c>
      <c r="AC145" s="60"/>
      <c r="AD145" s="20"/>
      <c r="AE145" s="20" t="str">
        <f t="shared" si="24"/>
        <v/>
      </c>
      <c r="AF145" s="61" t="str" cm="1">
        <f t="array" ref="AF145">IF(AC145="","",SUMPRODUCT(($F$138:$F$157=AC145)*($G$138:$G$157=IF(AD145="","",AD145))*$P$138:$P$157))</f>
        <v/>
      </c>
    </row>
    <row r="146" spans="1:32">
      <c r="A146" s="1" t="s">
        <v>145</v>
      </c>
      <c r="B146" t="str">
        <f t="shared" si="27"/>
        <v>Add dots to extended rolls for a chosen Skill's subject matter.</v>
      </c>
      <c r="D146" s="19"/>
      <c r="E146" s="15" t="s">
        <v>184</v>
      </c>
      <c r="F146" s="3"/>
      <c r="G146" s="3" t="str">
        <f>IFERROR(VLOOKUP(F146,tblManoeuvre[],2,FALSE)&amp;" "&amp;VLOOKUP(F146,tblManoeuvre[],3,FALSE),"")</f>
        <v/>
      </c>
      <c r="H146" s="67" t="str">
        <f>IFERROR(IF(VLOOKUP(F146,tblManoeuvre[],8,FALSE)=0,"None",VLOOKUP(F146,tblManoeuvre[],8,FALSE)),"None")</f>
        <v>None</v>
      </c>
      <c r="I146" s="67"/>
      <c r="L146" s="4"/>
      <c r="M146" s="4"/>
      <c r="N146" s="4"/>
      <c r="O146" s="61">
        <f t="shared" si="25"/>
        <v>0</v>
      </c>
      <c r="P146" s="60">
        <f t="shared" si="26"/>
        <v>0</v>
      </c>
      <c r="Q146" s="61" t="str">
        <f>_xlfn.IFNA(VLOOKUP($F146,tblInfluence[],3,FALSE),"")</f>
        <v/>
      </c>
      <c r="R146" s="61" t="str">
        <f>_xlfn.IFNA(VLOOKUP($F146,tblInfluence[],4,FALSE),"")</f>
        <v/>
      </c>
      <c r="Y146" s="15" t="s">
        <v>188</v>
      </c>
      <c r="Z146" s="19"/>
      <c r="AA146" s="61" t="str">
        <f t="shared" si="23"/>
        <v/>
      </c>
      <c r="AC146" s="60"/>
      <c r="AD146" s="20"/>
      <c r="AE146" s="20" t="str">
        <f t="shared" si="24"/>
        <v/>
      </c>
      <c r="AF146" s="61" t="str" cm="1">
        <f t="array" ref="AF146">IF(AC146="","",SUMPRODUCT(($F$138:$F$157=AC146)*($G$138:$G$157=IF(AD146="","",AD146))*$P$138:$P$157))</f>
        <v/>
      </c>
    </row>
    <row r="147" spans="1:32">
      <c r="A147" s="1" t="s">
        <v>146</v>
      </c>
      <c r="B147" t="str">
        <f t="shared" si="27"/>
        <v>Dots in Status or Mystery Cult Initiation representing human secret societies also count as dots of Herd.</v>
      </c>
      <c r="D147" s="19"/>
      <c r="E147" s="15" t="s">
        <v>185</v>
      </c>
      <c r="F147" s="3"/>
      <c r="G147" s="3" t="str">
        <f>IFERROR(VLOOKUP(F147,tblManoeuvre[],2,FALSE)&amp;" "&amp;VLOOKUP(F147,tblManoeuvre[],3,FALSE),"")</f>
        <v/>
      </c>
      <c r="H147" s="67" t="str">
        <f>IFERROR(IF(VLOOKUP(F147,tblManoeuvre[],8,FALSE)=0,"None",VLOOKUP(F147,tblManoeuvre[],8,FALSE)),"None")</f>
        <v>None</v>
      </c>
      <c r="I147" s="67"/>
      <c r="L147" s="4"/>
      <c r="M147" s="4"/>
      <c r="N147" s="4"/>
      <c r="O147" s="61">
        <f t="shared" si="25"/>
        <v>0</v>
      </c>
      <c r="P147" s="60">
        <f t="shared" si="26"/>
        <v>0</v>
      </c>
      <c r="Q147" s="61" t="str">
        <f>_xlfn.IFNA(VLOOKUP($F147,tblInfluence[],3,FALSE),"")</f>
        <v/>
      </c>
      <c r="R147" s="61" t="str">
        <f>_xlfn.IFNA(VLOOKUP($F147,tblInfluence[],4,FALSE),"")</f>
        <v/>
      </c>
      <c r="Y147" s="15" t="s">
        <v>189</v>
      </c>
      <c r="Z147" s="19"/>
      <c r="AA147" s="61" t="str">
        <f t="shared" si="23"/>
        <v/>
      </c>
      <c r="AC147" s="60"/>
      <c r="AD147" s="20"/>
      <c r="AE147" s="20" t="str">
        <f t="shared" si="24"/>
        <v/>
      </c>
      <c r="AF147" s="61" t="str" cm="1">
        <f t="array" ref="AF147">IF(AC147="","",SUMPRODUCT(($F$138:$F$157=AC147)*($G$138:$G$157=IF(AD147="","",AD147))*$P$138:$P$157))</f>
        <v/>
      </c>
    </row>
    <row r="148" spans="1:32">
      <c r="A148" s="1" t="s">
        <v>147</v>
      </c>
      <c r="B148" t="str">
        <f t="shared" si="27"/>
        <v>Presence + Expression vs Wits + Composure to inflict contagious awe. Allies and Herd double their yield.</v>
      </c>
      <c r="D148" s="19"/>
      <c r="E148" s="15" t="s">
        <v>186</v>
      </c>
      <c r="F148" s="3"/>
      <c r="G148" s="3" t="str">
        <f>IFERROR(VLOOKUP(F148,tblManoeuvre[],2,FALSE)&amp;" "&amp;VLOOKUP(F148,tblManoeuvre[],3,FALSE),"")</f>
        <v/>
      </c>
      <c r="H148" s="67" t="str">
        <f>IFERROR(IF(VLOOKUP(F148,tblManoeuvre[],8,FALSE)=0,"None",VLOOKUP(F148,tblManoeuvre[],8,FALSE)),"None")</f>
        <v>None</v>
      </c>
      <c r="I148" s="67"/>
      <c r="L148" s="4"/>
      <c r="M148" s="4"/>
      <c r="N148" s="4"/>
      <c r="O148" s="61">
        <f t="shared" si="25"/>
        <v>0</v>
      </c>
      <c r="P148" s="60">
        <f t="shared" si="26"/>
        <v>0</v>
      </c>
      <c r="Q148" s="61" t="str">
        <f>_xlfn.IFNA(VLOOKUP($F148,tblInfluence[],3,FALSE),"")</f>
        <v/>
      </c>
      <c r="R148" s="61" t="str">
        <f>_xlfn.IFNA(VLOOKUP($F148,tblInfluence[],4,FALSE),"")</f>
        <v/>
      </c>
      <c r="Y148" s="15" t="s">
        <v>190</v>
      </c>
      <c r="Z148" s="19"/>
      <c r="AA148" s="61" t="str">
        <f t="shared" si="23"/>
        <v/>
      </c>
      <c r="AC148" s="60"/>
      <c r="AD148" s="20"/>
      <c r="AE148" s="20" t="str">
        <f t="shared" si="24"/>
        <v/>
      </c>
      <c r="AF148" s="61" t="str" cm="1">
        <f t="array" ref="AF148">IF(AC148="","",SUMPRODUCT(($F$138:$F$157=AC148)*($G$138:$G$157=IF(AD148="","",AD148))*$P$138:$P$157))</f>
        <v/>
      </c>
    </row>
    <row r="149" spans="1:32">
      <c r="A149" s="1" t="s">
        <v>148</v>
      </c>
      <c r="B149" t="str">
        <f t="shared" si="27"/>
        <v>¬</v>
      </c>
      <c r="D149" s="19"/>
      <c r="E149" s="15" t="s">
        <v>187</v>
      </c>
      <c r="F149" s="3"/>
      <c r="G149" s="3" t="str">
        <f>IFERROR(VLOOKUP(F149,tblManoeuvre[],2,FALSE)&amp;" "&amp;VLOOKUP(F149,tblManoeuvre[],3,FALSE),"")</f>
        <v/>
      </c>
      <c r="H149" s="67" t="str">
        <f>IFERROR(IF(VLOOKUP(F149,tblManoeuvre[],8,FALSE)=0,"None",VLOOKUP(F149,tblManoeuvre[],8,FALSE)),"None")</f>
        <v>None</v>
      </c>
      <c r="I149" s="67"/>
      <c r="L149" s="4"/>
      <c r="M149" s="4"/>
      <c r="N149" s="4"/>
      <c r="O149" s="61">
        <f t="shared" si="25"/>
        <v>0</v>
      </c>
      <c r="P149" s="60">
        <f t="shared" si="26"/>
        <v>0</v>
      </c>
      <c r="Q149" s="61" t="str">
        <f>_xlfn.IFNA(VLOOKUP($F149,tblInfluence[],3,FALSE),"")</f>
        <v/>
      </c>
      <c r="R149" s="61" t="str">
        <f>_xlfn.IFNA(VLOOKUP($F149,tblInfluence[],4,FALSE),"")</f>
        <v/>
      </c>
      <c r="Y149" s="15" t="s">
        <v>191</v>
      </c>
      <c r="Z149" s="19"/>
      <c r="AA149" s="61" t="str">
        <f t="shared" si="23"/>
        <v/>
      </c>
      <c r="AC149" s="60"/>
      <c r="AD149" s="20"/>
      <c r="AE149" s="20" t="str">
        <f t="shared" si="24"/>
        <v/>
      </c>
      <c r="AF149" s="61" t="str" cm="1">
        <f t="array" ref="AF149">IF(AC149="","",SUMPRODUCT(($F$138:$F$157=AC149)*($G$138:$G$157=IF(AD149="","",AD149))*$P$138:$P$157))</f>
        <v/>
      </c>
    </row>
    <row r="150" spans="1:32">
      <c r="A150" s="1" t="s">
        <v>149</v>
      </c>
      <c r="B150" t="str">
        <f t="shared" si="27"/>
        <v>¬</v>
      </c>
      <c r="D150" s="19"/>
      <c r="E150" s="15" t="s">
        <v>188</v>
      </c>
      <c r="F150" s="3"/>
      <c r="G150" s="3" t="str">
        <f>IFERROR(VLOOKUP(F150,tblManoeuvre[],2,FALSE)&amp;" "&amp;VLOOKUP(F150,tblManoeuvre[],3,FALSE),"")</f>
        <v/>
      </c>
      <c r="H150" s="67" t="str">
        <f>IFERROR(IF(VLOOKUP(F150,tblManoeuvre[],8,FALSE)=0,"None",VLOOKUP(F150,tblManoeuvre[],8,FALSE)),"None")</f>
        <v>None</v>
      </c>
      <c r="I150" s="67"/>
      <c r="L150" s="4"/>
      <c r="M150" s="4"/>
      <c r="N150" s="4"/>
      <c r="O150" s="61">
        <f t="shared" si="25"/>
        <v>0</v>
      </c>
      <c r="P150" s="60">
        <f t="shared" si="26"/>
        <v>0</v>
      </c>
      <c r="Q150" s="61" t="str">
        <f>_xlfn.IFNA(VLOOKUP($F150,tblInfluence[],3,FALSE),"")</f>
        <v/>
      </c>
      <c r="R150" s="61" t="str">
        <f>_xlfn.IFNA(VLOOKUP($F150,tblInfluence[],4,FALSE),"")</f>
        <v/>
      </c>
      <c r="Y150" s="15" t="s">
        <v>192</v>
      </c>
      <c r="Z150" s="19"/>
      <c r="AA150" s="61" t="str">
        <f t="shared" si="23"/>
        <v/>
      </c>
      <c r="AC150" s="60"/>
      <c r="AD150" s="20"/>
      <c r="AE150" s="20" t="str">
        <f t="shared" si="24"/>
        <v/>
      </c>
      <c r="AF150" s="61" t="str" cm="1">
        <f t="array" ref="AF150">IF(AC150="","",SUMPRODUCT(($F$138:$F$157=AC150)*($G$138:$G$157=IF(AD150="","",AD150))*$P$138:$P$157))</f>
        <v/>
      </c>
    </row>
    <row r="151" spans="1:32">
      <c r="A151" s="1" t="s">
        <v>150</v>
      </c>
      <c r="B151" t="str">
        <f t="shared" si="27"/>
        <v>¬</v>
      </c>
      <c r="D151" s="19"/>
      <c r="E151" s="15" t="s">
        <v>189</v>
      </c>
      <c r="F151" s="3"/>
      <c r="G151" s="3" t="str">
        <f>IFERROR(VLOOKUP(F151,tblManoeuvre[],2,FALSE)&amp;" "&amp;VLOOKUP(F151,tblManoeuvre[],3,FALSE),"")</f>
        <v/>
      </c>
      <c r="H151" s="67" t="str">
        <f>IFERROR(IF(VLOOKUP(F151,tblManoeuvre[],8,FALSE)=0,"None",VLOOKUP(F151,tblManoeuvre[],8,FALSE)),"None")</f>
        <v>None</v>
      </c>
      <c r="I151" s="67"/>
      <c r="L151" s="4"/>
      <c r="M151" s="4"/>
      <c r="N151" s="4"/>
      <c r="O151" s="61">
        <f t="shared" si="25"/>
        <v>0</v>
      </c>
      <c r="P151" s="60">
        <f t="shared" si="26"/>
        <v>0</v>
      </c>
      <c r="Q151" s="61" t="str">
        <f>_xlfn.IFNA(VLOOKUP($F151,tblInfluence[],3,FALSE),"")</f>
        <v/>
      </c>
      <c r="R151" s="61" t="str">
        <f>_xlfn.IFNA(VLOOKUP($F151,tblInfluence[],4,FALSE),"")</f>
        <v/>
      </c>
      <c r="Y151" s="15" t="s">
        <v>193</v>
      </c>
      <c r="Z151" s="19"/>
      <c r="AA151" s="61" t="str">
        <f t="shared" si="23"/>
        <v/>
      </c>
      <c r="AC151" s="60"/>
      <c r="AD151" s="20"/>
      <c r="AE151" s="20" t="str">
        <f t="shared" si="24"/>
        <v/>
      </c>
      <c r="AF151" s="61" t="str" cm="1">
        <f t="array" ref="AF151">IF(AC151="","",SUMPRODUCT(($F$138:$F$157=AC151)*($G$138:$G$157=IF(AD151="","",AD151))*$P$138:$P$157))</f>
        <v/>
      </c>
    </row>
    <row r="152" spans="1:32">
      <c r="A152" s="1" t="s">
        <v>151</v>
      </c>
      <c r="B152" t="str">
        <f t="shared" si="27"/>
        <v>¬</v>
      </c>
      <c r="D152" s="19"/>
      <c r="E152" s="15" t="s">
        <v>190</v>
      </c>
      <c r="F152" s="3"/>
      <c r="G152" s="3" t="str">
        <f>IFERROR(VLOOKUP(F152,tblManoeuvre[],2,FALSE)&amp;" "&amp;VLOOKUP(F152,tblManoeuvre[],3,FALSE),"")</f>
        <v/>
      </c>
      <c r="H152" s="67" t="str">
        <f>IFERROR(IF(VLOOKUP(F152,tblManoeuvre[],8,FALSE)=0,"None",VLOOKUP(F152,tblManoeuvre[],8,FALSE)),"None")</f>
        <v>None</v>
      </c>
      <c r="I152" s="67"/>
      <c r="L152" s="4"/>
      <c r="M152" s="4"/>
      <c r="N152" s="4"/>
      <c r="O152" s="61">
        <f t="shared" si="25"/>
        <v>0</v>
      </c>
      <c r="P152" s="60">
        <f t="shared" si="26"/>
        <v>0</v>
      </c>
      <c r="Q152" s="61" t="str">
        <f>_xlfn.IFNA(VLOOKUP($F152,tblInfluence[],3,FALSE),"")</f>
        <v/>
      </c>
      <c r="R152" s="61" t="str">
        <f>_xlfn.IFNA(VLOOKUP($F152,tblInfluence[],4,FALSE),"")</f>
        <v/>
      </c>
      <c r="Y152" s="15" t="s">
        <v>194</v>
      </c>
      <c r="Z152" s="19"/>
      <c r="AA152" s="61" t="str">
        <f t="shared" si="23"/>
        <v/>
      </c>
      <c r="AC152" s="60"/>
      <c r="AD152" s="20"/>
      <c r="AE152" s="20" t="str">
        <f t="shared" si="24"/>
        <v/>
      </c>
      <c r="AF152" s="61" t="str" cm="1">
        <f t="array" ref="AF152">IF(AC152="","",SUMPRODUCT(($F$138:$F$157=AC152)*($G$138:$G$157=IF(AD152="","",AD152))*$P$138:$P$157))</f>
        <v/>
      </c>
    </row>
    <row r="153" spans="1:32">
      <c r="A153" s="1" t="s">
        <v>152</v>
      </c>
      <c r="B153" t="str">
        <f t="shared" si="27"/>
        <v>¬</v>
      </c>
      <c r="D153" s="19"/>
      <c r="E153" s="15" t="s">
        <v>191</v>
      </c>
      <c r="F153" s="3"/>
      <c r="G153" s="3" t="str">
        <f>IFERROR(VLOOKUP(F153,tblManoeuvre[],2,FALSE)&amp;" "&amp;VLOOKUP(F153,tblManoeuvre[],3,FALSE),"")</f>
        <v/>
      </c>
      <c r="H153" s="67" t="str">
        <f>IFERROR(IF(VLOOKUP(F153,tblManoeuvre[],8,FALSE)=0,"None",VLOOKUP(F153,tblManoeuvre[],8,FALSE)),"None")</f>
        <v>None</v>
      </c>
      <c r="I153" s="67"/>
      <c r="L153" s="4"/>
      <c r="M153" s="4"/>
      <c r="N153" s="4"/>
      <c r="O153" s="61">
        <f t="shared" si="25"/>
        <v>0</v>
      </c>
      <c r="P153" s="60">
        <f t="shared" si="26"/>
        <v>0</v>
      </c>
      <c r="Q153" s="61" t="str">
        <f>_xlfn.IFNA(VLOOKUP($F153,tblInfluence[],3,FALSE),"")</f>
        <v/>
      </c>
      <c r="R153" s="61" t="str">
        <f>_xlfn.IFNA(VLOOKUP($F153,tblInfluence[],4,FALSE),"")</f>
        <v/>
      </c>
      <c r="Y153" s="15" t="s">
        <v>195</v>
      </c>
      <c r="Z153" s="19"/>
      <c r="AA153" s="61" t="str">
        <f t="shared" si="23"/>
        <v/>
      </c>
      <c r="AC153" s="60"/>
      <c r="AD153" s="20"/>
      <c r="AE153" s="20" t="str">
        <f t="shared" si="24"/>
        <v/>
      </c>
      <c r="AF153" s="61" t="str" cm="1">
        <f t="array" ref="AF153">IF(AC153="","",SUMPRODUCT(($F$138:$F$157=AC153)*($G$138:$G$157=IF(AD153="","",AD153))*$P$138:$P$157))</f>
        <v/>
      </c>
    </row>
    <row r="154" spans="1:32">
      <c r="A154" s="1" t="s">
        <v>153</v>
      </c>
      <c r="B154" t="str">
        <f t="shared" si="27"/>
        <v>¬</v>
      </c>
      <c r="D154" s="19"/>
      <c r="E154" s="15" t="s">
        <v>192</v>
      </c>
      <c r="F154" s="3"/>
      <c r="G154" s="3" t="str">
        <f>IFERROR(VLOOKUP(F154,tblManoeuvre[],2,FALSE)&amp;" "&amp;VLOOKUP(F154,tblManoeuvre[],3,FALSE),"")</f>
        <v/>
      </c>
      <c r="H154" s="67" t="str">
        <f>IFERROR(IF(VLOOKUP(F154,tblManoeuvre[],8,FALSE)=0,"None",VLOOKUP(F154,tblManoeuvre[],8,FALSE)),"None")</f>
        <v>None</v>
      </c>
      <c r="I154" s="67"/>
      <c r="L154" s="4"/>
      <c r="M154" s="4"/>
      <c r="N154" s="4"/>
      <c r="O154" s="61">
        <f t="shared" si="25"/>
        <v>0</v>
      </c>
      <c r="P154" s="60">
        <f t="shared" si="26"/>
        <v>0</v>
      </c>
      <c r="Q154" s="61" t="str">
        <f>_xlfn.IFNA(VLOOKUP($F154,tblInfluence[],3,FALSE),"")</f>
        <v/>
      </c>
      <c r="R154" s="61" t="str">
        <f>_xlfn.IFNA(VLOOKUP($F154,tblInfluence[],4,FALSE),"")</f>
        <v/>
      </c>
    </row>
    <row r="155" spans="1:32">
      <c r="A155" s="1" t="s">
        <v>154</v>
      </c>
      <c r="B155" t="str">
        <f t="shared" si="27"/>
        <v>¬</v>
      </c>
      <c r="D155" s="19"/>
      <c r="E155" s="15" t="s">
        <v>193</v>
      </c>
      <c r="F155" s="3"/>
      <c r="G155" s="3" t="str">
        <f>IFERROR(VLOOKUP(F155,tblManoeuvre[],2,FALSE)&amp;" "&amp;VLOOKUP(F155,tblManoeuvre[],3,FALSE),"")</f>
        <v/>
      </c>
      <c r="H155" s="67" t="str">
        <f>IFERROR(IF(VLOOKUP(F155,tblManoeuvre[],8,FALSE)=0,"None",VLOOKUP(F155,tblManoeuvre[],8,FALSE)),"None")</f>
        <v>None</v>
      </c>
      <c r="I155" s="67"/>
      <c r="L155" s="4"/>
      <c r="M155" s="4"/>
      <c r="N155" s="4"/>
      <c r="O155" s="61">
        <f t="shared" si="25"/>
        <v>0</v>
      </c>
      <c r="P155" s="60">
        <f t="shared" si="26"/>
        <v>0</v>
      </c>
      <c r="Q155" s="61" t="str">
        <f>_xlfn.IFNA(VLOOKUP($F155,tblInfluence[],3,FALSE),"")</f>
        <v/>
      </c>
      <c r="R155" s="61" t="str">
        <f>_xlfn.IFNA(VLOOKUP($F155,tblInfluence[],4,FALSE),"")</f>
        <v/>
      </c>
      <c r="AE155" s="61">
        <f>IF(P160=5,1,0)</f>
        <v>1</v>
      </c>
    </row>
    <row r="156" spans="1:32">
      <c r="A156" s="1" t="s">
        <v>155</v>
      </c>
      <c r="B156" t="str">
        <f t="shared" si="27"/>
        <v>¬</v>
      </c>
      <c r="D156" s="19"/>
      <c r="E156" s="15" t="s">
        <v>194</v>
      </c>
      <c r="F156" s="3"/>
      <c r="G156" s="3" t="str">
        <f>IFERROR(VLOOKUP(F156,tblManoeuvre[],2,FALSE)&amp;" "&amp;VLOOKUP(F156,tblManoeuvre[],3,FALSE),"")</f>
        <v/>
      </c>
      <c r="H156" s="67" t="str">
        <f>IFERROR(IF(VLOOKUP(F156,tblManoeuvre[],8,FALSE)=0,"None",VLOOKUP(F156,tblManoeuvre[],8,FALSE)),"None")</f>
        <v>None</v>
      </c>
      <c r="I156" s="67"/>
      <c r="L156" s="4"/>
      <c r="M156" s="4"/>
      <c r="N156" s="4"/>
      <c r="O156" s="61">
        <f t="shared" si="25"/>
        <v>0</v>
      </c>
      <c r="P156" s="60">
        <f t="shared" si="26"/>
        <v>0</v>
      </c>
      <c r="Q156" s="61" t="str">
        <f>_xlfn.IFNA(VLOOKUP($F156,tblInfluence[],3,FALSE),"")</f>
        <v/>
      </c>
      <c r="R156" s="61" t="str">
        <f>_xlfn.IFNA(VLOOKUP($F156,tblInfluence[],4,FALSE),"")</f>
        <v/>
      </c>
      <c r="AE156" s="61" t="b">
        <f>COUNTIF(AA2:AA21,"*Honey With Vinegar*")&gt;0</f>
        <v>0</v>
      </c>
    </row>
    <row r="157" spans="1:32">
      <c r="A157" s="1" t="s">
        <v>156</v>
      </c>
      <c r="B157" t="str">
        <f t="shared" si="27"/>
        <v>¬</v>
      </c>
      <c r="D157" s="19"/>
      <c r="E157" s="15" t="s">
        <v>195</v>
      </c>
      <c r="F157" s="3"/>
      <c r="G157" s="3" t="str">
        <f>IFERROR(VLOOKUP(F157,tblManoeuvre[],2,FALSE)&amp;" "&amp;VLOOKUP(F157,tblManoeuvre[],3,FALSE),"")</f>
        <v/>
      </c>
      <c r="H157" s="67" t="str">
        <f>IFERROR(IF(VLOOKUP(F157,tblManoeuvre[],8,FALSE)=0,"None",VLOOKUP(F157,tblManoeuvre[],8,FALSE)),"None")</f>
        <v>None</v>
      </c>
      <c r="I157" s="67"/>
      <c r="L157" s="4"/>
      <c r="M157" s="4"/>
      <c r="N157" s="4"/>
      <c r="O157" s="61">
        <f t="shared" si="25"/>
        <v>0</v>
      </c>
      <c r="P157" s="60">
        <f t="shared" si="26"/>
        <v>0</v>
      </c>
      <c r="Q157" s="61" t="str">
        <f>_xlfn.IFNA(VLOOKUP($F157,tblInfluence[],3,FALSE),"")</f>
        <v/>
      </c>
      <c r="R157" s="61" t="str">
        <f>_xlfn.IFNA(VLOOKUP($F157,tblInfluence[],4,FALSE),"")</f>
        <v/>
      </c>
    </row>
    <row r="158" spans="1:32">
      <c r="A158" s="1" t="s">
        <v>157</v>
      </c>
      <c r="B158" t="str">
        <f t="shared" si="27"/>
        <v>¬</v>
      </c>
    </row>
    <row r="159" spans="1:32">
      <c r="A159" s="1" t="s">
        <v>158</v>
      </c>
      <c r="B159" t="str">
        <f t="shared" si="27"/>
        <v>¬</v>
      </c>
      <c r="D159" s="16" t="s">
        <v>1486</v>
      </c>
      <c r="E159" s="17"/>
      <c r="F159" s="17" t="s">
        <v>1487</v>
      </c>
      <c r="G159" s="17"/>
      <c r="H159" s="17"/>
      <c r="I159" s="17"/>
    </row>
    <row r="160" spans="1:32">
      <c r="A160" s="1" t="s">
        <v>159</v>
      </c>
      <c r="B160" t="str">
        <f t="shared" si="27"/>
        <v>¬</v>
      </c>
      <c r="D160" s="19"/>
      <c r="E160" s="15" t="s">
        <v>98</v>
      </c>
      <c r="F160" s="3" t="s">
        <v>399</v>
      </c>
      <c r="G160" s="60"/>
      <c r="H160" s="60"/>
      <c r="I160" s="60"/>
      <c r="L160" s="4">
        <v>5</v>
      </c>
      <c r="M160" s="4"/>
      <c r="N160" s="4"/>
      <c r="O160" s="61">
        <f>N160</f>
        <v>0</v>
      </c>
      <c r="P160" s="60">
        <f>MIN(SUM(L160,M160,O160),R160)</f>
        <v>5</v>
      </c>
      <c r="Q160" s="61">
        <v>1</v>
      </c>
      <c r="R160" s="61">
        <v>5</v>
      </c>
    </row>
    <row r="161" spans="1:18">
      <c r="A161" s="1" t="s">
        <v>160</v>
      </c>
      <c r="B161" t="str">
        <f t="shared" si="27"/>
        <v>¬</v>
      </c>
      <c r="D161" s="19"/>
      <c r="E161" s="15" t="s">
        <v>100</v>
      </c>
      <c r="F161" s="3"/>
      <c r="G161" s="60"/>
      <c r="H161" s="60"/>
      <c r="I161" s="60"/>
      <c r="L161" s="4"/>
      <c r="M161" s="4"/>
      <c r="N161" s="4"/>
      <c r="O161" s="61">
        <f>N161</f>
        <v>0</v>
      </c>
      <c r="P161" s="60">
        <f>MIN(SUM(L161,M161,O161),R161)</f>
        <v>0</v>
      </c>
      <c r="Q161" s="61">
        <v>1</v>
      </c>
      <c r="R161" s="61">
        <v>5</v>
      </c>
    </row>
    <row r="162" spans="1:18">
      <c r="A162" s="1" t="s">
        <v>161</v>
      </c>
      <c r="B162" t="str">
        <f t="shared" si="27"/>
        <v>¬</v>
      </c>
    </row>
    <row r="163" spans="1:18" ht="15.75" thickBot="1">
      <c r="A163" s="1" t="s">
        <v>162</v>
      </c>
      <c r="B163" t="str">
        <f t="shared" si="27"/>
        <v>¬</v>
      </c>
      <c r="D163" s="14" t="s">
        <v>1488</v>
      </c>
      <c r="E163" s="14"/>
      <c r="F163" s="14"/>
      <c r="G163" s="14"/>
      <c r="H163" s="14"/>
      <c r="I163" s="14"/>
      <c r="N163" s="60">
        <f>SUM(N165:N174)+SUM(N177:N181)+SUM(N184:N185)+SUM(N187:N191)+SUM(N194:N203)</f>
        <v>9</v>
      </c>
    </row>
    <row r="164" spans="1:18">
      <c r="A164" s="1" t="s">
        <v>163</v>
      </c>
      <c r="B164" t="str">
        <f t="shared" si="27"/>
        <v>¬</v>
      </c>
      <c r="D164" s="16" t="s">
        <v>1489</v>
      </c>
      <c r="E164" s="15" t="s">
        <v>1490</v>
      </c>
      <c r="F164" s="61" t="str">
        <f>IFERROR(IF($F$8="",VLOOKUP($F$7,tblClans[],5,FALSE),VLOOKUP($F$8,tblBloodlines[],5,FALSE)),"")</f>
        <v>Auspex</v>
      </c>
      <c r="G164" s="61" t="str">
        <f>IFERROR(IF($F$8="",VLOOKUP($F$7,tblClans[],6,FALSE),VLOOKUP($F$8,tblBloodlines[],6,FALSE)),"")</f>
        <v>Celerity</v>
      </c>
      <c r="H164" s="61" t="str">
        <f>IFERROR(IF($F$8="",VLOOKUP($F$7,tblClans[],7,FALSE),VLOOKUP($F$8,tblBloodlines[],7,FALSE)),"")</f>
        <v>Obfuscate</v>
      </c>
      <c r="I164" s="61" t="str">
        <f>IFERROR(IF($F$8="",VLOOKUP($F$7,tblClans[],8,FALSE),VLOOKUP($F$8,tblBloodlines[],8,FALSE)),"")</f>
        <v/>
      </c>
      <c r="L164" s="60">
        <f>3-SUM(L165:L174)-SUM(L184:L185)</f>
        <v>0</v>
      </c>
    </row>
    <row r="165" spans="1:18">
      <c r="A165" s="1" t="s">
        <v>164</v>
      </c>
      <c r="B165" t="str">
        <f t="shared" si="27"/>
        <v>¬</v>
      </c>
      <c r="D165" s="19"/>
      <c r="E165" s="15" t="s">
        <v>236</v>
      </c>
      <c r="F165" s="19"/>
      <c r="G165" s="19"/>
      <c r="H165" s="19"/>
      <c r="I165" s="19"/>
      <c r="L165" s="4"/>
      <c r="N165" s="4"/>
      <c r="O165" s="61">
        <f t="shared" ref="O165:O174" si="28">ROUNDDOWN(IF(COUNTIF($F$164:$I$164,$E165)&gt;0,N165/3,N165/4),0)</f>
        <v>0</v>
      </c>
      <c r="P165" s="60">
        <f>MIN(SUM(L165,O165),R165)</f>
        <v>0</v>
      </c>
      <c r="Q165" s="61">
        <v>0</v>
      </c>
      <c r="R165" s="61">
        <v>5</v>
      </c>
    </row>
    <row r="166" spans="1:18">
      <c r="A166" s="1" t="s">
        <v>165</v>
      </c>
      <c r="B166" t="str">
        <f t="shared" si="27"/>
        <v>¬</v>
      </c>
      <c r="D166" s="19"/>
      <c r="E166" s="15" t="s">
        <v>237</v>
      </c>
      <c r="F166" s="19"/>
      <c r="G166" s="19"/>
      <c r="H166" s="19"/>
      <c r="I166" s="19"/>
      <c r="L166" s="4"/>
      <c r="N166" s="4">
        <v>3</v>
      </c>
      <c r="O166" s="61">
        <f t="shared" si="28"/>
        <v>1</v>
      </c>
      <c r="P166" s="60">
        <f t="shared" ref="P166:P174" si="29">MIN(SUM(L166,O166),R166)</f>
        <v>1</v>
      </c>
      <c r="Q166" s="61">
        <v>0</v>
      </c>
      <c r="R166" s="61">
        <v>5</v>
      </c>
    </row>
    <row r="167" spans="1:18">
      <c r="A167" s="1" t="s">
        <v>166</v>
      </c>
      <c r="B167" t="str">
        <f t="shared" si="27"/>
        <v>¬</v>
      </c>
      <c r="D167" s="19"/>
      <c r="E167" s="15" t="s">
        <v>238</v>
      </c>
      <c r="F167" s="19"/>
      <c r="G167" s="19"/>
      <c r="H167" s="19"/>
      <c r="I167" s="19"/>
      <c r="L167" s="4"/>
      <c r="N167" s="4">
        <v>3</v>
      </c>
      <c r="O167" s="61">
        <f t="shared" si="28"/>
        <v>1</v>
      </c>
      <c r="P167" s="60">
        <f t="shared" si="29"/>
        <v>1</v>
      </c>
      <c r="Q167" s="61">
        <v>0</v>
      </c>
      <c r="R167" s="61">
        <v>5</v>
      </c>
    </row>
    <row r="168" spans="1:18">
      <c r="A168" s="1" t="s">
        <v>167</v>
      </c>
      <c r="B168" t="str">
        <f t="shared" si="27"/>
        <v>¬</v>
      </c>
      <c r="D168" s="19"/>
      <c r="E168" s="15" t="s">
        <v>239</v>
      </c>
      <c r="F168" s="19"/>
      <c r="G168" s="19"/>
      <c r="H168" s="19"/>
      <c r="I168" s="19"/>
      <c r="L168" s="4"/>
      <c r="N168" s="4"/>
      <c r="O168" s="61">
        <f t="shared" si="28"/>
        <v>0</v>
      </c>
      <c r="P168" s="60">
        <f t="shared" si="29"/>
        <v>0</v>
      </c>
      <c r="Q168" s="61">
        <v>0</v>
      </c>
      <c r="R168" s="61">
        <v>5</v>
      </c>
    </row>
    <row r="169" spans="1:18">
      <c r="A169" s="1" t="s">
        <v>168</v>
      </c>
      <c r="B169" t="str">
        <f t="shared" si="27"/>
        <v>¬</v>
      </c>
      <c r="D169" s="19"/>
      <c r="E169" s="15" t="s">
        <v>240</v>
      </c>
      <c r="F169" s="19"/>
      <c r="G169" s="19"/>
      <c r="H169" s="19"/>
      <c r="I169" s="19"/>
      <c r="L169" s="4"/>
      <c r="N169" s="4"/>
      <c r="O169" s="61">
        <f t="shared" si="28"/>
        <v>0</v>
      </c>
      <c r="P169" s="60">
        <f t="shared" si="29"/>
        <v>0</v>
      </c>
      <c r="Q169" s="61">
        <v>0</v>
      </c>
      <c r="R169" s="61">
        <v>5</v>
      </c>
    </row>
    <row r="170" spans="1:18">
      <c r="A170" s="1" t="s">
        <v>169</v>
      </c>
      <c r="B170" t="str">
        <f t="shared" si="27"/>
        <v>¬</v>
      </c>
      <c r="D170" s="19"/>
      <c r="E170" s="15" t="s">
        <v>241</v>
      </c>
      <c r="F170" s="19"/>
      <c r="G170" s="19"/>
      <c r="H170" s="19"/>
      <c r="I170" s="19"/>
      <c r="L170" s="4"/>
      <c r="N170" s="4"/>
      <c r="O170" s="61">
        <f t="shared" si="28"/>
        <v>0</v>
      </c>
      <c r="P170" s="60">
        <f t="shared" si="29"/>
        <v>0</v>
      </c>
      <c r="Q170" s="61">
        <v>0</v>
      </c>
      <c r="R170" s="61">
        <v>5</v>
      </c>
    </row>
    <row r="171" spans="1:18">
      <c r="A171" s="1" t="s">
        <v>170</v>
      </c>
      <c r="B171" t="str">
        <f t="shared" si="27"/>
        <v>¬</v>
      </c>
      <c r="D171" s="19"/>
      <c r="E171" s="15" t="s">
        <v>242</v>
      </c>
      <c r="F171" s="19"/>
      <c r="G171" s="19"/>
      <c r="H171" s="19"/>
      <c r="I171" s="19"/>
      <c r="L171" s="4">
        <v>2</v>
      </c>
      <c r="N171" s="4">
        <v>3</v>
      </c>
      <c r="O171" s="61">
        <f t="shared" si="28"/>
        <v>1</v>
      </c>
      <c r="P171" s="60">
        <f t="shared" si="29"/>
        <v>3</v>
      </c>
      <c r="Q171" s="61">
        <v>0</v>
      </c>
      <c r="R171" s="61">
        <v>5</v>
      </c>
    </row>
    <row r="172" spans="1:18">
      <c r="A172" s="1" t="s">
        <v>171</v>
      </c>
      <c r="B172" t="str">
        <f t="shared" si="27"/>
        <v>¬</v>
      </c>
      <c r="D172" s="19"/>
      <c r="E172" s="15" t="s">
        <v>243</v>
      </c>
      <c r="F172" s="19"/>
      <c r="G172" s="19"/>
      <c r="H172" s="19"/>
      <c r="I172" s="19"/>
      <c r="L172" s="4"/>
      <c r="N172" s="4"/>
      <c r="O172" s="61">
        <f t="shared" si="28"/>
        <v>0</v>
      </c>
      <c r="P172" s="60">
        <f t="shared" si="29"/>
        <v>0</v>
      </c>
      <c r="Q172" s="61">
        <v>0</v>
      </c>
      <c r="R172" s="61">
        <v>5</v>
      </c>
    </row>
    <row r="173" spans="1:18">
      <c r="A173" s="1" t="s">
        <v>172</v>
      </c>
      <c r="B173" t="str">
        <f t="shared" si="27"/>
        <v>¬</v>
      </c>
      <c r="D173" s="19"/>
      <c r="E173" s="15" t="s">
        <v>244</v>
      </c>
      <c r="F173" s="19"/>
      <c r="G173" s="19"/>
      <c r="H173" s="19"/>
      <c r="I173" s="19"/>
      <c r="L173" s="4"/>
      <c r="N173" s="4"/>
      <c r="O173" s="61">
        <f t="shared" si="28"/>
        <v>0</v>
      </c>
      <c r="P173" s="60">
        <f t="shared" si="29"/>
        <v>0</v>
      </c>
      <c r="Q173" s="61">
        <v>0</v>
      </c>
      <c r="R173" s="61">
        <v>5</v>
      </c>
    </row>
    <row r="174" spans="1:18">
      <c r="A174" s="1" t="s">
        <v>173</v>
      </c>
      <c r="B174" t="str">
        <f t="shared" si="27"/>
        <v>¬</v>
      </c>
      <c r="D174" s="19"/>
      <c r="E174" s="15" t="s">
        <v>245</v>
      </c>
      <c r="F174" s="19"/>
      <c r="G174" s="19"/>
      <c r="H174" s="19"/>
      <c r="I174" s="19"/>
      <c r="L174" s="4"/>
      <c r="N174" s="4"/>
      <c r="O174" s="61">
        <f t="shared" si="28"/>
        <v>0</v>
      </c>
      <c r="P174" s="60">
        <f t="shared" si="29"/>
        <v>0</v>
      </c>
      <c r="Q174" s="61">
        <v>0</v>
      </c>
      <c r="R174" s="61">
        <v>5</v>
      </c>
    </row>
    <row r="175" spans="1:18">
      <c r="A175" s="1" t="s">
        <v>174</v>
      </c>
      <c r="B175" t="str">
        <f>_xlfn.CONCAT(I137-H137," / ",I137)</f>
        <v>9 / 9</v>
      </c>
    </row>
    <row r="176" spans="1:18">
      <c r="A176" s="1" t="s">
        <v>175</v>
      </c>
      <c r="B176" t="str">
        <f>REPT("□",I137-H137) &amp; REPT("■",H137)</f>
        <v>□□□□□□□□□</v>
      </c>
      <c r="D176" s="16" t="s">
        <v>1491</v>
      </c>
      <c r="E176" s="16"/>
      <c r="F176" s="16"/>
      <c r="G176" s="16"/>
      <c r="H176" s="16"/>
      <c r="I176" s="16"/>
    </row>
    <row r="177" spans="1:18">
      <c r="A177" s="1" t="s">
        <v>176</v>
      </c>
      <c r="B177" t="str">
        <f t="shared" ref="B177:B196" si="30">IF(AC134="","¬",AC134)</f>
        <v>Allies</v>
      </c>
      <c r="D177" s="19"/>
      <c r="E177" s="15" t="s">
        <v>1492</v>
      </c>
      <c r="F177" s="3"/>
      <c r="G177" s="19"/>
      <c r="H177" s="72" t="str">
        <f>IFERROR(IF(VLOOKUP(F177,tblDisciplines[],14,FALSE)=0,"None",VLOOKUP(F177,tblDisciplines[],14,FALSE)),"None")</f>
        <v>None</v>
      </c>
      <c r="I177" s="73"/>
      <c r="N177" s="4"/>
      <c r="O177" s="61">
        <f>N177</f>
        <v>0</v>
      </c>
      <c r="P177" s="60" t="str">
        <f>IF(O177=R177,O177,"")</f>
        <v/>
      </c>
      <c r="R177" s="61" t="str">
        <f>_xlfn.IFNA(VLOOKUP(F177,tblDisciplines[],15,FALSE),"")</f>
        <v/>
      </c>
    </row>
    <row r="178" spans="1:18">
      <c r="A178" s="1" t="s">
        <v>177</v>
      </c>
      <c r="B178" t="str">
        <f t="shared" si="30"/>
        <v>Allies</v>
      </c>
      <c r="D178" s="19"/>
      <c r="E178" s="15" t="s">
        <v>1493</v>
      </c>
      <c r="F178" s="3"/>
      <c r="G178" s="19"/>
      <c r="H178" s="72" t="str">
        <f>IFERROR(IF(VLOOKUP(F178,tblDisciplines[],14,FALSE)=0,"None",VLOOKUP(F178,tblDisciplines[],14,FALSE)),"None")</f>
        <v>None</v>
      </c>
      <c r="I178" s="73"/>
      <c r="N178" s="4"/>
      <c r="O178" s="61">
        <f>N178</f>
        <v>0</v>
      </c>
      <c r="P178" s="60" t="str">
        <f>IF(O178=R178,O178,"")</f>
        <v/>
      </c>
      <c r="R178" s="61" t="str">
        <f>_xlfn.IFNA(VLOOKUP(F178,tblDisciplines[],15,FALSE),"")</f>
        <v/>
      </c>
    </row>
    <row r="179" spans="1:18">
      <c r="A179" s="1" t="s">
        <v>178</v>
      </c>
      <c r="B179" t="str">
        <f t="shared" si="30"/>
        <v>Allies</v>
      </c>
      <c r="D179" s="19"/>
      <c r="E179" s="15" t="s">
        <v>1494</v>
      </c>
      <c r="F179" s="3"/>
      <c r="G179" s="19"/>
      <c r="H179" s="72" t="str">
        <f>IFERROR(IF(VLOOKUP(F179,tblDisciplines[],14,FALSE)=0,"None",VLOOKUP(F179,tblDisciplines[],14,FALSE)),"None")</f>
        <v>None</v>
      </c>
      <c r="I179" s="73"/>
      <c r="N179" s="4"/>
      <c r="O179" s="61">
        <f>N179</f>
        <v>0</v>
      </c>
      <c r="P179" s="60" t="str">
        <f>IF(O179=R179,O179,"")</f>
        <v/>
      </c>
      <c r="R179" s="61" t="str">
        <f>_xlfn.IFNA(VLOOKUP(F179,tblDisciplines[],15,FALSE),"")</f>
        <v/>
      </c>
    </row>
    <row r="180" spans="1:18">
      <c r="A180" s="1" t="s">
        <v>179</v>
      </c>
      <c r="B180" t="str">
        <f t="shared" si="30"/>
        <v>Allies</v>
      </c>
      <c r="D180" s="19"/>
      <c r="E180" s="15" t="s">
        <v>1495</v>
      </c>
      <c r="F180" s="3"/>
      <c r="G180" s="19"/>
      <c r="H180" s="72" t="str">
        <f>IFERROR(IF(VLOOKUP(F180,tblDisciplines[],14,FALSE)=0,"None",VLOOKUP(F180,tblDisciplines[],14,FALSE)),"None")</f>
        <v>None</v>
      </c>
      <c r="I180" s="73"/>
      <c r="N180" s="4"/>
      <c r="O180" s="61">
        <f>N180</f>
        <v>0</v>
      </c>
      <c r="P180" s="60" t="str">
        <f>IF(O180=R180,O180,"")</f>
        <v/>
      </c>
      <c r="R180" s="61" t="str">
        <f>_xlfn.IFNA(VLOOKUP(F180,tblDisciplines[],15,FALSE),"")</f>
        <v/>
      </c>
    </row>
    <row r="181" spans="1:18">
      <c r="A181" s="1" t="s">
        <v>180</v>
      </c>
      <c r="B181" t="str">
        <f t="shared" si="30"/>
        <v>Contacts</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30"/>
        <v>¬</v>
      </c>
    </row>
    <row r="183" spans="1:18">
      <c r="A183" s="1" t="s">
        <v>182</v>
      </c>
      <c r="B183" t="str">
        <f t="shared" si="30"/>
        <v>¬</v>
      </c>
      <c r="D183" s="16" t="s">
        <v>1497</v>
      </c>
      <c r="E183" s="16"/>
      <c r="F183" s="16"/>
      <c r="G183" s="16"/>
      <c r="H183" s="16"/>
      <c r="I183" s="16"/>
    </row>
    <row r="184" spans="1:18">
      <c r="A184" s="1" t="s">
        <v>183</v>
      </c>
      <c r="B184" t="str">
        <f t="shared" si="30"/>
        <v>¬</v>
      </c>
      <c r="D184" s="19"/>
      <c r="E184" s="15" t="s">
        <v>246</v>
      </c>
      <c r="F184" s="19"/>
      <c r="G184" s="19"/>
      <c r="H184" s="19"/>
      <c r="I184" s="60" t="b">
        <f>IF(OR(F$9="Circle of the Crone",COUNTIF(F$79:F$93,"Chorister")&gt;0),TRUE,FALSE)</f>
        <v>1</v>
      </c>
      <c r="L184" s="4">
        <v>1</v>
      </c>
      <c r="N184" s="4"/>
      <c r="O184" s="61">
        <f>ROUNDDOWN(N184/4,0)</f>
        <v>0</v>
      </c>
      <c r="P184" s="60">
        <f>SUM(L184,O184)</f>
        <v>1</v>
      </c>
      <c r="Q184" s="61">
        <v>0</v>
      </c>
      <c r="R184" s="61">
        <v>5</v>
      </c>
    </row>
    <row r="185" spans="1:18">
      <c r="A185" s="1" t="s">
        <v>184</v>
      </c>
      <c r="B185" t="str">
        <f t="shared" si="30"/>
        <v>¬</v>
      </c>
      <c r="D185" s="19"/>
      <c r="E185" s="15" t="s">
        <v>247</v>
      </c>
      <c r="F185" s="19"/>
      <c r="G185" s="19"/>
      <c r="H185" s="19"/>
      <c r="I185" s="60" t="b">
        <f>IF(OR(F$9="Lancea et Sanctum",COUNTIF(F$79:F$93,"Laity")&gt;0),TRUE,FALSE)</f>
        <v>0</v>
      </c>
      <c r="L185" s="4"/>
      <c r="N185" s="4"/>
      <c r="O185" s="61">
        <f>ROUNDDOWN(N185/4,0)</f>
        <v>0</v>
      </c>
      <c r="P185" s="60">
        <f>SUM(L185,O185)</f>
        <v>0</v>
      </c>
      <c r="Q185" s="61">
        <v>0</v>
      </c>
      <c r="R185" s="61">
        <v>5</v>
      </c>
    </row>
    <row r="186" spans="1:18">
      <c r="A186" s="1" t="s">
        <v>185</v>
      </c>
      <c r="B186" t="str">
        <f t="shared" si="30"/>
        <v>¬</v>
      </c>
      <c r="D186" s="19"/>
      <c r="E186" s="19"/>
      <c r="F186" s="19"/>
      <c r="G186" s="19"/>
      <c r="H186" s="19"/>
      <c r="I186" s="19"/>
      <c r="L186" s="60">
        <f>SUM(P184:P185)-SUM(L187:L191)</f>
        <v>0</v>
      </c>
    </row>
    <row r="187" spans="1:18">
      <c r="A187" s="1" t="s">
        <v>186</v>
      </c>
      <c r="B187" t="str">
        <f t="shared" si="30"/>
        <v>¬</v>
      </c>
      <c r="D187" s="19"/>
      <c r="E187" s="15" t="s">
        <v>248</v>
      </c>
      <c r="F187" s="19"/>
      <c r="G187" s="19"/>
      <c r="H187" s="19"/>
      <c r="I187" s="19"/>
      <c r="L187" s="4"/>
      <c r="M187" s="61">
        <f>IF(AND(I184,L184&gt;=1),1,0)</f>
        <v>1</v>
      </c>
      <c r="N187" s="4"/>
      <c r="O187" s="61">
        <f>ROUNDDOWN(N187/2,0)</f>
        <v>0</v>
      </c>
      <c r="P187" s="60">
        <f>MIN(SUM(L187,M187,O187),R187)</f>
        <v>1</v>
      </c>
      <c r="Q187" s="61">
        <v>0</v>
      </c>
      <c r="R187" s="61">
        <f>MAX(P$184,P$185)</f>
        <v>1</v>
      </c>
    </row>
    <row r="188" spans="1:18">
      <c r="A188" s="1" t="s">
        <v>187</v>
      </c>
      <c r="B188" t="str">
        <f t="shared" si="30"/>
        <v>¬</v>
      </c>
      <c r="D188" s="19"/>
      <c r="E188" s="15" t="s">
        <v>249</v>
      </c>
      <c r="F188" s="19"/>
      <c r="G188" s="19"/>
      <c r="H188" s="19"/>
      <c r="I188" s="19"/>
      <c r="L188" s="4"/>
      <c r="M188" s="61"/>
      <c r="N188" s="4"/>
      <c r="O188" s="61">
        <f>ROUNDDOWN(N188/2,0)</f>
        <v>0</v>
      </c>
      <c r="P188" s="60">
        <f>MIN(SUM(L188,M188,O188),R188)</f>
        <v>0</v>
      </c>
      <c r="Q188" s="61">
        <v>0</v>
      </c>
      <c r="R188" s="61">
        <f>MAX(P$184,P$185)</f>
        <v>1</v>
      </c>
    </row>
    <row r="189" spans="1:18">
      <c r="A189" s="1" t="s">
        <v>188</v>
      </c>
      <c r="B189" t="str">
        <f t="shared" si="30"/>
        <v>¬</v>
      </c>
      <c r="D189" s="19"/>
      <c r="E189" s="15" t="s">
        <v>250</v>
      </c>
      <c r="F189" s="19"/>
      <c r="G189" s="19"/>
      <c r="H189" s="19"/>
      <c r="I189" s="19"/>
      <c r="L189" s="4">
        <v>1</v>
      </c>
      <c r="M189" s="61">
        <f>IF(AND(I185,L185&gt;=1),1,0)</f>
        <v>0</v>
      </c>
      <c r="N189" s="4"/>
      <c r="O189" s="61">
        <f>ROUNDDOWN(N189/2,0)</f>
        <v>0</v>
      </c>
      <c r="P189" s="60">
        <f>MIN(SUM(L189,M189,O189),R189)</f>
        <v>1</v>
      </c>
      <c r="Q189" s="61">
        <v>0</v>
      </c>
      <c r="R189" s="61">
        <f>MAX(P$184,P$185)</f>
        <v>1</v>
      </c>
    </row>
    <row r="190" spans="1:18">
      <c r="A190" s="1" t="s">
        <v>189</v>
      </c>
      <c r="B190" t="str">
        <f t="shared" si="30"/>
        <v>¬</v>
      </c>
      <c r="D190" s="19"/>
      <c r="E190" s="15" t="s">
        <v>251</v>
      </c>
      <c r="F190" s="19"/>
      <c r="G190" s="19"/>
      <c r="H190" s="19"/>
      <c r="I190" s="19"/>
      <c r="L190" s="4"/>
      <c r="M190" s="61">
        <f>IF(AND(I184,L184&gt;=1),1,0)</f>
        <v>1</v>
      </c>
      <c r="N190" s="4"/>
      <c r="O190" s="61">
        <f>ROUNDDOWN(N190/2,0)</f>
        <v>0</v>
      </c>
      <c r="P190" s="60">
        <f>MIN(SUM(L190,M190,O190),R190)</f>
        <v>1</v>
      </c>
      <c r="Q190" s="61">
        <v>0</v>
      </c>
      <c r="R190" s="61">
        <f>MAX(P$184,P$185)</f>
        <v>1</v>
      </c>
    </row>
    <row r="191" spans="1:18">
      <c r="A191" s="1" t="s">
        <v>190</v>
      </c>
      <c r="B191" t="str">
        <f t="shared" si="30"/>
        <v>¬</v>
      </c>
      <c r="D191" s="19"/>
      <c r="E191" s="15" t="s">
        <v>252</v>
      </c>
      <c r="F191" s="19"/>
      <c r="G191" s="19"/>
      <c r="H191" s="19"/>
      <c r="I191" s="19"/>
      <c r="L191" s="4"/>
      <c r="M191" s="61">
        <f>IF(AND(I185,L185&gt;=1),1,0)</f>
        <v>0</v>
      </c>
      <c r="N191" s="4"/>
      <c r="O191" s="61">
        <f>ROUNDDOWN(N191/2,0)</f>
        <v>0</v>
      </c>
      <c r="P191" s="60">
        <f>MIN(SUM(L191,M191,O191),R191)</f>
        <v>0</v>
      </c>
      <c r="Q191" s="61">
        <v>0</v>
      </c>
      <c r="R191" s="61">
        <f>MAX(P$184,P$185)</f>
        <v>1</v>
      </c>
    </row>
    <row r="192" spans="1:18">
      <c r="A192" s="1" t="s">
        <v>191</v>
      </c>
      <c r="B192" t="str">
        <f t="shared" si="30"/>
        <v>¬</v>
      </c>
    </row>
    <row r="193" spans="1:18">
      <c r="A193" s="1" t="s">
        <v>192</v>
      </c>
      <c r="B193" t="str">
        <f t="shared" si="30"/>
        <v>¬</v>
      </c>
      <c r="D193" s="16" t="s">
        <v>1474</v>
      </c>
      <c r="E193" s="16"/>
      <c r="F193" s="16"/>
      <c r="G193" s="16"/>
      <c r="H193" s="16"/>
      <c r="I193" s="16"/>
      <c r="L193" s="60">
        <f>SUM(P184:P185)+SUM(O187:O191)-SUM(L194:L203)</f>
        <v>1</v>
      </c>
    </row>
    <row r="194" spans="1:18">
      <c r="A194" s="1" t="s">
        <v>193</v>
      </c>
      <c r="B194" t="str">
        <f t="shared" si="30"/>
        <v>¬</v>
      </c>
      <c r="D194" s="19"/>
      <c r="E194" s="15" t="s">
        <v>1498</v>
      </c>
      <c r="F194" s="3"/>
      <c r="G194" s="61" t="str">
        <f>_xlfn.IFNA(VLOOKUP(F194,tblDisciplines[],2,FALSE),"")</f>
        <v/>
      </c>
      <c r="H194" s="19"/>
      <c r="I194" s="19"/>
      <c r="L194" s="4"/>
      <c r="N194" s="4"/>
      <c r="O194" s="61">
        <f>N194</f>
        <v>0</v>
      </c>
      <c r="P194" s="60" t="str">
        <f>IF(OR(L194=R194,O194=R194),R194,MIN(SUM(L194,O194),R194))</f>
        <v/>
      </c>
      <c r="R194" s="61" t="str">
        <f>_xlfn.IFNA(VLOOKUP(F194,tblDisciplines[],3,FALSE),"")</f>
        <v/>
      </c>
    </row>
    <row r="195" spans="1:18">
      <c r="A195" s="1" t="s">
        <v>194</v>
      </c>
      <c r="B195" t="str">
        <f t="shared" si="30"/>
        <v>¬</v>
      </c>
      <c r="D195" s="19"/>
      <c r="E195" s="15" t="s">
        <v>1499</v>
      </c>
      <c r="F195" s="3"/>
      <c r="G195" s="61" t="str">
        <f>_xlfn.IFNA(VLOOKUP(F195,tblDisciplines[],2,FALSE),"")</f>
        <v/>
      </c>
      <c r="H195" s="19"/>
      <c r="I195" s="19"/>
      <c r="L195" s="4"/>
      <c r="N195" s="4"/>
      <c r="O195" s="61">
        <f t="shared" ref="O195:O203" si="31">N195</f>
        <v>0</v>
      </c>
      <c r="P195" s="60" t="str">
        <f t="shared" ref="P195:P203" si="32">IF(OR(L195=R195,O195=R195),R195,MIN(SUM(L195,O195),R195))</f>
        <v/>
      </c>
      <c r="R195" s="61" t="str">
        <f>_xlfn.IFNA(VLOOKUP(F195,tblDisciplines[],3,FALSE),"")</f>
        <v/>
      </c>
    </row>
    <row r="196" spans="1:18">
      <c r="A196" s="1" t="s">
        <v>195</v>
      </c>
      <c r="B196" t="str">
        <f t="shared" si="30"/>
        <v>¬</v>
      </c>
      <c r="D196" s="19"/>
      <c r="E196" s="15" t="s">
        <v>1500</v>
      </c>
      <c r="F196" s="3"/>
      <c r="G196" s="61" t="str">
        <f>_xlfn.IFNA(VLOOKUP(F196,tblDisciplines[],2,FALSE),"")</f>
        <v/>
      </c>
      <c r="H196" s="19"/>
      <c r="I196" s="19"/>
      <c r="L196" s="4"/>
      <c r="N196" s="4"/>
      <c r="O196" s="61">
        <f t="shared" si="31"/>
        <v>0</v>
      </c>
      <c r="P196" s="60" t="str">
        <f t="shared" si="32"/>
        <v/>
      </c>
      <c r="R196" s="61" t="str">
        <f>_xlfn.IFNA(VLOOKUP(F196,tblDisciplines[],3,FALSE),"")</f>
        <v/>
      </c>
    </row>
    <row r="197" spans="1:18">
      <c r="A197" s="1" t="s">
        <v>196</v>
      </c>
      <c r="B197" t="str">
        <f>IF(AD134="","¬",AD134)</f>
        <v>Health</v>
      </c>
      <c r="D197" s="19"/>
      <c r="E197" s="15" t="s">
        <v>1501</v>
      </c>
      <c r="F197" s="3"/>
      <c r="G197" s="61" t="str">
        <f>_xlfn.IFNA(VLOOKUP(F197,tblDisciplines[],2,FALSE),"")</f>
        <v/>
      </c>
      <c r="H197" s="19"/>
      <c r="I197" s="19"/>
      <c r="L197" s="4"/>
      <c r="N197" s="4"/>
      <c r="O197" s="61">
        <f t="shared" si="31"/>
        <v>0</v>
      </c>
      <c r="P197" s="60" t="str">
        <f t="shared" si="32"/>
        <v/>
      </c>
      <c r="R197" s="61" t="str">
        <f>_xlfn.IFNA(VLOOKUP(F197,tblDisciplines[],3,FALSE),"")</f>
        <v/>
      </c>
    </row>
    <row r="198" spans="1:18">
      <c r="A198" s="1" t="s">
        <v>197</v>
      </c>
      <c r="B198" t="str">
        <f t="shared" ref="B198:B216" si="33">IF(AD135="","¬",AD135)</f>
        <v>Politics</v>
      </c>
      <c r="D198" s="19"/>
      <c r="E198" s="15" t="s">
        <v>1502</v>
      </c>
      <c r="F198" s="3"/>
      <c r="G198" s="61" t="str">
        <f>_xlfn.IFNA(VLOOKUP(F198,tblDisciplines[],2,FALSE),"")</f>
        <v/>
      </c>
      <c r="H198" s="19"/>
      <c r="I198" s="19"/>
      <c r="L198" s="4"/>
      <c r="N198" s="4"/>
      <c r="O198" s="61">
        <f t="shared" si="31"/>
        <v>0</v>
      </c>
      <c r="P198" s="60" t="str">
        <f t="shared" si="32"/>
        <v/>
      </c>
      <c r="R198" s="61" t="str">
        <f>_xlfn.IFNA(VLOOKUP(F198,tblDisciplines[],3,FALSE),"")</f>
        <v/>
      </c>
    </row>
    <row r="199" spans="1:18">
      <c r="A199" s="1" t="s">
        <v>198</v>
      </c>
      <c r="B199" t="str">
        <f t="shared" si="33"/>
        <v>Transportation</v>
      </c>
      <c r="D199" s="19"/>
      <c r="E199" s="15" t="s">
        <v>1503</v>
      </c>
      <c r="F199" s="3"/>
      <c r="G199" s="61" t="str">
        <f>_xlfn.IFNA(VLOOKUP(F199,tblDisciplines[],2,FALSE),"")</f>
        <v/>
      </c>
      <c r="H199" s="19"/>
      <c r="I199" s="19"/>
      <c r="L199" s="4"/>
      <c r="N199" s="4"/>
      <c r="O199" s="61">
        <f t="shared" si="31"/>
        <v>0</v>
      </c>
      <c r="P199" s="60" t="str">
        <f t="shared" si="32"/>
        <v/>
      </c>
      <c r="R199" s="61" t="str">
        <f>_xlfn.IFNA(VLOOKUP(F199,tblDisciplines[],3,FALSE),"")</f>
        <v/>
      </c>
    </row>
    <row r="200" spans="1:18">
      <c r="A200" s="1" t="s">
        <v>199</v>
      </c>
      <c r="B200" t="str">
        <f t="shared" si="33"/>
        <v>Underworld</v>
      </c>
      <c r="D200" s="19"/>
      <c r="E200" s="15" t="s">
        <v>1504</v>
      </c>
      <c r="F200" s="3"/>
      <c r="G200" s="61" t="str">
        <f>_xlfn.IFNA(VLOOKUP(F200,tblDisciplines[],2,FALSE),"")</f>
        <v/>
      </c>
      <c r="H200" s="19"/>
      <c r="I200" s="19"/>
      <c r="L200" s="4"/>
      <c r="N200" s="4"/>
      <c r="O200" s="61">
        <f t="shared" si="31"/>
        <v>0</v>
      </c>
      <c r="P200" s="60" t="str">
        <f t="shared" si="32"/>
        <v/>
      </c>
      <c r="R200" s="61" t="str">
        <f>_xlfn.IFNA(VLOOKUP(F200,tblDisciplines[],3,FALSE),"")</f>
        <v/>
      </c>
    </row>
    <row r="201" spans="1:18">
      <c r="A201" s="1" t="s">
        <v>200</v>
      </c>
      <c r="B201" t="str">
        <f t="shared" si="33"/>
        <v>Street, Occult, Industry</v>
      </c>
      <c r="D201" s="19"/>
      <c r="E201" s="15" t="s">
        <v>1505</v>
      </c>
      <c r="F201" s="3"/>
      <c r="G201" s="61" t="str">
        <f>_xlfn.IFNA(VLOOKUP(F201,tblDisciplines[],2,FALSE),"")</f>
        <v/>
      </c>
      <c r="H201" s="19"/>
      <c r="I201" s="19"/>
      <c r="L201" s="4"/>
      <c r="N201" s="4"/>
      <c r="O201" s="61">
        <f t="shared" si="31"/>
        <v>0</v>
      </c>
      <c r="P201" s="60" t="str">
        <f t="shared" si="32"/>
        <v/>
      </c>
      <c r="R201" s="61" t="str">
        <f>_xlfn.IFNA(VLOOKUP(F201,tblDisciplines[],3,FALSE),"")</f>
        <v/>
      </c>
    </row>
    <row r="202" spans="1:18">
      <c r="A202" s="1" t="s">
        <v>201</v>
      </c>
      <c r="B202" t="str">
        <f t="shared" si="33"/>
        <v>¬</v>
      </c>
      <c r="D202" s="19"/>
      <c r="E202" s="15" t="s">
        <v>1506</v>
      </c>
      <c r="F202" s="3"/>
      <c r="G202" s="61" t="str">
        <f>_xlfn.IFNA(VLOOKUP(F202,tblDisciplines[],2,FALSE),"")</f>
        <v/>
      </c>
      <c r="H202" s="19"/>
      <c r="I202" s="19"/>
      <c r="L202" s="4"/>
      <c r="N202" s="4"/>
      <c r="O202" s="61">
        <f t="shared" si="31"/>
        <v>0</v>
      </c>
      <c r="P202" s="60" t="str">
        <f t="shared" si="32"/>
        <v/>
      </c>
      <c r="R202" s="61" t="str">
        <f>_xlfn.IFNA(VLOOKUP(F202,tblDisciplines[],3,FALSE),"")</f>
        <v/>
      </c>
    </row>
    <row r="203" spans="1:18">
      <c r="A203" s="1" t="s">
        <v>202</v>
      </c>
      <c r="B203" t="str">
        <f t="shared" si="33"/>
        <v>¬</v>
      </c>
      <c r="D203" s="19"/>
      <c r="E203" s="15" t="s">
        <v>1507</v>
      </c>
      <c r="F203" s="3"/>
      <c r="G203" s="61" t="str">
        <f>_xlfn.IFNA(VLOOKUP(F203,tblDisciplines[],2,FALSE),"")</f>
        <v/>
      </c>
      <c r="H203" s="19"/>
      <c r="I203" s="19"/>
      <c r="L203" s="4"/>
      <c r="N203" s="4"/>
      <c r="O203" s="61">
        <f t="shared" si="31"/>
        <v>0</v>
      </c>
      <c r="P203" s="60" t="str">
        <f t="shared" si="32"/>
        <v/>
      </c>
      <c r="R203" s="61" t="str">
        <f>_xlfn.IFNA(VLOOKUP(F203,tblDisciplines[],3,FALSE),"")</f>
        <v/>
      </c>
    </row>
    <row r="204" spans="1:18">
      <c r="A204" s="1" t="s">
        <v>203</v>
      </c>
      <c r="B204" t="str">
        <f t="shared" si="33"/>
        <v>¬</v>
      </c>
    </row>
    <row r="205" spans="1:18">
      <c r="A205" s="1" t="s">
        <v>204</v>
      </c>
      <c r="B205" t="str">
        <f t="shared" si="33"/>
        <v>¬</v>
      </c>
      <c r="D205" s="16" t="s">
        <v>1508</v>
      </c>
      <c r="E205" s="17"/>
      <c r="F205" s="17"/>
      <c r="G205" s="17"/>
      <c r="H205" s="17"/>
      <c r="I205" s="17"/>
    </row>
    <row r="206" spans="1:18">
      <c r="A206" s="1" t="s">
        <v>205</v>
      </c>
      <c r="B206" t="str">
        <f t="shared" si="33"/>
        <v>¬</v>
      </c>
      <c r="D206" s="19"/>
      <c r="E206" s="15" t="s">
        <v>1476</v>
      </c>
      <c r="F206" s="3"/>
      <c r="G206" s="19" t="str">
        <f>IFERROR(VLOOKUP(F206,tblManoeuvre[],2,FALSE)&amp;" "&amp;VLOOKUP(F206,tblManoeuvre[],3,FALSE),"")</f>
        <v/>
      </c>
      <c r="H206" s="68" t="str">
        <f>_xlfn.IFNA(IF(VLOOKUP(F206,tblMerits[],6,FALSE)=0,"None",VLOOKUP(F206,tblMerits[],6,FALSE)),"None")</f>
        <v>None</v>
      </c>
      <c r="I206" s="69"/>
      <c r="L206" s="4"/>
      <c r="M206" s="4"/>
      <c r="N206" s="4"/>
      <c r="O206" s="61">
        <f t="shared" ref="O206:O215" si="34">N206</f>
        <v>0</v>
      </c>
      <c r="P206" s="60">
        <f t="shared" ref="P206:P215" si="35">MIN(SUM(L206,M206,O206),R206)</f>
        <v>0</v>
      </c>
      <c r="Q206" s="61" t="str">
        <f>_xlfn.IFNA(VLOOKUP($F206,tblPacts[],3,FALSE),"")</f>
        <v/>
      </c>
      <c r="R206" s="61" t="str">
        <f>_xlfn.IFNA(VLOOKUP($F206,tblPacts[],4,FALSE),"")</f>
        <v/>
      </c>
    </row>
    <row r="207" spans="1:18">
      <c r="A207" s="1" t="s">
        <v>206</v>
      </c>
      <c r="B207" t="str">
        <f t="shared" si="33"/>
        <v>¬</v>
      </c>
      <c r="D207" s="19"/>
      <c r="E207" s="15" t="s">
        <v>1477</v>
      </c>
      <c r="F207" s="3"/>
      <c r="G207" s="19" t="str">
        <f>IFERROR(VLOOKUP(F207,tblManoeuvre[],2,FALSE)&amp;" "&amp;VLOOKUP(F207,tblManoeuvre[],3,FALSE),"")</f>
        <v/>
      </c>
      <c r="H207" s="68" t="str">
        <f>_xlfn.IFNA(IF(VLOOKUP(F207,tblMerits[],6,FALSE)=0,"None",VLOOKUP(F207,tblMerits[],6,FALSE)),"None")</f>
        <v>None</v>
      </c>
      <c r="I207" s="69"/>
      <c r="L207" s="4"/>
      <c r="M207" s="4"/>
      <c r="N207" s="4"/>
      <c r="O207" s="61">
        <f t="shared" si="34"/>
        <v>0</v>
      </c>
      <c r="P207" s="60">
        <f t="shared" si="35"/>
        <v>0</v>
      </c>
      <c r="Q207" s="61" t="str">
        <f>_xlfn.IFNA(VLOOKUP($F207,tblPacts[],3,FALSE),"")</f>
        <v/>
      </c>
      <c r="R207" s="61" t="str">
        <f>_xlfn.IFNA(VLOOKUP($F207,tblPacts[],4,FALSE),"")</f>
        <v/>
      </c>
    </row>
    <row r="208" spans="1:18">
      <c r="A208" s="1" t="s">
        <v>207</v>
      </c>
      <c r="B208" t="str">
        <f t="shared" si="33"/>
        <v>¬</v>
      </c>
      <c r="D208" s="19"/>
      <c r="E208" s="15" t="s">
        <v>1478</v>
      </c>
      <c r="F208" s="3"/>
      <c r="G208" s="19" t="str">
        <f>IFERROR(VLOOKUP(F208,tblManoeuvre[],2,FALSE)&amp;" "&amp;VLOOKUP(F208,tblManoeuvre[],3,FALSE),"")</f>
        <v/>
      </c>
      <c r="H208" s="68" t="str">
        <f>_xlfn.IFNA(IF(VLOOKUP(F208,tblMerits[],6,FALSE)=0,"None",VLOOKUP(F208,tblMerits[],6,FALSE)),"None")</f>
        <v>None</v>
      </c>
      <c r="I208" s="69"/>
      <c r="L208" s="4"/>
      <c r="M208" s="4"/>
      <c r="N208" s="4"/>
      <c r="O208" s="61">
        <f t="shared" si="34"/>
        <v>0</v>
      </c>
      <c r="P208" s="60">
        <f t="shared" si="35"/>
        <v>0</v>
      </c>
      <c r="Q208" s="61" t="str">
        <f>_xlfn.IFNA(VLOOKUP($F208,tblPacts[],3,FALSE),"")</f>
        <v/>
      </c>
      <c r="R208" s="61" t="str">
        <f>_xlfn.IFNA(VLOOKUP($F208,tblPacts[],4,FALSE),"")</f>
        <v/>
      </c>
    </row>
    <row r="209" spans="1:18">
      <c r="A209" s="1" t="s">
        <v>208</v>
      </c>
      <c r="B209" t="str">
        <f t="shared" si="33"/>
        <v>¬</v>
      </c>
      <c r="D209" s="19"/>
      <c r="E209" s="15" t="s">
        <v>1479</v>
      </c>
      <c r="F209" s="3"/>
      <c r="G209" s="19" t="str">
        <f>IFERROR(VLOOKUP(F209,tblManoeuvre[],2,FALSE)&amp;" "&amp;VLOOKUP(F209,tblManoeuvre[],3,FALSE),"")</f>
        <v/>
      </c>
      <c r="H209" s="68" t="str">
        <f>_xlfn.IFNA(IF(VLOOKUP(F209,tblMerits[],6,FALSE)=0,"None",VLOOKUP(F209,tblMerits[],6,FALSE)),"None")</f>
        <v>None</v>
      </c>
      <c r="I209" s="69"/>
      <c r="L209" s="4"/>
      <c r="M209" s="4"/>
      <c r="N209" s="4"/>
      <c r="O209" s="61">
        <f t="shared" si="34"/>
        <v>0</v>
      </c>
      <c r="P209" s="60">
        <f t="shared" si="35"/>
        <v>0</v>
      </c>
      <c r="Q209" s="61" t="str">
        <f>_xlfn.IFNA(VLOOKUP($F209,tblPacts[],3,FALSE),"")</f>
        <v/>
      </c>
      <c r="R209" s="61" t="str">
        <f>_xlfn.IFNA(VLOOKUP($F209,tblPacts[],4,FALSE),"")</f>
        <v/>
      </c>
    </row>
    <row r="210" spans="1:18">
      <c r="A210" s="1" t="s">
        <v>209</v>
      </c>
      <c r="B210" t="str">
        <f t="shared" si="33"/>
        <v>¬</v>
      </c>
      <c r="D210" s="19"/>
      <c r="E210" s="15" t="s">
        <v>1480</v>
      </c>
      <c r="F210" s="3"/>
      <c r="G210" s="19" t="str">
        <f>IFERROR(VLOOKUP(F210,tblManoeuvre[],2,FALSE)&amp;" "&amp;VLOOKUP(F210,tblManoeuvre[],3,FALSE),"")</f>
        <v/>
      </c>
      <c r="H210" s="68" t="str">
        <f>_xlfn.IFNA(IF(VLOOKUP(F210,tblMerits[],6,FALSE)=0,"None",VLOOKUP(F210,tblMerits[],6,FALSE)),"None")</f>
        <v>None</v>
      </c>
      <c r="I210" s="69"/>
      <c r="L210" s="4"/>
      <c r="M210" s="4"/>
      <c r="N210" s="4"/>
      <c r="O210" s="61">
        <f t="shared" si="34"/>
        <v>0</v>
      </c>
      <c r="P210" s="60">
        <f t="shared" si="35"/>
        <v>0</v>
      </c>
      <c r="Q210" s="61" t="str">
        <f>_xlfn.IFNA(VLOOKUP($F210,tblPacts[],3,FALSE),"")</f>
        <v/>
      </c>
      <c r="R210" s="61" t="str">
        <f>_xlfn.IFNA(VLOOKUP($F210,tblPacts[],4,FALSE),"")</f>
        <v/>
      </c>
    </row>
    <row r="211" spans="1:18">
      <c r="A211" s="1" t="s">
        <v>210</v>
      </c>
      <c r="B211" t="str">
        <f t="shared" si="33"/>
        <v>¬</v>
      </c>
      <c r="D211" s="19"/>
      <c r="E211" s="15" t="s">
        <v>1481</v>
      </c>
      <c r="F211" s="3"/>
      <c r="G211" s="19" t="str">
        <f>IFERROR(VLOOKUP(F211,tblManoeuvre[],2,FALSE)&amp;" "&amp;VLOOKUP(F211,tblManoeuvre[],3,FALSE),"")</f>
        <v/>
      </c>
      <c r="H211" s="68" t="str">
        <f>_xlfn.IFNA(IF(VLOOKUP(F211,tblMerits[],6,FALSE)=0,"None",VLOOKUP(F211,tblMerits[],6,FALSE)),"None")</f>
        <v>None</v>
      </c>
      <c r="I211" s="69"/>
      <c r="L211" s="4"/>
      <c r="M211" s="4"/>
      <c r="N211" s="4"/>
      <c r="O211" s="61">
        <f t="shared" si="34"/>
        <v>0</v>
      </c>
      <c r="P211" s="60">
        <f t="shared" si="35"/>
        <v>0</v>
      </c>
      <c r="Q211" s="61" t="str">
        <f>_xlfn.IFNA(VLOOKUP($F211,tblPacts[],3,FALSE),"")</f>
        <v/>
      </c>
      <c r="R211" s="61" t="str">
        <f>_xlfn.IFNA(VLOOKUP($F211,tblPacts[],4,FALSE),"")</f>
        <v/>
      </c>
    </row>
    <row r="212" spans="1:18">
      <c r="A212" s="1" t="s">
        <v>211</v>
      </c>
      <c r="B212" t="str">
        <f t="shared" si="33"/>
        <v>¬</v>
      </c>
      <c r="D212" s="19"/>
      <c r="E212" s="15" t="s">
        <v>1482</v>
      </c>
      <c r="F212" s="3"/>
      <c r="G212" s="19" t="str">
        <f>IFERROR(VLOOKUP(F212,tblManoeuvre[],2,FALSE)&amp;" "&amp;VLOOKUP(F212,tblManoeuvre[],3,FALSE),"")</f>
        <v/>
      </c>
      <c r="H212" s="68" t="str">
        <f>_xlfn.IFNA(IF(VLOOKUP(F212,tblMerits[],6,FALSE)=0,"None",VLOOKUP(F212,tblMerits[],6,FALSE)),"None")</f>
        <v>None</v>
      </c>
      <c r="I212" s="69"/>
      <c r="L212" s="4"/>
      <c r="M212" s="4"/>
      <c r="N212" s="4"/>
      <c r="O212" s="61">
        <f t="shared" si="34"/>
        <v>0</v>
      </c>
      <c r="P212" s="60">
        <f t="shared" si="35"/>
        <v>0</v>
      </c>
      <c r="Q212" s="61" t="str">
        <f>_xlfn.IFNA(VLOOKUP($F212,tblPacts[],3,FALSE),"")</f>
        <v/>
      </c>
      <c r="R212" s="61" t="str">
        <f>_xlfn.IFNA(VLOOKUP($F212,tblPacts[],4,FALSE),"")</f>
        <v/>
      </c>
    </row>
    <row r="213" spans="1:18">
      <c r="A213" s="1" t="s">
        <v>212</v>
      </c>
      <c r="B213" t="str">
        <f t="shared" si="33"/>
        <v>¬</v>
      </c>
      <c r="D213" s="19"/>
      <c r="E213" s="15" t="s">
        <v>1483</v>
      </c>
      <c r="F213" s="3"/>
      <c r="G213" s="19" t="str">
        <f>IFERROR(VLOOKUP(F213,tblManoeuvre[],2,FALSE)&amp;" "&amp;VLOOKUP(F213,tblManoeuvre[],3,FALSE),"")</f>
        <v/>
      </c>
      <c r="H213" s="68" t="str">
        <f>_xlfn.IFNA(IF(VLOOKUP(F213,tblMerits[],6,FALSE)=0,"None",VLOOKUP(F213,tblMerits[],6,FALSE)),"None")</f>
        <v>None</v>
      </c>
      <c r="I213" s="69"/>
      <c r="L213" s="4"/>
      <c r="M213" s="4"/>
      <c r="N213" s="4"/>
      <c r="O213" s="61">
        <f t="shared" si="34"/>
        <v>0</v>
      </c>
      <c r="P213" s="60">
        <f t="shared" si="35"/>
        <v>0</v>
      </c>
      <c r="Q213" s="61" t="str">
        <f>_xlfn.IFNA(VLOOKUP($F213,tblPacts[],3,FALSE),"")</f>
        <v/>
      </c>
      <c r="R213" s="61" t="str">
        <f>_xlfn.IFNA(VLOOKUP($F213,tblPacts[],4,FALSE),"")</f>
        <v/>
      </c>
    </row>
    <row r="214" spans="1:18">
      <c r="A214" s="1" t="s">
        <v>213</v>
      </c>
      <c r="B214" t="str">
        <f t="shared" si="33"/>
        <v>¬</v>
      </c>
      <c r="D214" s="19"/>
      <c r="E214" s="15" t="s">
        <v>1484</v>
      </c>
      <c r="F214" s="3"/>
      <c r="G214" s="19" t="str">
        <f>IFERROR(VLOOKUP(F214,tblManoeuvre[],2,FALSE)&amp;" "&amp;VLOOKUP(F214,tblManoeuvre[],3,FALSE),"")</f>
        <v/>
      </c>
      <c r="H214" s="68" t="str">
        <f>_xlfn.IFNA(IF(VLOOKUP(F214,tblMerits[],6,FALSE)=0,"None",VLOOKUP(F214,tblMerits[],6,FALSE)),"None")</f>
        <v>None</v>
      </c>
      <c r="I214" s="69"/>
      <c r="L214" s="4"/>
      <c r="M214" s="4"/>
      <c r="N214" s="4"/>
      <c r="O214" s="61">
        <f t="shared" si="34"/>
        <v>0</v>
      </c>
      <c r="P214" s="60">
        <f t="shared" si="35"/>
        <v>0</v>
      </c>
      <c r="Q214" s="61" t="str">
        <f>_xlfn.IFNA(VLOOKUP($F214,tblPacts[],3,FALSE),"")</f>
        <v/>
      </c>
      <c r="R214" s="61" t="str">
        <f>_xlfn.IFNA(VLOOKUP($F214,tblPacts[],4,FALSE),"")</f>
        <v/>
      </c>
    </row>
    <row r="215" spans="1:18">
      <c r="A215" s="1" t="s">
        <v>214</v>
      </c>
      <c r="B215" t="str">
        <f t="shared" si="33"/>
        <v>¬</v>
      </c>
      <c r="D215" s="19"/>
      <c r="E215" s="15" t="s">
        <v>1485</v>
      </c>
      <c r="F215" s="3"/>
      <c r="G215" s="19" t="str">
        <f>IFERROR(VLOOKUP(F215,tblManoeuvre[],2,FALSE)&amp;" "&amp;VLOOKUP(F215,tblManoeuvre[],3,FALSE),"")</f>
        <v/>
      </c>
      <c r="H215" s="68" t="str">
        <f>_xlfn.IFNA(IF(VLOOKUP(F215,tblMerits[],6,FALSE)=0,"None",VLOOKUP(F215,tblMerits[],6,FALSE)),"None")</f>
        <v>None</v>
      </c>
      <c r="I215" s="69"/>
      <c r="L215" s="4"/>
      <c r="M215" s="4"/>
      <c r="N215" s="4"/>
      <c r="O215" s="61">
        <f t="shared" si="34"/>
        <v>0</v>
      </c>
      <c r="P215" s="60">
        <f t="shared" si="35"/>
        <v>0</v>
      </c>
      <c r="Q215" s="61" t="str">
        <f>_xlfn.IFNA(VLOOKUP($F215,tblPacts[],3,FALSE),"")</f>
        <v/>
      </c>
      <c r="R215" s="61" t="str">
        <f>_xlfn.IFNA(VLOOKUP($F215,tblPacts[],4,FALSE),"")</f>
        <v/>
      </c>
    </row>
    <row r="216" spans="1:18">
      <c r="A216" s="1" t="s">
        <v>215</v>
      </c>
      <c r="B216" t="str">
        <f t="shared" si="33"/>
        <v>¬</v>
      </c>
    </row>
    <row r="217" spans="1:18">
      <c r="A217" s="1" t="s">
        <v>216</v>
      </c>
      <c r="B217" t="str">
        <f>IF(OR(AF134=0,AF134=""),"",REPT("●",AF134))</f>
        <v>●●●</v>
      </c>
      <c r="D217" s="16" t="s">
        <v>1509</v>
      </c>
      <c r="E217" s="16"/>
      <c r="F217" s="16"/>
      <c r="G217" s="16"/>
      <c r="H217" s="16"/>
      <c r="I217" s="16"/>
    </row>
    <row r="218" spans="1:18">
      <c r="A218" s="1" t="s">
        <v>217</v>
      </c>
      <c r="B218" t="str">
        <f t="shared" ref="B218:B236" si="36">IF(OR(AF135=0,AF135=""),"",REPT("●",AF135))</f>
        <v>●●●</v>
      </c>
      <c r="D218" s="19"/>
      <c r="E218" s="15" t="s">
        <v>353</v>
      </c>
      <c r="F218" s="19"/>
      <c r="G218" s="19"/>
      <c r="H218" s="19"/>
      <c r="I218" s="19"/>
      <c r="M218" s="61">
        <f>IF(COUNTIF(F79:F93,"Giant")&gt;0,1,0)+IF(COUNTIF(F79:F93,"Small-Framed")&gt;0,-1,0)</f>
        <v>0</v>
      </c>
      <c r="P218" s="60">
        <f>5+M218</f>
        <v>5</v>
      </c>
    </row>
    <row r="219" spans="1:18">
      <c r="A219" s="1" t="s">
        <v>218</v>
      </c>
      <c r="B219" t="str">
        <f t="shared" si="36"/>
        <v>●●●</v>
      </c>
      <c r="D219" s="19"/>
      <c r="E219" s="15" t="s">
        <v>354</v>
      </c>
      <c r="F219" s="19"/>
      <c r="G219" s="19"/>
      <c r="H219" s="19"/>
      <c r="I219" s="19"/>
      <c r="P219" s="60">
        <f ca="1">VLOOKUP("Size",INDIRECT($AH$1),2,FALSE)+VLOOKUP("Strength",INDIRECT($AH$1),2,FALSE)+VLOOKUP("Dexterity",INDIRECT($AH$1),2,FALSE)+VLOOKUP("Vigour",INDIRECT($AH$1),2,FALSE)</f>
        <v>9</v>
      </c>
    </row>
    <row r="220" spans="1:18">
      <c r="A220" s="1" t="s">
        <v>219</v>
      </c>
      <c r="B220" t="str">
        <f t="shared" si="36"/>
        <v>●●●</v>
      </c>
      <c r="D220" s="19"/>
      <c r="E220" s="15" t="s">
        <v>355</v>
      </c>
      <c r="F220" s="19"/>
      <c r="G220" s="19"/>
      <c r="H220" s="19"/>
      <c r="I220" s="19"/>
      <c r="P220" s="60">
        <f ca="1">MIN(VLOOKUP("Dexterity",INDIRECT($AH$1),2,FALSE),VLOOKUP("Wits",INDIRECT($AH$1),2,FALSE))+VLOOKUP("Athletics",INDIRECT($AH$1),2,FALSE)</f>
        <v>3</v>
      </c>
    </row>
    <row r="221" spans="1:18">
      <c r="A221" s="1" t="s">
        <v>220</v>
      </c>
      <c r="B221" t="str">
        <f t="shared" si="36"/>
        <v>●●●</v>
      </c>
      <c r="D221" s="19"/>
      <c r="E221" s="15" t="s">
        <v>52</v>
      </c>
      <c r="F221" s="19"/>
      <c r="G221" s="19"/>
      <c r="H221" s="19"/>
      <c r="I221" s="19"/>
      <c r="P221" s="60">
        <f ca="1">VLOOKUP("Size",INDIRECT($AH$1),2,FALSE)+VLOOKUP("Stamina",INDIRECT($AH$1),2,FALSE)+VLOOKUP("Resilience",INDIRECT($AH$1),2,FALSE)</f>
        <v>7</v>
      </c>
    </row>
    <row r="222" spans="1:18">
      <c r="A222" s="1" t="s">
        <v>221</v>
      </c>
      <c r="B222" t="str">
        <f t="shared" si="36"/>
        <v/>
      </c>
      <c r="D222" s="19"/>
      <c r="E222" s="19"/>
      <c r="F222" s="19"/>
      <c r="G222" s="19"/>
      <c r="H222" s="15" t="s">
        <v>1510</v>
      </c>
      <c r="I222" s="19"/>
      <c r="L222" s="4"/>
    </row>
    <row r="223" spans="1:18">
      <c r="A223" s="1" t="s">
        <v>222</v>
      </c>
      <c r="B223" t="str">
        <f t="shared" si="36"/>
        <v/>
      </c>
      <c r="D223" s="19"/>
      <c r="E223" s="15" t="s">
        <v>1511</v>
      </c>
      <c r="F223" s="7"/>
      <c r="G223" s="19"/>
      <c r="H223" s="15" t="s">
        <v>1512</v>
      </c>
      <c r="I223" s="19"/>
      <c r="L223" s="4"/>
    </row>
    <row r="224" spans="1:18">
      <c r="A224" s="1" t="s">
        <v>223</v>
      </c>
      <c r="B224" t="str">
        <f t="shared" si="36"/>
        <v/>
      </c>
      <c r="D224" s="19"/>
      <c r="E224" s="15" t="s">
        <v>1513</v>
      </c>
      <c r="F224" s="7"/>
      <c r="G224" s="19"/>
      <c r="H224" s="15" t="s">
        <v>1514</v>
      </c>
      <c r="I224" s="19"/>
      <c r="L224" s="4"/>
    </row>
    <row r="225" spans="1:12">
      <c r="A225" s="1" t="s">
        <v>224</v>
      </c>
      <c r="B225" t="str">
        <f t="shared" si="36"/>
        <v/>
      </c>
      <c r="D225" s="19"/>
      <c r="E225" s="15" t="s">
        <v>1515</v>
      </c>
      <c r="F225" s="7"/>
      <c r="G225" s="19"/>
      <c r="H225" s="15" t="s">
        <v>1516</v>
      </c>
      <c r="I225" s="19"/>
      <c r="L225" s="4"/>
    </row>
    <row r="226" spans="1:12">
      <c r="A226" s="1" t="s">
        <v>225</v>
      </c>
      <c r="B226" t="str">
        <f t="shared" si="36"/>
        <v/>
      </c>
      <c r="D226" s="19"/>
      <c r="E226" s="15" t="s">
        <v>1517</v>
      </c>
      <c r="F226" s="7"/>
      <c r="G226" s="19"/>
      <c r="H226" s="19"/>
      <c r="I226" s="19"/>
    </row>
    <row r="227" spans="1:12">
      <c r="A227" s="1" t="s">
        <v>226</v>
      </c>
      <c r="B227" t="str">
        <f t="shared" si="36"/>
        <v/>
      </c>
      <c r="D227" s="19"/>
      <c r="E227" s="15" t="s">
        <v>1518</v>
      </c>
      <c r="F227" s="7" t="s">
        <v>1580</v>
      </c>
      <c r="G227" s="19"/>
      <c r="H227" s="19"/>
      <c r="I227" s="19"/>
    </row>
    <row r="228" spans="1:12">
      <c r="A228" s="1" t="s">
        <v>227</v>
      </c>
      <c r="B228" t="str">
        <f t="shared" si="36"/>
        <v/>
      </c>
      <c r="D228" s="19"/>
      <c r="E228" s="15" t="s">
        <v>1519</v>
      </c>
      <c r="F228" s="7" t="s">
        <v>1581</v>
      </c>
      <c r="G228" s="19"/>
      <c r="H228" s="19"/>
      <c r="I228" s="19"/>
    </row>
    <row r="229" spans="1:12">
      <c r="A229" s="1" t="s">
        <v>228</v>
      </c>
      <c r="B229" t="str">
        <f t="shared" si="36"/>
        <v/>
      </c>
      <c r="D229" s="19"/>
      <c r="E229" s="15" t="s">
        <v>1520</v>
      </c>
      <c r="F229" s="7"/>
      <c r="G229" s="19"/>
      <c r="H229" s="19"/>
      <c r="I229" s="19"/>
    </row>
    <row r="230" spans="1:12">
      <c r="A230" s="1" t="s">
        <v>229</v>
      </c>
      <c r="B230" t="str">
        <f t="shared" si="36"/>
        <v/>
      </c>
      <c r="D230" s="19"/>
      <c r="E230" s="15" t="s">
        <v>1521</v>
      </c>
      <c r="F230" s="7"/>
      <c r="G230" s="19"/>
      <c r="H230" s="19"/>
      <c r="I230" s="19"/>
    </row>
    <row r="231" spans="1:12">
      <c r="A231" s="1" t="s">
        <v>230</v>
      </c>
      <c r="B231" t="str">
        <f t="shared" si="36"/>
        <v/>
      </c>
      <c r="D231" s="19"/>
      <c r="E231" s="15" t="s">
        <v>1522</v>
      </c>
      <c r="F231" s="7"/>
      <c r="G231" s="19"/>
      <c r="H231" s="19"/>
      <c r="I231" s="19"/>
    </row>
    <row r="232" spans="1:12">
      <c r="A232" s="1" t="s">
        <v>231</v>
      </c>
      <c r="B232" t="str">
        <f t="shared" si="36"/>
        <v/>
      </c>
      <c r="D232" s="19"/>
      <c r="E232" s="15" t="s">
        <v>1523</v>
      </c>
      <c r="F232" s="7"/>
      <c r="G232" s="19"/>
      <c r="H232" s="19"/>
      <c r="I232" s="19"/>
    </row>
    <row r="233" spans="1:12">
      <c r="A233" s="1" t="s">
        <v>232</v>
      </c>
      <c r="B233" t="str">
        <f t="shared" si="36"/>
        <v/>
      </c>
      <c r="D233" s="19"/>
      <c r="E233" s="19"/>
      <c r="F233" s="19"/>
      <c r="G233" s="19"/>
      <c r="H233" s="19"/>
      <c r="I233" s="19"/>
    </row>
    <row r="234" spans="1:12">
      <c r="A234" s="1" t="s">
        <v>233</v>
      </c>
      <c r="B234" t="str">
        <f t="shared" si="36"/>
        <v/>
      </c>
      <c r="D234" s="19"/>
      <c r="E234" s="15" t="s">
        <v>343</v>
      </c>
      <c r="F234" s="61" t="str">
        <f>_xlfn.IFNA(VLOOKUP(F7,tblClans[],4,FALSE),"")</f>
        <v>Tenebrous Curse</v>
      </c>
      <c r="G234" s="19"/>
      <c r="H234" s="74" t="str">
        <f>_xlfn.IFNA(VLOOKUP(F234,tblBanes[],2,FALSE),"")</f>
        <v>Gain an extra bane at Humanity 6 (doesn't count towards cap); Humanity counts –1 for all Humanity-based banes.</v>
      </c>
      <c r="I234" s="74"/>
    </row>
    <row r="235" spans="1:12">
      <c r="A235" s="1" t="s">
        <v>234</v>
      </c>
      <c r="B235" t="str">
        <f t="shared" si="36"/>
        <v/>
      </c>
      <c r="D235" s="19"/>
      <c r="E235" s="15" t="s">
        <v>344</v>
      </c>
      <c r="F235" s="19"/>
      <c r="G235" s="19"/>
      <c r="H235" s="19"/>
      <c r="I235" s="19"/>
    </row>
    <row r="236" spans="1:12">
      <c r="A236" s="1" t="s">
        <v>235</v>
      </c>
      <c r="B236" t="str">
        <f t="shared" si="36"/>
        <v/>
      </c>
      <c r="D236" s="19"/>
      <c r="E236" s="15" t="s">
        <v>345</v>
      </c>
      <c r="F236" s="3" t="s">
        <v>439</v>
      </c>
      <c r="G236" s="19"/>
      <c r="H236" s="70" t="str">
        <f>_xlfn.IFNA(VLOOKUP(F236,tblBanes[],2,FALSE),"")</f>
        <v>Surrounded by vermin; all Social rolls fail except Intimidation; WP can dismiss.</v>
      </c>
      <c r="I236" s="71"/>
    </row>
    <row r="237" spans="1:12">
      <c r="A237" s="1" t="s">
        <v>236</v>
      </c>
      <c r="B237" t="str">
        <f ca="1">_xlfn.LET(_xlpm.v,VLOOKUP(tblCharDataAlice[[#This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_xlfn.LET(_xlpm.v,VLOOKUP(tblCharDataAlice[[#This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_xlfn.LET(_xlpm.v,VLOOKUP(tblCharDataAlice[[#This Row],[Field]],INDIRECT($AH$1),2,FALSE),IF(OR(_xlpm.v=0,_xlpm.v=""),"-",REPT("●",_xlpm.v)))</f>
        <v>●</v>
      </c>
      <c r="D239" s="19"/>
      <c r="E239" s="19"/>
      <c r="F239" s="19"/>
      <c r="G239" s="19"/>
      <c r="H239" s="19"/>
      <c r="I239" s="19"/>
    </row>
    <row r="240" spans="1:12">
      <c r="A240" s="1" t="s">
        <v>239</v>
      </c>
      <c r="B240" t="str">
        <f ca="1">_xlfn.LET(_xlpm.v,VLOOKUP(tblCharDataAlice[[#This Row],[Field]],INDIRECT($AH$1),2,FALSE),IF(OR(_xlpm.v=0,_xlpm.v=""),"-",REPT("●",_xlpm.v)))</f>
        <v>-</v>
      </c>
      <c r="D240" s="19"/>
      <c r="E240" s="15" t="s">
        <v>360</v>
      </c>
      <c r="F240" s="62"/>
      <c r="G240" s="63"/>
      <c r="H240" s="63"/>
      <c r="I240" s="64"/>
    </row>
    <row r="241" spans="1:9">
      <c r="A241" s="1" t="s">
        <v>240</v>
      </c>
      <c r="B241" t="str">
        <f ca="1">_xlfn.LET(_xlpm.v,VLOOKUP(tblCharDataAlice[[#This Row],[Field]],INDIRECT($AH$1),2,FALSE),IF(OR(_xlpm.v=0,_xlpm.v=""),"-",REPT("●",_xlpm.v)))</f>
        <v>-</v>
      </c>
      <c r="D241" s="19"/>
      <c r="E241" s="15" t="s">
        <v>361</v>
      </c>
      <c r="F241" s="62"/>
      <c r="G241" s="63"/>
      <c r="H241" s="63"/>
      <c r="I241" s="64"/>
    </row>
    <row r="242" spans="1:9">
      <c r="A242" s="1" t="s">
        <v>241</v>
      </c>
      <c r="B242" t="str">
        <f ca="1">_xlfn.LET(_xlpm.v,VLOOKUP(tblCharDataAlice[[#This Row],[Field]],INDIRECT($AH$1),2,FALSE),IF(OR(_xlpm.v=0,_xlpm.v=""),"-",REPT("●",_xlpm.v)))</f>
        <v>-</v>
      </c>
      <c r="D242" s="19"/>
      <c r="E242" s="15" t="s">
        <v>362</v>
      </c>
      <c r="F242" s="62"/>
      <c r="G242" s="63"/>
      <c r="H242" s="63"/>
      <c r="I242" s="64"/>
    </row>
    <row r="243" spans="1:9">
      <c r="A243" s="1" t="s">
        <v>242</v>
      </c>
      <c r="B243" t="str">
        <f ca="1">_xlfn.LET(_xlpm.v,VLOOKUP(tblCharDataAlice[[#This Row],[Field]],INDIRECT($AH$1),2,FALSE),IF(OR(_xlpm.v=0,_xlpm.v=""),"-",REPT("●",_xlpm.v)))</f>
        <v>●●●</v>
      </c>
      <c r="D243" s="19"/>
      <c r="E243" s="19"/>
      <c r="F243" s="19"/>
      <c r="G243" s="19"/>
      <c r="H243" s="19"/>
      <c r="I243" s="19"/>
    </row>
    <row r="244" spans="1:9">
      <c r="A244" s="1" t="s">
        <v>243</v>
      </c>
      <c r="B244" t="str">
        <f ca="1">_xlfn.LET(_xlpm.v,VLOOKUP(tblCharDataAlice[[#This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_xlfn.LET(_xlpm.v,VLOOKUP(tblCharDataAlice[[#This Row],[Field]],INDIRECT($AH$1),2,FALSE),IF(OR(_xlpm.v=0,_xlpm.v=""),"-",REPT("●",_xlpm.v)))</f>
        <v>-</v>
      </c>
      <c r="D245" s="19"/>
      <c r="E245" s="15" t="s">
        <v>1524</v>
      </c>
      <c r="F245" s="62"/>
      <c r="G245" s="63"/>
      <c r="H245" s="63"/>
      <c r="I245" s="64"/>
    </row>
    <row r="246" spans="1:9">
      <c r="A246" s="1" t="s">
        <v>245</v>
      </c>
      <c r="B246" t="str">
        <f ca="1">_xlfn.LET(_xlpm.v,VLOOKUP(tblCharDataAlice[[#This Row],[Field]],INDIRECT($AH$1),2,FALSE),IF(OR(_xlpm.v=0,_xlpm.v=""),"-",REPT("●",_xlpm.v)))</f>
        <v>-</v>
      </c>
    </row>
    <row r="247" spans="1:9">
      <c r="A247" s="1" t="s">
        <v>246</v>
      </c>
      <c r="B247" t="str">
        <f ca="1">_xlfn.LET(_xlpm.v,VLOOKUP(tblCharDataAlice[[#This Row],[Field]],INDIRECT($AH$1),2,FALSE),IF(OR(_xlpm.v=0,_xlpm.v=""),"-",REPT("●",_xlpm.v)))</f>
        <v>●</v>
      </c>
      <c r="D247" s="16" t="s">
        <v>1525</v>
      </c>
      <c r="E247" s="16"/>
      <c r="F247" s="16" t="s">
        <v>1526</v>
      </c>
      <c r="G247" s="16" t="s">
        <v>1527</v>
      </c>
      <c r="H247" s="16"/>
      <c r="I247" s="16"/>
    </row>
    <row r="248" spans="1:9">
      <c r="A248" s="1" t="s">
        <v>247</v>
      </c>
      <c r="B248" t="str">
        <f ca="1">_xlfn.LET(_xlpm.v,VLOOKUP(tblCharDataAlice[[#This Row],[Field]],INDIRECT($AH$1),2,FALSE),IF(OR(_xlpm.v=0,_xlpm.v=""),"-",REPT("●",_xlpm.v)))</f>
        <v>-</v>
      </c>
      <c r="D248" s="19"/>
      <c r="E248" s="15" t="s">
        <v>1528</v>
      </c>
      <c r="F248" s="7"/>
      <c r="G248" s="7"/>
      <c r="H248" s="19"/>
      <c r="I248" s="19" t="s">
        <v>1529</v>
      </c>
    </row>
    <row r="249" spans="1:9">
      <c r="A249" s="1" t="s">
        <v>248</v>
      </c>
      <c r="B249" t="str">
        <f ca="1">_xlfn.LET(_xlpm.v,VLOOKUP(tblCharDataAlice[[#This Row],[Field]],INDIRECT($AH$1),2,FALSE),IF(OR(_xlpm.v=0,_xlpm.v=""),"-",REPT("●",_xlpm.v)))</f>
        <v>●</v>
      </c>
      <c r="D249" s="19"/>
      <c r="E249" s="15" t="s">
        <v>1530</v>
      </c>
      <c r="F249" s="7"/>
      <c r="G249" s="7"/>
      <c r="H249" s="19"/>
      <c r="I249" s="19" t="s">
        <v>1531</v>
      </c>
    </row>
    <row r="250" spans="1:9">
      <c r="A250" s="1" t="s">
        <v>249</v>
      </c>
      <c r="B250" t="str">
        <f ca="1">_xlfn.LET(_xlpm.v,VLOOKUP(tblCharDataAlice[[#This Row],[Field]],INDIRECT($AH$1),2,FALSE),IF(OR(_xlpm.v=0,_xlpm.v=""),"-",REPT("●",_xlpm.v)))</f>
        <v>-</v>
      </c>
      <c r="D250" s="19" t="s">
        <v>1532</v>
      </c>
      <c r="E250" s="15" t="s">
        <v>1533</v>
      </c>
      <c r="F250" s="7"/>
      <c r="G250" s="7"/>
      <c r="H250" s="19"/>
      <c r="I250" s="19"/>
    </row>
    <row r="251" spans="1:9">
      <c r="A251" s="1" t="s">
        <v>250</v>
      </c>
      <c r="B251" t="str">
        <f ca="1">_xlfn.LET(_xlpm.v,VLOOKUP(tblCharDataAlice[[#This Row],[Field]],INDIRECT($AH$1),2,FALSE),IF(OR(_xlpm.v=0,_xlpm.v=""),"-",REPT("●",_xlpm.v)))</f>
        <v>●</v>
      </c>
      <c r="D251" s="19" t="s">
        <v>1532</v>
      </c>
      <c r="E251" s="15" t="s">
        <v>1534</v>
      </c>
      <c r="F251" s="7"/>
      <c r="G251" s="7"/>
      <c r="H251" s="19"/>
      <c r="I251" s="19"/>
    </row>
    <row r="252" spans="1:9">
      <c r="A252" s="1" t="s">
        <v>251</v>
      </c>
      <c r="B252" t="str">
        <f ca="1">_xlfn.LET(_xlpm.v,VLOOKUP(tblCharDataAlice[[#This Row],[Field]],INDIRECT($AH$1),2,FALSE),IF(OR(_xlpm.v=0,_xlpm.v=""),"-",REPT("●",_xlpm.v)))</f>
        <v>●</v>
      </c>
      <c r="D252" s="19" t="s">
        <v>1532</v>
      </c>
      <c r="E252" s="15" t="s">
        <v>1535</v>
      </c>
      <c r="F252" s="7"/>
      <c r="G252" s="7"/>
      <c r="H252" s="19"/>
      <c r="I252" s="19"/>
    </row>
    <row r="253" spans="1:9">
      <c r="A253" s="1" t="s">
        <v>252</v>
      </c>
      <c r="B253" t="str">
        <f ca="1">_xlfn.LET(_xlpm.v,VLOOKUP(tblCharDataAlice[[#This Row],[Field]],INDIRECT($AH$1),2,FALSE),IF(OR(_xlpm.v=0,_xlpm.v=""),"-",REPT("●",_xlpm.v)))</f>
        <v>-</v>
      </c>
      <c r="D253" s="19" t="s">
        <v>1532</v>
      </c>
      <c r="E253" s="15" t="s">
        <v>1536</v>
      </c>
      <c r="F253" s="7"/>
      <c r="G253" s="7"/>
      <c r="H253" s="19"/>
      <c r="I253" s="19"/>
    </row>
    <row r="254" spans="1:9">
      <c r="A254" s="1" t="s">
        <v>253</v>
      </c>
      <c r="B254" t="str">
        <f t="shared" ref="B254:B283" si="37">IF(AD44="","¬",AD44)</f>
        <v>Auspex ● | Beast's Hackles</v>
      </c>
      <c r="D254" s="19" t="s">
        <v>1532</v>
      </c>
      <c r="E254" s="15" t="s">
        <v>1537</v>
      </c>
      <c r="F254" s="7"/>
      <c r="G254" s="7"/>
      <c r="H254" s="19"/>
      <c r="I254" s="19"/>
    </row>
    <row r="255" spans="1:9">
      <c r="A255" s="1" t="s">
        <v>254</v>
      </c>
      <c r="B255" t="str">
        <f t="shared" si="37"/>
        <v>Celerity ●</v>
      </c>
      <c r="D255" s="19" t="s">
        <v>1532</v>
      </c>
      <c r="E255" s="15" t="s">
        <v>1538</v>
      </c>
      <c r="F255" s="7"/>
      <c r="G255" s="7"/>
      <c r="H255" s="19"/>
      <c r="I255" s="19"/>
    </row>
    <row r="256" spans="1:9">
      <c r="A256" s="1" t="s">
        <v>255</v>
      </c>
      <c r="B256" t="str">
        <f t="shared" si="37"/>
        <v>Obfuscate ● | Face in the Crowd</v>
      </c>
      <c r="D256" s="19" t="s">
        <v>1532</v>
      </c>
      <c r="E256" s="15" t="s">
        <v>1539</v>
      </c>
      <c r="F256" s="7"/>
      <c r="G256" s="7"/>
      <c r="H256" s="19"/>
      <c r="I256" s="19"/>
    </row>
    <row r="257" spans="1:9">
      <c r="A257" s="1" t="s">
        <v>256</v>
      </c>
      <c r="B257" t="str">
        <f t="shared" si="37"/>
        <v>Obfuscate ●● | Touch of Shadow</v>
      </c>
      <c r="D257" s="19" t="s">
        <v>1532</v>
      </c>
      <c r="E257" s="15" t="s">
        <v>1540</v>
      </c>
      <c r="F257" s="7"/>
      <c r="G257" s="7"/>
      <c r="H257" s="19"/>
      <c r="I257" s="19"/>
    </row>
    <row r="258" spans="1:9">
      <c r="A258" s="1" t="s">
        <v>257</v>
      </c>
      <c r="B258" t="str">
        <f t="shared" si="37"/>
        <v>Obfuscate ●●● | Cloak of Night</v>
      </c>
      <c r="D258" s="19" t="s">
        <v>1532</v>
      </c>
      <c r="E258" s="15" t="s">
        <v>1541</v>
      </c>
      <c r="F258" s="7"/>
      <c r="G258" s="7"/>
      <c r="H258" s="19"/>
      <c r="I258" s="19"/>
    </row>
    <row r="259" spans="1:9">
      <c r="A259" s="1" t="s">
        <v>258</v>
      </c>
      <c r="B259" t="str">
        <f t="shared" si="37"/>
        <v>Blood Sorcery | Creation ●</v>
      </c>
      <c r="D259" s="19" t="s">
        <v>1532</v>
      </c>
      <c r="E259" s="15" t="s">
        <v>1542</v>
      </c>
      <c r="F259" s="7"/>
      <c r="G259" s="7"/>
      <c r="H259" s="19"/>
      <c r="I259" s="19"/>
    </row>
    <row r="260" spans="1:9">
      <c r="A260" s="1" t="s">
        <v>259</v>
      </c>
      <c r="B260" t="str">
        <f t="shared" si="37"/>
        <v>Blood Sorcery | Divination ●</v>
      </c>
      <c r="D260" s="19" t="s">
        <v>1532</v>
      </c>
      <c r="E260" s="15" t="s">
        <v>1543</v>
      </c>
      <c r="F260" s="7"/>
      <c r="G260" s="7"/>
      <c r="H260" s="19"/>
      <c r="I260" s="19"/>
    </row>
    <row r="261" spans="1:9">
      <c r="A261" s="1" t="s">
        <v>260</v>
      </c>
      <c r="B261" t="str">
        <f t="shared" si="37"/>
        <v>Blood Sorcery | Protection ●</v>
      </c>
      <c r="D261" s="19" t="s">
        <v>1532</v>
      </c>
      <c r="E261" s="15" t="s">
        <v>1544</v>
      </c>
      <c r="F261" s="7"/>
      <c r="G261" s="7"/>
      <c r="H261" s="19"/>
      <c r="I261" s="19"/>
    </row>
    <row r="262" spans="1:9">
      <c r="A262" s="1" t="s">
        <v>261</v>
      </c>
      <c r="B262" t="str">
        <f t="shared" si="37"/>
        <v>¬</v>
      </c>
      <c r="D262" s="19" t="s">
        <v>1532</v>
      </c>
      <c r="E262" s="15" t="s">
        <v>1545</v>
      </c>
      <c r="F262" s="7"/>
      <c r="G262" s="7"/>
      <c r="H262" s="19"/>
      <c r="I262" s="19"/>
    </row>
    <row r="263" spans="1:9">
      <c r="A263" s="1" t="s">
        <v>262</v>
      </c>
      <c r="B263" t="str">
        <f t="shared" si="37"/>
        <v>¬</v>
      </c>
      <c r="D263" s="19" t="s">
        <v>1532</v>
      </c>
      <c r="E263" s="15" t="s">
        <v>1546</v>
      </c>
      <c r="F263" s="7"/>
      <c r="G263" s="7"/>
      <c r="H263" s="19"/>
      <c r="I263" s="19"/>
    </row>
    <row r="264" spans="1:9">
      <c r="A264" s="1" t="s">
        <v>263</v>
      </c>
      <c r="B264" t="str">
        <f t="shared" si="37"/>
        <v>¬</v>
      </c>
      <c r="D264" s="19" t="s">
        <v>1532</v>
      </c>
      <c r="E264" s="15" t="s">
        <v>1547</v>
      </c>
      <c r="F264" s="7"/>
      <c r="G264" s="7"/>
      <c r="H264" s="19"/>
      <c r="I264" s="19"/>
    </row>
    <row r="265" spans="1:9">
      <c r="A265" s="1" t="s">
        <v>264</v>
      </c>
      <c r="B265" t="str">
        <f t="shared" si="37"/>
        <v>¬</v>
      </c>
      <c r="D265" s="19" t="s">
        <v>1532</v>
      </c>
      <c r="E265" s="15" t="s">
        <v>1548</v>
      </c>
      <c r="F265" s="7"/>
      <c r="G265" s="7"/>
      <c r="H265" s="19"/>
      <c r="I265" s="19"/>
    </row>
    <row r="266" spans="1:9">
      <c r="A266" s="1" t="s">
        <v>265</v>
      </c>
      <c r="B266" t="str">
        <f t="shared" si="37"/>
        <v>¬</v>
      </c>
      <c r="D266" s="19" t="s">
        <v>1532</v>
      </c>
      <c r="E266" s="15" t="s">
        <v>1549</v>
      </c>
      <c r="F266" s="7"/>
      <c r="G266" s="7"/>
      <c r="H266" s="19"/>
      <c r="I266" s="19"/>
    </row>
    <row r="267" spans="1:9">
      <c r="A267" s="1" t="s">
        <v>266</v>
      </c>
      <c r="B267" t="str">
        <f t="shared" si="37"/>
        <v>¬</v>
      </c>
      <c r="D267" s="19" t="s">
        <v>1532</v>
      </c>
      <c r="E267" s="15" t="s">
        <v>1550</v>
      </c>
      <c r="F267" s="7"/>
      <c r="G267" s="7"/>
      <c r="H267" s="19"/>
      <c r="I267" s="19"/>
    </row>
    <row r="268" spans="1:9">
      <c r="A268" s="1" t="s">
        <v>267</v>
      </c>
      <c r="B268" t="str">
        <f t="shared" si="37"/>
        <v>¬</v>
      </c>
      <c r="D268" s="19" t="s">
        <v>1532</v>
      </c>
      <c r="E268" s="15" t="s">
        <v>1551</v>
      </c>
      <c r="F268" s="7"/>
      <c r="G268" s="7"/>
      <c r="H268" s="19"/>
      <c r="I268" s="19"/>
    </row>
    <row r="269" spans="1:9">
      <c r="A269" s="1" t="s">
        <v>268</v>
      </c>
      <c r="B269" t="str">
        <f t="shared" si="37"/>
        <v>¬</v>
      </c>
      <c r="D269" s="19" t="s">
        <v>1532</v>
      </c>
      <c r="E269" s="15" t="s">
        <v>1552</v>
      </c>
      <c r="F269" s="7"/>
      <c r="G269" s="7"/>
      <c r="H269" s="19"/>
      <c r="I269" s="19"/>
    </row>
    <row r="270" spans="1:9">
      <c r="A270" s="1" t="s">
        <v>269</v>
      </c>
      <c r="B270" t="str">
        <f t="shared" si="37"/>
        <v>¬</v>
      </c>
      <c r="D270" s="19" t="s">
        <v>1532</v>
      </c>
      <c r="E270" s="15" t="s">
        <v>1553</v>
      </c>
      <c r="F270" s="7"/>
      <c r="G270" s="7"/>
      <c r="H270" s="19"/>
      <c r="I270" s="19"/>
    </row>
    <row r="271" spans="1:9">
      <c r="A271" s="1" t="s">
        <v>270</v>
      </c>
      <c r="B271" t="str">
        <f t="shared" si="37"/>
        <v>¬</v>
      </c>
      <c r="D271" s="19" t="s">
        <v>1532</v>
      </c>
      <c r="E271" s="15" t="s">
        <v>1554</v>
      </c>
      <c r="F271" s="7"/>
      <c r="G271" s="7"/>
      <c r="H271" s="19"/>
      <c r="I271" s="19"/>
    </row>
    <row r="272" spans="1:9">
      <c r="A272" s="1" t="s">
        <v>271</v>
      </c>
      <c r="B272" t="str">
        <f t="shared" si="37"/>
        <v>¬</v>
      </c>
      <c r="D272" s="19" t="s">
        <v>1532</v>
      </c>
      <c r="E272" s="15" t="s">
        <v>1555</v>
      </c>
      <c r="F272" s="7"/>
      <c r="G272" s="7"/>
      <c r="H272" s="19"/>
      <c r="I272" s="19"/>
    </row>
    <row r="273" spans="1:14">
      <c r="A273" s="1" t="s">
        <v>272</v>
      </c>
      <c r="B273" t="str">
        <f t="shared" si="37"/>
        <v>¬</v>
      </c>
      <c r="D273" s="19" t="s">
        <v>1532</v>
      </c>
      <c r="E273" s="15" t="s">
        <v>1556</v>
      </c>
      <c r="F273" s="7"/>
      <c r="G273" s="7"/>
      <c r="H273" s="19"/>
      <c r="I273" s="19"/>
    </row>
    <row r="274" spans="1:14">
      <c r="A274" s="1" t="s">
        <v>273</v>
      </c>
      <c r="B274" t="str">
        <f t="shared" si="37"/>
        <v>¬</v>
      </c>
      <c r="D274" s="19" t="s">
        <v>1532</v>
      </c>
      <c r="E274" s="15" t="s">
        <v>1557</v>
      </c>
      <c r="F274" s="7"/>
      <c r="G274" s="7"/>
      <c r="H274" s="19"/>
      <c r="I274" s="19"/>
    </row>
    <row r="275" spans="1:14">
      <c r="A275" s="1" t="s">
        <v>274</v>
      </c>
      <c r="B275" t="str">
        <f t="shared" si="37"/>
        <v>¬</v>
      </c>
      <c r="D275" s="19" t="s">
        <v>1532</v>
      </c>
      <c r="E275" s="15" t="s">
        <v>1558</v>
      </c>
      <c r="F275" s="7"/>
      <c r="G275" s="7"/>
      <c r="H275" s="19"/>
      <c r="I275" s="19"/>
    </row>
    <row r="276" spans="1:14">
      <c r="A276" s="1" t="s">
        <v>275</v>
      </c>
      <c r="B276" t="str">
        <f t="shared" si="37"/>
        <v>¬</v>
      </c>
      <c r="D276" s="19" t="s">
        <v>1532</v>
      </c>
      <c r="E276" s="15" t="s">
        <v>1559</v>
      </c>
      <c r="F276" s="7"/>
      <c r="G276" s="7"/>
      <c r="H276" s="19"/>
      <c r="I276" s="19"/>
    </row>
    <row r="277" spans="1:14">
      <c r="A277" s="1" t="s">
        <v>276</v>
      </c>
      <c r="B277" t="str">
        <f t="shared" si="37"/>
        <v>¬</v>
      </c>
      <c r="D277" s="19" t="s">
        <v>1532</v>
      </c>
      <c r="E277" s="15" t="s">
        <v>1560</v>
      </c>
      <c r="F277" s="7"/>
      <c r="G277" s="7"/>
      <c r="H277" s="19"/>
      <c r="I277" s="19"/>
    </row>
    <row r="278" spans="1:14">
      <c r="A278" s="1" t="s">
        <v>277</v>
      </c>
      <c r="B278" t="str">
        <f t="shared" si="37"/>
        <v>¬</v>
      </c>
    </row>
    <row r="279" spans="1:14">
      <c r="A279" s="1" t="s">
        <v>278</v>
      </c>
      <c r="B279" t="str">
        <f t="shared" si="37"/>
        <v>¬</v>
      </c>
      <c r="D279" s="16" t="s">
        <v>1561</v>
      </c>
      <c r="E279" s="16"/>
      <c r="F279" s="16" t="s">
        <v>1347</v>
      </c>
      <c r="G279" s="16" t="s">
        <v>1348</v>
      </c>
      <c r="H279" s="16" t="s">
        <v>1349</v>
      </c>
      <c r="I279" s="16" t="s">
        <v>1350</v>
      </c>
      <c r="N279" s="60">
        <f ca="1">SUM(N280:N282)</f>
        <v>3</v>
      </c>
    </row>
    <row r="280" spans="1:14">
      <c r="A280" s="1" t="s">
        <v>279</v>
      </c>
      <c r="B280" t="str">
        <f t="shared" si="37"/>
        <v>¬</v>
      </c>
      <c r="D280" s="61" t="str" cm="1">
        <f t="array" aca="1" ref="D280" ca="1">INDEX(Attendance!$C$14:$GP$44,
       MATCH($F$4, Attendance!$C$14:$C$44, 0),
       MATCH(1, (Attendance!$C$12:$GP$12=$E280) * (Attendance!$C$13:$GP$13="Paid"), 0)
)</f>
        <v>Cash</v>
      </c>
      <c r="E280" s="41">
        <v>46054</v>
      </c>
      <c r="F280" s="61" cm="1">
        <f t="array" aca="1" ref="F280" ca="1">N(INDEX(Attendance!$C$14:$GP$104,
       MATCH($F$4, Attendance!$C$14:$C$104, 0),
       MATCH(1, (Attendance!$C$12:$GP$12=$E280) * (Attendance!$C$13:$GP$13=$F$279), 0)
))</f>
        <v>3</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0</v>
      </c>
      <c r="I280" s="61" t="str" cm="1">
        <f t="array" aca="1" ref="I280" ca="1">INDEX(Attendance!$C$14:$GP$44,
       MATCH($F$4, Attendance!$C$14:$C$44, 0),
       MATCH(1, (Attendance!$C$12:$GP$12=$E280) * (Attendance!$C$13:$GP$13=$I$279), 0)
)</f>
        <v>Quiet</v>
      </c>
      <c r="K280" s="18"/>
      <c r="L280" s="18"/>
      <c r="M280" s="18" t="s">
        <v>1562</v>
      </c>
      <c r="N280" s="61">
        <f ca="1">SUM(F$280:F$316)</f>
        <v>3</v>
      </c>
    </row>
    <row r="281" spans="1:14">
      <c r="A281" s="1" t="s">
        <v>280</v>
      </c>
      <c r="B281" t="str">
        <f t="shared" si="37"/>
        <v>¬</v>
      </c>
      <c r="D281" s="61" t="str" cm="1">
        <f t="array" aca="1" ref="D281" ca="1">INDEX(Attendance!$C$14:$GP$44,
       MATCH($F$4, Attendance!$C$14:$C$44, 0),
       MATCH(1, (Attendance!$C$12:$GP$12=$E281) * (Attendance!$C$13:$GP$13="Paid"), 0)
)</f>
        <v> </v>
      </c>
      <c r="E281" s="42">
        <f t="shared" ref="E281:E316" si="38">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7"/>
        <v>¬</v>
      </c>
      <c r="D282" s="61" t="str" cm="1">
        <f t="array" aca="1" ref="D282" ca="1">INDEX(Attendance!$C$14:$GP$44,
       MATCH($F$4, Attendance!$C$14:$C$44, 0),
       MATCH(1, (Attendance!$C$12:$GP$12=$E282) * (Attendance!$C$13:$GP$13="Paid"), 0)
)</f>
        <v> </v>
      </c>
      <c r="E282" s="42">
        <f t="shared" si="38"/>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0</v>
      </c>
    </row>
    <row r="283" spans="1:14">
      <c r="A283" s="1" t="s">
        <v>282</v>
      </c>
      <c r="B283" t="str">
        <f t="shared" si="37"/>
        <v>¬</v>
      </c>
      <c r="D283" s="61" t="str" cm="1">
        <f t="array" aca="1" ref="D283" ca="1">INDEX(Attendance!$C$14:$GP$44,
       MATCH($F$4, Attendance!$C$14:$C$44, 0),
       MATCH(1, (Attendance!$C$12:$GP$12=$E283) * (Attendance!$C$13:$GP$13="Paid"), 0)
)</f>
        <v> </v>
      </c>
      <c r="E283" s="42">
        <f t="shared" si="38"/>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9">IF(AE44="","¬",AE44)</f>
        <v>Cost: Free (1 V for Insight)  •  Pool: - - Composure &amp; Closed Book  •  Instant  •  Scene</v>
      </c>
      <c r="D284" s="61" t="str" cm="1">
        <f t="array" aca="1" ref="D284" ca="1">INDEX(Attendance!$C$14:$GP$44,
       MATCH($F$4, Attendance!$C$14:$C$44, 0),
       MATCH(1, (Attendance!$C$12:$GP$12=$E284) * (Attendance!$C$13:$GP$13="Paid"), 0)
)</f>
        <v> </v>
      </c>
      <c r="E284" s="42">
        <f t="shared" si="38"/>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9"/>
        <v>Cost: 1 V per effect  •  Pool: -  •  Reflexive  •  1 turn</v>
      </c>
      <c r="D285" s="61" t="str" cm="1">
        <f t="array" aca="1" ref="D285" ca="1">INDEX(Attendance!$C$14:$GP$44,
       MATCH($F$4, Attendance!$C$14:$C$44, 0),
       MATCH(1, (Attendance!$C$12:$GP$12=$E285) * (Attendance!$C$13:$GP$13="Paid"), 0)
)</f>
        <v> </v>
      </c>
      <c r="E285" s="42">
        <f t="shared" si="38"/>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9"/>
        <v>Cost: -  •  Pool: -  •  Instant  •  Scene</v>
      </c>
      <c r="D286" s="61" t="str" cm="1">
        <f t="array" aca="1" ref="D286" ca="1">INDEX(Attendance!$C$14:$GP$44,
       MATCH($F$4, Attendance!$C$14:$C$44, 0),
       MATCH(1, (Attendance!$C$12:$GP$12=$E286) * (Attendance!$C$13:$GP$13="Paid"), 0)
)</f>
        <v> </v>
      </c>
      <c r="E286" s="42">
        <f t="shared" si="38"/>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9"/>
        <v>Cost: 1 V  •  Pool: 8  •  Instant  •  Scene</v>
      </c>
      <c r="D287" s="61" t="str" cm="1">
        <f t="array" aca="1" ref="D287" ca="1">INDEX(Attendance!$C$14:$GP$44,
       MATCH($F$4, Attendance!$C$14:$C$44, 0),
       MATCH(1, (Attendance!$C$12:$GP$12=$E287) * (Attendance!$C$13:$GP$13="Paid"), 0)
)</f>
        <v> </v>
      </c>
      <c r="E287" s="42">
        <f t="shared" si="38"/>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9"/>
        <v>Cost: 1 V  •  Pool: -  •  None</v>
      </c>
      <c r="D288" s="61" t="str" cm="1">
        <f t="array" aca="1" ref="D288" ca="1">INDEX(Attendance!$C$14:$GP$44,
       MATCH($F$4, Attendance!$C$14:$C$44, 0),
       MATCH(1, (Attendance!$C$12:$GP$12=$E288) * (Attendance!$C$13:$GP$13="Paid"), 0)
)</f>
        <v> </v>
      </c>
      <c r="E288" s="42">
        <f t="shared" si="38"/>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9"/>
        <v>¬</v>
      </c>
      <c r="D289" s="61" t="str" cm="1">
        <f t="array" aca="1" ref="D289" ca="1">INDEX(Attendance!$C$14:$GP$44,
       MATCH($F$4, Attendance!$C$14:$C$44, 0),
       MATCH(1, (Attendance!$C$12:$GP$12=$E289) * (Attendance!$C$13:$GP$13="Paid"), 0)
)</f>
        <v> </v>
      </c>
      <c r="E289" s="42">
        <f t="shared" si="38"/>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9"/>
        <v>¬</v>
      </c>
      <c r="D290" s="61" t="str" cm="1">
        <f t="array" aca="1" ref="D290" ca="1">INDEX(Attendance!$C$14:$GP$44,
       MATCH($F$4, Attendance!$C$14:$C$44, 0),
       MATCH(1, (Attendance!$C$12:$GP$12=$E290) * (Attendance!$C$13:$GP$13="Paid"), 0)
)</f>
        <v> </v>
      </c>
      <c r="E290" s="42">
        <f t="shared" si="38"/>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9"/>
        <v>¬</v>
      </c>
      <c r="D291" s="61" t="str" cm="1">
        <f t="array" aca="1" ref="D291" ca="1">INDEX(Attendance!$C$14:$GP$44,
       MATCH($F$4, Attendance!$C$14:$C$44, 0),
       MATCH(1, (Attendance!$C$12:$GP$12=$E291) * (Attendance!$C$13:$GP$13="Paid"), 0)
)</f>
        <v> </v>
      </c>
      <c r="E291" s="42">
        <f t="shared" si="38"/>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9"/>
        <v>¬</v>
      </c>
      <c r="D292" s="61" t="str" cm="1">
        <f t="array" aca="1" ref="D292" ca="1">INDEX(Attendance!$C$14:$GP$44,
       MATCH($F$4, Attendance!$C$14:$C$44, 0),
       MATCH(1, (Attendance!$C$12:$GP$12=$E292) * (Attendance!$C$13:$GP$13="Paid"), 0)
)</f>
        <v> </v>
      </c>
      <c r="E292" s="42">
        <f t="shared" si="38"/>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9"/>
        <v>¬</v>
      </c>
      <c r="D293" s="61" t="str" cm="1">
        <f t="array" aca="1" ref="D293" ca="1">INDEX(Attendance!$C$14:$GP$44,
       MATCH($F$4, Attendance!$C$14:$C$44, 0),
       MATCH(1, (Attendance!$C$12:$GP$12=$E293) * (Attendance!$C$13:$GP$13="Paid"), 0)
)</f>
        <v> </v>
      </c>
      <c r="E293" s="42">
        <f t="shared" si="38"/>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9"/>
        <v>¬</v>
      </c>
      <c r="D294" s="61" t="str" cm="1">
        <f t="array" aca="1" ref="D294" ca="1">INDEX(Attendance!$C$14:$GP$44,
       MATCH($F$4, Attendance!$C$14:$C$44, 0),
       MATCH(1, (Attendance!$C$12:$GP$12=$E294) * (Attendance!$C$13:$GP$13="Paid"), 0)
)</f>
        <v> </v>
      </c>
      <c r="E294" s="42">
        <f t="shared" si="38"/>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9"/>
        <v>¬</v>
      </c>
      <c r="D295" s="61" t="str" cm="1">
        <f t="array" aca="1" ref="D295" ca="1">INDEX(Attendance!$C$14:$GP$44,
       MATCH($F$4, Attendance!$C$14:$C$44, 0),
       MATCH(1, (Attendance!$C$12:$GP$12=$E295) * (Attendance!$C$13:$GP$13="Paid"), 0)
)</f>
        <v> </v>
      </c>
      <c r="E295" s="42">
        <f t="shared" si="38"/>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9"/>
        <v>¬</v>
      </c>
      <c r="D296" s="61" t="str" cm="1">
        <f t="array" aca="1" ref="D296" ca="1">INDEX(Attendance!$C$14:$GP$44,
       MATCH($F$4, Attendance!$C$14:$C$44, 0),
       MATCH(1, (Attendance!$C$12:$GP$12=$E296) * (Attendance!$C$13:$GP$13="Paid"), 0)
)</f>
        <v> </v>
      </c>
      <c r="E296" s="42">
        <f t="shared" si="38"/>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9"/>
        <v>¬</v>
      </c>
      <c r="D297" s="61" t="str" cm="1">
        <f t="array" aca="1" ref="D297" ca="1">INDEX(Attendance!$C$14:$GP$44,
       MATCH($F$4, Attendance!$C$14:$C$44, 0),
       MATCH(1, (Attendance!$C$12:$GP$12=$E297) * (Attendance!$C$13:$GP$13="Paid"), 0)
)</f>
        <v> </v>
      </c>
      <c r="E297" s="42">
        <f t="shared" si="38"/>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9"/>
        <v>¬</v>
      </c>
      <c r="D298" s="61" t="str" cm="1">
        <f t="array" aca="1" ref="D298" ca="1">INDEX(Attendance!$C$14:$GP$44,
       MATCH($F$4, Attendance!$C$14:$C$44, 0),
       MATCH(1, (Attendance!$C$12:$GP$12=$E298) * (Attendance!$C$13:$GP$13="Paid"), 0)
)</f>
        <v> </v>
      </c>
      <c r="E298" s="42">
        <f t="shared" si="38"/>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9"/>
        <v>¬</v>
      </c>
      <c r="D299" s="61" t="str" cm="1">
        <f t="array" aca="1" ref="D299" ca="1">INDEX(Attendance!$C$14:$GP$44,
       MATCH($F$4, Attendance!$C$14:$C$44, 0),
       MATCH(1, (Attendance!$C$12:$GP$12=$E299) * (Attendance!$C$13:$GP$13="Paid"), 0)
)</f>
        <v> </v>
      </c>
      <c r="E299" s="42">
        <f t="shared" si="38"/>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9"/>
        <v>¬</v>
      </c>
      <c r="D300" s="61" t="str" cm="1">
        <f t="array" aca="1" ref="D300" ca="1">INDEX(Attendance!$C$14:$GP$44,
       MATCH($F$4, Attendance!$C$14:$C$44, 0),
       MATCH(1, (Attendance!$C$12:$GP$12=$E300) * (Attendance!$C$13:$GP$13="Paid"), 0)
)</f>
        <v> </v>
      </c>
      <c r="E300" s="42">
        <f t="shared" si="38"/>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9"/>
        <v>¬</v>
      </c>
      <c r="D301" s="61" t="str" cm="1">
        <f t="array" aca="1" ref="D301" ca="1">INDEX(Attendance!$C$14:$GP$44,
       MATCH($F$4, Attendance!$C$14:$C$44, 0),
       MATCH(1, (Attendance!$C$12:$GP$12=$E301) * (Attendance!$C$13:$GP$13="Paid"), 0)
)</f>
        <v> </v>
      </c>
      <c r="E301" s="42">
        <f t="shared" si="38"/>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9"/>
        <v>¬</v>
      </c>
      <c r="D302" s="61" t="str" cm="1">
        <f t="array" aca="1" ref="D302" ca="1">INDEX(Attendance!$C$14:$GP$44,
       MATCH($F$4, Attendance!$C$14:$C$44, 0),
       MATCH(1, (Attendance!$C$12:$GP$12=$E302) * (Attendance!$C$13:$GP$13="Paid"), 0)
)</f>
        <v> </v>
      </c>
      <c r="E302" s="42">
        <f t="shared" si="38"/>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9"/>
        <v>¬</v>
      </c>
      <c r="D303" s="61" t="str" cm="1">
        <f t="array" aca="1" ref="D303" ca="1">INDEX(Attendance!$C$14:$GP$44,
       MATCH($F$4, Attendance!$C$14:$C$44, 0),
       MATCH(1, (Attendance!$C$12:$GP$12=$E303) * (Attendance!$C$13:$GP$13="Paid"), 0)
)</f>
        <v> </v>
      </c>
      <c r="E303" s="42">
        <f t="shared" si="38"/>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9"/>
        <v>¬</v>
      </c>
      <c r="D304" s="61" t="str" cm="1">
        <f t="array" aca="1" ref="D304" ca="1">INDEX(Attendance!$C$14:$GP$44,
       MATCH($F$4, Attendance!$C$14:$C$44, 0),
       MATCH(1, (Attendance!$C$12:$GP$12=$E304) * (Attendance!$C$13:$GP$13="Paid"), 0)
)</f>
        <v> </v>
      </c>
      <c r="E304" s="42">
        <f t="shared" si="38"/>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9"/>
        <v>¬</v>
      </c>
      <c r="D305" s="61" t="str" cm="1">
        <f t="array" aca="1" ref="D305" ca="1">INDEX(Attendance!$C$14:$GP$44,
       MATCH($F$4, Attendance!$C$14:$C$44, 0),
       MATCH(1, (Attendance!$C$12:$GP$12=$E305) * (Attendance!$C$13:$GP$13="Paid"), 0)
)</f>
        <v> </v>
      </c>
      <c r="E305" s="42">
        <f t="shared" si="38"/>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9"/>
        <v>¬</v>
      </c>
      <c r="D306" s="61" t="str" cm="1">
        <f t="array" aca="1" ref="D306" ca="1">INDEX(Attendance!$C$14:$GP$44,
       MATCH($F$4, Attendance!$C$14:$C$44, 0),
       MATCH(1, (Attendance!$C$12:$GP$12=$E306) * (Attendance!$C$13:$GP$13="Paid"), 0)
)</f>
        <v> </v>
      </c>
      <c r="E306" s="42">
        <f t="shared" si="38"/>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9"/>
        <v>¬</v>
      </c>
      <c r="D307" s="61" t="str" cm="1">
        <f t="array" aca="1" ref="D307" ca="1">INDEX(Attendance!$C$14:$GP$44,
       MATCH($F$4, Attendance!$C$14:$C$44, 0),
       MATCH(1, (Attendance!$C$12:$GP$12=$E307) * (Attendance!$C$13:$GP$13="Paid"), 0)
)</f>
        <v> </v>
      </c>
      <c r="E307" s="42">
        <f t="shared" si="38"/>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9"/>
        <v>¬</v>
      </c>
      <c r="D308" s="61" t="str" cm="1">
        <f t="array" aca="1" ref="D308" ca="1">INDEX(Attendance!$C$14:$GP$44,
       MATCH($F$4, Attendance!$C$14:$C$44, 0),
       MATCH(1, (Attendance!$C$12:$GP$12=$E308) * (Attendance!$C$13:$GP$13="Paid"), 0)
)</f>
        <v> </v>
      </c>
      <c r="E308" s="42">
        <f t="shared" si="38"/>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9"/>
        <v>¬</v>
      </c>
      <c r="D309" s="61" t="str" cm="1">
        <f t="array" aca="1" ref="D309" ca="1">INDEX(Attendance!$C$14:$GP$44,
       MATCH($F$4, Attendance!$C$14:$C$44, 0),
       MATCH(1, (Attendance!$C$12:$GP$12=$E309) * (Attendance!$C$13:$GP$13="Paid"), 0)
)</f>
        <v> </v>
      </c>
      <c r="E309" s="42">
        <f t="shared" si="38"/>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9"/>
        <v>¬</v>
      </c>
      <c r="D310" s="61" t="str" cm="1">
        <f t="array" aca="1" ref="D310" ca="1">INDEX(Attendance!$C$14:$GP$44,
       MATCH($F$4, Attendance!$C$14:$C$44, 0),
       MATCH(1, (Attendance!$C$12:$GP$12=$E310) * (Attendance!$C$13:$GP$13="Paid"), 0)
)</f>
        <v> </v>
      </c>
      <c r="E310" s="42">
        <f t="shared" si="38"/>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9"/>
        <v>¬</v>
      </c>
      <c r="D311" s="61" t="str" cm="1">
        <f t="array" aca="1" ref="D311" ca="1">INDEX(Attendance!$C$14:$GP$44,
       MATCH($F$4, Attendance!$C$14:$C$44, 0),
       MATCH(1, (Attendance!$C$12:$GP$12=$E311) * (Attendance!$C$13:$GP$13="Paid"), 0)
)</f>
        <v> </v>
      </c>
      <c r="E311" s="42">
        <f t="shared" si="38"/>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9"/>
        <v>¬</v>
      </c>
      <c r="D312" s="61" t="str" cm="1">
        <f t="array" aca="1" ref="D312" ca="1">INDEX(Attendance!$C$14:$GP$44,
       MATCH($F$4, Attendance!$C$14:$C$44, 0),
       MATCH(1, (Attendance!$C$12:$GP$12=$E312) * (Attendance!$C$13:$GP$13="Paid"), 0)
)</f>
        <v> </v>
      </c>
      <c r="E312" s="42">
        <f t="shared" si="38"/>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9"/>
        <v>¬</v>
      </c>
      <c r="D313" s="61" t="str" cm="1">
        <f t="array" aca="1" ref="D313" ca="1">INDEX(Attendance!$C$14:$GP$44,
       MATCH($F$4, Attendance!$C$14:$C$44, 0),
       MATCH(1, (Attendance!$C$12:$GP$12=$E313) * (Attendance!$C$13:$GP$13="Paid"), 0)
)</f>
        <v> </v>
      </c>
      <c r="E313" s="42">
        <f t="shared" si="38"/>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40">IF(AF44="","¬",AF44)</f>
        <v>Add Auspex dots to any rolls to resist surprise. Access to Tier 1 Auspex Insight questions.</v>
      </c>
      <c r="D314" s="61" t="str" cm="1">
        <f t="array" aca="1" ref="D314" ca="1">INDEX(Attendance!$C$14:$GP$44,
       MATCH($F$4, Attendance!$C$14:$C$44, 0),
       MATCH(1, (Attendance!$C$12:$GP$12=$E314) * (Attendance!$C$13:$GP$13="Paid"), 0)
)</f>
        <v> </v>
      </c>
      <c r="E314" s="42">
        <f t="shared" si="38"/>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40"/>
        <v>Persistent improved Defence or Dodge. Activate for supernatural speed benefits. Unnatural Grace: add Celerity dots as bonus dice to non-combat speed-based pools.</v>
      </c>
      <c r="D315" s="61" t="str" cm="1">
        <f t="array" aca="1" ref="D315" ca="1">INDEX(Attendance!$C$14:$GP$44,
       MATCH($F$4, Attendance!$C$14:$C$44, 0),
       MATCH(1, (Attendance!$C$12:$GP$12=$E315) * (Attendance!$C$13:$GP$13="Paid"), 0)
)</f>
        <v> </v>
      </c>
      <c r="E315" s="42">
        <f t="shared" si="38"/>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40"/>
        <v>Blend into surroundings, visible but unnoticeable. Predatory aura fully on or off. Leaving combat: Wits + Composure - Obfuscate to notice; auto Clash of Wills vs Auspex.</v>
      </c>
      <c r="D316" s="61" t="str" cm="1">
        <f t="array" aca="1" ref="D316" ca="1">INDEX(Attendance!$C$14:$GP$44,
       MATCH($F$4, Attendance!$C$14:$C$44, 0),
       MATCH(1, (Attendance!$C$12:$GP$12=$E316) * (Attendance!$C$13:$GP$13="Paid"), 0)
)</f>
        <v> </v>
      </c>
      <c r="E316" s="42">
        <f t="shared" si="38"/>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40"/>
        <v>Cast Face in the Crowd on object or person. Free and unlimited duration on carried/worn objects if not drawing attention.</v>
      </c>
    </row>
    <row r="318" spans="1:9">
      <c r="A318" s="1" t="s">
        <v>317</v>
      </c>
      <c r="B318" t="str">
        <f t="shared" si="40"/>
        <v>Become invisible. Leaving combat: auto Clash of Wills vs Auspex 2.</v>
      </c>
    </row>
    <row r="319" spans="1:9">
      <c r="A319" s="1" t="s">
        <v>318</v>
      </c>
      <c r="B319" t="str">
        <f t="shared" si="40"/>
        <v>Summon liquids, dead organic matter, sensory phenomena. Bonus/penalty = Potency.</v>
      </c>
    </row>
    <row r="320" spans="1:9">
      <c r="A320" s="1" t="s">
        <v>319</v>
      </c>
      <c r="B320" t="str">
        <f t="shared" si="40"/>
        <v>Glimpse fragmented details about intended actions. Learn basic info about a target.</v>
      </c>
    </row>
    <row r="321" spans="1:2">
      <c r="A321" s="1" t="s">
        <v>320</v>
      </c>
      <c r="B321" t="str">
        <f t="shared" si="40"/>
        <v>Subtract Potency from ritual rolls targeting subject. Heal bashing in vampires. Protect from the Kiss (add Potency to resistance).</v>
      </c>
    </row>
    <row r="322" spans="1:2">
      <c r="A322" s="1" t="s">
        <v>321</v>
      </c>
      <c r="B322" t="str">
        <f t="shared" si="40"/>
        <v>¬</v>
      </c>
    </row>
    <row r="323" spans="1:2">
      <c r="A323" s="1" t="s">
        <v>322</v>
      </c>
      <c r="B323" t="str">
        <f t="shared" si="40"/>
        <v>¬</v>
      </c>
    </row>
    <row r="324" spans="1:2">
      <c r="A324" s="1" t="s">
        <v>323</v>
      </c>
      <c r="B324" t="str">
        <f t="shared" si="40"/>
        <v>¬</v>
      </c>
    </row>
    <row r="325" spans="1:2">
      <c r="A325" s="1" t="s">
        <v>324</v>
      </c>
      <c r="B325" t="str">
        <f t="shared" si="40"/>
        <v>¬</v>
      </c>
    </row>
    <row r="326" spans="1:2">
      <c r="A326" s="1" t="s">
        <v>325</v>
      </c>
      <c r="B326" t="str">
        <f t="shared" si="40"/>
        <v>¬</v>
      </c>
    </row>
    <row r="327" spans="1:2">
      <c r="A327" s="1" t="s">
        <v>326</v>
      </c>
      <c r="B327" t="str">
        <f t="shared" si="40"/>
        <v>¬</v>
      </c>
    </row>
    <row r="328" spans="1:2">
      <c r="A328" s="1" t="s">
        <v>327</v>
      </c>
      <c r="B328" t="str">
        <f t="shared" si="40"/>
        <v>¬</v>
      </c>
    </row>
    <row r="329" spans="1:2">
      <c r="A329" s="1" t="s">
        <v>328</v>
      </c>
      <c r="B329" t="str">
        <f t="shared" si="40"/>
        <v>¬</v>
      </c>
    </row>
    <row r="330" spans="1:2">
      <c r="A330" s="1" t="s">
        <v>329</v>
      </c>
      <c r="B330" t="str">
        <f t="shared" si="40"/>
        <v>¬</v>
      </c>
    </row>
    <row r="331" spans="1:2">
      <c r="A331" s="1" t="s">
        <v>330</v>
      </c>
      <c r="B331" t="str">
        <f t="shared" si="40"/>
        <v>¬</v>
      </c>
    </row>
    <row r="332" spans="1:2">
      <c r="A332" s="1" t="s">
        <v>331</v>
      </c>
      <c r="B332" t="str">
        <f t="shared" si="40"/>
        <v>¬</v>
      </c>
    </row>
    <row r="333" spans="1:2">
      <c r="A333" s="1" t="s">
        <v>332</v>
      </c>
      <c r="B333" t="str">
        <f t="shared" si="40"/>
        <v>¬</v>
      </c>
    </row>
    <row r="334" spans="1:2">
      <c r="A334" s="1" t="s">
        <v>333</v>
      </c>
      <c r="B334" t="str">
        <f t="shared" si="40"/>
        <v>¬</v>
      </c>
    </row>
    <row r="335" spans="1:2">
      <c r="A335" s="1" t="s">
        <v>334</v>
      </c>
      <c r="B335" t="str">
        <f t="shared" si="40"/>
        <v>¬</v>
      </c>
    </row>
    <row r="336" spans="1:2">
      <c r="A336" s="1" t="s">
        <v>335</v>
      </c>
      <c r="B336" t="str">
        <f t="shared" si="40"/>
        <v>¬</v>
      </c>
    </row>
    <row r="337" spans="1:2">
      <c r="A337" s="1" t="s">
        <v>336</v>
      </c>
      <c r="B337" t="str">
        <f t="shared" si="40"/>
        <v>¬</v>
      </c>
    </row>
    <row r="338" spans="1:2">
      <c r="A338" s="1" t="s">
        <v>337</v>
      </c>
      <c r="B338" t="str">
        <f t="shared" si="40"/>
        <v>¬</v>
      </c>
    </row>
    <row r="339" spans="1:2">
      <c r="A339" s="1" t="s">
        <v>338</v>
      </c>
      <c r="B339" t="str">
        <f t="shared" si="40"/>
        <v>¬</v>
      </c>
    </row>
    <row r="340" spans="1:2">
      <c r="A340" s="1" t="s">
        <v>339</v>
      </c>
      <c r="B340" t="str">
        <f t="shared" si="40"/>
        <v>¬</v>
      </c>
    </row>
    <row r="341" spans="1:2">
      <c r="A341" s="1" t="s">
        <v>340</v>
      </c>
      <c r="B341" t="str">
        <f t="shared" si="40"/>
        <v>¬</v>
      </c>
    </row>
    <row r="342" spans="1:2">
      <c r="A342" s="1" t="s">
        <v>341</v>
      </c>
      <c r="B342" t="str">
        <f t="shared" si="40"/>
        <v>¬</v>
      </c>
    </row>
    <row r="343" spans="1:2">
      <c r="A343" s="1" t="s">
        <v>342</v>
      </c>
      <c r="B343" t="str">
        <f t="shared" si="40"/>
        <v>¬</v>
      </c>
    </row>
    <row r="344" spans="1:2">
      <c r="A344" s="1" t="s">
        <v>343</v>
      </c>
      <c r="B344" s="8" t="str">
        <f>IF(VLOOKUP(tblCharDataAlice[[#This Row],[Field]],$E$2:$F$361,2,FALSE)="","¬",VLOOKUP(tblCharDataAlice[[#This Row],[Field]],$E$2:$F$361,2,FALSE))</f>
        <v>Tenebrous Curse</v>
      </c>
    </row>
    <row r="345" spans="1:2">
      <c r="A345" s="1" t="s">
        <v>344</v>
      </c>
      <c r="B345" s="8" t="str">
        <f>IF(VLOOKUP(tblCharDataAlice[[#This Row],[Field]],$E$2:$F$361,2,FALSE)="","¬",VLOOKUP(tblCharDataAlice[[#This Row],[Field]],$E$2:$F$361,2,FALSE))</f>
        <v>¬</v>
      </c>
    </row>
    <row r="346" spans="1:2">
      <c r="A346" s="1" t="s">
        <v>345</v>
      </c>
      <c r="B346" s="8" t="str">
        <f>IF(VLOOKUP(tblCharDataAlice[[#This Row],[Field]],$E$2:$F$361,2,FALSE)="","¬",VLOOKUP(tblCharDataAlice[[#This Row],[Field]],$E$2:$F$361,2,FALSE))</f>
        <v>Rat King/Queen</v>
      </c>
    </row>
    <row r="347" spans="1:2">
      <c r="A347" s="1" t="s">
        <v>346</v>
      </c>
      <c r="B347" s="8" t="str">
        <f>IF(VLOOKUP(tblCharDataAlice[[#This Row],[Field]],$E$2:$F$361,2,FALSE)="","¬",VLOOKUP(tblCharDataAlice[[#This Row],[Field]],$E$2:$F$361,2,FALSE))</f>
        <v>¬</v>
      </c>
    </row>
    <row r="348" spans="1:2">
      <c r="A348" s="1" t="s">
        <v>347</v>
      </c>
      <c r="B348" s="8" t="str">
        <f>IF(VLOOKUP(tblCharDataAlice[[#This Row],[Field]],$E$2:$F$361,2,FALSE)="","¬",VLOOKUP(tblCharDataAlice[[#This Row],[Field]],$E$2:$F$361,2,FALSE))</f>
        <v>¬</v>
      </c>
    </row>
    <row r="349" spans="1:2">
      <c r="A349" s="1" t="s">
        <v>348</v>
      </c>
      <c r="B349" t="str">
        <f>_xlfn.IFNA(VLOOKUP(B344,$F$234:$I$238,3,FALSE),"")</f>
        <v>Gain an extra bane at Humanity 6 (doesn't count towards cap); Humanity counts –1 for all Humanity-based banes.</v>
      </c>
    </row>
    <row r="350" spans="1:2">
      <c r="A350" s="1" t="s">
        <v>349</v>
      </c>
      <c r="B350" t="str">
        <f>_xlfn.IFNA(VLOOKUP(B345,$F$234:$I$238,3,FALSE),"¬")</f>
        <v>¬</v>
      </c>
    </row>
    <row r="351" spans="1:2">
      <c r="A351" s="1" t="s">
        <v>350</v>
      </c>
      <c r="B351" t="str">
        <f>_xlfn.IFNA(VLOOKUP(B346,$F$234:$I$238,3,FALSE),"")</f>
        <v>Surrounded by vermin; all Social rolls fail except Intimidation; WP can dismiss.</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9</v>
      </c>
    </row>
    <row r="356" spans="1:2">
      <c r="A356" s="1" t="s">
        <v>355</v>
      </c>
      <c r="B356">
        <f ca="1">P220</f>
        <v>3</v>
      </c>
    </row>
    <row r="357" spans="1:2">
      <c r="A357" s="1" t="s">
        <v>356</v>
      </c>
      <c r="B357" t="str">
        <f>IF(F10="","¬",VLOOKUP(F10,tblAnchors[],2,FALSE))</f>
        <v>Follow a directive blindly, for the sake of following.</v>
      </c>
    </row>
    <row r="358" spans="1:2">
      <c r="A358" s="1" t="s">
        <v>357</v>
      </c>
      <c r="B358" t="str">
        <f>IF(F10="","¬",VLOOKUP(F10,tblAnchors[],3,FALSE))</f>
        <v>Follow a dangerous directive without hesitation.</v>
      </c>
    </row>
    <row r="359" spans="1:2">
      <c r="A359" s="1" t="s">
        <v>358</v>
      </c>
      <c r="B359" t="str">
        <f>IF(F11="","¬",VLOOKUP(F11,tblAnchors[],2,FALSE))</f>
        <v>Uncover a lost piece of information.</v>
      </c>
    </row>
    <row r="360" spans="1:2">
      <c r="A360" s="1" t="s">
        <v>359</v>
      </c>
      <c r="B360" t="str">
        <f>IF(F11="","¬",VLOOKUP(F11,tblAnchors[],3,FALSE))</f>
        <v>Uncover forbidden knowledge.</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
      </c>
    </row>
    <row r="365" spans="1:2">
      <c r="A365" s="1" t="s">
        <v>364</v>
      </c>
      <c r="B365" t="str">
        <f>_xlfn.LET(_xlpm.a,IF(F244="","",F244),_xlpm.b,IF(F245="","",F245),IF(AND(_xlpm.a&lt;&gt;"",_xlpm.b&lt;&gt;""),_xlpm.a&amp;", "&amp;_xlpm.b,IF(_xlpm.a&lt;&gt;"",_xlpm.a,IF(_xlpm.b&lt;&gt;"",_xlpm.b,""))))</f>
        <v/>
      </c>
    </row>
  </sheetData>
  <mergeCells count="89">
    <mergeCell ref="H85:I85"/>
    <mergeCell ref="O8:P8"/>
    <mergeCell ref="O9:P9"/>
    <mergeCell ref="O10:P10"/>
    <mergeCell ref="O11:P11"/>
    <mergeCell ref="O12:P12"/>
    <mergeCell ref="H79:I79"/>
    <mergeCell ref="H80:I80"/>
    <mergeCell ref="H81:I81"/>
    <mergeCell ref="H82:I82"/>
    <mergeCell ref="H83:I83"/>
    <mergeCell ref="H84:I84"/>
    <mergeCell ref="H97:I97"/>
    <mergeCell ref="H86:I86"/>
    <mergeCell ref="H87:I87"/>
    <mergeCell ref="H88:I88"/>
    <mergeCell ref="H89:I89"/>
    <mergeCell ref="H90:I90"/>
    <mergeCell ref="H91:I91"/>
    <mergeCell ref="H92:I92"/>
    <mergeCell ref="H93:I93"/>
    <mergeCell ref="H94:I94"/>
    <mergeCell ref="H95:I95"/>
    <mergeCell ref="H96:I96"/>
    <mergeCell ref="H111:I111"/>
    <mergeCell ref="H98:I98"/>
    <mergeCell ref="H101:I101"/>
    <mergeCell ref="H102:I102"/>
    <mergeCell ref="H103:I103"/>
    <mergeCell ref="H104:I104"/>
    <mergeCell ref="H105:I105"/>
    <mergeCell ref="H106:I106"/>
    <mergeCell ref="H107:I107"/>
    <mergeCell ref="H108:I108"/>
    <mergeCell ref="H109:I109"/>
    <mergeCell ref="H110:I110"/>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52:I152"/>
    <mergeCell ref="H141:I141"/>
    <mergeCell ref="H142:I142"/>
    <mergeCell ref="H143:I143"/>
    <mergeCell ref="H144:I144"/>
    <mergeCell ref="H145:I145"/>
    <mergeCell ref="H146:I146"/>
    <mergeCell ref="H147:I147"/>
    <mergeCell ref="H148:I148"/>
    <mergeCell ref="H149:I149"/>
    <mergeCell ref="H150:I150"/>
    <mergeCell ref="H151:I151"/>
    <mergeCell ref="H207:I207"/>
    <mergeCell ref="H153:I153"/>
    <mergeCell ref="H154:I154"/>
    <mergeCell ref="H155:I155"/>
    <mergeCell ref="H156:I156"/>
    <mergeCell ref="H157:I157"/>
    <mergeCell ref="H177:I177"/>
    <mergeCell ref="H178:I178"/>
    <mergeCell ref="H179:I179"/>
    <mergeCell ref="H180:I180"/>
    <mergeCell ref="H181:I181"/>
    <mergeCell ref="H206:I206"/>
    <mergeCell ref="H238:I238"/>
    <mergeCell ref="H208:I208"/>
    <mergeCell ref="H209:I209"/>
    <mergeCell ref="H210:I210"/>
    <mergeCell ref="H211:I211"/>
    <mergeCell ref="H212:I212"/>
    <mergeCell ref="H213:I213"/>
    <mergeCell ref="H214:I214"/>
    <mergeCell ref="H215:I215"/>
    <mergeCell ref="H234:I234"/>
    <mergeCell ref="H236:I236"/>
    <mergeCell ref="H237:I237"/>
    <mergeCell ref="F240:I240"/>
    <mergeCell ref="F241:I241"/>
    <mergeCell ref="F242:I242"/>
    <mergeCell ref="F244:I244"/>
    <mergeCell ref="F245:I245"/>
  </mergeCells>
  <dataValidations disablePrompts="1" count="16">
    <dataValidation type="list" allowBlank="1" showInputMessage="1" showErrorMessage="1" sqref="G248:G277" xr:uid="{F2DF8521-22D0-44DA-973F-823BC5DF9B9C}">
      <formula1>$I$248:$I$249</formula1>
    </dataValidation>
    <dataValidation type="list" allowBlank="1" showInputMessage="1" showErrorMessage="1" sqref="F101:F120" xr:uid="{268870B3-25CD-4DE5-9954-BD5CF4CFFBE5}">
      <formula1>lstManoeuvres</formula1>
    </dataValidation>
    <dataValidation type="list" allowBlank="1" showInputMessage="1" showErrorMessage="1" sqref="F79:F98" xr:uid="{103C050F-184D-4B07-BC12-C47756DC7782}">
      <formula1>lstMerits</formula1>
    </dataValidation>
    <dataValidation type="list" allowBlank="1" showInputMessage="1" showErrorMessage="1" sqref="F236:F238" xr:uid="{C32A8C5B-0FD8-4582-9EE1-3D9DB43C911E}">
      <formula1>lstBanes</formula1>
    </dataValidation>
    <dataValidation type="list" allowBlank="1" showInputMessage="1" showErrorMessage="1" sqref="F206:F215" xr:uid="{B9E6E169-E287-4584-A12E-07318F75CFD0}">
      <formula1>lstPacts</formula1>
    </dataValidation>
    <dataValidation type="list" allowBlank="1" showInputMessage="1" showErrorMessage="1" sqref="G13" xr:uid="{7256EDB0-9D9F-4B76-9DF9-5F05DD13B04C}">
      <formula1>lstStatus</formula1>
    </dataValidation>
    <dataValidation type="list" allowBlank="1" showInputMessage="1" showErrorMessage="1" sqref="F194:F205 F207:F215" xr:uid="{1BDB6C0E-BD02-4FD0-BA1E-E84332415CE2}">
      <formula1>lstRites</formula1>
    </dataValidation>
    <dataValidation type="list" allowBlank="1" showInputMessage="1" showErrorMessage="1" sqref="F177:F181" xr:uid="{D52B806A-A9EB-4A5D-BBCD-58D87AFBAF6B}">
      <formula1>lstDevotions</formula1>
    </dataValidation>
    <dataValidation type="list" allowBlank="1" showInputMessage="1" showErrorMessage="1" sqref="F17:F21" xr:uid="{60FDAB21-53CC-4B3B-8BD6-94D9D5DEC14A}">
      <formula1>"TRUE,FALSE"</formula1>
    </dataValidation>
    <dataValidation type="list" allowBlank="1" showInputMessage="1" showErrorMessage="1" sqref="F24" xr:uid="{E10F132D-FC63-42BA-95CB-E57D6C123FFD}">
      <formula1>$D$7:$D$8</formula1>
    </dataValidation>
    <dataValidation type="list" allowBlank="1" showInputMessage="1" showErrorMessage="1" sqref="I35 I25 I30 I41 I51 I61" xr:uid="{CCC234A1-1E0E-4660-85A9-07DD104FD30D}">
      <formula1>lstPriority</formula1>
    </dataValidation>
    <dataValidation type="list" allowBlank="1" showInputMessage="1" showErrorMessage="1" sqref="F10:F11" xr:uid="{53269655-0563-4D6A-8F02-15D26AE8D0CF}">
      <formula1>lstNature</formula1>
    </dataValidation>
    <dataValidation type="list" allowBlank="1" showInputMessage="1" showErrorMessage="1" sqref="F8" xr:uid="{67119B73-213F-4CE6-A35A-F2C5535D63F3}">
      <formula1>lstBloodlines</formula1>
    </dataValidation>
    <dataValidation type="list" allowBlank="1" showInputMessage="1" showErrorMessage="1" sqref="F9" xr:uid="{C68073E6-3F59-4354-93A5-FBA8FE97C928}">
      <formula1>lstCovenant</formula1>
    </dataValidation>
    <dataValidation type="list" allowBlank="1" showInputMessage="1" showErrorMessage="1" sqref="F7" xr:uid="{4318A92E-18D8-4CD6-99D8-A866029436A4}">
      <formula1>lstClan</formula1>
    </dataValidation>
    <dataValidation type="list" allowBlank="1" showInputMessage="1" showErrorMessage="1" sqref="G12" xr:uid="{1384DB84-01E0-4D91-A088-94E60485D890}">
      <formula1>INDIRECT("tblEffectiveStatus[Position]")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450AB4DE-BBEF-49D5-A4A1-0B26B667B5BE}">
          <x14:formula1>
            <xm:f>'Lookup-Domain'!$A$2:$A$8</xm:f>
          </x14:formula1>
          <xm:sqref>F138:F157 F161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23D5A-3C58-426F-87C5-7AE5F80C4A6A}">
  <dimension ref="A1:AK365"/>
  <sheetViews>
    <sheetView zoomScale="70" zoomScaleNormal="70" workbookViewId="0">
      <pane ySplit="1" topLeftCell="A2" activePane="bottomLeft" state="frozen"/>
      <selection pane="bottomLeft" activeCell="D4" sqref="D4"/>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What You've Done For Her Lately</v>
      </c>
      <c r="AC2" s="60" t="str" cm="1">
        <f t="array" ref="AC2:AC6">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Dream Visions</v>
      </c>
      <c r="AD2" s="20" t="str">
        <f>IF(AC2="","¬",_xlfn.LET(_xlpm.base,IFERROR(LEFT(AC2,FIND(" (",AC2)-1),AC2),IFERROR(VLOOKUP(_xlpm.base,tblManoeuvre[],2,FALSE) &amp; " " &amp; REPT("●",VLOOKUP(_xlpm.base,tblManoeuvre[],3,FALSE)) &amp; " | " &amp; AC2,AC2 &amp; " " &amp; REPT("●",VLOOKUP(_xlpm.base,$F$79:$P$120,11,FALSE)))))</f>
        <v>Dream Visions ●</v>
      </c>
      <c r="AE2" s="20"/>
      <c r="AF2" s="20" t="str">
        <f>IF(LEN(AC2)=0,"¬",_xlfn.LET(_xlpm.base,IFERROR(LEFT(AC2,FIND(" (",AC2)-1),AC2),IFERROR(VLOOKUP(_xlpm.base,tblMerits[],5,FALSE),IFERROR(VLOOKUP(_xlpm.base,tblManoeuvre[],9,FALSE),"¬"))))</f>
        <v>Once per night, roll Blood Potency for prophetic dreams about a new person or place.</v>
      </c>
      <c r="AI2" s="15" t="s">
        <v>25</v>
      </c>
      <c r="AJ2" s="61">
        <f t="shared" ref="AJ2:AJ33" si="1">VLOOKUP(AI2,$E$3:$P$221,12,FALSE)</f>
        <v>0</v>
      </c>
      <c r="AK2" s="61">
        <f>IF(AJ2=0,IF(COUNTIF($E$42:$E$49,AI2)&gt;0,-3,-1),AJ2)</f>
        <v>-3</v>
      </c>
    </row>
    <row r="3" spans="1:37">
      <c r="A3" s="1" t="s">
        <v>2</v>
      </c>
      <c r="B3">
        <f ca="1">N3</f>
        <v>2</v>
      </c>
      <c r="D3" s="19"/>
      <c r="E3" s="15" t="s">
        <v>4</v>
      </c>
      <c r="F3" s="3" t="s">
        <v>447</v>
      </c>
      <c r="G3" s="18"/>
      <c r="H3" s="18"/>
      <c r="I3" s="18" t="s">
        <v>1425</v>
      </c>
      <c r="N3" s="60">
        <f ca="1">10+SUM(N4:N6)-SUM(N7)</f>
        <v>2</v>
      </c>
      <c r="Y3" s="15" t="s">
        <v>115</v>
      </c>
      <c r="Z3" s="19"/>
      <c r="AA3" s="61" t="str">
        <f t="shared" si="0"/>
        <v>Dream Visions</v>
      </c>
      <c r="AC3" s="60" t="str">
        <v>Language</v>
      </c>
      <c r="AD3" s="20" t="str">
        <f>IF(AC3="","¬",_xlfn.LET(_xlpm.base,IFERROR(LEFT(AC3,FIND(" (",AC3)-1),AC3),IFERROR(VLOOKUP(_xlpm.base,tblManoeuvre[],2,FALSE) &amp; " " &amp; REPT("●",VLOOKUP(_xlpm.base,tblManoeuvre[],3,FALSE)) &amp; " | " &amp; AC3,AC3 &amp; " " &amp; REPT("●",VLOOKUP(_xlpm.base,$F$79:$P$120,11,FALSE)))))</f>
        <v>Language ●</v>
      </c>
      <c r="AE3" s="20"/>
      <c r="AF3" s="20" t="str">
        <f>IF(LEN(AC3)=0,"¬",_xlfn.LET(_xlpm.base,IFERROR(LEFT(AC3,FIND(" (",AC3)-1),AC3),IFERROR(VLOOKUP(_xlpm.base,tblMerits[],5,FALSE),IFERROR(VLOOKUP(_xlpm.base,tblManoeuvre[],9,FALSE),"¬"))))</f>
        <v>Speak, read and write a chosen language.</v>
      </c>
      <c r="AI3" s="15" t="s">
        <v>41</v>
      </c>
      <c r="AJ3" s="61">
        <f t="shared" si="1"/>
        <v>2</v>
      </c>
      <c r="AK3" s="61">
        <f>IF(AJ3=0,IF(COUNTIF($E$42:$E$49,AI3)&gt;0,-3,-1),AJ3)</f>
        <v>2</v>
      </c>
    </row>
    <row r="4" spans="1:37">
      <c r="A4" s="1" t="s">
        <v>3</v>
      </c>
      <c r="B4">
        <f ca="1">SUM(N3:N9)</f>
        <v>28</v>
      </c>
      <c r="D4" s="19"/>
      <c r="E4" s="15" t="s">
        <v>5</v>
      </c>
      <c r="F4" s="3" t="s">
        <v>448</v>
      </c>
      <c r="G4" s="18"/>
      <c r="H4" s="18"/>
      <c r="I4" s="18" t="s">
        <v>1426</v>
      </c>
      <c r="N4" s="61">
        <f>K73*2</f>
        <v>2</v>
      </c>
      <c r="Y4" s="15" t="s">
        <v>116</v>
      </c>
      <c r="Z4" s="19"/>
      <c r="AA4" s="61" t="str">
        <f t="shared" si="0"/>
        <v>Tolerance for Biology</v>
      </c>
      <c r="AC4" s="60" t="str">
        <v>Language</v>
      </c>
      <c r="AD4" s="20" t="str">
        <f>IF(AC4="","¬",_xlfn.LET(_xlpm.base,IFERROR(LEFT(AC4,FIND(" (",AC4)-1),AC4),IFERROR(VLOOKUP(_xlpm.base,tblManoeuvre[],2,FALSE) &amp; " " &amp; REPT("●",VLOOKUP(_xlpm.base,tblManoeuvre[],3,FALSE)) &amp; " | " &amp; AC4,AC4 &amp; " " &amp; REPT("●",VLOOKUP(_xlpm.base,$F$79:$P$120,11,FALSE)))))</f>
        <v>Language ●</v>
      </c>
      <c r="AE4" s="20"/>
      <c r="AF4" s="20" t="str">
        <f>IF(LEN(AC4)=0,"¬",_xlfn.LET(_xlpm.base,IFERROR(LEFT(AC4,FIND(" (",AC4)-1),AC4),IFERROR(VLOOKUP(_xlpm.base,tblMerits[],5,FALSE),IFERROR(VLOOKUP(_xlpm.base,tblManoeuvre[],9,FALSE),"¬"))))</f>
        <v>Speak, read and write a chosen language.</v>
      </c>
      <c r="AI4" s="15" t="s">
        <v>236</v>
      </c>
      <c r="AJ4" s="61">
        <f t="shared" si="1"/>
        <v>0</v>
      </c>
      <c r="AK4" s="61">
        <f>AJ4</f>
        <v>0</v>
      </c>
    </row>
    <row r="5" spans="1:37">
      <c r="A5" s="1" t="s">
        <v>4</v>
      </c>
      <c r="B5" t="str">
        <f>IF(VLOOKUP(tblCharDataAnichka[[#This Row],[Field]],$E$2:$F$362,2,FALSE)="","¬",VLOOKUP(tblCharDataAnichka[[#This Row],[Field]],$E$2:$F$362,2,FALSE))</f>
        <v>Katie H</v>
      </c>
      <c r="D5" s="19"/>
      <c r="E5" s="15" t="s">
        <v>6</v>
      </c>
      <c r="F5" s="3" t="s">
        <v>449</v>
      </c>
      <c r="G5" s="18"/>
      <c r="H5" s="18"/>
      <c r="I5" s="18" t="s">
        <v>1427</v>
      </c>
      <c r="N5" s="61">
        <f>N16</f>
        <v>3</v>
      </c>
      <c r="Y5" s="15" t="s">
        <v>117</v>
      </c>
      <c r="Z5" s="19"/>
      <c r="AA5" s="61" t="str">
        <f t="shared" si="0"/>
        <v>Language</v>
      </c>
      <c r="AC5" s="60" t="str">
        <v>Tolerance for Biology</v>
      </c>
      <c r="AD5" s="20" t="str">
        <f>IF(AC5="","¬",_xlfn.LET(_xlpm.base,IFERROR(LEFT(AC5,FIND(" (",AC5)-1),AC5),IFERROR(VLOOKUP(_xlpm.base,tblManoeuvre[],2,FALSE) &amp; " " &amp; REPT("●",VLOOKUP(_xlpm.base,tblManoeuvre[],3,FALSE)) &amp; " | " &amp; AC5,AC5 &amp; " " &amp; REPT("●",VLOOKUP(_xlpm.base,$F$79:$P$120,11,FALSE)))))</f>
        <v>Tolerance for Biology ●</v>
      </c>
      <c r="AE5" s="20"/>
      <c r="AF5" s="20" t="str">
        <f>IF(LEN(AC5)=0,"¬",_xlfn.LET(_xlpm.base,IFERROR(LEFT(AC5,FIND(" (",AC5)-1),AC5),IFERROR(VLOOKUP(_xlpm.base,tblMerits[],5,FALSE),IFERROR(VLOOKUP(_xlpm.base,tblManoeuvre[],9,FALSE),"¬"))))</f>
        <v>Ignore Resistance rolls from witnessing biological grotesquerie.</v>
      </c>
      <c r="AI5" s="15" t="s">
        <v>33</v>
      </c>
      <c r="AJ5" s="61">
        <f t="shared" si="1"/>
        <v>2</v>
      </c>
      <c r="AK5" s="61">
        <f>IF(AJ5=0,IF(COUNTIF($E$42:$E$49,AI5)&gt;0,-3,-1),AJ5)</f>
        <v>2</v>
      </c>
    </row>
    <row r="6" spans="1:37">
      <c r="A6" s="1" t="s">
        <v>5</v>
      </c>
      <c r="B6" t="str">
        <f>IF(VLOOKUP(tblCharDataAnichka[[#This Row],[Field]],$E$2:$F$362,2,FALSE)="","¬",VLOOKUP(tblCharDataAnichka[[#This Row],[Field]],$E$2:$F$362,2,FALSE))</f>
        <v>Anichka</v>
      </c>
      <c r="D6" s="19"/>
      <c r="E6" s="15" t="s">
        <v>7</v>
      </c>
      <c r="F6" s="3" t="s">
        <v>369</v>
      </c>
      <c r="G6" s="18"/>
      <c r="H6" s="18"/>
      <c r="I6" s="18" t="s">
        <v>1347</v>
      </c>
      <c r="N6" s="61">
        <f ca="1">N279</f>
        <v>4</v>
      </c>
      <c r="Y6" s="15" t="s">
        <v>118</v>
      </c>
      <c r="Z6" s="19"/>
      <c r="AA6" s="61" t="str">
        <f t="shared" si="0"/>
        <v>Language</v>
      </c>
      <c r="AC6" s="60" t="str">
        <v>What You've Done For Her Lately</v>
      </c>
      <c r="AD6" s="20" t="str">
        <f>IF(AC6="","¬",_xlfn.LET(_xlpm.base,IFERROR(LEFT(AC6,FIND(" (",AC6)-1),AC6),IFERROR(VLOOKUP(_xlpm.base,tblManoeuvre[],2,FALSE) &amp; " " &amp; REPT("●",VLOOKUP(_xlpm.base,tblManoeuvre[],3,FALSE)) &amp; " | " &amp; AC6,AC6 &amp; " " &amp; REPT("●",VLOOKUP(_xlpm.base,$F$79:$P$120,11,FALSE)))))</f>
        <v>What You've Done For Her Lately ●</v>
      </c>
      <c r="AE6" s="20"/>
      <c r="AF6" s="20" t="str">
        <f>IF(LEN(AC6)=0,"¬",_xlfn.LET(_xlpm.base,IFERROR(LEFT(AC6,FIND(" (",AC6)-1),AC6),IFERROR(VLOOKUP(_xlpm.base,tblMerits[],5,FALSE),IFERROR(VLOOKUP(_xlpm.base,tblManoeuvre[],9,FALSE),"¬"))))</f>
        <v>Once per story, after a Crúac ritual, add ritual level to effective Crone Status for the chapter (Social rolls, favours, Social Merits until sunrise).</v>
      </c>
      <c r="AI6" s="15" t="s">
        <v>237</v>
      </c>
      <c r="AJ6" s="61">
        <f t="shared" si="1"/>
        <v>2</v>
      </c>
      <c r="AK6" s="61">
        <f>AJ6</f>
        <v>2</v>
      </c>
    </row>
    <row r="7" spans="1:37">
      <c r="A7" s="1" t="s">
        <v>6</v>
      </c>
      <c r="B7" t="str">
        <f>IF(VLOOKUP(tblCharDataAnichka[[#This Row],[Field]],$E$2:$F$362,2,FALSE)="","¬",VLOOKUP(tblCharDataAnichka[[#This Row],[Field]],$E$2:$F$362,2,FALSE))</f>
        <v>Feral Oracular Darling</v>
      </c>
      <c r="D7" s="19" t="str">
        <f>VLOOKUP(F7,tblClans[],3,FALSE)</f>
        <v>Wits</v>
      </c>
      <c r="E7" s="15" t="s">
        <v>8</v>
      </c>
      <c r="F7" s="3" t="s">
        <v>370</v>
      </c>
      <c r="G7" s="18"/>
      <c r="H7" s="18"/>
      <c r="I7" s="18"/>
      <c r="N7" s="60">
        <f>SUM(N8:N12)</f>
        <v>17</v>
      </c>
      <c r="Y7" s="15" t="s">
        <v>119</v>
      </c>
      <c r="Z7" s="19"/>
      <c r="AA7" s="61" t="str">
        <f t="shared" si="0"/>
        <v/>
      </c>
      <c r="AC7" s="60"/>
      <c r="AD7" s="20" t="str">
        <f>IF(AC7="","¬",_xlfn.LET(_xlpm.base,IFERROR(LEFT(AC7,FIND(" (",AC7)-1),AC7),IFERROR(VLOOKUP(_xlpm.base,tblManoeuvre[],2,FALSE) &amp; " " &amp; REPT("●",VLOOKUP(_xlpm.base,tblManoeuvre[],3,FALSE)) &amp; " | " &amp; AC7,AC7 &amp; " " &amp; REPT("●",VLOOKUP(_xlpm.base,$F$79:$P$120,11,FALSE)))))</f>
        <v>¬</v>
      </c>
      <c r="AE7" s="20"/>
      <c r="AF7" s="20" t="str">
        <f>IF(LEN(AC7)=0,"¬",_xlfn.LET(_xlpm.base,IFERROR(LEFT(AC7,FIND(" (",AC7)-1),AC7),IFERROR(VLOOKUP(_xlpm.base,tblMerits[],5,FALSE),IFERROR(VLOOKUP(_xlpm.base,tblManoeuvre[],9,FALSE),"¬"))))</f>
        <v>¬</v>
      </c>
      <c r="AI7" s="15" t="s">
        <v>49</v>
      </c>
      <c r="AJ7" s="61">
        <f t="shared" si="1"/>
        <v>1</v>
      </c>
      <c r="AK7" s="61">
        <f>AJ7</f>
        <v>1</v>
      </c>
    </row>
    <row r="8" spans="1:37">
      <c r="A8" s="1" t="s">
        <v>7</v>
      </c>
      <c r="B8" t="str">
        <f>IF(VLOOKUP(tblCharDataAnichka[[#This Row],[Field]],$E$2:$F$362,2,FALSE)="","¬",LOWER(VLOOKUP(tblCharDataAnichka[[#This Row],[Field]],$E$2:$F$362,2,FALSE)))</f>
        <v>she/her</v>
      </c>
      <c r="D8" s="19" t="str">
        <f>VLOOKUP(F7,tblClans[],2,FALSE)</f>
        <v>Intelligence</v>
      </c>
      <c r="E8" s="15" t="s">
        <v>10</v>
      </c>
      <c r="F8" s="3"/>
      <c r="G8" s="61" t="str">
        <f>IFERROR(IF(OR(AND(VLOOKUP(F8,tblBloodlines[],2,FALSE)="",VLOOKUP(F8,tblBloodlines[],3,FALSE)="",VLOOKUP(F8,tblBloodlines[],4,FALSE)=""),AND(VLOOKUP(F8,tblBloodlines[],2,FALSE)="",VLOOKUP(F8,tblBloodlines[],3,FALSE)="",F9=VLOOKUP(F8,tblBloodlines[],4,FALSE)),F7=VLOOKUP(F8,tblBloodlines[],2,FALSE),F7=VLOOKUP(F8,tblBloodlines[],3,FALSE)),TRUE,FALSE),"")</f>
        <v/>
      </c>
      <c r="H8" s="18"/>
      <c r="I8" s="18" t="s">
        <v>1428</v>
      </c>
      <c r="N8" s="61">
        <f>N23</f>
        <v>0</v>
      </c>
      <c r="O8" s="65">
        <f>N8/SUM(N$7:N$12)</f>
        <v>0</v>
      </c>
      <c r="P8" s="66"/>
      <c r="Y8" s="15" t="s">
        <v>120</v>
      </c>
      <c r="Z8" s="19"/>
      <c r="AA8" s="61" t="str">
        <f t="shared" si="0"/>
        <v/>
      </c>
      <c r="AC8" s="60"/>
      <c r="AD8" s="20" t="str">
        <f>IF(AC8="","¬",_xlfn.LET(_xlpm.base,IFERROR(LEFT(AC8,FIND(" (",AC8)-1),AC8),IFERROR(VLOOKUP(_xlpm.base,tblManoeuvre[],2,FALSE) &amp; " " &amp; REPT("●",VLOOKUP(_xlpm.base,tblManoeuvre[],3,FALSE)) &amp; " | " &amp; AC8,AC8 &amp; " " &amp; REPT("●",VLOOKUP(_xlpm.base,$F$79:$P$120,11,FALSE)))))</f>
        <v>¬</v>
      </c>
      <c r="AE8" s="20"/>
      <c r="AF8" s="20" t="str">
        <f>IF(LEN(AC8)=0,"¬",_xlfn.LET(_xlpm.base,IFERROR(LEFT(AC8,FIND(" (",AC8)-1),AC8),IFERROR(VLOOKUP(_xlpm.base,tblMerits[],5,FALSE),IFERROR(VLOOKUP(_xlpm.base,tblManoeuvre[],9,FALSE),"¬"))))</f>
        <v>¬</v>
      </c>
      <c r="AI8" s="15" t="s">
        <v>34</v>
      </c>
      <c r="AJ8" s="61">
        <f t="shared" si="1"/>
        <v>0</v>
      </c>
      <c r="AK8" s="61">
        <f>IF(AJ8=0,IF(COUNTIF($E$42:$E$49,AI8)&gt;0,-3,-1),AJ8)</f>
        <v>-1</v>
      </c>
    </row>
    <row r="9" spans="1:37">
      <c r="A9" s="1" t="s">
        <v>8</v>
      </c>
      <c r="B9" t="str">
        <f>IF(VLOOKUP(tblCharDataAnichka[[#This Row],[Field]],$E$2:$F$362,2,FALSE)="","¬",VLOOKUP(tblCharDataAnichka[[#This Row],[Field]],$E$2:$F$362,2,FALSE))</f>
        <v>Mekhet</v>
      </c>
      <c r="D9" s="19"/>
      <c r="E9" s="15" t="s">
        <v>11</v>
      </c>
      <c r="F9" s="3" t="s">
        <v>373</v>
      </c>
      <c r="G9" s="18"/>
      <c r="H9" s="18"/>
      <c r="I9" s="18" t="s">
        <v>1429</v>
      </c>
      <c r="N9" s="61">
        <f>N40+T40</f>
        <v>0</v>
      </c>
      <c r="O9" s="65">
        <f>N9/SUM(N$7:N$12)</f>
        <v>0</v>
      </c>
      <c r="P9" s="66"/>
      <c r="Y9" s="15" t="s">
        <v>121</v>
      </c>
      <c r="Z9" s="19"/>
      <c r="AA9" s="61" t="str">
        <f t="shared" si="0"/>
        <v/>
      </c>
      <c r="AC9" s="60"/>
      <c r="AD9" s="20" t="str">
        <f>IF(AC9="","¬",_xlfn.LET(_xlpm.base,IFERROR(LEFT(AC9,FIND(" (",AC9)-1),AC9),IFERROR(VLOOKUP(_xlpm.base,tblManoeuvre[],2,FALSE) &amp; " " &amp; REPT("●",VLOOKUP(_xlpm.base,tblManoeuvre[],3,FALSE)) &amp; " | " &amp; AC9,AC9 &amp; " " &amp; REPT("●",VLOOKUP(_xlpm.base,$F$79:$P$120,11,FALSE)))))</f>
        <v>¬</v>
      </c>
      <c r="AE9" s="20"/>
      <c r="AF9" s="20" t="str">
        <f>IF(LEN(AC9)=0,"¬",_xlfn.LET(_xlpm.base,IFERROR(LEFT(AC9,FIND(" (",AC9)-1),AC9),IFERROR(VLOOKUP(_xlpm.base,tblMerits[],5,FALSE),IFERROR(VLOOKUP(_xlpm.base,tblManoeuvre[],9,FALSE),"¬"))))</f>
        <v>¬</v>
      </c>
      <c r="AI9" s="15" t="s">
        <v>238</v>
      </c>
      <c r="AJ9" s="61">
        <f t="shared" si="1"/>
        <v>0</v>
      </c>
      <c r="AK9" s="61">
        <f>AJ9</f>
        <v>0</v>
      </c>
    </row>
    <row r="10" spans="1:37">
      <c r="A10" s="1" t="s">
        <v>9</v>
      </c>
      <c r="B10" t="str">
        <f>CONCATENATE(Elements,B9," icon.svg")</f>
        <v>D:\Terra Mortis\Character Sheets\Sheet Elements\Mekhet icon.svg</v>
      </c>
      <c r="D10" s="19"/>
      <c r="E10" s="15" t="s">
        <v>13</v>
      </c>
      <c r="F10" s="3" t="s">
        <v>450</v>
      </c>
      <c r="G10" s="18"/>
      <c r="H10" s="18"/>
      <c r="I10" s="18" t="s">
        <v>1430</v>
      </c>
      <c r="N10" s="61">
        <f>N77</f>
        <v>2</v>
      </c>
      <c r="O10" s="65">
        <f>N10/SUM(N$7:N$12)</f>
        <v>5.8823529411764705E-2</v>
      </c>
      <c r="P10" s="66"/>
      <c r="Y10" s="15" t="s">
        <v>122</v>
      </c>
      <c r="Z10" s="19"/>
      <c r="AA10" s="61" t="str">
        <f t="shared" si="0"/>
        <v/>
      </c>
      <c r="AC10" s="60"/>
      <c r="AD10" s="20" t="str">
        <f>IF(AC10="","¬",_xlfn.LET(_xlpm.base,IFERROR(LEFT(AC10,FIND(" (",AC10)-1),AC10),IFERROR(VLOOKUP(_xlpm.base,tblManoeuvre[],2,FALSE) &amp; " " &amp; REPT("●",VLOOKUP(_xlpm.base,tblManoeuvre[],3,FALSE)) &amp; " | " &amp; AC10,AC10 &amp; " " &amp; REPT("●",VLOOKUP(_xlpm.base,$F$79:$P$120,11,FALSE)))))</f>
        <v>¬</v>
      </c>
      <c r="AE10" s="20"/>
      <c r="AF10" s="20" t="str">
        <f>IF(LEN(AC10)=0,"¬",_xlfn.LET(_xlpm.base,IFERROR(LEFT(AC10,FIND(" (",AC10)-1),AC10),IFERROR(VLOOKUP(_xlpm.base,tblMerits[],5,FALSE),IFERROR(VLOOKUP(_xlpm.base,tblManoeuvre[],9,FALSE),"¬"))))</f>
        <v>¬</v>
      </c>
      <c r="AI10" s="15" t="s">
        <v>24</v>
      </c>
      <c r="AJ10" s="61">
        <f t="shared" si="1"/>
        <v>3</v>
      </c>
      <c r="AK10" s="61">
        <f>AJ10+IFERROR(INDEX($V$26:$V$38,MATCH(AI10,$E$26:$E$38,0)),0)</f>
        <v>3</v>
      </c>
    </row>
    <row r="11" spans="1:37">
      <c r="A11" s="1" t="s">
        <v>10</v>
      </c>
      <c r="B11" t="str">
        <f>IF(VLOOKUP(tblCharDataAnichka[[#This Row],[Field]],$E$2:$F$362,2,FALSE)="","¬",VLOOKUP(tblCharDataAnichka[[#This Row],[Field]],$E$2:$F$362,2,FALSE))</f>
        <v>¬</v>
      </c>
      <c r="D11" s="19"/>
      <c r="E11" s="15" t="s">
        <v>14</v>
      </c>
      <c r="F11" s="3" t="s">
        <v>376</v>
      </c>
      <c r="G11" s="18"/>
      <c r="H11" s="18"/>
      <c r="I11" s="18" t="s">
        <v>1431</v>
      </c>
      <c r="N11" s="61">
        <f>N163</f>
        <v>15</v>
      </c>
      <c r="O11" s="65">
        <f>N11/SUM(N$7:N$12)</f>
        <v>0.44117647058823528</v>
      </c>
      <c r="P11" s="66"/>
      <c r="Y11" s="15" t="s">
        <v>123</v>
      </c>
      <c r="Z11" s="19"/>
      <c r="AA11" s="61" t="str">
        <f t="shared" si="0"/>
        <v/>
      </c>
      <c r="AC11" s="60"/>
      <c r="AD11" s="20" t="str">
        <f>IF(AC11="","¬",_xlfn.LET(_xlpm.base,IFERROR(LEFT(AC11,FIND(" (",AC11)-1),AC11),IFERROR(VLOOKUP(_xlpm.base,tblManoeuvre[],2,FALSE) &amp; " " &amp; REPT("●",VLOOKUP(_xlpm.base,tblManoeuvre[],3,FALSE)) &amp; " | " &amp; AC11,AC11 &amp; " " &amp; REPT("●",VLOOKUP(_xlpm.base,$F$79:$P$120,11,FALSE)))))</f>
        <v>¬</v>
      </c>
      <c r="AE11" s="20"/>
      <c r="AF11" s="20" t="str">
        <f>IF(LEN(AC11)=0,"¬",_xlfn.LET(_xlpm.base,IFERROR(LEFT(AC11,FIND(" (",AC11)-1),AC11),IFERROR(VLOOKUP(_xlpm.base,tblMerits[],5,FALSE),IFERROR(VLOOKUP(_xlpm.base,tblManoeuvre[],9,FALSE),"¬"))))</f>
        <v>¬</v>
      </c>
      <c r="AI11" s="15" t="s">
        <v>26</v>
      </c>
      <c r="AJ11" s="61">
        <f t="shared" si="1"/>
        <v>0</v>
      </c>
      <c r="AK11" s="61">
        <f>IF(AJ11=0,IF(COUNTIF($E$42:$E$49,AI11)&gt;0,-3,-1),AJ11)</f>
        <v>-3</v>
      </c>
    </row>
    <row r="12" spans="1:37">
      <c r="A12" s="1" t="s">
        <v>11</v>
      </c>
      <c r="B12" t="str">
        <f>IF(VLOOKUP(tblCharDataAnichka[[#This Row],[Field]],$E$2:$F$362,2,FALSE)="","¬",VLOOKUP(tblCharDataAnichka[[#This Row],[Field]],$E$2:$F$362,2,FALSE))</f>
        <v>Circle of the Crone</v>
      </c>
      <c r="D12" s="19"/>
      <c r="E12" s="15" t="s">
        <v>15</v>
      </c>
      <c r="F12" s="3"/>
      <c r="G12" s="3"/>
      <c r="H12" s="18"/>
      <c r="I12" s="18" t="s">
        <v>1432</v>
      </c>
      <c r="N12" s="61">
        <f>N71</f>
        <v>0</v>
      </c>
      <c r="O12" s="65">
        <f>N12/SUM(N$7:N$12)</f>
        <v>0</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0</v>
      </c>
      <c r="AK12" s="61">
        <f>IF(AJ12=0,IF(COUNTIF($E$42:$E$49,AI12)&gt;0,-3,-1),AJ12)</f>
        <v>-3</v>
      </c>
    </row>
    <row r="13" spans="1:37">
      <c r="A13" s="1" t="s">
        <v>12</v>
      </c>
      <c r="B13" t="str">
        <f>_xlfn.IFNA(CONCATENATE(Elements,VLOOKUP(B12,tblCovenantShortName[#Data],2,FALSE)," icon.svg"),"")</f>
        <v>D:\Terra Mortis\Character Sheets\Sheet Elements\Crone icon.svg</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1</v>
      </c>
      <c r="AK13" s="61">
        <f t="shared" ref="AK13:AK19" si="2">AJ13</f>
        <v>1</v>
      </c>
    </row>
    <row r="14" spans="1:37">
      <c r="A14" s="1" t="s">
        <v>13</v>
      </c>
      <c r="B14" t="str">
        <f>IF(VLOOKUP(tblCharDataAnichka[[#This Row],[Field]],$E$2:$F$362,2,FALSE)="","¬",VLOOKUP(tblCharDataAnichka[[#This Row],[Field]],$E$2:$F$362,2,FALSE))</f>
        <v>Questioner</v>
      </c>
      <c r="D14" s="19"/>
      <c r="E14" s="15" t="s">
        <v>1433</v>
      </c>
      <c r="F14" s="28">
        <v>15433</v>
      </c>
      <c r="G14" s="3" t="s">
        <v>485</v>
      </c>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3</v>
      </c>
      <c r="AK14" s="61">
        <f t="shared" si="2"/>
        <v>3</v>
      </c>
    </row>
    <row r="15" spans="1:37">
      <c r="A15" s="1" t="s">
        <v>14</v>
      </c>
      <c r="B15" t="str">
        <f>IF(VLOOKUP(tblCharDataAnichka[[#This Row],[Field]],$E$2:$F$362,2,FALSE)="","¬",VLOOKUP(tblCharDataAnichka[[#This Row],[Field]],$E$2:$F$362,2,FALSE))</f>
        <v>Scholar</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4</v>
      </c>
      <c r="AK15" s="61">
        <f t="shared" ca="1" si="2"/>
        <v>4</v>
      </c>
    </row>
    <row r="16" spans="1:37" ht="15.75" thickBot="1">
      <c r="A16" s="1" t="s">
        <v>15</v>
      </c>
      <c r="B16" t="str">
        <f ca="1">_xlfn.LET(_xlpm.a,VLOOKUP(tblCharDataAnichka[[#This Row],[Field]],$E$2:$F$362,2,FALSE),_xlpm.b,VLOOKUP(OFFSET(tblCharDataAnichka[[#This Row],[Field]],1,0),$E$2:$F$362,2,FALSE),IF(AND(_xlpm.a&lt;&gt;"",_xlpm.b&lt;&gt;""),_xlpm.a&amp;" &amp; "&amp;_xlpm.b,IF(_xlpm.a&lt;&gt;"",_xlpm.a,IF(_xlpm.b&lt;&gt;"",_xlpm.b,"¬"))))</f>
        <v>¬</v>
      </c>
      <c r="D16" s="14" t="s">
        <v>1427</v>
      </c>
      <c r="E16" s="14"/>
      <c r="F16" s="14"/>
      <c r="G16" s="14"/>
      <c r="H16" s="14"/>
      <c r="I16" s="14"/>
      <c r="N16" s="60">
        <f>SUM(N17:N21)</f>
        <v>3</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REPT("●",IFERROR(INDEX($P$26:$P$38,MATCH(tblCharDataAnichka[[#This Row],[Field]],$E$26:$E$38,0)),0))&amp;REPT("○",IFERROR(INDEX($V$26:$V$38,MATCH(tblCharDataAnichka[[#This Row],[Field]],$E$26:$E$38,0)),0))</f>
        <v>●●</v>
      </c>
      <c r="D17" s="19"/>
      <c r="E17" s="15" t="s">
        <v>1435</v>
      </c>
      <c r="F17" s="3" t="b">
        <v>1</v>
      </c>
      <c r="G17" s="19"/>
      <c r="H17" s="19"/>
      <c r="I17" s="19"/>
      <c r="N17" s="61">
        <f>IF(F17=TRUE,3,0)</f>
        <v>3</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2</v>
      </c>
      <c r="AK17" s="61">
        <f>AJ17+IFERROR(INDEX($V$26:$V$38,MATCH(AI17,$E$26:$E$38,0)),0)</f>
        <v>2</v>
      </c>
    </row>
    <row r="18" spans="1:37">
      <c r="A18" s="1" t="s">
        <v>17</v>
      </c>
      <c r="B18" t="str">
        <f>REPT("●",IFERROR(INDEX($P$26:$P$38,MATCH(tblCharDataAnichka[[#This Row],[Field]],$E$26:$E$38,0)),0))&amp;REPT("○",IFERROR(INDEX($V$26:$V$38,MATCH(tblCharDataAnichka[[#This Row],[Field]],$E$26:$E$38,0)),0))</f>
        <v>●●●</v>
      </c>
      <c r="D18" s="19"/>
      <c r="E18" s="15" t="s">
        <v>1436</v>
      </c>
      <c r="F18" s="3"/>
      <c r="G18" s="19"/>
      <c r="H18" s="19"/>
      <c r="I18" s="19"/>
      <c r="N18" s="61">
        <f>IF(F18=TRUE,3,0)</f>
        <v>0</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3</v>
      </c>
      <c r="AK18" s="61">
        <f t="shared" si="2"/>
        <v>3</v>
      </c>
    </row>
    <row r="19" spans="1:37">
      <c r="A19" s="1" t="s">
        <v>18</v>
      </c>
      <c r="B19" t="str">
        <f>REPT("●",IFERROR(INDEX($P$26:$P$38,MATCH(tblCharDataAnichka[[#This Row],[Field]],$E$26:$E$38,0)),0))&amp;REPT("○",IFERROR(INDEX($V$26:$V$38,MATCH(tblCharDataAnichka[[#This Row],[Field]],$E$26:$E$38,0)),0))</f>
        <v>●●●</v>
      </c>
      <c r="D19" s="19"/>
      <c r="E19" s="15" t="s">
        <v>1437</v>
      </c>
      <c r="F19" s="3"/>
      <c r="G19" s="19"/>
      <c r="H19" s="19"/>
      <c r="I19" s="19"/>
      <c r="N19" s="61">
        <f>IF(F19=TRUE,3,0)</f>
        <v>0</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0</v>
      </c>
      <c r="AK19" s="61">
        <f t="shared" si="2"/>
        <v>0</v>
      </c>
    </row>
    <row r="20" spans="1:37">
      <c r="A20" s="1" t="s">
        <v>19</v>
      </c>
      <c r="B20" t="str">
        <f>REPT("●",IFERROR(INDEX($P$26:$P$38,MATCH(tblCharDataAnichka[[#This Row],[Field]],$E$26:$E$38,0)),0))&amp;REPT("○",IFERROR(INDEX($V$26:$V$38,MATCH(tblCharDataAnichka[[#This Row],[Field]],$E$26:$E$38,0)),0))</f>
        <v>●●</v>
      </c>
      <c r="D20" s="19"/>
      <c r="E20" s="15" t="s">
        <v>1438</v>
      </c>
      <c r="F20" s="3"/>
      <c r="G20" s="19"/>
      <c r="H20" s="19"/>
      <c r="I20" s="19"/>
      <c r="N20" s="61">
        <f>IF(F20=TRUE,3,0)</f>
        <v>0</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REPT("●",IFERROR(INDEX($P$26:$P$38,MATCH(tblCharDataAnichka[[#This Row],[Field]],$E$26:$E$38,0)),0))&amp;REPT("○",IFERROR(INDEX($V$26:$V$38,MATCH(tblCharDataAnichka[[#This Row],[Field]],$E$26:$E$38,0)),0))</f>
        <v>●●</v>
      </c>
      <c r="D21" s="19"/>
      <c r="E21" s="15" t="s">
        <v>11</v>
      </c>
      <c r="F21" s="3"/>
      <c r="G21" s="19"/>
      <c r="H21" s="19"/>
      <c r="I21" s="19"/>
      <c r="N21" s="61">
        <f>IF(F21=TRUE,3,0)</f>
        <v>0</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3</v>
      </c>
      <c r="AK21" s="61">
        <f>IF(AJ21=0,IF(COUNTIF($E$42:$E$49,AI21)&gt;0,-3,-1),AJ21)</f>
        <v>3</v>
      </c>
    </row>
    <row r="22" spans="1:37">
      <c r="A22" s="1" t="s">
        <v>21</v>
      </c>
      <c r="B22" t="str">
        <f>REPT("●",IFERROR(INDEX($P$26:$P$38,MATCH(tblCharDataAnichka[[#This Row],[Field]],$E$26:$E$38,0)),0))&amp;REPT("○",IFERROR(INDEX($V$26:$V$38,MATCH(tblCharDataAnichka[[#This Row],[Field]],$E$26:$E$38,0)),0))</f>
        <v>●●</v>
      </c>
      <c r="Y22" s="15" t="s">
        <v>1439</v>
      </c>
      <c r="Z22" s="61" t="str">
        <f>IFERROR(VLOOKUP(AA22,tblManoeuvre[],2,FALSE),"")</f>
        <v/>
      </c>
      <c r="AA22" s="61" t="str">
        <f t="shared" ref="AA22:AA41" si="3">_xlfn.LET(_xlpm.name,VLOOKUP(Y22,$E$2:$F$362,2,FALSE),_xlpm.paid,_xlfn.IFNA(VLOOKUP(_xlpm.name,$F$79:$Q$120,11,FALSE)&gt;=VLOOKUP(_xlpm.name,$F$79:$Q$120,12,FALSE),FALSE),IF(AND(_xlpm.name&lt;&gt;"",_xlpm.paid),_xlpm.name,""))</f>
        <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2</v>
      </c>
      <c r="AK22" s="61">
        <f>IF(AJ22=0,IF(COUNTIF($E$42:$E$49,AI22)&gt;0,-3,-1),AJ22)</f>
        <v>2</v>
      </c>
    </row>
    <row r="23" spans="1:37" ht="15.75" thickBot="1">
      <c r="A23" s="1" t="s">
        <v>22</v>
      </c>
      <c r="B23" t="str">
        <f>REPT("●",IFERROR(INDEX($P$26:$P$38,MATCH(tblCharDataAnichka[[#This Row],[Field]],$E$26:$E$38,0)),0))&amp;REPT("○",IFERROR(INDEX($V$26:$V$38,MATCH(tblCharDataAnichka[[#This Row],[Field]],$E$26:$E$38,0)),0))</f>
        <v>●●</v>
      </c>
      <c r="D23" s="14" t="s">
        <v>1440</v>
      </c>
      <c r="E23" s="14"/>
      <c r="F23" s="14"/>
      <c r="G23" s="14"/>
      <c r="H23" s="14"/>
      <c r="I23" s="14"/>
      <c r="N23" s="60">
        <f>SUM(N26:N28,N31:N33,N36:N38)</f>
        <v>0</v>
      </c>
      <c r="Y23" s="15" t="s">
        <v>1441</v>
      </c>
      <c r="Z23" s="61" t="str">
        <f>IFERROR(VLOOKUP(AA23,tblManoeuvre[],2,FALSE),"")</f>
        <v/>
      </c>
      <c r="AA23" s="61" t="str">
        <f t="shared" si="3"/>
        <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0</v>
      </c>
      <c r="AK23" s="61">
        <f>IF(AJ23=0,VLOOKUP(AI23,$E$42:$Q$69,13,FALSE),AJ23)</f>
        <v>0</v>
      </c>
    </row>
    <row r="24" spans="1:37">
      <c r="A24" s="1" t="s">
        <v>23</v>
      </c>
      <c r="B24" t="str">
        <f>REPT("●",IFERROR(INDEX($P$26:$P$38,MATCH(tblCharDataAnichka[[#This Row],[Field]],$E$26:$E$38,0)),0))&amp;REPT("○",IFERROR(INDEX($V$26:$V$38,MATCH(tblCharDataAnichka[[#This Row],[Field]],$E$26:$E$38,0)),0))</f>
        <v>●●●</v>
      </c>
      <c r="E24" s="15" t="s">
        <v>1442</v>
      </c>
      <c r="F24" s="3" t="s">
        <v>16</v>
      </c>
      <c r="Y24" s="15" t="s">
        <v>1443</v>
      </c>
      <c r="Z24" s="61" t="str">
        <f>IFERROR(VLOOKUP(AA24,tblManoeuvre[],2,FALSE),"")</f>
        <v/>
      </c>
      <c r="AA24" s="61" t="str">
        <f t="shared" si="3"/>
        <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7</v>
      </c>
      <c r="AK24" s="61">
        <f ca="1">AJ24</f>
        <v>7</v>
      </c>
    </row>
    <row r="25" spans="1:37">
      <c r="A25" s="1" t="s">
        <v>24</v>
      </c>
      <c r="B25" t="str">
        <f>REPT("●",IFERROR(INDEX($P$26:$P$38,MATCH(tblCharDataAnichka[[#This Row],[Field]],$E$26:$E$38,0)),0))&amp;REPT("○",IFERROR(INDEX($V$26:$V$38,MATCH(tblCharDataAnichka[[#This Row],[Field]],$E$26:$E$38,0)),0))</f>
        <v>●●●</v>
      </c>
      <c r="D25" s="16" t="s">
        <v>1444</v>
      </c>
      <c r="E25" s="17"/>
      <c r="F25" s="17"/>
      <c r="G25" s="17" t="s">
        <v>1445</v>
      </c>
      <c r="H25" s="16" t="s">
        <v>1446</v>
      </c>
      <c r="I25" s="3" t="s">
        <v>1567</v>
      </c>
      <c r="L25" s="60">
        <f>IF(I25="",0,VLOOKUP(I25,tblPriority[],2,FALSE))-SUM(L26:L28)</f>
        <v>0</v>
      </c>
      <c r="Y25" s="15" t="s">
        <v>1447</v>
      </c>
      <c r="Z25" s="61" t="str">
        <f>IFERROR(VLOOKUP(AA25,tblManoeuvre[],2,FALSE),"")</f>
        <v/>
      </c>
      <c r="AA25" s="61" t="str">
        <f t="shared" si="3"/>
        <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6</v>
      </c>
      <c r="AK25" s="61">
        <f>AJ25</f>
        <v>6</v>
      </c>
    </row>
    <row r="26" spans="1:37">
      <c r="A26" s="1" t="s">
        <v>25</v>
      </c>
      <c r="B26" t="str">
        <f>REPT("●",IFERROR(INDEX($P$42:$P$69,MATCH(tblCharDataAnichka[[#This Row],[Field]],$E$42:$E$69,0)),0))&amp;REPT("○",IFERROR(INDEX($V$42:$V$69,MATCH(tblCharDataAnichka[[#This Row],[Field]],$E$42:$E$69,0)),0))&amp;IF(IFERROR(INDEX($W$42:$W$69,MATCH(tblCharDataAnichka[[#This Row],[Field]],$E$42:$E$69,0)),0)=1,"†","")</f>
        <v/>
      </c>
      <c r="D26" s="18"/>
      <c r="E26" s="15" t="s">
        <v>16</v>
      </c>
      <c r="F26" s="18"/>
      <c r="G26" s="3"/>
      <c r="H26" s="18"/>
      <c r="I26" s="18"/>
      <c r="L26" s="3"/>
      <c r="M26" s="60">
        <f>IF(E26=$F$24,2,1)</f>
        <v>2</v>
      </c>
      <c r="N26" s="3"/>
      <c r="O26" s="61">
        <f>ROUNDDOWN(N26/4,0)</f>
        <v>0</v>
      </c>
      <c r="P26" s="60">
        <f>MIN(SUM(L26,M26,O26),R26)</f>
        <v>2</v>
      </c>
      <c r="R26" s="61">
        <v>5</v>
      </c>
      <c r="U26" s="4"/>
      <c r="V26" s="61">
        <f>U26</f>
        <v>0</v>
      </c>
      <c r="Y26" s="15" t="s">
        <v>1449</v>
      </c>
      <c r="Z26" s="61" t="str">
        <f>IFERROR(VLOOKUP(AA26,tblManoeuvre[],2,FALSE),"")</f>
        <v/>
      </c>
      <c r="AA26" s="61" t="str">
        <f t="shared" si="3"/>
        <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2</v>
      </c>
      <c r="AK26" s="61">
        <f>AJ26+IFERROR(INDEX($V$26:$V$38,MATCH(AI26,$E$26:$E$38,0)),0)</f>
        <v>2</v>
      </c>
    </row>
    <row r="27" spans="1:37">
      <c r="A27" s="1" t="s">
        <v>26</v>
      </c>
      <c r="B27" t="str">
        <f>REPT("●",IFERROR(INDEX($P$42:$P$69,MATCH(tblCharDataAnichka[[#This Row],[Field]],$E$42:$E$69,0)),0))&amp;REPT("○",IFERROR(INDEX($V$42:$V$69,MATCH(tblCharDataAnichka[[#This Row],[Field]],$E$42:$E$69,0)),0))&amp;IF(IFERROR(INDEX($W$42:$W$69,MATCH(tblCharDataAnichka[[#This Row],[Field]],$E$42:$E$69,0)),0)=1,"†","")</f>
        <v/>
      </c>
      <c r="D27" s="18"/>
      <c r="E27" s="15" t="s">
        <v>17</v>
      </c>
      <c r="F27" s="18"/>
      <c r="G27" s="3"/>
      <c r="H27" s="18"/>
      <c r="I27" s="18"/>
      <c r="L27" s="3">
        <v>2</v>
      </c>
      <c r="M27" s="60">
        <f>IF(E27=$F$24,2,1)</f>
        <v>1</v>
      </c>
      <c r="N27" s="3"/>
      <c r="O27" s="61">
        <f>ROUNDDOWN(N27/4,0)</f>
        <v>0</v>
      </c>
      <c r="P27" s="60">
        <f>MIN(SUM(L27,M27,O27),R27)</f>
        <v>3</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0</v>
      </c>
      <c r="AK27" s="61">
        <f>IF(AJ27=0,IF(COUNTIF($E$42:$E$49,AI27)&gt;0,-3,-1),AJ27)</f>
        <v>-1</v>
      </c>
    </row>
    <row r="28" spans="1:37">
      <c r="A28" s="1" t="s">
        <v>27</v>
      </c>
      <c r="B28" t="str">
        <f>REPT("●",IFERROR(INDEX($P$42:$P$69,MATCH(tblCharDataAnichka[[#This Row],[Field]],$E$42:$E$69,0)),0))&amp;REPT("○",IFERROR(INDEX($V$42:$V$69,MATCH(tblCharDataAnichka[[#This Row],[Field]],$E$42:$E$69,0)),0))&amp;IF(IFERROR(INDEX($W$42:$W$69,MATCH(tblCharDataAnichka[[#This Row],[Field]],$E$42:$E$69,0)),0)=1,"†","")</f>
        <v/>
      </c>
      <c r="D28" s="18"/>
      <c r="E28" s="15" t="s">
        <v>18</v>
      </c>
      <c r="F28" s="18"/>
      <c r="G28" s="3"/>
      <c r="H28" s="18"/>
      <c r="I28" s="18"/>
      <c r="L28" s="3">
        <v>2</v>
      </c>
      <c r="M28" s="60">
        <f>IF(E28=$F$24,2,1)</f>
        <v>1</v>
      </c>
      <c r="N28" s="3"/>
      <c r="O28" s="61">
        <f>ROUNDDOWN(N28/4,0)</f>
        <v>0</v>
      </c>
      <c r="P28" s="60">
        <f>MIN(SUM(L28,M28,O28),R28)</f>
        <v>3</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0</v>
      </c>
      <c r="AK28" s="61">
        <f>IF(AJ28=0,IF(COUNTIF($E$42:$E$49,AI28)&gt;0,-3,-1),AJ28)</f>
        <v>-3</v>
      </c>
    </row>
    <row r="29" spans="1:37">
      <c r="A29" s="1" t="s">
        <v>28</v>
      </c>
      <c r="B29" t="str">
        <f>REPT("●",IFERROR(INDEX($P$42:$P$69,MATCH(tblCharDataAnichka[[#This Row],[Field]],$E$42:$E$69,0)),0))&amp;REPT("○",IFERROR(INDEX($V$42:$V$69,MATCH(tblCharDataAnichka[[#This Row],[Field]],$E$42:$E$69,0)),0))&amp;IF(IFERROR(INDEX($W$42:$W$69,MATCH(tblCharDataAnichka[[#This Row],[Field]],$E$42:$E$69,0)),0)=1,"†","")</f>
        <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0</v>
      </c>
      <c r="AK29" s="61">
        <f>IF(AJ29=0,IF(COUNTIF($E$42:$E$49,AI29)&gt;0,-3,-1),AJ29)</f>
        <v>-1</v>
      </c>
    </row>
    <row r="30" spans="1:37">
      <c r="A30" s="1" t="s">
        <v>29</v>
      </c>
      <c r="B30" t="str">
        <f>REPT("●",IFERROR(INDEX($P$42:$P$69,MATCH(tblCharDataAnichka[[#This Row],[Field]],$E$42:$E$69,0)),0))&amp;REPT("○",IFERROR(INDEX($V$42:$V$69,MATCH(tblCharDataAnichka[[#This Row],[Field]],$E$42:$E$69,0)),0))&amp;IF(IFERROR(INDEX($W$42:$W$69,MATCH(tblCharDataAnichka[[#This Row],[Field]],$E$42:$E$69,0)),0)=1,"†","")</f>
        <v/>
      </c>
      <c r="D30" s="16" t="s">
        <v>1453</v>
      </c>
      <c r="E30" s="17"/>
      <c r="F30" s="17"/>
      <c r="G30" s="17" t="s">
        <v>1445</v>
      </c>
      <c r="H30" s="16" t="s">
        <v>1446</v>
      </c>
      <c r="I30" s="3" t="s">
        <v>1566</v>
      </c>
      <c r="L30" s="60">
        <f>IF(I30="",0,VLOOKUP(I30,tblPriority[],2,FALSE))-SUM(L31:L33)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0</v>
      </c>
      <c r="AK30" s="61">
        <f>AJ30</f>
        <v>0</v>
      </c>
    </row>
    <row r="31" spans="1:37">
      <c r="A31" s="1" t="s">
        <v>30</v>
      </c>
      <c r="B31" t="str">
        <f>REPT("●",IFERROR(INDEX($P$42:$P$69,MATCH(tblCharDataAnichka[[#This Row],[Field]],$E$42:$E$69,0)),0))&amp;REPT("○",IFERROR(INDEX($V$42:$V$69,MATCH(tblCharDataAnichka[[#This Row],[Field]],$E$42:$E$69,0)),0))&amp;IF(IFERROR(INDEX($W$42:$W$69,MATCH(tblCharDataAnichka[[#This Row],[Field]],$E$42:$E$69,0)),0)=1,"†","")</f>
        <v>●●●●</v>
      </c>
      <c r="D31" s="18"/>
      <c r="E31" s="15" t="s">
        <v>19</v>
      </c>
      <c r="F31" s="18"/>
      <c r="G31" s="3"/>
      <c r="H31" s="18"/>
      <c r="I31" s="18"/>
      <c r="L31" s="3">
        <v>1</v>
      </c>
      <c r="M31" s="60">
        <f>IF(E31=$F$24,2,1)</f>
        <v>1</v>
      </c>
      <c r="N31" s="3"/>
      <c r="O31" s="61">
        <f>ROUNDDOWN(N31/4,0)</f>
        <v>0</v>
      </c>
      <c r="P31" s="60">
        <f>MIN(SUM(L31,M31,O31),R31)</f>
        <v>2</v>
      </c>
      <c r="R31" s="61">
        <v>5</v>
      </c>
      <c r="U31" s="4"/>
      <c r="V31" s="61">
        <f>$P$174+U31</f>
        <v>0</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3</v>
      </c>
      <c r="AK31" s="61">
        <f>AJ31+IFERROR(INDEX($V$26:$V$38,MATCH(AI31,$E$26:$E$38,0)),0)</f>
        <v>3</v>
      </c>
    </row>
    <row r="32" spans="1:37">
      <c r="A32" s="1" t="s">
        <v>31</v>
      </c>
      <c r="B32" t="str">
        <f>REPT("●",IFERROR(INDEX($P$42:$P$69,MATCH(tblCharDataAnichka[[#This Row],[Field]],$E$42:$E$69,0)),0))&amp;REPT("○",IFERROR(INDEX($V$42:$V$69,MATCH(tblCharDataAnichka[[#This Row],[Field]],$E$42:$E$69,0)),0))&amp;IF(IFERROR(INDEX($W$42:$W$69,MATCH(tblCharDataAnichka[[#This Row],[Field]],$E$42:$E$69,0)),0)=1,"†","")</f>
        <v/>
      </c>
      <c r="D32" s="18"/>
      <c r="E32" s="15" t="s">
        <v>20</v>
      </c>
      <c r="F32" s="18"/>
      <c r="G32" s="3"/>
      <c r="H32" s="18"/>
      <c r="I32" s="18"/>
      <c r="L32" s="3">
        <v>1</v>
      </c>
      <c r="M32" s="60">
        <f>IF(E32=$F$24,2,1)</f>
        <v>1</v>
      </c>
      <c r="N32" s="3"/>
      <c r="O32" s="61">
        <f>ROUNDDOWN(N32/4,0)</f>
        <v>0</v>
      </c>
      <c r="P32" s="60">
        <f>MIN(SUM(L32,M32,O32),R32)</f>
        <v>2</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REPT("●",IFERROR(INDEX($P$42:$P$69,MATCH(tblCharDataAnichka[[#This Row],[Field]],$E$42:$E$69,0)),0))&amp;REPT("○",IFERROR(INDEX($V$42:$V$69,MATCH(tblCharDataAnichka[[#This Row],[Field]],$E$42:$E$69,0)),0))&amp;IF(IFERROR(INDEX($W$42:$W$69,MATCH(tblCharDataAnichka[[#This Row],[Field]],$E$42:$E$69,0)),0)=1,"†","")</f>
        <v/>
      </c>
      <c r="D33" s="18"/>
      <c r="E33" s="15" t="s">
        <v>21</v>
      </c>
      <c r="F33" s="18"/>
      <c r="G33" s="3"/>
      <c r="H33" s="18"/>
      <c r="I33" s="18"/>
      <c r="L33" s="3">
        <v>1</v>
      </c>
      <c r="M33" s="60">
        <f>IF(E33=$F$24,2,1)</f>
        <v>1</v>
      </c>
      <c r="N33" s="3"/>
      <c r="O33" s="61">
        <f>ROUNDDOWN(N33/4,0)</f>
        <v>0</v>
      </c>
      <c r="P33" s="60">
        <f>MIN(SUM(L33,M33,O33),R33)</f>
        <v>2</v>
      </c>
      <c r="R33" s="61">
        <v>5</v>
      </c>
      <c r="U33" s="4"/>
      <c r="V33" s="61">
        <f>$P$173+U33</f>
        <v>0</v>
      </c>
      <c r="Y33" s="15" t="s">
        <v>1457</v>
      </c>
      <c r="Z33" s="61" t="str">
        <f>IFERROR(VLOOKUP(AA33,tblManoeuvre[],2,FALSE),"")</f>
        <v/>
      </c>
      <c r="AA33" s="61" t="str">
        <f t="shared" si="3"/>
        <v/>
      </c>
      <c r="AI33" s="15" t="s">
        <v>241</v>
      </c>
      <c r="AJ33" s="61">
        <f t="shared" si="1"/>
        <v>0</v>
      </c>
      <c r="AK33" s="61">
        <f>AJ33</f>
        <v>0</v>
      </c>
    </row>
    <row r="34" spans="1:37">
      <c r="A34" s="1" t="s">
        <v>33</v>
      </c>
      <c r="B34" t="str">
        <f>REPT("●",IFERROR(INDEX($P$42:$P$69,MATCH(tblCharDataAnichka[[#This Row],[Field]],$E$42:$E$69,0)),0))&amp;REPT("○",IFERROR(INDEX($V$42:$V$69,MATCH(tblCharDataAnichka[[#This Row],[Field]],$E$42:$E$69,0)),0))&amp;IF(IFERROR(INDEX($W$42:$W$69,MATCH(tblCharDataAnichka[[#This Row],[Field]],$E$42:$E$69,0)),0)=1,"†","")</f>
        <v>●●</v>
      </c>
      <c r="Y34" s="15" t="s">
        <v>1458</v>
      </c>
      <c r="Z34" s="61" t="str">
        <f>IFERROR(VLOOKUP(AA34,tblManoeuvre[],2,FALSE),"")</f>
        <v/>
      </c>
      <c r="AA34" s="61" t="str">
        <f t="shared" si="3"/>
        <v/>
      </c>
      <c r="AI34" s="15" t="s">
        <v>242</v>
      </c>
      <c r="AJ34" s="61">
        <f t="shared" ref="AJ34:AJ58" si="4">VLOOKUP(AI34,$E$3:$P$221,12,FALSE)</f>
        <v>1</v>
      </c>
      <c r="AK34" s="61">
        <f>AJ34</f>
        <v>1</v>
      </c>
    </row>
    <row r="35" spans="1:37">
      <c r="A35" s="1" t="s">
        <v>34</v>
      </c>
      <c r="B35" t="str">
        <f>REPT("●",IFERROR(INDEX($P$42:$P$69,MATCH(tblCharDataAnichka[[#This Row],[Field]],$E$42:$E$69,0)),0))&amp;REPT("○",IFERROR(INDEX($V$42:$V$69,MATCH(tblCharDataAnichka[[#This Row],[Field]],$E$42:$E$69,0)),0))&amp;IF(IFERROR(INDEX($W$42:$W$69,MATCH(tblCharDataAnichka[[#This Row],[Field]],$E$42:$E$69,0)),0)=1,"†","")</f>
        <v/>
      </c>
      <c r="D35" s="16" t="s">
        <v>1459</v>
      </c>
      <c r="E35" s="17"/>
      <c r="F35" s="17"/>
      <c r="G35" s="17" t="s">
        <v>1445</v>
      </c>
      <c r="H35" s="16" t="s">
        <v>1446</v>
      </c>
      <c r="I35" s="3" t="s">
        <v>1565</v>
      </c>
      <c r="L35" s="60">
        <f>IF(I35="",0,VLOOKUP(I35,tblPriority[],2,FALSE))-SUM(L36:L38)</f>
        <v>0</v>
      </c>
      <c r="Y35" s="15" t="s">
        <v>1460</v>
      </c>
      <c r="Z35" s="61" t="str">
        <f>IFERROR(VLOOKUP(AA35,tblManoeuvre[],2,FALSE),"")</f>
        <v/>
      </c>
      <c r="AA35" s="61" t="str">
        <f t="shared" si="3"/>
        <v/>
      </c>
      <c r="AI35" s="15" t="s">
        <v>30</v>
      </c>
      <c r="AJ35" s="61">
        <f t="shared" si="4"/>
        <v>4</v>
      </c>
      <c r="AK35" s="61">
        <f>IF(AJ35=0,IF(COUNTIF($E$42:$E$49,AI35)&gt;0,-3,-1),AJ35)</f>
        <v>4</v>
      </c>
    </row>
    <row r="36" spans="1:37">
      <c r="A36" s="1" t="s">
        <v>35</v>
      </c>
      <c r="B36" t="str">
        <f>REPT("●",IFERROR(INDEX($P$42:$P$69,MATCH(tblCharDataAnichka[[#This Row],[Field]],$E$42:$E$69,0)),0))&amp;REPT("○",IFERROR(INDEX($V$42:$V$69,MATCH(tblCharDataAnichka[[#This Row],[Field]],$E$42:$E$69,0)),0))&amp;IF(IFERROR(INDEX($W$42:$W$69,MATCH(tblCharDataAnichka[[#This Row],[Field]],$E$42:$E$69,0)),0)=1,"†","")</f>
        <v/>
      </c>
      <c r="D36" s="18"/>
      <c r="E36" s="15" t="s">
        <v>22</v>
      </c>
      <c r="F36" s="18"/>
      <c r="G36" s="3"/>
      <c r="H36" s="18"/>
      <c r="I36" s="18"/>
      <c r="L36" s="3">
        <v>1</v>
      </c>
      <c r="M36" s="60">
        <f>IF(E36=$F$24,2,1)</f>
        <v>1</v>
      </c>
      <c r="N36" s="3"/>
      <c r="O36" s="61">
        <f>ROUNDDOWN(N36/4,0)</f>
        <v>0</v>
      </c>
      <c r="P36" s="60">
        <f>MIN(SUM(L36,M36,O36),R36)</f>
        <v>2</v>
      </c>
      <c r="R36" s="61">
        <v>5</v>
      </c>
      <c r="U36" s="4"/>
      <c r="V36" s="61">
        <f>U36</f>
        <v>0</v>
      </c>
      <c r="Y36" s="15" t="s">
        <v>1461</v>
      </c>
      <c r="Z36" s="61" t="str">
        <f>IFERROR(VLOOKUP(AA36,tblManoeuvre[],2,FALSE),"")</f>
        <v/>
      </c>
      <c r="AA36" s="61" t="str">
        <f t="shared" si="3"/>
        <v/>
      </c>
      <c r="AI36" s="15" t="s">
        <v>45</v>
      </c>
      <c r="AJ36" s="61">
        <f t="shared" si="4"/>
        <v>2</v>
      </c>
      <c r="AK36" s="61">
        <f>IF(AJ36=0,IF(COUNTIF($E$42:$E$49,AI36)&gt;0,-3,-1),AJ36)</f>
        <v>2</v>
      </c>
    </row>
    <row r="37" spans="1:37">
      <c r="A37" s="1" t="s">
        <v>36</v>
      </c>
      <c r="B37" t="str">
        <f>REPT("●",IFERROR(INDEX($P$42:$P$69,MATCH(tblCharDataAnichka[[#This Row],[Field]],$E$42:$E$69,0)),0))&amp;REPT("○",IFERROR(INDEX($V$42:$V$69,MATCH(tblCharDataAnichka[[#This Row],[Field]],$E$42:$E$69,0)),0))&amp;IF(IFERROR(INDEX($W$42:$W$69,MATCH(tblCharDataAnichka[[#This Row],[Field]],$E$42:$E$69,0)),0)=1,"†","")</f>
        <v/>
      </c>
      <c r="D37" s="18"/>
      <c r="E37" s="15" t="s">
        <v>23</v>
      </c>
      <c r="F37" s="18"/>
      <c r="G37" s="3"/>
      <c r="H37" s="18"/>
      <c r="I37" s="18"/>
      <c r="L37" s="3">
        <v>2</v>
      </c>
      <c r="M37" s="60">
        <f>IF(E37=$F$24,2,1)</f>
        <v>1</v>
      </c>
      <c r="N37" s="3"/>
      <c r="O37" s="61">
        <f>ROUNDDOWN(N37/4,0)</f>
        <v>0</v>
      </c>
      <c r="P37" s="60">
        <f>MIN(SUM(L37,M37,O37),R37)</f>
        <v>3</v>
      </c>
      <c r="R37" s="61">
        <v>5</v>
      </c>
      <c r="U37" s="4"/>
      <c r="V37" s="61">
        <f>U37</f>
        <v>0</v>
      </c>
      <c r="Y37" s="15" t="s">
        <v>1462</v>
      </c>
      <c r="Z37" s="61" t="str">
        <f>IFERROR(VLOOKUP(AA37,tblManoeuvre[],2,FALSE),"")</f>
        <v/>
      </c>
      <c r="AA37" s="61" t="str">
        <f t="shared" si="3"/>
        <v/>
      </c>
      <c r="AI37" s="15" t="s">
        <v>31</v>
      </c>
      <c r="AJ37" s="61">
        <f t="shared" si="4"/>
        <v>0</v>
      </c>
      <c r="AK37" s="61">
        <f>IF(AJ37=0,IF(COUNTIF($E$42:$E$49,AI37)&gt;0,-3,-1),AJ37)</f>
        <v>-3</v>
      </c>
    </row>
    <row r="38" spans="1:37">
      <c r="A38" s="1" t="s">
        <v>37</v>
      </c>
      <c r="B38" t="str">
        <f>REPT("●",IFERROR(INDEX($P$42:$P$69,MATCH(tblCharDataAnichka[[#This Row],[Field]],$E$42:$E$69,0)),0))&amp;REPT("○",IFERROR(INDEX($V$42:$V$69,MATCH(tblCharDataAnichka[[#This Row],[Field]],$E$42:$E$69,0)),0))&amp;IF(IFERROR(INDEX($W$42:$W$69,MATCH(tblCharDataAnichka[[#This Row],[Field]],$E$42:$E$69,0)),0)=1,"†","")</f>
        <v/>
      </c>
      <c r="D38" s="18"/>
      <c r="E38" s="15" t="s">
        <v>24</v>
      </c>
      <c r="F38" s="18"/>
      <c r="G38" s="3"/>
      <c r="H38" s="18"/>
      <c r="I38" s="18"/>
      <c r="L38" s="3">
        <v>2</v>
      </c>
      <c r="M38" s="60">
        <f>IF(E38=$F$24,2,1)</f>
        <v>1</v>
      </c>
      <c r="N38" s="3"/>
      <c r="O38" s="61">
        <f>ROUNDDOWN(N38/4,0)</f>
        <v>0</v>
      </c>
      <c r="P38" s="60">
        <f>MIN(SUM(L38,M38,O38),R38)</f>
        <v>3</v>
      </c>
      <c r="R38" s="61">
        <v>5</v>
      </c>
      <c r="U38" s="4"/>
      <c r="V38" s="61">
        <f>U38</f>
        <v>0</v>
      </c>
      <c r="Y38" s="15" t="s">
        <v>1463</v>
      </c>
      <c r="Z38" s="61" t="str">
        <f>IFERROR(VLOOKUP(AA38,tblManoeuvre[],2,FALSE),"")</f>
        <v/>
      </c>
      <c r="AA38" s="61" t="str">
        <f t="shared" si="3"/>
        <v/>
      </c>
      <c r="AI38" s="15" t="s">
        <v>22</v>
      </c>
      <c r="AJ38" s="61">
        <f t="shared" si="4"/>
        <v>2</v>
      </c>
      <c r="AK38" s="61">
        <f>AJ38+IFERROR(INDEX($V$26:$V$38,MATCH(AI38,$E$26:$E$38,0)),0)</f>
        <v>2</v>
      </c>
    </row>
    <row r="39" spans="1:37">
      <c r="A39" s="1" t="s">
        <v>38</v>
      </c>
      <c r="B39" t="str">
        <f>REPT("●",IFERROR(INDEX($P$42:$P$69,MATCH(tblCharDataAnichka[[#This Row],[Field]],$E$42:$E$69,0)),0))&amp;REPT("○",IFERROR(INDEX($V$42:$V$69,MATCH(tblCharDataAnichka[[#This Row],[Field]],$E$42:$E$69,0)),0))&amp;IF(IFERROR(INDEX($W$42:$W$69,MATCH(tblCharDataAnichka[[#This Row],[Field]],$E$42:$E$69,0)),0)=1,"†","")</f>
        <v>●●</v>
      </c>
      <c r="Y39" s="15" t="s">
        <v>1464</v>
      </c>
      <c r="Z39" s="61" t="str">
        <f>IFERROR(VLOOKUP(AA39,tblManoeuvre[],2,FALSE),"")</f>
        <v/>
      </c>
      <c r="AA39" s="61" t="str">
        <f t="shared" si="3"/>
        <v/>
      </c>
      <c r="AI39" s="15" t="s">
        <v>243</v>
      </c>
      <c r="AJ39" s="61">
        <f t="shared" si="4"/>
        <v>1</v>
      </c>
      <c r="AK39" s="61">
        <f>AJ39</f>
        <v>1</v>
      </c>
    </row>
    <row r="40" spans="1:37" ht="15.75" thickBot="1">
      <c r="A40" s="1" t="s">
        <v>39</v>
      </c>
      <c r="B40" t="str">
        <f>REPT("●",IFERROR(INDEX($P$42:$P$69,MATCH(tblCharDataAnichka[[#This Row],[Field]],$E$42:$E$69,0)),0))&amp;REPT("○",IFERROR(INDEX($V$42:$V$69,MATCH(tblCharDataAnichka[[#This Row],[Field]],$E$42:$E$69,0)),0))&amp;IF(IFERROR(INDEX($W$42:$W$69,MATCH(tblCharDataAnichka[[#This Row],[Field]],$E$42:$E$69,0)),0)=1,"†","")</f>
        <v>●●●</v>
      </c>
      <c r="D40" s="14" t="s">
        <v>1465</v>
      </c>
      <c r="E40" s="14"/>
      <c r="F40" s="14"/>
      <c r="G40" s="14"/>
      <c r="H40" s="14"/>
      <c r="I40" s="14"/>
      <c r="N40" s="60">
        <f>SUM(N42:N49,N52:N59,N62:N69)</f>
        <v>0</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4"/>
        <v>1</v>
      </c>
      <c r="AK40" s="61">
        <f>AJ40</f>
        <v>1</v>
      </c>
    </row>
    <row r="41" spans="1:37">
      <c r="A41" s="1" t="s">
        <v>40</v>
      </c>
      <c r="B41" t="str">
        <f>REPT("●",IFERROR(INDEX($P$42:$P$69,MATCH(tblCharDataAnichka[[#This Row],[Field]],$E$42:$E$69,0)),0))&amp;REPT("○",IFERROR(INDEX($V$42:$V$69,MATCH(tblCharDataAnichka[[#This Row],[Field]],$E$42:$E$69,0)),0))&amp;IF(IFERROR(INDEX($W$42:$W$69,MATCH(tblCharDataAnichka[[#This Row],[Field]],$E$42:$E$69,0)),0)=1,"†","")</f>
        <v/>
      </c>
      <c r="D41" s="16" t="s">
        <v>1444</v>
      </c>
      <c r="E41" s="17"/>
      <c r="F41" s="17"/>
      <c r="G41" s="17" t="s">
        <v>1467</v>
      </c>
      <c r="H41" s="16" t="s">
        <v>1446</v>
      </c>
      <c r="I41" s="3" t="s">
        <v>1566</v>
      </c>
      <c r="L41" s="60">
        <f>IF(I41="",0,VLOOKUP(I41,tblPriority[],3,FALSE))-SUM(L42:L49)</f>
        <v>0</v>
      </c>
      <c r="T41" s="60">
        <f>MAX(3+IF(P161&gt;=3,2,0)-SUM(T42:T49,T52:T59,T62:T69),0)</f>
        <v>0</v>
      </c>
      <c r="Y41" s="15" t="s">
        <v>1468</v>
      </c>
      <c r="Z41" s="61" t="str">
        <f>IFERROR(VLOOKUP(AA41,tblManoeuvre[],2,FALSE),"")</f>
        <v/>
      </c>
      <c r="AA41" s="61" t="str">
        <f t="shared" si="3"/>
        <v/>
      </c>
      <c r="AI41" s="15" t="s">
        <v>244</v>
      </c>
      <c r="AJ41" s="61">
        <f t="shared" si="4"/>
        <v>0</v>
      </c>
      <c r="AK41" s="61">
        <f>AJ41</f>
        <v>0</v>
      </c>
    </row>
    <row r="42" spans="1:37">
      <c r="A42" s="1" t="s">
        <v>41</v>
      </c>
      <c r="B42" t="str">
        <f>REPT("●",IFERROR(INDEX($P$42:$P$69,MATCH(tblCharDataAnichka[[#This Row],[Field]],$E$42:$E$69,0)),0))&amp;REPT("○",IFERROR(INDEX($V$42:$V$69,MATCH(tblCharDataAnichka[[#This Row],[Field]],$E$42:$E$69,0)),0))&amp;IF(IFERROR(INDEX($W$42:$W$69,MATCH(tblCharDataAnichka[[#This Row],[Field]],$E$42:$E$69,0)),0)=1,"†","")</f>
        <v>●●</v>
      </c>
      <c r="D42" s="18"/>
      <c r="E42" s="15" t="s">
        <v>25</v>
      </c>
      <c r="F42" s="18"/>
      <c r="G42" s="3"/>
      <c r="H42" s="18"/>
      <c r="I42" s="18"/>
      <c r="L42" s="4"/>
      <c r="M42" s="60"/>
      <c r="N42" s="4"/>
      <c r="O42" s="61">
        <f>ROUNDDOWN(N42/2,0)</f>
        <v>0</v>
      </c>
      <c r="P42" s="60">
        <f t="shared" ref="P42:P49" si="5">MIN(SUM(L42,M42,O42),R42)</f>
        <v>0</v>
      </c>
      <c r="R42" s="61">
        <v>5</v>
      </c>
      <c r="T42" s="4"/>
      <c r="U42" s="4"/>
      <c r="V42" s="61">
        <f t="shared" ref="V42:V49" si="6">U42</f>
        <v>0</v>
      </c>
      <c r="W42" s="4"/>
      <c r="AI42" s="15" t="s">
        <v>18</v>
      </c>
      <c r="AJ42" s="61">
        <f t="shared" si="4"/>
        <v>3</v>
      </c>
      <c r="AK42" s="61">
        <f>AJ42+IFERROR(INDEX($V$26:$V$38,MATCH(AI42,$E$26:$E$38,0)),0)</f>
        <v>3</v>
      </c>
    </row>
    <row r="43" spans="1:37">
      <c r="A43" s="1" t="s">
        <v>42</v>
      </c>
      <c r="B43" t="str">
        <f>REPT("●",IFERROR(INDEX($P$42:$P$69,MATCH(tblCharDataAnichka[[#This Row],[Field]],$E$42:$E$69,0)),0))&amp;REPT("○",IFERROR(INDEX($V$42:$V$69,MATCH(tblCharDataAnichka[[#This Row],[Field]],$E$42:$E$69,0)),0))&amp;IF(IFERROR(INDEX($W$42:$W$69,MATCH(tblCharDataAnichka[[#This Row],[Field]],$E$42:$E$69,0)),0)=1,"†","")</f>
        <v>●●●</v>
      </c>
      <c r="D43" s="18"/>
      <c r="E43" s="15" t="s">
        <v>26</v>
      </c>
      <c r="F43" s="18"/>
      <c r="G43" s="3"/>
      <c r="H43" s="18"/>
      <c r="I43" s="18"/>
      <c r="L43" s="4"/>
      <c r="M43" s="60"/>
      <c r="N43" s="4"/>
      <c r="O43" s="61">
        <f t="shared" ref="O43:O49" si="7">ROUNDDOWN(N43/2,0)</f>
        <v>0</v>
      </c>
      <c r="P43" s="60">
        <f t="shared" si="5"/>
        <v>0</v>
      </c>
      <c r="R43" s="61">
        <v>5</v>
      </c>
      <c r="T43" s="4"/>
      <c r="U43" s="4"/>
      <c r="V43" s="61">
        <f t="shared" si="6"/>
        <v>0</v>
      </c>
      <c r="W43" s="4"/>
      <c r="AI43" s="15" t="s">
        <v>32</v>
      </c>
      <c r="AJ43" s="61">
        <f t="shared" si="4"/>
        <v>0</v>
      </c>
      <c r="AK43" s="61">
        <f>IF(AJ43=0,IF(COUNTIF($E$42:$E$49,AI43)&gt;0,-3,-1),AJ43)</f>
        <v>-3</v>
      </c>
    </row>
    <row r="44" spans="1:37">
      <c r="A44" s="1" t="s">
        <v>43</v>
      </c>
      <c r="B44" t="str">
        <f>REPT("●",IFERROR(INDEX($P$42:$P$69,MATCH(tblCharDataAnichka[[#This Row],[Field]],$E$42:$E$69,0)),0))&amp;REPT("○",IFERROR(INDEX($V$42:$V$69,MATCH(tblCharDataAnichka[[#This Row],[Field]],$E$42:$E$69,0)),0))&amp;IF(IFERROR(INDEX($W$42:$W$69,MATCH(tblCharDataAnichka[[#This Row],[Field]],$E$42:$E$69,0)),0)=1,"†","")</f>
        <v>●●</v>
      </c>
      <c r="D44" s="18"/>
      <c r="E44" s="15" t="s">
        <v>27</v>
      </c>
      <c r="F44" s="18"/>
      <c r="G44" s="3"/>
      <c r="H44" s="18"/>
      <c r="I44" s="18"/>
      <c r="L44" s="4"/>
      <c r="M44" s="60"/>
      <c r="N44" s="4"/>
      <c r="O44" s="61">
        <f t="shared" si="7"/>
        <v>0</v>
      </c>
      <c r="P44" s="60">
        <f t="shared" si="5"/>
        <v>0</v>
      </c>
      <c r="R44" s="61">
        <v>5</v>
      </c>
      <c r="T44" s="4"/>
      <c r="U44" s="4"/>
      <c r="V44" s="61">
        <f t="shared" si="6"/>
        <v>0</v>
      </c>
      <c r="W44" s="4"/>
      <c r="Y44" s="15">
        <v>1</v>
      </c>
      <c r="Z44" s="61" t="s">
        <v>236</v>
      </c>
      <c r="AA44" s="60" t="str" cm="1">
        <f t="array" ref="AA44">IF(OR(Y44=0,Y44=""),"",IF(VLOOKUP(Z44,$AI$1:$AJ$58,2,FALSE)&gt;=Y44,INDEX(tblDisciplines[Name],MATCH(1,(tblDisciplines[Discipline]=Z44)*(tblDisciplines[Rank]=Y44),0)),""))</f>
        <v/>
      </c>
      <c r="AC44" s="60" t="str" cm="1">
        <f t="array" ref="AC44:AC54">IFERROR(_xlfn.VSTACK(IFERROR(_xlfn._xlws.FILTER(AA44:AA121,AA44:AA121&lt;&gt;""),""),IFERROR(_xlfn._xlws.SORT(_xlfn._xlws.FILTER(AA123:AA132,AA123:AA132&lt;&gt;"")),"")),"")</f>
        <v>Beast's Hackles</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Auspex ● | Beast's Hackles</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Free (1 V for Insight)  •  Pool: - - Composure &amp; Closed Book  •  Instant  •  Scene</v>
      </c>
      <c r="AF44" s="20" t="str">
        <f>IF(AC44="","",IFERROR(VLOOKUP(AC44,tblDisciplines[],12,FALSE),VLOOKUP(AC44,tblPacts[],5,FALSE)))</f>
        <v>Add Auspex dots to any rolls to resist surprise. Access to Tier 1 Auspex Insight questions.</v>
      </c>
      <c r="AI44" s="15" t="s">
        <v>353</v>
      </c>
      <c r="AJ44" s="61">
        <f t="shared" si="4"/>
        <v>5</v>
      </c>
      <c r="AK44" s="61">
        <f>AJ44</f>
        <v>5</v>
      </c>
    </row>
    <row r="45" spans="1:37">
      <c r="A45" s="1" t="s">
        <v>44</v>
      </c>
      <c r="B45" t="str">
        <f>REPT("●",IFERROR(INDEX($P$42:$P$69,MATCH(tblCharDataAnichka[[#This Row],[Field]],$E$42:$E$69,0)),0))&amp;REPT("○",IFERROR(INDEX($V$42:$V$69,MATCH(tblCharDataAnichka[[#This Row],[Field]],$E$42:$E$69,0)),0))&amp;IF(IFERROR(INDEX($W$42:$W$69,MATCH(tblCharDataAnichka[[#This Row],[Field]],$E$42:$E$69,0)),0)=1,"†","")</f>
        <v/>
      </c>
      <c r="D45" s="18"/>
      <c r="E45" s="15" t="s">
        <v>28</v>
      </c>
      <c r="F45" s="18"/>
      <c r="G45" s="3"/>
      <c r="H45" s="18"/>
      <c r="I45" s="18"/>
      <c r="L45" s="4"/>
      <c r="M45" s="60"/>
      <c r="N45" s="4"/>
      <c r="O45" s="61">
        <f t="shared" si="7"/>
        <v>0</v>
      </c>
      <c r="P45" s="60">
        <f t="shared" si="5"/>
        <v>0</v>
      </c>
      <c r="R45" s="61">
        <v>5</v>
      </c>
      <c r="T45" s="4"/>
      <c r="U45" s="4"/>
      <c r="V45" s="61">
        <f t="shared" si="6"/>
        <v>0</v>
      </c>
      <c r="W45" s="4"/>
      <c r="Y45" s="15">
        <v>2</v>
      </c>
      <c r="Z45" s="61" t="s">
        <v>236</v>
      </c>
      <c r="AA45" s="60" t="str" cm="1">
        <f t="array" ref="AA45">IF(OR(Y45=0,Y45=""),"",IF(VLOOKUP(Z45,$AI$1:$AJ$58,2,FALSE)&gt;=Y45,INDEX(tblDisciplines[Name],MATCH(1,(tblDisciplines[Discipline]=Z45)*(tblDisciplines[Rank]=Y45),0)),""))</f>
        <v/>
      </c>
      <c r="AC45" s="60" t="str">
        <v>Uncanny Perception</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Auspex ●● | Uncanny Perception</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Free (1 V for Insight) Must perceive target  •  Pool: -  •  Instant  •  Scene</v>
      </c>
      <c r="AF45" s="20" t="str">
        <f>IF(AC45="","",IFERROR(VLOOKUP(AC45,tblDisciplines[],12,FALSE),VLOOKUP(AC45,tblPacts[],5,FALSE)))</f>
        <v>Persistent Acute Senses Merit, doubles actual merit. Access to Tier 2 Auspex Insight questions.</v>
      </c>
      <c r="AI45" s="15" t="s">
        <v>46</v>
      </c>
      <c r="AJ45" s="61">
        <f t="shared" si="4"/>
        <v>1</v>
      </c>
      <c r="AK45" s="61">
        <f>IF(AJ45=0,IF(COUNTIF($E$42:$E$49,AI45)&gt;0,-3,-1),AJ45)</f>
        <v>1</v>
      </c>
    </row>
    <row r="46" spans="1:37">
      <c r="A46" s="1" t="s">
        <v>45</v>
      </c>
      <c r="B46" t="str">
        <f>REPT("●",IFERROR(INDEX($P$42:$P$69,MATCH(tblCharDataAnichka[[#This Row],[Field]],$E$42:$E$69,0)),0))&amp;REPT("○",IFERROR(INDEX($V$42:$V$69,MATCH(tblCharDataAnichka[[#This Row],[Field]],$E$42:$E$69,0)),0))&amp;IF(IFERROR(INDEX($W$42:$W$69,MATCH(tblCharDataAnichka[[#This Row],[Field]],$E$42:$E$69,0)),0)=1,"†","")</f>
        <v>●●</v>
      </c>
      <c r="D46" s="18"/>
      <c r="E46" s="15" t="s">
        <v>29</v>
      </c>
      <c r="F46" s="18"/>
      <c r="G46" s="3"/>
      <c r="H46" s="18"/>
      <c r="I46" s="18"/>
      <c r="L46" s="4"/>
      <c r="M46" s="60"/>
      <c r="N46" s="4"/>
      <c r="O46" s="61">
        <f t="shared" si="7"/>
        <v>0</v>
      </c>
      <c r="P46" s="60">
        <f t="shared" si="5"/>
        <v>0</v>
      </c>
      <c r="R46" s="61">
        <v>5</v>
      </c>
      <c r="T46" s="4"/>
      <c r="U46" s="4"/>
      <c r="V46" s="61">
        <f t="shared" si="6"/>
        <v>0</v>
      </c>
      <c r="W46" s="4"/>
      <c r="Y46" s="15">
        <v>3</v>
      </c>
      <c r="Z46" s="61" t="s">
        <v>236</v>
      </c>
      <c r="AA46" s="60" t="str" cm="1">
        <f t="array" ref="AA46">IF(OR(Y46=0,Y46=""),"",IF(VLOOKUP(Z46,$AI$1:$AJ$58,2,FALSE)&gt;=Y46,INDEX(tblDisciplines[Name],MATCH(1,(tblDisciplines[Discipline]=Z46)*(tblDisciplines[Rank]=Y46),0)),""))</f>
        <v/>
      </c>
      <c r="AC46" s="60" t="str">
        <v>Face in the Crowd</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Obfuscate ● | Face in the Crowd</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  •  Pool: -  •  Instant  •  Scene</v>
      </c>
      <c r="AF46" s="20" t="str">
        <f>IF(AC46="","",IFERROR(VLOOKUP(AC46,tblDisciplines[],12,FALSE),VLOOKUP(AC46,tblPacts[],5,FALSE)))</f>
        <v>Blend into surroundings, visible but unnoticeable. Predatory aura fully on or off. Leaving combat: Wits + Composure - Obfuscate to notice; auto Clash of Wills vs Auspex.</v>
      </c>
      <c r="AI46" s="15" t="s">
        <v>354</v>
      </c>
      <c r="AJ46" s="61">
        <f t="shared" ca="1" si="4"/>
        <v>9</v>
      </c>
      <c r="AK46" s="61">
        <f ca="1">AJ46</f>
        <v>9</v>
      </c>
    </row>
    <row r="47" spans="1:37">
      <c r="A47" s="1" t="s">
        <v>46</v>
      </c>
      <c r="B47" t="str">
        <f>REPT("●",IFERROR(INDEX($P$42:$P$69,MATCH(tblCharDataAnichka[[#This Row],[Field]],$E$42:$E$69,0)),0))&amp;REPT("○",IFERROR(INDEX($V$42:$V$69,MATCH(tblCharDataAnichka[[#This Row],[Field]],$E$42:$E$69,0)),0))&amp;IF(IFERROR(INDEX($W$42:$W$69,MATCH(tblCharDataAnichka[[#This Row],[Field]],$E$42:$E$69,0)),0)=1,"†","")</f>
        <v>●</v>
      </c>
      <c r="D47" s="18"/>
      <c r="E47" s="15" t="s">
        <v>30</v>
      </c>
      <c r="F47" s="18"/>
      <c r="G47" s="3" t="s">
        <v>455</v>
      </c>
      <c r="H47" s="18"/>
      <c r="I47" s="18"/>
      <c r="L47" s="4">
        <v>4</v>
      </c>
      <c r="M47" s="60"/>
      <c r="N47" s="4"/>
      <c r="O47" s="61">
        <f t="shared" si="7"/>
        <v>0</v>
      </c>
      <c r="P47" s="60">
        <f t="shared" si="5"/>
        <v>4</v>
      </c>
      <c r="R47" s="61">
        <v>5</v>
      </c>
      <c r="T47" s="4">
        <v>2</v>
      </c>
      <c r="U47" s="4"/>
      <c r="V47" s="61">
        <f t="shared" si="6"/>
        <v>0</v>
      </c>
      <c r="W47" s="4"/>
      <c r="Y47" s="15">
        <v>4</v>
      </c>
      <c r="Z47" s="61" t="s">
        <v>236</v>
      </c>
      <c r="AA47" s="60" t="str" cm="1">
        <f t="array" ref="AA47">IF(OR(Y47=0,Y47=""),"",IF(VLOOKUP(Z47,$AI$1:$AJ$58,2,FALSE)&gt;=Y47,INDEX(tblDisciplines[Name],MATCH(1,(tblDisciplines[Discipline]=Z47)*(tblDisciplines[Rank]=Y47),0)),""))</f>
        <v/>
      </c>
      <c r="AC47" s="60" t="str">
        <v>Unmarked Grave</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Protean ● | Unmarked Grave</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Cost: Varies  •  Pool: -  •  Instant  •  Indefinite</v>
      </c>
      <c r="AF47" s="20" t="str">
        <f>IF(AC47="","",IFERROR(VLOOKUP(AC47,tblDisciplines[],12,FALSE),VLOOKUP(AC47,tblPacts[],5,FALSE)))</f>
        <v>Merge with soil.</v>
      </c>
      <c r="AI47" s="15" t="s">
        <v>21</v>
      </c>
      <c r="AJ47" s="61">
        <f t="shared" si="4"/>
        <v>2</v>
      </c>
      <c r="AK47" s="61">
        <f>AJ47+IFERROR(INDEX($V$26:$V$38,MATCH(AI47,$E$26:$E$38,0)),0)</f>
        <v>2</v>
      </c>
    </row>
    <row r="48" spans="1:37">
      <c r="A48" s="1" t="s">
        <v>47</v>
      </c>
      <c r="B48" t="str">
        <f>REPT("●",IFERROR(INDEX($P$42:$P$69,MATCH(tblCharDataAnichka[[#This Row],[Field]],$E$42:$E$69,0)),0))&amp;REPT("○",IFERROR(INDEX($V$42:$V$69,MATCH(tblCharDataAnichka[[#This Row],[Field]],$E$42:$E$69,0)),0))&amp;IF(IFERROR(INDEX($W$42:$W$69,MATCH(tblCharDataAnichka[[#This Row],[Field]],$E$42:$E$69,0)),0)=1,"†","")</f>
        <v>●</v>
      </c>
      <c r="D48" s="18"/>
      <c r="E48" s="15" t="s">
        <v>31</v>
      </c>
      <c r="F48" s="18"/>
      <c r="G48" s="3"/>
      <c r="H48" s="18"/>
      <c r="I48" s="18"/>
      <c r="L48" s="4"/>
      <c r="M48" s="60"/>
      <c r="N48" s="4"/>
      <c r="O48" s="61">
        <f t="shared" si="7"/>
        <v>0</v>
      </c>
      <c r="P48" s="60">
        <f t="shared" si="5"/>
        <v>0</v>
      </c>
      <c r="R48" s="61">
        <v>5</v>
      </c>
      <c r="T48" s="4"/>
      <c r="U48" s="4"/>
      <c r="V48" s="61">
        <f t="shared" si="6"/>
        <v>0</v>
      </c>
      <c r="W48" s="4"/>
      <c r="Y48" s="15">
        <v>5</v>
      </c>
      <c r="Z48" s="61" t="s">
        <v>236</v>
      </c>
      <c r="AA48" s="60" t="str" cm="1">
        <f t="array" ref="AA48">IF(OR(Y48=0,Y48=""),"",IF(VLOOKUP(Z48,$AI$1:$AJ$58,2,FALSE)&gt;=Y48,INDEX(tblDisciplines[Name],MATCH(1,(tblDisciplines[Discipline]=Z48)*(tblDisciplines[Rank]=Y48),0)),""))</f>
        <v/>
      </c>
      <c r="AC48" s="60" t="str">
        <v>Creation 1</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Blood Sorcery | Creation ●</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v>
      </c>
      <c r="AF48" s="20" t="str">
        <f>IF(AC48="","",IFERROR(VLOOKUP(AC48,tblDisciplines[],12,FALSE),VLOOKUP(AC48,tblPacts[],5,FALSE)))</f>
        <v>Summon liquids, dead organic matter, sensory phenomena. Bonus/penalty = Potency.</v>
      </c>
      <c r="AI48" s="15" t="s">
        <v>38</v>
      </c>
      <c r="AJ48" s="61">
        <f t="shared" si="4"/>
        <v>2</v>
      </c>
      <c r="AK48" s="61">
        <f>IF(AJ48=0,IF(COUNTIF($E$42:$E$49,AI48)&gt;0,-3,-1),AJ48)</f>
        <v>2</v>
      </c>
    </row>
    <row r="49" spans="1:37">
      <c r="A49" s="1" t="s">
        <v>48</v>
      </c>
      <c r="B49" t="str">
        <f>REPT("●",IFERROR(INDEX($P$42:$P$69,MATCH(tblCharDataAnichka[[#This Row],[Field]],$E$42:$E$69,0)),0))&amp;REPT("○",IFERROR(INDEX($V$42:$V$69,MATCH(tblCharDataAnichka[[#This Row],[Field]],$E$42:$E$69,0)),0))&amp;IF(IFERROR(INDEX($W$42:$W$69,MATCH(tblCharDataAnichka[[#This Row],[Field]],$E$42:$E$69,0)),0)=1,"†","")</f>
        <v/>
      </c>
      <c r="D49" s="18"/>
      <c r="E49" s="15" t="s">
        <v>32</v>
      </c>
      <c r="F49" s="18"/>
      <c r="G49" s="3"/>
      <c r="H49" s="18"/>
      <c r="I49" s="18"/>
      <c r="L49" s="4"/>
      <c r="M49" s="60"/>
      <c r="N49" s="4"/>
      <c r="O49" s="61">
        <f t="shared" si="7"/>
        <v>0</v>
      </c>
      <c r="P49" s="60">
        <f t="shared" si="5"/>
        <v>0</v>
      </c>
      <c r="R49" s="61">
        <v>5</v>
      </c>
      <c r="T49" s="4"/>
      <c r="U49" s="4"/>
      <c r="V49" s="61">
        <f t="shared" si="6"/>
        <v>0</v>
      </c>
      <c r="W49" s="4"/>
      <c r="Y49" s="15">
        <v>1</v>
      </c>
      <c r="Z49" s="61" t="s">
        <v>237</v>
      </c>
      <c r="AA49" s="60" t="str" cm="1">
        <f t="array" ref="AA49">IF(OR(Y49=0,Y49=""),"",IF(VLOOKUP(Z49,$AI$1:$AJ$58,2,FALSE)&gt;=Y49,INDEX(tblDisciplines[Name],MATCH(1,(tblDisciplines[Discipline]=Z49)*(tblDisciplines[Rank]=Y49),0)),""))</f>
        <v>Beast's Hackles</v>
      </c>
      <c r="AC49" s="60" t="str">
        <v>Divination 1</v>
      </c>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Blood Sorcery | Divination ●</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v>
      </c>
      <c r="AF49" s="20" t="str">
        <f>IF(AC49="","",IFERROR(VLOOKUP(AC49,tblDisciplines[],12,FALSE),VLOOKUP(AC49,tblPacts[],5,FALSE)))</f>
        <v>Glimpse fragmented details about intended actions. Learn basic info about a target.</v>
      </c>
      <c r="AI49" s="15" t="s">
        <v>47</v>
      </c>
      <c r="AJ49" s="61">
        <f t="shared" si="4"/>
        <v>1</v>
      </c>
      <c r="AK49" s="61">
        <f>IF(AJ49=0,IF(COUNTIF($E$42:$E$49,AI49)&gt;0,-3,-1),AJ49)</f>
        <v>1</v>
      </c>
    </row>
    <row r="50" spans="1:37">
      <c r="A50" s="1" t="s">
        <v>49</v>
      </c>
      <c r="B50" t="str">
        <f ca="1">REPT("●",VLOOKUP(tblCharDataAnichka[[#This Row],[Field]],INDIRECT($AH$1),2,FALSE)) &amp; REPT("○",10-VLOOKUP(tblCharDataAnichka[[#This Row],[Field]],INDIRECT($AH$1),2,FALSE))</f>
        <v>●○○○○○○○○○</v>
      </c>
      <c r="Y50" s="15">
        <v>2</v>
      </c>
      <c r="Z50" s="61" t="s">
        <v>237</v>
      </c>
      <c r="AA50" s="60" t="str" cm="1">
        <f t="array" ref="AA50">IF(OR(Y50=0,Y50=""),"",IF(VLOOKUP(Z50,$AI$1:$AJ$58,2,FALSE)&gt;=Y50,INDEX(tblDisciplines[Name],MATCH(1,(tblDisciplines[Discipline]=Z50)*(tblDisciplines[Rank]=Y50),0)),""))</f>
        <v>Uncanny Perception</v>
      </c>
      <c r="AC50" s="60" t="str">
        <v>Divination 2</v>
      </c>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Blood Sorcery | Divination ●●</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v>
      </c>
      <c r="AF50" s="20" t="str">
        <f>IF(AC50="","",IFERROR(VLOOKUP(AC50,tblDisciplines[],12,FALSE),VLOOKUP(AC50,tblPacts[],5,FALSE)))</f>
        <v>Ask specific questions about a target. Sense supernatural concealment on objects. Detect lies.</v>
      </c>
      <c r="AI50" s="15" t="s">
        <v>19</v>
      </c>
      <c r="AJ50" s="61">
        <f t="shared" si="4"/>
        <v>2</v>
      </c>
      <c r="AK50" s="61">
        <f>AJ50+IFERROR(INDEX($V$26:$V$38,MATCH(AI50,$E$26:$E$38,0)),0)</f>
        <v>2</v>
      </c>
    </row>
    <row r="51" spans="1:37">
      <c r="A51" s="1" t="s">
        <v>50</v>
      </c>
      <c r="B51">
        <f>P72</f>
        <v>1</v>
      </c>
      <c r="D51" s="16" t="s">
        <v>1453</v>
      </c>
      <c r="E51" s="17"/>
      <c r="F51" s="17"/>
      <c r="G51" s="17" t="s">
        <v>1467</v>
      </c>
      <c r="H51" s="16" t="s">
        <v>1446</v>
      </c>
      <c r="I51" s="3" t="s">
        <v>1567</v>
      </c>
      <c r="L51" s="60">
        <f>IF(I51="",0,VLOOKUP(I51,tblPriority[],3,FALSE))-SUM(L52:L59)</f>
        <v>0</v>
      </c>
      <c r="Y51" s="15">
        <v>3</v>
      </c>
      <c r="Z51" s="61" t="s">
        <v>237</v>
      </c>
      <c r="AA51" s="60" t="str" cm="1">
        <f t="array" ref="AA51">IF(OR(Y51=0,Y51=""),"",IF(VLOOKUP(Z51,$AI$1:$AJ$58,2,FALSE)&gt;=Y51,INDEX(tblDisciplines[Name],MATCH(1,(tblDisciplines[Discipline]=Z51)*(tblDisciplines[Rank]=Y51),0)),""))</f>
        <v/>
      </c>
      <c r="AC51" s="60" t="str">
        <v>Divination 3</v>
      </c>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Blood Sorcery | Divination ●●●</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v>
      </c>
      <c r="AF51" s="20" t="str">
        <f>IF(AC51="","",IFERROR(VLOOKUP(AC51,tblDisciplines[],12,FALSE),VLOOKUP(AC51,tblPacts[],5,FALSE)))</f>
        <v>View past events (limited by Fog of Eternity). Locate hidden targets. Prophetic omens about near future.</v>
      </c>
      <c r="AI51" s="15" t="s">
        <v>48</v>
      </c>
      <c r="AJ51" s="61">
        <f t="shared" si="4"/>
        <v>0</v>
      </c>
      <c r="AK51" s="61">
        <f>IF(AJ51=0,IF(COUNTIF($E$42:$E$49,AI51)&gt;0,-3,-1),AJ51)</f>
        <v>-1</v>
      </c>
    </row>
    <row r="52" spans="1:37">
      <c r="A52" s="1" t="s">
        <v>51</v>
      </c>
      <c r="B52" t="str">
        <f>_xlfn.IFNA(VLOOKUP(P72,tblBloodPotency[#Data],5,FALSE),"")</f>
        <v/>
      </c>
      <c r="D52" s="18"/>
      <c r="E52" s="15" t="s">
        <v>33</v>
      </c>
      <c r="F52" s="18"/>
      <c r="G52" s="3"/>
      <c r="H52" s="18"/>
      <c r="I52" s="18"/>
      <c r="L52" s="4">
        <v>2</v>
      </c>
      <c r="M52" s="60"/>
      <c r="N52" s="4"/>
      <c r="O52" s="61">
        <f>ROUNDDOWN(N52/2,0)</f>
        <v>0</v>
      </c>
      <c r="P52" s="60">
        <f t="shared" ref="P52:P59" si="8">MIN(SUM(L52,M52,O52),R52)</f>
        <v>2</v>
      </c>
      <c r="R52" s="61">
        <v>5</v>
      </c>
      <c r="T52" s="4"/>
      <c r="U52" s="4"/>
      <c r="V52" s="61">
        <f t="shared" ref="V52:V59" si="9">U52</f>
        <v>0</v>
      </c>
      <c r="W52" s="4"/>
      <c r="Y52" s="15">
        <v>4</v>
      </c>
      <c r="Z52" s="61" t="s">
        <v>237</v>
      </c>
      <c r="AA52" s="60" t="str" cm="1">
        <f t="array" ref="AA52">IF(OR(Y52=0,Y52=""),"",IF(VLOOKUP(Z52,$AI$1:$AJ$58,2,FALSE)&gt;=Y52,INDEX(tblDisciplines[Name],MATCH(1,(tblDisciplines[Discipline]=Z52)*(tblDisciplines[Rank]=Y52),0)),""))</f>
        <v/>
      </c>
      <c r="AC52" s="60" t="str">
        <v>Protection 1</v>
      </c>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Blood Sorcery | Protection ●</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v>
      </c>
      <c r="AF52" s="20" t="str">
        <f>IF(AC52="","",IFERROR(VLOOKUP(AC52,tblDisciplines[],12,FALSE),VLOOKUP(AC52,tblPacts[],5,FALSE)))</f>
        <v>Subtract Potency from ritual rolls targeting subject. Heal bashing in vampires. Protect from the Kiss (add Potency to resistance).</v>
      </c>
      <c r="AI52" s="15" t="s">
        <v>39</v>
      </c>
      <c r="AJ52" s="61">
        <f t="shared" si="4"/>
        <v>3</v>
      </c>
      <c r="AK52" s="61">
        <f>IF(AJ52=0,IF(COUNTIF($E$42:$E$49,AI52)&gt;0,-3,-1),AJ52)</f>
        <v>3</v>
      </c>
    </row>
    <row r="53" spans="1:37">
      <c r="A53" s="1" t="s">
        <v>52</v>
      </c>
      <c r="B53" t="str">
        <f ca="1">REPT("□",P221) &amp; REPT("■",15-P221)</f>
        <v>□□□□□□□■■■■■■■■</v>
      </c>
      <c r="D53" s="18"/>
      <c r="E53" s="15" t="s">
        <v>34</v>
      </c>
      <c r="F53" s="18"/>
      <c r="G53" s="3"/>
      <c r="H53" s="18"/>
      <c r="I53" s="18"/>
      <c r="L53" s="4"/>
      <c r="M53" s="60"/>
      <c r="N53" s="4"/>
      <c r="O53" s="61">
        <f t="shared" ref="O53:O59" si="10">ROUNDDOWN(N53/2,0)</f>
        <v>0</v>
      </c>
      <c r="P53" s="60">
        <f t="shared" si="8"/>
        <v>0</v>
      </c>
      <c r="R53" s="61">
        <v>5</v>
      </c>
      <c r="T53" s="4"/>
      <c r="U53" s="4"/>
      <c r="V53" s="61">
        <f t="shared" si="9"/>
        <v>0</v>
      </c>
      <c r="W53" s="4"/>
      <c r="Y53" s="15">
        <v>5</v>
      </c>
      <c r="Z53" s="61" t="s">
        <v>237</v>
      </c>
      <c r="AA53" s="60" t="str" cm="1">
        <f t="array" ref="AA53">IF(OR(Y53=0,Y53=""),"",IF(VLOOKUP(Z53,$AI$1:$AJ$58,2,FALSE)&gt;=Y53,INDEX(tblDisciplines[Name],MATCH(1,(tblDisciplines[Discipline]=Z53)*(tblDisciplines[Rank]=Y53),0)),""))</f>
        <v/>
      </c>
      <c r="AC53" s="60" t="str">
        <v>The Pool of Forbidden Truths</v>
      </c>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Cruac ● | The Pool of Forbidden Truths</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Cost: 1 V 1 Successes  •  Pool: 10  •  Ritual  •  Instant</v>
      </c>
      <c r="AF53" s="20" t="str">
        <f>IF(AC53="","",IFERROR(VLOOKUP(AC53,tblDisciplines[],12,FALSE),VLOOKUP(AC53,tblPacts[],5,FALSE)))</f>
        <v>Blood pool reveals subject's greatest fear or deepest desire</v>
      </c>
      <c r="AI53" s="15" t="s">
        <v>247</v>
      </c>
      <c r="AJ53" s="61">
        <f t="shared" si="4"/>
        <v>0</v>
      </c>
      <c r="AK53" s="61">
        <f>AJ53</f>
        <v>0</v>
      </c>
    </row>
    <row r="54" spans="1:37">
      <c r="A54" s="1" t="s">
        <v>53</v>
      </c>
      <c r="B54" t="str">
        <f>_xlfn.CONCAT(P74-L224," / ",P74)</f>
        <v>6 / 6</v>
      </c>
      <c r="D54" s="18"/>
      <c r="E54" s="15" t="s">
        <v>35</v>
      </c>
      <c r="F54" s="18"/>
      <c r="G54" s="3"/>
      <c r="H54" s="18"/>
      <c r="I54" s="18"/>
      <c r="L54" s="4"/>
      <c r="M54" s="60"/>
      <c r="N54" s="4"/>
      <c r="O54" s="61">
        <f t="shared" si="10"/>
        <v>0</v>
      </c>
      <c r="P54" s="60">
        <f t="shared" si="8"/>
        <v>0</v>
      </c>
      <c r="R54" s="61">
        <v>5</v>
      </c>
      <c r="T54" s="4"/>
      <c r="U54" s="4"/>
      <c r="V54" s="61">
        <f t="shared" si="9"/>
        <v>0</v>
      </c>
      <c r="W54" s="4"/>
      <c r="Y54" s="15">
        <f>P167</f>
        <v>0</v>
      </c>
      <c r="Z54" s="61" t="s">
        <v>238</v>
      </c>
      <c r="AA54" s="60" t="str" cm="1">
        <f t="array" ref="AA54">IF(OR(Y54=0,Y54=""),"",IF(VLOOKUP(Z54,$AI$1:$AJ$58,2,FALSE)&gt;=Y54,INDEX(tblDisciplines[Name],MATCH(1,(tblDisciplines[Discipline]=Z54)*(tblDisciplines[Rank]=Y54),0)),""))</f>
        <v/>
      </c>
      <c r="AC54" s="60" t="str">
        <v/>
      </c>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
      </c>
      <c r="AF54" s="20" t="str">
        <f>IF(AC54="","",IFERROR(VLOOKUP(AC54,tblDisciplines[],12,FALSE),VLOOKUP(AC54,tblPacts[],5,FALSE)))</f>
        <v/>
      </c>
      <c r="AI54" s="15" t="s">
        <v>252</v>
      </c>
      <c r="AJ54" s="61">
        <f t="shared" si="4"/>
        <v>0</v>
      </c>
      <c r="AK54" s="61">
        <f>AJ54</f>
        <v>0</v>
      </c>
    </row>
    <row r="55" spans="1:37">
      <c r="A55" s="1" t="s">
        <v>54</v>
      </c>
      <c r="B55" t="str">
        <f>REPT("□",P74) &amp; REPT("■",10-P74)</f>
        <v>□□□□□□■■■■</v>
      </c>
      <c r="D55" s="18"/>
      <c r="E55" s="15" t="s">
        <v>36</v>
      </c>
      <c r="F55" s="18"/>
      <c r="G55" s="3"/>
      <c r="H55" s="18"/>
      <c r="I55" s="18"/>
      <c r="L55" s="4"/>
      <c r="M55" s="60"/>
      <c r="N55" s="4"/>
      <c r="O55" s="61">
        <f t="shared" si="10"/>
        <v>0</v>
      </c>
      <c r="P55" s="60">
        <f t="shared" si="8"/>
        <v>0</v>
      </c>
      <c r="R55" s="61">
        <v>5</v>
      </c>
      <c r="T55" s="4"/>
      <c r="U55" s="4"/>
      <c r="V55" s="61">
        <f t="shared" si="9"/>
        <v>0</v>
      </c>
      <c r="W55" s="4"/>
      <c r="Y55" s="15">
        <v>1</v>
      </c>
      <c r="Z55" s="61" t="s">
        <v>239</v>
      </c>
      <c r="AA55" s="60" t="str" cm="1">
        <f t="array" ref="AA55">IF(OR(Y55=0,Y55=""),"",IF(VLOOKUP(Z55,$AI$1:$AJ$58,2,FALSE)&gt;=Y55,INDEX(tblDisciplines[Name],MATCH(1,(tblDisciplines[Discipline]=Z55)*(tblDisciplines[Rank]=Y55),0)),""))</f>
        <v/>
      </c>
      <c r="AC55" s="60"/>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
      </c>
      <c r="AF55" s="20" t="str">
        <f>IF(AC55="","",IFERROR(VLOOKUP(AC55,tblDisciplines[],12,FALSE),VLOOKUP(AC55,tblPacts[],5,FALSE)))</f>
        <v/>
      </c>
      <c r="AI55" s="15" t="s">
        <v>245</v>
      </c>
      <c r="AJ55" s="61">
        <f t="shared" si="4"/>
        <v>0</v>
      </c>
      <c r="AK55" s="61">
        <f>AJ55+IFERROR(INDEX($V$26:$V$38,MATCH(AI55,$E$26:$E$38,0)),0)</f>
        <v>0</v>
      </c>
    </row>
    <row r="56" spans="1:37">
      <c r="A56" s="1" t="s">
        <v>55</v>
      </c>
      <c r="B56" t="str">
        <f ca="1">_xlfn.CONCAT(P75-L223," / ",P75)</f>
        <v>9 / 10</v>
      </c>
      <c r="D56" s="19"/>
      <c r="E56" s="15" t="s">
        <v>37</v>
      </c>
      <c r="F56" s="18"/>
      <c r="G56" s="3"/>
      <c r="H56" s="18"/>
      <c r="I56" s="18"/>
      <c r="L56" s="4"/>
      <c r="M56" s="60"/>
      <c r="N56" s="4"/>
      <c r="O56" s="61">
        <f t="shared" si="10"/>
        <v>0</v>
      </c>
      <c r="P56" s="60">
        <f t="shared" si="8"/>
        <v>0</v>
      </c>
      <c r="R56" s="61">
        <v>5</v>
      </c>
      <c r="T56" s="4"/>
      <c r="U56" s="4"/>
      <c r="V56" s="61">
        <f t="shared" si="9"/>
        <v>0</v>
      </c>
      <c r="W56" s="4"/>
      <c r="Y56" s="15">
        <v>2</v>
      </c>
      <c r="Z56" s="61" t="s">
        <v>239</v>
      </c>
      <c r="AA56" s="60" t="str" cm="1">
        <f t="array" ref="AA56">IF(OR(Y56=0,Y56=""),"",IF(VLOOKUP(Z56,$AI$1:$AJ$58,2,FALSE)&gt;=Y56,INDEX(tblDisciplines[Name],MATCH(1,(tblDisciplines[Discipline]=Z56)*(tblDisciplines[Rank]=Y56),0)),""))</f>
        <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4"/>
        <v>0</v>
      </c>
      <c r="AK56" s="61">
        <f>IF(AJ56=0,IF(COUNTIF($E$42:$E$49,AI56)&gt;0,-3,-1),AJ56)</f>
        <v>-1</v>
      </c>
    </row>
    <row r="57" spans="1:37">
      <c r="A57" s="1" t="s">
        <v>56</v>
      </c>
      <c r="B57" t="str">
        <f ca="1">REPT("□",P75-L223) &amp; REPT("■",20-P75+L223)</f>
        <v>□□□□□□□□□■■■■■■■■■■■</v>
      </c>
      <c r="D57" s="19"/>
      <c r="E57" s="15" t="s">
        <v>38</v>
      </c>
      <c r="F57" s="18"/>
      <c r="G57" s="3"/>
      <c r="H57" s="18"/>
      <c r="I57" s="18"/>
      <c r="L57" s="4">
        <v>2</v>
      </c>
      <c r="M57" s="60"/>
      <c r="N57" s="4"/>
      <c r="O57" s="61">
        <f t="shared" si="10"/>
        <v>0</v>
      </c>
      <c r="P57" s="60">
        <f t="shared" si="8"/>
        <v>2</v>
      </c>
      <c r="R57" s="61">
        <v>5</v>
      </c>
      <c r="T57" s="4"/>
      <c r="U57" s="4"/>
      <c r="V57" s="61">
        <f t="shared" si="9"/>
        <v>0</v>
      </c>
      <c r="W57" s="4"/>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4"/>
        <v>6</v>
      </c>
      <c r="AK57" s="61">
        <f>AJ57</f>
        <v>6</v>
      </c>
    </row>
    <row r="58" spans="1:37">
      <c r="A58" s="1" t="s">
        <v>57</v>
      </c>
      <c r="B58">
        <f ca="1">VLOOKUP(VLOOKUP("Blood Potency", INDIRECT($AH$1),2,FALSE),tblBloodPotency[#Data],3,FALSE)</f>
        <v>1</v>
      </c>
      <c r="D58" s="19"/>
      <c r="E58" s="15" t="s">
        <v>39</v>
      </c>
      <c r="F58" s="18"/>
      <c r="G58" s="3" t="s">
        <v>456</v>
      </c>
      <c r="H58" s="18"/>
      <c r="I58" s="18"/>
      <c r="L58" s="4">
        <v>3</v>
      </c>
      <c r="M58" s="60"/>
      <c r="N58" s="4"/>
      <c r="O58" s="61">
        <f t="shared" si="10"/>
        <v>0</v>
      </c>
      <c r="P58" s="60">
        <f t="shared" si="8"/>
        <v>3</v>
      </c>
      <c r="R58" s="61">
        <v>5</v>
      </c>
      <c r="T58" s="4">
        <v>1</v>
      </c>
      <c r="U58" s="4"/>
      <c r="V58" s="61">
        <f t="shared" si="9"/>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4"/>
        <v>3</v>
      </c>
      <c r="AK58" s="61">
        <f>AJ58+IFERROR(INDEX($V$26:$V$38,MATCH(AI58,$E$26:$E$38,0)),0)</f>
        <v>3</v>
      </c>
    </row>
    <row r="59" spans="1:37">
      <c r="A59" s="1" t="s">
        <v>58</v>
      </c>
      <c r="B59" t="str">
        <f ca="1">VLOOKUP(VLOOKUP("Blood Potency", INDIRECT($AH$1),2,FALSE),tblBloodPotency[#Data],4,FALSE)</f>
        <v>Animals</v>
      </c>
      <c r="D59" s="19"/>
      <c r="E59" s="15" t="s">
        <v>40</v>
      </c>
      <c r="F59" s="18"/>
      <c r="G59" s="3"/>
      <c r="H59" s="18"/>
      <c r="I59" s="18"/>
      <c r="L59" s="4"/>
      <c r="M59" s="60"/>
      <c r="N59" s="4"/>
      <c r="O59" s="61">
        <f t="shared" si="10"/>
        <v>0</v>
      </c>
      <c r="P59" s="60">
        <f t="shared" si="8"/>
        <v>0</v>
      </c>
      <c r="R59" s="61">
        <v>5</v>
      </c>
      <c r="T59" s="4"/>
      <c r="U59" s="4"/>
      <c r="V59" s="61">
        <f t="shared" si="9"/>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1">IFERROR(IF(VLOOKUP(SUBSTITUTE(A60," Spec",""),$E$42:$G$69,3,FALSE)=0,"",VLOOKUP(SUBSTITUTE(A60," Spec",""),$E$42:$G$69,3,FALSE)),"")</f>
        <v/>
      </c>
      <c r="Y60" s="15">
        <v>1</v>
      </c>
      <c r="Z60" s="61" t="s">
        <v>240</v>
      </c>
      <c r="AA60" s="60" t="str" cm="1">
        <f t="array" ref="AA60">IF(OR(Y60=0,Y60=""),"",IF(VLOOKUP(Z60,$AI$1:$AJ$58,2,FALSE)&gt;=Y60,INDEX(tblDisciplines[Name],MATCH(1,(tblDisciplines[Discipline]=Z60)*(tblDisciplines[Rank]=Y60),0)),""))</f>
        <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1"/>
        <v/>
      </c>
      <c r="D61" s="16" t="s">
        <v>1459</v>
      </c>
      <c r="E61" s="17"/>
      <c r="F61" s="17"/>
      <c r="G61" s="17" t="s">
        <v>1467</v>
      </c>
      <c r="H61" s="16" t="s">
        <v>1446</v>
      </c>
      <c r="I61" s="3" t="s">
        <v>1565</v>
      </c>
      <c r="L61" s="60">
        <f>IF(I61="",0,VLOOKUP(I61,tblPriority[],3,FALSE))-SUM(L62:L69)</f>
        <v>0</v>
      </c>
      <c r="Y61" s="15">
        <v>2</v>
      </c>
      <c r="Z61" s="61" t="s">
        <v>240</v>
      </c>
      <c r="AA61" s="60" t="str" cm="1">
        <f t="array" ref="AA61">IF(OR(Y61=0,Y61=""),"",IF(VLOOKUP(Z61,$AI$1:$AJ$58,2,FALSE)&gt;=Y61,INDEX(tblDisciplines[Name],MATCH(1,(tblDisciplines[Discipline]=Z61)*(tblDisciplines[Rank]=Y61),0)),""))</f>
        <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1"/>
        <v/>
      </c>
      <c r="D62" s="18"/>
      <c r="E62" s="15" t="s">
        <v>41</v>
      </c>
      <c r="F62" s="18"/>
      <c r="G62" s="3"/>
      <c r="H62" s="18"/>
      <c r="I62" s="18"/>
      <c r="L62" s="4">
        <v>2</v>
      </c>
      <c r="M62" s="60"/>
      <c r="N62" s="4"/>
      <c r="O62" s="61">
        <f>ROUNDDOWN(N62/2,0)</f>
        <v>0</v>
      </c>
      <c r="P62" s="60">
        <f t="shared" ref="P62:P69" si="12">MIN(SUM(L62,M62,O62),R62)</f>
        <v>2</v>
      </c>
      <c r="R62" s="61">
        <v>5</v>
      </c>
      <c r="T62" s="4"/>
      <c r="U62" s="4"/>
      <c r="V62" s="61">
        <f t="shared" ref="V62:V69" si="13">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1"/>
        <v/>
      </c>
      <c r="D63" s="19"/>
      <c r="E63" s="15" t="s">
        <v>42</v>
      </c>
      <c r="F63" s="18"/>
      <c r="G63" s="3"/>
      <c r="H63" s="18"/>
      <c r="I63" s="18"/>
      <c r="L63" s="4">
        <v>3</v>
      </c>
      <c r="M63" s="60"/>
      <c r="N63" s="4"/>
      <c r="O63" s="61">
        <f t="shared" ref="O63:O69" si="14">ROUNDDOWN(N63/2,0)</f>
        <v>0</v>
      </c>
      <c r="P63" s="60">
        <f t="shared" si="12"/>
        <v>3</v>
      </c>
      <c r="R63" s="61">
        <v>5</v>
      </c>
      <c r="T63" s="4"/>
      <c r="U63" s="4"/>
      <c r="V63" s="61">
        <f t="shared" si="13"/>
        <v>0</v>
      </c>
      <c r="W63" s="4"/>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1"/>
        <v/>
      </c>
      <c r="D64" s="19"/>
      <c r="E64" s="15" t="s">
        <v>43</v>
      </c>
      <c r="F64" s="18"/>
      <c r="G64" s="3"/>
      <c r="H64" s="18"/>
      <c r="I64" s="18"/>
      <c r="L64" s="4">
        <v>2</v>
      </c>
      <c r="M64" s="60"/>
      <c r="N64" s="4"/>
      <c r="O64" s="61">
        <f t="shared" si="14"/>
        <v>0</v>
      </c>
      <c r="P64" s="60">
        <f t="shared" si="12"/>
        <v>2</v>
      </c>
      <c r="R64" s="61">
        <v>5</v>
      </c>
      <c r="T64" s="4"/>
      <c r="U64" s="4"/>
      <c r="V64" s="61">
        <f t="shared" si="13"/>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1"/>
        <v>prophecy &amp; omens, dreams</v>
      </c>
      <c r="D65" s="19"/>
      <c r="E65" s="15" t="s">
        <v>44</v>
      </c>
      <c r="F65" s="18"/>
      <c r="G65" s="3"/>
      <c r="H65" s="18"/>
      <c r="I65" s="18"/>
      <c r="L65" s="4"/>
      <c r="M65" s="60"/>
      <c r="N65" s="4"/>
      <c r="O65" s="61">
        <f t="shared" si="14"/>
        <v>0</v>
      </c>
      <c r="P65" s="60">
        <f t="shared" si="12"/>
        <v>0</v>
      </c>
      <c r="R65" s="61">
        <v>5</v>
      </c>
      <c r="T65" s="4"/>
      <c r="U65" s="4"/>
      <c r="V65" s="61">
        <f t="shared" si="13"/>
        <v>0</v>
      </c>
      <c r="W65" s="4"/>
      <c r="Y65" s="15">
        <v>1</v>
      </c>
      <c r="Z65" s="61" t="s">
        <v>241</v>
      </c>
      <c r="AA65" s="60" t="str" cm="1">
        <f t="array" ref="AA65">IF(OR(Y65=0,Y65=""),"",IF(VLOOKUP(Z65,$AI$1:$AJ$58,2,FALSE)&gt;=Y65,INDEX(tblDisciplines[Name],MATCH(1,(tblDisciplines[Discipline]=Z65)*(tblDisciplines[Rank]=Y65),0)),""))</f>
        <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1"/>
        <v/>
      </c>
      <c r="D66" s="19"/>
      <c r="E66" s="15" t="s">
        <v>45</v>
      </c>
      <c r="F66" s="18"/>
      <c r="G66" s="3"/>
      <c r="H66" s="18"/>
      <c r="I66" s="18"/>
      <c r="L66" s="4">
        <v>2</v>
      </c>
      <c r="M66" s="60"/>
      <c r="N66" s="4"/>
      <c r="O66" s="61">
        <f t="shared" si="14"/>
        <v>0</v>
      </c>
      <c r="P66" s="60">
        <f t="shared" si="12"/>
        <v>2</v>
      </c>
      <c r="R66" s="61">
        <v>5</v>
      </c>
      <c r="T66" s="4"/>
      <c r="U66" s="4"/>
      <c r="V66" s="61">
        <f t="shared" si="13"/>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1"/>
        <v/>
      </c>
      <c r="D67" s="19"/>
      <c r="E67" s="15" t="s">
        <v>46</v>
      </c>
      <c r="F67" s="18"/>
      <c r="G67" s="3"/>
      <c r="H67" s="18"/>
      <c r="I67" s="18"/>
      <c r="L67" s="4">
        <v>1</v>
      </c>
      <c r="M67" s="60"/>
      <c r="N67" s="4"/>
      <c r="O67" s="61">
        <f t="shared" si="14"/>
        <v>0</v>
      </c>
      <c r="P67" s="60">
        <f t="shared" si="12"/>
        <v>1</v>
      </c>
      <c r="R67" s="61">
        <v>5</v>
      </c>
      <c r="T67" s="4"/>
      <c r="U67" s="4"/>
      <c r="V67" s="61">
        <f t="shared" si="13"/>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1"/>
        <v/>
      </c>
      <c r="D68" s="18"/>
      <c r="E68" s="15" t="s">
        <v>47</v>
      </c>
      <c r="F68" s="18"/>
      <c r="G68" s="3"/>
      <c r="H68" s="18"/>
      <c r="I68" s="18"/>
      <c r="L68" s="4">
        <v>1</v>
      </c>
      <c r="M68" s="60"/>
      <c r="N68" s="4"/>
      <c r="O68" s="61">
        <f t="shared" si="14"/>
        <v>0</v>
      </c>
      <c r="P68" s="60">
        <f t="shared" si="12"/>
        <v>1</v>
      </c>
      <c r="R68" s="61">
        <v>5</v>
      </c>
      <c r="T68" s="4"/>
      <c r="U68" s="4"/>
      <c r="V68" s="61">
        <f t="shared" si="13"/>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1"/>
        <v/>
      </c>
      <c r="D69" s="18"/>
      <c r="E69" s="15" t="s">
        <v>48</v>
      </c>
      <c r="F69" s="18"/>
      <c r="G69" s="3"/>
      <c r="H69" s="18"/>
      <c r="I69" s="18"/>
      <c r="L69" s="4"/>
      <c r="M69" s="60"/>
      <c r="N69" s="4"/>
      <c r="O69" s="61">
        <f t="shared" si="14"/>
        <v>0</v>
      </c>
      <c r="P69" s="60">
        <f t="shared" si="12"/>
        <v>0</v>
      </c>
      <c r="R69" s="61">
        <v>5</v>
      </c>
      <c r="T69" s="4"/>
      <c r="U69" s="4"/>
      <c r="V69" s="61">
        <f t="shared" si="13"/>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1"/>
        <v/>
      </c>
      <c r="Y70" s="15">
        <v>1</v>
      </c>
      <c r="Z70" s="61" t="s">
        <v>242</v>
      </c>
      <c r="AA70" s="60" t="str" cm="1">
        <f t="array" ref="AA70">IF(OR(Y70=0,Y70=""),"",IF(VLOOKUP(Z70,$AI$1:$AJ$58,2,FALSE)&gt;=Y70,INDEX(tblDisciplines[Name],MATCH(1,(tblDisciplines[Discipline]=Z70)*(tblDisciplines[Rank]=Y70),0)),""))</f>
        <v>Face in the Crowd</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1"/>
        <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1"/>
        <v/>
      </c>
      <c r="D72" s="19"/>
      <c r="E72" s="15" t="s">
        <v>49</v>
      </c>
      <c r="F72" s="19"/>
      <c r="G72" s="19"/>
      <c r="H72" s="19"/>
      <c r="I72" s="19"/>
      <c r="K72" s="4"/>
      <c r="L72" s="4"/>
      <c r="M72" s="60">
        <v>1</v>
      </c>
      <c r="N72" s="4"/>
      <c r="O72" s="61">
        <f>ROUNDDOWN(N72/5,0)</f>
        <v>0</v>
      </c>
      <c r="P72" s="60">
        <f>MIN(SUM(K72*-1,ROUNDDOWN(L72/5,0),M72,O72),R72)</f>
        <v>1</v>
      </c>
      <c r="R72" s="61">
        <v>2</v>
      </c>
      <c r="Y72" s="15">
        <v>3</v>
      </c>
      <c r="Z72" s="61" t="s">
        <v>242</v>
      </c>
      <c r="AA72" s="60" t="str" cm="1">
        <f t="array" ref="AA72">IF(OR(Y72=0,Y72=""),"",IF(VLOOKUP(Z72,$AI$1:$AJ$58,2,FALSE)&gt;=Y72,INDEX(tblDisciplines[Name],MATCH(1,(tblDisciplines[Discipline]=Z72)*(tblDisciplines[Rank]=Y72),0)),""))</f>
        <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1"/>
        <v/>
      </c>
      <c r="D73" s="19"/>
      <c r="E73" s="15" t="s">
        <v>1448</v>
      </c>
      <c r="F73" s="19"/>
      <c r="G73" s="19"/>
      <c r="H73" s="19"/>
      <c r="I73" s="19"/>
      <c r="K73" s="4">
        <v>1</v>
      </c>
      <c r="M73" s="60">
        <v>7</v>
      </c>
      <c r="N73" s="4"/>
      <c r="O73" s="61">
        <f>ROUNDDOWN(N73/2,0)</f>
        <v>0</v>
      </c>
      <c r="P73" s="60">
        <f>MIN(SUM(K73*-1,M73,O73),R73)</f>
        <v>6</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1"/>
        <v>Living off the land</v>
      </c>
      <c r="D74" s="19"/>
      <c r="E74" s="15" t="s">
        <v>53</v>
      </c>
      <c r="F74" s="19"/>
      <c r="G74" s="19"/>
      <c r="H74" s="19"/>
      <c r="I74" s="19"/>
      <c r="K74" s="4"/>
      <c r="M74" s="60">
        <f>P28+P38</f>
        <v>6</v>
      </c>
      <c r="N74" s="4"/>
      <c r="O74" s="61">
        <f>N74</f>
        <v>0</v>
      </c>
      <c r="P74" s="60">
        <f>MIN(SUM(K74*-1,M74,O74),R74)</f>
        <v>6</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1"/>
        <v/>
      </c>
      <c r="D75" s="19"/>
      <c r="E75" s="15" t="s">
        <v>55</v>
      </c>
      <c r="F75" s="19"/>
      <c r="G75" s="19"/>
      <c r="H75" s="19"/>
      <c r="I75" s="19"/>
      <c r="P75" s="60">
        <f ca="1">VLOOKUP(VLOOKUP("Blood Potency",INDIRECT($AH$1),2,FALSE),tblBloodPotency[],2,FALSE)</f>
        <v>10</v>
      </c>
      <c r="Y75" s="15">
        <v>1</v>
      </c>
      <c r="Z75" s="61" t="s">
        <v>243</v>
      </c>
      <c r="AA75" s="60" t="str" cm="1">
        <f t="array" ref="AA75">IF(OR(Y75=0,Y75=""),"",IF(VLOOKUP(Z75,$AI$1:$AJ$58,2,FALSE)&gt;=Y75,INDEX(tblDisciplines[Name],MATCH(1,(tblDisciplines[Discipline]=Z75)*(tblDisciplines[Rank]=Y75),0)),""))</f>
        <v>Unmarked Grave</v>
      </c>
    </row>
    <row r="76" spans="1:32">
      <c r="A76" s="1" t="s">
        <v>75</v>
      </c>
      <c r="B76" t="str">
        <f t="shared" si="11"/>
        <v/>
      </c>
      <c r="Y76" s="15">
        <v>2</v>
      </c>
      <c r="Z76" s="61" t="s">
        <v>243</v>
      </c>
      <c r="AA76" s="60" t="str" cm="1">
        <f t="array" ref="AA76">IF(OR(Y76=0,Y76=""),"",IF(VLOOKUP(Z76,$AI$1:$AJ$58,2,FALSE)&gt;=Y76,INDEX(tblDisciplines[Name],MATCH(1,(tblDisciplines[Discipline]=Z76)*(tblDisciplines[Rank]=Y76),0)),""))</f>
        <v/>
      </c>
    </row>
    <row r="77" spans="1:32" ht="15.75" thickBot="1">
      <c r="A77" s="1" t="s">
        <v>76</v>
      </c>
      <c r="B77" t="str">
        <f t="shared" si="11"/>
        <v/>
      </c>
      <c r="D77" s="14" t="s">
        <v>1470</v>
      </c>
      <c r="E77" s="14"/>
      <c r="F77" s="14"/>
      <c r="G77" s="14"/>
      <c r="H77" s="14"/>
      <c r="I77" s="14"/>
      <c r="N77" s="60">
        <f>SUM(N79:N98,N101:N120,N206:N215,N132:N135,N138:N157,N160:N161)</f>
        <v>2</v>
      </c>
      <c r="Y77" s="15">
        <v>3</v>
      </c>
      <c r="Z77" s="61" t="s">
        <v>243</v>
      </c>
      <c r="AA77" s="60" t="str" cm="1">
        <f t="array" ref="AA77">IF(OR(Y77=0,Y77=""),"",IF(VLOOKUP(Z77,$AI$1:$AJ$58,2,FALSE)&gt;=Y77,INDEX(tblDisciplines[Name],MATCH(1,(tblDisciplines[Discipline]=Z77)*(tblDisciplines[Rank]=Y77),0)),""))</f>
        <v/>
      </c>
    </row>
    <row r="78" spans="1:32">
      <c r="A78" s="1" t="s">
        <v>77</v>
      </c>
      <c r="B78" t="str">
        <f t="shared" si="11"/>
        <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1"/>
        <v/>
      </c>
      <c r="D79" s="19"/>
      <c r="E79" s="15" t="s">
        <v>114</v>
      </c>
      <c r="F79" s="3" t="s">
        <v>1582</v>
      </c>
      <c r="G79" s="3"/>
      <c r="H79" s="67" t="str">
        <f>_xlfn.IFNA(IF(VLOOKUP(F79,tblMerits[],6,FALSE)=0,"None",VLOOKUP(F79,tblMerits[],6,FALSE)),"None")</f>
        <v>Circle Status 1, Crúac 2</v>
      </c>
      <c r="I79" s="67"/>
      <c r="L79" s="4">
        <v>1</v>
      </c>
      <c r="M79" s="4"/>
      <c r="N79" s="4"/>
      <c r="O79" s="61">
        <f>N79</f>
        <v>0</v>
      </c>
      <c r="P79" s="60">
        <f t="shared" ref="P79:P98" si="15">MIN(SUM(L79,M79,O79),R79)</f>
        <v>1</v>
      </c>
      <c r="Q79" s="61">
        <f>_xlfn.IFNA(VLOOKUP($F79,tblMerits[],3,FALSE),"")</f>
        <v>1</v>
      </c>
      <c r="R79" s="61">
        <f>_xlfn.IFNA(VLOOKUP($F79,tblMerits[],4,FALSE),"")</f>
        <v>1</v>
      </c>
      <c r="Y79" s="15">
        <v>5</v>
      </c>
      <c r="Z79" s="61" t="s">
        <v>243</v>
      </c>
      <c r="AA79" s="60" t="str" cm="1">
        <f t="array" ref="AA79">IF(OR(Y79=0,Y79=""),"",IF(VLOOKUP(Z79,$AI$1:$AJ$58,2,FALSE)&gt;=Y79,INDEX(tblDisciplines[Name],MATCH(1,(tblDisciplines[Discipline]=Z79)*(tblDisciplines[Rank]=Y79),0)),""))</f>
        <v/>
      </c>
    </row>
    <row r="80" spans="1:32">
      <c r="A80" s="1" t="s">
        <v>79</v>
      </c>
      <c r="B80" t="str">
        <f t="shared" si="11"/>
        <v/>
      </c>
      <c r="D80" s="19"/>
      <c r="E80" s="15" t="s">
        <v>115</v>
      </c>
      <c r="F80" s="3" t="s">
        <v>1583</v>
      </c>
      <c r="G80" s="3"/>
      <c r="H80" s="67" t="str">
        <f>_xlfn.IFNA(IF(VLOOKUP(F80,tblMerits[],6,FALSE)=0,"None",VLOOKUP(F80,tblMerits[],6,FALSE)),"None")</f>
        <v>Mekhet</v>
      </c>
      <c r="I80" s="67"/>
      <c r="L80" s="4">
        <v>1</v>
      </c>
      <c r="M80" s="4"/>
      <c r="N80" s="4"/>
      <c r="O80" s="61">
        <f t="shared" ref="O80:O98" si="16">N80</f>
        <v>0</v>
      </c>
      <c r="P80" s="60">
        <f t="shared" si="15"/>
        <v>1</v>
      </c>
      <c r="Q80" s="61">
        <f>_xlfn.IFNA(VLOOKUP($F80,tblMerits[],3,FALSE),"")</f>
        <v>1</v>
      </c>
      <c r="R80" s="61">
        <f>_xlfn.IFNA(VLOOKUP($F80,tblMerits[],4,FALSE),"")</f>
        <v>1</v>
      </c>
      <c r="Y80" s="15">
        <f>P173</f>
        <v>0</v>
      </c>
      <c r="Z80" s="61" t="s">
        <v>244</v>
      </c>
      <c r="AA80" s="60" t="str" cm="1">
        <f t="array" ref="AA80">IF(OR(Y80=0,Y80=""),"",IF(VLOOKUP(Z80,$AI$1:$AJ$58,2,FALSE)&gt;=Y80,INDEX(tblDisciplines[Name],MATCH(1,(tblDisciplines[Discipline]=Z80)*(tblDisciplines[Rank]=Y80),0)),""))</f>
        <v/>
      </c>
    </row>
    <row r="81" spans="1:27">
      <c r="A81" s="1" t="s">
        <v>80</v>
      </c>
      <c r="B81" t="str">
        <f t="shared" si="11"/>
        <v/>
      </c>
      <c r="D81" s="19"/>
      <c r="E81" s="15" t="s">
        <v>116</v>
      </c>
      <c r="F81" s="3" t="s">
        <v>1584</v>
      </c>
      <c r="G81" s="3"/>
      <c r="H81" s="67" t="str">
        <f>_xlfn.IFNA(IF(VLOOKUP(F81,tblMerits[],6,FALSE)=0,"None",VLOOKUP(F81,tblMerits[],6,FALSE)),"None")</f>
        <v>Resolve 3</v>
      </c>
      <c r="I81" s="67"/>
      <c r="L81" s="4">
        <v>1</v>
      </c>
      <c r="M81" s="4"/>
      <c r="N81" s="4"/>
      <c r="O81" s="61">
        <f t="shared" si="16"/>
        <v>0</v>
      </c>
      <c r="P81" s="60">
        <f t="shared" si="15"/>
        <v>1</v>
      </c>
      <c r="Q81" s="61">
        <f>_xlfn.IFNA(VLOOKUP($F81,tblMerits[],3,FALSE),"")</f>
        <v>1</v>
      </c>
      <c r="R81" s="61">
        <f>_xlfn.IFNA(VLOOKUP($F81,tblMerits[],4,FALSE),"")</f>
        <v>1</v>
      </c>
      <c r="Y81" s="15">
        <f>P174</f>
        <v>0</v>
      </c>
      <c r="Z81" s="61" t="s">
        <v>245</v>
      </c>
      <c r="AA81" s="60" t="str" cm="1">
        <f t="array" ref="AA81">IF(OR(Y81=0,Y81=""),"",IF(VLOOKUP(Z81,$AI$1:$AJ$58,2,FALSE)&gt;=Y81,INDEX(tblDisciplines[Name],MATCH(1,(tblDisciplines[Discipline]=Z81)*(tblDisciplines[Rank]=Y81),0)),""))</f>
        <v/>
      </c>
    </row>
    <row r="82" spans="1:27">
      <c r="A82" s="1" t="s">
        <v>81</v>
      </c>
      <c r="B82" t="str">
        <f t="shared" si="11"/>
        <v/>
      </c>
      <c r="D82" s="19"/>
      <c r="E82" s="15" t="s">
        <v>117</v>
      </c>
      <c r="F82" s="3" t="s">
        <v>1585</v>
      </c>
      <c r="G82" s="3"/>
      <c r="H82" s="67" t="str">
        <f>_xlfn.IFNA(IF(VLOOKUP(F82,tblMerits[],6,FALSE)=0,"None",VLOOKUP(F82,tblMerits[],6,FALSE)),"None")</f>
        <v>None</v>
      </c>
      <c r="I82" s="67"/>
      <c r="L82" s="4"/>
      <c r="M82" s="4"/>
      <c r="N82" s="4">
        <v>1</v>
      </c>
      <c r="O82" s="61">
        <f t="shared" si="16"/>
        <v>1</v>
      </c>
      <c r="P82" s="60">
        <f t="shared" si="15"/>
        <v>1</v>
      </c>
      <c r="Q82" s="61">
        <f>_xlfn.IFNA(VLOOKUP($F82,tblMerits[],3,FALSE),"")</f>
        <v>1</v>
      </c>
      <c r="R82" s="61">
        <f>_xlfn.IFNA(VLOOKUP($F82,tblMerits[],4,FALSE),"")</f>
        <v>1</v>
      </c>
      <c r="Y82" s="61" t="s">
        <v>1472</v>
      </c>
      <c r="Z82" s="19"/>
      <c r="AA82" s="60" t="str">
        <f>IF(P177="","",F177)</f>
        <v/>
      </c>
    </row>
    <row r="83" spans="1:27">
      <c r="A83" s="1" t="s">
        <v>82</v>
      </c>
      <c r="B83" t="str">
        <f t="shared" si="11"/>
        <v/>
      </c>
      <c r="D83" s="19"/>
      <c r="E83" s="15" t="s">
        <v>118</v>
      </c>
      <c r="F83" s="3" t="s">
        <v>1585</v>
      </c>
      <c r="G83" s="3"/>
      <c r="H83" s="67" t="str">
        <f>_xlfn.IFNA(IF(VLOOKUP(F83,tblMerits[],6,FALSE)=0,"None",VLOOKUP(F83,tblMerits[],6,FALSE)),"None")</f>
        <v>None</v>
      </c>
      <c r="I83" s="67"/>
      <c r="L83" s="4"/>
      <c r="M83" s="4"/>
      <c r="N83" s="4">
        <v>1</v>
      </c>
      <c r="O83" s="61">
        <f t="shared" si="16"/>
        <v>1</v>
      </c>
      <c r="P83" s="60">
        <f t="shared" si="15"/>
        <v>1</v>
      </c>
      <c r="Q83" s="61">
        <f>_xlfn.IFNA(VLOOKUP($F83,tblMerits[],3,FALSE),"")</f>
        <v>1</v>
      </c>
      <c r="R83" s="61">
        <f>_xlfn.IFNA(VLOOKUP($F83,tblMerits[],4,FALSE),"")</f>
        <v>1</v>
      </c>
      <c r="Y83" s="61" t="s">
        <v>1472</v>
      </c>
      <c r="Z83" s="19"/>
      <c r="AA83" s="60" t="str">
        <f>IF(P178="","",F178)</f>
        <v/>
      </c>
    </row>
    <row r="84" spans="1:27">
      <c r="A84" s="1" t="s">
        <v>83</v>
      </c>
      <c r="B84">
        <f>P124</f>
        <v>2</v>
      </c>
      <c r="D84" s="19"/>
      <c r="E84" s="15" t="s">
        <v>119</v>
      </c>
      <c r="F84" s="3"/>
      <c r="G84" s="3"/>
      <c r="H84" s="67" t="str">
        <f>_xlfn.IFNA(IF(VLOOKUP(F84,tblMerits[],6,FALSE)=0,"None",VLOOKUP(F84,tblMerits[],6,FALSE)),"None")</f>
        <v>None</v>
      </c>
      <c r="I84" s="67"/>
      <c r="L84" s="4"/>
      <c r="M84" s="4"/>
      <c r="N84" s="4"/>
      <c r="O84" s="61">
        <f t="shared" si="16"/>
        <v>0</v>
      </c>
      <c r="P84" s="60">
        <f t="shared" si="15"/>
        <v>0</v>
      </c>
      <c r="Q84" s="61" t="str">
        <f>_xlfn.IFNA(VLOOKUP($F84,tblMerits[],3,FALSE),"")</f>
        <v/>
      </c>
      <c r="R84" s="61" t="str">
        <f>_xlfn.IFNA(VLOOKUP($F84,tblMerits[],4,FALSE),"")</f>
        <v/>
      </c>
      <c r="Y84" s="61" t="s">
        <v>1472</v>
      </c>
      <c r="Z84" s="19"/>
      <c r="AA84" s="60" t="str">
        <f>IF(P179="","",F179)</f>
        <v/>
      </c>
    </row>
    <row r="85" spans="1:27">
      <c r="A85" s="1" t="s">
        <v>84</v>
      </c>
      <c r="B85">
        <f>P125</f>
        <v>2</v>
      </c>
      <c r="D85" s="19"/>
      <c r="E85" s="15" t="s">
        <v>120</v>
      </c>
      <c r="F85" s="3"/>
      <c r="G85" s="3"/>
      <c r="H85" s="67" t="str">
        <f>_xlfn.IFNA(IF(VLOOKUP(F85,tblMerits[],6,FALSE)=0,"None",VLOOKUP(F85,tblMerits[],6,FALSE)),"None")</f>
        <v>None</v>
      </c>
      <c r="I85" s="67"/>
      <c r="L85" s="4"/>
      <c r="M85" s="4"/>
      <c r="N85" s="4"/>
      <c r="O85" s="61">
        <f t="shared" si="16"/>
        <v>0</v>
      </c>
      <c r="P85" s="60">
        <f t="shared" si="15"/>
        <v>0</v>
      </c>
      <c r="Q85" s="61" t="str">
        <f>_xlfn.IFNA(VLOOKUP($F85,tblMerits[],3,FALSE),"")</f>
        <v/>
      </c>
      <c r="R85" s="61" t="str">
        <f>_xlfn.IFNA(VLOOKUP($F85,tblMerits[],4,FALSE),"")</f>
        <v/>
      </c>
      <c r="Y85" s="61" t="s">
        <v>1472</v>
      </c>
      <c r="Z85" s="19"/>
      <c r="AA85" s="60" t="str">
        <f>IF(P180="","",F180)</f>
        <v/>
      </c>
    </row>
    <row r="86" spans="1:27">
      <c r="A86" s="1" t="s">
        <v>85</v>
      </c>
      <c r="B86">
        <f>P126</f>
        <v>4</v>
      </c>
      <c r="D86" s="19"/>
      <c r="E86" s="15" t="s">
        <v>121</v>
      </c>
      <c r="F86" s="3"/>
      <c r="G86" s="3"/>
      <c r="H86" s="67" t="str">
        <f>_xlfn.IFNA(IF(VLOOKUP(F86,tblMerits[],6,FALSE)=0,"None",VLOOKUP(F86,tblMerits[],6,FALSE)),"None")</f>
        <v>None</v>
      </c>
      <c r="I86" s="67"/>
      <c r="L86" s="4"/>
      <c r="M86" s="4"/>
      <c r="N86" s="4"/>
      <c r="O86" s="61">
        <f t="shared" si="16"/>
        <v>0</v>
      </c>
      <c r="P86" s="60">
        <f t="shared" si="15"/>
        <v>0</v>
      </c>
      <c r="Q86" s="61" t="str">
        <f>_xlfn.IFNA(VLOOKUP($F86,tblMerits[],3,FALSE),"")</f>
        <v/>
      </c>
      <c r="R86" s="61" t="str">
        <f>_xlfn.IFNA(VLOOKUP($F86,tblMerits[],4,FALSE),"")</f>
        <v/>
      </c>
      <c r="Y86" s="61" t="s">
        <v>1472</v>
      </c>
      <c r="Z86" s="19"/>
      <c r="AA86" s="60" t="str">
        <f>IF(P181="","",F181)</f>
        <v/>
      </c>
    </row>
    <row r="87" spans="1:27">
      <c r="A87" s="1" t="s">
        <v>86</v>
      </c>
      <c r="B87" t="str">
        <f>IF(F126="","¬",F126)</f>
        <v>Crone</v>
      </c>
      <c r="D87" s="19"/>
      <c r="E87" s="15" t="s">
        <v>122</v>
      </c>
      <c r="F87" s="3"/>
      <c r="G87" s="3"/>
      <c r="H87" s="67" t="str">
        <f>_xlfn.IFNA(IF(VLOOKUP(F87,tblMerits[],6,FALSE)=0,"None",VLOOKUP(F87,tblMerits[],6,FALSE)),"None")</f>
        <v>None</v>
      </c>
      <c r="I87" s="67"/>
      <c r="L87" s="4"/>
      <c r="M87" s="4"/>
      <c r="N87" s="4"/>
      <c r="O87" s="61">
        <f t="shared" si="16"/>
        <v>0</v>
      </c>
      <c r="P87" s="60">
        <f t="shared" si="15"/>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Creation 1</v>
      </c>
    </row>
    <row r="88" spans="1:27">
      <c r="A88" s="1" t="s">
        <v>87</v>
      </c>
      <c r="B88" t="str">
        <f>REPT("●",P126)</f>
        <v>●●●●</v>
      </c>
      <c r="D88" s="19"/>
      <c r="E88" s="15" t="s">
        <v>123</v>
      </c>
      <c r="F88" s="3"/>
      <c r="G88" s="3"/>
      <c r="H88" s="67" t="str">
        <f>_xlfn.IFNA(IF(VLOOKUP(F88,tblMerits[],6,FALSE)=0,"None",VLOOKUP(F88,tblMerits[],6,FALSE)),"None")</f>
        <v>None</v>
      </c>
      <c r="I88" s="67"/>
      <c r="L88" s="4"/>
      <c r="M88" s="4"/>
      <c r="N88" s="4"/>
      <c r="O88" s="61">
        <f t="shared" si="16"/>
        <v>0</v>
      </c>
      <c r="P88" s="60">
        <f t="shared" si="15"/>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Carthian</v>
      </c>
      <c r="D89" s="19"/>
      <c r="E89" s="15" t="s">
        <v>124</v>
      </c>
      <c r="F89" s="3"/>
      <c r="G89" s="3"/>
      <c r="H89" s="67" t="str">
        <f>_xlfn.IFNA(IF(VLOOKUP(F89,tblMerits[],6,FALSE)=0,"None",VLOOKUP(F89,tblMerits[],6,FALSE)),"None")</f>
        <v>None</v>
      </c>
      <c r="I89" s="67"/>
      <c r="L89" s="4"/>
      <c r="M89" s="4"/>
      <c r="N89" s="4"/>
      <c r="O89" s="61">
        <f t="shared" si="16"/>
        <v>0</v>
      </c>
      <c r="P89" s="60">
        <f t="shared" si="15"/>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_xlfn.IFNA(IF(VLOOKUP(F90,tblMerits[],6,FALSE)=0,"None",VLOOKUP(F90,tblMerits[],6,FALSE)),"None")</f>
        <v>None</v>
      </c>
      <c r="I90" s="67"/>
      <c r="L90" s="4"/>
      <c r="M90" s="4"/>
      <c r="N90" s="4"/>
      <c r="O90" s="61">
        <f t="shared" si="16"/>
        <v>0</v>
      </c>
      <c r="P90" s="60">
        <f t="shared" si="15"/>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Invictus</v>
      </c>
      <c r="D91" s="19"/>
      <c r="E91" s="15" t="s">
        <v>126</v>
      </c>
      <c r="F91" s="3"/>
      <c r="G91" s="3"/>
      <c r="H91" s="67" t="str">
        <f>_xlfn.IFNA(IF(VLOOKUP(F91,tblMerits[],6,FALSE)=0,"None",VLOOKUP(F91,tblMerits[],6,FALSE)),"None")</f>
        <v>None</v>
      </c>
      <c r="I91" s="67"/>
      <c r="L91" s="4"/>
      <c r="M91" s="4"/>
      <c r="N91" s="4"/>
      <c r="O91" s="61">
        <f t="shared" si="16"/>
        <v>0</v>
      </c>
      <c r="P91" s="60">
        <f t="shared" si="15"/>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6"/>
        <v>0</v>
      </c>
      <c r="P92" s="60">
        <f t="shared" si="15"/>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Lance</v>
      </c>
      <c r="D93" s="19"/>
      <c r="E93" s="15" t="s">
        <v>128</v>
      </c>
      <c r="F93" s="3"/>
      <c r="G93" s="3"/>
      <c r="H93" s="67" t="str">
        <f>_xlfn.IFNA(IF(VLOOKUP(F93,tblMerits[],6,FALSE)=0,"None",VLOOKUP(F93,tblMerits[],6,FALSE)),"None")</f>
        <v>None</v>
      </c>
      <c r="I93" s="67"/>
      <c r="L93" s="4"/>
      <c r="M93" s="4"/>
      <c r="N93" s="4"/>
      <c r="O93" s="61">
        <f t="shared" si="16"/>
        <v>0</v>
      </c>
      <c r="P93" s="60">
        <f t="shared" si="15"/>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6"/>
        <v>0</v>
      </c>
      <c r="P94" s="60">
        <f t="shared" si="15"/>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6"/>
        <v>0</v>
      </c>
      <c r="P95" s="60">
        <f t="shared" si="15"/>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6"/>
        <v>0</v>
      </c>
      <c r="P96" s="60">
        <f t="shared" si="15"/>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6"/>
        <v>0</v>
      </c>
      <c r="P97" s="60">
        <f t="shared" si="15"/>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Divination 1</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6"/>
        <v>0</v>
      </c>
      <c r="P98" s="60">
        <f t="shared" si="15"/>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Divination 2</v>
      </c>
    </row>
    <row r="99" spans="1:27">
      <c r="A99" s="1" t="s">
        <v>98</v>
      </c>
      <c r="B99" t="str">
        <f>IF(OR(P160=0,P160=""),"-",REPT("●",P160))</f>
        <v>-</v>
      </c>
      <c r="Y99" s="15">
        <v>3</v>
      </c>
      <c r="Z99" s="61" t="s">
        <v>250</v>
      </c>
      <c r="AA99" s="60" t="str" cm="1">
        <f t="array" ref="AA99">IF(VLOOKUP(Z99,$AI$1:$AJ$58,2,FALSE)&gt;=Y99,INDEX(tblDisciplines[Name],MATCH(1,(tblDisciplines[Discipline]=Z99)*(tblDisciplines[Rank]=Y99),0)),"")</f>
        <v>Divination 3</v>
      </c>
    </row>
    <row r="100" spans="1:27">
      <c r="A100" s="1" t="s">
        <v>99</v>
      </c>
      <c r="B100" t="str">
        <f>IF($F$160="","",$F$160)</f>
        <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c r="G101" s="60" t="str">
        <f>IFERROR(VLOOKUP(F101,tblManoeuvre[],2,FALSE)&amp;" "&amp;VLOOKUP(F101,tblManoeuvre[],3,FALSE),"")</f>
        <v/>
      </c>
      <c r="H101" s="67" t="str">
        <f>IFERROR(IF(VLOOKUP(F101,tblManoeuvre[],8,FALSE)=0,"None",VLOOKUP(F101,tblManoeuvre[],8,FALSE)),"None")</f>
        <v>None</v>
      </c>
      <c r="I101" s="67"/>
      <c r="L101" s="4"/>
      <c r="M101" s="4"/>
      <c r="N101" s="4"/>
      <c r="O101" s="61">
        <f t="shared" ref="O101:O120" si="17">N101</f>
        <v>0</v>
      </c>
      <c r="P101" s="60">
        <f t="shared" ref="P101:P120" si="18">MIN(SUM(L101,M101,O101),R101)</f>
        <v>0</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
      </c>
      <c r="D102" s="19"/>
      <c r="E102" s="15" t="s">
        <v>1441</v>
      </c>
      <c r="F102" s="3"/>
      <c r="G102" s="60" t="str">
        <f>IFERROR(VLOOKUP(F102,tblManoeuvre[],2,FALSE)&amp;" "&amp;VLOOKUP(F102,tblManoeuvre[],3,FALSE),"")</f>
        <v/>
      </c>
      <c r="H102" s="67" t="str">
        <f>IFERROR(IF(VLOOKUP(F102,tblManoeuvre[],8,FALSE)=0,"None",VLOOKUP(F102,tblManoeuvre[],8,FALSE)),"None")</f>
        <v>None</v>
      </c>
      <c r="I102" s="67"/>
      <c r="L102" s="4"/>
      <c r="M102" s="4"/>
      <c r="N102" s="4"/>
      <c r="O102" s="61">
        <f t="shared" si="17"/>
        <v>0</v>
      </c>
      <c r="P102" s="60">
        <f t="shared" si="18"/>
        <v>0</v>
      </c>
      <c r="Q102" s="61">
        <v>1</v>
      </c>
      <c r="R102" s="61">
        <v>1</v>
      </c>
      <c r="Y102" s="15">
        <v>1</v>
      </c>
      <c r="Z102" s="61" t="s">
        <v>251</v>
      </c>
      <c r="AA102" s="60" t="str" cm="1">
        <f t="array" ref="AA102">IF(VLOOKUP(Z102,$AI$1:$AJ$58,2,FALSE)&gt;=Y102,INDEX(tblDisciplines[Name],MATCH(1,(tblDisciplines[Discipline]=Z102)*(tblDisciplines[Rank]=Y102),0)),"")</f>
        <v>Protection 1</v>
      </c>
    </row>
    <row r="103" spans="1:27">
      <c r="A103" s="1" t="s">
        <v>102</v>
      </c>
      <c r="B103">
        <f>P73</f>
        <v>6</v>
      </c>
      <c r="D103" s="19"/>
      <c r="E103" s="15" t="s">
        <v>1443</v>
      </c>
      <c r="F103" s="3"/>
      <c r="G103" s="60" t="str">
        <f>IFERROR(VLOOKUP(F103,tblManoeuvre[],2,FALSE)&amp;" "&amp;VLOOKUP(F103,tblManoeuvre[],3,FALSE),"")</f>
        <v/>
      </c>
      <c r="H103" s="67" t="str">
        <f>IFERROR(IF(VLOOKUP(F103,tblManoeuvre[],8,FALSE)=0,"None",VLOOKUP(F103,tblManoeuvre[],8,FALSE)),"None")</f>
        <v>None</v>
      </c>
      <c r="I103" s="67"/>
      <c r="L103" s="4"/>
      <c r="M103" s="4"/>
      <c r="N103" s="4"/>
      <c r="O103" s="61">
        <f t="shared" si="17"/>
        <v>0</v>
      </c>
      <c r="P103" s="60">
        <f t="shared" si="18"/>
        <v>0</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c r="G104" s="60" t="str">
        <f>IFERROR(VLOOKUP(F104,tblManoeuvre[],2,FALSE)&amp;" "&amp;VLOOKUP(F104,tblManoeuvre[],3,FALSE),"")</f>
        <v/>
      </c>
      <c r="H104" s="67" t="str">
        <f>IFERROR(IF(VLOOKUP(F104,tblManoeuvre[],8,FALSE)=0,"None",VLOOKUP(F104,tblManoeuvre[],8,FALSE)),"None")</f>
        <v>None</v>
      </c>
      <c r="I104" s="67"/>
      <c r="L104" s="4"/>
      <c r="M104" s="4"/>
      <c r="N104" s="4"/>
      <c r="O104" s="61">
        <f t="shared" si="17"/>
        <v>0</v>
      </c>
      <c r="P104" s="60">
        <f t="shared" si="18"/>
        <v>0</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c r="G105" s="60" t="str">
        <f>IFERROR(VLOOKUP(F105,tblManoeuvre[],2,FALSE)&amp;" "&amp;VLOOKUP(F105,tblManoeuvre[],3,FALSE),"")</f>
        <v/>
      </c>
      <c r="H105" s="67" t="str">
        <f>IFERROR(IF(VLOOKUP(F105,tblManoeuvre[],8,FALSE)=0,"None",VLOOKUP(F105,tblManoeuvre[],8,FALSE)),"None")</f>
        <v>None</v>
      </c>
      <c r="I105" s="67"/>
      <c r="L105" s="4"/>
      <c r="M105" s="4"/>
      <c r="N105" s="4"/>
      <c r="O105" s="61">
        <f t="shared" si="17"/>
        <v>0</v>
      </c>
      <c r="P105" s="60">
        <f t="shared" si="18"/>
        <v>0</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IFERROR(VLOOKUP(F106,tblManoeuvre[],2,FALSE)&amp;" "&amp;VLOOKUP(F106,tblManoeuvre[],3,FALSE),"")</f>
        <v/>
      </c>
      <c r="H106" s="67" t="str">
        <f>IFERROR(IF(VLOOKUP(F106,tblManoeuvre[],8,FALSE)=0,"None",VLOOKUP(F106,tblManoeuvre[],8,FALSE)),"None")</f>
        <v>None</v>
      </c>
      <c r="I106" s="67"/>
      <c r="L106" s="4"/>
      <c r="M106" s="4"/>
      <c r="N106" s="4"/>
      <c r="O106" s="61">
        <f t="shared" si="17"/>
        <v>0</v>
      </c>
      <c r="P106" s="60">
        <f t="shared" si="18"/>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IFERROR(VLOOKUP(F107,tblManoeuvre[],2,FALSE)&amp;" "&amp;VLOOKUP(F107,tblManoeuvre[],3,FALSE),"")</f>
        <v/>
      </c>
      <c r="H107" s="67" t="str">
        <f>IFERROR(IF(VLOOKUP(F107,tblManoeuvre[],8,FALSE)=0,"None",VLOOKUP(F107,tblManoeuvre[],8,FALSE)),"None")</f>
        <v>None</v>
      </c>
      <c r="I107" s="67"/>
      <c r="L107" s="4"/>
      <c r="M107" s="4"/>
      <c r="N107" s="4"/>
      <c r="O107" s="61">
        <f t="shared" si="17"/>
        <v>0</v>
      </c>
      <c r="P107" s="60">
        <f t="shared" si="18"/>
        <v>0</v>
      </c>
      <c r="Q107" s="61">
        <v>1</v>
      </c>
      <c r="R107" s="61">
        <v>1</v>
      </c>
      <c r="Y107" s="15">
        <v>1</v>
      </c>
      <c r="Z107" s="61" t="s">
        <v>252</v>
      </c>
      <c r="AA107" s="60" t="str" cm="1">
        <f t="array" ref="AA107">IF(VLOOKUP(Z107,$AI$1:$AJ$58,2,FALSE)&gt;=Y107,INDEX(tblDisciplines[Name],MATCH(1,(tblDisciplines[Discipline]=Z107)*(tblDisciplines[Rank]=Y107),0)),"")</f>
        <v/>
      </c>
    </row>
    <row r="108" spans="1:27">
      <c r="A108" s="1" t="s">
        <v>107</v>
      </c>
      <c r="B108" t="str">
        <f>IF($P$73&gt;=7,"●","○") &amp; IF(F226&lt;&gt;""," (" &amp; F226 &amp; ")","")</f>
        <v>○</v>
      </c>
      <c r="D108" s="19"/>
      <c r="E108" s="15" t="s">
        <v>1452</v>
      </c>
      <c r="F108" s="3"/>
      <c r="G108" s="60" t="str">
        <f>IFERROR(VLOOKUP(F108,tblManoeuvre[],2,FALSE)&amp;" "&amp;VLOOKUP(F108,tblManoeuvre[],3,FALSE),"")</f>
        <v/>
      </c>
      <c r="H108" s="67" t="str">
        <f>IFERROR(IF(VLOOKUP(F108,tblManoeuvre[],8,FALSE)=0,"None",VLOOKUP(F108,tblManoeuvre[],8,FALSE)),"None")</f>
        <v>None</v>
      </c>
      <c r="I108" s="67"/>
      <c r="L108" s="4"/>
      <c r="M108" s="4"/>
      <c r="N108" s="4"/>
      <c r="O108" s="61">
        <f t="shared" si="17"/>
        <v>0</v>
      </c>
      <c r="P108" s="60">
        <f t="shared" si="18"/>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 (Kateryna (grand-niece))</v>
      </c>
      <c r="D109" s="19"/>
      <c r="E109" s="15" t="s">
        <v>1454</v>
      </c>
      <c r="F109" s="3"/>
      <c r="G109" s="60" t="str">
        <f>IFERROR(VLOOKUP(F109,tblManoeuvre[],2,FALSE)&amp;" "&amp;VLOOKUP(F109,tblManoeuvre[],3,FALSE),"")</f>
        <v/>
      </c>
      <c r="H109" s="67" t="str">
        <f>IFERROR(IF(VLOOKUP(F109,tblManoeuvre[],8,FALSE)=0,"None",VLOOKUP(F109,tblManoeuvre[],8,FALSE)),"None")</f>
        <v>None</v>
      </c>
      <c r="I109" s="67"/>
      <c r="L109" s="4"/>
      <c r="M109" s="4"/>
      <c r="N109" s="4"/>
      <c r="O109" s="61">
        <f t="shared" si="17"/>
        <v>0</v>
      </c>
      <c r="P109" s="60">
        <f t="shared" si="18"/>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v>
      </c>
      <c r="D110" s="19"/>
      <c r="E110" s="15" t="s">
        <v>1455</v>
      </c>
      <c r="F110" s="3"/>
      <c r="G110" s="60" t="str">
        <f>IFERROR(VLOOKUP(F110,tblManoeuvre[],2,FALSE)&amp;" "&amp;VLOOKUP(F110,tblManoeuvre[],3,FALSE),"")</f>
        <v/>
      </c>
      <c r="H110" s="67" t="str">
        <f>IFERROR(IF(VLOOKUP(F110,tblManoeuvre[],8,FALSE)=0,"None",VLOOKUP(F110,tblManoeuvre[],8,FALSE)),"None")</f>
        <v>None</v>
      </c>
      <c r="I110" s="67"/>
      <c r="L110" s="4"/>
      <c r="M110" s="4"/>
      <c r="N110" s="4"/>
      <c r="O110" s="61">
        <f t="shared" si="17"/>
        <v>0</v>
      </c>
      <c r="P110" s="60">
        <f t="shared" si="18"/>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t="str">
        <f>IFERROR(VLOOKUP(F111,tblManoeuvre[],2,FALSE)&amp;" "&amp;VLOOKUP(F111,tblManoeuvre[],3,FALSE),"")</f>
        <v/>
      </c>
      <c r="H111" s="67" t="str">
        <f>IFERROR(IF(VLOOKUP(F111,tblManoeuvre[],8,FALSE)=0,"None",VLOOKUP(F111,tblManoeuvre[],8,FALSE)),"None")</f>
        <v>None</v>
      </c>
      <c r="I111" s="67"/>
      <c r="L111" s="4"/>
      <c r="M111" s="4"/>
      <c r="N111" s="4"/>
      <c r="O111" s="61">
        <f t="shared" si="17"/>
        <v>0</v>
      </c>
      <c r="P111" s="60">
        <f t="shared" si="18"/>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t="str">
        <f>IFERROR(VLOOKUP(F112,tblManoeuvre[],2,FALSE)&amp;" "&amp;VLOOKUP(F112,tblManoeuvre[],3,FALSE),"")</f>
        <v/>
      </c>
      <c r="H112" s="67" t="str">
        <f>IFERROR(IF(VLOOKUP(F112,tblManoeuvre[],8,FALSE)=0,"None",VLOOKUP(F112,tblManoeuvre[],8,FALSE)),"None")</f>
        <v>None</v>
      </c>
      <c r="I112" s="67"/>
      <c r="L112" s="4"/>
      <c r="M112" s="4"/>
      <c r="N112" s="4"/>
      <c r="O112" s="61">
        <f t="shared" si="17"/>
        <v>0</v>
      </c>
      <c r="P112" s="60">
        <f t="shared" si="18"/>
        <v>0</v>
      </c>
      <c r="Q112" s="61">
        <v>1</v>
      </c>
      <c r="R112" s="61">
        <v>1</v>
      </c>
      <c r="Y112" s="61" t="s">
        <v>1474</v>
      </c>
      <c r="Z112" s="61" t="str">
        <f t="shared" ref="Z112:Z121" si="19">G194</f>
        <v>Cruac</v>
      </c>
      <c r="AA112" s="60" t="str">
        <f t="shared" ref="AA112:AA121" si="20">IF(P194="","",F194)</f>
        <v>The Pool of Forbidden Truths</v>
      </c>
    </row>
    <row r="113" spans="1:27">
      <c r="A113" s="1" t="s">
        <v>112</v>
      </c>
      <c r="B113" t="str">
        <f>IF($P$73&gt;=2,"●","○") &amp; IF(F231&lt;&gt;""," (" &amp; F231 &amp; ")","")</f>
        <v>●</v>
      </c>
      <c r="D113" s="19"/>
      <c r="E113" s="15" t="s">
        <v>1458</v>
      </c>
      <c r="F113" s="3"/>
      <c r="G113" s="60" t="str">
        <f>IFERROR(VLOOKUP(F113,tblManoeuvre[],2,FALSE)&amp;" "&amp;VLOOKUP(F113,tblManoeuvre[],3,FALSE),"")</f>
        <v/>
      </c>
      <c r="H113" s="67" t="str">
        <f>IFERROR(IF(VLOOKUP(F113,tblManoeuvre[],8,FALSE)=0,"None",VLOOKUP(F113,tblManoeuvre[],8,FALSE)),"None")</f>
        <v>None</v>
      </c>
      <c r="I113" s="67"/>
      <c r="L113" s="4"/>
      <c r="M113" s="4"/>
      <c r="N113" s="4"/>
      <c r="O113" s="61">
        <f t="shared" si="17"/>
        <v>0</v>
      </c>
      <c r="P113" s="60">
        <f t="shared" si="18"/>
        <v>0</v>
      </c>
      <c r="Q113" s="61">
        <v>1</v>
      </c>
      <c r="R113" s="61">
        <v>1</v>
      </c>
      <c r="Y113" s="61" t="s">
        <v>1474</v>
      </c>
      <c r="Z113" s="61" t="str">
        <f t="shared" si="19"/>
        <v/>
      </c>
      <c r="AA113" s="60" t="str">
        <f t="shared" si="20"/>
        <v/>
      </c>
    </row>
    <row r="114" spans="1:27">
      <c r="A114" s="1" t="s">
        <v>113</v>
      </c>
      <c r="B114" t="str">
        <f>IF($P$73&gt;=1,"●","○") &amp; IF(F232&lt;&gt;""," (" &amp; F232 &amp; ")","")</f>
        <v>●</v>
      </c>
      <c r="D114" s="19"/>
      <c r="E114" s="15" t="s">
        <v>1460</v>
      </c>
      <c r="F114" s="3"/>
      <c r="G114" s="60" t="str">
        <f>IFERROR(VLOOKUP(F114,tblManoeuvre[],2,FALSE)&amp;" "&amp;VLOOKUP(F114,tblManoeuvre[],3,FALSE),"")</f>
        <v/>
      </c>
      <c r="H114" s="67" t="str">
        <f>IFERROR(IF(VLOOKUP(F114,tblManoeuvre[],8,FALSE)=0,"None",VLOOKUP(F114,tblManoeuvre[],8,FALSE)),"None")</f>
        <v>None</v>
      </c>
      <c r="I114" s="67"/>
      <c r="L114" s="4"/>
      <c r="M114" s="4"/>
      <c r="N114" s="4"/>
      <c r="O114" s="61">
        <f t="shared" si="17"/>
        <v>0</v>
      </c>
      <c r="P114" s="60">
        <f t="shared" si="18"/>
        <v>0</v>
      </c>
      <c r="Q114" s="61">
        <v>1</v>
      </c>
      <c r="R114" s="61">
        <v>1</v>
      </c>
      <c r="Y114" s="61" t="s">
        <v>1474</v>
      </c>
      <c r="Z114" s="61" t="str">
        <f t="shared" si="19"/>
        <v/>
      </c>
      <c r="AA114" s="60" t="str">
        <f t="shared" si="20"/>
        <v/>
      </c>
    </row>
    <row r="115" spans="1:27">
      <c r="A115" s="1" t="s">
        <v>114</v>
      </c>
      <c r="B115" t="str">
        <f t="shared" ref="B115:B144" si="21">IF(AD2="","¬",AD2)</f>
        <v>Dream Visions ●</v>
      </c>
      <c r="D115" s="19"/>
      <c r="E115" s="15" t="s">
        <v>1461</v>
      </c>
      <c r="F115" s="3"/>
      <c r="G115" s="60" t="str">
        <f>IFERROR(VLOOKUP(F115,tblManoeuvre[],2,FALSE)&amp;" "&amp;VLOOKUP(F115,tblManoeuvre[],3,FALSE),"")</f>
        <v/>
      </c>
      <c r="H115" s="67" t="str">
        <f>IFERROR(IF(VLOOKUP(F115,tblManoeuvre[],8,FALSE)=0,"None",VLOOKUP(F115,tblManoeuvre[],8,FALSE)),"None")</f>
        <v>None</v>
      </c>
      <c r="I115" s="67"/>
      <c r="L115" s="4"/>
      <c r="M115" s="4"/>
      <c r="N115" s="4"/>
      <c r="O115" s="61">
        <f t="shared" si="17"/>
        <v>0</v>
      </c>
      <c r="P115" s="60">
        <f t="shared" si="18"/>
        <v>0</v>
      </c>
      <c r="Q115" s="61">
        <v>1</v>
      </c>
      <c r="R115" s="61">
        <v>1</v>
      </c>
      <c r="Y115" s="61" t="s">
        <v>1474</v>
      </c>
      <c r="Z115" s="61" t="str">
        <f t="shared" si="19"/>
        <v/>
      </c>
      <c r="AA115" s="60" t="str">
        <f t="shared" si="20"/>
        <v/>
      </c>
    </row>
    <row r="116" spans="1:27">
      <c r="A116" s="1" t="s">
        <v>115</v>
      </c>
      <c r="B116" t="str">
        <f t="shared" si="21"/>
        <v>Language ●</v>
      </c>
      <c r="D116" s="19"/>
      <c r="E116" s="15" t="s">
        <v>1462</v>
      </c>
      <c r="F116" s="3"/>
      <c r="G116" s="60" t="str">
        <f>IFERROR(VLOOKUP(F116,tblManoeuvre[],2,FALSE)&amp;" "&amp;VLOOKUP(F116,tblManoeuvre[],3,FALSE),"")</f>
        <v/>
      </c>
      <c r="H116" s="67" t="str">
        <f>IFERROR(IF(VLOOKUP(F116,tblManoeuvre[],8,FALSE)=0,"None",VLOOKUP(F116,tblManoeuvre[],8,FALSE)),"None")</f>
        <v>None</v>
      </c>
      <c r="I116" s="67"/>
      <c r="L116" s="4"/>
      <c r="M116" s="4"/>
      <c r="N116" s="4"/>
      <c r="O116" s="61">
        <f t="shared" si="17"/>
        <v>0</v>
      </c>
      <c r="P116" s="60">
        <f t="shared" si="18"/>
        <v>0</v>
      </c>
      <c r="Q116" s="61">
        <v>1</v>
      </c>
      <c r="R116" s="61">
        <v>1</v>
      </c>
      <c r="Y116" s="61" t="s">
        <v>1474</v>
      </c>
      <c r="Z116" s="61" t="str">
        <f t="shared" si="19"/>
        <v/>
      </c>
      <c r="AA116" s="60" t="str">
        <f t="shared" si="20"/>
        <v/>
      </c>
    </row>
    <row r="117" spans="1:27">
      <c r="A117" s="1" t="s">
        <v>116</v>
      </c>
      <c r="B117" t="str">
        <f t="shared" si="21"/>
        <v>Language ●</v>
      </c>
      <c r="D117" s="19"/>
      <c r="E117" s="15" t="s">
        <v>1463</v>
      </c>
      <c r="F117" s="3"/>
      <c r="G117" s="60" t="str">
        <f>IFERROR(VLOOKUP(F117,tblManoeuvre[],2,FALSE)&amp;" "&amp;VLOOKUP(F117,tblManoeuvre[],3,FALSE),"")</f>
        <v/>
      </c>
      <c r="H117" s="67" t="str">
        <f>IFERROR(IF(VLOOKUP(F117,tblManoeuvre[],8,FALSE)=0,"None",VLOOKUP(F117,tblManoeuvre[],8,FALSE)),"None")</f>
        <v>None</v>
      </c>
      <c r="I117" s="67"/>
      <c r="L117" s="4"/>
      <c r="M117" s="4"/>
      <c r="N117" s="4"/>
      <c r="O117" s="61">
        <f t="shared" si="17"/>
        <v>0</v>
      </c>
      <c r="P117" s="60">
        <f t="shared" si="18"/>
        <v>0</v>
      </c>
      <c r="Q117" s="61">
        <v>1</v>
      </c>
      <c r="R117" s="61">
        <v>1</v>
      </c>
      <c r="Y117" s="61" t="s">
        <v>1474</v>
      </c>
      <c r="Z117" s="61" t="str">
        <f t="shared" si="19"/>
        <v/>
      </c>
      <c r="AA117" s="60" t="str">
        <f t="shared" si="20"/>
        <v/>
      </c>
    </row>
    <row r="118" spans="1:27">
      <c r="A118" s="1" t="s">
        <v>117</v>
      </c>
      <c r="B118" t="str">
        <f t="shared" si="21"/>
        <v>Tolerance for Biology ●</v>
      </c>
      <c r="D118" s="19"/>
      <c r="E118" s="15" t="s">
        <v>1464</v>
      </c>
      <c r="F118" s="3"/>
      <c r="G118" s="60" t="str">
        <f>IFERROR(VLOOKUP(F118,tblManoeuvre[],2,FALSE)&amp;" "&amp;VLOOKUP(F118,tblManoeuvre[],3,FALSE),"")</f>
        <v/>
      </c>
      <c r="H118" s="67" t="str">
        <f>IFERROR(IF(VLOOKUP(F118,tblManoeuvre[],8,FALSE)=0,"None",VLOOKUP(F118,tblManoeuvre[],8,FALSE)),"None")</f>
        <v>None</v>
      </c>
      <c r="I118" s="67"/>
      <c r="L118" s="4"/>
      <c r="M118" s="4"/>
      <c r="N118" s="4"/>
      <c r="O118" s="61">
        <f t="shared" si="17"/>
        <v>0</v>
      </c>
      <c r="P118" s="60">
        <f t="shared" si="18"/>
        <v>0</v>
      </c>
      <c r="Q118" s="61">
        <v>1</v>
      </c>
      <c r="R118" s="61">
        <v>1</v>
      </c>
      <c r="Y118" s="61" t="s">
        <v>1474</v>
      </c>
      <c r="Z118" s="61" t="str">
        <f t="shared" si="19"/>
        <v/>
      </c>
      <c r="AA118" s="60" t="str">
        <f t="shared" si="20"/>
        <v/>
      </c>
    </row>
    <row r="119" spans="1:27">
      <c r="A119" s="1" t="s">
        <v>118</v>
      </c>
      <c r="B119" t="str">
        <f t="shared" si="21"/>
        <v>What You've Done For Her Lately ●</v>
      </c>
      <c r="D119" s="19"/>
      <c r="E119" s="15" t="s">
        <v>1466</v>
      </c>
      <c r="F119" s="3"/>
      <c r="G119" s="60" t="str">
        <f>IFERROR(VLOOKUP(F119,tblManoeuvre[],2,FALSE)&amp;" "&amp;VLOOKUP(F119,tblManoeuvre[],3,FALSE),"")</f>
        <v/>
      </c>
      <c r="H119" s="67" t="str">
        <f>IFERROR(IF(VLOOKUP(F119,tblManoeuvre[],8,FALSE)=0,"None",VLOOKUP(F119,tblManoeuvre[],8,FALSE)),"None")</f>
        <v>None</v>
      </c>
      <c r="I119" s="67"/>
      <c r="L119" s="4"/>
      <c r="M119" s="4"/>
      <c r="N119" s="4"/>
      <c r="O119" s="61">
        <f t="shared" si="17"/>
        <v>0</v>
      </c>
      <c r="P119" s="60">
        <f t="shared" si="18"/>
        <v>0</v>
      </c>
      <c r="Q119" s="61">
        <v>1</v>
      </c>
      <c r="R119" s="61">
        <v>1</v>
      </c>
      <c r="Y119" s="61" t="s">
        <v>1474</v>
      </c>
      <c r="Z119" s="61" t="str">
        <f t="shared" si="19"/>
        <v/>
      </c>
      <c r="AA119" s="60" t="str">
        <f t="shared" si="20"/>
        <v/>
      </c>
    </row>
    <row r="120" spans="1:27">
      <c r="A120" s="1" t="s">
        <v>119</v>
      </c>
      <c r="B120" t="str">
        <f t="shared" si="21"/>
        <v>¬</v>
      </c>
      <c r="D120" s="19"/>
      <c r="E120" s="15" t="s">
        <v>1468</v>
      </c>
      <c r="F120" s="3"/>
      <c r="G120" s="60" t="str">
        <f>IFERROR(VLOOKUP(F120,tblManoeuvre[],2,FALSE)&amp;" "&amp;VLOOKUP(F120,tblManoeuvre[],3,FALSE),"")</f>
        <v/>
      </c>
      <c r="H120" s="67" t="str">
        <f>IFERROR(IF(VLOOKUP(F120,tblManoeuvre[],8,FALSE)=0,"None",VLOOKUP(F120,tblManoeuvre[],8,FALSE)),"None")</f>
        <v>None</v>
      </c>
      <c r="I120" s="67"/>
      <c r="L120" s="4"/>
      <c r="M120" s="4"/>
      <c r="N120" s="4"/>
      <c r="O120" s="61">
        <f t="shared" si="17"/>
        <v>0</v>
      </c>
      <c r="P120" s="60">
        <f t="shared" si="18"/>
        <v>0</v>
      </c>
      <c r="Q120" s="61">
        <v>1</v>
      </c>
      <c r="R120" s="61">
        <v>1</v>
      </c>
      <c r="Y120" s="61" t="s">
        <v>1474</v>
      </c>
      <c r="Z120" s="61" t="str">
        <f t="shared" si="19"/>
        <v/>
      </c>
      <c r="AA120" s="60" t="str">
        <f t="shared" si="20"/>
        <v/>
      </c>
    </row>
    <row r="121" spans="1:27">
      <c r="A121" s="1" t="s">
        <v>120</v>
      </c>
      <c r="B121" t="str">
        <f t="shared" si="21"/>
        <v>¬</v>
      </c>
      <c r="Y121" s="61" t="s">
        <v>1474</v>
      </c>
      <c r="Z121" s="61" t="str">
        <f t="shared" si="19"/>
        <v/>
      </c>
      <c r="AA121" s="60" t="str">
        <f t="shared" si="20"/>
        <v/>
      </c>
    </row>
    <row r="122" spans="1:27" ht="15.75" thickBot="1">
      <c r="A122" s="1" t="s">
        <v>121</v>
      </c>
      <c r="B122" t="str">
        <f t="shared" si="21"/>
        <v>¬</v>
      </c>
      <c r="D122" s="14" t="s">
        <v>1475</v>
      </c>
      <c r="E122" s="14"/>
      <c r="F122" s="14"/>
      <c r="G122" s="14"/>
      <c r="H122" s="14"/>
      <c r="I122" s="14"/>
    </row>
    <row r="123" spans="1:27">
      <c r="A123" s="1" t="s">
        <v>122</v>
      </c>
      <c r="B123" t="str">
        <f t="shared" si="21"/>
        <v>¬</v>
      </c>
      <c r="D123" s="16" t="s">
        <v>927</v>
      </c>
      <c r="E123" s="17"/>
      <c r="F123" s="17"/>
      <c r="G123" s="17"/>
      <c r="H123" s="17"/>
      <c r="I123" s="17"/>
      <c r="Y123" s="15" t="s">
        <v>1476</v>
      </c>
      <c r="Z123" s="19"/>
      <c r="AA123" s="61" t="str">
        <f t="shared" ref="AA123:AA132" si="22">_xlfn.LET(_xlpm.name,VLOOKUP(Y123,$E$2:$F$362,2,FALSE),_xlpm.paid,_xlfn.IFNA(VLOOKUP(_xlpm.name,$F$121:$Q$215,11,FALSE)&gt;=VLOOKUP(_xlpm.name,$F$121:$Q$215,12,FALSE),FALSE),IF(AND(_xlpm.name&lt;&gt;"",_xlpm.paid),_xlpm.name,""))</f>
        <v/>
      </c>
    </row>
    <row r="124" spans="1:27">
      <c r="A124" s="1" t="s">
        <v>123</v>
      </c>
      <c r="B124" t="str">
        <f t="shared" si="21"/>
        <v>¬</v>
      </c>
      <c r="D124" s="19"/>
      <c r="E124" s="15" t="s">
        <v>83</v>
      </c>
      <c r="F124" s="19"/>
      <c r="G124" s="19"/>
      <c r="H124" s="19"/>
      <c r="I124" s="19"/>
      <c r="L124" s="4">
        <v>2</v>
      </c>
      <c r="M124" s="61">
        <f>IFERROR(VLOOKUP(G12,tblEffectiveStatus[],2,FALSE),0)+IFERROR(VLOOKUP(G13,tblEffectiveStatus[],2,FALSE),0)</f>
        <v>0</v>
      </c>
      <c r="P124" s="60">
        <f>MIN(L124+M124,R124)</f>
        <v>2</v>
      </c>
      <c r="R124" s="61">
        <v>10</v>
      </c>
      <c r="Y124" s="15" t="s">
        <v>1477</v>
      </c>
      <c r="Z124" s="19"/>
      <c r="AA124" s="61" t="str">
        <f t="shared" si="22"/>
        <v/>
      </c>
    </row>
    <row r="125" spans="1:27">
      <c r="A125" s="1" t="s">
        <v>124</v>
      </c>
      <c r="B125" t="str">
        <f t="shared" si="21"/>
        <v>¬</v>
      </c>
      <c r="D125" s="19"/>
      <c r="E125" s="15" t="str">
        <f>IF(F7="","Clan Status",F7&amp;" Status")</f>
        <v>Mekhet Status</v>
      </c>
      <c r="F125" s="19"/>
      <c r="G125" s="19"/>
      <c r="H125" s="19"/>
      <c r="I125" s="19"/>
      <c r="L125" s="4">
        <v>2</v>
      </c>
      <c r="P125" s="60">
        <f>IF(L125="",0,MIN(L125,R125))</f>
        <v>2</v>
      </c>
      <c r="R125" s="61">
        <v>5</v>
      </c>
      <c r="Y125" s="15" t="s">
        <v>1478</v>
      </c>
      <c r="Z125" s="19"/>
      <c r="AA125" s="61" t="str">
        <f t="shared" si="22"/>
        <v/>
      </c>
    </row>
    <row r="126" spans="1:27">
      <c r="A126" s="1" t="s">
        <v>125</v>
      </c>
      <c r="B126" t="str">
        <f t="shared" si="21"/>
        <v>¬</v>
      </c>
      <c r="D126" s="19"/>
      <c r="E126" s="15" t="str">
        <f>IF(F9="","",F9&amp;" Status")</f>
        <v>Circle of the Crone Status</v>
      </c>
      <c r="F126" s="19" t="str">
        <f>IF(F9="","",VLOOKUP(F9,tblCovenantShortName[#Data],2,FALSE))</f>
        <v>Crone</v>
      </c>
      <c r="G126" s="19"/>
      <c r="H126" s="19"/>
      <c r="I126" s="19"/>
      <c r="L126" s="4">
        <v>4</v>
      </c>
      <c r="P126" s="60">
        <f>L126</f>
        <v>4</v>
      </c>
      <c r="R126" s="61">
        <f>5-SUM(L127:L129)</f>
        <v>5</v>
      </c>
      <c r="Y126" s="15" t="s">
        <v>1479</v>
      </c>
      <c r="Z126" s="19"/>
      <c r="AA126" s="61" t="str">
        <f t="shared" si="22"/>
        <v/>
      </c>
    </row>
    <row r="127" spans="1:27">
      <c r="A127" s="1" t="s">
        <v>126</v>
      </c>
      <c r="B127" t="str">
        <f t="shared" si="21"/>
        <v>¬</v>
      </c>
      <c r="D127" s="19"/>
      <c r="E127" s="15" t="str" cm="1">
        <f t="array" ref="E127">IF(F9="","",IFERROR(INDEX(Lists!$F$2:$F$5,SMALL(IF(Lists!$F$2:$F$5&lt;&gt;$F$9,ROW(Lists!$F$2:$F$5)-ROW(Lists!$F$2)+1),1))&amp;" Status",""))</f>
        <v>Carthian Movement Status</v>
      </c>
      <c r="F127" s="19" t="str" cm="1">
        <f t="array" ref="F127">IF(F9="","",IFERROR(VLOOKUP(INDEX(Lists!$F$2:$F$5,SMALL(IF(Lists!$F$2:$F$5&lt;&gt;$F$9,ROW(Lists!$F$2:$F$5)-ROW(Lists!$F$2)+1),1)),tblCovenantShortName[],2,FALSE),""))</f>
        <v>Carthian</v>
      </c>
      <c r="G127" s="19"/>
      <c r="H127" s="19"/>
      <c r="I127" s="19"/>
      <c r="L127" s="4"/>
      <c r="P127" s="60">
        <f>L127</f>
        <v>0</v>
      </c>
      <c r="R127" s="61">
        <f>MAX(0,MIN(P126-1,5-L126-L128-L129))</f>
        <v>1</v>
      </c>
      <c r="Y127" s="15" t="s">
        <v>1480</v>
      </c>
      <c r="Z127" s="19"/>
      <c r="AA127" s="61" t="str">
        <f t="shared" si="22"/>
        <v/>
      </c>
    </row>
    <row r="128" spans="1:27">
      <c r="A128" s="1" t="s">
        <v>127</v>
      </c>
      <c r="B128" t="str">
        <f t="shared" si="21"/>
        <v>¬</v>
      </c>
      <c r="D128" s="19"/>
      <c r="E128" s="15" t="str" cm="1">
        <f t="array" ref="E128">IF(F9="","",IFERROR(INDEX(Lists!$F$2:$F$5,SMALL(IF(Lists!$F$2:$F$5&lt;&gt;$F$9,ROW(Lists!$F$2:$F$5)-ROW(Lists!$F$2)+1),2))&amp;" Status",""))</f>
        <v>Invictus Status</v>
      </c>
      <c r="F128" s="19" t="str" cm="1">
        <f t="array" ref="F128">IF(F9="","",IFERROR(VLOOKUP(INDEX(Lists!$F$2:$F$5,SMALL(IF(Lists!$F$2:$F$5&lt;&gt;$F$9,ROW(Lists!$F$2:$F$5)-ROW(Lists!$F$2)+1),2)),tblCovenantShortName[],2,FALSE),""))</f>
        <v>Invictus</v>
      </c>
      <c r="G128" s="19"/>
      <c r="H128" s="19"/>
      <c r="I128" s="19"/>
      <c r="L128" s="4"/>
      <c r="P128" s="60">
        <f>L128</f>
        <v>0</v>
      </c>
      <c r="R128" s="61">
        <f>MAX(0,MIN(P126-1,5-L126-L127-L129))</f>
        <v>1</v>
      </c>
      <c r="Y128" s="15" t="s">
        <v>1481</v>
      </c>
      <c r="Z128" s="19"/>
      <c r="AA128" s="61" t="str">
        <f t="shared" si="22"/>
        <v/>
      </c>
    </row>
    <row r="129" spans="1:32">
      <c r="A129" s="1" t="s">
        <v>128</v>
      </c>
      <c r="B129" t="str">
        <f t="shared" si="21"/>
        <v>¬</v>
      </c>
      <c r="D129" s="19"/>
      <c r="E129" s="15" t="str" cm="1">
        <f t="array" ref="E129">IF(F9="","",IFERROR(INDEX(Lists!$F$2:$F$5,SMALL(IF(Lists!$F$2:$F$5&lt;&gt;$F$9,ROW(Lists!$F$2:$F$5)-ROW(Lists!$F$2)+1),3))&amp;" Status",""))</f>
        <v>Lancea et Sanctum Status</v>
      </c>
      <c r="F129" s="19" t="str" cm="1">
        <f t="array" ref="F129">IF(F9="","",IFERROR(VLOOKUP(INDEX(Lists!$F$2:$F$5,SMALL(IF(Lists!$F$2:$F$5&lt;&gt;$F$9,ROW(Lists!$F$2:$F$5)-ROW(Lists!$F$2)+1),3)),tblCovenantShortName[],2,FALSE),""))</f>
        <v>Lance</v>
      </c>
      <c r="G129" s="19"/>
      <c r="H129" s="19"/>
      <c r="I129" s="19"/>
      <c r="L129" s="4"/>
      <c r="P129" s="60">
        <f>L129</f>
        <v>0</v>
      </c>
      <c r="R129" s="61">
        <f>MAX(0,MIN(P126-1,5-L126-L127-L128))</f>
        <v>1</v>
      </c>
      <c r="Y129" s="15" t="s">
        <v>1482</v>
      </c>
      <c r="Z129" s="19"/>
      <c r="AA129" s="61" t="str">
        <f t="shared" si="22"/>
        <v/>
      </c>
    </row>
    <row r="130" spans="1:32">
      <c r="A130" s="1" t="s">
        <v>129</v>
      </c>
      <c r="B130" t="str">
        <f t="shared" si="21"/>
        <v>¬</v>
      </c>
      <c r="Y130" s="15" t="s">
        <v>1483</v>
      </c>
      <c r="Z130" s="19"/>
      <c r="AA130" s="61" t="str">
        <f t="shared" si="22"/>
        <v/>
      </c>
    </row>
    <row r="131" spans="1:32">
      <c r="A131" s="1" t="s">
        <v>130</v>
      </c>
      <c r="B131" t="str">
        <f t="shared" si="21"/>
        <v>¬</v>
      </c>
      <c r="D131" s="16" t="s">
        <v>1475</v>
      </c>
      <c r="E131" s="17"/>
      <c r="F131" s="16" t="s">
        <v>1446</v>
      </c>
      <c r="G131" s="17"/>
      <c r="H131" s="17"/>
      <c r="I131" s="17"/>
      <c r="Y131" s="15" t="s">
        <v>1484</v>
      </c>
      <c r="Z131" s="19"/>
      <c r="AA131" s="61" t="str">
        <f t="shared" si="22"/>
        <v/>
      </c>
    </row>
    <row r="132" spans="1:32">
      <c r="A132" s="1" t="s">
        <v>131</v>
      </c>
      <c r="B132" t="str">
        <f t="shared" si="21"/>
        <v>¬</v>
      </c>
      <c r="D132" s="19"/>
      <c r="E132" s="15" t="s">
        <v>94</v>
      </c>
      <c r="F132" s="3"/>
      <c r="G132" s="19"/>
      <c r="H132" s="19"/>
      <c r="I132" s="19"/>
      <c r="L132" s="4">
        <v>1</v>
      </c>
      <c r="M132" s="4"/>
      <c r="N132" s="4"/>
      <c r="O132" s="61">
        <f>N132</f>
        <v>0</v>
      </c>
      <c r="P132" s="60">
        <f>MIN(SUM(L132,M132,O132),R132)</f>
        <v>1</v>
      </c>
      <c r="Q132" s="61">
        <f>_xlfn.IFNA(VLOOKUP($E132,tblDomain[],3,FALSE),"")</f>
        <v>1</v>
      </c>
      <c r="R132" s="61">
        <f>_xlfn.IFNA(VLOOKUP($E132,tblDomain[],4,FALSE),"")</f>
        <v>5</v>
      </c>
      <c r="Y132" s="15" t="s">
        <v>1485</v>
      </c>
      <c r="Z132" s="19"/>
      <c r="AA132" s="61" t="str">
        <f t="shared" si="22"/>
        <v/>
      </c>
    </row>
    <row r="133" spans="1:32">
      <c r="A133" s="1" t="s">
        <v>132</v>
      </c>
      <c r="B133" t="str">
        <f t="shared" si="21"/>
        <v>¬</v>
      </c>
      <c r="D133" s="19"/>
      <c r="E133" s="15" t="s">
        <v>95</v>
      </c>
      <c r="F133" s="3"/>
      <c r="G133" s="19"/>
      <c r="H133" s="19"/>
      <c r="I133" s="19"/>
      <c r="L133" s="4">
        <v>1</v>
      </c>
      <c r="M133" s="4"/>
      <c r="N133" s="4"/>
      <c r="O133" s="61">
        <f>N133</f>
        <v>0</v>
      </c>
      <c r="P133" s="60">
        <f>MIN(SUM(L133,M133,O133),R133)</f>
        <v>1</v>
      </c>
      <c r="Q133" s="61">
        <f>_xlfn.IFNA(VLOOKUP($E133,tblDomain[],3,FALSE),"")</f>
        <v>1</v>
      </c>
      <c r="R133" s="61">
        <f>_xlfn.IFNA(VLOOKUP($E133,tblDomain[],4,FALSE),"")</f>
        <v>5</v>
      </c>
    </row>
    <row r="134" spans="1:32">
      <c r="A134" s="1" t="s">
        <v>133</v>
      </c>
      <c r="B134" t="str">
        <f t="shared" si="21"/>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3">_xlfn.LET(_xlpm.name,VLOOKUP(Y134,$E$2:$F$362,2,FALSE),_xlpm.note,VLOOKUP(Y134,$E$2:$G$362,3,FALSE),_xlpm.row,MATCH(Y134,$E$138:$E$157,0),_xlpm.dots,INDEX($P$138:$P$157,_xlpm.row),_xlpm.max,INDEX($Q$138:$Q$157,_xlpm.row),_xlpm.paid,_xlfn.IFNA(_xlpm.dots&gt;=_xlpm.max,FALSE),IF(AND(_xlpm.name&lt;&gt;"",_xlpm.paid),IF(_xlpm.note="",_xlpm.name,_xlpm.name&amp;" ("&amp;_xlpm.note&amp;")"),""))</f>
        <v>Retainer (family)</v>
      </c>
      <c r="AC134" s="60" t="str" cm="1">
        <f t="array" ref="AC134">_xlfn.LET(_xlpm.raw,IFERROR(_xlfn.VSTACK(IFERROR(_xlfn._xlws.SORT(_xlfn._xlws.FILTER(AA134:AA211,AA134:AA211&lt;&gt;"")),""),IFERROR(_xlfn._xlws.SORT(_xlfn._xlws.FILTER(AA213:AA222,AA213:AA222&lt;&gt;"")),"")),""),_xlpm.sorted,IFERROR(_xlfn._xlws.FILTER(_xlpm.raw,_xlpm.raw&lt;&gt;""),""),IFERROR(LEFT(_xlpm.sorted,FIND(" (",_xlpm.sorted)-1),_xlpm.sorted))</f>
        <v>Retainer</v>
      </c>
      <c r="AD134" s="20" t="str" cm="1">
        <f t="array" ref="AD134">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family</v>
      </c>
      <c r="AE134" s="20">
        <f t="shared" ref="AE134:AE153" si="24">IF(AC134="","",_xlfn.LET(_xlpm.sphere,AD134,_xlpm.dots,IF(OR(AF134="",AF134=0),0,AF134),_xlpm.broad,OR(_xlpm.sphere="",ISNUMBER(MATCH(_xlpm.sphere,lstAoI,0))),_xlpm.hwv,AND($AE$156,OR(AC134="Allies",AC134="Contacts",AND(AC134="Status",_xlpm.broad))),IF(_xlpm.hwv,IF(_xlpm.dots&gt;=4,2,IF(_xlpm.dots&gt;=2,1,0)),IF(OR(_xlpm.broad,AC134="Contacts",AC134="Retainer"),IF(_xlpm.dots&gt;=5,2,IF(_xlpm.dots&gt;=3,1,0)),IF(_xlpm.dots&gt;=5,1,0)))))</f>
        <v>1</v>
      </c>
      <c r="AF134" s="61" cm="1">
        <f t="array" ref="AF134">IF(AC134="","",SUMPRODUCT(($F$138:$F$157=AC134)*($G$138:$G$157=IF(AD134="","",AD134))*$P$138:$P$157))</f>
        <v>3</v>
      </c>
    </row>
    <row r="135" spans="1:32">
      <c r="A135" s="1" t="s">
        <v>134</v>
      </c>
      <c r="B135" t="str">
        <f t="shared" si="21"/>
        <v>¬</v>
      </c>
      <c r="D135" s="19"/>
      <c r="E135" s="15" t="s">
        <v>97</v>
      </c>
      <c r="F135" s="19"/>
      <c r="G135" s="19"/>
      <c r="H135" s="19"/>
      <c r="I135" s="19"/>
      <c r="L135" s="4">
        <v>2</v>
      </c>
      <c r="M135" s="4"/>
      <c r="N135" s="4"/>
      <c r="O135" s="61">
        <f>N135</f>
        <v>0</v>
      </c>
      <c r="P135" s="60">
        <f>MIN(SUM(L135,M135,O135),R135)</f>
        <v>2</v>
      </c>
      <c r="Q135" s="61">
        <f>_xlfn.IFNA(VLOOKUP($E135,tblDomain[],3,FALSE),"")</f>
        <v>1</v>
      </c>
      <c r="R135" s="61">
        <f>_xlfn.IFNA(VLOOKUP($E135,tblDomain[],4,FALSE),"")</f>
        <v>5</v>
      </c>
      <c r="Y135" s="15" t="s">
        <v>177</v>
      </c>
      <c r="Z135" s="19"/>
      <c r="AA135" s="61" t="str">
        <f t="shared" si="23"/>
        <v/>
      </c>
      <c r="AC135" s="60"/>
      <c r="AD135" s="20"/>
      <c r="AE135" s="20" t="str">
        <f t="shared" si="24"/>
        <v/>
      </c>
      <c r="AF135" s="61" t="str" cm="1">
        <f t="array" ref="AF135">IF(AC135="","",SUMPRODUCT(($F$138:$F$157=AC135)*($G$138:$G$157=IF(AD135="","",AD135))*$P$138:$P$157))</f>
        <v/>
      </c>
    </row>
    <row r="136" spans="1:32">
      <c r="A136" s="1" t="s">
        <v>135</v>
      </c>
      <c r="B136" t="str">
        <f t="shared" si="21"/>
        <v>¬</v>
      </c>
      <c r="Y136" s="15" t="s">
        <v>178</v>
      </c>
      <c r="Z136" s="19"/>
      <c r="AA136" s="61" t="str">
        <f t="shared" si="23"/>
        <v/>
      </c>
      <c r="AC136" s="60"/>
      <c r="AD136" s="20"/>
      <c r="AE136" s="20" t="str">
        <f t="shared" si="24"/>
        <v/>
      </c>
      <c r="AF136" s="61" t="str" cm="1">
        <f t="array" ref="AF136">IF(AC136="","",SUMPRODUCT(($F$138:$F$157=AC136)*($G$138:$G$157=IF(AD136="","",AD136))*$P$138:$P$157))</f>
        <v/>
      </c>
    </row>
    <row r="137" spans="1:32">
      <c r="A137" s="1" t="s">
        <v>136</v>
      </c>
      <c r="B137" t="str">
        <f t="shared" si="21"/>
        <v>¬</v>
      </c>
      <c r="D137" s="16" t="s">
        <v>174</v>
      </c>
      <c r="E137" s="17"/>
      <c r="F137" s="17"/>
      <c r="G137" s="17"/>
      <c r="H137" s="61">
        <f>L225</f>
        <v>0</v>
      </c>
      <c r="I137" s="61">
        <f>SUM(AE134:AE155)+SUM(P125:P129)</f>
        <v>7</v>
      </c>
      <c r="Y137" s="15" t="s">
        <v>179</v>
      </c>
      <c r="Z137" s="19"/>
      <c r="AA137" s="61" t="str">
        <f t="shared" si="23"/>
        <v/>
      </c>
      <c r="AC137" s="60"/>
      <c r="AD137" s="20"/>
      <c r="AE137" s="20" t="str">
        <f t="shared" si="24"/>
        <v/>
      </c>
      <c r="AF137" s="61" t="str" cm="1">
        <f t="array" ref="AF137">IF(AC137="","",SUMPRODUCT(($F$138:$F$157=AC137)*($G$138:$G$157=IF(AD137="","",AD137))*$P$138:$P$157))</f>
        <v/>
      </c>
    </row>
    <row r="138" spans="1:32">
      <c r="A138" s="1" t="s">
        <v>137</v>
      </c>
      <c r="B138" t="str">
        <f t="shared" si="21"/>
        <v>¬</v>
      </c>
      <c r="D138" s="19"/>
      <c r="E138" s="15" t="s">
        <v>176</v>
      </c>
      <c r="F138" s="3" t="s">
        <v>468</v>
      </c>
      <c r="G138" s="3" t="s">
        <v>469</v>
      </c>
      <c r="H138" s="67" t="str">
        <f>IFERROR(IF(VLOOKUP(F138,tblManoeuvre[],8,FALSE)=0,"None",VLOOKUP(F138,tblManoeuvre[],8,FALSE)),"None")</f>
        <v>None</v>
      </c>
      <c r="I138" s="67"/>
      <c r="L138" s="4">
        <v>3</v>
      </c>
      <c r="M138" s="4"/>
      <c r="N138" s="4"/>
      <c r="O138" s="61">
        <f t="shared" ref="O138:O157" si="25">N138</f>
        <v>0</v>
      </c>
      <c r="P138" s="60">
        <f t="shared" ref="P138:P157" si="26">MIN(SUM(L138,M138,O138),R138)</f>
        <v>3</v>
      </c>
      <c r="Q138" s="61">
        <f>_xlfn.IFNA(VLOOKUP($F138,tblInfluence[],3,FALSE),"")</f>
        <v>1</v>
      </c>
      <c r="R138" s="61">
        <f>_xlfn.IFNA(VLOOKUP($F138,tblInfluence[],4,FALSE),"")</f>
        <v>5</v>
      </c>
      <c r="Y138" s="15" t="s">
        <v>180</v>
      </c>
      <c r="Z138" s="19"/>
      <c r="AA138" s="61" t="str">
        <f t="shared" si="23"/>
        <v/>
      </c>
      <c r="AC138" s="60"/>
      <c r="AD138" s="20"/>
      <c r="AE138" s="20" t="str">
        <f t="shared" si="24"/>
        <v/>
      </c>
      <c r="AF138" s="61" t="str" cm="1">
        <f t="array" ref="AF138">IF(AC138="","",SUMPRODUCT(($F$138:$F$157=AC138)*($G$138:$G$157=IF(AD138="","",AD138))*$P$138:$P$157))</f>
        <v/>
      </c>
    </row>
    <row r="139" spans="1:32">
      <c r="A139" s="1" t="s">
        <v>138</v>
      </c>
      <c r="B139" t="str">
        <f t="shared" si="21"/>
        <v>¬</v>
      </c>
      <c r="D139" s="19"/>
      <c r="E139" s="15" t="s">
        <v>177</v>
      </c>
      <c r="F139" s="3"/>
      <c r="G139" s="3"/>
      <c r="H139" s="67" t="str">
        <f>IFERROR(IF(VLOOKUP(F139,tblManoeuvre[],8,FALSE)=0,"None",VLOOKUP(F139,tblManoeuvre[],8,FALSE)),"None")</f>
        <v>None</v>
      </c>
      <c r="I139" s="67"/>
      <c r="L139" s="4"/>
      <c r="M139" s="4"/>
      <c r="N139" s="4"/>
      <c r="O139" s="61">
        <f t="shared" si="25"/>
        <v>0</v>
      </c>
      <c r="P139" s="60">
        <f t="shared" si="26"/>
        <v>0</v>
      </c>
      <c r="Q139" s="61" t="str">
        <f>_xlfn.IFNA(VLOOKUP($F139,tblInfluence[],3,FALSE),"")</f>
        <v/>
      </c>
      <c r="R139" s="61" t="str">
        <f>_xlfn.IFNA(VLOOKUP($F139,tblInfluence[],4,FALSE),"")</f>
        <v/>
      </c>
      <c r="Y139" s="15" t="s">
        <v>181</v>
      </c>
      <c r="Z139" s="19"/>
      <c r="AA139" s="61" t="str">
        <f t="shared" si="23"/>
        <v/>
      </c>
      <c r="AC139" s="60"/>
      <c r="AD139" s="20"/>
      <c r="AE139" s="20" t="str">
        <f t="shared" si="24"/>
        <v/>
      </c>
      <c r="AF139" s="61" t="str" cm="1">
        <f t="array" ref="AF139">IF(AC139="","",SUMPRODUCT(($F$138:$F$157=AC139)*($G$138:$G$157=IF(AD139="","",AD139))*$P$138:$P$157))</f>
        <v/>
      </c>
    </row>
    <row r="140" spans="1:32">
      <c r="A140" s="1" t="s">
        <v>139</v>
      </c>
      <c r="B140" t="str">
        <f t="shared" si="21"/>
        <v>¬</v>
      </c>
      <c r="D140" s="19"/>
      <c r="E140" s="15" t="s">
        <v>178</v>
      </c>
      <c r="F140" s="3"/>
      <c r="G140" s="3"/>
      <c r="H140" s="67" t="str">
        <f>IFERROR(IF(VLOOKUP(F140,tblManoeuvre[],8,FALSE)=0,"None",VLOOKUP(F140,tblManoeuvre[],8,FALSE)),"None")</f>
        <v>None</v>
      </c>
      <c r="I140" s="67"/>
      <c r="L140" s="4"/>
      <c r="M140" s="4"/>
      <c r="N140" s="4"/>
      <c r="O140" s="61">
        <f t="shared" si="25"/>
        <v>0</v>
      </c>
      <c r="P140" s="60">
        <f t="shared" si="26"/>
        <v>0</v>
      </c>
      <c r="Q140" s="61" t="str">
        <f>_xlfn.IFNA(VLOOKUP($F140,tblInfluence[],3,FALSE),"")</f>
        <v/>
      </c>
      <c r="R140" s="61" t="str">
        <f>_xlfn.IFNA(VLOOKUP($F140,tblInfluence[],4,FALSE),"")</f>
        <v/>
      </c>
      <c r="Y140" s="15" t="s">
        <v>182</v>
      </c>
      <c r="Z140" s="19"/>
      <c r="AA140" s="61" t="str">
        <f t="shared" si="23"/>
        <v/>
      </c>
      <c r="AC140" s="60"/>
      <c r="AD140" s="20"/>
      <c r="AE140" s="20" t="str">
        <f t="shared" si="24"/>
        <v/>
      </c>
      <c r="AF140" s="61" t="str" cm="1">
        <f t="array" ref="AF140">IF(AC140="","",SUMPRODUCT(($F$138:$F$157=AC140)*($G$138:$G$157=IF(AD140="","",AD140))*$P$138:$P$157))</f>
        <v/>
      </c>
    </row>
    <row r="141" spans="1:32">
      <c r="A141" s="1" t="s">
        <v>140</v>
      </c>
      <c r="B141" t="str">
        <f t="shared" si="21"/>
        <v>¬</v>
      </c>
      <c r="D141" s="19"/>
      <c r="E141" s="15" t="s">
        <v>179</v>
      </c>
      <c r="F141" s="3"/>
      <c r="G141" s="3"/>
      <c r="H141" s="67" t="str">
        <f>IFERROR(IF(VLOOKUP(F141,tblManoeuvre[],8,FALSE)=0,"None",VLOOKUP(F141,tblManoeuvre[],8,FALSE)),"None")</f>
        <v>None</v>
      </c>
      <c r="I141" s="67"/>
      <c r="L141" s="4"/>
      <c r="M141" s="4"/>
      <c r="N141" s="4"/>
      <c r="O141" s="61">
        <f t="shared" si="25"/>
        <v>0</v>
      </c>
      <c r="P141" s="60">
        <f t="shared" si="26"/>
        <v>0</v>
      </c>
      <c r="Q141" s="61" t="str">
        <f>_xlfn.IFNA(VLOOKUP($F141,tblInfluence[],3,FALSE),"")</f>
        <v/>
      </c>
      <c r="R141" s="61" t="str">
        <f>_xlfn.IFNA(VLOOKUP($F141,tblInfluence[],4,FALSE),"")</f>
        <v/>
      </c>
      <c r="Y141" s="15" t="s">
        <v>183</v>
      </c>
      <c r="Z141" s="19"/>
      <c r="AA141" s="61" t="str">
        <f t="shared" si="23"/>
        <v/>
      </c>
      <c r="AC141" s="60"/>
      <c r="AD141" s="20"/>
      <c r="AE141" s="20" t="str">
        <f t="shared" si="24"/>
        <v/>
      </c>
      <c r="AF141" s="61" t="str" cm="1">
        <f t="array" ref="AF141">IF(AC141="","",SUMPRODUCT(($F$138:$F$157=AC141)*($G$138:$G$157=IF(AD141="","",AD141))*$P$138:$P$157))</f>
        <v/>
      </c>
    </row>
    <row r="142" spans="1:32">
      <c r="A142" s="1" t="s">
        <v>141</v>
      </c>
      <c r="B142" t="str">
        <f t="shared" si="21"/>
        <v>¬</v>
      </c>
      <c r="D142" s="19"/>
      <c r="E142" s="15" t="s">
        <v>180</v>
      </c>
      <c r="F142" s="3"/>
      <c r="G142" s="3"/>
      <c r="H142" s="67" t="str">
        <f>IFERROR(IF(VLOOKUP(F142,tblManoeuvre[],8,FALSE)=0,"None",VLOOKUP(F142,tblManoeuvre[],8,FALSE)),"None")</f>
        <v>None</v>
      </c>
      <c r="I142" s="67"/>
      <c r="L142" s="4"/>
      <c r="M142" s="4"/>
      <c r="N142" s="4"/>
      <c r="O142" s="61">
        <f t="shared" si="25"/>
        <v>0</v>
      </c>
      <c r="P142" s="60">
        <f t="shared" si="26"/>
        <v>0</v>
      </c>
      <c r="Q142" s="61" t="str">
        <f>_xlfn.IFNA(VLOOKUP($F142,tblInfluence[],3,FALSE),"")</f>
        <v/>
      </c>
      <c r="R142" s="61" t="str">
        <f>_xlfn.IFNA(VLOOKUP($F142,tblInfluence[],4,FALSE),"")</f>
        <v/>
      </c>
      <c r="Y142" s="15" t="s">
        <v>184</v>
      </c>
      <c r="Z142" s="19"/>
      <c r="AA142" s="61" t="str">
        <f t="shared" si="23"/>
        <v/>
      </c>
      <c r="AC142" s="60"/>
      <c r="AD142" s="20"/>
      <c r="AE142" s="20" t="str">
        <f t="shared" si="24"/>
        <v/>
      </c>
      <c r="AF142" s="61" t="str" cm="1">
        <f t="array" ref="AF142">IF(AC142="","",SUMPRODUCT(($F$138:$F$157=AC142)*($G$138:$G$157=IF(AD142="","",AD142))*$P$138:$P$157))</f>
        <v/>
      </c>
    </row>
    <row r="143" spans="1:32">
      <c r="A143" s="1" t="s">
        <v>142</v>
      </c>
      <c r="B143" t="str">
        <f t="shared" si="21"/>
        <v>¬</v>
      </c>
      <c r="D143" s="19"/>
      <c r="E143" s="15" t="s">
        <v>181</v>
      </c>
      <c r="F143" s="3"/>
      <c r="G143" s="3" t="str">
        <f>IFERROR(VLOOKUP(F143,tblManoeuvre[],2,FALSE)&amp;" "&amp;VLOOKUP(F143,tblManoeuvre[],3,FALSE),"")</f>
        <v/>
      </c>
      <c r="H143" s="67" t="str">
        <f>IFERROR(IF(VLOOKUP(F143,tblManoeuvre[],8,FALSE)=0,"None",VLOOKUP(F143,tblManoeuvre[],8,FALSE)),"None")</f>
        <v>None</v>
      </c>
      <c r="I143" s="67"/>
      <c r="L143" s="4"/>
      <c r="M143" s="4"/>
      <c r="N143" s="4"/>
      <c r="O143" s="61">
        <f t="shared" si="25"/>
        <v>0</v>
      </c>
      <c r="P143" s="60">
        <f t="shared" si="26"/>
        <v>0</v>
      </c>
      <c r="Q143" s="61" t="str">
        <f>_xlfn.IFNA(VLOOKUP($F143,tblInfluence[],3,FALSE),"")</f>
        <v/>
      </c>
      <c r="R143" s="61" t="str">
        <f>_xlfn.IFNA(VLOOKUP($F143,tblInfluence[],4,FALSE),"")</f>
        <v/>
      </c>
      <c r="Y143" s="15" t="s">
        <v>185</v>
      </c>
      <c r="Z143" s="19"/>
      <c r="AA143" s="61" t="str">
        <f t="shared" si="23"/>
        <v/>
      </c>
      <c r="AC143" s="60"/>
      <c r="AD143" s="20"/>
      <c r="AE143" s="20" t="str">
        <f t="shared" si="24"/>
        <v/>
      </c>
      <c r="AF143" s="61" t="str" cm="1">
        <f t="array" ref="AF143">IF(AC143="","",SUMPRODUCT(($F$138:$F$157=AC143)*($G$138:$G$157=IF(AD143="","",AD143))*$P$138:$P$157))</f>
        <v/>
      </c>
    </row>
    <row r="144" spans="1:32">
      <c r="A144" s="1" t="s">
        <v>143</v>
      </c>
      <c r="B144" t="str">
        <f t="shared" si="21"/>
        <v>¬</v>
      </c>
      <c r="D144" s="19"/>
      <c r="E144" s="15" t="s">
        <v>182</v>
      </c>
      <c r="F144" s="3"/>
      <c r="G144" s="3"/>
      <c r="H144" s="67" t="str">
        <f>IFERROR(IF(VLOOKUP(F144,tblManoeuvre[],8,FALSE)=0,"None",VLOOKUP(F144,tblManoeuvre[],8,FALSE)),"None")</f>
        <v>None</v>
      </c>
      <c r="I144" s="67"/>
      <c r="L144" s="4"/>
      <c r="M144" s="4"/>
      <c r="N144" s="4"/>
      <c r="O144" s="61">
        <f t="shared" si="25"/>
        <v>0</v>
      </c>
      <c r="P144" s="60">
        <f t="shared" si="26"/>
        <v>0</v>
      </c>
      <c r="Q144" s="61" t="str">
        <f>_xlfn.IFNA(VLOOKUP($F144,tblInfluence[],3,FALSE),"")</f>
        <v/>
      </c>
      <c r="R144" s="61" t="str">
        <f>_xlfn.IFNA(VLOOKUP($F144,tblInfluence[],4,FALSE),"")</f>
        <v/>
      </c>
      <c r="Y144" s="15" t="s">
        <v>186</v>
      </c>
      <c r="Z144" s="19"/>
      <c r="AA144" s="61" t="str">
        <f t="shared" si="23"/>
        <v/>
      </c>
      <c r="AC144" s="60"/>
      <c r="AD144" s="20"/>
      <c r="AE144" s="20" t="str">
        <f t="shared" si="24"/>
        <v/>
      </c>
      <c r="AF144" s="61" t="str" cm="1">
        <f t="array" ref="AF144">IF(AC144="","",SUMPRODUCT(($F$138:$F$157=AC144)*($G$138:$G$157=IF(AD144="","",AD144))*$P$138:$P$157))</f>
        <v/>
      </c>
    </row>
    <row r="145" spans="1:32">
      <c r="A145" s="1" t="s">
        <v>144</v>
      </c>
      <c r="B145" t="str">
        <f t="shared" ref="B145:B174" si="27">IF(AF2="","¬",AF2)</f>
        <v>Once per night, roll Blood Potency for prophetic dreams about a new person or place.</v>
      </c>
      <c r="D145" s="19"/>
      <c r="E145" s="15" t="s">
        <v>183</v>
      </c>
      <c r="F145" s="3"/>
      <c r="G145" s="3" t="str">
        <f>IFERROR(VLOOKUP(F145,tblManoeuvre[],2,FALSE)&amp;" "&amp;VLOOKUP(F145,tblManoeuvre[],3,FALSE),"")</f>
        <v/>
      </c>
      <c r="H145" s="67" t="str">
        <f>IFERROR(IF(VLOOKUP(F145,tblManoeuvre[],8,FALSE)=0,"None",VLOOKUP(F145,tblManoeuvre[],8,FALSE)),"None")</f>
        <v>None</v>
      </c>
      <c r="I145" s="67"/>
      <c r="L145" s="4"/>
      <c r="M145" s="4"/>
      <c r="N145" s="4"/>
      <c r="O145" s="61">
        <f t="shared" si="25"/>
        <v>0</v>
      </c>
      <c r="P145" s="60">
        <f t="shared" si="26"/>
        <v>0</v>
      </c>
      <c r="Q145" s="61" t="str">
        <f>_xlfn.IFNA(VLOOKUP($F145,tblInfluence[],3,FALSE),"")</f>
        <v/>
      </c>
      <c r="R145" s="61" t="str">
        <f>_xlfn.IFNA(VLOOKUP($F145,tblInfluence[],4,FALSE),"")</f>
        <v/>
      </c>
      <c r="Y145" s="15" t="s">
        <v>187</v>
      </c>
      <c r="Z145" s="19"/>
      <c r="AA145" s="61" t="str">
        <f t="shared" si="23"/>
        <v/>
      </c>
      <c r="AC145" s="60"/>
      <c r="AD145" s="20"/>
      <c r="AE145" s="20" t="str">
        <f t="shared" si="24"/>
        <v/>
      </c>
      <c r="AF145" s="61" t="str" cm="1">
        <f t="array" ref="AF145">IF(AC145="","",SUMPRODUCT(($F$138:$F$157=AC145)*($G$138:$G$157=IF(AD145="","",AD145))*$P$138:$P$157))</f>
        <v/>
      </c>
    </row>
    <row r="146" spans="1:32">
      <c r="A146" s="1" t="s">
        <v>145</v>
      </c>
      <c r="B146" t="str">
        <f t="shared" si="27"/>
        <v>Speak, read and write a chosen language.</v>
      </c>
      <c r="D146" s="19"/>
      <c r="E146" s="15" t="s">
        <v>184</v>
      </c>
      <c r="F146" s="3"/>
      <c r="G146" s="3" t="str">
        <f>IFERROR(VLOOKUP(F146,tblManoeuvre[],2,FALSE)&amp;" "&amp;VLOOKUP(F146,tblManoeuvre[],3,FALSE),"")</f>
        <v/>
      </c>
      <c r="H146" s="67" t="str">
        <f>IFERROR(IF(VLOOKUP(F146,tblManoeuvre[],8,FALSE)=0,"None",VLOOKUP(F146,tblManoeuvre[],8,FALSE)),"None")</f>
        <v>None</v>
      </c>
      <c r="I146" s="67"/>
      <c r="L146" s="4"/>
      <c r="M146" s="4"/>
      <c r="N146" s="4"/>
      <c r="O146" s="61">
        <f t="shared" si="25"/>
        <v>0</v>
      </c>
      <c r="P146" s="60">
        <f t="shared" si="26"/>
        <v>0</v>
      </c>
      <c r="Q146" s="61" t="str">
        <f>_xlfn.IFNA(VLOOKUP($F146,tblInfluence[],3,FALSE),"")</f>
        <v/>
      </c>
      <c r="R146" s="61" t="str">
        <f>_xlfn.IFNA(VLOOKUP($F146,tblInfluence[],4,FALSE),"")</f>
        <v/>
      </c>
      <c r="Y146" s="15" t="s">
        <v>188</v>
      </c>
      <c r="Z146" s="19"/>
      <c r="AA146" s="61" t="str">
        <f t="shared" si="23"/>
        <v/>
      </c>
      <c r="AC146" s="60"/>
      <c r="AD146" s="20"/>
      <c r="AE146" s="20" t="str">
        <f t="shared" si="24"/>
        <v/>
      </c>
      <c r="AF146" s="61" t="str" cm="1">
        <f t="array" ref="AF146">IF(AC146="","",SUMPRODUCT(($F$138:$F$157=AC146)*($G$138:$G$157=IF(AD146="","",AD146))*$P$138:$P$157))</f>
        <v/>
      </c>
    </row>
    <row r="147" spans="1:32">
      <c r="A147" s="1" t="s">
        <v>146</v>
      </c>
      <c r="B147" t="str">
        <f t="shared" si="27"/>
        <v>Speak, read and write a chosen language.</v>
      </c>
      <c r="D147" s="19"/>
      <c r="E147" s="15" t="s">
        <v>185</v>
      </c>
      <c r="F147" s="3"/>
      <c r="G147" s="3" t="str">
        <f>IFERROR(VLOOKUP(F147,tblManoeuvre[],2,FALSE)&amp;" "&amp;VLOOKUP(F147,tblManoeuvre[],3,FALSE),"")</f>
        <v/>
      </c>
      <c r="H147" s="67" t="str">
        <f>IFERROR(IF(VLOOKUP(F147,tblManoeuvre[],8,FALSE)=0,"None",VLOOKUP(F147,tblManoeuvre[],8,FALSE)),"None")</f>
        <v>None</v>
      </c>
      <c r="I147" s="67"/>
      <c r="L147" s="4"/>
      <c r="M147" s="4"/>
      <c r="N147" s="4"/>
      <c r="O147" s="61">
        <f t="shared" si="25"/>
        <v>0</v>
      </c>
      <c r="P147" s="60">
        <f t="shared" si="26"/>
        <v>0</v>
      </c>
      <c r="Q147" s="61" t="str">
        <f>_xlfn.IFNA(VLOOKUP($F147,tblInfluence[],3,FALSE),"")</f>
        <v/>
      </c>
      <c r="R147" s="61" t="str">
        <f>_xlfn.IFNA(VLOOKUP($F147,tblInfluence[],4,FALSE),"")</f>
        <v/>
      </c>
      <c r="Y147" s="15" t="s">
        <v>189</v>
      </c>
      <c r="Z147" s="19"/>
      <c r="AA147" s="61" t="str">
        <f t="shared" si="23"/>
        <v/>
      </c>
      <c r="AC147" s="60"/>
      <c r="AD147" s="20"/>
      <c r="AE147" s="20" t="str">
        <f t="shared" si="24"/>
        <v/>
      </c>
      <c r="AF147" s="61" t="str" cm="1">
        <f t="array" ref="AF147">IF(AC147="","",SUMPRODUCT(($F$138:$F$157=AC147)*($G$138:$G$157=IF(AD147="","",AD147))*$P$138:$P$157))</f>
        <v/>
      </c>
    </row>
    <row r="148" spans="1:32">
      <c r="A148" s="1" t="s">
        <v>147</v>
      </c>
      <c r="B148" t="str">
        <f t="shared" si="27"/>
        <v>Ignore Resistance rolls from witnessing biological grotesquerie.</v>
      </c>
      <c r="D148" s="19"/>
      <c r="E148" s="15" t="s">
        <v>186</v>
      </c>
      <c r="F148" s="3"/>
      <c r="G148" s="3" t="str">
        <f>IFERROR(VLOOKUP(F148,tblManoeuvre[],2,FALSE)&amp;" "&amp;VLOOKUP(F148,tblManoeuvre[],3,FALSE),"")</f>
        <v/>
      </c>
      <c r="H148" s="67" t="str">
        <f>IFERROR(IF(VLOOKUP(F148,tblManoeuvre[],8,FALSE)=0,"None",VLOOKUP(F148,tblManoeuvre[],8,FALSE)),"None")</f>
        <v>None</v>
      </c>
      <c r="I148" s="67"/>
      <c r="L148" s="4"/>
      <c r="M148" s="4"/>
      <c r="N148" s="4"/>
      <c r="O148" s="61">
        <f t="shared" si="25"/>
        <v>0</v>
      </c>
      <c r="P148" s="60">
        <f t="shared" si="26"/>
        <v>0</v>
      </c>
      <c r="Q148" s="61" t="str">
        <f>_xlfn.IFNA(VLOOKUP($F148,tblInfluence[],3,FALSE),"")</f>
        <v/>
      </c>
      <c r="R148" s="61" t="str">
        <f>_xlfn.IFNA(VLOOKUP($F148,tblInfluence[],4,FALSE),"")</f>
        <v/>
      </c>
      <c r="Y148" s="15" t="s">
        <v>190</v>
      </c>
      <c r="Z148" s="19"/>
      <c r="AA148" s="61" t="str">
        <f t="shared" si="23"/>
        <v/>
      </c>
      <c r="AC148" s="60"/>
      <c r="AD148" s="20"/>
      <c r="AE148" s="20" t="str">
        <f t="shared" si="24"/>
        <v/>
      </c>
      <c r="AF148" s="61" t="str" cm="1">
        <f t="array" ref="AF148">IF(AC148="","",SUMPRODUCT(($F$138:$F$157=AC148)*($G$138:$G$157=IF(AD148="","",AD148))*$P$138:$P$157))</f>
        <v/>
      </c>
    </row>
    <row r="149" spans="1:32">
      <c r="A149" s="1" t="s">
        <v>148</v>
      </c>
      <c r="B149" t="str">
        <f t="shared" si="27"/>
        <v>Once per story, after a Crúac ritual, add ritual level to effective Crone Status for the chapter (Social rolls, favours, Social Merits until sunrise).</v>
      </c>
      <c r="D149" s="19"/>
      <c r="E149" s="15" t="s">
        <v>187</v>
      </c>
      <c r="F149" s="3"/>
      <c r="G149" s="3" t="str">
        <f>IFERROR(VLOOKUP(F149,tblManoeuvre[],2,FALSE)&amp;" "&amp;VLOOKUP(F149,tblManoeuvre[],3,FALSE),"")</f>
        <v/>
      </c>
      <c r="H149" s="67" t="str">
        <f>IFERROR(IF(VLOOKUP(F149,tblManoeuvre[],8,FALSE)=0,"None",VLOOKUP(F149,tblManoeuvre[],8,FALSE)),"None")</f>
        <v>None</v>
      </c>
      <c r="I149" s="67"/>
      <c r="L149" s="4"/>
      <c r="M149" s="4"/>
      <c r="N149" s="4"/>
      <c r="O149" s="61">
        <f t="shared" si="25"/>
        <v>0</v>
      </c>
      <c r="P149" s="60">
        <f t="shared" si="26"/>
        <v>0</v>
      </c>
      <c r="Q149" s="61" t="str">
        <f>_xlfn.IFNA(VLOOKUP($F149,tblInfluence[],3,FALSE),"")</f>
        <v/>
      </c>
      <c r="R149" s="61" t="str">
        <f>_xlfn.IFNA(VLOOKUP($F149,tblInfluence[],4,FALSE),"")</f>
        <v/>
      </c>
      <c r="Y149" s="15" t="s">
        <v>191</v>
      </c>
      <c r="Z149" s="19"/>
      <c r="AA149" s="61" t="str">
        <f t="shared" si="23"/>
        <v/>
      </c>
      <c r="AC149" s="60"/>
      <c r="AD149" s="20"/>
      <c r="AE149" s="20" t="str">
        <f t="shared" si="24"/>
        <v/>
      </c>
      <c r="AF149" s="61" t="str" cm="1">
        <f t="array" ref="AF149">IF(AC149="","",SUMPRODUCT(($F$138:$F$157=AC149)*($G$138:$G$157=IF(AD149="","",AD149))*$P$138:$P$157))</f>
        <v/>
      </c>
    </row>
    <row r="150" spans="1:32">
      <c r="A150" s="1" t="s">
        <v>149</v>
      </c>
      <c r="B150" t="str">
        <f t="shared" si="27"/>
        <v>¬</v>
      </c>
      <c r="D150" s="19"/>
      <c r="E150" s="15" t="s">
        <v>188</v>
      </c>
      <c r="F150" s="3"/>
      <c r="G150" s="3" t="str">
        <f>IFERROR(VLOOKUP(F150,tblManoeuvre[],2,FALSE)&amp;" "&amp;VLOOKUP(F150,tblManoeuvre[],3,FALSE),"")</f>
        <v/>
      </c>
      <c r="H150" s="67" t="str">
        <f>IFERROR(IF(VLOOKUP(F150,tblManoeuvre[],8,FALSE)=0,"None",VLOOKUP(F150,tblManoeuvre[],8,FALSE)),"None")</f>
        <v>None</v>
      </c>
      <c r="I150" s="67"/>
      <c r="L150" s="4"/>
      <c r="M150" s="4"/>
      <c r="N150" s="4"/>
      <c r="O150" s="61">
        <f t="shared" si="25"/>
        <v>0</v>
      </c>
      <c r="P150" s="60">
        <f t="shared" si="26"/>
        <v>0</v>
      </c>
      <c r="Q150" s="61" t="str">
        <f>_xlfn.IFNA(VLOOKUP($F150,tblInfluence[],3,FALSE),"")</f>
        <v/>
      </c>
      <c r="R150" s="61" t="str">
        <f>_xlfn.IFNA(VLOOKUP($F150,tblInfluence[],4,FALSE),"")</f>
        <v/>
      </c>
      <c r="Y150" s="15" t="s">
        <v>192</v>
      </c>
      <c r="Z150" s="19"/>
      <c r="AA150" s="61" t="str">
        <f t="shared" si="23"/>
        <v/>
      </c>
      <c r="AC150" s="60"/>
      <c r="AD150" s="20"/>
      <c r="AE150" s="20" t="str">
        <f t="shared" si="24"/>
        <v/>
      </c>
      <c r="AF150" s="61" t="str" cm="1">
        <f t="array" ref="AF150">IF(AC150="","",SUMPRODUCT(($F$138:$F$157=AC150)*($G$138:$G$157=IF(AD150="","",AD150))*$P$138:$P$157))</f>
        <v/>
      </c>
    </row>
    <row r="151" spans="1:32">
      <c r="A151" s="1" t="s">
        <v>150</v>
      </c>
      <c r="B151" t="str">
        <f t="shared" si="27"/>
        <v>¬</v>
      </c>
      <c r="D151" s="19"/>
      <c r="E151" s="15" t="s">
        <v>189</v>
      </c>
      <c r="F151" s="3"/>
      <c r="G151" s="3" t="str">
        <f>IFERROR(VLOOKUP(F151,tblManoeuvre[],2,FALSE)&amp;" "&amp;VLOOKUP(F151,tblManoeuvre[],3,FALSE),"")</f>
        <v/>
      </c>
      <c r="H151" s="67" t="str">
        <f>IFERROR(IF(VLOOKUP(F151,tblManoeuvre[],8,FALSE)=0,"None",VLOOKUP(F151,tblManoeuvre[],8,FALSE)),"None")</f>
        <v>None</v>
      </c>
      <c r="I151" s="67"/>
      <c r="L151" s="4"/>
      <c r="M151" s="4"/>
      <c r="N151" s="4"/>
      <c r="O151" s="61">
        <f t="shared" si="25"/>
        <v>0</v>
      </c>
      <c r="P151" s="60">
        <f t="shared" si="26"/>
        <v>0</v>
      </c>
      <c r="Q151" s="61" t="str">
        <f>_xlfn.IFNA(VLOOKUP($F151,tblInfluence[],3,FALSE),"")</f>
        <v/>
      </c>
      <c r="R151" s="61" t="str">
        <f>_xlfn.IFNA(VLOOKUP($F151,tblInfluence[],4,FALSE),"")</f>
        <v/>
      </c>
      <c r="Y151" s="15" t="s">
        <v>193</v>
      </c>
      <c r="Z151" s="19"/>
      <c r="AA151" s="61" t="str">
        <f t="shared" si="23"/>
        <v/>
      </c>
      <c r="AC151" s="60"/>
      <c r="AD151" s="20"/>
      <c r="AE151" s="20" t="str">
        <f t="shared" si="24"/>
        <v/>
      </c>
      <c r="AF151" s="61" t="str" cm="1">
        <f t="array" ref="AF151">IF(AC151="","",SUMPRODUCT(($F$138:$F$157=AC151)*($G$138:$G$157=IF(AD151="","",AD151))*$P$138:$P$157))</f>
        <v/>
      </c>
    </row>
    <row r="152" spans="1:32">
      <c r="A152" s="1" t="s">
        <v>151</v>
      </c>
      <c r="B152" t="str">
        <f t="shared" si="27"/>
        <v>¬</v>
      </c>
      <c r="D152" s="19"/>
      <c r="E152" s="15" t="s">
        <v>190</v>
      </c>
      <c r="F152" s="3"/>
      <c r="G152" s="3" t="str">
        <f>IFERROR(VLOOKUP(F152,tblManoeuvre[],2,FALSE)&amp;" "&amp;VLOOKUP(F152,tblManoeuvre[],3,FALSE),"")</f>
        <v/>
      </c>
      <c r="H152" s="67" t="str">
        <f>IFERROR(IF(VLOOKUP(F152,tblManoeuvre[],8,FALSE)=0,"None",VLOOKUP(F152,tblManoeuvre[],8,FALSE)),"None")</f>
        <v>None</v>
      </c>
      <c r="I152" s="67"/>
      <c r="L152" s="4"/>
      <c r="M152" s="4"/>
      <c r="N152" s="4"/>
      <c r="O152" s="61">
        <f t="shared" si="25"/>
        <v>0</v>
      </c>
      <c r="P152" s="60">
        <f t="shared" si="26"/>
        <v>0</v>
      </c>
      <c r="Q152" s="61" t="str">
        <f>_xlfn.IFNA(VLOOKUP($F152,tblInfluence[],3,FALSE),"")</f>
        <v/>
      </c>
      <c r="R152" s="61" t="str">
        <f>_xlfn.IFNA(VLOOKUP($F152,tblInfluence[],4,FALSE),"")</f>
        <v/>
      </c>
      <c r="Y152" s="15" t="s">
        <v>194</v>
      </c>
      <c r="Z152" s="19"/>
      <c r="AA152" s="61" t="str">
        <f t="shared" si="23"/>
        <v/>
      </c>
      <c r="AC152" s="60"/>
      <c r="AD152" s="20"/>
      <c r="AE152" s="20" t="str">
        <f t="shared" si="24"/>
        <v/>
      </c>
      <c r="AF152" s="61" t="str" cm="1">
        <f t="array" ref="AF152">IF(AC152="","",SUMPRODUCT(($F$138:$F$157=AC152)*($G$138:$G$157=IF(AD152="","",AD152))*$P$138:$P$157))</f>
        <v/>
      </c>
    </row>
    <row r="153" spans="1:32">
      <c r="A153" s="1" t="s">
        <v>152</v>
      </c>
      <c r="B153" t="str">
        <f t="shared" si="27"/>
        <v>¬</v>
      </c>
      <c r="D153" s="19"/>
      <c r="E153" s="15" t="s">
        <v>191</v>
      </c>
      <c r="F153" s="3"/>
      <c r="G153" s="3" t="str">
        <f>IFERROR(VLOOKUP(F153,tblManoeuvre[],2,FALSE)&amp;" "&amp;VLOOKUP(F153,tblManoeuvre[],3,FALSE),"")</f>
        <v/>
      </c>
      <c r="H153" s="67" t="str">
        <f>IFERROR(IF(VLOOKUP(F153,tblManoeuvre[],8,FALSE)=0,"None",VLOOKUP(F153,tblManoeuvre[],8,FALSE)),"None")</f>
        <v>None</v>
      </c>
      <c r="I153" s="67"/>
      <c r="L153" s="4"/>
      <c r="M153" s="4"/>
      <c r="N153" s="4"/>
      <c r="O153" s="61">
        <f t="shared" si="25"/>
        <v>0</v>
      </c>
      <c r="P153" s="60">
        <f t="shared" si="26"/>
        <v>0</v>
      </c>
      <c r="Q153" s="61" t="str">
        <f>_xlfn.IFNA(VLOOKUP($F153,tblInfluence[],3,FALSE),"")</f>
        <v/>
      </c>
      <c r="R153" s="61" t="str">
        <f>_xlfn.IFNA(VLOOKUP($F153,tblInfluence[],4,FALSE),"")</f>
        <v/>
      </c>
      <c r="Y153" s="15" t="s">
        <v>195</v>
      </c>
      <c r="Z153" s="19"/>
      <c r="AA153" s="61" t="str">
        <f t="shared" si="23"/>
        <v/>
      </c>
      <c r="AC153" s="60"/>
      <c r="AD153" s="20"/>
      <c r="AE153" s="20" t="str">
        <f t="shared" si="24"/>
        <v/>
      </c>
      <c r="AF153" s="61" t="str" cm="1">
        <f t="array" ref="AF153">IF(AC153="","",SUMPRODUCT(($F$138:$F$157=AC153)*($G$138:$G$157=IF(AD153="","",AD153))*$P$138:$P$157))</f>
        <v/>
      </c>
    </row>
    <row r="154" spans="1:32">
      <c r="A154" s="1" t="s">
        <v>153</v>
      </c>
      <c r="B154" t="str">
        <f t="shared" si="27"/>
        <v>¬</v>
      </c>
      <c r="D154" s="19"/>
      <c r="E154" s="15" t="s">
        <v>192</v>
      </c>
      <c r="F154" s="3"/>
      <c r="G154" s="3" t="str">
        <f>IFERROR(VLOOKUP(F154,tblManoeuvre[],2,FALSE)&amp;" "&amp;VLOOKUP(F154,tblManoeuvre[],3,FALSE),"")</f>
        <v/>
      </c>
      <c r="H154" s="67" t="str">
        <f>IFERROR(IF(VLOOKUP(F154,tblManoeuvre[],8,FALSE)=0,"None",VLOOKUP(F154,tblManoeuvre[],8,FALSE)),"None")</f>
        <v>None</v>
      </c>
      <c r="I154" s="67"/>
      <c r="L154" s="4"/>
      <c r="M154" s="4"/>
      <c r="N154" s="4"/>
      <c r="O154" s="61">
        <f t="shared" si="25"/>
        <v>0</v>
      </c>
      <c r="P154" s="60">
        <f t="shared" si="26"/>
        <v>0</v>
      </c>
      <c r="Q154" s="61" t="str">
        <f>_xlfn.IFNA(VLOOKUP($F154,tblInfluence[],3,FALSE),"")</f>
        <v/>
      </c>
      <c r="R154" s="61" t="str">
        <f>_xlfn.IFNA(VLOOKUP($F154,tblInfluence[],4,FALSE),"")</f>
        <v/>
      </c>
    </row>
    <row r="155" spans="1:32">
      <c r="A155" s="1" t="s">
        <v>154</v>
      </c>
      <c r="B155" t="str">
        <f t="shared" si="27"/>
        <v>¬</v>
      </c>
      <c r="D155" s="19"/>
      <c r="E155" s="15" t="s">
        <v>193</v>
      </c>
      <c r="F155" s="3"/>
      <c r="G155" s="3" t="str">
        <f>IFERROR(VLOOKUP(F155,tblManoeuvre[],2,FALSE)&amp;" "&amp;VLOOKUP(F155,tblManoeuvre[],3,FALSE),"")</f>
        <v/>
      </c>
      <c r="H155" s="67" t="str">
        <f>IFERROR(IF(VLOOKUP(F155,tblManoeuvre[],8,FALSE)=0,"None",VLOOKUP(F155,tblManoeuvre[],8,FALSE)),"None")</f>
        <v>None</v>
      </c>
      <c r="I155" s="67"/>
      <c r="L155" s="4"/>
      <c r="M155" s="4"/>
      <c r="N155" s="4"/>
      <c r="O155" s="61">
        <f t="shared" si="25"/>
        <v>0</v>
      </c>
      <c r="P155" s="60">
        <f t="shared" si="26"/>
        <v>0</v>
      </c>
      <c r="Q155" s="61" t="str">
        <f>_xlfn.IFNA(VLOOKUP($F155,tblInfluence[],3,FALSE),"")</f>
        <v/>
      </c>
      <c r="R155" s="61" t="str">
        <f>_xlfn.IFNA(VLOOKUP($F155,tblInfluence[],4,FALSE),"")</f>
        <v/>
      </c>
      <c r="AE155" s="61">
        <f>IF(P160=5,1,0)</f>
        <v>0</v>
      </c>
    </row>
    <row r="156" spans="1:32">
      <c r="A156" s="1" t="s">
        <v>155</v>
      </c>
      <c r="B156" t="str">
        <f t="shared" si="27"/>
        <v>¬</v>
      </c>
      <c r="D156" s="19"/>
      <c r="E156" s="15" t="s">
        <v>194</v>
      </c>
      <c r="F156" s="3"/>
      <c r="G156" s="3" t="str">
        <f>IFERROR(VLOOKUP(F156,tblManoeuvre[],2,FALSE)&amp;" "&amp;VLOOKUP(F156,tblManoeuvre[],3,FALSE),"")</f>
        <v/>
      </c>
      <c r="H156" s="67" t="str">
        <f>IFERROR(IF(VLOOKUP(F156,tblManoeuvre[],8,FALSE)=0,"None",VLOOKUP(F156,tblManoeuvre[],8,FALSE)),"None")</f>
        <v>None</v>
      </c>
      <c r="I156" s="67"/>
      <c r="L156" s="4"/>
      <c r="M156" s="4"/>
      <c r="N156" s="4"/>
      <c r="O156" s="61">
        <f t="shared" si="25"/>
        <v>0</v>
      </c>
      <c r="P156" s="60">
        <f t="shared" si="26"/>
        <v>0</v>
      </c>
      <c r="Q156" s="61" t="str">
        <f>_xlfn.IFNA(VLOOKUP($F156,tblInfluence[],3,FALSE),"")</f>
        <v/>
      </c>
      <c r="R156" s="61" t="str">
        <f>_xlfn.IFNA(VLOOKUP($F156,tblInfluence[],4,FALSE),"")</f>
        <v/>
      </c>
      <c r="AE156" s="61" t="b">
        <f>COUNTIF(AA2:AA21,"*Honey With Vinegar*")&gt;0</f>
        <v>0</v>
      </c>
    </row>
    <row r="157" spans="1:32">
      <c r="A157" s="1" t="s">
        <v>156</v>
      </c>
      <c r="B157" t="str">
        <f t="shared" si="27"/>
        <v>¬</v>
      </c>
      <c r="D157" s="19"/>
      <c r="E157" s="15" t="s">
        <v>195</v>
      </c>
      <c r="F157" s="3"/>
      <c r="G157" s="3" t="str">
        <f>IFERROR(VLOOKUP(F157,tblManoeuvre[],2,FALSE)&amp;" "&amp;VLOOKUP(F157,tblManoeuvre[],3,FALSE),"")</f>
        <v/>
      </c>
      <c r="H157" s="67" t="str">
        <f>IFERROR(IF(VLOOKUP(F157,tblManoeuvre[],8,FALSE)=0,"None",VLOOKUP(F157,tblManoeuvre[],8,FALSE)),"None")</f>
        <v>None</v>
      </c>
      <c r="I157" s="67"/>
      <c r="L157" s="4"/>
      <c r="M157" s="4"/>
      <c r="N157" s="4"/>
      <c r="O157" s="61">
        <f t="shared" si="25"/>
        <v>0</v>
      </c>
      <c r="P157" s="60">
        <f t="shared" si="26"/>
        <v>0</v>
      </c>
      <c r="Q157" s="61" t="str">
        <f>_xlfn.IFNA(VLOOKUP($F157,tblInfluence[],3,FALSE),"")</f>
        <v/>
      </c>
      <c r="R157" s="61" t="str">
        <f>_xlfn.IFNA(VLOOKUP($F157,tblInfluence[],4,FALSE),"")</f>
        <v/>
      </c>
    </row>
    <row r="158" spans="1:32">
      <c r="A158" s="1" t="s">
        <v>157</v>
      </c>
      <c r="B158" t="str">
        <f t="shared" si="27"/>
        <v>¬</v>
      </c>
    </row>
    <row r="159" spans="1:32">
      <c r="A159" s="1" t="s">
        <v>158</v>
      </c>
      <c r="B159" t="str">
        <f t="shared" si="27"/>
        <v>¬</v>
      </c>
      <c r="D159" s="16" t="s">
        <v>1486</v>
      </c>
      <c r="E159" s="17"/>
      <c r="F159" s="17" t="s">
        <v>1487</v>
      </c>
      <c r="G159" s="17"/>
      <c r="H159" s="17"/>
      <c r="I159" s="17"/>
    </row>
    <row r="160" spans="1:32">
      <c r="A160" s="1" t="s">
        <v>159</v>
      </c>
      <c r="B160" t="str">
        <f t="shared" si="27"/>
        <v>¬</v>
      </c>
      <c r="D160" s="19"/>
      <c r="E160" s="15" t="s">
        <v>98</v>
      </c>
      <c r="F160" s="3"/>
      <c r="G160" s="60"/>
      <c r="H160" s="60"/>
      <c r="I160" s="60"/>
      <c r="L160" s="4"/>
      <c r="M160" s="4"/>
      <c r="N160" s="4"/>
      <c r="O160" s="61">
        <f>N160</f>
        <v>0</v>
      </c>
      <c r="P160" s="60">
        <f>MIN(SUM(L160,M160,O160),R160)</f>
        <v>0</v>
      </c>
      <c r="Q160" s="61">
        <v>1</v>
      </c>
      <c r="R160" s="61">
        <v>5</v>
      </c>
    </row>
    <row r="161" spans="1:18">
      <c r="A161" s="1" t="s">
        <v>160</v>
      </c>
      <c r="B161" t="str">
        <f t="shared" si="27"/>
        <v>¬</v>
      </c>
      <c r="D161" s="19"/>
      <c r="E161" s="15" t="s">
        <v>100</v>
      </c>
      <c r="F161" s="3"/>
      <c r="G161" s="60"/>
      <c r="H161" s="60"/>
      <c r="I161" s="60"/>
      <c r="L161" s="4"/>
      <c r="M161" s="4"/>
      <c r="N161" s="4"/>
      <c r="O161" s="61">
        <f>N161</f>
        <v>0</v>
      </c>
      <c r="P161" s="60">
        <f>MIN(SUM(L161,M161,O161),R161)</f>
        <v>0</v>
      </c>
      <c r="Q161" s="61">
        <v>1</v>
      </c>
      <c r="R161" s="61">
        <v>5</v>
      </c>
    </row>
    <row r="162" spans="1:18">
      <c r="A162" s="1" t="s">
        <v>161</v>
      </c>
      <c r="B162" t="str">
        <f t="shared" si="27"/>
        <v>¬</v>
      </c>
    </row>
    <row r="163" spans="1:18" ht="15.75" thickBot="1">
      <c r="A163" s="1" t="s">
        <v>162</v>
      </c>
      <c r="B163" t="str">
        <f t="shared" si="27"/>
        <v>¬</v>
      </c>
      <c r="D163" s="14" t="s">
        <v>1488</v>
      </c>
      <c r="E163" s="14"/>
      <c r="F163" s="14"/>
      <c r="G163" s="14"/>
      <c r="H163" s="14"/>
      <c r="I163" s="14"/>
      <c r="N163" s="60">
        <f>SUM(N165:N174)+SUM(N177:N181)+SUM(N184:N185)+SUM(N187:N191)+SUM(N194:N203)</f>
        <v>15</v>
      </c>
    </row>
    <row r="164" spans="1:18">
      <c r="A164" s="1" t="s">
        <v>163</v>
      </c>
      <c r="B164" t="str">
        <f t="shared" si="27"/>
        <v>¬</v>
      </c>
      <c r="D164" s="16" t="s">
        <v>1489</v>
      </c>
      <c r="E164" s="15" t="s">
        <v>1490</v>
      </c>
      <c r="F164" s="61" t="str">
        <f>IFERROR(IF($F$8="",VLOOKUP($F$7,tblClans[],5,FALSE),VLOOKUP($F$8,tblBloodlines[],5,FALSE)),"")</f>
        <v>Auspex</v>
      </c>
      <c r="G164" s="61" t="str">
        <f>IFERROR(IF($F$8="",VLOOKUP($F$7,tblClans[],6,FALSE),VLOOKUP($F$8,tblBloodlines[],6,FALSE)),"")</f>
        <v>Celerity</v>
      </c>
      <c r="H164" s="61" t="str">
        <f>IFERROR(IF($F$8="",VLOOKUP($F$7,tblClans[],7,FALSE),VLOOKUP($F$8,tblBloodlines[],7,FALSE)),"")</f>
        <v>Obfuscate</v>
      </c>
      <c r="I164" s="61" t="str">
        <f>IFERROR(IF($F$8="",VLOOKUP($F$7,tblClans[],8,FALSE),VLOOKUP($F$8,tblBloodlines[],8,FALSE)),"")</f>
        <v/>
      </c>
      <c r="L164" s="60">
        <f>3-SUM(L165:L174)-SUM(L184:L185)</f>
        <v>0</v>
      </c>
    </row>
    <row r="165" spans="1:18">
      <c r="A165" s="1" t="s">
        <v>164</v>
      </c>
      <c r="B165" t="str">
        <f t="shared" si="27"/>
        <v>¬</v>
      </c>
      <c r="D165" s="19"/>
      <c r="E165" s="15" t="s">
        <v>236</v>
      </c>
      <c r="F165" s="19"/>
      <c r="G165" s="19"/>
      <c r="H165" s="19"/>
      <c r="I165" s="19"/>
      <c r="L165" s="4"/>
      <c r="N165" s="4"/>
      <c r="O165" s="61">
        <f t="shared" ref="O165:O174" si="28">ROUNDDOWN(IF(COUNTIF($F$164:$I$164,$E165)&gt;0,N165/3,N165/4),0)</f>
        <v>0</v>
      </c>
      <c r="P165" s="60">
        <f>MIN(SUM(L165,O165),R165)</f>
        <v>0</v>
      </c>
      <c r="Q165" s="61">
        <v>0</v>
      </c>
      <c r="R165" s="61">
        <v>5</v>
      </c>
    </row>
    <row r="166" spans="1:18">
      <c r="A166" s="1" t="s">
        <v>165</v>
      </c>
      <c r="B166" t="str">
        <f t="shared" si="27"/>
        <v>¬</v>
      </c>
      <c r="D166" s="19"/>
      <c r="E166" s="15" t="s">
        <v>237</v>
      </c>
      <c r="F166" s="19"/>
      <c r="G166" s="19"/>
      <c r="H166" s="19"/>
      <c r="I166" s="19"/>
      <c r="L166" s="4">
        <v>2</v>
      </c>
      <c r="N166" s="4"/>
      <c r="O166" s="61">
        <f t="shared" si="28"/>
        <v>0</v>
      </c>
      <c r="P166" s="60">
        <f t="shared" ref="P166:P174" si="29">MIN(SUM(L166,O166),R166)</f>
        <v>2</v>
      </c>
      <c r="Q166" s="61">
        <v>0</v>
      </c>
      <c r="R166" s="61">
        <v>5</v>
      </c>
    </row>
    <row r="167" spans="1:18">
      <c r="A167" s="1" t="s">
        <v>166</v>
      </c>
      <c r="B167" t="str">
        <f t="shared" si="27"/>
        <v>¬</v>
      </c>
      <c r="D167" s="19"/>
      <c r="E167" s="15" t="s">
        <v>238</v>
      </c>
      <c r="F167" s="19"/>
      <c r="G167" s="19"/>
      <c r="H167" s="19"/>
      <c r="I167" s="19"/>
      <c r="L167" s="4"/>
      <c r="N167" s="4"/>
      <c r="O167" s="61">
        <f t="shared" si="28"/>
        <v>0</v>
      </c>
      <c r="P167" s="60">
        <f t="shared" si="29"/>
        <v>0</v>
      </c>
      <c r="Q167" s="61">
        <v>0</v>
      </c>
      <c r="R167" s="61">
        <v>5</v>
      </c>
    </row>
    <row r="168" spans="1:18">
      <c r="A168" s="1" t="s">
        <v>167</v>
      </c>
      <c r="B168" t="str">
        <f t="shared" si="27"/>
        <v>¬</v>
      </c>
      <c r="D168" s="19"/>
      <c r="E168" s="15" t="s">
        <v>239</v>
      </c>
      <c r="F168" s="19"/>
      <c r="G168" s="19"/>
      <c r="H168" s="19"/>
      <c r="I168" s="19"/>
      <c r="L168" s="4"/>
      <c r="N168" s="4"/>
      <c r="O168" s="61">
        <f t="shared" si="28"/>
        <v>0</v>
      </c>
      <c r="P168" s="60">
        <f t="shared" si="29"/>
        <v>0</v>
      </c>
      <c r="Q168" s="61">
        <v>0</v>
      </c>
      <c r="R168" s="61">
        <v>5</v>
      </c>
    </row>
    <row r="169" spans="1:18">
      <c r="A169" s="1" t="s">
        <v>168</v>
      </c>
      <c r="B169" t="str">
        <f t="shared" si="27"/>
        <v>¬</v>
      </c>
      <c r="D169" s="19"/>
      <c r="E169" s="15" t="s">
        <v>240</v>
      </c>
      <c r="F169" s="19"/>
      <c r="G169" s="19"/>
      <c r="H169" s="19"/>
      <c r="I169" s="19"/>
      <c r="L169" s="4"/>
      <c r="N169" s="4"/>
      <c r="O169" s="61">
        <f t="shared" si="28"/>
        <v>0</v>
      </c>
      <c r="P169" s="60">
        <f t="shared" si="29"/>
        <v>0</v>
      </c>
      <c r="Q169" s="61">
        <v>0</v>
      </c>
      <c r="R169" s="61">
        <v>5</v>
      </c>
    </row>
    <row r="170" spans="1:18">
      <c r="A170" s="1" t="s">
        <v>169</v>
      </c>
      <c r="B170" t="str">
        <f t="shared" si="27"/>
        <v>¬</v>
      </c>
      <c r="D170" s="19"/>
      <c r="E170" s="15" t="s">
        <v>241</v>
      </c>
      <c r="F170" s="19"/>
      <c r="G170" s="19"/>
      <c r="H170" s="19"/>
      <c r="I170" s="19"/>
      <c r="L170" s="4"/>
      <c r="N170" s="4"/>
      <c r="O170" s="61">
        <f t="shared" si="28"/>
        <v>0</v>
      </c>
      <c r="P170" s="60">
        <f t="shared" si="29"/>
        <v>0</v>
      </c>
      <c r="Q170" s="61">
        <v>0</v>
      </c>
      <c r="R170" s="61">
        <v>5</v>
      </c>
    </row>
    <row r="171" spans="1:18">
      <c r="A171" s="1" t="s">
        <v>170</v>
      </c>
      <c r="B171" t="str">
        <f t="shared" si="27"/>
        <v>¬</v>
      </c>
      <c r="D171" s="19"/>
      <c r="E171" s="15" t="s">
        <v>242</v>
      </c>
      <c r="F171" s="19"/>
      <c r="G171" s="19"/>
      <c r="H171" s="19"/>
      <c r="I171" s="19"/>
      <c r="L171" s="4"/>
      <c r="N171" s="4">
        <v>3</v>
      </c>
      <c r="O171" s="61">
        <f t="shared" si="28"/>
        <v>1</v>
      </c>
      <c r="P171" s="60">
        <f t="shared" si="29"/>
        <v>1</v>
      </c>
      <c r="Q171" s="61">
        <v>0</v>
      </c>
      <c r="R171" s="61">
        <v>5</v>
      </c>
    </row>
    <row r="172" spans="1:18">
      <c r="A172" s="1" t="s">
        <v>171</v>
      </c>
      <c r="B172" t="str">
        <f t="shared" si="27"/>
        <v>¬</v>
      </c>
      <c r="D172" s="19"/>
      <c r="E172" s="15" t="s">
        <v>243</v>
      </c>
      <c r="F172" s="19"/>
      <c r="G172" s="19"/>
      <c r="H172" s="19"/>
      <c r="I172" s="19"/>
      <c r="L172" s="4"/>
      <c r="N172" s="4">
        <v>4</v>
      </c>
      <c r="O172" s="61">
        <f t="shared" si="28"/>
        <v>1</v>
      </c>
      <c r="P172" s="60">
        <f t="shared" si="29"/>
        <v>1</v>
      </c>
      <c r="Q172" s="61">
        <v>0</v>
      </c>
      <c r="R172" s="61">
        <v>5</v>
      </c>
    </row>
    <row r="173" spans="1:18">
      <c r="A173" s="1" t="s">
        <v>172</v>
      </c>
      <c r="B173" t="str">
        <f t="shared" si="27"/>
        <v>¬</v>
      </c>
      <c r="D173" s="19"/>
      <c r="E173" s="15" t="s">
        <v>244</v>
      </c>
      <c r="F173" s="19"/>
      <c r="G173" s="19"/>
      <c r="H173" s="19"/>
      <c r="I173" s="19"/>
      <c r="L173" s="4"/>
      <c r="N173" s="4"/>
      <c r="O173" s="61">
        <f t="shared" si="28"/>
        <v>0</v>
      </c>
      <c r="P173" s="60">
        <f t="shared" si="29"/>
        <v>0</v>
      </c>
      <c r="Q173" s="61">
        <v>0</v>
      </c>
      <c r="R173" s="61">
        <v>5</v>
      </c>
    </row>
    <row r="174" spans="1:18">
      <c r="A174" s="1" t="s">
        <v>173</v>
      </c>
      <c r="B174" t="str">
        <f t="shared" si="27"/>
        <v>¬</v>
      </c>
      <c r="D174" s="19"/>
      <c r="E174" s="15" t="s">
        <v>245</v>
      </c>
      <c r="F174" s="19"/>
      <c r="G174" s="19"/>
      <c r="H174" s="19"/>
      <c r="I174" s="19"/>
      <c r="L174" s="4"/>
      <c r="N174" s="4"/>
      <c r="O174" s="61">
        <f t="shared" si="28"/>
        <v>0</v>
      </c>
      <c r="P174" s="60">
        <f t="shared" si="29"/>
        <v>0</v>
      </c>
      <c r="Q174" s="61">
        <v>0</v>
      </c>
      <c r="R174" s="61">
        <v>5</v>
      </c>
    </row>
    <row r="175" spans="1:18">
      <c r="A175" s="1" t="s">
        <v>174</v>
      </c>
      <c r="B175" t="str">
        <f>_xlfn.CONCAT(I137-H137," / ",I137)</f>
        <v>7 / 7</v>
      </c>
    </row>
    <row r="176" spans="1:18">
      <c r="A176" s="1" t="s">
        <v>175</v>
      </c>
      <c r="B176" t="str">
        <f>REPT("□",I137-H137) &amp; REPT("■",H137)</f>
        <v>□□□□□□□</v>
      </c>
      <c r="D176" s="16" t="s">
        <v>1491</v>
      </c>
      <c r="E176" s="16"/>
      <c r="F176" s="16"/>
      <c r="G176" s="16"/>
      <c r="H176" s="16"/>
      <c r="I176" s="16"/>
    </row>
    <row r="177" spans="1:18">
      <c r="A177" s="1" t="s">
        <v>176</v>
      </c>
      <c r="B177" t="str">
        <f t="shared" ref="B177:B196" si="30">IF(AC134="","¬",AC134)</f>
        <v>Retainer</v>
      </c>
      <c r="D177" s="19"/>
      <c r="E177" s="15" t="s">
        <v>1492</v>
      </c>
      <c r="F177" s="3"/>
      <c r="G177" s="19"/>
      <c r="H177" s="72" t="str">
        <f>IFERROR(IF(VLOOKUP(F177,tblDisciplines[],14,FALSE)=0,"None",VLOOKUP(F177,tblDisciplines[],14,FALSE)),"None")</f>
        <v>None</v>
      </c>
      <c r="I177" s="73"/>
      <c r="N177" s="4"/>
      <c r="O177" s="61">
        <f>N177</f>
        <v>0</v>
      </c>
      <c r="P177" s="60" t="str">
        <f>IF(O177=R177,O177,"")</f>
        <v/>
      </c>
      <c r="R177" s="61" t="str">
        <f>_xlfn.IFNA(VLOOKUP(F177,tblDisciplines[],15,FALSE),"")</f>
        <v/>
      </c>
    </row>
    <row r="178" spans="1:18">
      <c r="A178" s="1" t="s">
        <v>177</v>
      </c>
      <c r="B178" t="str">
        <f t="shared" si="30"/>
        <v>¬</v>
      </c>
      <c r="D178" s="19"/>
      <c r="E178" s="15" t="s">
        <v>1493</v>
      </c>
      <c r="F178" s="3"/>
      <c r="G178" s="19"/>
      <c r="H178" s="72" t="str">
        <f>IFERROR(IF(VLOOKUP(F178,tblDisciplines[],14,FALSE)=0,"None",VLOOKUP(F178,tblDisciplines[],14,FALSE)),"None")</f>
        <v>None</v>
      </c>
      <c r="I178" s="73"/>
      <c r="N178" s="4"/>
      <c r="O178" s="61">
        <f>N178</f>
        <v>0</v>
      </c>
      <c r="P178" s="60" t="str">
        <f>IF(O178=R178,O178,"")</f>
        <v/>
      </c>
      <c r="R178" s="61" t="str">
        <f>_xlfn.IFNA(VLOOKUP(F178,tblDisciplines[],15,FALSE),"")</f>
        <v/>
      </c>
    </row>
    <row r="179" spans="1:18">
      <c r="A179" s="1" t="s">
        <v>178</v>
      </c>
      <c r="B179" t="str">
        <f t="shared" si="30"/>
        <v>¬</v>
      </c>
      <c r="D179" s="19"/>
      <c r="E179" s="15" t="s">
        <v>1494</v>
      </c>
      <c r="F179" s="3"/>
      <c r="G179" s="19"/>
      <c r="H179" s="72" t="str">
        <f>IFERROR(IF(VLOOKUP(F179,tblDisciplines[],14,FALSE)=0,"None",VLOOKUP(F179,tblDisciplines[],14,FALSE)),"None")</f>
        <v>None</v>
      </c>
      <c r="I179" s="73"/>
      <c r="N179" s="4"/>
      <c r="O179" s="61">
        <f>N179</f>
        <v>0</v>
      </c>
      <c r="P179" s="60" t="str">
        <f>IF(O179=R179,O179,"")</f>
        <v/>
      </c>
      <c r="R179" s="61" t="str">
        <f>_xlfn.IFNA(VLOOKUP(F179,tblDisciplines[],15,FALSE),"")</f>
        <v/>
      </c>
    </row>
    <row r="180" spans="1:18">
      <c r="A180" s="1" t="s">
        <v>179</v>
      </c>
      <c r="B180" t="str">
        <f t="shared" si="30"/>
        <v>¬</v>
      </c>
      <c r="D180" s="19"/>
      <c r="E180" s="15" t="s">
        <v>1495</v>
      </c>
      <c r="F180" s="3"/>
      <c r="G180" s="19"/>
      <c r="H180" s="72" t="str">
        <f>IFERROR(IF(VLOOKUP(F180,tblDisciplines[],14,FALSE)=0,"None",VLOOKUP(F180,tblDisciplines[],14,FALSE)),"None")</f>
        <v>None</v>
      </c>
      <c r="I180" s="73"/>
      <c r="N180" s="4"/>
      <c r="O180" s="61">
        <f>N180</f>
        <v>0</v>
      </c>
      <c r="P180" s="60" t="str">
        <f>IF(O180=R180,O180,"")</f>
        <v/>
      </c>
      <c r="R180" s="61" t="str">
        <f>_xlfn.IFNA(VLOOKUP(F180,tblDisciplines[],15,FALSE),"")</f>
        <v/>
      </c>
    </row>
    <row r="181" spans="1:18">
      <c r="A181" s="1" t="s">
        <v>180</v>
      </c>
      <c r="B181" t="str">
        <f t="shared" si="30"/>
        <v>¬</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30"/>
        <v>¬</v>
      </c>
    </row>
    <row r="183" spans="1:18">
      <c r="A183" s="1" t="s">
        <v>182</v>
      </c>
      <c r="B183" t="str">
        <f t="shared" si="30"/>
        <v>¬</v>
      </c>
      <c r="D183" s="16" t="s">
        <v>1497</v>
      </c>
      <c r="E183" s="16"/>
      <c r="F183" s="16"/>
      <c r="G183" s="16"/>
      <c r="H183" s="16"/>
      <c r="I183" s="16"/>
    </row>
    <row r="184" spans="1:18">
      <c r="A184" s="1" t="s">
        <v>183</v>
      </c>
      <c r="B184" t="str">
        <f t="shared" si="30"/>
        <v>¬</v>
      </c>
      <c r="D184" s="19"/>
      <c r="E184" s="15" t="s">
        <v>246</v>
      </c>
      <c r="F184" s="19"/>
      <c r="G184" s="19"/>
      <c r="H184" s="19"/>
      <c r="I184" s="60" t="b">
        <f>IF(OR(F$9="Circle of the Crone",COUNTIF(F$79:F$93,"Chorister")&gt;0),TRUE,FALSE)</f>
        <v>1</v>
      </c>
      <c r="L184" s="4">
        <v>1</v>
      </c>
      <c r="N184" s="4">
        <v>8</v>
      </c>
      <c r="O184" s="61">
        <f>ROUNDDOWN(N184/4,0)</f>
        <v>2</v>
      </c>
      <c r="P184" s="60">
        <f>SUM(L184,O184)</f>
        <v>3</v>
      </c>
      <c r="Q184" s="61">
        <v>0</v>
      </c>
      <c r="R184" s="61">
        <v>5</v>
      </c>
    </row>
    <row r="185" spans="1:18">
      <c r="A185" s="1" t="s">
        <v>184</v>
      </c>
      <c r="B185" t="str">
        <f t="shared" si="30"/>
        <v>¬</v>
      </c>
      <c r="D185" s="19"/>
      <c r="E185" s="15" t="s">
        <v>247</v>
      </c>
      <c r="F185" s="19"/>
      <c r="G185" s="19"/>
      <c r="H185" s="19"/>
      <c r="I185" s="60" t="b">
        <f>IF(OR(F$9="Lancea et Sanctum",COUNTIF(F$79:F$93,"Laity")&gt;0),TRUE,FALSE)</f>
        <v>0</v>
      </c>
      <c r="L185" s="4"/>
      <c r="N185" s="4"/>
      <c r="O185" s="61">
        <f>ROUNDDOWN(N185/4,0)</f>
        <v>0</v>
      </c>
      <c r="P185" s="60">
        <f>SUM(L185,O185)</f>
        <v>0</v>
      </c>
      <c r="Q185" s="61">
        <v>0</v>
      </c>
      <c r="R185" s="61">
        <v>5</v>
      </c>
    </row>
    <row r="186" spans="1:18">
      <c r="A186" s="1" t="s">
        <v>185</v>
      </c>
      <c r="B186" t="str">
        <f t="shared" si="30"/>
        <v>¬</v>
      </c>
      <c r="D186" s="19"/>
      <c r="E186" s="19"/>
      <c r="F186" s="19"/>
      <c r="G186" s="19"/>
      <c r="H186" s="19"/>
      <c r="I186" s="19"/>
      <c r="L186" s="60">
        <f>SUM(P184:P185)-SUM(L187:L191)</f>
        <v>0</v>
      </c>
    </row>
    <row r="187" spans="1:18">
      <c r="A187" s="1" t="s">
        <v>186</v>
      </c>
      <c r="B187" t="str">
        <f t="shared" si="30"/>
        <v>¬</v>
      </c>
      <c r="D187" s="19"/>
      <c r="E187" s="15" t="s">
        <v>248</v>
      </c>
      <c r="F187" s="19"/>
      <c r="G187" s="19"/>
      <c r="H187" s="19"/>
      <c r="I187" s="19"/>
      <c r="L187" s="4"/>
      <c r="M187" s="61">
        <f>IF(AND(I184,L184&gt;=1),1,0)</f>
        <v>1</v>
      </c>
      <c r="N187" s="4"/>
      <c r="O187" s="61">
        <f>ROUNDDOWN(N187/2,0)</f>
        <v>0</v>
      </c>
      <c r="P187" s="60">
        <f>MIN(SUM(L187,M187,O187),R187)</f>
        <v>1</v>
      </c>
      <c r="Q187" s="61">
        <v>0</v>
      </c>
      <c r="R187" s="61">
        <f>MAX(P$184,P$185)</f>
        <v>3</v>
      </c>
    </row>
    <row r="188" spans="1:18">
      <c r="A188" s="1" t="s">
        <v>187</v>
      </c>
      <c r="B188" t="str">
        <f t="shared" si="30"/>
        <v>¬</v>
      </c>
      <c r="D188" s="19"/>
      <c r="E188" s="15" t="s">
        <v>249</v>
      </c>
      <c r="F188" s="19"/>
      <c r="G188" s="19"/>
      <c r="H188" s="19"/>
      <c r="I188" s="19"/>
      <c r="L188" s="4"/>
      <c r="M188" s="61"/>
      <c r="N188" s="4"/>
      <c r="O188" s="61">
        <f>ROUNDDOWN(N188/2,0)</f>
        <v>0</v>
      </c>
      <c r="P188" s="60">
        <f>MIN(SUM(L188,M188,O188),R188)</f>
        <v>0</v>
      </c>
      <c r="Q188" s="61">
        <v>0</v>
      </c>
      <c r="R188" s="61">
        <f>MAX(P$184,P$185)</f>
        <v>3</v>
      </c>
    </row>
    <row r="189" spans="1:18">
      <c r="A189" s="1" t="s">
        <v>188</v>
      </c>
      <c r="B189" t="str">
        <f t="shared" si="30"/>
        <v>¬</v>
      </c>
      <c r="D189" s="19"/>
      <c r="E189" s="15" t="s">
        <v>250</v>
      </c>
      <c r="F189" s="19"/>
      <c r="G189" s="19"/>
      <c r="H189" s="19"/>
      <c r="I189" s="19"/>
      <c r="L189" s="4">
        <v>3</v>
      </c>
      <c r="M189" s="61">
        <f>IF(AND(I185,L185&gt;=1),1,0)</f>
        <v>0</v>
      </c>
      <c r="N189" s="4"/>
      <c r="O189" s="61">
        <f>ROUNDDOWN(N189/2,0)</f>
        <v>0</v>
      </c>
      <c r="P189" s="60">
        <f>MIN(SUM(L189,M189,O189),R189)</f>
        <v>3</v>
      </c>
      <c r="Q189" s="61">
        <v>0</v>
      </c>
      <c r="R189" s="61">
        <f>MAX(P$184,P$185)</f>
        <v>3</v>
      </c>
    </row>
    <row r="190" spans="1:18">
      <c r="A190" s="1" t="s">
        <v>189</v>
      </c>
      <c r="B190" t="str">
        <f t="shared" si="30"/>
        <v>¬</v>
      </c>
      <c r="D190" s="19"/>
      <c r="E190" s="15" t="s">
        <v>251</v>
      </c>
      <c r="F190" s="19"/>
      <c r="G190" s="19"/>
      <c r="H190" s="19"/>
      <c r="I190" s="19"/>
      <c r="L190" s="4"/>
      <c r="M190" s="61">
        <f>IF(AND(I184,L184&gt;=1),1,0)</f>
        <v>1</v>
      </c>
      <c r="N190" s="4"/>
      <c r="O190" s="61">
        <f>ROUNDDOWN(N190/2,0)</f>
        <v>0</v>
      </c>
      <c r="P190" s="60">
        <f>MIN(SUM(L190,M190,O190),R190)</f>
        <v>1</v>
      </c>
      <c r="Q190" s="61">
        <v>0</v>
      </c>
      <c r="R190" s="61">
        <f>MAX(P$184,P$185)</f>
        <v>3</v>
      </c>
    </row>
    <row r="191" spans="1:18">
      <c r="A191" s="1" t="s">
        <v>190</v>
      </c>
      <c r="B191" t="str">
        <f t="shared" si="30"/>
        <v>¬</v>
      </c>
      <c r="D191" s="19"/>
      <c r="E191" s="15" t="s">
        <v>252</v>
      </c>
      <c r="F191" s="19"/>
      <c r="G191" s="19"/>
      <c r="H191" s="19"/>
      <c r="I191" s="19"/>
      <c r="L191" s="4"/>
      <c r="M191" s="61">
        <f>IF(AND(I185,L185&gt;=1),1,0)</f>
        <v>0</v>
      </c>
      <c r="N191" s="4"/>
      <c r="O191" s="61">
        <f>ROUNDDOWN(N191/2,0)</f>
        <v>0</v>
      </c>
      <c r="P191" s="60">
        <f>MIN(SUM(L191,M191,O191),R191)</f>
        <v>0</v>
      </c>
      <c r="Q191" s="61">
        <v>0</v>
      </c>
      <c r="R191" s="61">
        <f>MAX(P$184,P$185)</f>
        <v>3</v>
      </c>
    </row>
    <row r="192" spans="1:18">
      <c r="A192" s="1" t="s">
        <v>191</v>
      </c>
      <c r="B192" t="str">
        <f t="shared" si="30"/>
        <v>¬</v>
      </c>
    </row>
    <row r="193" spans="1:18">
      <c r="A193" s="1" t="s">
        <v>192</v>
      </c>
      <c r="B193" t="str">
        <f t="shared" si="30"/>
        <v>¬</v>
      </c>
      <c r="D193" s="16" t="s">
        <v>1474</v>
      </c>
      <c r="E193" s="16"/>
      <c r="F193" s="16"/>
      <c r="G193" s="16"/>
      <c r="H193" s="16"/>
      <c r="I193" s="16"/>
      <c r="L193" s="60">
        <f>SUM(P184:P185)+SUM(O187:O191)-SUM(L194:L203)</f>
        <v>2</v>
      </c>
    </row>
    <row r="194" spans="1:18">
      <c r="A194" s="1" t="s">
        <v>193</v>
      </c>
      <c r="B194" t="str">
        <f t="shared" si="30"/>
        <v>¬</v>
      </c>
      <c r="D194" s="19"/>
      <c r="E194" s="15" t="s">
        <v>1498</v>
      </c>
      <c r="F194" s="3" t="s">
        <v>1586</v>
      </c>
      <c r="G194" s="61" t="str">
        <f>_xlfn.IFNA(VLOOKUP(F194,tblDisciplines[],2,FALSE),"")</f>
        <v>Cruac</v>
      </c>
      <c r="H194" s="19"/>
      <c r="I194" s="19"/>
      <c r="L194" s="4">
        <v>1</v>
      </c>
      <c r="N194" s="4"/>
      <c r="O194" s="61">
        <f>N194</f>
        <v>0</v>
      </c>
      <c r="P194" s="60">
        <f>IF(OR(L194=R194,O194=R194),R194,MIN(SUM(L194,O194),R194))</f>
        <v>1</v>
      </c>
      <c r="R194" s="61">
        <f>_xlfn.IFNA(VLOOKUP(F194,tblDisciplines[],3,FALSE),"")</f>
        <v>1</v>
      </c>
    </row>
    <row r="195" spans="1:18">
      <c r="A195" s="1" t="s">
        <v>194</v>
      </c>
      <c r="B195" t="str">
        <f t="shared" si="30"/>
        <v>¬</v>
      </c>
      <c r="D195" s="19"/>
      <c r="E195" s="15" t="s">
        <v>1499</v>
      </c>
      <c r="F195" s="3"/>
      <c r="G195" s="61" t="str">
        <f>_xlfn.IFNA(VLOOKUP(F195,tblDisciplines[],2,FALSE),"")</f>
        <v/>
      </c>
      <c r="H195" s="19"/>
      <c r="I195" s="19"/>
      <c r="L195" s="4"/>
      <c r="N195" s="4"/>
      <c r="O195" s="61">
        <f t="shared" ref="O195:O203" si="31">N195</f>
        <v>0</v>
      </c>
      <c r="P195" s="60" t="str">
        <f t="shared" ref="P195:P203" si="32">IF(OR(L195=R195,O195=R195),R195,MIN(SUM(L195,O195),R195))</f>
        <v/>
      </c>
      <c r="R195" s="61" t="str">
        <f>_xlfn.IFNA(VLOOKUP(F195,tblDisciplines[],3,FALSE),"")</f>
        <v/>
      </c>
    </row>
    <row r="196" spans="1:18">
      <c r="A196" s="1" t="s">
        <v>195</v>
      </c>
      <c r="B196" t="str">
        <f t="shared" si="30"/>
        <v>¬</v>
      </c>
      <c r="D196" s="19"/>
      <c r="E196" s="15" t="s">
        <v>1500</v>
      </c>
      <c r="F196" s="3"/>
      <c r="G196" s="61" t="str">
        <f>_xlfn.IFNA(VLOOKUP(F196,tblDisciplines[],2,FALSE),"")</f>
        <v/>
      </c>
      <c r="H196" s="19"/>
      <c r="I196" s="19"/>
      <c r="L196" s="4"/>
      <c r="N196" s="4"/>
      <c r="O196" s="61">
        <f t="shared" si="31"/>
        <v>0</v>
      </c>
      <c r="P196" s="60" t="str">
        <f t="shared" si="32"/>
        <v/>
      </c>
      <c r="R196" s="61" t="str">
        <f>_xlfn.IFNA(VLOOKUP(F196,tblDisciplines[],3,FALSE),"")</f>
        <v/>
      </c>
    </row>
    <row r="197" spans="1:18">
      <c r="A197" s="1" t="s">
        <v>196</v>
      </c>
      <c r="B197" t="str">
        <f>IF(AD134="","¬",AD134)</f>
        <v>family</v>
      </c>
      <c r="D197" s="19"/>
      <c r="E197" s="15" t="s">
        <v>1501</v>
      </c>
      <c r="F197" s="3"/>
      <c r="G197" s="61" t="str">
        <f>_xlfn.IFNA(VLOOKUP(F197,tblDisciplines[],2,FALSE),"")</f>
        <v/>
      </c>
      <c r="H197" s="19"/>
      <c r="I197" s="19"/>
      <c r="L197" s="4"/>
      <c r="N197" s="4"/>
      <c r="O197" s="61">
        <f t="shared" si="31"/>
        <v>0</v>
      </c>
      <c r="P197" s="60" t="str">
        <f t="shared" si="32"/>
        <v/>
      </c>
      <c r="R197" s="61" t="str">
        <f>_xlfn.IFNA(VLOOKUP(F197,tblDisciplines[],3,FALSE),"")</f>
        <v/>
      </c>
    </row>
    <row r="198" spans="1:18">
      <c r="A198" s="1" t="s">
        <v>197</v>
      </c>
      <c r="B198" t="str">
        <f t="shared" ref="B198:B216" si="33">IF(AD135="","¬",AD135)</f>
        <v>¬</v>
      </c>
      <c r="D198" s="19"/>
      <c r="E198" s="15" t="s">
        <v>1502</v>
      </c>
      <c r="F198" s="3"/>
      <c r="G198" s="61" t="str">
        <f>_xlfn.IFNA(VLOOKUP(F198,tblDisciplines[],2,FALSE),"")</f>
        <v/>
      </c>
      <c r="H198" s="19"/>
      <c r="I198" s="19"/>
      <c r="L198" s="4"/>
      <c r="N198" s="4"/>
      <c r="O198" s="61">
        <f t="shared" si="31"/>
        <v>0</v>
      </c>
      <c r="P198" s="60" t="str">
        <f t="shared" si="32"/>
        <v/>
      </c>
      <c r="R198" s="61" t="str">
        <f>_xlfn.IFNA(VLOOKUP(F198,tblDisciplines[],3,FALSE),"")</f>
        <v/>
      </c>
    </row>
    <row r="199" spans="1:18">
      <c r="A199" s="1" t="s">
        <v>198</v>
      </c>
      <c r="B199" t="str">
        <f t="shared" si="33"/>
        <v>¬</v>
      </c>
      <c r="D199" s="19"/>
      <c r="E199" s="15" t="s">
        <v>1503</v>
      </c>
      <c r="F199" s="3"/>
      <c r="G199" s="61" t="str">
        <f>_xlfn.IFNA(VLOOKUP(F199,tblDisciplines[],2,FALSE),"")</f>
        <v/>
      </c>
      <c r="H199" s="19"/>
      <c r="I199" s="19"/>
      <c r="L199" s="4"/>
      <c r="N199" s="4"/>
      <c r="O199" s="61">
        <f t="shared" si="31"/>
        <v>0</v>
      </c>
      <c r="P199" s="60" t="str">
        <f t="shared" si="32"/>
        <v/>
      </c>
      <c r="R199" s="61" t="str">
        <f>_xlfn.IFNA(VLOOKUP(F199,tblDisciplines[],3,FALSE),"")</f>
        <v/>
      </c>
    </row>
    <row r="200" spans="1:18">
      <c r="A200" s="1" t="s">
        <v>199</v>
      </c>
      <c r="B200" t="str">
        <f t="shared" si="33"/>
        <v>¬</v>
      </c>
      <c r="D200" s="19"/>
      <c r="E200" s="15" t="s">
        <v>1504</v>
      </c>
      <c r="F200" s="3"/>
      <c r="G200" s="61" t="str">
        <f>_xlfn.IFNA(VLOOKUP(F200,tblDisciplines[],2,FALSE),"")</f>
        <v/>
      </c>
      <c r="H200" s="19"/>
      <c r="I200" s="19"/>
      <c r="L200" s="4"/>
      <c r="N200" s="4"/>
      <c r="O200" s="61">
        <f t="shared" si="31"/>
        <v>0</v>
      </c>
      <c r="P200" s="60" t="str">
        <f t="shared" si="32"/>
        <v/>
      </c>
      <c r="R200" s="61" t="str">
        <f>_xlfn.IFNA(VLOOKUP(F200,tblDisciplines[],3,FALSE),"")</f>
        <v/>
      </c>
    </row>
    <row r="201" spans="1:18">
      <c r="A201" s="1" t="s">
        <v>200</v>
      </c>
      <c r="B201" t="str">
        <f t="shared" si="33"/>
        <v>¬</v>
      </c>
      <c r="D201" s="19"/>
      <c r="E201" s="15" t="s">
        <v>1505</v>
      </c>
      <c r="F201" s="3"/>
      <c r="G201" s="61" t="str">
        <f>_xlfn.IFNA(VLOOKUP(F201,tblDisciplines[],2,FALSE),"")</f>
        <v/>
      </c>
      <c r="H201" s="19"/>
      <c r="I201" s="19"/>
      <c r="L201" s="4"/>
      <c r="N201" s="4"/>
      <c r="O201" s="61">
        <f t="shared" si="31"/>
        <v>0</v>
      </c>
      <c r="P201" s="60" t="str">
        <f t="shared" si="32"/>
        <v/>
      </c>
      <c r="R201" s="61" t="str">
        <f>_xlfn.IFNA(VLOOKUP(F201,tblDisciplines[],3,FALSE),"")</f>
        <v/>
      </c>
    </row>
    <row r="202" spans="1:18">
      <c r="A202" s="1" t="s">
        <v>201</v>
      </c>
      <c r="B202" t="str">
        <f t="shared" si="33"/>
        <v>¬</v>
      </c>
      <c r="D202" s="19"/>
      <c r="E202" s="15" t="s">
        <v>1506</v>
      </c>
      <c r="F202" s="3"/>
      <c r="G202" s="61" t="str">
        <f>_xlfn.IFNA(VLOOKUP(F202,tblDisciplines[],2,FALSE),"")</f>
        <v/>
      </c>
      <c r="H202" s="19"/>
      <c r="I202" s="19"/>
      <c r="L202" s="4"/>
      <c r="N202" s="4"/>
      <c r="O202" s="61">
        <f t="shared" si="31"/>
        <v>0</v>
      </c>
      <c r="P202" s="60" t="str">
        <f t="shared" si="32"/>
        <v/>
      </c>
      <c r="R202" s="61" t="str">
        <f>_xlfn.IFNA(VLOOKUP(F202,tblDisciplines[],3,FALSE),"")</f>
        <v/>
      </c>
    </row>
    <row r="203" spans="1:18">
      <c r="A203" s="1" t="s">
        <v>202</v>
      </c>
      <c r="B203" t="str">
        <f t="shared" si="33"/>
        <v>¬</v>
      </c>
      <c r="D203" s="19"/>
      <c r="E203" s="15" t="s">
        <v>1507</v>
      </c>
      <c r="F203" s="3"/>
      <c r="G203" s="61" t="str">
        <f>_xlfn.IFNA(VLOOKUP(F203,tblDisciplines[],2,FALSE),"")</f>
        <v/>
      </c>
      <c r="H203" s="19"/>
      <c r="I203" s="19"/>
      <c r="L203" s="4"/>
      <c r="N203" s="4"/>
      <c r="O203" s="61">
        <f t="shared" si="31"/>
        <v>0</v>
      </c>
      <c r="P203" s="60" t="str">
        <f t="shared" si="32"/>
        <v/>
      </c>
      <c r="R203" s="61" t="str">
        <f>_xlfn.IFNA(VLOOKUP(F203,tblDisciplines[],3,FALSE),"")</f>
        <v/>
      </c>
    </row>
    <row r="204" spans="1:18">
      <c r="A204" s="1" t="s">
        <v>203</v>
      </c>
      <c r="B204" t="str">
        <f t="shared" si="33"/>
        <v>¬</v>
      </c>
    </row>
    <row r="205" spans="1:18">
      <c r="A205" s="1" t="s">
        <v>204</v>
      </c>
      <c r="B205" t="str">
        <f t="shared" si="33"/>
        <v>¬</v>
      </c>
      <c r="D205" s="16" t="s">
        <v>1508</v>
      </c>
      <c r="E205" s="17"/>
      <c r="F205" s="17"/>
      <c r="G205" s="17"/>
      <c r="H205" s="17"/>
      <c r="I205" s="17"/>
    </row>
    <row r="206" spans="1:18">
      <c r="A206" s="1" t="s">
        <v>205</v>
      </c>
      <c r="B206" t="str">
        <f t="shared" si="33"/>
        <v>¬</v>
      </c>
      <c r="D206" s="19"/>
      <c r="E206" s="15" t="s">
        <v>1476</v>
      </c>
      <c r="F206" s="3"/>
      <c r="G206" s="19" t="str">
        <f>IFERROR(VLOOKUP(F206,tblManoeuvre[],2,FALSE)&amp;" "&amp;VLOOKUP(F206,tblManoeuvre[],3,FALSE),"")</f>
        <v/>
      </c>
      <c r="H206" s="68" t="str">
        <f>_xlfn.IFNA(IF(VLOOKUP(F206,tblMerits[],6,FALSE)=0,"None",VLOOKUP(F206,tblMerits[],6,FALSE)),"None")</f>
        <v>None</v>
      </c>
      <c r="I206" s="69"/>
      <c r="L206" s="4"/>
      <c r="M206" s="4"/>
      <c r="N206" s="4"/>
      <c r="O206" s="61">
        <f t="shared" ref="O206:O215" si="34">N206</f>
        <v>0</v>
      </c>
      <c r="P206" s="60">
        <f t="shared" ref="P206:P215" si="35">MIN(SUM(L206,M206,O206),R206)</f>
        <v>0</v>
      </c>
      <c r="Q206" s="61" t="str">
        <f>_xlfn.IFNA(VLOOKUP($F206,tblPacts[],3,FALSE),"")</f>
        <v/>
      </c>
      <c r="R206" s="61" t="str">
        <f>_xlfn.IFNA(VLOOKUP($F206,tblPacts[],4,FALSE),"")</f>
        <v/>
      </c>
    </row>
    <row r="207" spans="1:18">
      <c r="A207" s="1" t="s">
        <v>206</v>
      </c>
      <c r="B207" t="str">
        <f t="shared" si="33"/>
        <v>¬</v>
      </c>
      <c r="D207" s="19"/>
      <c r="E207" s="15" t="s">
        <v>1477</v>
      </c>
      <c r="F207" s="3"/>
      <c r="G207" s="19" t="str">
        <f>IFERROR(VLOOKUP(F207,tblManoeuvre[],2,FALSE)&amp;" "&amp;VLOOKUP(F207,tblManoeuvre[],3,FALSE),"")</f>
        <v/>
      </c>
      <c r="H207" s="68" t="str">
        <f>_xlfn.IFNA(IF(VLOOKUP(F207,tblMerits[],6,FALSE)=0,"None",VLOOKUP(F207,tblMerits[],6,FALSE)),"None")</f>
        <v>None</v>
      </c>
      <c r="I207" s="69"/>
      <c r="L207" s="4"/>
      <c r="M207" s="4"/>
      <c r="N207" s="4"/>
      <c r="O207" s="61">
        <f t="shared" si="34"/>
        <v>0</v>
      </c>
      <c r="P207" s="60">
        <f t="shared" si="35"/>
        <v>0</v>
      </c>
      <c r="Q207" s="61" t="str">
        <f>_xlfn.IFNA(VLOOKUP($F207,tblPacts[],3,FALSE),"")</f>
        <v/>
      </c>
      <c r="R207" s="61" t="str">
        <f>_xlfn.IFNA(VLOOKUP($F207,tblPacts[],4,FALSE),"")</f>
        <v/>
      </c>
    </row>
    <row r="208" spans="1:18">
      <c r="A208" s="1" t="s">
        <v>207</v>
      </c>
      <c r="B208" t="str">
        <f t="shared" si="33"/>
        <v>¬</v>
      </c>
      <c r="D208" s="19"/>
      <c r="E208" s="15" t="s">
        <v>1478</v>
      </c>
      <c r="F208" s="3"/>
      <c r="G208" s="19" t="str">
        <f>IFERROR(VLOOKUP(F208,tblManoeuvre[],2,FALSE)&amp;" "&amp;VLOOKUP(F208,tblManoeuvre[],3,FALSE),"")</f>
        <v/>
      </c>
      <c r="H208" s="68" t="str">
        <f>_xlfn.IFNA(IF(VLOOKUP(F208,tblMerits[],6,FALSE)=0,"None",VLOOKUP(F208,tblMerits[],6,FALSE)),"None")</f>
        <v>None</v>
      </c>
      <c r="I208" s="69"/>
      <c r="L208" s="4"/>
      <c r="M208" s="4"/>
      <c r="N208" s="4"/>
      <c r="O208" s="61">
        <f t="shared" si="34"/>
        <v>0</v>
      </c>
      <c r="P208" s="60">
        <f t="shared" si="35"/>
        <v>0</v>
      </c>
      <c r="Q208" s="61" t="str">
        <f>_xlfn.IFNA(VLOOKUP($F208,tblPacts[],3,FALSE),"")</f>
        <v/>
      </c>
      <c r="R208" s="61" t="str">
        <f>_xlfn.IFNA(VLOOKUP($F208,tblPacts[],4,FALSE),"")</f>
        <v/>
      </c>
    </row>
    <row r="209" spans="1:18">
      <c r="A209" s="1" t="s">
        <v>208</v>
      </c>
      <c r="B209" t="str">
        <f t="shared" si="33"/>
        <v>¬</v>
      </c>
      <c r="D209" s="19"/>
      <c r="E209" s="15" t="s">
        <v>1479</v>
      </c>
      <c r="F209" s="3"/>
      <c r="G209" s="19" t="str">
        <f>IFERROR(VLOOKUP(F209,tblManoeuvre[],2,FALSE)&amp;" "&amp;VLOOKUP(F209,tblManoeuvre[],3,FALSE),"")</f>
        <v/>
      </c>
      <c r="H209" s="68" t="str">
        <f>_xlfn.IFNA(IF(VLOOKUP(F209,tblMerits[],6,FALSE)=0,"None",VLOOKUP(F209,tblMerits[],6,FALSE)),"None")</f>
        <v>None</v>
      </c>
      <c r="I209" s="69"/>
      <c r="L209" s="4"/>
      <c r="M209" s="4"/>
      <c r="N209" s="4"/>
      <c r="O209" s="61">
        <f t="shared" si="34"/>
        <v>0</v>
      </c>
      <c r="P209" s="60">
        <f t="shared" si="35"/>
        <v>0</v>
      </c>
      <c r="Q209" s="61" t="str">
        <f>_xlfn.IFNA(VLOOKUP($F209,tblPacts[],3,FALSE),"")</f>
        <v/>
      </c>
      <c r="R209" s="61" t="str">
        <f>_xlfn.IFNA(VLOOKUP($F209,tblPacts[],4,FALSE),"")</f>
        <v/>
      </c>
    </row>
    <row r="210" spans="1:18">
      <c r="A210" s="1" t="s">
        <v>209</v>
      </c>
      <c r="B210" t="str">
        <f t="shared" si="33"/>
        <v>¬</v>
      </c>
      <c r="D210" s="19"/>
      <c r="E210" s="15" t="s">
        <v>1480</v>
      </c>
      <c r="F210" s="3"/>
      <c r="G210" s="19" t="str">
        <f>IFERROR(VLOOKUP(F210,tblManoeuvre[],2,FALSE)&amp;" "&amp;VLOOKUP(F210,tblManoeuvre[],3,FALSE),"")</f>
        <v/>
      </c>
      <c r="H210" s="68" t="str">
        <f>_xlfn.IFNA(IF(VLOOKUP(F210,tblMerits[],6,FALSE)=0,"None",VLOOKUP(F210,tblMerits[],6,FALSE)),"None")</f>
        <v>None</v>
      </c>
      <c r="I210" s="69"/>
      <c r="L210" s="4"/>
      <c r="M210" s="4"/>
      <c r="N210" s="4"/>
      <c r="O210" s="61">
        <f t="shared" si="34"/>
        <v>0</v>
      </c>
      <c r="P210" s="60">
        <f t="shared" si="35"/>
        <v>0</v>
      </c>
      <c r="Q210" s="61" t="str">
        <f>_xlfn.IFNA(VLOOKUP($F210,tblPacts[],3,FALSE),"")</f>
        <v/>
      </c>
      <c r="R210" s="61" t="str">
        <f>_xlfn.IFNA(VLOOKUP($F210,tblPacts[],4,FALSE),"")</f>
        <v/>
      </c>
    </row>
    <row r="211" spans="1:18">
      <c r="A211" s="1" t="s">
        <v>210</v>
      </c>
      <c r="B211" t="str">
        <f t="shared" si="33"/>
        <v>¬</v>
      </c>
      <c r="D211" s="19"/>
      <c r="E211" s="15" t="s">
        <v>1481</v>
      </c>
      <c r="F211" s="3"/>
      <c r="G211" s="19" t="str">
        <f>IFERROR(VLOOKUP(F211,tblManoeuvre[],2,FALSE)&amp;" "&amp;VLOOKUP(F211,tblManoeuvre[],3,FALSE),"")</f>
        <v/>
      </c>
      <c r="H211" s="68" t="str">
        <f>_xlfn.IFNA(IF(VLOOKUP(F211,tblMerits[],6,FALSE)=0,"None",VLOOKUP(F211,tblMerits[],6,FALSE)),"None")</f>
        <v>None</v>
      </c>
      <c r="I211" s="69"/>
      <c r="L211" s="4"/>
      <c r="M211" s="4"/>
      <c r="N211" s="4"/>
      <c r="O211" s="61">
        <f t="shared" si="34"/>
        <v>0</v>
      </c>
      <c r="P211" s="60">
        <f t="shared" si="35"/>
        <v>0</v>
      </c>
      <c r="Q211" s="61" t="str">
        <f>_xlfn.IFNA(VLOOKUP($F211,tblPacts[],3,FALSE),"")</f>
        <v/>
      </c>
      <c r="R211" s="61" t="str">
        <f>_xlfn.IFNA(VLOOKUP($F211,tblPacts[],4,FALSE),"")</f>
        <v/>
      </c>
    </row>
    <row r="212" spans="1:18">
      <c r="A212" s="1" t="s">
        <v>211</v>
      </c>
      <c r="B212" t="str">
        <f t="shared" si="33"/>
        <v>¬</v>
      </c>
      <c r="D212" s="19"/>
      <c r="E212" s="15" t="s">
        <v>1482</v>
      </c>
      <c r="F212" s="3"/>
      <c r="G212" s="19" t="str">
        <f>IFERROR(VLOOKUP(F212,tblManoeuvre[],2,FALSE)&amp;" "&amp;VLOOKUP(F212,tblManoeuvre[],3,FALSE),"")</f>
        <v/>
      </c>
      <c r="H212" s="68" t="str">
        <f>_xlfn.IFNA(IF(VLOOKUP(F212,tblMerits[],6,FALSE)=0,"None",VLOOKUP(F212,tblMerits[],6,FALSE)),"None")</f>
        <v>None</v>
      </c>
      <c r="I212" s="69"/>
      <c r="L212" s="4"/>
      <c r="M212" s="4"/>
      <c r="N212" s="4"/>
      <c r="O212" s="61">
        <f t="shared" si="34"/>
        <v>0</v>
      </c>
      <c r="P212" s="60">
        <f t="shared" si="35"/>
        <v>0</v>
      </c>
      <c r="Q212" s="61" t="str">
        <f>_xlfn.IFNA(VLOOKUP($F212,tblPacts[],3,FALSE),"")</f>
        <v/>
      </c>
      <c r="R212" s="61" t="str">
        <f>_xlfn.IFNA(VLOOKUP($F212,tblPacts[],4,FALSE),"")</f>
        <v/>
      </c>
    </row>
    <row r="213" spans="1:18">
      <c r="A213" s="1" t="s">
        <v>212</v>
      </c>
      <c r="B213" t="str">
        <f t="shared" si="33"/>
        <v>¬</v>
      </c>
      <c r="D213" s="19"/>
      <c r="E213" s="15" t="s">
        <v>1483</v>
      </c>
      <c r="F213" s="3"/>
      <c r="G213" s="19" t="str">
        <f>IFERROR(VLOOKUP(F213,tblManoeuvre[],2,FALSE)&amp;" "&amp;VLOOKUP(F213,tblManoeuvre[],3,FALSE),"")</f>
        <v/>
      </c>
      <c r="H213" s="68" t="str">
        <f>_xlfn.IFNA(IF(VLOOKUP(F213,tblMerits[],6,FALSE)=0,"None",VLOOKUP(F213,tblMerits[],6,FALSE)),"None")</f>
        <v>None</v>
      </c>
      <c r="I213" s="69"/>
      <c r="L213" s="4"/>
      <c r="M213" s="4"/>
      <c r="N213" s="4"/>
      <c r="O213" s="61">
        <f t="shared" si="34"/>
        <v>0</v>
      </c>
      <c r="P213" s="60">
        <f t="shared" si="35"/>
        <v>0</v>
      </c>
      <c r="Q213" s="61" t="str">
        <f>_xlfn.IFNA(VLOOKUP($F213,tblPacts[],3,FALSE),"")</f>
        <v/>
      </c>
      <c r="R213" s="61" t="str">
        <f>_xlfn.IFNA(VLOOKUP($F213,tblPacts[],4,FALSE),"")</f>
        <v/>
      </c>
    </row>
    <row r="214" spans="1:18">
      <c r="A214" s="1" t="s">
        <v>213</v>
      </c>
      <c r="B214" t="str">
        <f t="shared" si="33"/>
        <v>¬</v>
      </c>
      <c r="D214" s="19"/>
      <c r="E214" s="15" t="s">
        <v>1484</v>
      </c>
      <c r="F214" s="3"/>
      <c r="G214" s="19" t="str">
        <f>IFERROR(VLOOKUP(F214,tblManoeuvre[],2,FALSE)&amp;" "&amp;VLOOKUP(F214,tblManoeuvre[],3,FALSE),"")</f>
        <v/>
      </c>
      <c r="H214" s="68" t="str">
        <f>_xlfn.IFNA(IF(VLOOKUP(F214,tblMerits[],6,FALSE)=0,"None",VLOOKUP(F214,tblMerits[],6,FALSE)),"None")</f>
        <v>None</v>
      </c>
      <c r="I214" s="69"/>
      <c r="L214" s="4"/>
      <c r="M214" s="4"/>
      <c r="N214" s="4"/>
      <c r="O214" s="61">
        <f t="shared" si="34"/>
        <v>0</v>
      </c>
      <c r="P214" s="60">
        <f t="shared" si="35"/>
        <v>0</v>
      </c>
      <c r="Q214" s="61" t="str">
        <f>_xlfn.IFNA(VLOOKUP($F214,tblPacts[],3,FALSE),"")</f>
        <v/>
      </c>
      <c r="R214" s="61" t="str">
        <f>_xlfn.IFNA(VLOOKUP($F214,tblPacts[],4,FALSE),"")</f>
        <v/>
      </c>
    </row>
    <row r="215" spans="1:18">
      <c r="A215" s="1" t="s">
        <v>214</v>
      </c>
      <c r="B215" t="str">
        <f t="shared" si="33"/>
        <v>¬</v>
      </c>
      <c r="D215" s="19"/>
      <c r="E215" s="15" t="s">
        <v>1485</v>
      </c>
      <c r="F215" s="3"/>
      <c r="G215" s="19" t="str">
        <f>IFERROR(VLOOKUP(F215,tblManoeuvre[],2,FALSE)&amp;" "&amp;VLOOKUP(F215,tblManoeuvre[],3,FALSE),"")</f>
        <v/>
      </c>
      <c r="H215" s="68" t="str">
        <f>_xlfn.IFNA(IF(VLOOKUP(F215,tblMerits[],6,FALSE)=0,"None",VLOOKUP(F215,tblMerits[],6,FALSE)),"None")</f>
        <v>None</v>
      </c>
      <c r="I215" s="69"/>
      <c r="L215" s="4"/>
      <c r="M215" s="4"/>
      <c r="N215" s="4"/>
      <c r="O215" s="61">
        <f t="shared" si="34"/>
        <v>0</v>
      </c>
      <c r="P215" s="60">
        <f t="shared" si="35"/>
        <v>0</v>
      </c>
      <c r="Q215" s="61" t="str">
        <f>_xlfn.IFNA(VLOOKUP($F215,tblPacts[],3,FALSE),"")</f>
        <v/>
      </c>
      <c r="R215" s="61" t="str">
        <f>_xlfn.IFNA(VLOOKUP($F215,tblPacts[],4,FALSE),"")</f>
        <v/>
      </c>
    </row>
    <row r="216" spans="1:18">
      <c r="A216" s="1" t="s">
        <v>215</v>
      </c>
      <c r="B216" t="str">
        <f t="shared" si="33"/>
        <v>¬</v>
      </c>
    </row>
    <row r="217" spans="1:18">
      <c r="A217" s="1" t="s">
        <v>216</v>
      </c>
      <c r="B217" t="str">
        <f>IF(OR(AF134=0,AF134=""),"",REPT("●",AF134))</f>
        <v>●●●</v>
      </c>
      <c r="D217" s="16" t="s">
        <v>1509</v>
      </c>
      <c r="E217" s="16"/>
      <c r="F217" s="16"/>
      <c r="G217" s="16"/>
      <c r="H217" s="16"/>
      <c r="I217" s="16"/>
    </row>
    <row r="218" spans="1:18">
      <c r="A218" s="1" t="s">
        <v>217</v>
      </c>
      <c r="B218" t="str">
        <f t="shared" ref="B218:B236" si="36">IF(OR(AF135=0,AF135=""),"",REPT("●",AF135))</f>
        <v/>
      </c>
      <c r="D218" s="19"/>
      <c r="E218" s="15" t="s">
        <v>353</v>
      </c>
      <c r="F218" s="19"/>
      <c r="G218" s="19"/>
      <c r="H218" s="19"/>
      <c r="I218" s="19"/>
      <c r="M218" s="61">
        <f>IF(COUNTIF(F79:F93,"Giant")&gt;0,1,0)+IF(COUNTIF(F79:F93,"Small-Framed")&gt;0,-1,0)</f>
        <v>0</v>
      </c>
      <c r="P218" s="60">
        <f>5+M218</f>
        <v>5</v>
      </c>
    </row>
    <row r="219" spans="1:18">
      <c r="A219" s="1" t="s">
        <v>218</v>
      </c>
      <c r="B219" t="str">
        <f t="shared" si="36"/>
        <v/>
      </c>
      <c r="D219" s="19"/>
      <c r="E219" s="15" t="s">
        <v>354</v>
      </c>
      <c r="F219" s="19"/>
      <c r="G219" s="19"/>
      <c r="H219" s="19"/>
      <c r="I219" s="19"/>
      <c r="P219" s="60">
        <f ca="1">VLOOKUP("Size",INDIRECT($AH$1),2,FALSE)+VLOOKUP("Strength",INDIRECT($AH$1),2,FALSE)+VLOOKUP("Dexterity",INDIRECT($AH$1),2,FALSE)+VLOOKUP("Vigour",INDIRECT($AH$1),2,FALSE)</f>
        <v>9</v>
      </c>
    </row>
    <row r="220" spans="1:18">
      <c r="A220" s="1" t="s">
        <v>219</v>
      </c>
      <c r="B220" t="str">
        <f t="shared" si="36"/>
        <v/>
      </c>
      <c r="D220" s="19"/>
      <c r="E220" s="15" t="s">
        <v>355</v>
      </c>
      <c r="F220" s="19"/>
      <c r="G220" s="19"/>
      <c r="H220" s="19"/>
      <c r="I220" s="19"/>
      <c r="P220" s="60">
        <f ca="1">MIN(VLOOKUP("Dexterity",INDIRECT($AH$1),2,FALSE),VLOOKUP("Wits",INDIRECT($AH$1),2,FALSE))+VLOOKUP("Athletics",INDIRECT($AH$1),2,FALSE)</f>
        <v>4</v>
      </c>
    </row>
    <row r="221" spans="1:18">
      <c r="A221" s="1" t="s">
        <v>220</v>
      </c>
      <c r="B221" t="str">
        <f t="shared" si="36"/>
        <v/>
      </c>
      <c r="D221" s="19"/>
      <c r="E221" s="15" t="s">
        <v>52</v>
      </c>
      <c r="F221" s="19"/>
      <c r="G221" s="19"/>
      <c r="H221" s="19"/>
      <c r="I221" s="19"/>
      <c r="P221" s="60">
        <f ca="1">VLOOKUP("Size",INDIRECT($AH$1),2,FALSE)+VLOOKUP("Stamina",INDIRECT($AH$1),2,FALSE)+VLOOKUP("Resilience",INDIRECT($AH$1),2,FALSE)</f>
        <v>7</v>
      </c>
    </row>
    <row r="222" spans="1:18">
      <c r="A222" s="1" t="s">
        <v>221</v>
      </c>
      <c r="B222" t="str">
        <f t="shared" si="36"/>
        <v/>
      </c>
      <c r="D222" s="19"/>
      <c r="E222" s="19"/>
      <c r="F222" s="19"/>
      <c r="G222" s="19"/>
      <c r="H222" s="15" t="s">
        <v>1510</v>
      </c>
      <c r="I222" s="19"/>
      <c r="L222" s="4"/>
    </row>
    <row r="223" spans="1:18">
      <c r="A223" s="1" t="s">
        <v>222</v>
      </c>
      <c r="B223" t="str">
        <f t="shared" si="36"/>
        <v/>
      </c>
      <c r="D223" s="19"/>
      <c r="E223" s="15" t="s">
        <v>1511</v>
      </c>
      <c r="F223" s="7"/>
      <c r="G223" s="19"/>
      <c r="H223" s="15" t="s">
        <v>1512</v>
      </c>
      <c r="I223" s="19"/>
      <c r="L223" s="4">
        <v>1</v>
      </c>
    </row>
    <row r="224" spans="1:18">
      <c r="A224" s="1" t="s">
        <v>223</v>
      </c>
      <c r="B224" t="str">
        <f t="shared" si="36"/>
        <v/>
      </c>
      <c r="D224" s="19"/>
      <c r="E224" s="15" t="s">
        <v>1513</v>
      </c>
      <c r="F224" s="7"/>
      <c r="G224" s="19"/>
      <c r="H224" s="15" t="s">
        <v>1514</v>
      </c>
      <c r="I224" s="19"/>
      <c r="L224" s="4"/>
    </row>
    <row r="225" spans="1:12">
      <c r="A225" s="1" t="s">
        <v>224</v>
      </c>
      <c r="B225" t="str">
        <f t="shared" si="36"/>
        <v/>
      </c>
      <c r="D225" s="19"/>
      <c r="E225" s="15" t="s">
        <v>1515</v>
      </c>
      <c r="F225" s="7"/>
      <c r="G225" s="19"/>
      <c r="H225" s="15" t="s">
        <v>1516</v>
      </c>
      <c r="I225" s="19"/>
      <c r="L225" s="4"/>
    </row>
    <row r="226" spans="1:12">
      <c r="A226" s="1" t="s">
        <v>225</v>
      </c>
      <c r="B226" t="str">
        <f t="shared" si="36"/>
        <v/>
      </c>
      <c r="D226" s="19"/>
      <c r="E226" s="15" t="s">
        <v>1517</v>
      </c>
      <c r="F226" s="7"/>
      <c r="G226" s="19"/>
      <c r="H226" s="19"/>
      <c r="I226" s="19"/>
    </row>
    <row r="227" spans="1:12">
      <c r="A227" s="1" t="s">
        <v>226</v>
      </c>
      <c r="B227" t="str">
        <f t="shared" si="36"/>
        <v/>
      </c>
      <c r="D227" s="19"/>
      <c r="E227" s="15" t="s">
        <v>1518</v>
      </c>
      <c r="F227" s="7" t="s">
        <v>1587</v>
      </c>
      <c r="G227" s="19"/>
      <c r="H227" s="19"/>
      <c r="I227" s="19"/>
    </row>
    <row r="228" spans="1:12">
      <c r="A228" s="1" t="s">
        <v>227</v>
      </c>
      <c r="B228" t="str">
        <f t="shared" si="36"/>
        <v/>
      </c>
      <c r="D228" s="19"/>
      <c r="E228" s="15" t="s">
        <v>1519</v>
      </c>
      <c r="F228" s="7"/>
      <c r="G228" s="19"/>
      <c r="H228" s="19"/>
      <c r="I228" s="19"/>
    </row>
    <row r="229" spans="1:12">
      <c r="A229" s="1" t="s">
        <v>228</v>
      </c>
      <c r="B229" t="str">
        <f t="shared" si="36"/>
        <v/>
      </c>
      <c r="D229" s="19"/>
      <c r="E229" s="15" t="s">
        <v>1520</v>
      </c>
      <c r="F229" s="7"/>
      <c r="G229" s="19"/>
      <c r="H229" s="19"/>
      <c r="I229" s="19"/>
    </row>
    <row r="230" spans="1:12">
      <c r="A230" s="1" t="s">
        <v>229</v>
      </c>
      <c r="B230" t="str">
        <f t="shared" si="36"/>
        <v/>
      </c>
      <c r="D230" s="19"/>
      <c r="E230" s="15" t="s">
        <v>1521</v>
      </c>
      <c r="F230" s="7"/>
      <c r="G230" s="19"/>
      <c r="H230" s="19"/>
      <c r="I230" s="19"/>
    </row>
    <row r="231" spans="1:12">
      <c r="A231" s="1" t="s">
        <v>230</v>
      </c>
      <c r="B231" t="str">
        <f t="shared" si="36"/>
        <v/>
      </c>
      <c r="D231" s="19"/>
      <c r="E231" s="15" t="s">
        <v>1522</v>
      </c>
      <c r="F231" s="7"/>
      <c r="G231" s="19"/>
      <c r="H231" s="19"/>
      <c r="I231" s="19"/>
    </row>
    <row r="232" spans="1:12">
      <c r="A232" s="1" t="s">
        <v>231</v>
      </c>
      <c r="B232" t="str">
        <f t="shared" si="36"/>
        <v/>
      </c>
      <c r="D232" s="19"/>
      <c r="E232" s="15" t="s">
        <v>1523</v>
      </c>
      <c r="F232" s="7"/>
      <c r="G232" s="19"/>
      <c r="H232" s="19"/>
      <c r="I232" s="19"/>
    </row>
    <row r="233" spans="1:12">
      <c r="A233" s="1" t="s">
        <v>232</v>
      </c>
      <c r="B233" t="str">
        <f t="shared" si="36"/>
        <v/>
      </c>
      <c r="D233" s="19"/>
      <c r="E233" s="19"/>
      <c r="F233" s="19"/>
      <c r="G233" s="19"/>
      <c r="H233" s="19"/>
      <c r="I233" s="19"/>
    </row>
    <row r="234" spans="1:12">
      <c r="A234" s="1" t="s">
        <v>233</v>
      </c>
      <c r="B234" t="str">
        <f t="shared" si="36"/>
        <v/>
      </c>
      <c r="D234" s="19"/>
      <c r="E234" s="15" t="s">
        <v>343</v>
      </c>
      <c r="F234" s="61" t="str">
        <f>_xlfn.IFNA(VLOOKUP(F7,tblClans[],4,FALSE),"")</f>
        <v>Tenebrous Curse</v>
      </c>
      <c r="G234" s="19"/>
      <c r="H234" s="74" t="str">
        <f>_xlfn.IFNA(VLOOKUP(F234,tblBanes[],2,FALSE),"")</f>
        <v>Gain an extra bane at Humanity 6 (doesn't count towards cap); Humanity counts –1 for all Humanity-based banes.</v>
      </c>
      <c r="I234" s="74"/>
    </row>
    <row r="235" spans="1:12">
      <c r="A235" s="1" t="s">
        <v>234</v>
      </c>
      <c r="B235" t="str">
        <f t="shared" si="36"/>
        <v/>
      </c>
      <c r="D235" s="19"/>
      <c r="E235" s="15" t="s">
        <v>344</v>
      </c>
      <c r="F235" s="19"/>
      <c r="G235" s="19"/>
      <c r="H235" s="19"/>
      <c r="I235" s="19"/>
    </row>
    <row r="236" spans="1:12">
      <c r="A236" s="1" t="s">
        <v>235</v>
      </c>
      <c r="B236" t="str">
        <f t="shared" si="36"/>
        <v/>
      </c>
      <c r="D236" s="19"/>
      <c r="E236" s="15" t="s">
        <v>345</v>
      </c>
      <c r="F236" s="3"/>
      <c r="G236" s="19"/>
      <c r="H236" s="70" t="str">
        <f>_xlfn.IFNA(VLOOKUP(F236,tblBanes[],2,FALSE),"")</f>
        <v/>
      </c>
      <c r="I236" s="71"/>
    </row>
    <row r="237" spans="1:12">
      <c r="A237" s="1" t="s">
        <v>236</v>
      </c>
      <c r="B237" t="str">
        <f ca="1">_xlfn.LET(_xlpm.v,VLOOKUP(tblCharDataAnichka[[#This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_xlfn.LET(_xlpm.v,VLOOKUP(tblCharDataAnichka[[#This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_xlfn.LET(_xlpm.v,VLOOKUP(tblCharDataAnichka[[#This Row],[Field]],INDIRECT($AH$1),2,FALSE),IF(OR(_xlpm.v=0,_xlpm.v=""),"-",REPT("●",_xlpm.v)))</f>
        <v>-</v>
      </c>
      <c r="D239" s="19"/>
      <c r="E239" s="19"/>
      <c r="F239" s="19"/>
      <c r="G239" s="19"/>
      <c r="H239" s="19"/>
      <c r="I239" s="19"/>
    </row>
    <row r="240" spans="1:12">
      <c r="A240" s="1" t="s">
        <v>239</v>
      </c>
      <c r="B240" t="str">
        <f ca="1">_xlfn.LET(_xlpm.v,VLOOKUP(tblCharDataAnichka[[#This Row],[Field]],INDIRECT($AH$1),2,FALSE),IF(OR(_xlpm.v=0,_xlpm.v=""),"-",REPT("●",_xlpm.v)))</f>
        <v>-</v>
      </c>
      <c r="D240" s="19"/>
      <c r="E240" s="15" t="s">
        <v>360</v>
      </c>
      <c r="F240" s="62"/>
      <c r="G240" s="63"/>
      <c r="H240" s="63"/>
      <c r="I240" s="64"/>
    </row>
    <row r="241" spans="1:9">
      <c r="A241" s="1" t="s">
        <v>240</v>
      </c>
      <c r="B241" t="str">
        <f ca="1">_xlfn.LET(_xlpm.v,VLOOKUP(tblCharDataAnichka[[#This Row],[Field]],INDIRECT($AH$1),2,FALSE),IF(OR(_xlpm.v=0,_xlpm.v=""),"-",REPT("●",_xlpm.v)))</f>
        <v>-</v>
      </c>
      <c r="D241" s="19"/>
      <c r="E241" s="15" t="s">
        <v>361</v>
      </c>
      <c r="F241" s="62"/>
      <c r="G241" s="63"/>
      <c r="H241" s="63"/>
      <c r="I241" s="64"/>
    </row>
    <row r="242" spans="1:9">
      <c r="A242" s="1" t="s">
        <v>241</v>
      </c>
      <c r="B242" t="str">
        <f ca="1">_xlfn.LET(_xlpm.v,VLOOKUP(tblCharDataAnichka[[#This Row],[Field]],INDIRECT($AH$1),2,FALSE),IF(OR(_xlpm.v=0,_xlpm.v=""),"-",REPT("●",_xlpm.v)))</f>
        <v>-</v>
      </c>
      <c r="D242" s="19"/>
      <c r="E242" s="15" t="s">
        <v>362</v>
      </c>
      <c r="F242" s="62"/>
      <c r="G242" s="63"/>
      <c r="H242" s="63"/>
      <c r="I242" s="64"/>
    </row>
    <row r="243" spans="1:9">
      <c r="A243" s="1" t="s">
        <v>242</v>
      </c>
      <c r="B243" t="str">
        <f ca="1">_xlfn.LET(_xlpm.v,VLOOKUP(tblCharDataAnichka[[#This Row],[Field]],INDIRECT($AH$1),2,FALSE),IF(OR(_xlpm.v=0,_xlpm.v=""),"-",REPT("●",_xlpm.v)))</f>
        <v>●</v>
      </c>
      <c r="D243" s="19"/>
      <c r="E243" s="19"/>
      <c r="F243" s="19"/>
      <c r="G243" s="19"/>
      <c r="H243" s="19"/>
      <c r="I243" s="19"/>
    </row>
    <row r="244" spans="1:9">
      <c r="A244" s="1" t="s">
        <v>243</v>
      </c>
      <c r="B244" t="str">
        <f ca="1">_xlfn.LET(_xlpm.v,VLOOKUP(tblCharDataAnichka[[#This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_xlfn.LET(_xlpm.v,VLOOKUP(tblCharDataAnichka[[#This Row],[Field]],INDIRECT($AH$1),2,FALSE),IF(OR(_xlpm.v=0,_xlpm.v=""),"-",REPT("●",_xlpm.v)))</f>
        <v>-</v>
      </c>
      <c r="D245" s="19"/>
      <c r="E245" s="15" t="s">
        <v>1524</v>
      </c>
      <c r="F245" s="62" t="s">
        <v>486</v>
      </c>
      <c r="G245" s="63"/>
      <c r="H245" s="63"/>
      <c r="I245" s="64"/>
    </row>
    <row r="246" spans="1:9">
      <c r="A246" s="1" t="s">
        <v>245</v>
      </c>
      <c r="B246" t="str">
        <f ca="1">_xlfn.LET(_xlpm.v,VLOOKUP(tblCharDataAnichka[[#This Row],[Field]],INDIRECT($AH$1),2,FALSE),IF(OR(_xlpm.v=0,_xlpm.v=""),"-",REPT("●",_xlpm.v)))</f>
        <v>-</v>
      </c>
    </row>
    <row r="247" spans="1:9">
      <c r="A247" s="1" t="s">
        <v>246</v>
      </c>
      <c r="B247" t="str">
        <f ca="1">_xlfn.LET(_xlpm.v,VLOOKUP(tblCharDataAnichka[[#This Row],[Field]],INDIRECT($AH$1),2,FALSE),IF(OR(_xlpm.v=0,_xlpm.v=""),"-",REPT("●",_xlpm.v)))</f>
        <v>●●●</v>
      </c>
      <c r="D247" s="16" t="s">
        <v>1525</v>
      </c>
      <c r="E247" s="16"/>
      <c r="F247" s="16" t="s">
        <v>1526</v>
      </c>
      <c r="G247" s="16" t="s">
        <v>1527</v>
      </c>
      <c r="H247" s="16"/>
      <c r="I247" s="16"/>
    </row>
    <row r="248" spans="1:9">
      <c r="A248" s="1" t="s">
        <v>247</v>
      </c>
      <c r="B248" t="str">
        <f ca="1">_xlfn.LET(_xlpm.v,VLOOKUP(tblCharDataAnichka[[#This Row],[Field]],INDIRECT($AH$1),2,FALSE),IF(OR(_xlpm.v=0,_xlpm.v=""),"-",REPT("●",_xlpm.v)))</f>
        <v>-</v>
      </c>
      <c r="D248" s="19"/>
      <c r="E248" s="15" t="s">
        <v>1528</v>
      </c>
      <c r="F248" s="7"/>
      <c r="G248" s="7"/>
      <c r="H248" s="19"/>
      <c r="I248" s="19" t="s">
        <v>1529</v>
      </c>
    </row>
    <row r="249" spans="1:9">
      <c r="A249" s="1" t="s">
        <v>248</v>
      </c>
      <c r="B249" t="str">
        <f ca="1">_xlfn.LET(_xlpm.v,VLOOKUP(tblCharDataAnichka[[#This Row],[Field]],INDIRECT($AH$1),2,FALSE),IF(OR(_xlpm.v=0,_xlpm.v=""),"-",REPT("●",_xlpm.v)))</f>
        <v>●</v>
      </c>
      <c r="D249" s="19"/>
      <c r="E249" s="15" t="s">
        <v>1530</v>
      </c>
      <c r="F249" s="7"/>
      <c r="G249" s="7"/>
      <c r="H249" s="19"/>
      <c r="I249" s="19" t="s">
        <v>1531</v>
      </c>
    </row>
    <row r="250" spans="1:9">
      <c r="A250" s="1" t="s">
        <v>249</v>
      </c>
      <c r="B250" t="str">
        <f ca="1">_xlfn.LET(_xlpm.v,VLOOKUP(tblCharDataAnichka[[#This Row],[Field]],INDIRECT($AH$1),2,FALSE),IF(OR(_xlpm.v=0,_xlpm.v=""),"-",REPT("●",_xlpm.v)))</f>
        <v>-</v>
      </c>
      <c r="D250" s="19" t="s">
        <v>1532</v>
      </c>
      <c r="E250" s="15" t="s">
        <v>1533</v>
      </c>
      <c r="F250" s="7"/>
      <c r="G250" s="7"/>
      <c r="H250" s="19"/>
      <c r="I250" s="19"/>
    </row>
    <row r="251" spans="1:9">
      <c r="A251" s="1" t="s">
        <v>250</v>
      </c>
      <c r="B251" t="str">
        <f ca="1">_xlfn.LET(_xlpm.v,VLOOKUP(tblCharDataAnichka[[#This Row],[Field]],INDIRECT($AH$1),2,FALSE),IF(OR(_xlpm.v=0,_xlpm.v=""),"-",REPT("●",_xlpm.v)))</f>
        <v>●●●</v>
      </c>
      <c r="D251" s="19" t="s">
        <v>1532</v>
      </c>
      <c r="E251" s="15" t="s">
        <v>1534</v>
      </c>
      <c r="F251" s="7"/>
      <c r="G251" s="7"/>
      <c r="H251" s="19"/>
      <c r="I251" s="19"/>
    </row>
    <row r="252" spans="1:9">
      <c r="A252" s="1" t="s">
        <v>251</v>
      </c>
      <c r="B252" t="str">
        <f ca="1">_xlfn.LET(_xlpm.v,VLOOKUP(tblCharDataAnichka[[#This Row],[Field]],INDIRECT($AH$1),2,FALSE),IF(OR(_xlpm.v=0,_xlpm.v=""),"-",REPT("●",_xlpm.v)))</f>
        <v>●</v>
      </c>
      <c r="D252" s="19" t="s">
        <v>1532</v>
      </c>
      <c r="E252" s="15" t="s">
        <v>1535</v>
      </c>
      <c r="F252" s="7"/>
      <c r="G252" s="7"/>
      <c r="H252" s="19"/>
      <c r="I252" s="19"/>
    </row>
    <row r="253" spans="1:9">
      <c r="A253" s="1" t="s">
        <v>252</v>
      </c>
      <c r="B253" t="str">
        <f ca="1">_xlfn.LET(_xlpm.v,VLOOKUP(tblCharDataAnichka[[#This Row],[Field]],INDIRECT($AH$1),2,FALSE),IF(OR(_xlpm.v=0,_xlpm.v=""),"-",REPT("●",_xlpm.v)))</f>
        <v>-</v>
      </c>
      <c r="D253" s="19" t="s">
        <v>1532</v>
      </c>
      <c r="E253" s="15" t="s">
        <v>1536</v>
      </c>
      <c r="F253" s="7"/>
      <c r="G253" s="7"/>
      <c r="H253" s="19"/>
      <c r="I253" s="19"/>
    </row>
    <row r="254" spans="1:9">
      <c r="A254" s="1" t="s">
        <v>253</v>
      </c>
      <c r="B254" t="str">
        <f t="shared" ref="B254:B283" si="37">IF(AD44="","¬",AD44)</f>
        <v>Auspex ● | Beast's Hackles</v>
      </c>
      <c r="D254" s="19" t="s">
        <v>1532</v>
      </c>
      <c r="E254" s="15" t="s">
        <v>1537</v>
      </c>
      <c r="F254" s="7"/>
      <c r="G254" s="7"/>
      <c r="H254" s="19"/>
      <c r="I254" s="19"/>
    </row>
    <row r="255" spans="1:9">
      <c r="A255" s="1" t="s">
        <v>254</v>
      </c>
      <c r="B255" t="str">
        <f t="shared" si="37"/>
        <v>Auspex ●● | Uncanny Perception</v>
      </c>
      <c r="D255" s="19" t="s">
        <v>1532</v>
      </c>
      <c r="E255" s="15" t="s">
        <v>1538</v>
      </c>
      <c r="F255" s="7"/>
      <c r="G255" s="7"/>
      <c r="H255" s="19"/>
      <c r="I255" s="19"/>
    </row>
    <row r="256" spans="1:9">
      <c r="A256" s="1" t="s">
        <v>255</v>
      </c>
      <c r="B256" t="str">
        <f t="shared" si="37"/>
        <v>Obfuscate ● | Face in the Crowd</v>
      </c>
      <c r="D256" s="19" t="s">
        <v>1532</v>
      </c>
      <c r="E256" s="15" t="s">
        <v>1539</v>
      </c>
      <c r="F256" s="7"/>
      <c r="G256" s="7"/>
      <c r="H256" s="19"/>
      <c r="I256" s="19"/>
    </row>
    <row r="257" spans="1:9">
      <c r="A257" s="1" t="s">
        <v>256</v>
      </c>
      <c r="B257" t="str">
        <f t="shared" si="37"/>
        <v>Protean ● | Unmarked Grave</v>
      </c>
      <c r="D257" s="19" t="s">
        <v>1532</v>
      </c>
      <c r="E257" s="15" t="s">
        <v>1540</v>
      </c>
      <c r="F257" s="7"/>
      <c r="G257" s="7"/>
      <c r="H257" s="19"/>
      <c r="I257" s="19"/>
    </row>
    <row r="258" spans="1:9">
      <c r="A258" s="1" t="s">
        <v>257</v>
      </c>
      <c r="B258" t="str">
        <f t="shared" si="37"/>
        <v>Blood Sorcery | Creation ●</v>
      </c>
      <c r="D258" s="19" t="s">
        <v>1532</v>
      </c>
      <c r="E258" s="15" t="s">
        <v>1541</v>
      </c>
      <c r="F258" s="7"/>
      <c r="G258" s="7"/>
      <c r="H258" s="19"/>
      <c r="I258" s="19"/>
    </row>
    <row r="259" spans="1:9">
      <c r="A259" s="1" t="s">
        <v>258</v>
      </c>
      <c r="B259" t="str">
        <f t="shared" si="37"/>
        <v>Blood Sorcery | Divination ●</v>
      </c>
      <c r="D259" s="19" t="s">
        <v>1532</v>
      </c>
      <c r="E259" s="15" t="s">
        <v>1542</v>
      </c>
      <c r="F259" s="7"/>
      <c r="G259" s="7"/>
      <c r="H259" s="19"/>
      <c r="I259" s="19"/>
    </row>
    <row r="260" spans="1:9">
      <c r="A260" s="1" t="s">
        <v>259</v>
      </c>
      <c r="B260" t="str">
        <f t="shared" si="37"/>
        <v>Blood Sorcery | Divination ●●</v>
      </c>
      <c r="D260" s="19" t="s">
        <v>1532</v>
      </c>
      <c r="E260" s="15" t="s">
        <v>1543</v>
      </c>
      <c r="F260" s="7"/>
      <c r="G260" s="7"/>
      <c r="H260" s="19"/>
      <c r="I260" s="19"/>
    </row>
    <row r="261" spans="1:9">
      <c r="A261" s="1" t="s">
        <v>260</v>
      </c>
      <c r="B261" t="str">
        <f t="shared" si="37"/>
        <v>Blood Sorcery | Divination ●●●</v>
      </c>
      <c r="D261" s="19" t="s">
        <v>1532</v>
      </c>
      <c r="E261" s="15" t="s">
        <v>1544</v>
      </c>
      <c r="F261" s="7"/>
      <c r="G261" s="7"/>
      <c r="H261" s="19"/>
      <c r="I261" s="19"/>
    </row>
    <row r="262" spans="1:9">
      <c r="A262" s="1" t="s">
        <v>261</v>
      </c>
      <c r="B262" t="str">
        <f t="shared" si="37"/>
        <v>Blood Sorcery | Protection ●</v>
      </c>
      <c r="D262" s="19" t="s">
        <v>1532</v>
      </c>
      <c r="E262" s="15" t="s">
        <v>1545</v>
      </c>
      <c r="F262" s="7"/>
      <c r="G262" s="7"/>
      <c r="H262" s="19"/>
      <c r="I262" s="19"/>
    </row>
    <row r="263" spans="1:9">
      <c r="A263" s="1" t="s">
        <v>262</v>
      </c>
      <c r="B263" t="str">
        <f t="shared" si="37"/>
        <v>Cruac ● | The Pool of Forbidden Truths</v>
      </c>
      <c r="D263" s="19" t="s">
        <v>1532</v>
      </c>
      <c r="E263" s="15" t="s">
        <v>1546</v>
      </c>
      <c r="F263" s="7"/>
      <c r="G263" s="7"/>
      <c r="H263" s="19"/>
      <c r="I263" s="19"/>
    </row>
    <row r="264" spans="1:9">
      <c r="A264" s="1" t="s">
        <v>263</v>
      </c>
      <c r="B264" t="str">
        <f t="shared" si="37"/>
        <v>¬</v>
      </c>
      <c r="D264" s="19" t="s">
        <v>1532</v>
      </c>
      <c r="E264" s="15" t="s">
        <v>1547</v>
      </c>
      <c r="F264" s="7"/>
      <c r="G264" s="7"/>
      <c r="H264" s="19"/>
      <c r="I264" s="19"/>
    </row>
    <row r="265" spans="1:9">
      <c r="A265" s="1" t="s">
        <v>264</v>
      </c>
      <c r="B265" t="str">
        <f t="shared" si="37"/>
        <v>¬</v>
      </c>
      <c r="D265" s="19" t="s">
        <v>1532</v>
      </c>
      <c r="E265" s="15" t="s">
        <v>1548</v>
      </c>
      <c r="F265" s="7"/>
      <c r="G265" s="7"/>
      <c r="H265" s="19"/>
      <c r="I265" s="19"/>
    </row>
    <row r="266" spans="1:9">
      <c r="A266" s="1" t="s">
        <v>265</v>
      </c>
      <c r="B266" t="str">
        <f t="shared" si="37"/>
        <v>¬</v>
      </c>
      <c r="D266" s="19" t="s">
        <v>1532</v>
      </c>
      <c r="E266" s="15" t="s">
        <v>1549</v>
      </c>
      <c r="F266" s="7"/>
      <c r="G266" s="7"/>
      <c r="H266" s="19"/>
      <c r="I266" s="19"/>
    </row>
    <row r="267" spans="1:9">
      <c r="A267" s="1" t="s">
        <v>266</v>
      </c>
      <c r="B267" t="str">
        <f t="shared" si="37"/>
        <v>¬</v>
      </c>
      <c r="D267" s="19" t="s">
        <v>1532</v>
      </c>
      <c r="E267" s="15" t="s">
        <v>1550</v>
      </c>
      <c r="F267" s="7"/>
      <c r="G267" s="7"/>
      <c r="H267" s="19"/>
      <c r="I267" s="19"/>
    </row>
    <row r="268" spans="1:9">
      <c r="A268" s="1" t="s">
        <v>267</v>
      </c>
      <c r="B268" t="str">
        <f t="shared" si="37"/>
        <v>¬</v>
      </c>
      <c r="D268" s="19" t="s">
        <v>1532</v>
      </c>
      <c r="E268" s="15" t="s">
        <v>1551</v>
      </c>
      <c r="F268" s="7"/>
      <c r="G268" s="7"/>
      <c r="H268" s="19"/>
      <c r="I268" s="19"/>
    </row>
    <row r="269" spans="1:9">
      <c r="A269" s="1" t="s">
        <v>268</v>
      </c>
      <c r="B269" t="str">
        <f t="shared" si="37"/>
        <v>¬</v>
      </c>
      <c r="D269" s="19" t="s">
        <v>1532</v>
      </c>
      <c r="E269" s="15" t="s">
        <v>1552</v>
      </c>
      <c r="F269" s="7"/>
      <c r="G269" s="7"/>
      <c r="H269" s="19"/>
      <c r="I269" s="19"/>
    </row>
    <row r="270" spans="1:9">
      <c r="A270" s="1" t="s">
        <v>269</v>
      </c>
      <c r="B270" t="str">
        <f t="shared" si="37"/>
        <v>¬</v>
      </c>
      <c r="D270" s="19" t="s">
        <v>1532</v>
      </c>
      <c r="E270" s="15" t="s">
        <v>1553</v>
      </c>
      <c r="F270" s="7"/>
      <c r="G270" s="7"/>
      <c r="H270" s="19"/>
      <c r="I270" s="19"/>
    </row>
    <row r="271" spans="1:9">
      <c r="A271" s="1" t="s">
        <v>270</v>
      </c>
      <c r="B271" t="str">
        <f t="shared" si="37"/>
        <v>¬</v>
      </c>
      <c r="D271" s="19" t="s">
        <v>1532</v>
      </c>
      <c r="E271" s="15" t="s">
        <v>1554</v>
      </c>
      <c r="F271" s="7"/>
      <c r="G271" s="7"/>
      <c r="H271" s="19"/>
      <c r="I271" s="19"/>
    </row>
    <row r="272" spans="1:9">
      <c r="A272" s="1" t="s">
        <v>271</v>
      </c>
      <c r="B272" t="str">
        <f t="shared" si="37"/>
        <v>¬</v>
      </c>
      <c r="D272" s="19" t="s">
        <v>1532</v>
      </c>
      <c r="E272" s="15" t="s">
        <v>1555</v>
      </c>
      <c r="F272" s="7"/>
      <c r="G272" s="7"/>
      <c r="H272" s="19"/>
      <c r="I272" s="19"/>
    </row>
    <row r="273" spans="1:14">
      <c r="A273" s="1" t="s">
        <v>272</v>
      </c>
      <c r="B273" t="str">
        <f t="shared" si="37"/>
        <v>¬</v>
      </c>
      <c r="D273" s="19" t="s">
        <v>1532</v>
      </c>
      <c r="E273" s="15" t="s">
        <v>1556</v>
      </c>
      <c r="F273" s="7"/>
      <c r="G273" s="7"/>
      <c r="H273" s="19"/>
      <c r="I273" s="19"/>
    </row>
    <row r="274" spans="1:14">
      <c r="A274" s="1" t="s">
        <v>273</v>
      </c>
      <c r="B274" t="str">
        <f t="shared" si="37"/>
        <v>¬</v>
      </c>
      <c r="D274" s="19" t="s">
        <v>1532</v>
      </c>
      <c r="E274" s="15" t="s">
        <v>1557</v>
      </c>
      <c r="F274" s="7"/>
      <c r="G274" s="7"/>
      <c r="H274" s="19"/>
      <c r="I274" s="19"/>
    </row>
    <row r="275" spans="1:14">
      <c r="A275" s="1" t="s">
        <v>274</v>
      </c>
      <c r="B275" t="str">
        <f t="shared" si="37"/>
        <v>¬</v>
      </c>
      <c r="D275" s="19" t="s">
        <v>1532</v>
      </c>
      <c r="E275" s="15" t="s">
        <v>1558</v>
      </c>
      <c r="F275" s="7"/>
      <c r="G275" s="7"/>
      <c r="H275" s="19"/>
      <c r="I275" s="19"/>
    </row>
    <row r="276" spans="1:14">
      <c r="A276" s="1" t="s">
        <v>275</v>
      </c>
      <c r="B276" t="str">
        <f t="shared" si="37"/>
        <v>¬</v>
      </c>
      <c r="D276" s="19" t="s">
        <v>1532</v>
      </c>
      <c r="E276" s="15" t="s">
        <v>1559</v>
      </c>
      <c r="F276" s="7"/>
      <c r="G276" s="7"/>
      <c r="H276" s="19"/>
      <c r="I276" s="19"/>
    </row>
    <row r="277" spans="1:14">
      <c r="A277" s="1" t="s">
        <v>276</v>
      </c>
      <c r="B277" t="str">
        <f t="shared" si="37"/>
        <v>¬</v>
      </c>
      <c r="D277" s="19" t="s">
        <v>1532</v>
      </c>
      <c r="E277" s="15" t="s">
        <v>1560</v>
      </c>
      <c r="F277" s="7"/>
      <c r="G277" s="7"/>
      <c r="H277" s="19"/>
      <c r="I277" s="19"/>
    </row>
    <row r="278" spans="1:14">
      <c r="A278" s="1" t="s">
        <v>277</v>
      </c>
      <c r="B278" t="str">
        <f t="shared" si="37"/>
        <v>¬</v>
      </c>
    </row>
    <row r="279" spans="1:14">
      <c r="A279" s="1" t="s">
        <v>278</v>
      </c>
      <c r="B279" t="str">
        <f t="shared" si="37"/>
        <v>¬</v>
      </c>
      <c r="D279" s="16" t="s">
        <v>1561</v>
      </c>
      <c r="E279" s="16"/>
      <c r="F279" s="16" t="s">
        <v>1347</v>
      </c>
      <c r="G279" s="16" t="s">
        <v>1348</v>
      </c>
      <c r="H279" s="16" t="s">
        <v>1349</v>
      </c>
      <c r="I279" s="16" t="s">
        <v>1350</v>
      </c>
      <c r="N279" s="60">
        <f ca="1">SUM(N280:N282)</f>
        <v>4</v>
      </c>
    </row>
    <row r="280" spans="1:14">
      <c r="A280" s="1" t="s">
        <v>279</v>
      </c>
      <c r="B280" t="str">
        <f t="shared" si="37"/>
        <v>¬</v>
      </c>
      <c r="D280" s="61" t="str" cm="1">
        <f t="array" aca="1" ref="D280" ca="1">INDEX(Attendance!$C$14:$GP$44,
       MATCH($F$4, Attendance!$C$14:$C$44, 0),
       MATCH(1, (Attendance!$C$12:$GP$12=$E280) * (Attendance!$C$13:$GP$13="Paid"), 0)
)</f>
        <v>Exiles</v>
      </c>
      <c r="E280" s="41">
        <v>46054</v>
      </c>
      <c r="F280" s="61" cm="1">
        <f t="array" aca="1" ref="F280" ca="1">N(INDEX(Attendance!$C$14:$GP$104,
       MATCH($F$4, Attendance!$C$14:$C$104, 0),
       MATCH(1, (Attendance!$C$12:$GP$12=$E280) * (Attendance!$C$13:$GP$13=$F$279), 0)
))</f>
        <v>3</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1</v>
      </c>
      <c r="I280" s="61" t="str" cm="1">
        <f t="array" aca="1" ref="I280" ca="1">INDEX(Attendance!$C$14:$GP$44,
       MATCH($F$4, Attendance!$C$14:$C$44, 0),
       MATCH(1, (Attendance!$C$12:$GP$12=$E280) * (Attendance!$C$13:$GP$13=$I$279), 0)
)</f>
        <v>Quiet</v>
      </c>
      <c r="K280" s="18"/>
      <c r="L280" s="18"/>
      <c r="M280" s="18" t="s">
        <v>1562</v>
      </c>
      <c r="N280" s="61">
        <f ca="1">SUM(F$280:F$316)</f>
        <v>3</v>
      </c>
    </row>
    <row r="281" spans="1:14">
      <c r="A281" s="1" t="s">
        <v>280</v>
      </c>
      <c r="B281" t="str">
        <f t="shared" si="37"/>
        <v>¬</v>
      </c>
      <c r="D281" s="61" t="str" cm="1">
        <f t="array" aca="1" ref="D281" ca="1">INDEX(Attendance!$C$14:$GP$44,
       MATCH($F$4, Attendance!$C$14:$C$44, 0),
       MATCH(1, (Attendance!$C$12:$GP$12=$E281) * (Attendance!$C$13:$GP$13="Paid"), 0)
)</f>
        <v> </v>
      </c>
      <c r="E281" s="42">
        <f t="shared" ref="E281:E316" si="38">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7"/>
        <v>¬</v>
      </c>
      <c r="D282" s="61" t="str" cm="1">
        <f t="array" aca="1" ref="D282" ca="1">INDEX(Attendance!$C$14:$GP$44,
       MATCH($F$4, Attendance!$C$14:$C$44, 0),
       MATCH(1, (Attendance!$C$12:$GP$12=$E282) * (Attendance!$C$13:$GP$13="Paid"), 0)
)</f>
        <v> </v>
      </c>
      <c r="E282" s="42">
        <f t="shared" si="38"/>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1</v>
      </c>
    </row>
    <row r="283" spans="1:14">
      <c r="A283" s="1" t="s">
        <v>282</v>
      </c>
      <c r="B283" t="str">
        <f t="shared" si="37"/>
        <v>¬</v>
      </c>
      <c r="D283" s="61" t="str" cm="1">
        <f t="array" aca="1" ref="D283" ca="1">INDEX(Attendance!$C$14:$GP$44,
       MATCH($F$4, Attendance!$C$14:$C$44, 0),
       MATCH(1, (Attendance!$C$12:$GP$12=$E283) * (Attendance!$C$13:$GP$13="Paid"), 0)
)</f>
        <v> </v>
      </c>
      <c r="E283" s="42">
        <f t="shared" si="38"/>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9">IF(AE44="","¬",AE44)</f>
        <v>Cost: Free (1 V for Insight)  •  Pool: - - Composure &amp; Closed Book  •  Instant  •  Scene</v>
      </c>
      <c r="D284" s="61" t="str" cm="1">
        <f t="array" aca="1" ref="D284" ca="1">INDEX(Attendance!$C$14:$GP$44,
       MATCH($F$4, Attendance!$C$14:$C$44, 0),
       MATCH(1, (Attendance!$C$12:$GP$12=$E284) * (Attendance!$C$13:$GP$13="Paid"), 0)
)</f>
        <v> </v>
      </c>
      <c r="E284" s="42">
        <f t="shared" si="38"/>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9"/>
        <v>Cost: Free (1 V for Insight) Must perceive target  •  Pool: -  •  Instant  •  Scene</v>
      </c>
      <c r="D285" s="61" t="str" cm="1">
        <f t="array" aca="1" ref="D285" ca="1">INDEX(Attendance!$C$14:$GP$44,
       MATCH($F$4, Attendance!$C$14:$C$44, 0),
       MATCH(1, (Attendance!$C$12:$GP$12=$E285) * (Attendance!$C$13:$GP$13="Paid"), 0)
)</f>
        <v> </v>
      </c>
      <c r="E285" s="42">
        <f t="shared" si="38"/>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9"/>
        <v>Cost: -  •  Pool: -  •  Instant  •  Scene</v>
      </c>
      <c r="D286" s="61" t="str" cm="1">
        <f t="array" aca="1" ref="D286" ca="1">INDEX(Attendance!$C$14:$GP$44,
       MATCH($F$4, Attendance!$C$14:$C$44, 0),
       MATCH(1, (Attendance!$C$12:$GP$12=$E286) * (Attendance!$C$13:$GP$13="Paid"), 0)
)</f>
        <v> </v>
      </c>
      <c r="E286" s="42">
        <f t="shared" si="38"/>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9"/>
        <v>Cost: Varies  •  Pool: -  •  Instant  •  Indefinite</v>
      </c>
      <c r="D287" s="61" t="str" cm="1">
        <f t="array" aca="1" ref="D287" ca="1">INDEX(Attendance!$C$14:$GP$44,
       MATCH($F$4, Attendance!$C$14:$C$44, 0),
       MATCH(1, (Attendance!$C$12:$GP$12=$E287) * (Attendance!$C$13:$GP$13="Paid"), 0)
)</f>
        <v> </v>
      </c>
      <c r="E287" s="42">
        <f t="shared" si="38"/>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9"/>
        <v>¬</v>
      </c>
      <c r="D288" s="61" t="str" cm="1">
        <f t="array" aca="1" ref="D288" ca="1">INDEX(Attendance!$C$14:$GP$44,
       MATCH($F$4, Attendance!$C$14:$C$44, 0),
       MATCH(1, (Attendance!$C$12:$GP$12=$E288) * (Attendance!$C$13:$GP$13="Paid"), 0)
)</f>
        <v> </v>
      </c>
      <c r="E288" s="42">
        <f t="shared" si="38"/>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9"/>
        <v>¬</v>
      </c>
      <c r="D289" s="61" t="str" cm="1">
        <f t="array" aca="1" ref="D289" ca="1">INDEX(Attendance!$C$14:$GP$44,
       MATCH($F$4, Attendance!$C$14:$C$44, 0),
       MATCH(1, (Attendance!$C$12:$GP$12=$E289) * (Attendance!$C$13:$GP$13="Paid"), 0)
)</f>
        <v> </v>
      </c>
      <c r="E289" s="42">
        <f t="shared" si="38"/>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9"/>
        <v>¬</v>
      </c>
      <c r="D290" s="61" t="str" cm="1">
        <f t="array" aca="1" ref="D290" ca="1">INDEX(Attendance!$C$14:$GP$44,
       MATCH($F$4, Attendance!$C$14:$C$44, 0),
       MATCH(1, (Attendance!$C$12:$GP$12=$E290) * (Attendance!$C$13:$GP$13="Paid"), 0)
)</f>
        <v> </v>
      </c>
      <c r="E290" s="42">
        <f t="shared" si="38"/>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9"/>
        <v>¬</v>
      </c>
      <c r="D291" s="61" t="str" cm="1">
        <f t="array" aca="1" ref="D291" ca="1">INDEX(Attendance!$C$14:$GP$44,
       MATCH($F$4, Attendance!$C$14:$C$44, 0),
       MATCH(1, (Attendance!$C$12:$GP$12=$E291) * (Attendance!$C$13:$GP$13="Paid"), 0)
)</f>
        <v> </v>
      </c>
      <c r="E291" s="42">
        <f t="shared" si="38"/>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9"/>
        <v>¬</v>
      </c>
      <c r="D292" s="61" t="str" cm="1">
        <f t="array" aca="1" ref="D292" ca="1">INDEX(Attendance!$C$14:$GP$44,
       MATCH($F$4, Attendance!$C$14:$C$44, 0),
       MATCH(1, (Attendance!$C$12:$GP$12=$E292) * (Attendance!$C$13:$GP$13="Paid"), 0)
)</f>
        <v> </v>
      </c>
      <c r="E292" s="42">
        <f t="shared" si="38"/>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9"/>
        <v>Cost: 1 V 1 Successes  •  Pool: 10  •  Ritual  •  Instant</v>
      </c>
      <c r="D293" s="61" t="str" cm="1">
        <f t="array" aca="1" ref="D293" ca="1">INDEX(Attendance!$C$14:$GP$44,
       MATCH($F$4, Attendance!$C$14:$C$44, 0),
       MATCH(1, (Attendance!$C$12:$GP$12=$E293) * (Attendance!$C$13:$GP$13="Paid"), 0)
)</f>
        <v> </v>
      </c>
      <c r="E293" s="42">
        <f t="shared" si="38"/>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9"/>
        <v>¬</v>
      </c>
      <c r="D294" s="61" t="str" cm="1">
        <f t="array" aca="1" ref="D294" ca="1">INDEX(Attendance!$C$14:$GP$44,
       MATCH($F$4, Attendance!$C$14:$C$44, 0),
       MATCH(1, (Attendance!$C$12:$GP$12=$E294) * (Attendance!$C$13:$GP$13="Paid"), 0)
)</f>
        <v> </v>
      </c>
      <c r="E294" s="42">
        <f t="shared" si="38"/>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9"/>
        <v>¬</v>
      </c>
      <c r="D295" s="61" t="str" cm="1">
        <f t="array" aca="1" ref="D295" ca="1">INDEX(Attendance!$C$14:$GP$44,
       MATCH($F$4, Attendance!$C$14:$C$44, 0),
       MATCH(1, (Attendance!$C$12:$GP$12=$E295) * (Attendance!$C$13:$GP$13="Paid"), 0)
)</f>
        <v> </v>
      </c>
      <c r="E295" s="42">
        <f t="shared" si="38"/>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9"/>
        <v>¬</v>
      </c>
      <c r="D296" s="61" t="str" cm="1">
        <f t="array" aca="1" ref="D296" ca="1">INDEX(Attendance!$C$14:$GP$44,
       MATCH($F$4, Attendance!$C$14:$C$44, 0),
       MATCH(1, (Attendance!$C$12:$GP$12=$E296) * (Attendance!$C$13:$GP$13="Paid"), 0)
)</f>
        <v> </v>
      </c>
      <c r="E296" s="42">
        <f t="shared" si="38"/>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9"/>
        <v>¬</v>
      </c>
      <c r="D297" s="61" t="str" cm="1">
        <f t="array" aca="1" ref="D297" ca="1">INDEX(Attendance!$C$14:$GP$44,
       MATCH($F$4, Attendance!$C$14:$C$44, 0),
       MATCH(1, (Attendance!$C$12:$GP$12=$E297) * (Attendance!$C$13:$GP$13="Paid"), 0)
)</f>
        <v> </v>
      </c>
      <c r="E297" s="42">
        <f t="shared" si="38"/>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9"/>
        <v>¬</v>
      </c>
      <c r="D298" s="61" t="str" cm="1">
        <f t="array" aca="1" ref="D298" ca="1">INDEX(Attendance!$C$14:$GP$44,
       MATCH($F$4, Attendance!$C$14:$C$44, 0),
       MATCH(1, (Attendance!$C$12:$GP$12=$E298) * (Attendance!$C$13:$GP$13="Paid"), 0)
)</f>
        <v> </v>
      </c>
      <c r="E298" s="42">
        <f t="shared" si="38"/>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9"/>
        <v>¬</v>
      </c>
      <c r="D299" s="61" t="str" cm="1">
        <f t="array" aca="1" ref="D299" ca="1">INDEX(Attendance!$C$14:$GP$44,
       MATCH($F$4, Attendance!$C$14:$C$44, 0),
       MATCH(1, (Attendance!$C$12:$GP$12=$E299) * (Attendance!$C$13:$GP$13="Paid"), 0)
)</f>
        <v> </v>
      </c>
      <c r="E299" s="42">
        <f t="shared" si="38"/>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9"/>
        <v>¬</v>
      </c>
      <c r="D300" s="61" t="str" cm="1">
        <f t="array" aca="1" ref="D300" ca="1">INDEX(Attendance!$C$14:$GP$44,
       MATCH($F$4, Attendance!$C$14:$C$44, 0),
       MATCH(1, (Attendance!$C$12:$GP$12=$E300) * (Attendance!$C$13:$GP$13="Paid"), 0)
)</f>
        <v> </v>
      </c>
      <c r="E300" s="42">
        <f t="shared" si="38"/>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9"/>
        <v>¬</v>
      </c>
      <c r="D301" s="61" t="str" cm="1">
        <f t="array" aca="1" ref="D301" ca="1">INDEX(Attendance!$C$14:$GP$44,
       MATCH($F$4, Attendance!$C$14:$C$44, 0),
       MATCH(1, (Attendance!$C$12:$GP$12=$E301) * (Attendance!$C$13:$GP$13="Paid"), 0)
)</f>
        <v> </v>
      </c>
      <c r="E301" s="42">
        <f t="shared" si="38"/>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9"/>
        <v>¬</v>
      </c>
      <c r="D302" s="61" t="str" cm="1">
        <f t="array" aca="1" ref="D302" ca="1">INDEX(Attendance!$C$14:$GP$44,
       MATCH($F$4, Attendance!$C$14:$C$44, 0),
       MATCH(1, (Attendance!$C$12:$GP$12=$E302) * (Attendance!$C$13:$GP$13="Paid"), 0)
)</f>
        <v> </v>
      </c>
      <c r="E302" s="42">
        <f t="shared" si="38"/>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9"/>
        <v>¬</v>
      </c>
      <c r="D303" s="61" t="str" cm="1">
        <f t="array" aca="1" ref="D303" ca="1">INDEX(Attendance!$C$14:$GP$44,
       MATCH($F$4, Attendance!$C$14:$C$44, 0),
       MATCH(1, (Attendance!$C$12:$GP$12=$E303) * (Attendance!$C$13:$GP$13="Paid"), 0)
)</f>
        <v> </v>
      </c>
      <c r="E303" s="42">
        <f t="shared" si="38"/>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9"/>
        <v>¬</v>
      </c>
      <c r="D304" s="61" t="str" cm="1">
        <f t="array" aca="1" ref="D304" ca="1">INDEX(Attendance!$C$14:$GP$44,
       MATCH($F$4, Attendance!$C$14:$C$44, 0),
       MATCH(1, (Attendance!$C$12:$GP$12=$E304) * (Attendance!$C$13:$GP$13="Paid"), 0)
)</f>
        <v> </v>
      </c>
      <c r="E304" s="42">
        <f t="shared" si="38"/>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9"/>
        <v>¬</v>
      </c>
      <c r="D305" s="61" t="str" cm="1">
        <f t="array" aca="1" ref="D305" ca="1">INDEX(Attendance!$C$14:$GP$44,
       MATCH($F$4, Attendance!$C$14:$C$44, 0),
       MATCH(1, (Attendance!$C$12:$GP$12=$E305) * (Attendance!$C$13:$GP$13="Paid"), 0)
)</f>
        <v> </v>
      </c>
      <c r="E305" s="42">
        <f t="shared" si="38"/>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9"/>
        <v>¬</v>
      </c>
      <c r="D306" s="61" t="str" cm="1">
        <f t="array" aca="1" ref="D306" ca="1">INDEX(Attendance!$C$14:$GP$44,
       MATCH($F$4, Attendance!$C$14:$C$44, 0),
       MATCH(1, (Attendance!$C$12:$GP$12=$E306) * (Attendance!$C$13:$GP$13="Paid"), 0)
)</f>
        <v> </v>
      </c>
      <c r="E306" s="42">
        <f t="shared" si="38"/>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9"/>
        <v>¬</v>
      </c>
      <c r="D307" s="61" t="str" cm="1">
        <f t="array" aca="1" ref="D307" ca="1">INDEX(Attendance!$C$14:$GP$44,
       MATCH($F$4, Attendance!$C$14:$C$44, 0),
       MATCH(1, (Attendance!$C$12:$GP$12=$E307) * (Attendance!$C$13:$GP$13="Paid"), 0)
)</f>
        <v> </v>
      </c>
      <c r="E307" s="42">
        <f t="shared" si="38"/>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9"/>
        <v>¬</v>
      </c>
      <c r="D308" s="61" t="str" cm="1">
        <f t="array" aca="1" ref="D308" ca="1">INDEX(Attendance!$C$14:$GP$44,
       MATCH($F$4, Attendance!$C$14:$C$44, 0),
       MATCH(1, (Attendance!$C$12:$GP$12=$E308) * (Attendance!$C$13:$GP$13="Paid"), 0)
)</f>
        <v> </v>
      </c>
      <c r="E308" s="42">
        <f t="shared" si="38"/>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9"/>
        <v>¬</v>
      </c>
      <c r="D309" s="61" t="str" cm="1">
        <f t="array" aca="1" ref="D309" ca="1">INDEX(Attendance!$C$14:$GP$44,
       MATCH($F$4, Attendance!$C$14:$C$44, 0),
       MATCH(1, (Attendance!$C$12:$GP$12=$E309) * (Attendance!$C$13:$GP$13="Paid"), 0)
)</f>
        <v> </v>
      </c>
      <c r="E309" s="42">
        <f t="shared" si="38"/>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9"/>
        <v>¬</v>
      </c>
      <c r="D310" s="61" t="str" cm="1">
        <f t="array" aca="1" ref="D310" ca="1">INDEX(Attendance!$C$14:$GP$44,
       MATCH($F$4, Attendance!$C$14:$C$44, 0),
       MATCH(1, (Attendance!$C$12:$GP$12=$E310) * (Attendance!$C$13:$GP$13="Paid"), 0)
)</f>
        <v> </v>
      </c>
      <c r="E310" s="42">
        <f t="shared" si="38"/>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9"/>
        <v>¬</v>
      </c>
      <c r="D311" s="61" t="str" cm="1">
        <f t="array" aca="1" ref="D311" ca="1">INDEX(Attendance!$C$14:$GP$44,
       MATCH($F$4, Attendance!$C$14:$C$44, 0),
       MATCH(1, (Attendance!$C$12:$GP$12=$E311) * (Attendance!$C$13:$GP$13="Paid"), 0)
)</f>
        <v> </v>
      </c>
      <c r="E311" s="42">
        <f t="shared" si="38"/>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9"/>
        <v>¬</v>
      </c>
      <c r="D312" s="61" t="str" cm="1">
        <f t="array" aca="1" ref="D312" ca="1">INDEX(Attendance!$C$14:$GP$44,
       MATCH($F$4, Attendance!$C$14:$C$44, 0),
       MATCH(1, (Attendance!$C$12:$GP$12=$E312) * (Attendance!$C$13:$GP$13="Paid"), 0)
)</f>
        <v> </v>
      </c>
      <c r="E312" s="42">
        <f t="shared" si="38"/>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9"/>
        <v>¬</v>
      </c>
      <c r="D313" s="61" t="str" cm="1">
        <f t="array" aca="1" ref="D313" ca="1">INDEX(Attendance!$C$14:$GP$44,
       MATCH($F$4, Attendance!$C$14:$C$44, 0),
       MATCH(1, (Attendance!$C$12:$GP$12=$E313) * (Attendance!$C$13:$GP$13="Paid"), 0)
)</f>
        <v> </v>
      </c>
      <c r="E313" s="42">
        <f t="shared" si="38"/>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40">IF(AF44="","¬",AF44)</f>
        <v>Add Auspex dots to any rolls to resist surprise. Access to Tier 1 Auspex Insight questions.</v>
      </c>
      <c r="D314" s="61" t="str" cm="1">
        <f t="array" aca="1" ref="D314" ca="1">INDEX(Attendance!$C$14:$GP$44,
       MATCH($F$4, Attendance!$C$14:$C$44, 0),
       MATCH(1, (Attendance!$C$12:$GP$12=$E314) * (Attendance!$C$13:$GP$13="Paid"), 0)
)</f>
        <v> </v>
      </c>
      <c r="E314" s="42">
        <f t="shared" si="38"/>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40"/>
        <v>Persistent Acute Senses Merit, doubles actual merit. Access to Tier 2 Auspex Insight questions.</v>
      </c>
      <c r="D315" s="61" t="str" cm="1">
        <f t="array" aca="1" ref="D315" ca="1">INDEX(Attendance!$C$14:$GP$44,
       MATCH($F$4, Attendance!$C$14:$C$44, 0),
       MATCH(1, (Attendance!$C$12:$GP$12=$E315) * (Attendance!$C$13:$GP$13="Paid"), 0)
)</f>
        <v> </v>
      </c>
      <c r="E315" s="42">
        <f t="shared" si="38"/>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40"/>
        <v>Blend into surroundings, visible but unnoticeable. Predatory aura fully on or off. Leaving combat: Wits + Composure - Obfuscate to notice; auto Clash of Wills vs Auspex.</v>
      </c>
      <c r="D316" s="61" t="str" cm="1">
        <f t="array" aca="1" ref="D316" ca="1">INDEX(Attendance!$C$14:$GP$44,
       MATCH($F$4, Attendance!$C$14:$C$44, 0),
       MATCH(1, (Attendance!$C$12:$GP$12=$E316) * (Attendance!$C$13:$GP$13="Paid"), 0)
)</f>
        <v> </v>
      </c>
      <c r="E316" s="42">
        <f t="shared" si="38"/>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40"/>
        <v>Merge with soil.</v>
      </c>
    </row>
    <row r="318" spans="1:9">
      <c r="A318" s="1" t="s">
        <v>317</v>
      </c>
      <c r="B318" t="str">
        <f t="shared" si="40"/>
        <v>Summon liquids, dead organic matter, sensory phenomena. Bonus/penalty = Potency.</v>
      </c>
    </row>
    <row r="319" spans="1:9">
      <c r="A319" s="1" t="s">
        <v>318</v>
      </c>
      <c r="B319" t="str">
        <f t="shared" si="40"/>
        <v>Glimpse fragmented details about intended actions. Learn basic info about a target.</v>
      </c>
    </row>
    <row r="320" spans="1:9">
      <c r="A320" s="1" t="s">
        <v>319</v>
      </c>
      <c r="B320" t="str">
        <f t="shared" si="40"/>
        <v>Ask specific questions about a target. Sense supernatural concealment on objects. Detect lies.</v>
      </c>
    </row>
    <row r="321" spans="1:2">
      <c r="A321" s="1" t="s">
        <v>320</v>
      </c>
      <c r="B321" t="str">
        <f t="shared" si="40"/>
        <v>View past events (limited by Fog of Eternity). Locate hidden targets. Prophetic omens about near future.</v>
      </c>
    </row>
    <row r="322" spans="1:2">
      <c r="A322" s="1" t="s">
        <v>321</v>
      </c>
      <c r="B322" t="str">
        <f t="shared" si="40"/>
        <v>Subtract Potency from ritual rolls targeting subject. Heal bashing in vampires. Protect from the Kiss (add Potency to resistance).</v>
      </c>
    </row>
    <row r="323" spans="1:2">
      <c r="A323" s="1" t="s">
        <v>322</v>
      </c>
      <c r="B323" t="str">
        <f t="shared" si="40"/>
        <v>Blood pool reveals subject's greatest fear or deepest desire</v>
      </c>
    </row>
    <row r="324" spans="1:2">
      <c r="A324" s="1" t="s">
        <v>323</v>
      </c>
      <c r="B324" t="str">
        <f t="shared" si="40"/>
        <v>¬</v>
      </c>
    </row>
    <row r="325" spans="1:2">
      <c r="A325" s="1" t="s">
        <v>324</v>
      </c>
      <c r="B325" t="str">
        <f t="shared" si="40"/>
        <v>¬</v>
      </c>
    </row>
    <row r="326" spans="1:2">
      <c r="A326" s="1" t="s">
        <v>325</v>
      </c>
      <c r="B326" t="str">
        <f t="shared" si="40"/>
        <v>¬</v>
      </c>
    </row>
    <row r="327" spans="1:2">
      <c r="A327" s="1" t="s">
        <v>326</v>
      </c>
      <c r="B327" t="str">
        <f t="shared" si="40"/>
        <v>¬</v>
      </c>
    </row>
    <row r="328" spans="1:2">
      <c r="A328" s="1" t="s">
        <v>327</v>
      </c>
      <c r="B328" t="str">
        <f t="shared" si="40"/>
        <v>¬</v>
      </c>
    </row>
    <row r="329" spans="1:2">
      <c r="A329" s="1" t="s">
        <v>328</v>
      </c>
      <c r="B329" t="str">
        <f t="shared" si="40"/>
        <v>¬</v>
      </c>
    </row>
    <row r="330" spans="1:2">
      <c r="A330" s="1" t="s">
        <v>329</v>
      </c>
      <c r="B330" t="str">
        <f t="shared" si="40"/>
        <v>¬</v>
      </c>
    </row>
    <row r="331" spans="1:2">
      <c r="A331" s="1" t="s">
        <v>330</v>
      </c>
      <c r="B331" t="str">
        <f t="shared" si="40"/>
        <v>¬</v>
      </c>
    </row>
    <row r="332" spans="1:2">
      <c r="A332" s="1" t="s">
        <v>331</v>
      </c>
      <c r="B332" t="str">
        <f t="shared" si="40"/>
        <v>¬</v>
      </c>
    </row>
    <row r="333" spans="1:2">
      <c r="A333" s="1" t="s">
        <v>332</v>
      </c>
      <c r="B333" t="str">
        <f t="shared" si="40"/>
        <v>¬</v>
      </c>
    </row>
    <row r="334" spans="1:2">
      <c r="A334" s="1" t="s">
        <v>333</v>
      </c>
      <c r="B334" t="str">
        <f t="shared" si="40"/>
        <v>¬</v>
      </c>
    </row>
    <row r="335" spans="1:2">
      <c r="A335" s="1" t="s">
        <v>334</v>
      </c>
      <c r="B335" t="str">
        <f t="shared" si="40"/>
        <v>¬</v>
      </c>
    </row>
    <row r="336" spans="1:2">
      <c r="A336" s="1" t="s">
        <v>335</v>
      </c>
      <c r="B336" t="str">
        <f t="shared" si="40"/>
        <v>¬</v>
      </c>
    </row>
    <row r="337" spans="1:2">
      <c r="A337" s="1" t="s">
        <v>336</v>
      </c>
      <c r="B337" t="str">
        <f t="shared" si="40"/>
        <v>¬</v>
      </c>
    </row>
    <row r="338" spans="1:2">
      <c r="A338" s="1" t="s">
        <v>337</v>
      </c>
      <c r="B338" t="str">
        <f t="shared" si="40"/>
        <v>¬</v>
      </c>
    </row>
    <row r="339" spans="1:2">
      <c r="A339" s="1" t="s">
        <v>338</v>
      </c>
      <c r="B339" t="str">
        <f t="shared" si="40"/>
        <v>¬</v>
      </c>
    </row>
    <row r="340" spans="1:2">
      <c r="A340" s="1" t="s">
        <v>339</v>
      </c>
      <c r="B340" t="str">
        <f t="shared" si="40"/>
        <v>¬</v>
      </c>
    </row>
    <row r="341" spans="1:2">
      <c r="A341" s="1" t="s">
        <v>340</v>
      </c>
      <c r="B341" t="str">
        <f t="shared" si="40"/>
        <v>¬</v>
      </c>
    </row>
    <row r="342" spans="1:2">
      <c r="A342" s="1" t="s">
        <v>341</v>
      </c>
      <c r="B342" t="str">
        <f t="shared" si="40"/>
        <v>¬</v>
      </c>
    </row>
    <row r="343" spans="1:2">
      <c r="A343" s="1" t="s">
        <v>342</v>
      </c>
      <c r="B343" t="str">
        <f t="shared" si="40"/>
        <v>¬</v>
      </c>
    </row>
    <row r="344" spans="1:2">
      <c r="A344" s="1" t="s">
        <v>343</v>
      </c>
      <c r="B344" s="8" t="str">
        <f>IF(VLOOKUP(tblCharDataAnichka[[#This Row],[Field]],$E$2:$F$361,2,FALSE)="","¬",VLOOKUP(tblCharDataAnichka[[#This Row],[Field]],$E$2:$F$361,2,FALSE))</f>
        <v>Tenebrous Curse</v>
      </c>
    </row>
    <row r="345" spans="1:2">
      <c r="A345" s="1" t="s">
        <v>344</v>
      </c>
      <c r="B345" s="8" t="str">
        <f>IF(VLOOKUP(tblCharDataAnichka[[#This Row],[Field]],$E$2:$F$361,2,FALSE)="","¬",VLOOKUP(tblCharDataAnichka[[#This Row],[Field]],$E$2:$F$361,2,FALSE))</f>
        <v>¬</v>
      </c>
    </row>
    <row r="346" spans="1:2">
      <c r="A346" s="1" t="s">
        <v>345</v>
      </c>
      <c r="B346" s="8" t="str">
        <f>IF(VLOOKUP(tblCharDataAnichka[[#This Row],[Field]],$E$2:$F$361,2,FALSE)="","¬",VLOOKUP(tblCharDataAnichka[[#This Row],[Field]],$E$2:$F$361,2,FALSE))</f>
        <v>¬</v>
      </c>
    </row>
    <row r="347" spans="1:2">
      <c r="A347" s="1" t="s">
        <v>346</v>
      </c>
      <c r="B347" s="8" t="str">
        <f>IF(VLOOKUP(tblCharDataAnichka[[#This Row],[Field]],$E$2:$F$361,2,FALSE)="","¬",VLOOKUP(tblCharDataAnichka[[#This Row],[Field]],$E$2:$F$361,2,FALSE))</f>
        <v>¬</v>
      </c>
    </row>
    <row r="348" spans="1:2">
      <c r="A348" s="1" t="s">
        <v>347</v>
      </c>
      <c r="B348" s="8" t="str">
        <f>IF(VLOOKUP(tblCharDataAnichka[[#This Row],[Field]],$E$2:$F$361,2,FALSE)="","¬",VLOOKUP(tblCharDataAnichka[[#This Row],[Field]],$E$2:$F$361,2,FALSE))</f>
        <v>¬</v>
      </c>
    </row>
    <row r="349" spans="1:2">
      <c r="A349" s="1" t="s">
        <v>348</v>
      </c>
      <c r="B349" t="str">
        <f>_xlfn.IFNA(VLOOKUP(B344,$F$234:$I$238,3,FALSE),"")</f>
        <v>Gain an extra bane at Humanity 6 (doesn't count towards cap); Humanity counts –1 for all Humanity-based banes.</v>
      </c>
    </row>
    <row r="350" spans="1:2">
      <c r="A350" s="1" t="s">
        <v>349</v>
      </c>
      <c r="B350" t="str">
        <f>_xlfn.IFNA(VLOOKUP(B345,$F$234:$I$238,3,FALSE),"¬")</f>
        <v>¬</v>
      </c>
    </row>
    <row r="351" spans="1:2">
      <c r="A351" s="1" t="s">
        <v>350</v>
      </c>
      <c r="B351" t="str">
        <f>_xlfn.IFNA(VLOOKUP(B346,$F$234:$I$238,3,FALSE),"")</f>
        <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9</v>
      </c>
    </row>
    <row r="356" spans="1:2">
      <c r="A356" s="1" t="s">
        <v>355</v>
      </c>
      <c r="B356">
        <f ca="1">P220</f>
        <v>4</v>
      </c>
    </row>
    <row r="357" spans="1:2">
      <c r="A357" s="1" t="s">
        <v>356</v>
      </c>
      <c r="B357" t="str">
        <f>IF(F10="","¬",VLOOKUP(F10,tblAnchors[],2,FALSE))</f>
        <v>Challenge an accepted truth.</v>
      </c>
    </row>
    <row r="358" spans="1:2">
      <c r="A358" s="1" t="s">
        <v>357</v>
      </c>
      <c r="B358" t="str">
        <f>IF(F10="","¬",VLOOKUP(F10,tblAnchors[],3,FALSE))</f>
        <v>Put a long-believed truth to the test, at your own peril.</v>
      </c>
    </row>
    <row r="359" spans="1:2">
      <c r="A359" s="1" t="s">
        <v>358</v>
      </c>
      <c r="B359" t="str">
        <f>IF(F11="","¬",VLOOKUP(F11,tblAnchors[],2,FALSE))</f>
        <v>Uncover a lost piece of information.</v>
      </c>
    </row>
    <row r="360" spans="1:2">
      <c r="A360" s="1" t="s">
        <v>359</v>
      </c>
      <c r="B360" t="str">
        <f>IF(F11="","¬",VLOOKUP(F11,tblAnchors[],3,FALSE))</f>
        <v>Uncover forbidden knowledge.</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early 20s</v>
      </c>
    </row>
    <row r="365" spans="1:2">
      <c r="A365" s="1" t="s">
        <v>364</v>
      </c>
      <c r="B365" t="str">
        <f>_xlfn.LET(_xlpm.a,IF(F244="","",F244),_xlpm.b,IF(F245="","",F245),IF(AND(_xlpm.a&lt;&gt;"",_xlpm.b&lt;&gt;""),_xlpm.a&amp;", "&amp;_xlpm.b,IF(_xlpm.a&lt;&gt;"",_xlpm.a,IF(_xlpm.b&lt;&gt;"",_xlpm.b,""))))</f>
        <v>smells like animals</v>
      </c>
    </row>
  </sheetData>
  <mergeCells count="89">
    <mergeCell ref="H85:I85"/>
    <mergeCell ref="O8:P8"/>
    <mergeCell ref="O9:P9"/>
    <mergeCell ref="O10:P10"/>
    <mergeCell ref="O11:P11"/>
    <mergeCell ref="O12:P12"/>
    <mergeCell ref="H79:I79"/>
    <mergeCell ref="H80:I80"/>
    <mergeCell ref="H81:I81"/>
    <mergeCell ref="H82:I82"/>
    <mergeCell ref="H83:I83"/>
    <mergeCell ref="H84:I84"/>
    <mergeCell ref="H97:I97"/>
    <mergeCell ref="H86:I86"/>
    <mergeCell ref="H87:I87"/>
    <mergeCell ref="H88:I88"/>
    <mergeCell ref="H89:I89"/>
    <mergeCell ref="H90:I90"/>
    <mergeCell ref="H91:I91"/>
    <mergeCell ref="H92:I92"/>
    <mergeCell ref="H93:I93"/>
    <mergeCell ref="H94:I94"/>
    <mergeCell ref="H95:I95"/>
    <mergeCell ref="H96:I96"/>
    <mergeCell ref="H111:I111"/>
    <mergeCell ref="H98:I98"/>
    <mergeCell ref="H101:I101"/>
    <mergeCell ref="H102:I102"/>
    <mergeCell ref="H103:I103"/>
    <mergeCell ref="H104:I104"/>
    <mergeCell ref="H105:I105"/>
    <mergeCell ref="H106:I106"/>
    <mergeCell ref="H107:I107"/>
    <mergeCell ref="H108:I108"/>
    <mergeCell ref="H109:I109"/>
    <mergeCell ref="H110:I110"/>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52:I152"/>
    <mergeCell ref="H141:I141"/>
    <mergeCell ref="H142:I142"/>
    <mergeCell ref="H143:I143"/>
    <mergeCell ref="H144:I144"/>
    <mergeCell ref="H145:I145"/>
    <mergeCell ref="H146:I146"/>
    <mergeCell ref="H147:I147"/>
    <mergeCell ref="H148:I148"/>
    <mergeCell ref="H149:I149"/>
    <mergeCell ref="H150:I150"/>
    <mergeCell ref="H151:I151"/>
    <mergeCell ref="H207:I207"/>
    <mergeCell ref="H153:I153"/>
    <mergeCell ref="H154:I154"/>
    <mergeCell ref="H155:I155"/>
    <mergeCell ref="H156:I156"/>
    <mergeCell ref="H157:I157"/>
    <mergeCell ref="H177:I177"/>
    <mergeCell ref="H178:I178"/>
    <mergeCell ref="H179:I179"/>
    <mergeCell ref="H180:I180"/>
    <mergeCell ref="H181:I181"/>
    <mergeCell ref="H206:I206"/>
    <mergeCell ref="H238:I238"/>
    <mergeCell ref="H208:I208"/>
    <mergeCell ref="H209:I209"/>
    <mergeCell ref="H210:I210"/>
    <mergeCell ref="H211:I211"/>
    <mergeCell ref="H212:I212"/>
    <mergeCell ref="H213:I213"/>
    <mergeCell ref="H214:I214"/>
    <mergeCell ref="H215:I215"/>
    <mergeCell ref="H234:I234"/>
    <mergeCell ref="H236:I236"/>
    <mergeCell ref="H237:I237"/>
    <mergeCell ref="F240:I240"/>
    <mergeCell ref="F241:I241"/>
    <mergeCell ref="F242:I242"/>
    <mergeCell ref="F244:I244"/>
    <mergeCell ref="F245:I245"/>
  </mergeCells>
  <dataValidations count="15">
    <dataValidation type="list" allowBlank="1" showInputMessage="1" showErrorMessage="1" sqref="G248:G277" xr:uid="{A53D8DA1-755E-47A0-A1A9-EE80DED86182}">
      <formula1>$I$248:$I$249</formula1>
    </dataValidation>
    <dataValidation type="list" allowBlank="1" showInputMessage="1" showErrorMessage="1" sqref="F101:F120" xr:uid="{CF609BB6-090E-4B2F-87D3-01FDA08644E4}">
      <formula1>lstManoeuvres</formula1>
    </dataValidation>
    <dataValidation type="list" allowBlank="1" showInputMessage="1" showErrorMessage="1" sqref="F79:F98" xr:uid="{1CE4B033-F609-43EF-A459-A658498321E0}">
      <formula1>lstMerits</formula1>
    </dataValidation>
    <dataValidation type="list" allowBlank="1" showInputMessage="1" showErrorMessage="1" sqref="F236:F238" xr:uid="{1B005D81-054B-4990-89FE-72C2955FF7AC}">
      <formula1>lstBanes</formula1>
    </dataValidation>
    <dataValidation type="list" allowBlank="1" showInputMessage="1" showErrorMessage="1" sqref="F206:F215" xr:uid="{29E95E24-6C5A-452B-A3ED-F5AF983C097F}">
      <formula1>lstPacts</formula1>
    </dataValidation>
    <dataValidation type="list" allowBlank="1" showInputMessage="1" showErrorMessage="1" sqref="G12:G13" xr:uid="{9F4D45E5-9C9C-4024-9DFB-890EAA6C8418}">
      <formula1>lstStatus</formula1>
    </dataValidation>
    <dataValidation type="list" allowBlank="1" showInputMessage="1" showErrorMessage="1" sqref="F207:F215 F194:F205" xr:uid="{7F5EB619-915F-41E1-904E-A2BF4A08E43F}">
      <formula1>lstRites</formula1>
    </dataValidation>
    <dataValidation type="list" allowBlank="1" showInputMessage="1" showErrorMessage="1" sqref="F177:F181" xr:uid="{46676CD8-A222-469A-A2D3-5C7DE4172412}">
      <formula1>lstDevotions</formula1>
    </dataValidation>
    <dataValidation type="list" allowBlank="1" showInputMessage="1" showErrorMessage="1" sqref="F17:F21" xr:uid="{A248E48A-B8E5-49CF-B7D9-55BC1508B3E6}">
      <formula1>"TRUE,FALSE"</formula1>
    </dataValidation>
    <dataValidation type="list" allowBlank="1" showInputMessage="1" showErrorMessage="1" sqref="F24" xr:uid="{C4EF9879-F429-4C8E-A68C-0471E845A586}">
      <formula1>$D$7:$D$8</formula1>
    </dataValidation>
    <dataValidation type="list" allowBlank="1" showInputMessage="1" showErrorMessage="1" sqref="I25 I30 I35 I41 I51 I61" xr:uid="{05BA8708-0691-4834-A99B-1E01F4BC2C5D}">
      <formula1>lstPriority</formula1>
    </dataValidation>
    <dataValidation type="list" allowBlank="1" showInputMessage="1" showErrorMessage="1" sqref="F10:F11" xr:uid="{E9843DF4-49F4-4125-B8A0-0D4C7F5A894F}">
      <formula1>lstNature</formula1>
    </dataValidation>
    <dataValidation type="list" allowBlank="1" showInputMessage="1" showErrorMessage="1" sqref="F8" xr:uid="{A8B94EA4-BA2B-4024-A6DC-D79129312E50}">
      <formula1>lstBloodlines</formula1>
    </dataValidation>
    <dataValidation type="list" allowBlank="1" showInputMessage="1" showErrorMessage="1" sqref="F9" xr:uid="{7AB6DE69-A4FE-4622-8072-6D5C9AD37A64}">
      <formula1>lstCovenant</formula1>
    </dataValidation>
    <dataValidation type="list" allowBlank="1" showInputMessage="1" showErrorMessage="1" sqref="F7" xr:uid="{27D83D3D-BB24-4045-9E66-F462B8D9F80A}">
      <formula1>lstClan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398AB76D-EBC2-4A29-98A0-312F97B99040}">
          <x14:formula1>
            <xm:f>'Lookup-Domain'!$A$2:$A$8</xm:f>
          </x14:formula1>
          <xm:sqref>F138:F157 F161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84738-E808-451D-B991-8BA763FF1757}">
  <dimension ref="A1:AK365"/>
  <sheetViews>
    <sheetView zoomScale="70" zoomScaleNormal="70" workbookViewId="0">
      <pane ySplit="1" topLeftCell="A2" activePane="bottomLeft" state="frozen"/>
      <selection pane="bottomLeft" activeCell="M143" sqref="M143"/>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Secret Society Junkie</v>
      </c>
      <c r="AC2" s="60" t="str" cm="1">
        <f t="array" ref="AC2:AC12">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Defensive Combat (Brawl)</v>
      </c>
      <c r="AD2" s="20" t="str">
        <f>IF(AC2="","¬",_xlfn.LET(_xlpm.base,IFERROR(LEFT(AC2,FIND(" (",AC2)-1),AC2),IFERROR(VLOOKUP(_xlpm.base,tblManoeuvre[],2,FALSE) &amp; " " &amp; REPT("●",VLOOKUP(_xlpm.base,tblManoeuvre[],3,FALSE)) &amp; " | " &amp; AC2,AC2 &amp; " " &amp; REPT("●",VLOOKUP(_xlpm.base,$F$79:$P$120,11,FALSE)))))</f>
        <v>Defensive Combat (Brawl) ●</v>
      </c>
      <c r="AE2" s="20"/>
      <c r="AF2" s="20" t="str">
        <f>IF(LEN(AC2)=0,"¬",_xlfn.LET(_xlpm.base,IFERROR(LEFT(AC2,FIND(" (",AC2)-1),AC2),IFERROR(VLOOKUP(_xlpm.base,tblMerits[],5,FALSE),IFERROR(VLOOKUP(_xlpm.base,tblManoeuvre[],9,FALSE),"¬"))))</f>
        <v>Substitute chosen Skill for Athletics in Defence, if equipped for that Skill.</v>
      </c>
      <c r="AI2" s="15" t="s">
        <v>25</v>
      </c>
      <c r="AJ2" s="61">
        <f t="shared" ref="AJ2:AJ33" si="1">VLOOKUP(AI2,$E$3:$P$221,12,FALSE)</f>
        <v>0</v>
      </c>
      <c r="AK2" s="61">
        <f>IF(AJ2=0,IF(COUNTIF($E$42:$E$49,AI2)&gt;0,-3,-1),AJ2)</f>
        <v>-3</v>
      </c>
    </row>
    <row r="3" spans="1:37">
      <c r="A3" s="1" t="s">
        <v>2</v>
      </c>
      <c r="B3">
        <f ca="1">N3</f>
        <v>2</v>
      </c>
      <c r="D3" s="19"/>
      <c r="E3" s="15" t="s">
        <v>4</v>
      </c>
      <c r="F3" s="3" t="s">
        <v>488</v>
      </c>
      <c r="G3" s="18"/>
      <c r="H3" s="18"/>
      <c r="I3" s="18" t="s">
        <v>1425</v>
      </c>
      <c r="N3" s="60">
        <f ca="1">10+SUM(N4:N6)-SUM(N7)</f>
        <v>2</v>
      </c>
      <c r="Y3" s="15" t="s">
        <v>115</v>
      </c>
      <c r="Z3" s="19"/>
      <c r="AA3" s="61" t="str">
        <f t="shared" si="0"/>
        <v>Viral Mythology</v>
      </c>
      <c r="AC3" s="60" t="str">
        <v>Indomitable</v>
      </c>
      <c r="AD3" s="20" t="str">
        <f>IF(AC3="","¬",_xlfn.LET(_xlpm.base,IFERROR(LEFT(AC3,FIND(" (",AC3)-1),AC3),IFERROR(VLOOKUP(_xlpm.base,tblManoeuvre[],2,FALSE) &amp; " " &amp; REPT("●",VLOOKUP(_xlpm.base,tblManoeuvre[],3,FALSE)) &amp; " | " &amp; AC3,AC3 &amp; " " &amp; REPT("●",VLOOKUP(_xlpm.base,$F$79:$P$120,11,FALSE)))))</f>
        <v>Indomitable ●●</v>
      </c>
      <c r="AE3" s="20"/>
      <c r="AF3" s="20" t="str">
        <f>IF(LEN(AC3)=0,"¬",_xlfn.LET(_xlpm.base,IFERROR(LEFT(AC3,FIND(" (",AC3)-1),AC3),IFERROR(VLOOKUP(_xlpm.base,tblMerits[],5,FALSE),IFERROR(VLOOKUP(_xlpm.base,tblManoeuvre[],9,FALSE),"¬"))))</f>
        <v>+2 to contest or resist supernatural mental influence.</v>
      </c>
      <c r="AI3" s="15" t="s">
        <v>41</v>
      </c>
      <c r="AJ3" s="61">
        <f t="shared" si="1"/>
        <v>0</v>
      </c>
      <c r="AK3" s="61">
        <f>IF(AJ3=0,IF(COUNTIF($E$42:$E$49,AI3)&gt;0,-3,-1),AJ3)</f>
        <v>-1</v>
      </c>
    </row>
    <row r="4" spans="1:37">
      <c r="A4" s="1" t="s">
        <v>3</v>
      </c>
      <c r="B4">
        <f ca="1">SUM(N3:N9)</f>
        <v>46</v>
      </c>
      <c r="D4" s="19"/>
      <c r="E4" s="15" t="s">
        <v>5</v>
      </c>
      <c r="F4" s="3" t="s">
        <v>489</v>
      </c>
      <c r="G4" s="18"/>
      <c r="H4" s="18"/>
      <c r="I4" s="18" t="s">
        <v>1426</v>
      </c>
      <c r="N4" s="61">
        <f>K73*2</f>
        <v>4</v>
      </c>
      <c r="Y4" s="15" t="s">
        <v>116</v>
      </c>
      <c r="Z4" s="19"/>
      <c r="AA4" s="61" t="str">
        <f t="shared" si="0"/>
        <v>Table Turner</v>
      </c>
      <c r="AC4" s="60" t="str">
        <v>Inspiring</v>
      </c>
      <c r="AD4" s="20" t="str">
        <f>IF(AC4="","¬",_xlfn.LET(_xlpm.base,IFERROR(LEFT(AC4,FIND(" (",AC4)-1),AC4),IFERROR(VLOOKUP(_xlpm.base,tblManoeuvre[],2,FALSE) &amp; " " &amp; REPT("●",VLOOKUP(_xlpm.base,tblManoeuvre[],3,FALSE)) &amp; " | " &amp; AC4,AC4 &amp; " " &amp; REPT("●",VLOOKUP(_xlpm.base,$F$79:$P$120,11,FALSE)))))</f>
        <v>Inspiring ●●●</v>
      </c>
      <c r="AE4" s="20"/>
      <c r="AF4" s="20" t="str">
        <f>IF(LEN(AC4)=0,"¬",_xlfn.LET(_xlpm.base,IFERROR(LEFT(AC4,FIND(" (",AC4)-1),AC4),IFERROR(VLOOKUP(_xlpm.base,tblMerits[],5,FALSE),IFERROR(VLOOKUP(_xlpm.base,tblManoeuvre[],9,FALSE),"¬"))))</f>
        <v>Roll Presence + Expression to confer the Inspired Condition.</v>
      </c>
      <c r="AI4" s="15" t="s">
        <v>236</v>
      </c>
      <c r="AJ4" s="61">
        <f t="shared" si="1"/>
        <v>0</v>
      </c>
      <c r="AK4" s="61">
        <f>AJ4</f>
        <v>0</v>
      </c>
    </row>
    <row r="5" spans="1:37">
      <c r="A5" s="1" t="s">
        <v>4</v>
      </c>
      <c r="B5" t="str">
        <f>IF(VLOOKUP(tblCharDataBrandy[[#This Row],[Field]],$E$2:$F$362,2,FALSE)="","¬",VLOOKUP(tblCharDataBrandy[[#This Row],[Field]],$E$2:$F$362,2,FALSE))</f>
        <v>Ashley K</v>
      </c>
      <c r="D5" s="19"/>
      <c r="E5" s="15" t="s">
        <v>6</v>
      </c>
      <c r="F5" s="3" t="s">
        <v>490</v>
      </c>
      <c r="G5" s="18"/>
      <c r="H5" s="18"/>
      <c r="I5" s="18" t="s">
        <v>1427</v>
      </c>
      <c r="N5" s="61">
        <f>N16</f>
        <v>9</v>
      </c>
      <c r="Y5" s="15" t="s">
        <v>117</v>
      </c>
      <c r="Z5" s="19"/>
      <c r="AA5" s="61" t="str">
        <f t="shared" si="0"/>
        <v>Inspiring</v>
      </c>
      <c r="AC5" s="60" t="str">
        <v>Meditative Mind</v>
      </c>
      <c r="AD5" s="20" t="str">
        <f>IF(AC5="","¬",_xlfn.LET(_xlpm.base,IFERROR(LEFT(AC5,FIND(" (",AC5)-1),AC5),IFERROR(VLOOKUP(_xlpm.base,tblManoeuvre[],2,FALSE) &amp; " " &amp; REPT("●",VLOOKUP(_xlpm.base,tblManoeuvre[],3,FALSE)) &amp; " | " &amp; AC5,AC5 &amp; " " &amp; REPT("●",VLOOKUP(_xlpm.base,$F$79:$P$120,11,FALSE)))))</f>
        <v>Meditative Mind ●●</v>
      </c>
      <c r="AE5" s="20"/>
      <c r="AF5" s="20" t="str">
        <f>IF(LEN(AC5)=0,"¬",_xlfn.LET(_xlpm.base,IFERROR(LEFT(AC5,FIND(" (",AC5)-1),AC5),IFERROR(VLOOKUP(_xlpm.base,tblMerits[],5,FALSE),IFERROR(VLOOKUP(_xlpm.base,tblManoeuvre[],9,FALSE),"¬"))))</f>
        <v>Ignore penalties on meditation. (••) meditation grants +3 Resolve + Composure for the day. (••••) meditation needs only one success.</v>
      </c>
      <c r="AI5" s="15" t="s">
        <v>33</v>
      </c>
      <c r="AJ5" s="61">
        <f t="shared" si="1"/>
        <v>0</v>
      </c>
      <c r="AK5" s="61">
        <f>IF(AJ5=0,IF(COUNTIF($E$42:$E$49,AI5)&gt;0,-3,-1),AJ5)</f>
        <v>-1</v>
      </c>
    </row>
    <row r="6" spans="1:37">
      <c r="A6" s="1" t="s">
        <v>5</v>
      </c>
      <c r="B6" t="str">
        <f>IF(VLOOKUP(tblCharDataBrandy[[#This Row],[Field]],$E$2:$F$362,2,FALSE)="","¬",VLOOKUP(tblCharDataBrandy[[#This Row],[Field]],$E$2:$F$362,2,FALSE))</f>
        <v>Brandy LaRoux</v>
      </c>
      <c r="D6" s="19"/>
      <c r="E6" s="15" t="s">
        <v>7</v>
      </c>
      <c r="F6" s="3" t="s">
        <v>369</v>
      </c>
      <c r="G6" s="18"/>
      <c r="H6" s="18"/>
      <c r="I6" s="18" t="s">
        <v>1347</v>
      </c>
      <c r="N6" s="61">
        <f ca="1">N279</f>
        <v>3</v>
      </c>
      <c r="Y6" s="15" t="s">
        <v>118</v>
      </c>
      <c r="Z6" s="19"/>
      <c r="AA6" s="61" t="str">
        <f t="shared" si="0"/>
        <v>Indomitable</v>
      </c>
      <c r="AC6" s="60" t="str">
        <v>Secret Society Junkie</v>
      </c>
      <c r="AD6" s="20" t="str">
        <f>IF(AC6="","¬",_xlfn.LET(_xlpm.base,IFERROR(LEFT(AC6,FIND(" (",AC6)-1),AC6),IFERROR(VLOOKUP(_xlpm.base,tblManoeuvre[],2,FALSE) &amp; " " &amp; REPT("●",VLOOKUP(_xlpm.base,tblManoeuvre[],3,FALSE)) &amp; " | " &amp; AC6,AC6 &amp; " " &amp; REPT("●",VLOOKUP(_xlpm.base,$F$79:$P$120,11,FALSE)))))</f>
        <v>Secret Society Junkie ●</v>
      </c>
      <c r="AE6" s="20"/>
      <c r="AF6" s="20" t="str">
        <f>IF(LEN(AC6)=0,"¬",_xlfn.LET(_xlpm.base,IFERROR(LEFT(AC6,FIND(" (",AC6)-1),AC6),IFERROR(VLOOKUP(_xlpm.base,tblMerits[],5,FALSE),IFERROR(VLOOKUP(_xlpm.base,tblManoeuvre[],9,FALSE),"¬"))))</f>
        <v>Dots in Status or Mystery Cult Initiation representing human secret societies also count as dots of Herd.</v>
      </c>
      <c r="AI6" s="15" t="s">
        <v>237</v>
      </c>
      <c r="AJ6" s="61">
        <f t="shared" si="1"/>
        <v>0</v>
      </c>
      <c r="AK6" s="61">
        <f>AJ6</f>
        <v>0</v>
      </c>
    </row>
    <row r="7" spans="1:37">
      <c r="A7" s="1" t="s">
        <v>6</v>
      </c>
      <c r="B7" t="str">
        <f>IF(VLOOKUP(tblCharDataBrandy[[#This Row],[Field]],$E$2:$F$362,2,FALSE)="","¬",VLOOKUP(tblCharDataBrandy[[#This Row],[Field]],$E$2:$F$362,2,FALSE))</f>
        <v>Trailer Royalty</v>
      </c>
      <c r="D7" s="19" t="str">
        <f>VLOOKUP(F7,tblClans[],3,FALSE)</f>
        <v>Stamina</v>
      </c>
      <c r="E7" s="15" t="s">
        <v>8</v>
      </c>
      <c r="F7" s="3" t="s">
        <v>491</v>
      </c>
      <c r="G7" s="18"/>
      <c r="H7" s="18"/>
      <c r="I7" s="18"/>
      <c r="N7" s="60">
        <f>SUM(N8:N12)</f>
        <v>24</v>
      </c>
      <c r="Y7" s="15" t="s">
        <v>119</v>
      </c>
      <c r="Z7" s="19"/>
      <c r="AA7" s="61" t="str">
        <f t="shared" si="0"/>
        <v>Defensive Combat (Brawl)</v>
      </c>
      <c r="AC7" s="60" t="str">
        <v>Table Turner</v>
      </c>
      <c r="AD7" s="20" t="str">
        <f>IF(AC7="","¬",_xlfn.LET(_xlpm.base,IFERROR(LEFT(AC7,FIND(" (",AC7)-1),AC7),IFERROR(VLOOKUP(_xlpm.base,tblManoeuvre[],2,FALSE) &amp; " " &amp; REPT("●",VLOOKUP(_xlpm.base,tblManoeuvre[],3,FALSE)) &amp; " | " &amp; AC7,AC7 &amp; " " &amp; REPT("●",VLOOKUP(_xlpm.base,$F$79:$P$120,11,FALSE)))))</f>
        <v>Table Turner ●</v>
      </c>
      <c r="AE7" s="20"/>
      <c r="AF7" s="20" t="str">
        <f>IF(LEN(AC7)=0,"¬",_xlfn.LET(_xlpm.base,IFERROR(LEFT(AC7,FIND(" (",AC7)-1),AC7),IFERROR(VLOOKUP(_xlpm.base,tblMerits[],5,FALSE),IFERROR(VLOOKUP(_xlpm.base,tblManoeuvre[],9,FALSE),"¬"))))</f>
        <v>Spend Willpower to preempt Social Manoeuvring with your own Social action.</v>
      </c>
      <c r="AI7" s="15" t="s">
        <v>49</v>
      </c>
      <c r="AJ7" s="61">
        <f t="shared" si="1"/>
        <v>1</v>
      </c>
      <c r="AK7" s="61">
        <f>AJ7</f>
        <v>1</v>
      </c>
    </row>
    <row r="8" spans="1:37">
      <c r="A8" s="1" t="s">
        <v>7</v>
      </c>
      <c r="B8" t="str">
        <f>IF(VLOOKUP(tblCharDataBrandy[[#This Row],[Field]],$E$2:$F$362,2,FALSE)="","¬",LOWER(VLOOKUP(tblCharDataBrandy[[#This Row],[Field]],$E$2:$F$362,2,FALSE)))</f>
        <v>she/her</v>
      </c>
      <c r="D8" s="19" t="str">
        <f>VLOOKUP(F7,tblClans[],2,FALSE)</f>
        <v>Composure</v>
      </c>
      <c r="E8" s="15" t="s">
        <v>10</v>
      </c>
      <c r="F8" s="3"/>
      <c r="G8" s="61" t="str">
        <f>IFERROR(IF(OR(AND(VLOOKUP(F8,tblBloodlines[],2,FALSE)="",VLOOKUP(F8,tblBloodlines[],3,FALSE)="",VLOOKUP(F8,tblBloodlines[],4,FALSE)=""),AND(VLOOKUP(F8,tblBloodlines[],2,FALSE)="",VLOOKUP(F8,tblBloodlines[],3,FALSE)="",F9=VLOOKUP(F8,tblBloodlines[],4,FALSE)),F7=VLOOKUP(F8,tblBloodlines[],2,FALSE),F7=VLOOKUP(F8,tblBloodlines[],3,FALSE)),TRUE,FALSE),"")</f>
        <v/>
      </c>
      <c r="H8" s="18"/>
      <c r="I8" s="18" t="s">
        <v>1428</v>
      </c>
      <c r="N8" s="61">
        <f>N23</f>
        <v>4</v>
      </c>
      <c r="O8" s="65">
        <f>N8/SUM(N$7:N$12)</f>
        <v>8.3333333333333329E-2</v>
      </c>
      <c r="P8" s="66"/>
      <c r="Y8" s="15" t="s">
        <v>120</v>
      </c>
      <c r="Z8" s="19"/>
      <c r="AA8" s="61" t="str">
        <f t="shared" si="0"/>
        <v>Meditative Mind</v>
      </c>
      <c r="AC8" s="60" t="str">
        <v>Viral Mythology</v>
      </c>
      <c r="AD8" s="20" t="str">
        <f>IF(AC8="","¬",_xlfn.LET(_xlpm.base,IFERROR(LEFT(AC8,FIND(" (",AC8)-1),AC8),IFERROR(VLOOKUP(_xlpm.base,tblManoeuvre[],2,FALSE) &amp; " " &amp; REPT("●",VLOOKUP(_xlpm.base,tblManoeuvre[],3,FALSE)) &amp; " | " &amp; AC8,AC8 &amp; " " &amp; REPT("●",VLOOKUP(_xlpm.base,$F$79:$P$120,11,FALSE)))))</f>
        <v>Viral Mythology ●●●</v>
      </c>
      <c r="AE8" s="20"/>
      <c r="AF8" s="20" t="str">
        <f>IF(LEN(AC8)=0,"¬",_xlfn.LET(_xlpm.base,IFERROR(LEFT(AC8,FIND(" (",AC8)-1),AC8),IFERROR(VLOOKUP(_xlpm.base,tblMerits[],5,FALSE),IFERROR(VLOOKUP(_xlpm.base,tblManoeuvre[],9,FALSE),"¬"))))</f>
        <v>Presence + Expression vs Wits + Composure to inflict contagious awe. Allies and Herd double their yield.</v>
      </c>
      <c r="AI8" s="15" t="s">
        <v>34</v>
      </c>
      <c r="AJ8" s="61">
        <f t="shared" si="1"/>
        <v>5</v>
      </c>
      <c r="AK8" s="61">
        <f>IF(AJ8=0,IF(COUNTIF($E$42:$E$49,AI8)&gt;0,-3,-1),AJ8)</f>
        <v>5</v>
      </c>
    </row>
    <row r="9" spans="1:37">
      <c r="A9" s="1" t="s">
        <v>8</v>
      </c>
      <c r="B9" t="str">
        <f>IF(VLOOKUP(tblCharDataBrandy[[#This Row],[Field]],$E$2:$F$362,2,FALSE)="","¬",VLOOKUP(tblCharDataBrandy[[#This Row],[Field]],$E$2:$F$362,2,FALSE))</f>
        <v>Gangrel</v>
      </c>
      <c r="D9" s="19"/>
      <c r="E9" s="15" t="s">
        <v>11</v>
      </c>
      <c r="F9" s="3" t="s">
        <v>373</v>
      </c>
      <c r="G9" s="18"/>
      <c r="H9" s="18"/>
      <c r="I9" s="18" t="s">
        <v>1429</v>
      </c>
      <c r="N9" s="61">
        <f>N40+T40</f>
        <v>0</v>
      </c>
      <c r="O9" s="65">
        <f>N9/SUM(N$7:N$12)</f>
        <v>0</v>
      </c>
      <c r="P9" s="66"/>
      <c r="Y9" s="15" t="s">
        <v>121</v>
      </c>
      <c r="Z9" s="19"/>
      <c r="AA9" s="61" t="str">
        <f t="shared" si="0"/>
        <v/>
      </c>
      <c r="AC9" s="60" t="str">
        <v>Ravage</v>
      </c>
      <c r="AD9" s="20" t="str">
        <f>IF(AC9="","¬",_xlfn.LET(_xlpm.base,IFERROR(LEFT(AC9,FIND(" (",AC9)-1),AC9),IFERROR(VLOOKUP(_xlpm.base,tblManoeuvre[],2,FALSE) &amp; " " &amp; REPT("●",VLOOKUP(_xlpm.base,tblManoeuvre[],3,FALSE)) &amp; " | " &amp; AC9,AC9 &amp; " " &amp; REPT("●",VLOOKUP(_xlpm.base,$F$79:$P$120,11,FALSE)))))</f>
        <v>Riding the Wave ● | Ravage</v>
      </c>
      <c r="AE9" s="20"/>
      <c r="AF9" s="20" t="str">
        <f>IF(LEN(AC9)=0,"¬",_xlfn.LET(_xlpm.base,IFERROR(LEFT(AC9,FIND(" (",AC9)-1),AC9),IFERROR(VLOOKUP(_xlpm.base,tblMerits[],5,FALSE),IFERROR(VLOOKUP(_xlpm.base,tblManoeuvre[],9,FALSE),"¬"))))</f>
        <v>Bite attacks take a 1L weapon rating.</v>
      </c>
      <c r="AI9" s="15" t="s">
        <v>238</v>
      </c>
      <c r="AJ9" s="61">
        <f t="shared" si="1"/>
        <v>0</v>
      </c>
      <c r="AK9" s="61">
        <f>AJ9</f>
        <v>0</v>
      </c>
    </row>
    <row r="10" spans="1:37">
      <c r="A10" s="1" t="s">
        <v>9</v>
      </c>
      <c r="B10" t="str">
        <f>CONCATENATE(Elements,B9," icon.svg")</f>
        <v>D:\Terra Mortis\Character Sheets\Sheet Elements\Gangrel icon.svg</v>
      </c>
      <c r="D10" s="19"/>
      <c r="E10" s="15" t="s">
        <v>13</v>
      </c>
      <c r="F10" s="3" t="s">
        <v>493</v>
      </c>
      <c r="G10" s="18"/>
      <c r="H10" s="18"/>
      <c r="I10" s="18" t="s">
        <v>1430</v>
      </c>
      <c r="N10" s="61">
        <f>N77</f>
        <v>13</v>
      </c>
      <c r="O10" s="65">
        <f>N10/SUM(N$7:N$12)</f>
        <v>0.27083333333333331</v>
      </c>
      <c r="P10" s="66"/>
      <c r="Y10" s="15" t="s">
        <v>122</v>
      </c>
      <c r="Z10" s="19"/>
      <c r="AA10" s="61" t="str">
        <f t="shared" si="0"/>
        <v/>
      </c>
      <c r="AC10" s="60" t="str">
        <v>Primal Strength</v>
      </c>
      <c r="AD10" s="20" t="str">
        <f>IF(AC10="","¬",_xlfn.LET(_xlpm.base,IFERROR(LEFT(AC10,FIND(" (",AC10)-1),AC10),IFERROR(VLOOKUP(_xlpm.base,tblManoeuvre[],2,FALSE) &amp; " " &amp; REPT("●",VLOOKUP(_xlpm.base,tblManoeuvre[],3,FALSE)) &amp; " | " &amp; AC10,AC10 &amp; " " &amp; REPT("●",VLOOKUP(_xlpm.base,$F$79:$P$120,11,FALSE)))))</f>
        <v>Riding the Wave ●● | Primal Strength</v>
      </c>
      <c r="AE10" s="20"/>
      <c r="AF10" s="20" t="str">
        <f>IF(LEN(AC10)=0,"¬",_xlfn.LET(_xlpm.base,IFERROR(LEFT(AC10,FIND(" (",AC10)-1),AC10),IFERROR(VLOOKUP(_xlpm.base,tblMerits[],5,FALSE),IFERROR(VLOOKUP(_xlpm.base,tblManoeuvre[],9,FALSE),"¬"))))</f>
        <v>Double your Strength bonus from frenzy when lifting, jumping, or destroying objects.</v>
      </c>
      <c r="AI10" s="15" t="s">
        <v>24</v>
      </c>
      <c r="AJ10" s="61">
        <f t="shared" si="1"/>
        <v>3</v>
      </c>
      <c r="AK10" s="61">
        <f>AJ10+IFERROR(INDEX($V$26:$V$38,MATCH(AI10,$E$26:$E$38,0)),0)</f>
        <v>3</v>
      </c>
    </row>
    <row r="11" spans="1:37">
      <c r="A11" s="1" t="s">
        <v>10</v>
      </c>
      <c r="B11" t="str">
        <f>IF(VLOOKUP(tblCharDataBrandy[[#This Row],[Field]],$E$2:$F$362,2,FALSE)="","¬",VLOOKUP(tblCharDataBrandy[[#This Row],[Field]],$E$2:$F$362,2,FALSE))</f>
        <v>¬</v>
      </c>
      <c r="D11" s="19"/>
      <c r="E11" s="15" t="s">
        <v>14</v>
      </c>
      <c r="F11" s="3" t="s">
        <v>494</v>
      </c>
      <c r="G11" s="18"/>
      <c r="H11" s="18"/>
      <c r="I11" s="18" t="s">
        <v>1431</v>
      </c>
      <c r="N11" s="61">
        <f>N163</f>
        <v>7</v>
      </c>
      <c r="O11" s="65">
        <f>N11/SUM(N$7:N$12)</f>
        <v>0.14583333333333334</v>
      </c>
      <c r="P11" s="66"/>
      <c r="Y11" s="15" t="s">
        <v>123</v>
      </c>
      <c r="Z11" s="19"/>
      <c r="AA11" s="61" t="str">
        <f t="shared" si="0"/>
        <v/>
      </c>
      <c r="AC11" s="60" t="str">
        <v>In the Zone</v>
      </c>
      <c r="AD11" s="20" t="str">
        <f>IF(AC11="","¬",_xlfn.LET(_xlpm.base,IFERROR(LEFT(AC11,FIND(" (",AC11)-1),AC11),IFERROR(VLOOKUP(_xlpm.base,tblManoeuvre[],2,FALSE) &amp; " " &amp; REPT("●",VLOOKUP(_xlpm.base,tblManoeuvre[],3,FALSE)) &amp; " | " &amp; AC11,AC11 &amp; " " &amp; REPT("●",VLOOKUP(_xlpm.base,$F$79:$P$120,11,FALSE)))))</f>
        <v>Riding the Wave ●●● | In the Zone</v>
      </c>
      <c r="AE11" s="20"/>
      <c r="AF11" s="20" t="str">
        <f>IF(LEN(AC11)=0,"¬",_xlfn.LET(_xlpm.base,IFERROR(LEFT(AC11,FIND(" (",AC11)-1),AC11),IFERROR(VLOOKUP(_xlpm.base,tblMerits[],5,FALSE),IFERROR(VLOOKUP(_xlpm.base,tblManoeuvre[],9,FALSE),"¬"))))</f>
        <v>When you spend Willpower to ride the wave, you also apply the normal +3 action bonus.</v>
      </c>
      <c r="AI11" s="15" t="s">
        <v>26</v>
      </c>
      <c r="AJ11" s="61">
        <f t="shared" si="1"/>
        <v>0</v>
      </c>
      <c r="AK11" s="61">
        <f>IF(AJ11=0,IF(COUNTIF($E$42:$E$49,AI11)&gt;0,-3,-1),AJ11)</f>
        <v>-3</v>
      </c>
    </row>
    <row r="12" spans="1:37">
      <c r="A12" s="1" t="s">
        <v>11</v>
      </c>
      <c r="B12" t="str">
        <f>IF(VLOOKUP(tblCharDataBrandy[[#This Row],[Field]],$E$2:$F$362,2,FALSE)="","¬",VLOOKUP(tblCharDataBrandy[[#This Row],[Field]],$E$2:$F$362,2,FALSE))</f>
        <v>Circle of the Crone</v>
      </c>
      <c r="D12" s="19"/>
      <c r="E12" s="15" t="s">
        <v>15</v>
      </c>
      <c r="F12" s="3" t="s">
        <v>495</v>
      </c>
      <c r="G12" s="3" t="s">
        <v>1588</v>
      </c>
      <c r="H12" s="18"/>
      <c r="I12" s="18" t="s">
        <v>1432</v>
      </c>
      <c r="N12" s="61">
        <f>N71</f>
        <v>0</v>
      </c>
      <c r="O12" s="65">
        <f>N12/SUM(N$7:N$12)</f>
        <v>0</v>
      </c>
      <c r="P12" s="66"/>
      <c r="Y12" s="15" t="s">
        <v>124</v>
      </c>
      <c r="Z12" s="19"/>
      <c r="AA12" s="61" t="str">
        <f t="shared" si="0"/>
        <v/>
      </c>
      <c r="AC12" s="60" t="str">
        <v>Unyielding</v>
      </c>
      <c r="AD12" s="20" t="str">
        <f>IF(AC12="","¬",_xlfn.LET(_xlpm.base,IFERROR(LEFT(AC12,FIND(" (",AC12)-1),AC12),IFERROR(VLOOKUP(_xlpm.base,tblManoeuvre[],2,FALSE) &amp; " " &amp; REPT("●",VLOOKUP(_xlpm.base,tblManoeuvre[],3,FALSE)) &amp; " | " &amp; AC12,AC12 &amp; " " &amp; REPT("●",VLOOKUP(_xlpm.base,$F$79:$P$120,11,FALSE)))))</f>
        <v>Riding the Wave ●●●● | Unyielding</v>
      </c>
      <c r="AE12" s="20"/>
      <c r="AF12" s="20" t="str">
        <f>IF(LEN(AC12)=0,"¬",_xlfn.LET(_xlpm.base,IFERROR(LEFT(AC12,FIND(" (",AC12)-1),AC12),IFERROR(VLOOKUP(_xlpm.base,tblMerits[],5,FALSE),IFERROR(VLOOKUP(_xlpm.base,tblManoeuvre[],9,FALSE),"¬"))))</f>
        <v>After a scene where you rode the wave, recover any Willpower spent to do so.</v>
      </c>
      <c r="AI12" s="15" t="s">
        <v>27</v>
      </c>
      <c r="AJ12" s="61">
        <f t="shared" si="1"/>
        <v>1</v>
      </c>
      <c r="AK12" s="61">
        <f>IF(AJ12=0,IF(COUNTIF($E$42:$E$49,AI12)&gt;0,-3,-1),AJ12)</f>
        <v>1</v>
      </c>
    </row>
    <row r="13" spans="1:37">
      <c r="A13" s="1" t="s">
        <v>12</v>
      </c>
      <c r="B13" t="str">
        <f>_xlfn.IFNA(CONCATENATE(Elements,VLOOKUP(B12,tblCovenantShortName[#Data],2,FALSE)," icon.svg"),"")</f>
        <v>D:\Terra Mortis\Character Sheets\Sheet Elements\Crone icon.svg</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1</v>
      </c>
      <c r="AK13" s="61">
        <f t="shared" ref="AK13:AK19" si="2">AJ13</f>
        <v>1</v>
      </c>
    </row>
    <row r="14" spans="1:37">
      <c r="A14" s="1" t="s">
        <v>13</v>
      </c>
      <c r="B14" t="str">
        <f>IF(VLOOKUP(tblCharDataBrandy[[#This Row],[Field]],$E$2:$F$362,2,FALSE)="","¬",VLOOKUP(tblCharDataBrandy[[#This Row],[Field]],$E$2:$F$362,2,FALSE))</f>
        <v>Perfectionist</v>
      </c>
      <c r="D14" s="19"/>
      <c r="E14" s="15" t="s">
        <v>1433</v>
      </c>
      <c r="F14" s="28"/>
      <c r="G14" s="3"/>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1</v>
      </c>
      <c r="AK14" s="61">
        <f t="shared" si="2"/>
        <v>1</v>
      </c>
    </row>
    <row r="15" spans="1:37">
      <c r="A15" s="1" t="s">
        <v>14</v>
      </c>
      <c r="B15" t="str">
        <f>IF(VLOOKUP(tblCharDataBrandy[[#This Row],[Field]],$E$2:$F$362,2,FALSE)="","¬",VLOOKUP(tblCharDataBrandy[[#This Row],[Field]],$E$2:$F$362,2,FALSE))</f>
        <v>Monster</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2</v>
      </c>
      <c r="AK15" s="61">
        <f t="shared" ca="1" si="2"/>
        <v>2</v>
      </c>
    </row>
    <row r="16" spans="1:37" ht="15.75" thickBot="1">
      <c r="A16" s="1" t="s">
        <v>15</v>
      </c>
      <c r="B16" t="str">
        <f ca="1">_xlfn.LET(_xlpm.a,VLOOKUP(tblCharDataBrandy[[#This Row],[Field]],$E$2:$F$362,2,FALSE),_xlpm.b,VLOOKUP(OFFSET(tblCharDataBrandy[[#This Row],[Field]],1,0),$E$2:$F$362,2,FALSE),IF(AND(_xlpm.a&lt;&gt;"",_xlpm.b&lt;&gt;""),_xlpm.a&amp;" &amp; "&amp;_xlpm.b,IF(_xlpm.a&lt;&gt;"",_xlpm.a,IF(_xlpm.b&lt;&gt;"",_xlpm.b,"¬"))))</f>
        <v>Harpy</v>
      </c>
      <c r="D16" s="14" t="s">
        <v>1427</v>
      </c>
      <c r="E16" s="14"/>
      <c r="F16" s="14"/>
      <c r="G16" s="14"/>
      <c r="H16" s="14"/>
      <c r="I16" s="14"/>
      <c r="N16" s="60">
        <f>SUM(N17:N21)</f>
        <v>9</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1</v>
      </c>
      <c r="AK16" s="61">
        <f t="shared" si="2"/>
        <v>1</v>
      </c>
    </row>
    <row r="17" spans="1:37">
      <c r="A17" s="1" t="s">
        <v>16</v>
      </c>
      <c r="B17" t="str">
        <f>REPT("●",IFERROR(INDEX($P$26:$P$38,MATCH(tblCharDataBrandy[[#This Row],[Field]],$E$26:$E$38,0)),0))&amp;REPT("○",IFERROR(INDEX($V$26:$V$38,MATCH(tblCharDataBrandy[[#This Row],[Field]],$E$26:$E$38,0)),0))</f>
        <v>●●</v>
      </c>
      <c r="D17" s="19"/>
      <c r="E17" s="15" t="s">
        <v>1435</v>
      </c>
      <c r="F17" s="3" t="b">
        <v>1</v>
      </c>
      <c r="G17" s="19"/>
      <c r="H17" s="19"/>
      <c r="I17" s="19"/>
      <c r="N17" s="61">
        <f>IF(F17=TRUE,3,0)</f>
        <v>3</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2</v>
      </c>
      <c r="AK17" s="61">
        <f>AJ17+IFERROR(INDEX($V$26:$V$38,MATCH(AI17,$E$26:$E$38,0)),0)</f>
        <v>2</v>
      </c>
    </row>
    <row r="18" spans="1:37">
      <c r="A18" s="1" t="s">
        <v>17</v>
      </c>
      <c r="B18" t="str">
        <f>REPT("●",IFERROR(INDEX($P$26:$P$38,MATCH(tblCharDataBrandy[[#This Row],[Field]],$E$26:$E$38,0)),0))&amp;REPT("○",IFERROR(INDEX($V$26:$V$38,MATCH(tblCharDataBrandy[[#This Row],[Field]],$E$26:$E$38,0)),0))</f>
        <v>●●</v>
      </c>
      <c r="D18" s="19"/>
      <c r="E18" s="15" t="s">
        <v>1436</v>
      </c>
      <c r="F18" s="3" t="b">
        <v>1</v>
      </c>
      <c r="G18" s="19"/>
      <c r="H18" s="19"/>
      <c r="I18" s="19"/>
      <c r="N18" s="61">
        <f>IF(F18=TRUE,3,0)</f>
        <v>3</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0</v>
      </c>
      <c r="AK18" s="61">
        <f t="shared" si="2"/>
        <v>0</v>
      </c>
    </row>
    <row r="19" spans="1:37">
      <c r="A19" s="1" t="s">
        <v>18</v>
      </c>
      <c r="B19" t="str">
        <f>REPT("●",IFERROR(INDEX($P$26:$P$38,MATCH(tblCharDataBrandy[[#This Row],[Field]],$E$26:$E$38,0)),0))&amp;REPT("○",IFERROR(INDEX($V$26:$V$38,MATCH(tblCharDataBrandy[[#This Row],[Field]],$E$26:$E$38,0)),0))</f>
        <v>●●●</v>
      </c>
      <c r="D19" s="19"/>
      <c r="E19" s="15" t="s">
        <v>1437</v>
      </c>
      <c r="F19" s="3"/>
      <c r="G19" s="19"/>
      <c r="H19" s="19"/>
      <c r="I19" s="19"/>
      <c r="N19" s="61">
        <f>IF(F19=TRUE,3,0)</f>
        <v>0</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0</v>
      </c>
      <c r="AK19" s="61">
        <f t="shared" si="2"/>
        <v>0</v>
      </c>
    </row>
    <row r="20" spans="1:37">
      <c r="A20" s="1" t="s">
        <v>19</v>
      </c>
      <c r="B20" t="str">
        <f>REPT("●",IFERROR(INDEX($P$26:$P$38,MATCH(tblCharDataBrandy[[#This Row],[Field]],$E$26:$E$38,0)),0))&amp;REPT("○",IFERROR(INDEX($V$26:$V$38,MATCH(tblCharDataBrandy[[#This Row],[Field]],$E$26:$E$38,0)),0))</f>
        <v>●●●</v>
      </c>
      <c r="D20" s="19"/>
      <c r="E20" s="15" t="s">
        <v>1438</v>
      </c>
      <c r="F20" s="3"/>
      <c r="G20" s="19"/>
      <c r="H20" s="19"/>
      <c r="I20" s="19"/>
      <c r="N20" s="61">
        <f>IF(F20=TRUE,3,0)</f>
        <v>0</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REPT("●",IFERROR(INDEX($P$26:$P$38,MATCH(tblCharDataBrandy[[#This Row],[Field]],$E$26:$E$38,0)),0))&amp;REPT("○",IFERROR(INDEX($V$26:$V$38,MATCH(tblCharDataBrandy[[#This Row],[Field]],$E$26:$E$38,0)),0))</f>
        <v>●●</v>
      </c>
      <c r="D21" s="19"/>
      <c r="E21" s="15" t="s">
        <v>11</v>
      </c>
      <c r="F21" s="3" t="b">
        <v>1</v>
      </c>
      <c r="G21" s="19"/>
      <c r="H21" s="19"/>
      <c r="I21" s="19"/>
      <c r="N21" s="61">
        <f>IF(F21=TRUE,3,0)</f>
        <v>3</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3</v>
      </c>
      <c r="AK21" s="61">
        <f>IF(AJ21=0,IF(COUNTIF($E$42:$E$49,AI21)&gt;0,-3,-1),AJ21)</f>
        <v>3</v>
      </c>
    </row>
    <row r="22" spans="1:37">
      <c r="A22" s="1" t="s">
        <v>21</v>
      </c>
      <c r="B22" t="str">
        <f>REPT("●",IFERROR(INDEX($P$26:$P$38,MATCH(tblCharDataBrandy[[#This Row],[Field]],$E$26:$E$38,0)),0))&amp;REPT("○",IFERROR(INDEX($V$26:$V$38,MATCH(tblCharDataBrandy[[#This Row],[Field]],$E$26:$E$38,0)),0))</f>
        <v>●●●</v>
      </c>
      <c r="Y22" s="15" t="s">
        <v>1439</v>
      </c>
      <c r="Z22" s="61" t="str">
        <f>IFERROR(VLOOKUP(AA22,tblManoeuvre[],2,FALSE),"")</f>
        <v>Riding the Wave</v>
      </c>
      <c r="AA22" s="61" t="str">
        <f t="shared" ref="AA22:AA41" si="3">_xlfn.LET(_xlpm.name,VLOOKUP(Y22,$E$2:$F$362,2,FALSE),_xlpm.paid,_xlfn.IFNA(VLOOKUP(_xlpm.name,$F$79:$Q$120,11,FALSE)&gt;=VLOOKUP(_xlpm.name,$F$79:$Q$120,12,FALSE),FALSE),IF(AND(_xlpm.name&lt;&gt;"",_xlpm.paid),_xlpm.name,""))</f>
        <v>Ravage</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2</v>
      </c>
      <c r="AK22" s="61">
        <f>IF(AJ22=0,IF(COUNTIF($E$42:$E$49,AI22)&gt;0,-3,-1),AJ22)</f>
        <v>2</v>
      </c>
    </row>
    <row r="23" spans="1:37" ht="15.75" thickBot="1">
      <c r="A23" s="1" t="s">
        <v>22</v>
      </c>
      <c r="B23" t="str">
        <f>REPT("●",IFERROR(INDEX($P$26:$P$38,MATCH(tblCharDataBrandy[[#This Row],[Field]],$E$26:$E$38,0)),0))&amp;REPT("○",IFERROR(INDEX($V$26:$V$38,MATCH(tblCharDataBrandy[[#This Row],[Field]],$E$26:$E$38,0)),0))</f>
        <v>●●●</v>
      </c>
      <c r="D23" s="14" t="s">
        <v>1440</v>
      </c>
      <c r="E23" s="14"/>
      <c r="F23" s="14"/>
      <c r="G23" s="14"/>
      <c r="H23" s="14"/>
      <c r="I23" s="14"/>
      <c r="N23" s="60">
        <f>SUM(N26:N28,N31:N33,N36:N38)</f>
        <v>4</v>
      </c>
      <c r="Y23" s="15" t="s">
        <v>1441</v>
      </c>
      <c r="Z23" s="61" t="str">
        <f>IFERROR(VLOOKUP(AA23,tblManoeuvre[],2,FALSE),"")</f>
        <v>Riding the Wave</v>
      </c>
      <c r="AA23" s="61" t="str">
        <f t="shared" si="3"/>
        <v>Primal Strength</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0</v>
      </c>
      <c r="AK23" s="61">
        <f>IF(AJ23=0,VLOOKUP(AI23,$E$42:$Q$69,13,FALSE),AJ23)</f>
        <v>0</v>
      </c>
    </row>
    <row r="24" spans="1:37">
      <c r="A24" s="1" t="s">
        <v>23</v>
      </c>
      <c r="B24" t="str">
        <f>REPT("●",IFERROR(INDEX($P$26:$P$38,MATCH(tblCharDataBrandy[[#This Row],[Field]],$E$26:$E$38,0)),0))&amp;REPT("○",IFERROR(INDEX($V$26:$V$38,MATCH(tblCharDataBrandy[[#This Row],[Field]],$E$26:$E$38,0)),0))</f>
        <v>●●</v>
      </c>
      <c r="E24" s="15" t="s">
        <v>1442</v>
      </c>
      <c r="F24" s="3" t="s">
        <v>21</v>
      </c>
      <c r="Y24" s="15" t="s">
        <v>1443</v>
      </c>
      <c r="Z24" s="61" t="str">
        <f>IFERROR(VLOOKUP(AA24,tblManoeuvre[],2,FALSE),"")</f>
        <v>Riding the Wave</v>
      </c>
      <c r="AA24" s="61" t="str">
        <f t="shared" si="3"/>
        <v>In the Zone</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8</v>
      </c>
      <c r="AK24" s="61">
        <f ca="1">AJ24</f>
        <v>8</v>
      </c>
    </row>
    <row r="25" spans="1:37">
      <c r="A25" s="1" t="s">
        <v>24</v>
      </c>
      <c r="B25" t="str">
        <f>REPT("●",IFERROR(INDEX($P$26:$P$38,MATCH(tblCharDataBrandy[[#This Row],[Field]],$E$26:$E$38,0)),0))&amp;REPT("○",IFERROR(INDEX($V$26:$V$38,MATCH(tblCharDataBrandy[[#This Row],[Field]],$E$26:$E$38,0)),0))</f>
        <v>●●●</v>
      </c>
      <c r="D25" s="16" t="s">
        <v>1444</v>
      </c>
      <c r="E25" s="17"/>
      <c r="F25" s="17"/>
      <c r="G25" s="17" t="s">
        <v>1445</v>
      </c>
      <c r="H25" s="16" t="s">
        <v>1446</v>
      </c>
      <c r="I25" s="3" t="s">
        <v>1566</v>
      </c>
      <c r="L25" s="60">
        <f>IF(I25="",0,VLOOKUP(I25,tblPriority[#Data],2,FALSE))-SUM(L26:L28)</f>
        <v>0</v>
      </c>
      <c r="Y25" s="15" t="s">
        <v>1447</v>
      </c>
      <c r="Z25" s="61" t="str">
        <f>IFERROR(VLOOKUP(AA25,tblManoeuvre[],2,FALSE),"")</f>
        <v>Riding the Wave</v>
      </c>
      <c r="AA25" s="61" t="str">
        <f t="shared" si="3"/>
        <v>Unyielding</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5</v>
      </c>
      <c r="AK25" s="61">
        <f>AJ25</f>
        <v>5</v>
      </c>
    </row>
    <row r="26" spans="1:37">
      <c r="A26" s="1" t="s">
        <v>25</v>
      </c>
      <c r="B26" t="str">
        <f>REPT("●",IFERROR(INDEX($P$42:$P$69,MATCH(tblCharDataBrandy[[#This Row],[Field]],$E$42:$E$69,0)),0))&amp;REPT("○",IFERROR(INDEX($V$42:$V$69,MATCH(tblCharDataBrandy[[#This Row],[Field]],$E$42:$E$69,0)),0))&amp;IF(IFERROR(INDEX($W$42:$W$69,MATCH(tblCharDataBrandy[[#This Row],[Field]],$E$42:$E$69,0)),0)=1,"†","")</f>
        <v/>
      </c>
      <c r="D26" s="18"/>
      <c r="E26" s="15" t="s">
        <v>16</v>
      </c>
      <c r="F26" s="18"/>
      <c r="G26" s="3"/>
      <c r="H26" s="18"/>
      <c r="I26" s="18"/>
      <c r="L26" s="3">
        <v>1</v>
      </c>
      <c r="M26" s="60">
        <f>IF(E26=$F$24,2,1)</f>
        <v>1</v>
      </c>
      <c r="N26" s="3"/>
      <c r="O26" s="61">
        <f>ROUNDDOWN(N26/4,0)</f>
        <v>0</v>
      </c>
      <c r="P26" s="60">
        <f>MIN(SUM(L26,M26,O26),R26)</f>
        <v>2</v>
      </c>
      <c r="R26" s="61">
        <v>5</v>
      </c>
      <c r="U26" s="4"/>
      <c r="V26" s="61">
        <f>U26</f>
        <v>0</v>
      </c>
      <c r="Y26" s="15" t="s">
        <v>1449</v>
      </c>
      <c r="Z26" s="61" t="str">
        <f>IFERROR(VLOOKUP(AA26,tblManoeuvre[],2,FALSE),"")</f>
        <v/>
      </c>
      <c r="AA26" s="61" t="str">
        <f t="shared" si="3"/>
        <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2</v>
      </c>
      <c r="AK26" s="61">
        <f>AJ26+IFERROR(INDEX($V$26:$V$38,MATCH(AI26,$E$26:$E$38,0)),0)</f>
        <v>2</v>
      </c>
    </row>
    <row r="27" spans="1:37">
      <c r="A27" s="1" t="s">
        <v>26</v>
      </c>
      <c r="B27" t="str">
        <f>REPT("●",IFERROR(INDEX($P$42:$P$69,MATCH(tblCharDataBrandy[[#This Row],[Field]],$E$42:$E$69,0)),0))&amp;REPT("○",IFERROR(INDEX($V$42:$V$69,MATCH(tblCharDataBrandy[[#This Row],[Field]],$E$42:$E$69,0)),0))&amp;IF(IFERROR(INDEX($W$42:$W$69,MATCH(tblCharDataBrandy[[#This Row],[Field]],$E$42:$E$69,0)),0)=1,"†","")</f>
        <v/>
      </c>
      <c r="D27" s="18"/>
      <c r="E27" s="15" t="s">
        <v>17</v>
      </c>
      <c r="F27" s="18"/>
      <c r="G27" s="3"/>
      <c r="H27" s="18"/>
      <c r="I27" s="18"/>
      <c r="L27" s="3">
        <v>1</v>
      </c>
      <c r="M27" s="60">
        <f>IF(E27=$F$24,2,1)</f>
        <v>1</v>
      </c>
      <c r="N27" s="3"/>
      <c r="O27" s="61">
        <f>ROUNDDOWN(N27/4,0)</f>
        <v>0</v>
      </c>
      <c r="P27" s="60">
        <f>MIN(SUM(L27,M27,O27),R27)</f>
        <v>2</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3</v>
      </c>
      <c r="AK27" s="61">
        <f>IF(AJ27=0,IF(COUNTIF($E$42:$E$49,AI27)&gt;0,-3,-1),AJ27)</f>
        <v>3</v>
      </c>
    </row>
    <row r="28" spans="1:37">
      <c r="A28" s="1" t="s">
        <v>27</v>
      </c>
      <c r="B28" t="str">
        <f>REPT("●",IFERROR(INDEX($P$42:$P$69,MATCH(tblCharDataBrandy[[#This Row],[Field]],$E$42:$E$69,0)),0))&amp;REPT("○",IFERROR(INDEX($V$42:$V$69,MATCH(tblCharDataBrandy[[#This Row],[Field]],$E$42:$E$69,0)),0))&amp;IF(IFERROR(INDEX($W$42:$W$69,MATCH(tblCharDataBrandy[[#This Row],[Field]],$E$42:$E$69,0)),0)=1,"†","")</f>
        <v>●</v>
      </c>
      <c r="D28" s="18"/>
      <c r="E28" s="15" t="s">
        <v>18</v>
      </c>
      <c r="F28" s="18"/>
      <c r="G28" s="3"/>
      <c r="H28" s="18"/>
      <c r="I28" s="18"/>
      <c r="L28" s="3">
        <v>1</v>
      </c>
      <c r="M28" s="60">
        <f>IF(E28=$F$24,2,1)</f>
        <v>1</v>
      </c>
      <c r="N28" s="3">
        <v>4</v>
      </c>
      <c r="O28" s="61">
        <f>ROUNDDOWN(N28/4,0)</f>
        <v>1</v>
      </c>
      <c r="P28" s="60">
        <f>MIN(SUM(L28,M28,O28),R28)</f>
        <v>3</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0</v>
      </c>
      <c r="AK28" s="61">
        <f>IF(AJ28=0,IF(COUNTIF($E$42:$E$49,AI28)&gt;0,-3,-1),AJ28)</f>
        <v>-3</v>
      </c>
    </row>
    <row r="29" spans="1:37">
      <c r="A29" s="1" t="s">
        <v>28</v>
      </c>
      <c r="B29" t="str">
        <f>REPT("●",IFERROR(INDEX($P$42:$P$69,MATCH(tblCharDataBrandy[[#This Row],[Field]],$E$42:$E$69,0)),0))&amp;REPT("○",IFERROR(INDEX($V$42:$V$69,MATCH(tblCharDataBrandy[[#This Row],[Field]],$E$42:$E$69,0)),0))&amp;IF(IFERROR(INDEX($W$42:$W$69,MATCH(tblCharDataBrandy[[#This Row],[Field]],$E$42:$E$69,0)),0)=1,"†","")</f>
        <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0</v>
      </c>
      <c r="AK29" s="61">
        <f>IF(AJ29=0,IF(COUNTIF($E$42:$E$49,AI29)&gt;0,-3,-1),AJ29)</f>
        <v>-1</v>
      </c>
    </row>
    <row r="30" spans="1:37">
      <c r="A30" s="1" t="s">
        <v>29</v>
      </c>
      <c r="B30" t="str">
        <f>REPT("●",IFERROR(INDEX($P$42:$P$69,MATCH(tblCharDataBrandy[[#This Row],[Field]],$E$42:$E$69,0)),0))&amp;REPT("○",IFERROR(INDEX($V$42:$V$69,MATCH(tblCharDataBrandy[[#This Row],[Field]],$E$42:$E$69,0)),0))&amp;IF(IFERROR(INDEX($W$42:$W$69,MATCH(tblCharDataBrandy[[#This Row],[Field]],$E$42:$E$69,0)),0)=1,"†","")</f>
        <v/>
      </c>
      <c r="D30" s="16" t="s">
        <v>1453</v>
      </c>
      <c r="E30" s="17"/>
      <c r="F30" s="17"/>
      <c r="G30" s="17" t="s">
        <v>1445</v>
      </c>
      <c r="H30" s="16" t="s">
        <v>1446</v>
      </c>
      <c r="I30" s="3" t="s">
        <v>1567</v>
      </c>
      <c r="L30" s="60">
        <f>IF(I30="",0,VLOOKUP(I30,tblPriority[#Data],2,FALSE))-SUM(L31:L33)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1</v>
      </c>
      <c r="AK30" s="61">
        <f>AJ30</f>
        <v>1</v>
      </c>
    </row>
    <row r="31" spans="1:37">
      <c r="A31" s="1" t="s">
        <v>30</v>
      </c>
      <c r="B31" t="str">
        <f>REPT("●",IFERROR(INDEX($P$42:$P$69,MATCH(tblCharDataBrandy[[#This Row],[Field]],$E$42:$E$69,0)),0))&amp;REPT("○",IFERROR(INDEX($V$42:$V$69,MATCH(tblCharDataBrandy[[#This Row],[Field]],$E$42:$E$69,0)),0))&amp;IF(IFERROR(INDEX($W$42:$W$69,MATCH(tblCharDataBrandy[[#This Row],[Field]],$E$42:$E$69,0)),0)=1,"†","")</f>
        <v>●●●</v>
      </c>
      <c r="D31" s="18"/>
      <c r="E31" s="15" t="s">
        <v>19</v>
      </c>
      <c r="F31" s="18"/>
      <c r="G31" s="3"/>
      <c r="H31" s="18"/>
      <c r="I31" s="18"/>
      <c r="L31" s="3">
        <v>2</v>
      </c>
      <c r="M31" s="60">
        <f>IF(E31=$F$24,2,1)</f>
        <v>1</v>
      </c>
      <c r="N31" s="3"/>
      <c r="O31" s="61">
        <f>ROUNDDOWN(N31/4,0)</f>
        <v>0</v>
      </c>
      <c r="P31" s="60">
        <f>MIN(SUM(L31,M31,O31),R31)</f>
        <v>3</v>
      </c>
      <c r="R31" s="61">
        <v>5</v>
      </c>
      <c r="U31" s="4"/>
      <c r="V31" s="61">
        <f>$P$174+U31</f>
        <v>0</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2</v>
      </c>
      <c r="AK31" s="61">
        <f>AJ31+IFERROR(INDEX($V$26:$V$38,MATCH(AI31,$E$26:$E$38,0)),0)</f>
        <v>2</v>
      </c>
    </row>
    <row r="32" spans="1:37">
      <c r="A32" s="1" t="s">
        <v>31</v>
      </c>
      <c r="B32" t="str">
        <f>REPT("●",IFERROR(INDEX($P$42:$P$69,MATCH(tblCharDataBrandy[[#This Row],[Field]],$E$42:$E$69,0)),0))&amp;REPT("○",IFERROR(INDEX($V$42:$V$69,MATCH(tblCharDataBrandy[[#This Row],[Field]],$E$42:$E$69,0)),0))&amp;IF(IFERROR(INDEX($W$42:$W$69,MATCH(tblCharDataBrandy[[#This Row],[Field]],$E$42:$E$69,0)),0)=1,"†","")</f>
        <v/>
      </c>
      <c r="D32" s="18"/>
      <c r="E32" s="15" t="s">
        <v>20</v>
      </c>
      <c r="F32" s="18"/>
      <c r="G32" s="3"/>
      <c r="H32" s="18"/>
      <c r="I32" s="18"/>
      <c r="L32" s="3">
        <v>1</v>
      </c>
      <c r="M32" s="60">
        <f>IF(E32=$F$24,2,1)</f>
        <v>1</v>
      </c>
      <c r="N32" s="3"/>
      <c r="O32" s="61">
        <f>ROUNDDOWN(N32/4,0)</f>
        <v>0</v>
      </c>
      <c r="P32" s="60">
        <f>MIN(SUM(L32,M32,O32),R32)</f>
        <v>2</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REPT("●",IFERROR(INDEX($P$42:$P$69,MATCH(tblCharDataBrandy[[#This Row],[Field]],$E$42:$E$69,0)),0))&amp;REPT("○",IFERROR(INDEX($V$42:$V$69,MATCH(tblCharDataBrandy[[#This Row],[Field]],$E$42:$E$69,0)),0))&amp;IF(IFERROR(INDEX($W$42:$W$69,MATCH(tblCharDataBrandy[[#This Row],[Field]],$E$42:$E$69,0)),0)=1,"†","")</f>
        <v/>
      </c>
      <c r="D33" s="18"/>
      <c r="E33" s="15" t="s">
        <v>21</v>
      </c>
      <c r="F33" s="18"/>
      <c r="G33" s="3"/>
      <c r="H33" s="18"/>
      <c r="I33" s="18"/>
      <c r="L33" s="3">
        <v>1</v>
      </c>
      <c r="M33" s="60">
        <f>IF(E33=$F$24,2,1)</f>
        <v>2</v>
      </c>
      <c r="N33" s="3"/>
      <c r="O33" s="61">
        <f>ROUNDDOWN(N33/4,0)</f>
        <v>0</v>
      </c>
      <c r="P33" s="60">
        <f>MIN(SUM(L33,M33,O33),R33)</f>
        <v>3</v>
      </c>
      <c r="R33" s="61">
        <v>5</v>
      </c>
      <c r="U33" s="4"/>
      <c r="V33" s="61">
        <f>$P$173+U33</f>
        <v>0</v>
      </c>
      <c r="Y33" s="15" t="s">
        <v>1457</v>
      </c>
      <c r="Z33" s="61" t="str">
        <f>IFERROR(VLOOKUP(AA33,tblManoeuvre[],2,FALSE),"")</f>
        <v/>
      </c>
      <c r="AA33" s="61" t="str">
        <f t="shared" si="3"/>
        <v/>
      </c>
      <c r="AI33" s="15" t="s">
        <v>241</v>
      </c>
      <c r="AJ33" s="61">
        <f t="shared" si="1"/>
        <v>0</v>
      </c>
      <c r="AK33" s="61">
        <f>AJ33</f>
        <v>0</v>
      </c>
    </row>
    <row r="34" spans="1:37">
      <c r="A34" s="1" t="s">
        <v>33</v>
      </c>
      <c r="B34" t="str">
        <f>REPT("●",IFERROR(INDEX($P$42:$P$69,MATCH(tblCharDataBrandy[[#This Row],[Field]],$E$42:$E$69,0)),0))&amp;REPT("○",IFERROR(INDEX($V$42:$V$69,MATCH(tblCharDataBrandy[[#This Row],[Field]],$E$42:$E$69,0)),0))&amp;IF(IFERROR(INDEX($W$42:$W$69,MATCH(tblCharDataBrandy[[#This Row],[Field]],$E$42:$E$69,0)),0)=1,"†","")</f>
        <v/>
      </c>
      <c r="Y34" s="15" t="s">
        <v>1458</v>
      </c>
      <c r="Z34" s="61" t="str">
        <f>IFERROR(VLOOKUP(AA34,tblManoeuvre[],2,FALSE),"")</f>
        <v/>
      </c>
      <c r="AA34" s="61" t="str">
        <f t="shared" si="3"/>
        <v/>
      </c>
      <c r="AI34" s="15" t="s">
        <v>242</v>
      </c>
      <c r="AJ34" s="61">
        <f t="shared" ref="AJ34:AJ58" si="4">VLOOKUP(AI34,$E$3:$P$221,12,FALSE)</f>
        <v>0</v>
      </c>
      <c r="AK34" s="61">
        <f>AJ34</f>
        <v>0</v>
      </c>
    </row>
    <row r="35" spans="1:37">
      <c r="A35" s="1" t="s">
        <v>34</v>
      </c>
      <c r="B35" t="str">
        <f>REPT("●",IFERROR(INDEX($P$42:$P$69,MATCH(tblCharDataBrandy[[#This Row],[Field]],$E$42:$E$69,0)),0))&amp;REPT("○",IFERROR(INDEX($V$42:$V$69,MATCH(tblCharDataBrandy[[#This Row],[Field]],$E$42:$E$69,0)),0))&amp;IF(IFERROR(INDEX($W$42:$W$69,MATCH(tblCharDataBrandy[[#This Row],[Field]],$E$42:$E$69,0)),0)=1,"†","")</f>
        <v>●●●●●</v>
      </c>
      <c r="D35" s="16" t="s">
        <v>1459</v>
      </c>
      <c r="E35" s="17"/>
      <c r="F35" s="17"/>
      <c r="G35" s="17" t="s">
        <v>1445</v>
      </c>
      <c r="H35" s="16" t="s">
        <v>1446</v>
      </c>
      <c r="I35" s="3" t="s">
        <v>1565</v>
      </c>
      <c r="L35" s="60">
        <f>IF(I35="",0,VLOOKUP(I35,tblPriority[#Data],2,FALSE))-SUM(L36:L38)</f>
        <v>0</v>
      </c>
      <c r="Y35" s="15" t="s">
        <v>1460</v>
      </c>
      <c r="Z35" s="61" t="str">
        <f>IFERROR(VLOOKUP(AA35,tblManoeuvre[],2,FALSE),"")</f>
        <v/>
      </c>
      <c r="AA35" s="61" t="str">
        <f t="shared" si="3"/>
        <v/>
      </c>
      <c r="AI35" s="15" t="s">
        <v>30</v>
      </c>
      <c r="AJ35" s="61">
        <f t="shared" si="4"/>
        <v>3</v>
      </c>
      <c r="AK35" s="61">
        <f>IF(AJ35=0,IF(COUNTIF($E$42:$E$49,AI35)&gt;0,-3,-1),AJ35)</f>
        <v>3</v>
      </c>
    </row>
    <row r="36" spans="1:37">
      <c r="A36" s="1" t="s">
        <v>35</v>
      </c>
      <c r="B36" t="str">
        <f>REPT("●",IFERROR(INDEX($P$42:$P$69,MATCH(tblCharDataBrandy[[#This Row],[Field]],$E$42:$E$69,0)),0))&amp;REPT("○",IFERROR(INDEX($V$42:$V$69,MATCH(tblCharDataBrandy[[#This Row],[Field]],$E$42:$E$69,0)),0))&amp;IF(IFERROR(INDEX($W$42:$W$69,MATCH(tblCharDataBrandy[[#This Row],[Field]],$E$42:$E$69,0)),0)=1,"†","")</f>
        <v/>
      </c>
      <c r="D36" s="18"/>
      <c r="E36" s="15" t="s">
        <v>22</v>
      </c>
      <c r="F36" s="18"/>
      <c r="G36" s="3"/>
      <c r="H36" s="18"/>
      <c r="I36" s="18"/>
      <c r="L36" s="3">
        <v>2</v>
      </c>
      <c r="M36" s="60">
        <f>IF(E36=$F$24,2,1)</f>
        <v>1</v>
      </c>
      <c r="N36" s="3"/>
      <c r="O36" s="61">
        <f>ROUNDDOWN(N36/4,0)</f>
        <v>0</v>
      </c>
      <c r="P36" s="60">
        <f>MIN(SUM(L36,M36,O36),R36)</f>
        <v>3</v>
      </c>
      <c r="R36" s="61">
        <v>5</v>
      </c>
      <c r="U36" s="4"/>
      <c r="V36" s="61">
        <f>U36</f>
        <v>0</v>
      </c>
      <c r="Y36" s="15" t="s">
        <v>1461</v>
      </c>
      <c r="Z36" s="61" t="str">
        <f>IFERROR(VLOOKUP(AA36,tblManoeuvre[],2,FALSE),"")</f>
        <v/>
      </c>
      <c r="AA36" s="61" t="str">
        <f t="shared" si="3"/>
        <v/>
      </c>
      <c r="AI36" s="15" t="s">
        <v>45</v>
      </c>
      <c r="AJ36" s="61">
        <f t="shared" si="4"/>
        <v>1</v>
      </c>
      <c r="AK36" s="61">
        <f>IF(AJ36=0,IF(COUNTIF($E$42:$E$49,AI36)&gt;0,-3,-1),AJ36)</f>
        <v>1</v>
      </c>
    </row>
    <row r="37" spans="1:37">
      <c r="A37" s="1" t="s">
        <v>36</v>
      </c>
      <c r="B37" t="str">
        <f>REPT("●",IFERROR(INDEX($P$42:$P$69,MATCH(tblCharDataBrandy[[#This Row],[Field]],$E$42:$E$69,0)),0))&amp;REPT("○",IFERROR(INDEX($V$42:$V$69,MATCH(tblCharDataBrandy[[#This Row],[Field]],$E$42:$E$69,0)),0))&amp;IF(IFERROR(INDEX($W$42:$W$69,MATCH(tblCharDataBrandy[[#This Row],[Field]],$E$42:$E$69,0)),0)=1,"†","")</f>
        <v/>
      </c>
      <c r="D37" s="18"/>
      <c r="E37" s="15" t="s">
        <v>23</v>
      </c>
      <c r="F37" s="18"/>
      <c r="G37" s="3"/>
      <c r="H37" s="18"/>
      <c r="I37" s="18"/>
      <c r="L37" s="3">
        <v>1</v>
      </c>
      <c r="M37" s="60">
        <f>IF(E37=$F$24,2,1)</f>
        <v>1</v>
      </c>
      <c r="N37" s="3"/>
      <c r="O37" s="61">
        <f>ROUNDDOWN(N37/4,0)</f>
        <v>0</v>
      </c>
      <c r="P37" s="60">
        <f>MIN(SUM(L37,M37,O37),R37)</f>
        <v>2</v>
      </c>
      <c r="R37" s="61">
        <v>5</v>
      </c>
      <c r="U37" s="4"/>
      <c r="V37" s="61">
        <f>U37</f>
        <v>0</v>
      </c>
      <c r="Y37" s="15" t="s">
        <v>1462</v>
      </c>
      <c r="Z37" s="61" t="str">
        <f>IFERROR(VLOOKUP(AA37,tblManoeuvre[],2,FALSE),"")</f>
        <v/>
      </c>
      <c r="AA37" s="61" t="str">
        <f t="shared" si="3"/>
        <v/>
      </c>
      <c r="AI37" s="15" t="s">
        <v>31</v>
      </c>
      <c r="AJ37" s="61">
        <f t="shared" si="4"/>
        <v>0</v>
      </c>
      <c r="AK37" s="61">
        <f>IF(AJ37=0,IF(COUNTIF($E$42:$E$49,AI37)&gt;0,-3,-1),AJ37)</f>
        <v>-3</v>
      </c>
    </row>
    <row r="38" spans="1:37">
      <c r="A38" s="1" t="s">
        <v>37</v>
      </c>
      <c r="B38" t="str">
        <f>REPT("●",IFERROR(INDEX($P$42:$P$69,MATCH(tblCharDataBrandy[[#This Row],[Field]],$E$42:$E$69,0)),0))&amp;REPT("○",IFERROR(INDEX($V$42:$V$69,MATCH(tblCharDataBrandy[[#This Row],[Field]],$E$42:$E$69,0)),0))&amp;IF(IFERROR(INDEX($W$42:$W$69,MATCH(tblCharDataBrandy[[#This Row],[Field]],$E$42:$E$69,0)),0)=1,"†","")</f>
        <v/>
      </c>
      <c r="D38" s="18"/>
      <c r="E38" s="15" t="s">
        <v>24</v>
      </c>
      <c r="F38" s="18"/>
      <c r="G38" s="3"/>
      <c r="H38" s="18"/>
      <c r="I38" s="18"/>
      <c r="L38" s="3">
        <v>2</v>
      </c>
      <c r="M38" s="60">
        <f>IF(E38=$F$24,2,1)</f>
        <v>1</v>
      </c>
      <c r="N38" s="3"/>
      <c r="O38" s="61">
        <f>ROUNDDOWN(N38/4,0)</f>
        <v>0</v>
      </c>
      <c r="P38" s="60">
        <f>MIN(SUM(L38,M38,O38),R38)</f>
        <v>3</v>
      </c>
      <c r="R38" s="61">
        <v>5</v>
      </c>
      <c r="U38" s="4"/>
      <c r="V38" s="61">
        <f>U38</f>
        <v>0</v>
      </c>
      <c r="Y38" s="15" t="s">
        <v>1463</v>
      </c>
      <c r="Z38" s="61" t="str">
        <f>IFERROR(VLOOKUP(AA38,tblManoeuvre[],2,FALSE),"")</f>
        <v/>
      </c>
      <c r="AA38" s="61" t="str">
        <f t="shared" si="3"/>
        <v/>
      </c>
      <c r="AI38" s="15" t="s">
        <v>22</v>
      </c>
      <c r="AJ38" s="61">
        <f t="shared" si="4"/>
        <v>3</v>
      </c>
      <c r="AK38" s="61">
        <f>AJ38+IFERROR(INDEX($V$26:$V$38,MATCH(AI38,$E$26:$E$38,0)),0)</f>
        <v>3</v>
      </c>
    </row>
    <row r="39" spans="1:37">
      <c r="A39" s="1" t="s">
        <v>38</v>
      </c>
      <c r="B39" t="str">
        <f>REPT("●",IFERROR(INDEX($P$42:$P$69,MATCH(tblCharDataBrandy[[#This Row],[Field]],$E$42:$E$69,0)),0))&amp;REPT("○",IFERROR(INDEX($V$42:$V$69,MATCH(tblCharDataBrandy[[#This Row],[Field]],$E$42:$E$69,0)),0))&amp;IF(IFERROR(INDEX($W$42:$W$69,MATCH(tblCharDataBrandy[[#This Row],[Field]],$E$42:$E$69,0)),0)=1,"†","")</f>
        <v>●</v>
      </c>
      <c r="Y39" s="15" t="s">
        <v>1464</v>
      </c>
      <c r="Z39" s="61" t="str">
        <f>IFERROR(VLOOKUP(AA39,tblManoeuvre[],2,FALSE),"")</f>
        <v/>
      </c>
      <c r="AA39" s="61" t="str">
        <f t="shared" si="3"/>
        <v/>
      </c>
      <c r="AI39" s="15" t="s">
        <v>243</v>
      </c>
      <c r="AJ39" s="61">
        <f t="shared" si="4"/>
        <v>3</v>
      </c>
      <c r="AK39" s="61">
        <f>AJ39</f>
        <v>3</v>
      </c>
    </row>
    <row r="40" spans="1:37" ht="15.75" thickBot="1">
      <c r="A40" s="1" t="s">
        <v>39</v>
      </c>
      <c r="B40" t="str">
        <f>REPT("●",IFERROR(INDEX($P$42:$P$69,MATCH(tblCharDataBrandy[[#This Row],[Field]],$E$42:$E$69,0)),0))&amp;REPT("○",IFERROR(INDEX($V$42:$V$69,MATCH(tblCharDataBrandy[[#This Row],[Field]],$E$42:$E$69,0)),0))&amp;IF(IFERROR(INDEX($W$42:$W$69,MATCH(tblCharDataBrandy[[#This Row],[Field]],$E$42:$E$69,0)),0)=1,"†","")</f>
        <v>●</v>
      </c>
      <c r="D40" s="14" t="s">
        <v>1465</v>
      </c>
      <c r="E40" s="14"/>
      <c r="F40" s="14"/>
      <c r="G40" s="14"/>
      <c r="H40" s="14"/>
      <c r="I40" s="14"/>
      <c r="N40" s="60">
        <f>SUM(N42:N49,N52:N59,N62:N69)</f>
        <v>0</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4"/>
        <v>1</v>
      </c>
      <c r="AK40" s="61">
        <f>AJ40</f>
        <v>1</v>
      </c>
    </row>
    <row r="41" spans="1:37">
      <c r="A41" s="1" t="s">
        <v>40</v>
      </c>
      <c r="B41" t="str">
        <f>REPT("●",IFERROR(INDEX($P$42:$P$69,MATCH(tblCharDataBrandy[[#This Row],[Field]],$E$42:$E$69,0)),0))&amp;REPT("○",IFERROR(INDEX($V$42:$V$69,MATCH(tblCharDataBrandy[[#This Row],[Field]],$E$42:$E$69,0)),0))&amp;IF(IFERROR(INDEX($W$42:$W$69,MATCH(tblCharDataBrandy[[#This Row],[Field]],$E$42:$E$69,0)),0)=1,"†","")</f>
        <v/>
      </c>
      <c r="D41" s="16" t="s">
        <v>1444</v>
      </c>
      <c r="E41" s="17"/>
      <c r="F41" s="17"/>
      <c r="G41" s="17" t="s">
        <v>1467</v>
      </c>
      <c r="H41" s="16" t="s">
        <v>1446</v>
      </c>
      <c r="I41" s="3" t="s">
        <v>1566</v>
      </c>
      <c r="L41" s="60">
        <f>IF(I41="",0,VLOOKUP(I41,tblPriority[#Data],3,FALSE))-SUM(L42:L49)</f>
        <v>0</v>
      </c>
      <c r="T41" s="60">
        <f>MAX(3+IF(P161&gt;=3,2,0)-SUM(T42:T49,T52:T59,T62:T69),0)</f>
        <v>0</v>
      </c>
      <c r="Y41" s="15" t="s">
        <v>1468</v>
      </c>
      <c r="Z41" s="61" t="str">
        <f>IFERROR(VLOOKUP(AA41,tblManoeuvre[],2,FALSE),"")</f>
        <v/>
      </c>
      <c r="AA41" s="61" t="str">
        <f t="shared" si="3"/>
        <v/>
      </c>
      <c r="AI41" s="15" t="s">
        <v>244</v>
      </c>
      <c r="AJ41" s="61">
        <f t="shared" si="4"/>
        <v>0</v>
      </c>
      <c r="AK41" s="61">
        <f>AJ41</f>
        <v>0</v>
      </c>
    </row>
    <row r="42" spans="1:37">
      <c r="A42" s="1" t="s">
        <v>41</v>
      </c>
      <c r="B42" t="str">
        <f>REPT("●",IFERROR(INDEX($P$42:$P$69,MATCH(tblCharDataBrandy[[#This Row],[Field]],$E$42:$E$69,0)),0))&amp;REPT("○",IFERROR(INDEX($V$42:$V$69,MATCH(tblCharDataBrandy[[#This Row],[Field]],$E$42:$E$69,0)),0))&amp;IF(IFERROR(INDEX($W$42:$W$69,MATCH(tblCharDataBrandy[[#This Row],[Field]],$E$42:$E$69,0)),0)=1,"†","")</f>
        <v/>
      </c>
      <c r="D42" s="18"/>
      <c r="E42" s="15" t="s">
        <v>25</v>
      </c>
      <c r="F42" s="18"/>
      <c r="G42" s="3"/>
      <c r="H42" s="18"/>
      <c r="I42" s="18"/>
      <c r="L42" s="4"/>
      <c r="M42" s="60"/>
      <c r="N42" s="4"/>
      <c r="O42" s="61">
        <f>ROUNDDOWN(N42/2,0)</f>
        <v>0</v>
      </c>
      <c r="P42" s="60">
        <f t="shared" ref="P42:P49" si="5">MIN(SUM(L42,M42,O42),R42)</f>
        <v>0</v>
      </c>
      <c r="R42" s="61">
        <v>5</v>
      </c>
      <c r="T42" s="4"/>
      <c r="U42" s="4"/>
      <c r="V42" s="61">
        <f t="shared" ref="V42:V49" si="6">U42</f>
        <v>0</v>
      </c>
      <c r="W42" s="4"/>
      <c r="AI42" s="15" t="s">
        <v>18</v>
      </c>
      <c r="AJ42" s="61">
        <f t="shared" si="4"/>
        <v>3</v>
      </c>
      <c r="AK42" s="61">
        <f>AJ42+IFERROR(INDEX($V$26:$V$38,MATCH(AI42,$E$26:$E$38,0)),0)</f>
        <v>3</v>
      </c>
    </row>
    <row r="43" spans="1:37">
      <c r="A43" s="1" t="s">
        <v>42</v>
      </c>
      <c r="B43" t="str">
        <f>REPT("●",IFERROR(INDEX($P$42:$P$69,MATCH(tblCharDataBrandy[[#This Row],[Field]],$E$42:$E$69,0)),0))&amp;REPT("○",IFERROR(INDEX($V$42:$V$69,MATCH(tblCharDataBrandy[[#This Row],[Field]],$E$42:$E$69,0)),0))&amp;IF(IFERROR(INDEX($W$42:$W$69,MATCH(tblCharDataBrandy[[#This Row],[Field]],$E$42:$E$69,0)),0)=1,"†","")</f>
        <v>●●●</v>
      </c>
      <c r="D43" s="18"/>
      <c r="E43" s="15" t="s">
        <v>26</v>
      </c>
      <c r="F43" s="18"/>
      <c r="G43" s="3"/>
      <c r="H43" s="18"/>
      <c r="I43" s="18"/>
      <c r="L43" s="4"/>
      <c r="M43" s="60"/>
      <c r="N43" s="4"/>
      <c r="O43" s="61">
        <f t="shared" ref="O43:O49" si="7">ROUNDDOWN(N43/2,0)</f>
        <v>0</v>
      </c>
      <c r="P43" s="60">
        <f t="shared" si="5"/>
        <v>0</v>
      </c>
      <c r="R43" s="61">
        <v>5</v>
      </c>
      <c r="T43" s="4"/>
      <c r="U43" s="4"/>
      <c r="V43" s="61">
        <f t="shared" si="6"/>
        <v>0</v>
      </c>
      <c r="W43" s="4"/>
      <c r="AI43" s="15" t="s">
        <v>32</v>
      </c>
      <c r="AJ43" s="61">
        <f t="shared" si="4"/>
        <v>0</v>
      </c>
      <c r="AK43" s="61">
        <f>IF(AJ43=0,IF(COUNTIF($E$42:$E$49,AI43)&gt;0,-3,-1),AJ43)</f>
        <v>-3</v>
      </c>
    </row>
    <row r="44" spans="1:37">
      <c r="A44" s="1" t="s">
        <v>43</v>
      </c>
      <c r="B44" t="str">
        <f>REPT("●",IFERROR(INDEX($P$42:$P$69,MATCH(tblCharDataBrandy[[#This Row],[Field]],$E$42:$E$69,0)),0))&amp;REPT("○",IFERROR(INDEX($V$42:$V$69,MATCH(tblCharDataBrandy[[#This Row],[Field]],$E$42:$E$69,0)),0))&amp;IF(IFERROR(INDEX($W$42:$W$69,MATCH(tblCharDataBrandy[[#This Row],[Field]],$E$42:$E$69,0)),0)=1,"†","")</f>
        <v>●●</v>
      </c>
      <c r="D44" s="18"/>
      <c r="E44" s="15" t="s">
        <v>27</v>
      </c>
      <c r="F44" s="18"/>
      <c r="G44" s="3"/>
      <c r="H44" s="18"/>
      <c r="I44" s="18"/>
      <c r="L44" s="4">
        <v>1</v>
      </c>
      <c r="M44" s="60"/>
      <c r="N44" s="4"/>
      <c r="O44" s="61">
        <f t="shared" si="7"/>
        <v>0</v>
      </c>
      <c r="P44" s="60">
        <f t="shared" si="5"/>
        <v>1</v>
      </c>
      <c r="R44" s="61">
        <v>5</v>
      </c>
      <c r="T44" s="4"/>
      <c r="U44" s="4"/>
      <c r="V44" s="61">
        <f t="shared" si="6"/>
        <v>0</v>
      </c>
      <c r="W44" s="4"/>
      <c r="Y44" s="15">
        <v>1</v>
      </c>
      <c r="Z44" s="61" t="s">
        <v>236</v>
      </c>
      <c r="AA44" s="60" t="str" cm="1">
        <f t="array" ref="AA44">IF(OR(Y44=0,Y44=""),"",IF(VLOOKUP(Z44,$AI$1:$AJ$58,2,FALSE)&gt;=Y44,INDEX(tblDisciplines[Name],MATCH(1,(tblDisciplines[Discipline]=Z44)*(tblDisciplines[Rank]=Y44),0)),""))</f>
        <v/>
      </c>
      <c r="AC44" s="60" t="str" cm="1">
        <f t="array" ref="AC44:AC52">IFERROR(_xlfn.VSTACK(IFERROR(_xlfn._xlws.FILTER(AA44:AA121,AA44:AA121&lt;&gt;""),""),IFERROR(_xlfn._xlws.SORT(_xlfn._xlws.FILTER(AA123:AA132,AA123:AA132&lt;&gt;"")),"")),"")</f>
        <v>Awe</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Majesty ● | Awe</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  •  Pool: -  •  Instant  •  Scene</v>
      </c>
      <c r="AF44" s="20" t="str">
        <f>IF(AC44="","",IFERROR(VLOOKUP(AC44,tblDisciplines[],12,FALSE),VLOOKUP(AC44,tblPacts[],5,FALSE)))</f>
        <v>Become centre of attention. Subjects become Awed.</v>
      </c>
      <c r="AI44" s="15" t="s">
        <v>353</v>
      </c>
      <c r="AJ44" s="61">
        <f t="shared" si="4"/>
        <v>5</v>
      </c>
      <c r="AK44" s="61">
        <f>AJ44</f>
        <v>5</v>
      </c>
    </row>
    <row r="45" spans="1:37">
      <c r="A45" s="1" t="s">
        <v>44</v>
      </c>
      <c r="B45" t="str">
        <f>REPT("●",IFERROR(INDEX($P$42:$P$69,MATCH(tblCharDataBrandy[[#This Row],[Field]],$E$42:$E$69,0)),0))&amp;REPT("○",IFERROR(INDEX($V$42:$V$69,MATCH(tblCharDataBrandy[[#This Row],[Field]],$E$42:$E$69,0)),0))&amp;IF(IFERROR(INDEX($W$42:$W$69,MATCH(tblCharDataBrandy[[#This Row],[Field]],$E$42:$E$69,0)),0)=1,"†","")</f>
        <v>●●●</v>
      </c>
      <c r="D45" s="18"/>
      <c r="E45" s="15" t="s">
        <v>28</v>
      </c>
      <c r="F45" s="18"/>
      <c r="G45" s="3"/>
      <c r="H45" s="18"/>
      <c r="I45" s="18"/>
      <c r="L45" s="4"/>
      <c r="M45" s="60"/>
      <c r="N45" s="4"/>
      <c r="O45" s="61">
        <f t="shared" si="7"/>
        <v>0</v>
      </c>
      <c r="P45" s="60">
        <f t="shared" si="5"/>
        <v>0</v>
      </c>
      <c r="R45" s="61">
        <v>5</v>
      </c>
      <c r="T45" s="4"/>
      <c r="U45" s="4"/>
      <c r="V45" s="61">
        <f t="shared" si="6"/>
        <v>0</v>
      </c>
      <c r="W45" s="4"/>
      <c r="Y45" s="15">
        <v>2</v>
      </c>
      <c r="Z45" s="61" t="s">
        <v>236</v>
      </c>
      <c r="AA45" s="60" t="str" cm="1">
        <f t="array" ref="AA45">IF(OR(Y45=0,Y45=""),"",IF(VLOOKUP(Z45,$AI$1:$AJ$58,2,FALSE)&gt;=Y45,INDEX(tblDisciplines[Name],MATCH(1,(tblDisciplines[Discipline]=Z45)*(tblDisciplines[Rank]=Y45),0)),""))</f>
        <v/>
      </c>
      <c r="AC45" s="60" t="str">
        <v>Unmarked Grave</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Protean ● | Unmarked Grave</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Varies  •  Pool: -  •  Instant  •  Indefinite</v>
      </c>
      <c r="AF45" s="20" t="str">
        <f>IF(AC45="","",IFERROR(VLOOKUP(AC45,tblDisciplines[],12,FALSE),VLOOKUP(AC45,tblPacts[],5,FALSE)))</f>
        <v>Merge with soil.</v>
      </c>
      <c r="AI45" s="15" t="s">
        <v>46</v>
      </c>
      <c r="AJ45" s="61">
        <f t="shared" si="4"/>
        <v>1</v>
      </c>
      <c r="AK45" s="61">
        <f>IF(AJ45=0,IF(COUNTIF($E$42:$E$49,AI45)&gt;0,-3,-1),AJ45)</f>
        <v>1</v>
      </c>
    </row>
    <row r="46" spans="1:37">
      <c r="A46" s="1" t="s">
        <v>45</v>
      </c>
      <c r="B46" t="str">
        <f>REPT("●",IFERROR(INDEX($P$42:$P$69,MATCH(tblCharDataBrandy[[#This Row],[Field]],$E$42:$E$69,0)),0))&amp;REPT("○",IFERROR(INDEX($V$42:$V$69,MATCH(tblCharDataBrandy[[#This Row],[Field]],$E$42:$E$69,0)),0))&amp;IF(IFERROR(INDEX($W$42:$W$69,MATCH(tblCharDataBrandy[[#This Row],[Field]],$E$42:$E$69,0)),0)=1,"†","")</f>
        <v>●</v>
      </c>
      <c r="D46" s="18"/>
      <c r="E46" s="15" t="s">
        <v>29</v>
      </c>
      <c r="F46" s="18"/>
      <c r="G46" s="3"/>
      <c r="H46" s="18"/>
      <c r="I46" s="18"/>
      <c r="L46" s="4"/>
      <c r="M46" s="60"/>
      <c r="N46" s="4"/>
      <c r="O46" s="61">
        <f t="shared" si="7"/>
        <v>0</v>
      </c>
      <c r="P46" s="60">
        <f t="shared" si="5"/>
        <v>0</v>
      </c>
      <c r="R46" s="61">
        <v>5</v>
      </c>
      <c r="T46" s="4"/>
      <c r="U46" s="4"/>
      <c r="V46" s="61">
        <f t="shared" si="6"/>
        <v>0</v>
      </c>
      <c r="W46" s="4"/>
      <c r="Y46" s="15">
        <v>3</v>
      </c>
      <c r="Z46" s="61" t="s">
        <v>236</v>
      </c>
      <c r="AA46" s="60" t="str" cm="1">
        <f t="array" ref="AA46">IF(OR(Y46=0,Y46=""),"",IF(VLOOKUP(Z46,$AI$1:$AJ$58,2,FALSE)&gt;=Y46,INDEX(tblDisciplines[Name],MATCH(1,(tblDisciplines[Discipline]=Z46)*(tblDisciplines[Rank]=Y46),0)),""))</f>
        <v/>
      </c>
      <c r="AC46" s="60" t="str">
        <v>Predatory Aspect</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Protean ●● | Predatory Aspect</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1 V  •  Pool: -  •  Instant  •  Scene</v>
      </c>
      <c r="AF46" s="20" t="str">
        <f>IF(AC46="","",IFERROR(VLOOKUP(AC46,tblDisciplines[],12,FALSE),VLOOKUP(AC46,tblPacts[],5,FALSE)))</f>
        <v>Take on animal traits.</v>
      </c>
      <c r="AI46" s="15" t="s">
        <v>354</v>
      </c>
      <c r="AJ46" s="61">
        <f t="shared" ca="1" si="4"/>
        <v>10</v>
      </c>
      <c r="AK46" s="61">
        <f ca="1">AJ46</f>
        <v>10</v>
      </c>
    </row>
    <row r="47" spans="1:37">
      <c r="A47" s="1" t="s">
        <v>46</v>
      </c>
      <c r="B47" t="str">
        <f>REPT("●",IFERROR(INDEX($P$42:$P$69,MATCH(tblCharDataBrandy[[#This Row],[Field]],$E$42:$E$69,0)),0))&amp;REPT("○",IFERROR(INDEX($V$42:$V$69,MATCH(tblCharDataBrandy[[#This Row],[Field]],$E$42:$E$69,0)),0))&amp;IF(IFERROR(INDEX($W$42:$W$69,MATCH(tblCharDataBrandy[[#This Row],[Field]],$E$42:$E$69,0)),0)=1,"†","")</f>
        <v>●</v>
      </c>
      <c r="D47" s="18"/>
      <c r="E47" s="15" t="s">
        <v>30</v>
      </c>
      <c r="F47" s="18"/>
      <c r="G47" s="3" t="s">
        <v>497</v>
      </c>
      <c r="H47" s="18"/>
      <c r="I47" s="18"/>
      <c r="L47" s="4">
        <v>3</v>
      </c>
      <c r="M47" s="60"/>
      <c r="N47" s="4"/>
      <c r="O47" s="61">
        <f t="shared" si="7"/>
        <v>0</v>
      </c>
      <c r="P47" s="60">
        <f t="shared" si="5"/>
        <v>3</v>
      </c>
      <c r="R47" s="61">
        <v>5</v>
      </c>
      <c r="T47" s="4">
        <v>1</v>
      </c>
      <c r="U47" s="4"/>
      <c r="V47" s="61">
        <f t="shared" si="6"/>
        <v>0</v>
      </c>
      <c r="W47" s="4"/>
      <c r="Y47" s="15">
        <v>4</v>
      </c>
      <c r="Z47" s="61" t="s">
        <v>236</v>
      </c>
      <c r="AA47" s="60" t="str" cm="1">
        <f t="array" ref="AA47">IF(OR(Y47=0,Y47=""),"",IF(VLOOKUP(Z47,$AI$1:$AJ$58,2,FALSE)&gt;=Y47,INDEX(tblDisciplines[Name],MATCH(1,(tblDisciplines[Discipline]=Z47)*(tblDisciplines[Rank]=Y47),0)),""))</f>
        <v/>
      </c>
      <c r="AC47" s="60" t="str">
        <v>Beast's Skin</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Protean ●●● | Beast's Skin</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Cost: 2 V  •  Pool: -  •  Instant  •  Indefinite</v>
      </c>
      <c r="AF47" s="20" t="str">
        <f>IF(AC47="","",IFERROR(VLOOKUP(AC47,tblDisciplines[],12,FALSE),VLOOKUP(AC47,tblPacts[],5,FALSE)))</f>
        <v>Transform into predatory animal.</v>
      </c>
      <c r="AI47" s="15" t="s">
        <v>21</v>
      </c>
      <c r="AJ47" s="61">
        <f t="shared" si="4"/>
        <v>3</v>
      </c>
      <c r="AK47" s="61">
        <f>AJ47+IFERROR(INDEX($V$26:$V$38,MATCH(AI47,$E$26:$E$38,0)),0)</f>
        <v>3</v>
      </c>
    </row>
    <row r="48" spans="1:37">
      <c r="A48" s="1" t="s">
        <v>47</v>
      </c>
      <c r="B48" t="str">
        <f>REPT("●",IFERROR(INDEX($P$42:$P$69,MATCH(tblCharDataBrandy[[#This Row],[Field]],$E$42:$E$69,0)),0))&amp;REPT("○",IFERROR(INDEX($V$42:$V$69,MATCH(tblCharDataBrandy[[#This Row],[Field]],$E$42:$E$69,0)),0))&amp;IF(IFERROR(INDEX($W$42:$W$69,MATCH(tblCharDataBrandy[[#This Row],[Field]],$E$42:$E$69,0)),0)=1,"†","")</f>
        <v/>
      </c>
      <c r="D48" s="18"/>
      <c r="E48" s="15" t="s">
        <v>31</v>
      </c>
      <c r="F48" s="18"/>
      <c r="G48" s="3"/>
      <c r="H48" s="18"/>
      <c r="I48" s="18"/>
      <c r="L48" s="4"/>
      <c r="M48" s="60"/>
      <c r="N48" s="4"/>
      <c r="O48" s="61">
        <f t="shared" si="7"/>
        <v>0</v>
      </c>
      <c r="P48" s="60">
        <f t="shared" si="5"/>
        <v>0</v>
      </c>
      <c r="R48" s="61">
        <v>5</v>
      </c>
      <c r="T48" s="4"/>
      <c r="U48" s="4"/>
      <c r="V48" s="61">
        <f t="shared" si="6"/>
        <v>0</v>
      </c>
      <c r="W48" s="4"/>
      <c r="Y48" s="15">
        <v>5</v>
      </c>
      <c r="Z48" s="61" t="s">
        <v>236</v>
      </c>
      <c r="AA48" s="60" t="str" cm="1">
        <f t="array" ref="AA48">IF(OR(Y48=0,Y48=""),"",IF(VLOOKUP(Z48,$AI$1:$AJ$58,2,FALSE)&gt;=Y48,INDEX(tblDisciplines[Name],MATCH(1,(tblDisciplines[Discipline]=Z48)*(tblDisciplines[Rank]=Y48),0)),""))</f>
        <v/>
      </c>
      <c r="AC48" s="60" t="str">
        <v>Creation 1</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Blood Sorcery | Creation ●</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v>
      </c>
      <c r="AF48" s="20" t="str">
        <f>IF(AC48="","",IFERROR(VLOOKUP(AC48,tblDisciplines[],12,FALSE),VLOOKUP(AC48,tblPacts[],5,FALSE)))</f>
        <v>Summon liquids, dead organic matter, sensory phenomena. Bonus/penalty = Potency.</v>
      </c>
      <c r="AI48" s="15" t="s">
        <v>38</v>
      </c>
      <c r="AJ48" s="61">
        <f t="shared" si="4"/>
        <v>1</v>
      </c>
      <c r="AK48" s="61">
        <f>IF(AJ48=0,IF(COUNTIF($E$42:$E$49,AI48)&gt;0,-3,-1),AJ48)</f>
        <v>1</v>
      </c>
    </row>
    <row r="49" spans="1:37">
      <c r="A49" s="1" t="s">
        <v>48</v>
      </c>
      <c r="B49" t="str">
        <f>REPT("●",IFERROR(INDEX($P$42:$P$69,MATCH(tblCharDataBrandy[[#This Row],[Field]],$E$42:$E$69,0)),0))&amp;REPT("○",IFERROR(INDEX($V$42:$V$69,MATCH(tblCharDataBrandy[[#This Row],[Field]],$E$42:$E$69,0)),0))&amp;IF(IFERROR(INDEX($W$42:$W$69,MATCH(tblCharDataBrandy[[#This Row],[Field]],$E$42:$E$69,0)),0)=1,"†","")</f>
        <v>●</v>
      </c>
      <c r="D49" s="18"/>
      <c r="E49" s="15" t="s">
        <v>32</v>
      </c>
      <c r="F49" s="18"/>
      <c r="G49" s="3"/>
      <c r="H49" s="18"/>
      <c r="I49" s="18"/>
      <c r="L49" s="4"/>
      <c r="M49" s="60"/>
      <c r="N49" s="4"/>
      <c r="O49" s="61">
        <f t="shared" si="7"/>
        <v>0</v>
      </c>
      <c r="P49" s="60">
        <f t="shared" si="5"/>
        <v>0</v>
      </c>
      <c r="R49" s="61">
        <v>5</v>
      </c>
      <c r="T49" s="4"/>
      <c r="U49" s="4"/>
      <c r="V49" s="61">
        <f t="shared" si="6"/>
        <v>0</v>
      </c>
      <c r="W49" s="4"/>
      <c r="Y49" s="15">
        <v>1</v>
      </c>
      <c r="Z49" s="61" t="s">
        <v>237</v>
      </c>
      <c r="AA49" s="60" t="str" cm="1">
        <f t="array" ref="AA49">IF(OR(Y49=0,Y49=""),"",IF(VLOOKUP(Z49,$AI$1:$AJ$58,2,FALSE)&gt;=Y49,INDEX(tblDisciplines[Name],MATCH(1,(tblDisciplines[Discipline]=Z49)*(tblDisciplines[Rank]=Y49),0)),""))</f>
        <v/>
      </c>
      <c r="AC49" s="60" t="str">
        <v>Destruction 1</v>
      </c>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Blood Sorcery | Destruction ●</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v>
      </c>
      <c r="AF49" s="20" t="str">
        <f>IF(AC49="","",IFERROR(VLOOKUP(AC49,tblDisciplines[],12,FALSE),VLOOKUP(AC49,tblPacts[],5,FALSE)))</f>
        <v>Upgrade bashing to lethal. Produce poisons (Toxicity = Potency).</v>
      </c>
      <c r="AI49" s="15" t="s">
        <v>47</v>
      </c>
      <c r="AJ49" s="61">
        <f t="shared" si="4"/>
        <v>0</v>
      </c>
      <c r="AK49" s="61">
        <f>IF(AJ49=0,IF(COUNTIF($E$42:$E$49,AI49)&gt;0,-3,-1),AJ49)</f>
        <v>-1</v>
      </c>
    </row>
    <row r="50" spans="1:37">
      <c r="A50" s="1" t="s">
        <v>49</v>
      </c>
      <c r="B50" t="str">
        <f ca="1">REPT("●",VLOOKUP(tblCharDataBrandy[[#This Row],[Field]],INDIRECT($AH$1),2,FALSE)) &amp; REPT("○",10-VLOOKUP(tblCharDataBrandy[[#This Row],[Field]],INDIRECT($AH$1),2,FALSE))</f>
        <v>●○○○○○○○○○</v>
      </c>
      <c r="Y50" s="15">
        <v>2</v>
      </c>
      <c r="Z50" s="61" t="s">
        <v>237</v>
      </c>
      <c r="AA50" s="60" t="str" cm="1">
        <f t="array" ref="AA50">IF(OR(Y50=0,Y50=""),"",IF(VLOOKUP(Z50,$AI$1:$AJ$58,2,FALSE)&gt;=Y50,INDEX(tblDisciplines[Name],MATCH(1,(tblDisciplines[Discipline]=Z50)*(tblDisciplines[Rank]=Y50),0)),""))</f>
        <v/>
      </c>
      <c r="AC50" s="60" t="str">
        <v>Protection 1</v>
      </c>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Blood Sorcery | Protection ●</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v>
      </c>
      <c r="AF50" s="20" t="str">
        <f>IF(AC50="","",IFERROR(VLOOKUP(AC50,tblDisciplines[],12,FALSE),VLOOKUP(AC50,tblPacts[],5,FALSE)))</f>
        <v>Subtract Potency from ritual rolls targeting subject. Heal bashing in vampires. Protect from the Kiss (add Potency to resistance).</v>
      </c>
      <c r="AI50" s="15" t="s">
        <v>19</v>
      </c>
      <c r="AJ50" s="61">
        <f t="shared" si="4"/>
        <v>3</v>
      </c>
      <c r="AK50" s="61">
        <f>AJ50+IFERROR(INDEX($V$26:$V$38,MATCH(AI50,$E$26:$E$38,0)),0)</f>
        <v>3</v>
      </c>
    </row>
    <row r="51" spans="1:37">
      <c r="A51" s="1" t="s">
        <v>50</v>
      </c>
      <c r="B51">
        <f>P72</f>
        <v>1</v>
      </c>
      <c r="D51" s="16" t="s">
        <v>1453</v>
      </c>
      <c r="E51" s="17"/>
      <c r="F51" s="17"/>
      <c r="G51" s="17" t="s">
        <v>1467</v>
      </c>
      <c r="H51" s="16" t="s">
        <v>1446</v>
      </c>
      <c r="I51" s="3" t="s">
        <v>1567</v>
      </c>
      <c r="L51" s="60">
        <f>IF(I51="",0,VLOOKUP(I51,tblPriority[#Data],3,FALSE))-SUM(L52:L59)</f>
        <v>0</v>
      </c>
      <c r="Y51" s="15">
        <v>3</v>
      </c>
      <c r="Z51" s="61" t="s">
        <v>237</v>
      </c>
      <c r="AA51" s="60" t="str" cm="1">
        <f t="array" ref="AA51">IF(OR(Y51=0,Y51=""),"",IF(VLOOKUP(Z51,$AI$1:$AJ$58,2,FALSE)&gt;=Y51,INDEX(tblDisciplines[Name],MATCH(1,(tblDisciplines[Discipline]=Z51)*(tblDisciplines[Rank]=Y51),0)),""))</f>
        <v/>
      </c>
      <c r="AC51" s="60" t="str">
        <v>Mantle of Amorous Fire</v>
      </c>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Cruac ● | Mantle of Amorous Fire</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Cost: 1 V 1 Successes  •  Pool: 6  •  Ritual  •  Scene</v>
      </c>
      <c r="AF51" s="20" t="str">
        <f>IF(AC51="","",IFERROR(VLOOKUP(AC51,tblDisciplines[],12,FALSE),VLOOKUP(AC51,tblPacts[],5,FALSE)))</f>
        <v>Dance to exhaustion. Add Cruac as a Presence bonus for the night.</v>
      </c>
      <c r="AI51" s="15" t="s">
        <v>48</v>
      </c>
      <c r="AJ51" s="61">
        <f t="shared" si="4"/>
        <v>1</v>
      </c>
      <c r="AK51" s="61">
        <f>IF(AJ51=0,IF(COUNTIF($E$42:$E$49,AI51)&gt;0,-3,-1),AJ51)</f>
        <v>1</v>
      </c>
    </row>
    <row r="52" spans="1:37">
      <c r="A52" s="1" t="s">
        <v>51</v>
      </c>
      <c r="B52" t="str">
        <f>_xlfn.IFNA(VLOOKUP(P72,tblBloodPotency[#Data],5,FALSE),"")</f>
        <v/>
      </c>
      <c r="D52" s="18"/>
      <c r="E52" s="15" t="s">
        <v>33</v>
      </c>
      <c r="F52" s="18"/>
      <c r="G52" s="3"/>
      <c r="H52" s="18"/>
      <c r="I52" s="18"/>
      <c r="L52" s="4"/>
      <c r="M52" s="60"/>
      <c r="N52" s="4"/>
      <c r="O52" s="61">
        <f>ROUNDDOWN(N52/2,0)</f>
        <v>0</v>
      </c>
      <c r="P52" s="60">
        <f t="shared" ref="P52:P59" si="8">MIN(SUM(L52,M52,O52),R52)</f>
        <v>0</v>
      </c>
      <c r="R52" s="61">
        <v>5</v>
      </c>
      <c r="T52" s="4"/>
      <c r="U52" s="4"/>
      <c r="V52" s="61">
        <f t="shared" ref="V52:V59" si="9">U52</f>
        <v>0</v>
      </c>
      <c r="W52" s="4"/>
      <c r="Y52" s="15">
        <v>4</v>
      </c>
      <c r="Z52" s="61" t="s">
        <v>237</v>
      </c>
      <c r="AA52" s="60" t="str" cm="1">
        <f t="array" ref="AA52">IF(OR(Y52=0,Y52=""),"",IF(VLOOKUP(Z52,$AI$1:$AJ$58,2,FALSE)&gt;=Y52,INDEX(tblDisciplines[Name],MATCH(1,(tblDisciplines[Discipline]=Z52)*(tblDisciplines[Rank]=Y52),0)),""))</f>
        <v/>
      </c>
      <c r="AC52" s="60" t="str">
        <v/>
      </c>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
      </c>
      <c r="AF52" s="20" t="str">
        <f>IF(AC52="","",IFERROR(VLOOKUP(AC52,tblDisciplines[],12,FALSE),VLOOKUP(AC52,tblPacts[],5,FALSE)))</f>
        <v/>
      </c>
      <c r="AI52" s="15" t="s">
        <v>39</v>
      </c>
      <c r="AJ52" s="61">
        <f t="shared" si="4"/>
        <v>1</v>
      </c>
      <c r="AK52" s="61">
        <f>IF(AJ52=0,IF(COUNTIF($E$42:$E$49,AI52)&gt;0,-3,-1),AJ52)</f>
        <v>1</v>
      </c>
    </row>
    <row r="53" spans="1:37">
      <c r="A53" s="1" t="s">
        <v>52</v>
      </c>
      <c r="B53" t="str">
        <f ca="1">REPT("□",P221) &amp; REPT("■",15-P221)</f>
        <v>□□□□□□□□■■■■■■■</v>
      </c>
      <c r="D53" s="18"/>
      <c r="E53" s="15" t="s">
        <v>34</v>
      </c>
      <c r="F53" s="18"/>
      <c r="G53" s="3" t="s">
        <v>498</v>
      </c>
      <c r="H53" s="18"/>
      <c r="I53" s="18"/>
      <c r="L53" s="4">
        <v>5</v>
      </c>
      <c r="M53" s="60"/>
      <c r="N53" s="4"/>
      <c r="O53" s="61">
        <f t="shared" ref="O53:O59" si="10">ROUNDDOWN(N53/2,0)</f>
        <v>0</v>
      </c>
      <c r="P53" s="60">
        <f t="shared" si="8"/>
        <v>5</v>
      </c>
      <c r="R53" s="61">
        <v>5</v>
      </c>
      <c r="T53" s="4"/>
      <c r="U53" s="4"/>
      <c r="V53" s="61">
        <f t="shared" si="9"/>
        <v>0</v>
      </c>
      <c r="W53" s="4"/>
      <c r="Y53" s="15">
        <v>5</v>
      </c>
      <c r="Z53" s="61" t="s">
        <v>237</v>
      </c>
      <c r="AA53" s="60" t="str" cm="1">
        <f t="array" ref="AA53">IF(OR(Y53=0,Y53=""),"",IF(VLOOKUP(Z53,$AI$1:$AJ$58,2,FALSE)&gt;=Y53,INDEX(tblDisciplines[Name],MATCH(1,(tblDisciplines[Discipline]=Z53)*(tblDisciplines[Rank]=Y53),0)),""))</f>
        <v/>
      </c>
      <c r="AC53" s="60"/>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
      </c>
      <c r="AF53" s="20" t="str">
        <f>IF(AC53="","",IFERROR(VLOOKUP(AC53,tblDisciplines[],12,FALSE),VLOOKUP(AC53,tblPacts[],5,FALSE)))</f>
        <v/>
      </c>
      <c r="AI53" s="15" t="s">
        <v>247</v>
      </c>
      <c r="AJ53" s="61">
        <f t="shared" si="4"/>
        <v>0</v>
      </c>
      <c r="AK53" s="61">
        <f>AJ53</f>
        <v>0</v>
      </c>
    </row>
    <row r="54" spans="1:37">
      <c r="A54" s="1" t="s">
        <v>53</v>
      </c>
      <c r="B54" t="str">
        <f>_xlfn.CONCAT(P74-L224," / ",P74)</f>
        <v>6 / 6</v>
      </c>
      <c r="D54" s="18"/>
      <c r="E54" s="15" t="s">
        <v>35</v>
      </c>
      <c r="F54" s="18"/>
      <c r="G54" s="3"/>
      <c r="H54" s="18"/>
      <c r="I54" s="18"/>
      <c r="L54" s="4"/>
      <c r="M54" s="60"/>
      <c r="N54" s="4"/>
      <c r="O54" s="61">
        <f t="shared" si="10"/>
        <v>0</v>
      </c>
      <c r="P54" s="60">
        <f t="shared" si="8"/>
        <v>0</v>
      </c>
      <c r="R54" s="61">
        <v>5</v>
      </c>
      <c r="T54" s="4"/>
      <c r="U54" s="4"/>
      <c r="V54" s="61">
        <f t="shared" si="9"/>
        <v>0</v>
      </c>
      <c r="W54" s="4"/>
      <c r="Y54" s="15">
        <f>P167</f>
        <v>0</v>
      </c>
      <c r="Z54" s="61" t="s">
        <v>238</v>
      </c>
      <c r="AA54" s="60" t="str" cm="1">
        <f t="array" ref="AA54">IF(OR(Y54=0,Y54=""),"",IF(VLOOKUP(Z54,$AI$1:$AJ$58,2,FALSE)&gt;=Y54,INDEX(tblDisciplines[Name],MATCH(1,(tblDisciplines[Discipline]=Z54)*(tblDisciplines[Rank]=Y54),0)),""))</f>
        <v/>
      </c>
      <c r="AC54" s="60"/>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
      </c>
      <c r="AF54" s="20" t="str">
        <f>IF(AC54="","",IFERROR(VLOOKUP(AC54,tblDisciplines[],12,FALSE),VLOOKUP(AC54,tblPacts[],5,FALSE)))</f>
        <v/>
      </c>
      <c r="AI54" s="15" t="s">
        <v>252</v>
      </c>
      <c r="AJ54" s="61">
        <f t="shared" si="4"/>
        <v>0</v>
      </c>
      <c r="AK54" s="61">
        <f>AJ54</f>
        <v>0</v>
      </c>
    </row>
    <row r="55" spans="1:37">
      <c r="A55" s="1" t="s">
        <v>54</v>
      </c>
      <c r="B55" t="str">
        <f>REPT("□",P74) &amp; REPT("■",10-P74)</f>
        <v>□□□□□□■■■■</v>
      </c>
      <c r="D55" s="18"/>
      <c r="E55" s="15" t="s">
        <v>36</v>
      </c>
      <c r="F55" s="18"/>
      <c r="G55" s="3"/>
      <c r="H55" s="18"/>
      <c r="I55" s="18"/>
      <c r="L55" s="4"/>
      <c r="M55" s="60"/>
      <c r="N55" s="4"/>
      <c r="O55" s="61">
        <f t="shared" si="10"/>
        <v>0</v>
      </c>
      <c r="P55" s="60">
        <f t="shared" si="8"/>
        <v>0</v>
      </c>
      <c r="R55" s="61">
        <v>5</v>
      </c>
      <c r="T55" s="4">
        <v>1</v>
      </c>
      <c r="U55" s="4"/>
      <c r="V55" s="61">
        <f t="shared" si="9"/>
        <v>0</v>
      </c>
      <c r="W55" s="4"/>
      <c r="Y55" s="15">
        <v>1</v>
      </c>
      <c r="Z55" s="61" t="s">
        <v>239</v>
      </c>
      <c r="AA55" s="60" t="str" cm="1">
        <f t="array" ref="AA55">IF(OR(Y55=0,Y55=""),"",IF(VLOOKUP(Z55,$AI$1:$AJ$58,2,FALSE)&gt;=Y55,INDEX(tblDisciplines[Name],MATCH(1,(tblDisciplines[Discipline]=Z55)*(tblDisciplines[Rank]=Y55),0)),""))</f>
        <v/>
      </c>
      <c r="AC55" s="60"/>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
      </c>
      <c r="AF55" s="20" t="str">
        <f>IF(AC55="","",IFERROR(VLOOKUP(AC55,tblDisciplines[],12,FALSE),VLOOKUP(AC55,tblPacts[],5,FALSE)))</f>
        <v/>
      </c>
      <c r="AI55" s="15" t="s">
        <v>245</v>
      </c>
      <c r="AJ55" s="61">
        <f t="shared" si="4"/>
        <v>0</v>
      </c>
      <c r="AK55" s="61">
        <f>AJ55+IFERROR(INDEX($V$26:$V$38,MATCH(AI55,$E$26:$E$38,0)),0)</f>
        <v>0</v>
      </c>
    </row>
    <row r="56" spans="1:37">
      <c r="A56" s="1" t="s">
        <v>55</v>
      </c>
      <c r="B56" t="str">
        <f ca="1">_xlfn.CONCAT(P75-L223," / ",P75)</f>
        <v>10 / 10</v>
      </c>
      <c r="D56" s="19"/>
      <c r="E56" s="15" t="s">
        <v>37</v>
      </c>
      <c r="F56" s="18"/>
      <c r="G56" s="3"/>
      <c r="H56" s="18"/>
      <c r="I56" s="18"/>
      <c r="L56" s="4"/>
      <c r="M56" s="60"/>
      <c r="N56" s="4"/>
      <c r="O56" s="61">
        <f t="shared" si="10"/>
        <v>0</v>
      </c>
      <c r="P56" s="60">
        <f t="shared" si="8"/>
        <v>0</v>
      </c>
      <c r="R56" s="61">
        <v>5</v>
      </c>
      <c r="T56" s="4"/>
      <c r="U56" s="4"/>
      <c r="V56" s="61">
        <f t="shared" si="9"/>
        <v>0</v>
      </c>
      <c r="W56" s="4"/>
      <c r="Y56" s="15">
        <v>2</v>
      </c>
      <c r="Z56" s="61" t="s">
        <v>239</v>
      </c>
      <c r="AA56" s="60" t="str" cm="1">
        <f t="array" ref="AA56">IF(OR(Y56=0,Y56=""),"",IF(VLOOKUP(Z56,$AI$1:$AJ$58,2,FALSE)&gt;=Y56,INDEX(tblDisciplines[Name],MATCH(1,(tblDisciplines[Discipline]=Z56)*(tblDisciplines[Rank]=Y56),0)),""))</f>
        <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4"/>
        <v>0</v>
      </c>
      <c r="AK56" s="61">
        <f>IF(AJ56=0,IF(COUNTIF($E$42:$E$49,AI56)&gt;0,-3,-1),AJ56)</f>
        <v>-1</v>
      </c>
    </row>
    <row r="57" spans="1:37">
      <c r="A57" s="1" t="s">
        <v>56</v>
      </c>
      <c r="B57" t="str">
        <f ca="1">REPT("□",P75-L223) &amp; REPT("■",20-P75+L223)</f>
        <v>□□□□□□□□□□■■■■■■■■■■</v>
      </c>
      <c r="D57" s="19"/>
      <c r="E57" s="15" t="s">
        <v>38</v>
      </c>
      <c r="F57" s="18"/>
      <c r="G57" s="3"/>
      <c r="H57" s="18"/>
      <c r="I57" s="18"/>
      <c r="L57" s="4">
        <v>1</v>
      </c>
      <c r="M57" s="60"/>
      <c r="N57" s="4"/>
      <c r="O57" s="61">
        <f t="shared" si="10"/>
        <v>0</v>
      </c>
      <c r="P57" s="60">
        <f t="shared" si="8"/>
        <v>1</v>
      </c>
      <c r="R57" s="61">
        <v>5</v>
      </c>
      <c r="T57" s="4"/>
      <c r="U57" s="4"/>
      <c r="V57" s="61">
        <f t="shared" si="9"/>
        <v>0</v>
      </c>
      <c r="W57" s="4"/>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4"/>
        <v>6</v>
      </c>
      <c r="AK57" s="61">
        <f>AJ57</f>
        <v>6</v>
      </c>
    </row>
    <row r="58" spans="1:37">
      <c r="A58" s="1" t="s">
        <v>57</v>
      </c>
      <c r="B58">
        <f ca="1">VLOOKUP(VLOOKUP("Blood Potency", INDIRECT($AH$1),2,FALSE),tblBloodPotency[#Data],3,FALSE)</f>
        <v>1</v>
      </c>
      <c r="D58" s="19"/>
      <c r="E58" s="15" t="s">
        <v>39</v>
      </c>
      <c r="F58" s="18"/>
      <c r="G58" s="3"/>
      <c r="H58" s="18"/>
      <c r="I58" s="18"/>
      <c r="L58" s="4">
        <v>1</v>
      </c>
      <c r="M58" s="60"/>
      <c r="N58" s="4"/>
      <c r="O58" s="61">
        <f t="shared" si="10"/>
        <v>0</v>
      </c>
      <c r="P58" s="60">
        <f t="shared" si="8"/>
        <v>1</v>
      </c>
      <c r="R58" s="61">
        <v>5</v>
      </c>
      <c r="T58" s="4"/>
      <c r="U58" s="4"/>
      <c r="V58" s="61">
        <f t="shared" si="9"/>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4"/>
        <v>2</v>
      </c>
      <c r="AK58" s="61">
        <f>AJ58+IFERROR(INDEX($V$26:$V$38,MATCH(AI58,$E$26:$E$38,0)),0)</f>
        <v>2</v>
      </c>
    </row>
    <row r="59" spans="1:37">
      <c r="A59" s="1" t="s">
        <v>58</v>
      </c>
      <c r="B59" t="str">
        <f ca="1">VLOOKUP(VLOOKUP("Blood Potency", INDIRECT($AH$1),2,FALSE),tblBloodPotency[#Data],4,FALSE)</f>
        <v>Animals</v>
      </c>
      <c r="D59" s="19"/>
      <c r="E59" s="15" t="s">
        <v>40</v>
      </c>
      <c r="F59" s="18"/>
      <c r="G59" s="3"/>
      <c r="H59" s="18"/>
      <c r="I59" s="18"/>
      <c r="L59" s="4"/>
      <c r="M59" s="60"/>
      <c r="N59" s="4"/>
      <c r="O59" s="61">
        <f t="shared" si="10"/>
        <v>0</v>
      </c>
      <c r="P59" s="60">
        <f t="shared" si="8"/>
        <v>0</v>
      </c>
      <c r="R59" s="61">
        <v>5</v>
      </c>
      <c r="T59" s="4"/>
      <c r="U59" s="4"/>
      <c r="V59" s="61">
        <f t="shared" si="9"/>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1">IFERROR(IF(VLOOKUP(SUBSTITUTE(A60," Spec",""),$E$42:$G$69,3,FALSE)=0,"",VLOOKUP(SUBSTITUTE(A60," Spec",""),$E$42:$G$69,3,FALSE)),"")</f>
        <v/>
      </c>
      <c r="Y60" s="15">
        <v>1</v>
      </c>
      <c r="Z60" s="61" t="s">
        <v>240</v>
      </c>
      <c r="AA60" s="60" t="str" cm="1">
        <f t="array" ref="AA60">IF(OR(Y60=0,Y60=""),"",IF(VLOOKUP(Z60,$AI$1:$AJ$58,2,FALSE)&gt;=Y60,INDEX(tblDisciplines[Name],MATCH(1,(tblDisciplines[Discipline]=Z60)*(tblDisciplines[Rank]=Y60),0)),""))</f>
        <v>Awe</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1"/>
        <v/>
      </c>
      <c r="D61" s="16" t="s">
        <v>1459</v>
      </c>
      <c r="E61" s="17"/>
      <c r="F61" s="17"/>
      <c r="G61" s="17" t="s">
        <v>1467</v>
      </c>
      <c r="H61" s="16" t="s">
        <v>1446</v>
      </c>
      <c r="I61" s="3" t="s">
        <v>1565</v>
      </c>
      <c r="L61" s="60">
        <f>IF(I61="",0,VLOOKUP(I61,tblPriority[#Data],3,FALSE))-SUM(L62:L69)</f>
        <v>0</v>
      </c>
      <c r="Y61" s="15">
        <v>2</v>
      </c>
      <c r="Z61" s="61" t="s">
        <v>240</v>
      </c>
      <c r="AA61" s="60" t="str" cm="1">
        <f t="array" ref="AA61">IF(OR(Y61=0,Y61=""),"",IF(VLOOKUP(Z61,$AI$1:$AJ$58,2,FALSE)&gt;=Y61,INDEX(tblDisciplines[Name],MATCH(1,(tblDisciplines[Discipline]=Z61)*(tblDisciplines[Rank]=Y61),0)),""))</f>
        <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1"/>
        <v/>
      </c>
      <c r="D62" s="18"/>
      <c r="E62" s="15" t="s">
        <v>41</v>
      </c>
      <c r="F62" s="18"/>
      <c r="G62" s="3"/>
      <c r="H62" s="18"/>
      <c r="I62" s="18"/>
      <c r="L62" s="4"/>
      <c r="M62" s="60"/>
      <c r="N62" s="4"/>
      <c r="O62" s="61">
        <f>ROUNDDOWN(N62/2,0)</f>
        <v>0</v>
      </c>
      <c r="P62" s="60">
        <f t="shared" ref="P62:P69" si="12">MIN(SUM(L62,M62,O62),R62)</f>
        <v>0</v>
      </c>
      <c r="R62" s="61">
        <v>5</v>
      </c>
      <c r="T62" s="4"/>
      <c r="U62" s="4"/>
      <c r="V62" s="61">
        <f t="shared" ref="V62:V69" si="13">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1"/>
        <v/>
      </c>
      <c r="D63" s="19"/>
      <c r="E63" s="15" t="s">
        <v>42</v>
      </c>
      <c r="F63" s="18"/>
      <c r="G63" s="3"/>
      <c r="H63" s="18"/>
      <c r="I63" s="18"/>
      <c r="L63" s="4">
        <v>3</v>
      </c>
      <c r="M63" s="60"/>
      <c r="N63" s="4"/>
      <c r="O63" s="61">
        <f t="shared" ref="O63:O69" si="14">ROUNDDOWN(N63/2,0)</f>
        <v>0</v>
      </c>
      <c r="P63" s="60">
        <f t="shared" si="12"/>
        <v>3</v>
      </c>
      <c r="R63" s="61">
        <v>5</v>
      </c>
      <c r="T63" s="4"/>
      <c r="U63" s="4"/>
      <c r="V63" s="61">
        <f t="shared" si="13"/>
        <v>0</v>
      </c>
      <c r="W63" s="4"/>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1"/>
        <v/>
      </c>
      <c r="D64" s="19"/>
      <c r="E64" s="15" t="s">
        <v>43</v>
      </c>
      <c r="F64" s="18"/>
      <c r="G64" s="3"/>
      <c r="H64" s="18"/>
      <c r="I64" s="18"/>
      <c r="L64" s="4">
        <v>2</v>
      </c>
      <c r="M64" s="60"/>
      <c r="N64" s="4"/>
      <c r="O64" s="61">
        <f t="shared" si="14"/>
        <v>0</v>
      </c>
      <c r="P64" s="60">
        <f t="shared" si="12"/>
        <v>2</v>
      </c>
      <c r="R64" s="61">
        <v>5</v>
      </c>
      <c r="T64" s="4"/>
      <c r="U64" s="4"/>
      <c r="V64" s="61">
        <f t="shared" si="13"/>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1"/>
        <v>Vodun</v>
      </c>
      <c r="D65" s="19"/>
      <c r="E65" s="15" t="s">
        <v>44</v>
      </c>
      <c r="F65" s="18"/>
      <c r="G65" s="3"/>
      <c r="H65" s="18"/>
      <c r="I65" s="18"/>
      <c r="L65" s="4">
        <v>3</v>
      </c>
      <c r="M65" s="60"/>
      <c r="N65" s="4"/>
      <c r="O65" s="61">
        <f t="shared" si="14"/>
        <v>0</v>
      </c>
      <c r="P65" s="60">
        <f t="shared" si="12"/>
        <v>3</v>
      </c>
      <c r="R65" s="61">
        <v>5</v>
      </c>
      <c r="T65" s="4"/>
      <c r="U65" s="4"/>
      <c r="V65" s="61">
        <f t="shared" si="13"/>
        <v>0</v>
      </c>
      <c r="W65" s="4"/>
      <c r="Y65" s="15">
        <v>1</v>
      </c>
      <c r="Z65" s="61" t="s">
        <v>241</v>
      </c>
      <c r="AA65" s="60" t="str" cm="1">
        <f t="array" ref="AA65">IF(OR(Y65=0,Y65=""),"",IF(VLOOKUP(Z65,$AI$1:$AJ$58,2,FALSE)&gt;=Y65,INDEX(tblDisciplines[Name],MATCH(1,(tblDisciplines[Discipline]=Z65)*(tblDisciplines[Rank]=Y65),0)),""))</f>
        <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1"/>
        <v/>
      </c>
      <c r="D66" s="19"/>
      <c r="E66" s="15" t="s">
        <v>45</v>
      </c>
      <c r="F66" s="18"/>
      <c r="G66" s="3"/>
      <c r="H66" s="18"/>
      <c r="I66" s="18"/>
      <c r="L66" s="4">
        <v>1</v>
      </c>
      <c r="M66" s="60"/>
      <c r="N66" s="4"/>
      <c r="O66" s="61">
        <f t="shared" si="14"/>
        <v>0</v>
      </c>
      <c r="P66" s="60">
        <f t="shared" si="12"/>
        <v>1</v>
      </c>
      <c r="R66" s="61">
        <v>5</v>
      </c>
      <c r="T66" s="4"/>
      <c r="U66" s="4"/>
      <c r="V66" s="61">
        <f t="shared" si="13"/>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1"/>
        <v/>
      </c>
      <c r="D67" s="19"/>
      <c r="E67" s="15" t="s">
        <v>46</v>
      </c>
      <c r="F67" s="18"/>
      <c r="G67" s="3"/>
      <c r="H67" s="18"/>
      <c r="I67" s="18"/>
      <c r="L67" s="4">
        <v>1</v>
      </c>
      <c r="M67" s="60"/>
      <c r="N67" s="4"/>
      <c r="O67" s="61">
        <f t="shared" si="14"/>
        <v>0</v>
      </c>
      <c r="P67" s="60">
        <f t="shared" si="12"/>
        <v>1</v>
      </c>
      <c r="R67" s="61">
        <v>5</v>
      </c>
      <c r="T67" s="4"/>
      <c r="U67" s="4"/>
      <c r="V67" s="61">
        <f t="shared" si="13"/>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1"/>
        <v/>
      </c>
      <c r="D68" s="18"/>
      <c r="E68" s="15" t="s">
        <v>47</v>
      </c>
      <c r="F68" s="18"/>
      <c r="G68" s="3"/>
      <c r="H68" s="18"/>
      <c r="I68" s="18"/>
      <c r="L68" s="4"/>
      <c r="M68" s="60"/>
      <c r="N68" s="4"/>
      <c r="O68" s="61">
        <f t="shared" si="14"/>
        <v>0</v>
      </c>
      <c r="P68" s="60">
        <f t="shared" si="12"/>
        <v>0</v>
      </c>
      <c r="R68" s="61">
        <v>5</v>
      </c>
      <c r="T68" s="4"/>
      <c r="U68" s="4"/>
      <c r="V68" s="61">
        <f t="shared" si="13"/>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1"/>
        <v>Tooth &amp; Claw</v>
      </c>
      <c r="D69" s="18"/>
      <c r="E69" s="15" t="s">
        <v>48</v>
      </c>
      <c r="F69" s="18"/>
      <c r="G69" s="3" t="s">
        <v>499</v>
      </c>
      <c r="H69" s="18"/>
      <c r="I69" s="18"/>
      <c r="L69" s="4">
        <v>1</v>
      </c>
      <c r="M69" s="60"/>
      <c r="N69" s="4"/>
      <c r="O69" s="61">
        <f t="shared" si="14"/>
        <v>0</v>
      </c>
      <c r="P69" s="60">
        <f t="shared" si="12"/>
        <v>1</v>
      </c>
      <c r="R69" s="61">
        <v>5</v>
      </c>
      <c r="T69" s="4">
        <v>1</v>
      </c>
      <c r="U69" s="4"/>
      <c r="V69" s="61">
        <f t="shared" si="13"/>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1"/>
        <v/>
      </c>
      <c r="Y70" s="15">
        <v>1</v>
      </c>
      <c r="Z70" s="61" t="s">
        <v>242</v>
      </c>
      <c r="AA70" s="60" t="str" cm="1">
        <f t="array" ref="AA70">IF(OR(Y70=0,Y70=""),"",IF(VLOOKUP(Z70,$AI$1:$AJ$58,2,FALSE)&gt;=Y70,INDEX(tblDisciplines[Name],MATCH(1,(tblDisciplines[Discipline]=Z70)*(tblDisciplines[Rank]=Y70),0)),""))</f>
        <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1"/>
        <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1"/>
        <v/>
      </c>
      <c r="D72" s="19"/>
      <c r="E72" s="15" t="s">
        <v>49</v>
      </c>
      <c r="F72" s="19"/>
      <c r="G72" s="19"/>
      <c r="H72" s="19"/>
      <c r="I72" s="19"/>
      <c r="K72" s="4"/>
      <c r="L72" s="4"/>
      <c r="M72" s="60">
        <v>1</v>
      </c>
      <c r="N72" s="4"/>
      <c r="O72" s="61">
        <f>ROUNDDOWN(N72/5,0)</f>
        <v>0</v>
      </c>
      <c r="P72" s="60">
        <f>MIN(SUM(K72*-1,ROUNDDOWN(L72/5,0),M72,O72),R72)</f>
        <v>1</v>
      </c>
      <c r="R72" s="61">
        <v>2</v>
      </c>
      <c r="Y72" s="15">
        <v>3</v>
      </c>
      <c r="Z72" s="61" t="s">
        <v>242</v>
      </c>
      <c r="AA72" s="60" t="str" cm="1">
        <f t="array" ref="AA72">IF(OR(Y72=0,Y72=""),"",IF(VLOOKUP(Z72,$AI$1:$AJ$58,2,FALSE)&gt;=Y72,INDEX(tblDisciplines[Name],MATCH(1,(tblDisciplines[Discipline]=Z72)*(tblDisciplines[Rank]=Y72),0)),""))</f>
        <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1"/>
        <v/>
      </c>
      <c r="D73" s="19"/>
      <c r="E73" s="15" t="s">
        <v>1448</v>
      </c>
      <c r="F73" s="19"/>
      <c r="G73" s="19"/>
      <c r="H73" s="19"/>
      <c r="I73" s="19"/>
      <c r="K73" s="4">
        <v>2</v>
      </c>
      <c r="M73" s="60">
        <v>7</v>
      </c>
      <c r="N73" s="4"/>
      <c r="O73" s="61">
        <f>ROUNDDOWN(N73/2,0)</f>
        <v>0</v>
      </c>
      <c r="P73" s="60">
        <f>MIN(SUM(K73*-1,M73,O73),R73)</f>
        <v>5</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1"/>
        <v/>
      </c>
      <c r="D74" s="19"/>
      <c r="E74" s="15" t="s">
        <v>53</v>
      </c>
      <c r="F74" s="19"/>
      <c r="G74" s="19"/>
      <c r="H74" s="19"/>
      <c r="I74" s="19"/>
      <c r="K74" s="4"/>
      <c r="M74" s="60">
        <f>P28+P38</f>
        <v>6</v>
      </c>
      <c r="N74" s="4"/>
      <c r="O74" s="61">
        <f>N74</f>
        <v>0</v>
      </c>
      <c r="P74" s="60">
        <f>MIN(SUM(K74*-1,M74,O74),R74)</f>
        <v>6</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1"/>
        <v/>
      </c>
      <c r="D75" s="19"/>
      <c r="E75" s="15" t="s">
        <v>55</v>
      </c>
      <c r="F75" s="19"/>
      <c r="G75" s="19"/>
      <c r="H75" s="19"/>
      <c r="I75" s="19"/>
      <c r="P75" s="60">
        <f ca="1">VLOOKUP(VLOOKUP("Blood Potency",INDIRECT($AH$1),2,FALSE),tblBloodPotency[],2,FALSE)</f>
        <v>10</v>
      </c>
      <c r="Y75" s="15">
        <v>1</v>
      </c>
      <c r="Z75" s="61" t="s">
        <v>243</v>
      </c>
      <c r="AA75" s="60" t="str" cm="1">
        <f t="array" ref="AA75">IF(OR(Y75=0,Y75=""),"",IF(VLOOKUP(Z75,$AI$1:$AJ$58,2,FALSE)&gt;=Y75,INDEX(tblDisciplines[Name],MATCH(1,(tblDisciplines[Discipline]=Z75)*(tblDisciplines[Rank]=Y75),0)),""))</f>
        <v>Unmarked Grave</v>
      </c>
    </row>
    <row r="76" spans="1:32">
      <c r="A76" s="1" t="s">
        <v>75</v>
      </c>
      <c r="B76" t="str">
        <f t="shared" si="11"/>
        <v/>
      </c>
      <c r="Y76" s="15">
        <v>2</v>
      </c>
      <c r="Z76" s="61" t="s">
        <v>243</v>
      </c>
      <c r="AA76" s="60" t="str" cm="1">
        <f t="array" ref="AA76">IF(OR(Y76=0,Y76=""),"",IF(VLOOKUP(Z76,$AI$1:$AJ$58,2,FALSE)&gt;=Y76,INDEX(tblDisciplines[Name],MATCH(1,(tblDisciplines[Discipline]=Z76)*(tblDisciplines[Rank]=Y76),0)),""))</f>
        <v>Predatory Aspect</v>
      </c>
    </row>
    <row r="77" spans="1:32" ht="15.75" thickBot="1">
      <c r="A77" s="1" t="s">
        <v>76</v>
      </c>
      <c r="B77" t="str">
        <f t="shared" si="11"/>
        <v/>
      </c>
      <c r="D77" s="14" t="s">
        <v>1470</v>
      </c>
      <c r="E77" s="14"/>
      <c r="F77" s="14"/>
      <c r="G77" s="14"/>
      <c r="H77" s="14"/>
      <c r="I77" s="14"/>
      <c r="N77" s="60">
        <f>SUM(N79:N98,N101:N120,N206:N215,N132:N135,N138:N157,N160:N161)</f>
        <v>13</v>
      </c>
      <c r="Y77" s="15">
        <v>3</v>
      </c>
      <c r="Z77" s="61" t="s">
        <v>243</v>
      </c>
      <c r="AA77" s="60" t="str" cm="1">
        <f t="array" ref="AA77">IF(OR(Y77=0,Y77=""),"",IF(VLOOKUP(Z77,$AI$1:$AJ$58,2,FALSE)&gt;=Y77,INDEX(tblDisciplines[Name],MATCH(1,(tblDisciplines[Discipline]=Z77)*(tblDisciplines[Rank]=Y77),0)),""))</f>
        <v>Beast's Skin</v>
      </c>
    </row>
    <row r="78" spans="1:32">
      <c r="A78" s="1" t="s">
        <v>77</v>
      </c>
      <c r="B78" t="str">
        <f t="shared" si="11"/>
        <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1"/>
        <v/>
      </c>
      <c r="D79" s="19"/>
      <c r="E79" s="15" t="s">
        <v>114</v>
      </c>
      <c r="F79" s="3" t="s">
        <v>1569</v>
      </c>
      <c r="G79" s="3"/>
      <c r="H79" s="67" t="str">
        <f>_xlfn.IFNA(IF(VLOOKUP(F79,tblMerits[],6,FALSE)=0,"None",VLOOKUP(F79,tblMerits[],6,FALSE)),"None")</f>
        <v>Crone Status 2 or Invictus Status 2</v>
      </c>
      <c r="I79" s="67"/>
      <c r="L79" s="4">
        <v>1</v>
      </c>
      <c r="M79" s="4"/>
      <c r="N79" s="4"/>
      <c r="O79" s="61">
        <f>N79</f>
        <v>0</v>
      </c>
      <c r="P79" s="60">
        <f t="shared" ref="P79:P98" si="15">MIN(SUM(L79,M79,O79),R79)</f>
        <v>1</v>
      </c>
      <c r="Q79" s="61">
        <f>_xlfn.IFNA(VLOOKUP($F79,tblMerits[],3,FALSE),"")</f>
        <v>1</v>
      </c>
      <c r="R79" s="61">
        <f>_xlfn.IFNA(VLOOKUP($F79,tblMerits[],4,FALSE),"")</f>
        <v>1</v>
      </c>
      <c r="Y79" s="15">
        <v>5</v>
      </c>
      <c r="Z79" s="61" t="s">
        <v>243</v>
      </c>
      <c r="AA79" s="60" t="str" cm="1">
        <f t="array" ref="AA79">IF(OR(Y79=0,Y79=""),"",IF(VLOOKUP(Z79,$AI$1:$AJ$58,2,FALSE)&gt;=Y79,INDEX(tblDisciplines[Name],MATCH(1,(tblDisciplines[Discipline]=Z79)*(tblDisciplines[Rank]=Y79),0)),""))</f>
        <v/>
      </c>
    </row>
    <row r="80" spans="1:32">
      <c r="A80" s="1" t="s">
        <v>79</v>
      </c>
      <c r="B80" t="str">
        <f t="shared" si="11"/>
        <v/>
      </c>
      <c r="D80" s="19"/>
      <c r="E80" s="15" t="s">
        <v>115</v>
      </c>
      <c r="F80" s="3" t="s">
        <v>1568</v>
      </c>
      <c r="G80" s="3"/>
      <c r="H80" s="67" t="str">
        <f>_xlfn.IFNA(IF(VLOOKUP(F80,tblMerits[],6,FALSE)=0,"None",VLOOKUP(F80,tblMerits[],6,FALSE)),"None")</f>
        <v>Presence 3, Expression 3, Crúac 1</v>
      </c>
      <c r="I80" s="67"/>
      <c r="L80" s="4">
        <v>3</v>
      </c>
      <c r="M80" s="4"/>
      <c r="N80" s="4"/>
      <c r="O80" s="61">
        <f t="shared" ref="O80:O98" si="16">N80</f>
        <v>0</v>
      </c>
      <c r="P80" s="60">
        <f t="shared" si="15"/>
        <v>3</v>
      </c>
      <c r="Q80" s="61">
        <f>_xlfn.IFNA(VLOOKUP($F80,tblMerits[],3,FALSE),"")</f>
        <v>3</v>
      </c>
      <c r="R80" s="61">
        <f>_xlfn.IFNA(VLOOKUP($F80,tblMerits[],4,FALSE),"")</f>
        <v>3</v>
      </c>
      <c r="Y80" s="15">
        <f>P173</f>
        <v>0</v>
      </c>
      <c r="Z80" s="61" t="s">
        <v>244</v>
      </c>
      <c r="AA80" s="60" t="str" cm="1">
        <f t="array" ref="AA80">IF(OR(Y80=0,Y80=""),"",IF(VLOOKUP(Z80,$AI$1:$AJ$58,2,FALSE)&gt;=Y80,INDEX(tblDisciplines[Name],MATCH(1,(tblDisciplines[Discipline]=Z80)*(tblDisciplines[Rank]=Y80),0)),""))</f>
        <v/>
      </c>
    </row>
    <row r="81" spans="1:27">
      <c r="A81" s="1" t="s">
        <v>80</v>
      </c>
      <c r="B81" t="str">
        <f t="shared" si="11"/>
        <v/>
      </c>
      <c r="D81" s="58" t="s">
        <v>1571</v>
      </c>
      <c r="E81" s="15" t="s">
        <v>116</v>
      </c>
      <c r="F81" s="3" t="s">
        <v>1589</v>
      </c>
      <c r="G81" s="3"/>
      <c r="H81" s="67" t="str">
        <f>_xlfn.IFNA(IF(VLOOKUP(F81,tblMerits[],6,FALSE)=0,"None",VLOOKUP(F81,tblMerits[],6,FALSE)),"None")</f>
        <v>Composure 3, Manipulation 3, Wits 3</v>
      </c>
      <c r="I81" s="67"/>
      <c r="L81" s="4"/>
      <c r="M81" s="4">
        <v>1</v>
      </c>
      <c r="N81" s="4"/>
      <c r="O81" s="61">
        <f t="shared" si="16"/>
        <v>0</v>
      </c>
      <c r="P81" s="60">
        <f t="shared" si="15"/>
        <v>1</v>
      </c>
      <c r="Q81" s="61">
        <f>_xlfn.IFNA(VLOOKUP($F81,tblMerits[],3,FALSE),"")</f>
        <v>1</v>
      </c>
      <c r="R81" s="61">
        <f>_xlfn.IFNA(VLOOKUP($F81,tblMerits[],4,FALSE),"")</f>
        <v>1</v>
      </c>
      <c r="Y81" s="15">
        <f>P174</f>
        <v>0</v>
      </c>
      <c r="Z81" s="61" t="s">
        <v>245</v>
      </c>
      <c r="AA81" s="60" t="str" cm="1">
        <f t="array" ref="AA81">IF(OR(Y81=0,Y81=""),"",IF(VLOOKUP(Z81,$AI$1:$AJ$58,2,FALSE)&gt;=Y81,INDEX(tblDisciplines[Name],MATCH(1,(tblDisciplines[Discipline]=Z81)*(tblDisciplines[Rank]=Y81),0)),""))</f>
        <v/>
      </c>
    </row>
    <row r="82" spans="1:27">
      <c r="A82" s="1" t="s">
        <v>81</v>
      </c>
      <c r="B82" t="str">
        <f t="shared" si="11"/>
        <v/>
      </c>
      <c r="D82" s="58" t="s">
        <v>1576</v>
      </c>
      <c r="E82" s="15" t="s">
        <v>117</v>
      </c>
      <c r="F82" s="3" t="s">
        <v>1144</v>
      </c>
      <c r="G82" s="3"/>
      <c r="H82" s="67" t="str">
        <f>_xlfn.IFNA(IF(VLOOKUP(F82,tblMerits[],6,FALSE)=0,"None",VLOOKUP(F82,tblMerits[],6,FALSE)),"None")</f>
        <v>Presence 3</v>
      </c>
      <c r="I82" s="67"/>
      <c r="L82" s="4"/>
      <c r="M82" s="4">
        <v>3</v>
      </c>
      <c r="N82" s="4"/>
      <c r="O82" s="61">
        <f t="shared" si="16"/>
        <v>0</v>
      </c>
      <c r="P82" s="60">
        <f t="shared" si="15"/>
        <v>3</v>
      </c>
      <c r="Q82" s="61">
        <f>_xlfn.IFNA(VLOOKUP($F82,tblMerits[],3,FALSE),"")</f>
        <v>3</v>
      </c>
      <c r="R82" s="61">
        <f>_xlfn.IFNA(VLOOKUP($F82,tblMerits[],4,FALSE),"")</f>
        <v>3</v>
      </c>
      <c r="Y82" s="61" t="s">
        <v>1472</v>
      </c>
      <c r="Z82" s="19"/>
      <c r="AA82" s="60" t="str">
        <f>IF(P177="","",F177)</f>
        <v/>
      </c>
    </row>
    <row r="83" spans="1:27">
      <c r="A83" s="1" t="s">
        <v>82</v>
      </c>
      <c r="B83" t="str">
        <f t="shared" si="11"/>
        <v>Put on airs</v>
      </c>
      <c r="D83" s="58" t="s">
        <v>1578</v>
      </c>
      <c r="E83" s="15" t="s">
        <v>118</v>
      </c>
      <c r="F83" s="3" t="s">
        <v>1590</v>
      </c>
      <c r="G83" s="3"/>
      <c r="H83" s="67" t="str">
        <f>_xlfn.IFNA(IF(VLOOKUP(F83,tblMerits[],6,FALSE)=0,"None",VLOOKUP(F83,tblMerits[],6,FALSE)),"None")</f>
        <v>Resolve 3</v>
      </c>
      <c r="I83" s="67"/>
      <c r="L83" s="4"/>
      <c r="M83" s="4">
        <v>2</v>
      </c>
      <c r="N83" s="4"/>
      <c r="O83" s="61">
        <f t="shared" si="16"/>
        <v>0</v>
      </c>
      <c r="P83" s="60">
        <f t="shared" si="15"/>
        <v>2</v>
      </c>
      <c r="Q83" s="61">
        <f>_xlfn.IFNA(VLOOKUP($F83,tblMerits[],3,FALSE),"")</f>
        <v>2</v>
      </c>
      <c r="R83" s="61">
        <f>_xlfn.IFNA(VLOOKUP($F83,tblMerits[],4,FALSE),"")</f>
        <v>2</v>
      </c>
      <c r="Y83" s="61" t="s">
        <v>1472</v>
      </c>
      <c r="Z83" s="19"/>
      <c r="AA83" s="60" t="str">
        <f>IF(P178="","",F178)</f>
        <v/>
      </c>
    </row>
    <row r="84" spans="1:27">
      <c r="A84" s="1" t="s">
        <v>83</v>
      </c>
      <c r="B84">
        <f>P124</f>
        <v>4</v>
      </c>
      <c r="D84" s="19"/>
      <c r="E84" s="15" t="s">
        <v>119</v>
      </c>
      <c r="F84" s="3" t="s">
        <v>1591</v>
      </c>
      <c r="G84" s="3" t="s">
        <v>34</v>
      </c>
      <c r="H84" s="67" t="str">
        <f>_xlfn.IFNA(IF(VLOOKUP(F84,tblMerits[],6,FALSE)=0,"None",VLOOKUP(F84,tblMerits[],6,FALSE)),"None")</f>
        <v>Brawl 1 or Weaponry 1</v>
      </c>
      <c r="I84" s="67"/>
      <c r="L84" s="4"/>
      <c r="M84" s="4"/>
      <c r="N84" s="4">
        <v>1</v>
      </c>
      <c r="O84" s="61">
        <f t="shared" si="16"/>
        <v>1</v>
      </c>
      <c r="P84" s="60">
        <f t="shared" si="15"/>
        <v>1</v>
      </c>
      <c r="Q84" s="61">
        <f>_xlfn.IFNA(VLOOKUP($F84,tblMerits[],3,FALSE),"")</f>
        <v>1</v>
      </c>
      <c r="R84" s="61">
        <f>_xlfn.IFNA(VLOOKUP($F84,tblMerits[],4,FALSE),"")</f>
        <v>1</v>
      </c>
      <c r="Y84" s="61" t="s">
        <v>1472</v>
      </c>
      <c r="Z84" s="19"/>
      <c r="AA84" s="60" t="str">
        <f>IF(P179="","",F179)</f>
        <v/>
      </c>
    </row>
    <row r="85" spans="1:27">
      <c r="A85" s="1" t="s">
        <v>84</v>
      </c>
      <c r="B85">
        <f>P125</f>
        <v>2</v>
      </c>
      <c r="D85" s="19"/>
      <c r="E85" s="15" t="s">
        <v>120</v>
      </c>
      <c r="F85" s="3" t="s">
        <v>1592</v>
      </c>
      <c r="G85" s="3"/>
      <c r="H85" s="67" t="str">
        <f>_xlfn.IFNA(IF(VLOOKUP(F85,tblMerits[],6,FALSE)=0,"None",VLOOKUP(F85,tblMerits[],6,FALSE)),"None")</f>
        <v>None</v>
      </c>
      <c r="I85" s="67"/>
      <c r="L85" s="4"/>
      <c r="M85" s="4"/>
      <c r="N85" s="4">
        <v>2</v>
      </c>
      <c r="O85" s="61">
        <f t="shared" si="16"/>
        <v>2</v>
      </c>
      <c r="P85" s="60">
        <f t="shared" si="15"/>
        <v>2</v>
      </c>
      <c r="Q85" s="61">
        <f>_xlfn.IFNA(VLOOKUP($F85,tblMerits[],3,FALSE),"")</f>
        <v>1</v>
      </c>
      <c r="R85" s="61">
        <f>_xlfn.IFNA(VLOOKUP($F85,tblMerits[],4,FALSE),"")</f>
        <v>4</v>
      </c>
      <c r="Y85" s="61" t="s">
        <v>1472</v>
      </c>
      <c r="Z85" s="19"/>
      <c r="AA85" s="60" t="str">
        <f>IF(P180="","",F180)</f>
        <v/>
      </c>
    </row>
    <row r="86" spans="1:27">
      <c r="A86" s="1" t="s">
        <v>85</v>
      </c>
      <c r="B86">
        <f>P126</f>
        <v>2</v>
      </c>
      <c r="D86" s="19"/>
      <c r="E86" s="15" t="s">
        <v>121</v>
      </c>
      <c r="F86" s="3"/>
      <c r="G86" s="3"/>
      <c r="H86" s="67" t="str">
        <f>_xlfn.IFNA(IF(VLOOKUP(F86,tblMerits[],6,FALSE)=0,"None",VLOOKUP(F86,tblMerits[],6,FALSE)),"None")</f>
        <v>None</v>
      </c>
      <c r="I86" s="67"/>
      <c r="L86" s="4"/>
      <c r="M86" s="4"/>
      <c r="N86" s="4"/>
      <c r="O86" s="61">
        <f t="shared" si="16"/>
        <v>0</v>
      </c>
      <c r="P86" s="60">
        <f t="shared" si="15"/>
        <v>0</v>
      </c>
      <c r="Q86" s="61" t="str">
        <f>_xlfn.IFNA(VLOOKUP($F86,tblMerits[],3,FALSE),"")</f>
        <v/>
      </c>
      <c r="R86" s="61" t="str">
        <f>_xlfn.IFNA(VLOOKUP($F86,tblMerits[],4,FALSE),"")</f>
        <v/>
      </c>
      <c r="Y86" s="61" t="s">
        <v>1472</v>
      </c>
      <c r="Z86" s="19"/>
      <c r="AA86" s="60" t="str">
        <f>IF(P181="","",F181)</f>
        <v/>
      </c>
    </row>
    <row r="87" spans="1:27">
      <c r="A87" s="1" t="s">
        <v>86</v>
      </c>
      <c r="B87" t="str">
        <f>IF(F126="","¬",F126)</f>
        <v>Crone</v>
      </c>
      <c r="D87" s="19"/>
      <c r="E87" s="15" t="s">
        <v>122</v>
      </c>
      <c r="F87" s="3"/>
      <c r="G87" s="3"/>
      <c r="H87" s="67" t="str">
        <f>_xlfn.IFNA(IF(VLOOKUP(F87,tblMerits[],6,FALSE)=0,"None",VLOOKUP(F87,tblMerits[],6,FALSE)),"None")</f>
        <v>None</v>
      </c>
      <c r="I87" s="67"/>
      <c r="L87" s="4"/>
      <c r="M87" s="4"/>
      <c r="N87" s="4"/>
      <c r="O87" s="61">
        <f t="shared" si="16"/>
        <v>0</v>
      </c>
      <c r="P87" s="60">
        <f t="shared" si="15"/>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Creation 1</v>
      </c>
    </row>
    <row r="88" spans="1:27">
      <c r="A88" s="1" t="s">
        <v>87</v>
      </c>
      <c r="B88" t="str">
        <f>REPT("●",P126)</f>
        <v>●●</v>
      </c>
      <c r="D88" s="19"/>
      <c r="E88" s="15" t="s">
        <v>123</v>
      </c>
      <c r="F88" s="3"/>
      <c r="G88" s="3"/>
      <c r="H88" s="67" t="str">
        <f>_xlfn.IFNA(IF(VLOOKUP(F88,tblMerits[],6,FALSE)=0,"None",VLOOKUP(F88,tblMerits[],6,FALSE)),"None")</f>
        <v>None</v>
      </c>
      <c r="I88" s="67"/>
      <c r="L88" s="4"/>
      <c r="M88" s="4"/>
      <c r="N88" s="4"/>
      <c r="O88" s="61">
        <f t="shared" si="16"/>
        <v>0</v>
      </c>
      <c r="P88" s="60">
        <f t="shared" si="15"/>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Carthian</v>
      </c>
      <c r="D89" s="19"/>
      <c r="E89" s="15" t="s">
        <v>124</v>
      </c>
      <c r="F89" s="3"/>
      <c r="G89" s="3"/>
      <c r="H89" s="67" t="str">
        <f>_xlfn.IFNA(IF(VLOOKUP(F89,tblMerits[],6,FALSE)=0,"None",VLOOKUP(F89,tblMerits[],6,FALSE)),"None")</f>
        <v>None</v>
      </c>
      <c r="I89" s="67"/>
      <c r="L89" s="4"/>
      <c r="M89" s="4"/>
      <c r="N89" s="4"/>
      <c r="O89" s="61">
        <f t="shared" si="16"/>
        <v>0</v>
      </c>
      <c r="P89" s="60">
        <f t="shared" si="15"/>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_xlfn.IFNA(IF(VLOOKUP(F90,tblMerits[],6,FALSE)=0,"None",VLOOKUP(F90,tblMerits[],6,FALSE)),"None")</f>
        <v>None</v>
      </c>
      <c r="I90" s="67"/>
      <c r="L90" s="4"/>
      <c r="M90" s="4"/>
      <c r="N90" s="4"/>
      <c r="O90" s="61">
        <f t="shared" si="16"/>
        <v>0</v>
      </c>
      <c r="P90" s="60">
        <f t="shared" si="15"/>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Invictus</v>
      </c>
      <c r="D91" s="19"/>
      <c r="E91" s="15" t="s">
        <v>126</v>
      </c>
      <c r="F91" s="3"/>
      <c r="G91" s="3"/>
      <c r="H91" s="67" t="str">
        <f>_xlfn.IFNA(IF(VLOOKUP(F91,tblMerits[],6,FALSE)=0,"None",VLOOKUP(F91,tblMerits[],6,FALSE)),"None")</f>
        <v>None</v>
      </c>
      <c r="I91" s="67"/>
      <c r="L91" s="4"/>
      <c r="M91" s="4"/>
      <c r="N91" s="4"/>
      <c r="O91" s="61">
        <f t="shared" si="16"/>
        <v>0</v>
      </c>
      <c r="P91" s="60">
        <f t="shared" si="15"/>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6"/>
        <v>0</v>
      </c>
      <c r="P92" s="60">
        <f t="shared" si="15"/>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Destruction 1</v>
      </c>
    </row>
    <row r="93" spans="1:27">
      <c r="A93" s="1" t="s">
        <v>92</v>
      </c>
      <c r="B93" t="str">
        <f>IF(F129="","¬",F129)</f>
        <v>Lance</v>
      </c>
      <c r="D93" s="19"/>
      <c r="E93" s="15" t="s">
        <v>128</v>
      </c>
      <c r="F93" s="3"/>
      <c r="G93" s="3"/>
      <c r="H93" s="67" t="str">
        <f>_xlfn.IFNA(IF(VLOOKUP(F93,tblMerits[],6,FALSE)=0,"None",VLOOKUP(F93,tblMerits[],6,FALSE)),"None")</f>
        <v>None</v>
      </c>
      <c r="I93" s="67"/>
      <c r="L93" s="4"/>
      <c r="M93" s="4"/>
      <c r="N93" s="4"/>
      <c r="O93" s="61">
        <f t="shared" si="16"/>
        <v>0</v>
      </c>
      <c r="P93" s="60">
        <f t="shared" si="15"/>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6"/>
        <v>0</v>
      </c>
      <c r="P94" s="60">
        <f t="shared" si="15"/>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6"/>
        <v>0</v>
      </c>
      <c r="P95" s="60">
        <f t="shared" si="15"/>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6"/>
        <v>0</v>
      </c>
      <c r="P96" s="60">
        <f t="shared" si="15"/>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6"/>
        <v>0</v>
      </c>
      <c r="P97" s="60">
        <f t="shared" si="15"/>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6"/>
        <v>0</v>
      </c>
      <c r="P98" s="60">
        <f t="shared" si="15"/>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Ducen Ducibus</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t="s">
        <v>1593</v>
      </c>
      <c r="G101" s="60" t="str">
        <f>IFERROR(VLOOKUP(F101,tblManoeuvre[],2,FALSE)&amp;" "&amp;VLOOKUP(F101,tblManoeuvre[],3,FALSE),"")</f>
        <v>Riding the Wave 1</v>
      </c>
      <c r="H101" s="67" t="str">
        <f>IFERROR(IF(VLOOKUP(F101,tblManoeuvre[],8,FALSE)=0,"None",VLOOKUP(F101,tblManoeuvre[],8,FALSE)),"None")</f>
        <v>Composure 3, Resolve 3</v>
      </c>
      <c r="I101" s="67"/>
      <c r="L101" s="4"/>
      <c r="M101" s="4"/>
      <c r="N101" s="4">
        <v>1</v>
      </c>
      <c r="O101" s="61">
        <f t="shared" ref="O101:O120" si="17">N101</f>
        <v>1</v>
      </c>
      <c r="P101" s="60">
        <f t="shared" ref="P101:P120" si="18">MIN(SUM(L101,M101,O101),R101)</f>
        <v>1</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
      </c>
      <c r="D102" s="19"/>
      <c r="E102" s="15" t="s">
        <v>1441</v>
      </c>
      <c r="F102" s="3" t="s">
        <v>1594</v>
      </c>
      <c r="G102" s="60" t="str">
        <f>IFERROR(VLOOKUP(F102,tblManoeuvre[],2,FALSE)&amp;" "&amp;VLOOKUP(F102,tblManoeuvre[],3,FALSE),"")</f>
        <v>Riding the Wave 2</v>
      </c>
      <c r="H102" s="67" t="str">
        <f>IFERROR(IF(VLOOKUP(F102,tblManoeuvre[],8,FALSE)=0,"None",VLOOKUP(F102,tblManoeuvre[],8,FALSE)),"None")</f>
        <v>Composure 3, Resolve 3</v>
      </c>
      <c r="I102" s="67"/>
      <c r="L102" s="4"/>
      <c r="M102" s="4"/>
      <c r="N102" s="4">
        <v>1</v>
      </c>
      <c r="O102" s="61">
        <f t="shared" si="17"/>
        <v>1</v>
      </c>
      <c r="P102" s="60">
        <f t="shared" si="18"/>
        <v>1</v>
      </c>
      <c r="Q102" s="61">
        <v>1</v>
      </c>
      <c r="R102" s="61">
        <v>1</v>
      </c>
      <c r="Y102" s="15">
        <v>1</v>
      </c>
      <c r="Z102" s="61" t="s">
        <v>251</v>
      </c>
      <c r="AA102" s="60" t="str" cm="1">
        <f t="array" ref="AA102">IF(VLOOKUP(Z102,$AI$1:$AJ$58,2,FALSE)&gt;=Y102,INDEX(tblDisciplines[Name],MATCH(1,(tblDisciplines[Discipline]=Z102)*(tblDisciplines[Rank]=Y102),0)),"")</f>
        <v>Protection 1</v>
      </c>
    </row>
    <row r="103" spans="1:27">
      <c r="A103" s="1" t="s">
        <v>102</v>
      </c>
      <c r="B103">
        <f>P73</f>
        <v>5</v>
      </c>
      <c r="D103" s="19"/>
      <c r="E103" s="15" t="s">
        <v>1443</v>
      </c>
      <c r="F103" s="3" t="s">
        <v>1595</v>
      </c>
      <c r="G103" s="60" t="str">
        <f>IFERROR(VLOOKUP(F103,tblManoeuvre[],2,FALSE)&amp;" "&amp;VLOOKUP(F103,tblManoeuvre[],3,FALSE),"")</f>
        <v>Riding the Wave 3</v>
      </c>
      <c r="H103" s="67" t="str">
        <f>IFERROR(IF(VLOOKUP(F103,tblManoeuvre[],8,FALSE)=0,"None",VLOOKUP(F103,tblManoeuvre[],8,FALSE)),"None")</f>
        <v>Composure 3, Resolve 3</v>
      </c>
      <c r="I103" s="67"/>
      <c r="L103" s="4"/>
      <c r="M103" s="4"/>
      <c r="N103" s="4">
        <v>1</v>
      </c>
      <c r="O103" s="61">
        <f t="shared" si="17"/>
        <v>1</v>
      </c>
      <c r="P103" s="60">
        <f t="shared" si="18"/>
        <v>1</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t="s">
        <v>1596</v>
      </c>
      <c r="G104" s="60" t="str">
        <f>IFERROR(VLOOKUP(F104,tblManoeuvre[],2,FALSE)&amp;" "&amp;VLOOKUP(F104,tblManoeuvre[],3,FALSE),"")</f>
        <v>Riding the Wave 4</v>
      </c>
      <c r="H104" s="67" t="str">
        <f>IFERROR(IF(VLOOKUP(F104,tblManoeuvre[],8,FALSE)=0,"None",VLOOKUP(F104,tblManoeuvre[],8,FALSE)),"None")</f>
        <v>Composure 3, Resolve 3</v>
      </c>
      <c r="I104" s="67"/>
      <c r="L104" s="4"/>
      <c r="M104" s="4"/>
      <c r="N104" s="4">
        <v>1</v>
      </c>
      <c r="O104" s="61">
        <f t="shared" si="17"/>
        <v>1</v>
      </c>
      <c r="P104" s="60">
        <f t="shared" si="18"/>
        <v>1</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c r="G105" s="60" t="str">
        <f>IFERROR(VLOOKUP(F105,tblManoeuvre[],2,FALSE)&amp;" "&amp;VLOOKUP(F105,tblManoeuvre[],3,FALSE),"")</f>
        <v/>
      </c>
      <c r="H105" s="67" t="str">
        <f>IFERROR(IF(VLOOKUP(F105,tblManoeuvre[],8,FALSE)=0,"None",VLOOKUP(F105,tblManoeuvre[],8,FALSE)),"None")</f>
        <v>None</v>
      </c>
      <c r="I105" s="67"/>
      <c r="L105" s="4"/>
      <c r="M105" s="4"/>
      <c r="N105" s="4"/>
      <c r="O105" s="61">
        <f t="shared" si="17"/>
        <v>0</v>
      </c>
      <c r="P105" s="60">
        <f t="shared" si="18"/>
        <v>0</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IFERROR(VLOOKUP(F106,tblManoeuvre[],2,FALSE)&amp;" "&amp;VLOOKUP(F106,tblManoeuvre[],3,FALSE),"")</f>
        <v/>
      </c>
      <c r="H106" s="67" t="str">
        <f>IFERROR(IF(VLOOKUP(F106,tblManoeuvre[],8,FALSE)=0,"None",VLOOKUP(F106,tblManoeuvre[],8,FALSE)),"None")</f>
        <v>None</v>
      </c>
      <c r="I106" s="67"/>
      <c r="L106" s="4"/>
      <c r="M106" s="4"/>
      <c r="N106" s="4"/>
      <c r="O106" s="61">
        <f t="shared" si="17"/>
        <v>0</v>
      </c>
      <c r="P106" s="60">
        <f t="shared" si="18"/>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IFERROR(VLOOKUP(F107,tblManoeuvre[],2,FALSE)&amp;" "&amp;VLOOKUP(F107,tblManoeuvre[],3,FALSE),"")</f>
        <v/>
      </c>
      <c r="H107" s="67" t="str">
        <f>IFERROR(IF(VLOOKUP(F107,tblManoeuvre[],8,FALSE)=0,"None",VLOOKUP(F107,tblManoeuvre[],8,FALSE)),"None")</f>
        <v>None</v>
      </c>
      <c r="I107" s="67"/>
      <c r="L107" s="4"/>
      <c r="M107" s="4"/>
      <c r="N107" s="4"/>
      <c r="O107" s="61">
        <f t="shared" si="17"/>
        <v>0</v>
      </c>
      <c r="P107" s="60">
        <f t="shared" si="18"/>
        <v>0</v>
      </c>
      <c r="Q107" s="61">
        <v>1</v>
      </c>
      <c r="R107" s="61">
        <v>1</v>
      </c>
      <c r="Y107" s="15">
        <v>1</v>
      </c>
      <c r="Z107" s="61" t="s">
        <v>252</v>
      </c>
      <c r="AA107" s="60" t="str" cm="1">
        <f t="array" ref="AA107">IF(VLOOKUP(Z107,$AI$1:$AJ$58,2,FALSE)&gt;=Y107,INDEX(tblDisciplines[Name],MATCH(1,(tblDisciplines[Discipline]=Z107)*(tblDisciplines[Rank]=Y107),0)),"")</f>
        <v/>
      </c>
    </row>
    <row r="108" spans="1:27">
      <c r="A108" s="1" t="s">
        <v>107</v>
      </c>
      <c r="B108" t="str">
        <f>IF($P$73&gt;=7,"●","○") &amp; IF(F226&lt;&gt;""," (" &amp; F226 &amp; ")","")</f>
        <v>○</v>
      </c>
      <c r="D108" s="19"/>
      <c r="E108" s="15" t="s">
        <v>1452</v>
      </c>
      <c r="F108" s="3"/>
      <c r="G108" s="60" t="str">
        <f>IFERROR(VLOOKUP(F108,tblManoeuvre[],2,FALSE)&amp;" "&amp;VLOOKUP(F108,tblManoeuvre[],3,FALSE),"")</f>
        <v/>
      </c>
      <c r="H108" s="67" t="str">
        <f>IFERROR(IF(VLOOKUP(F108,tblManoeuvre[],8,FALSE)=0,"None",VLOOKUP(F108,tblManoeuvre[],8,FALSE)),"None")</f>
        <v>None</v>
      </c>
      <c r="I108" s="67"/>
      <c r="L108" s="4"/>
      <c r="M108" s="4"/>
      <c r="N108" s="4"/>
      <c r="O108" s="61">
        <f t="shared" si="17"/>
        <v>0</v>
      </c>
      <c r="P108" s="60">
        <f t="shared" si="18"/>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 (Tod Graves (husband))</v>
      </c>
      <c r="D109" s="19"/>
      <c r="E109" s="15" t="s">
        <v>1454</v>
      </c>
      <c r="F109" s="3"/>
      <c r="G109" s="60" t="str">
        <f>IFERROR(VLOOKUP(F109,tblManoeuvre[],2,FALSE)&amp;" "&amp;VLOOKUP(F109,tblManoeuvre[],3,FALSE),"")</f>
        <v/>
      </c>
      <c r="H109" s="67" t="str">
        <f>IFERROR(IF(VLOOKUP(F109,tblManoeuvre[],8,FALSE)=0,"None",VLOOKUP(F109,tblManoeuvre[],8,FALSE)),"None")</f>
        <v>None</v>
      </c>
      <c r="I109" s="67"/>
      <c r="L109" s="4"/>
      <c r="M109" s="4"/>
      <c r="N109" s="4"/>
      <c r="O109" s="61">
        <f t="shared" si="17"/>
        <v>0</v>
      </c>
      <c r="P109" s="60">
        <f t="shared" si="18"/>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 (Good Luck Molly (alligator))</v>
      </c>
      <c r="D110" s="19"/>
      <c r="E110" s="15" t="s">
        <v>1455</v>
      </c>
      <c r="F110" s="3"/>
      <c r="G110" s="60" t="str">
        <f>IFERROR(VLOOKUP(F110,tblManoeuvre[],2,FALSE)&amp;" "&amp;VLOOKUP(F110,tblManoeuvre[],3,FALSE),"")</f>
        <v/>
      </c>
      <c r="H110" s="67" t="str">
        <f>IFERROR(IF(VLOOKUP(F110,tblManoeuvre[],8,FALSE)=0,"None",VLOOKUP(F110,tblManoeuvre[],8,FALSE)),"None")</f>
        <v>None</v>
      </c>
      <c r="I110" s="67"/>
      <c r="L110" s="4"/>
      <c r="M110" s="4"/>
      <c r="N110" s="4"/>
      <c r="O110" s="61">
        <f t="shared" si="17"/>
        <v>0</v>
      </c>
      <c r="P110" s="60">
        <f t="shared" si="18"/>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t="str">
        <f>IFERROR(VLOOKUP(F111,tblManoeuvre[],2,FALSE)&amp;" "&amp;VLOOKUP(F111,tblManoeuvre[],3,FALSE),"")</f>
        <v/>
      </c>
      <c r="H111" s="67" t="str">
        <f>IFERROR(IF(VLOOKUP(F111,tblManoeuvre[],8,FALSE)=0,"None",VLOOKUP(F111,tblManoeuvre[],8,FALSE)),"None")</f>
        <v>None</v>
      </c>
      <c r="I111" s="67"/>
      <c r="L111" s="4"/>
      <c r="M111" s="4"/>
      <c r="N111" s="4"/>
      <c r="O111" s="61">
        <f t="shared" si="17"/>
        <v>0</v>
      </c>
      <c r="P111" s="60">
        <f t="shared" si="18"/>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t="str">
        <f>IFERROR(VLOOKUP(F112,tblManoeuvre[],2,FALSE)&amp;" "&amp;VLOOKUP(F112,tblManoeuvre[],3,FALSE),"")</f>
        <v/>
      </c>
      <c r="H112" s="67" t="str">
        <f>IFERROR(IF(VLOOKUP(F112,tblManoeuvre[],8,FALSE)=0,"None",VLOOKUP(F112,tblManoeuvre[],8,FALSE)),"None")</f>
        <v>None</v>
      </c>
      <c r="I112" s="67"/>
      <c r="L112" s="4"/>
      <c r="M112" s="4"/>
      <c r="N112" s="4"/>
      <c r="O112" s="61">
        <f t="shared" si="17"/>
        <v>0</v>
      </c>
      <c r="P112" s="60">
        <f t="shared" si="18"/>
        <v>0</v>
      </c>
      <c r="Q112" s="61">
        <v>1</v>
      </c>
      <c r="R112" s="61">
        <v>1</v>
      </c>
      <c r="Y112" s="61" t="s">
        <v>1474</v>
      </c>
      <c r="Z112" s="61" t="str">
        <f t="shared" ref="Z112:Z121" si="19">G194</f>
        <v>Cruac</v>
      </c>
      <c r="AA112" s="60" t="str">
        <f t="shared" ref="AA112:AA121" si="20">IF(P194="","",F194)</f>
        <v>Mantle of Amorous Fire</v>
      </c>
    </row>
    <row r="113" spans="1:27">
      <c r="A113" s="1" t="s">
        <v>112</v>
      </c>
      <c r="B113" t="str">
        <f>IF($P$73&gt;=2,"●","○") &amp; IF(F231&lt;&gt;""," (" &amp; F231 &amp; ")","")</f>
        <v>●</v>
      </c>
      <c r="D113" s="19"/>
      <c r="E113" s="15" t="s">
        <v>1458</v>
      </c>
      <c r="F113" s="3"/>
      <c r="G113" s="60" t="str">
        <f>IFERROR(VLOOKUP(F113,tblManoeuvre[],2,FALSE)&amp;" "&amp;VLOOKUP(F113,tblManoeuvre[],3,FALSE),"")</f>
        <v/>
      </c>
      <c r="H113" s="67" t="str">
        <f>IFERROR(IF(VLOOKUP(F113,tblManoeuvre[],8,FALSE)=0,"None",VLOOKUP(F113,tblManoeuvre[],8,FALSE)),"None")</f>
        <v>None</v>
      </c>
      <c r="I113" s="67"/>
      <c r="L113" s="4"/>
      <c r="M113" s="4"/>
      <c r="N113" s="4"/>
      <c r="O113" s="61">
        <f t="shared" si="17"/>
        <v>0</v>
      </c>
      <c r="P113" s="60">
        <f t="shared" si="18"/>
        <v>0</v>
      </c>
      <c r="Q113" s="61">
        <v>1</v>
      </c>
      <c r="R113" s="61">
        <v>1</v>
      </c>
      <c r="Y113" s="61" t="s">
        <v>1474</v>
      </c>
      <c r="Z113" s="61" t="str">
        <f t="shared" si="19"/>
        <v/>
      </c>
      <c r="AA113" s="60" t="str">
        <f t="shared" si="20"/>
        <v/>
      </c>
    </row>
    <row r="114" spans="1:27">
      <c r="A114" s="1" t="s">
        <v>113</v>
      </c>
      <c r="B114" t="str">
        <f>IF($P$73&gt;=1,"●","○") &amp; IF(F232&lt;&gt;""," (" &amp; F232 &amp; ")","")</f>
        <v>●</v>
      </c>
      <c r="D114" s="19"/>
      <c r="E114" s="15" t="s">
        <v>1460</v>
      </c>
      <c r="F114" s="3"/>
      <c r="G114" s="60" t="str">
        <f>IFERROR(VLOOKUP(F114,tblManoeuvre[],2,FALSE)&amp;" "&amp;VLOOKUP(F114,tblManoeuvre[],3,FALSE),"")</f>
        <v/>
      </c>
      <c r="H114" s="67" t="str">
        <f>IFERROR(IF(VLOOKUP(F114,tblManoeuvre[],8,FALSE)=0,"None",VLOOKUP(F114,tblManoeuvre[],8,FALSE)),"None")</f>
        <v>None</v>
      </c>
      <c r="I114" s="67"/>
      <c r="L114" s="4"/>
      <c r="M114" s="4"/>
      <c r="N114" s="4"/>
      <c r="O114" s="61">
        <f t="shared" si="17"/>
        <v>0</v>
      </c>
      <c r="P114" s="60">
        <f t="shared" si="18"/>
        <v>0</v>
      </c>
      <c r="Q114" s="61">
        <v>1</v>
      </c>
      <c r="R114" s="61">
        <v>1</v>
      </c>
      <c r="Y114" s="61" t="s">
        <v>1474</v>
      </c>
      <c r="Z114" s="61" t="str">
        <f t="shared" si="19"/>
        <v/>
      </c>
      <c r="AA114" s="60" t="str">
        <f t="shared" si="20"/>
        <v/>
      </c>
    </row>
    <row r="115" spans="1:27">
      <c r="A115" s="1" t="s">
        <v>114</v>
      </c>
      <c r="B115" t="str">
        <f t="shared" ref="B115:B144" si="21">IF(AD2="","¬",AD2)</f>
        <v>Defensive Combat (Brawl) ●</v>
      </c>
      <c r="D115" s="19"/>
      <c r="E115" s="15" t="s">
        <v>1461</v>
      </c>
      <c r="F115" s="3"/>
      <c r="G115" s="60" t="str">
        <f>IFERROR(VLOOKUP(F115,tblManoeuvre[],2,FALSE)&amp;" "&amp;VLOOKUP(F115,tblManoeuvre[],3,FALSE),"")</f>
        <v/>
      </c>
      <c r="H115" s="67" t="str">
        <f>IFERROR(IF(VLOOKUP(F115,tblManoeuvre[],8,FALSE)=0,"None",VLOOKUP(F115,tblManoeuvre[],8,FALSE)),"None")</f>
        <v>None</v>
      </c>
      <c r="I115" s="67"/>
      <c r="L115" s="4"/>
      <c r="M115" s="4"/>
      <c r="N115" s="4"/>
      <c r="O115" s="61">
        <f t="shared" si="17"/>
        <v>0</v>
      </c>
      <c r="P115" s="60">
        <f t="shared" si="18"/>
        <v>0</v>
      </c>
      <c r="Q115" s="61">
        <v>1</v>
      </c>
      <c r="R115" s="61">
        <v>1</v>
      </c>
      <c r="Y115" s="61" t="s">
        <v>1474</v>
      </c>
      <c r="Z115" s="61" t="str">
        <f t="shared" si="19"/>
        <v/>
      </c>
      <c r="AA115" s="60" t="str">
        <f t="shared" si="20"/>
        <v/>
      </c>
    </row>
    <row r="116" spans="1:27">
      <c r="A116" s="1" t="s">
        <v>115</v>
      </c>
      <c r="B116" t="str">
        <f t="shared" si="21"/>
        <v>Indomitable ●●</v>
      </c>
      <c r="D116" s="19"/>
      <c r="E116" s="15" t="s">
        <v>1462</v>
      </c>
      <c r="F116" s="3"/>
      <c r="G116" s="60" t="str">
        <f>IFERROR(VLOOKUP(F116,tblManoeuvre[],2,FALSE)&amp;" "&amp;VLOOKUP(F116,tblManoeuvre[],3,FALSE),"")</f>
        <v/>
      </c>
      <c r="H116" s="67" t="str">
        <f>IFERROR(IF(VLOOKUP(F116,tblManoeuvre[],8,FALSE)=0,"None",VLOOKUP(F116,tblManoeuvre[],8,FALSE)),"None")</f>
        <v>None</v>
      </c>
      <c r="I116" s="67"/>
      <c r="L116" s="4"/>
      <c r="M116" s="4"/>
      <c r="N116" s="4"/>
      <c r="O116" s="61">
        <f t="shared" si="17"/>
        <v>0</v>
      </c>
      <c r="P116" s="60">
        <f t="shared" si="18"/>
        <v>0</v>
      </c>
      <c r="Q116" s="61">
        <v>1</v>
      </c>
      <c r="R116" s="61">
        <v>1</v>
      </c>
      <c r="Y116" s="61" t="s">
        <v>1474</v>
      </c>
      <c r="Z116" s="61" t="str">
        <f t="shared" si="19"/>
        <v/>
      </c>
      <c r="AA116" s="60" t="str">
        <f t="shared" si="20"/>
        <v/>
      </c>
    </row>
    <row r="117" spans="1:27">
      <c r="A117" s="1" t="s">
        <v>116</v>
      </c>
      <c r="B117" t="str">
        <f t="shared" si="21"/>
        <v>Inspiring ●●●</v>
      </c>
      <c r="D117" s="19"/>
      <c r="E117" s="15" t="s">
        <v>1463</v>
      </c>
      <c r="F117" s="3"/>
      <c r="G117" s="60" t="str">
        <f>IFERROR(VLOOKUP(F117,tblManoeuvre[],2,FALSE)&amp;" "&amp;VLOOKUP(F117,tblManoeuvre[],3,FALSE),"")</f>
        <v/>
      </c>
      <c r="H117" s="67" t="str">
        <f>IFERROR(IF(VLOOKUP(F117,tblManoeuvre[],8,FALSE)=0,"None",VLOOKUP(F117,tblManoeuvre[],8,FALSE)),"None")</f>
        <v>None</v>
      </c>
      <c r="I117" s="67"/>
      <c r="L117" s="4"/>
      <c r="M117" s="4"/>
      <c r="N117" s="4"/>
      <c r="O117" s="61">
        <f t="shared" si="17"/>
        <v>0</v>
      </c>
      <c r="P117" s="60">
        <f t="shared" si="18"/>
        <v>0</v>
      </c>
      <c r="Q117" s="61">
        <v>1</v>
      </c>
      <c r="R117" s="61">
        <v>1</v>
      </c>
      <c r="Y117" s="61" t="s">
        <v>1474</v>
      </c>
      <c r="Z117" s="61" t="str">
        <f t="shared" si="19"/>
        <v/>
      </c>
      <c r="AA117" s="60" t="str">
        <f t="shared" si="20"/>
        <v/>
      </c>
    </row>
    <row r="118" spans="1:27">
      <c r="A118" s="1" t="s">
        <v>117</v>
      </c>
      <c r="B118" t="str">
        <f t="shared" si="21"/>
        <v>Meditative Mind ●●</v>
      </c>
      <c r="D118" s="19"/>
      <c r="E118" s="15" t="s">
        <v>1464</v>
      </c>
      <c r="F118" s="3"/>
      <c r="G118" s="60" t="str">
        <f>IFERROR(VLOOKUP(F118,tblManoeuvre[],2,FALSE)&amp;" "&amp;VLOOKUP(F118,tblManoeuvre[],3,FALSE),"")</f>
        <v/>
      </c>
      <c r="H118" s="67" t="str">
        <f>IFERROR(IF(VLOOKUP(F118,tblManoeuvre[],8,FALSE)=0,"None",VLOOKUP(F118,tblManoeuvre[],8,FALSE)),"None")</f>
        <v>None</v>
      </c>
      <c r="I118" s="67"/>
      <c r="L118" s="4"/>
      <c r="M118" s="4"/>
      <c r="N118" s="4"/>
      <c r="O118" s="61">
        <f t="shared" si="17"/>
        <v>0</v>
      </c>
      <c r="P118" s="60">
        <f t="shared" si="18"/>
        <v>0</v>
      </c>
      <c r="Q118" s="61">
        <v>1</v>
      </c>
      <c r="R118" s="61">
        <v>1</v>
      </c>
      <c r="Y118" s="61" t="s">
        <v>1474</v>
      </c>
      <c r="Z118" s="61" t="str">
        <f t="shared" si="19"/>
        <v/>
      </c>
      <c r="AA118" s="60" t="str">
        <f t="shared" si="20"/>
        <v/>
      </c>
    </row>
    <row r="119" spans="1:27">
      <c r="A119" s="1" t="s">
        <v>118</v>
      </c>
      <c r="B119" t="str">
        <f t="shared" si="21"/>
        <v>Secret Society Junkie ●</v>
      </c>
      <c r="D119" s="19"/>
      <c r="E119" s="15" t="s">
        <v>1466</v>
      </c>
      <c r="F119" s="3"/>
      <c r="G119" s="60" t="str">
        <f>IFERROR(VLOOKUP(F119,tblManoeuvre[],2,FALSE)&amp;" "&amp;VLOOKUP(F119,tblManoeuvre[],3,FALSE),"")</f>
        <v/>
      </c>
      <c r="H119" s="67" t="str">
        <f>IFERROR(IF(VLOOKUP(F119,tblManoeuvre[],8,FALSE)=0,"None",VLOOKUP(F119,tblManoeuvre[],8,FALSE)),"None")</f>
        <v>None</v>
      </c>
      <c r="I119" s="67"/>
      <c r="L119" s="4"/>
      <c r="M119" s="4"/>
      <c r="N119" s="4"/>
      <c r="O119" s="61">
        <f t="shared" si="17"/>
        <v>0</v>
      </c>
      <c r="P119" s="60">
        <f t="shared" si="18"/>
        <v>0</v>
      </c>
      <c r="Q119" s="61">
        <v>1</v>
      </c>
      <c r="R119" s="61">
        <v>1</v>
      </c>
      <c r="Y119" s="61" t="s">
        <v>1474</v>
      </c>
      <c r="Z119" s="61" t="str">
        <f t="shared" si="19"/>
        <v/>
      </c>
      <c r="AA119" s="60" t="str">
        <f t="shared" si="20"/>
        <v/>
      </c>
    </row>
    <row r="120" spans="1:27">
      <c r="A120" s="1" t="s">
        <v>119</v>
      </c>
      <c r="B120" t="str">
        <f t="shared" si="21"/>
        <v>Table Turner ●</v>
      </c>
      <c r="D120" s="19"/>
      <c r="E120" s="15" t="s">
        <v>1468</v>
      </c>
      <c r="F120" s="3"/>
      <c r="G120" s="60" t="str">
        <f>IFERROR(VLOOKUP(F120,tblManoeuvre[],2,FALSE)&amp;" "&amp;VLOOKUP(F120,tblManoeuvre[],3,FALSE),"")</f>
        <v/>
      </c>
      <c r="H120" s="67" t="str">
        <f>IFERROR(IF(VLOOKUP(F120,tblManoeuvre[],8,FALSE)=0,"None",VLOOKUP(F120,tblManoeuvre[],8,FALSE)),"None")</f>
        <v>None</v>
      </c>
      <c r="I120" s="67"/>
      <c r="L120" s="4"/>
      <c r="M120" s="4"/>
      <c r="N120" s="4"/>
      <c r="O120" s="61">
        <f t="shared" si="17"/>
        <v>0</v>
      </c>
      <c r="P120" s="60">
        <f t="shared" si="18"/>
        <v>0</v>
      </c>
      <c r="Q120" s="61">
        <v>1</v>
      </c>
      <c r="R120" s="61">
        <v>1</v>
      </c>
      <c r="Y120" s="61" t="s">
        <v>1474</v>
      </c>
      <c r="Z120" s="61" t="str">
        <f t="shared" si="19"/>
        <v/>
      </c>
      <c r="AA120" s="60" t="str">
        <f t="shared" si="20"/>
        <v/>
      </c>
    </row>
    <row r="121" spans="1:27">
      <c r="A121" s="1" t="s">
        <v>120</v>
      </c>
      <c r="B121" t="str">
        <f t="shared" si="21"/>
        <v>Viral Mythology ●●●</v>
      </c>
      <c r="Y121" s="61" t="s">
        <v>1474</v>
      </c>
      <c r="Z121" s="61" t="str">
        <f t="shared" si="19"/>
        <v/>
      </c>
      <c r="AA121" s="60" t="str">
        <f t="shared" si="20"/>
        <v/>
      </c>
    </row>
    <row r="122" spans="1:27" ht="15.75" thickBot="1">
      <c r="A122" s="1" t="s">
        <v>121</v>
      </c>
      <c r="B122" t="str">
        <f t="shared" si="21"/>
        <v>Riding the Wave ● | Ravage</v>
      </c>
      <c r="D122" s="14" t="s">
        <v>1475</v>
      </c>
      <c r="E122" s="14"/>
      <c r="F122" s="14"/>
      <c r="G122" s="14"/>
      <c r="H122" s="14"/>
      <c r="I122" s="14"/>
    </row>
    <row r="123" spans="1:27">
      <c r="A123" s="1" t="s">
        <v>122</v>
      </c>
      <c r="B123" t="str">
        <f t="shared" si="21"/>
        <v>Riding the Wave ●● | Primal Strength</v>
      </c>
      <c r="D123" s="16" t="s">
        <v>927</v>
      </c>
      <c r="E123" s="17"/>
      <c r="F123" s="17"/>
      <c r="G123" s="17"/>
      <c r="H123" s="17"/>
      <c r="I123" s="17"/>
      <c r="Y123" s="15" t="s">
        <v>1476</v>
      </c>
      <c r="Z123" s="19"/>
      <c r="AA123" s="61" t="str">
        <f t="shared" ref="AA123:AA132" si="22">_xlfn.LET(_xlpm.name,VLOOKUP(Y123,$E$2:$F$362,2,FALSE),_xlpm.paid,_xlfn.IFNA(VLOOKUP(_xlpm.name,$F$121:$Q$215,11,FALSE)&gt;=VLOOKUP(_xlpm.name,$F$121:$Q$215,12,FALSE),FALSE),IF(AND(_xlpm.name&lt;&gt;"",_xlpm.paid),_xlpm.name,""))</f>
        <v/>
      </c>
    </row>
    <row r="124" spans="1:27">
      <c r="A124" s="1" t="s">
        <v>123</v>
      </c>
      <c r="B124" t="str">
        <f t="shared" si="21"/>
        <v>Riding the Wave ●●● | In the Zone</v>
      </c>
      <c r="D124" s="19"/>
      <c r="E124" s="15" t="s">
        <v>83</v>
      </c>
      <c r="F124" s="19"/>
      <c r="G124" s="19"/>
      <c r="H124" s="19"/>
      <c r="I124" s="19"/>
      <c r="L124" s="4">
        <v>3</v>
      </c>
      <c r="M124" s="61">
        <f>IFERROR(VLOOKUP(G12,tblEffectiveStatus[],2,FALSE),0)+IFERROR(VLOOKUP(G13,tblEffectiveStatus[],2,FALSE),0)</f>
        <v>1</v>
      </c>
      <c r="P124" s="60">
        <f>MIN(L124+M124,R124)</f>
        <v>4</v>
      </c>
      <c r="R124" s="61">
        <v>10</v>
      </c>
      <c r="Y124" s="15" t="s">
        <v>1477</v>
      </c>
      <c r="Z124" s="19"/>
      <c r="AA124" s="61" t="str">
        <f t="shared" si="22"/>
        <v/>
      </c>
    </row>
    <row r="125" spans="1:27">
      <c r="A125" s="1" t="s">
        <v>124</v>
      </c>
      <c r="B125" t="str">
        <f t="shared" si="21"/>
        <v>Riding the Wave ●●●● | Unyielding</v>
      </c>
      <c r="D125" s="19"/>
      <c r="E125" s="15" t="str">
        <f>IF(F7="","Clan Status",F7&amp;" Status")</f>
        <v>Gangrel Status</v>
      </c>
      <c r="F125" s="19"/>
      <c r="G125" s="19"/>
      <c r="H125" s="19"/>
      <c r="I125" s="19"/>
      <c r="L125" s="4">
        <v>2</v>
      </c>
      <c r="P125" s="60">
        <f>IF(L125="",0,MIN(L125,R125))</f>
        <v>2</v>
      </c>
      <c r="R125" s="61">
        <v>5</v>
      </c>
      <c r="Y125" s="15" t="s">
        <v>1478</v>
      </c>
      <c r="Z125" s="19"/>
      <c r="AA125" s="61" t="str">
        <f t="shared" si="22"/>
        <v/>
      </c>
    </row>
    <row r="126" spans="1:27">
      <c r="A126" s="1" t="s">
        <v>125</v>
      </c>
      <c r="B126" t="str">
        <f t="shared" si="21"/>
        <v>¬</v>
      </c>
      <c r="D126" s="19"/>
      <c r="E126" s="15" t="str">
        <f>IF(F9="","",F9&amp;" Status")</f>
        <v>Circle of the Crone Status</v>
      </c>
      <c r="F126" s="19" t="str">
        <f>IF(F9="","",VLOOKUP(F9,tblCovenantShortName[#Data],2,FALSE))</f>
        <v>Crone</v>
      </c>
      <c r="G126" s="19"/>
      <c r="H126" s="19"/>
      <c r="I126" s="19"/>
      <c r="L126" s="4">
        <v>2</v>
      </c>
      <c r="P126" s="60">
        <f>L126</f>
        <v>2</v>
      </c>
      <c r="R126" s="61">
        <f>5-SUM(L127:L129)</f>
        <v>5</v>
      </c>
      <c r="Y126" s="15" t="s">
        <v>1479</v>
      </c>
      <c r="Z126" s="19"/>
      <c r="AA126" s="61" t="str">
        <f t="shared" si="22"/>
        <v/>
      </c>
    </row>
    <row r="127" spans="1:27">
      <c r="A127" s="1" t="s">
        <v>126</v>
      </c>
      <c r="B127" t="str">
        <f t="shared" si="21"/>
        <v>¬</v>
      </c>
      <c r="D127" s="19"/>
      <c r="E127" s="15" t="str" cm="1">
        <f t="array" ref="E127">IF(F9="","",IFERROR(INDEX(Lists!$F$2:$F$5,SMALL(IF(Lists!$F$2:$F$5&lt;&gt;$F$9,ROW(Lists!$F$2:$F$5)-ROW(Lists!$F$2)+1),1))&amp;" Status",""))</f>
        <v>Carthian Movement Status</v>
      </c>
      <c r="F127" s="19" t="str" cm="1">
        <f t="array" ref="F127">IF(F9="","",IFERROR(VLOOKUP(INDEX(Lists!$F$2:$F$5,SMALL(IF(Lists!$F$2:$F$5&lt;&gt;$F$9,ROW(Lists!$F$2:$F$5)-ROW(Lists!$F$2)+1),1)),tblCovenantShortName[],2,FALSE),""))</f>
        <v>Carthian</v>
      </c>
      <c r="G127" s="19"/>
      <c r="H127" s="19"/>
      <c r="I127" s="19"/>
      <c r="L127" s="4"/>
      <c r="P127" s="60">
        <f>L127</f>
        <v>0</v>
      </c>
      <c r="R127" s="61">
        <f>MAX(0,MIN(P126-1,5-L126-L128-L129))</f>
        <v>1</v>
      </c>
      <c r="Y127" s="15" t="s">
        <v>1480</v>
      </c>
      <c r="Z127" s="19"/>
      <c r="AA127" s="61" t="str">
        <f t="shared" si="22"/>
        <v/>
      </c>
    </row>
    <row r="128" spans="1:27">
      <c r="A128" s="1" t="s">
        <v>127</v>
      </c>
      <c r="B128" t="str">
        <f t="shared" si="21"/>
        <v>¬</v>
      </c>
      <c r="D128" s="19"/>
      <c r="E128" s="15" t="str" cm="1">
        <f t="array" ref="E128">IF(F9="","",IFERROR(INDEX(Lists!$F$2:$F$5,SMALL(IF(Lists!$F$2:$F$5&lt;&gt;$F$9,ROW(Lists!$F$2:$F$5)-ROW(Lists!$F$2)+1),2))&amp;" Status",""))</f>
        <v>Invictus Status</v>
      </c>
      <c r="F128" s="19" t="str" cm="1">
        <f t="array" ref="F128">IF(F9="","",IFERROR(VLOOKUP(INDEX(Lists!$F$2:$F$5,SMALL(IF(Lists!$F$2:$F$5&lt;&gt;$F$9,ROW(Lists!$F$2:$F$5)-ROW(Lists!$F$2)+1),2)),tblCovenantShortName[],2,FALSE),""))</f>
        <v>Invictus</v>
      </c>
      <c r="G128" s="19"/>
      <c r="H128" s="19"/>
      <c r="I128" s="19"/>
      <c r="L128" s="4"/>
      <c r="P128" s="60">
        <f>L128</f>
        <v>0</v>
      </c>
      <c r="R128" s="61">
        <f>MAX(0,MIN(P126-1,5-L126-L127-L129))</f>
        <v>1</v>
      </c>
      <c r="Y128" s="15" t="s">
        <v>1481</v>
      </c>
      <c r="Z128" s="19"/>
      <c r="AA128" s="61" t="str">
        <f t="shared" si="22"/>
        <v/>
      </c>
    </row>
    <row r="129" spans="1:32">
      <c r="A129" s="1" t="s">
        <v>128</v>
      </c>
      <c r="B129" t="str">
        <f t="shared" si="21"/>
        <v>¬</v>
      </c>
      <c r="D129" s="19"/>
      <c r="E129" s="15" t="str" cm="1">
        <f t="array" ref="E129">IF(F9="","",IFERROR(INDEX(Lists!$F$2:$F$5,SMALL(IF(Lists!$F$2:$F$5&lt;&gt;$F$9,ROW(Lists!$F$2:$F$5)-ROW(Lists!$F$2)+1),3))&amp;" Status",""))</f>
        <v>Lancea et Sanctum Status</v>
      </c>
      <c r="F129" s="19" t="str" cm="1">
        <f t="array" ref="F129">IF(F9="","",IFERROR(VLOOKUP(INDEX(Lists!$F$2:$F$5,SMALL(IF(Lists!$F$2:$F$5&lt;&gt;$F$9,ROW(Lists!$F$2:$F$5)-ROW(Lists!$F$2)+1),3)),tblCovenantShortName[],2,FALSE),""))</f>
        <v>Lance</v>
      </c>
      <c r="G129" s="19"/>
      <c r="H129" s="19"/>
      <c r="I129" s="19"/>
      <c r="L129" s="4"/>
      <c r="P129" s="60">
        <f>L129</f>
        <v>0</v>
      </c>
      <c r="R129" s="61">
        <f>MAX(0,MIN(P126-1,5-L126-L127-L128))</f>
        <v>1</v>
      </c>
      <c r="Y129" s="15" t="s">
        <v>1482</v>
      </c>
      <c r="Z129" s="19"/>
      <c r="AA129" s="61" t="str">
        <f t="shared" si="22"/>
        <v/>
      </c>
    </row>
    <row r="130" spans="1:32">
      <c r="A130" s="1" t="s">
        <v>129</v>
      </c>
      <c r="B130" t="str">
        <f t="shared" si="21"/>
        <v>¬</v>
      </c>
      <c r="Y130" s="15" t="s">
        <v>1483</v>
      </c>
      <c r="Z130" s="19"/>
      <c r="AA130" s="61" t="str">
        <f t="shared" si="22"/>
        <v/>
      </c>
    </row>
    <row r="131" spans="1:32">
      <c r="A131" s="1" t="s">
        <v>130</v>
      </c>
      <c r="B131" t="str">
        <f t="shared" si="21"/>
        <v>¬</v>
      </c>
      <c r="D131" s="16" t="s">
        <v>1475</v>
      </c>
      <c r="E131" s="17"/>
      <c r="F131" s="16" t="s">
        <v>1446</v>
      </c>
      <c r="G131" s="17"/>
      <c r="H131" s="17"/>
      <c r="I131" s="17"/>
      <c r="Y131" s="15" t="s">
        <v>1484</v>
      </c>
      <c r="Z131" s="19"/>
      <c r="AA131" s="61" t="str">
        <f t="shared" si="22"/>
        <v/>
      </c>
    </row>
    <row r="132" spans="1:32">
      <c r="A132" s="1" t="s">
        <v>131</v>
      </c>
      <c r="B132" t="str">
        <f t="shared" si="21"/>
        <v>¬</v>
      </c>
      <c r="D132" s="19"/>
      <c r="E132" s="15" t="s">
        <v>94</v>
      </c>
      <c r="F132" s="3"/>
      <c r="G132" s="19"/>
      <c r="H132" s="19"/>
      <c r="I132" s="19"/>
      <c r="L132" s="4"/>
      <c r="M132" s="4"/>
      <c r="N132" s="4"/>
      <c r="O132" s="61">
        <f>N132</f>
        <v>0</v>
      </c>
      <c r="P132" s="60">
        <f>MIN(SUM(L132,M132,O132),R132)</f>
        <v>0</v>
      </c>
      <c r="Q132" s="61">
        <f>_xlfn.IFNA(VLOOKUP($E132,tblDomain[],3,FALSE),"")</f>
        <v>1</v>
      </c>
      <c r="R132" s="61">
        <f>_xlfn.IFNA(VLOOKUP($E132,tblDomain[],4,FALSE),"")</f>
        <v>5</v>
      </c>
      <c r="Y132" s="15" t="s">
        <v>1485</v>
      </c>
      <c r="Z132" s="19"/>
      <c r="AA132" s="61" t="str">
        <f t="shared" si="22"/>
        <v/>
      </c>
    </row>
    <row r="133" spans="1:32">
      <c r="A133" s="1" t="s">
        <v>132</v>
      </c>
      <c r="B133" t="str">
        <f t="shared" si="21"/>
        <v>¬</v>
      </c>
      <c r="D133" s="19"/>
      <c r="E133" s="15" t="s">
        <v>95</v>
      </c>
      <c r="F133" s="3"/>
      <c r="G133" s="19"/>
      <c r="H133" s="19"/>
      <c r="I133" s="19"/>
      <c r="L133" s="4"/>
      <c r="M133" s="4"/>
      <c r="N133" s="4"/>
      <c r="O133" s="61">
        <f>N133</f>
        <v>0</v>
      </c>
      <c r="P133" s="60">
        <f>MIN(SUM(L133,M133,O133),R133)</f>
        <v>0</v>
      </c>
      <c r="Q133" s="61">
        <f>_xlfn.IFNA(VLOOKUP($E133,tblDomain[],3,FALSE),"")</f>
        <v>1</v>
      </c>
      <c r="R133" s="61">
        <f>_xlfn.IFNA(VLOOKUP($E133,tblDomain[],4,FALSE),"")</f>
        <v>5</v>
      </c>
    </row>
    <row r="134" spans="1:32">
      <c r="A134" s="1" t="s">
        <v>133</v>
      </c>
      <c r="B134" t="str">
        <f t="shared" si="21"/>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3">_xlfn.LET(_xlpm.name,VLOOKUP(Y134,$E$2:$F$362,2,FALSE),_xlpm.note,VLOOKUP(Y134,$E$2:$G$362,3,FALSE),_xlpm.row,MATCH(Y134,$E$138:$E$157,0),_xlpm.dots,INDEX($P$138:$P$157,_xlpm.row),_xlpm.max,INDEX($Q$138:$Q$157,_xlpm.row),_xlpm.paid,_xlfn.IFNA(_xlpm.dots&gt;=_xlpm.max,FALSE),IF(AND(_xlpm.name&lt;&gt;"",_xlpm.paid),IF(_xlpm.note="",_xlpm.name,_xlpm.name&amp;" ("&amp;_xlpm.note&amp;")"),""))</f>
        <v>Allies (High Society)</v>
      </c>
      <c r="AC134" s="60" t="str" cm="1">
        <f t="array" ref="AC134:AC138">_xlfn.LET(_xlpm.raw,IFERROR(_xlfn.VSTACK(IFERROR(_xlfn._xlws.SORT(_xlfn._xlws.FILTER(AA134:AA211,AA134:AA211&lt;&gt;"")),""),IFERROR(_xlfn._xlws.SORT(_xlfn._xlws.FILTER(AA213:AA222,AA213:AA222&lt;&gt;"")),"")),""),_xlpm.sorted,IFERROR(_xlfn._xlws.FILTER(_xlpm.raw,_xlpm.raw&lt;&gt;""),""),IFERROR(LEFT(_xlpm.sorted,FIND(" (",_xlpm.sorted)-1),_xlpm.sorted))</f>
        <v>Allies</v>
      </c>
      <c r="AD134" s="20" t="str" cm="1">
        <f t="array" ref="AD134:AD138">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High Society</v>
      </c>
      <c r="AE134" s="20">
        <f t="shared" ref="AE134:AE153" si="24">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1</v>
      </c>
      <c r="AF134" s="61" cm="1">
        <f t="array" ref="AF134">IF(AC134="","",SUMPRODUCT(($F$138:$F$157=AC134)*($G$138:$G$157=IF(AD134="","",AD134))*$P$138:$P$157))</f>
        <v>3</v>
      </c>
    </row>
    <row r="135" spans="1:32">
      <c r="A135" s="1" t="s">
        <v>134</v>
      </c>
      <c r="B135" t="str">
        <f t="shared" si="21"/>
        <v>¬</v>
      </c>
      <c r="D135" s="58" t="s">
        <v>1575</v>
      </c>
      <c r="E135" s="15" t="s">
        <v>97</v>
      </c>
      <c r="F135" s="19"/>
      <c r="G135" s="19"/>
      <c r="H135" s="19"/>
      <c r="I135" s="19"/>
      <c r="L135" s="4"/>
      <c r="M135" s="4">
        <v>5</v>
      </c>
      <c r="N135" s="4"/>
      <c r="O135" s="61">
        <f>N135</f>
        <v>0</v>
      </c>
      <c r="P135" s="60">
        <f>MIN(SUM(L135,M135,O135),R135)</f>
        <v>5</v>
      </c>
      <c r="Q135" s="61">
        <f>_xlfn.IFNA(VLOOKUP($E135,tblDomain[],3,FALSE),"")</f>
        <v>1</v>
      </c>
      <c r="R135" s="61">
        <f>_xlfn.IFNA(VLOOKUP($E135,tblDomain[],4,FALSE),"")</f>
        <v>5</v>
      </c>
      <c r="Y135" s="15" t="s">
        <v>177</v>
      </c>
      <c r="Z135" s="19"/>
      <c r="AA135" s="61" t="str">
        <f t="shared" si="23"/>
        <v>Allies (Underworld)</v>
      </c>
      <c r="AC135" s="60" t="str">
        <v>Allies</v>
      </c>
      <c r="AD135" s="20" t="str">
        <v>Media</v>
      </c>
      <c r="AE135" s="20">
        <f t="shared" si="24"/>
        <v>1</v>
      </c>
      <c r="AF135" s="61" cm="1">
        <f t="array" ref="AF135">IF(AC135="","",SUMPRODUCT(($F$138:$F$157=AC135)*($G$138:$G$157=IF(AD135="","",AD135))*$P$138:$P$157))</f>
        <v>3</v>
      </c>
    </row>
    <row r="136" spans="1:32">
      <c r="A136" s="1" t="s">
        <v>135</v>
      </c>
      <c r="B136" t="str">
        <f t="shared" si="21"/>
        <v>¬</v>
      </c>
      <c r="Y136" s="15" t="s">
        <v>178</v>
      </c>
      <c r="Z136" s="19"/>
      <c r="AA136" s="61" t="str">
        <f t="shared" si="23"/>
        <v>Allies (Police)</v>
      </c>
      <c r="AC136" s="60" t="str">
        <v>Allies</v>
      </c>
      <c r="AD136" s="20" t="str">
        <v>Police</v>
      </c>
      <c r="AE136" s="20">
        <f t="shared" si="24"/>
        <v>1</v>
      </c>
      <c r="AF136" s="61" cm="1">
        <f t="array" ref="AF136">IF(AC136="","",SUMPRODUCT(($F$138:$F$157=AC136)*($G$138:$G$157=IF(AD136="","",AD136))*$P$138:$P$157))</f>
        <v>3</v>
      </c>
    </row>
    <row r="137" spans="1:32">
      <c r="A137" s="1" t="s">
        <v>136</v>
      </c>
      <c r="B137" t="str">
        <f t="shared" si="21"/>
        <v>¬</v>
      </c>
      <c r="D137" s="16" t="s">
        <v>174</v>
      </c>
      <c r="E137" s="17"/>
      <c r="F137" s="17"/>
      <c r="G137" s="17"/>
      <c r="H137" s="61">
        <f>L225</f>
        <v>0</v>
      </c>
      <c r="I137" s="61">
        <f>SUM(AE134:AE155)+SUM(P125:P129)</f>
        <v>11</v>
      </c>
      <c r="Y137" s="15" t="s">
        <v>179</v>
      </c>
      <c r="Z137" s="19"/>
      <c r="AA137" s="61" t="str">
        <f t="shared" si="23"/>
        <v>Allies (Media)</v>
      </c>
      <c r="AC137" s="60" t="str">
        <v>Allies</v>
      </c>
      <c r="AD137" s="20" t="str">
        <v>Underworld</v>
      </c>
      <c r="AE137" s="20">
        <f t="shared" si="24"/>
        <v>1</v>
      </c>
      <c r="AF137" s="61" cm="1">
        <f t="array" ref="AF137">IF(AC137="","",SUMPRODUCT(($F$138:$F$157=AC137)*($G$138:$G$157=IF(AD137="","",AD137))*$P$138:$P$157))</f>
        <v>3</v>
      </c>
    </row>
    <row r="138" spans="1:32">
      <c r="A138" s="1" t="s">
        <v>137</v>
      </c>
      <c r="B138" t="str">
        <f t="shared" si="21"/>
        <v>¬</v>
      </c>
      <c r="D138" s="58"/>
      <c r="E138" s="15" t="s">
        <v>176</v>
      </c>
      <c r="F138" s="3" t="s">
        <v>412</v>
      </c>
      <c r="G138" s="3" t="s">
        <v>526</v>
      </c>
      <c r="H138" s="67" t="str">
        <f>IFERROR(IF(VLOOKUP(F138,tblManoeuvre[],8,FALSE)=0,"None",VLOOKUP(F138,tblManoeuvre[],8,FALSE)),"None")</f>
        <v>None</v>
      </c>
      <c r="I138" s="67"/>
      <c r="L138" s="4">
        <v>1</v>
      </c>
      <c r="M138" s="4"/>
      <c r="N138" s="4">
        <v>2</v>
      </c>
      <c r="O138" s="61">
        <f t="shared" ref="O138:O157" si="25">N138</f>
        <v>2</v>
      </c>
      <c r="P138" s="60">
        <f t="shared" ref="P138:P157" si="26">MIN(SUM(L138,M138,O138),R138)</f>
        <v>3</v>
      </c>
      <c r="Q138" s="61">
        <f>_xlfn.IFNA(VLOOKUP($F138,tblInfluence[],3,FALSE),"")</f>
        <v>1</v>
      </c>
      <c r="R138" s="61">
        <f>_xlfn.IFNA(VLOOKUP($F138,tblInfluence[],4,FALSE),"")</f>
        <v>5</v>
      </c>
      <c r="Y138" s="15" t="s">
        <v>180</v>
      </c>
      <c r="Z138" s="19"/>
      <c r="AA138" s="61" t="str">
        <f t="shared" si="23"/>
        <v>Resources</v>
      </c>
      <c r="AC138" s="60" t="str">
        <v>Resources</v>
      </c>
      <c r="AD138" s="20" t="str">
        <v/>
      </c>
      <c r="AE138" s="20">
        <f t="shared" si="24"/>
        <v>2</v>
      </c>
      <c r="AF138" s="61" cm="1">
        <f t="array" ref="AF138">IF(AC138="","",SUMPRODUCT(($F$138:$F$157=AC138)*($G$138:$G$157=IF(AD138="","",AD138))*$P$138:$P$157))</f>
        <v>5</v>
      </c>
    </row>
    <row r="139" spans="1:32">
      <c r="A139" s="1" t="s">
        <v>138</v>
      </c>
      <c r="B139" t="str">
        <f t="shared" si="21"/>
        <v>¬</v>
      </c>
      <c r="D139" s="58" t="s">
        <v>1577</v>
      </c>
      <c r="E139" s="15" t="s">
        <v>177</v>
      </c>
      <c r="F139" s="3" t="s">
        <v>412</v>
      </c>
      <c r="G139" s="3" t="s">
        <v>415</v>
      </c>
      <c r="H139" s="67" t="str">
        <f>IFERROR(IF(VLOOKUP(F139,tblManoeuvre[],8,FALSE)=0,"None",VLOOKUP(F139,tblManoeuvre[],8,FALSE)),"None")</f>
        <v>None</v>
      </c>
      <c r="I139" s="67"/>
      <c r="L139" s="4"/>
      <c r="M139" s="4">
        <v>3</v>
      </c>
      <c r="N139" s="4"/>
      <c r="O139" s="61">
        <f t="shared" si="25"/>
        <v>0</v>
      </c>
      <c r="P139" s="60">
        <f t="shared" si="26"/>
        <v>3</v>
      </c>
      <c r="Q139" s="61">
        <f>_xlfn.IFNA(VLOOKUP($F139,tblInfluence[],3,FALSE),"")</f>
        <v>1</v>
      </c>
      <c r="R139" s="61">
        <f>_xlfn.IFNA(VLOOKUP($F139,tblInfluence[],4,FALSE),"")</f>
        <v>5</v>
      </c>
      <c r="Y139" s="15" t="s">
        <v>181</v>
      </c>
      <c r="Z139" s="19"/>
      <c r="AA139" s="61" t="str">
        <f t="shared" si="23"/>
        <v/>
      </c>
      <c r="AC139" s="60"/>
      <c r="AD139" s="20"/>
      <c r="AE139" s="20" t="str">
        <f t="shared" si="24"/>
        <v/>
      </c>
      <c r="AF139" s="61" t="str" cm="1">
        <f t="array" ref="AF139">IF(AC139="","",SUMPRODUCT(($F$138:$F$157=AC139)*($G$138:$G$157=IF(AD139="","",AD139))*$P$138:$P$157))</f>
        <v/>
      </c>
    </row>
    <row r="140" spans="1:32">
      <c r="A140" s="1" t="s">
        <v>139</v>
      </c>
      <c r="B140" t="str">
        <f t="shared" si="21"/>
        <v>¬</v>
      </c>
      <c r="D140" s="58" t="s">
        <v>1579</v>
      </c>
      <c r="E140" s="15" t="s">
        <v>178</v>
      </c>
      <c r="F140" s="3" t="s">
        <v>412</v>
      </c>
      <c r="G140" s="3" t="s">
        <v>528</v>
      </c>
      <c r="H140" s="67" t="str">
        <f>IFERROR(IF(VLOOKUP(F140,tblManoeuvre[],8,FALSE)=0,"None",VLOOKUP(F140,tblManoeuvre[],8,FALSE)),"None")</f>
        <v>None</v>
      </c>
      <c r="I140" s="67"/>
      <c r="L140" s="4"/>
      <c r="M140" s="4">
        <v>3</v>
      </c>
      <c r="N140" s="4"/>
      <c r="O140" s="61">
        <f t="shared" si="25"/>
        <v>0</v>
      </c>
      <c r="P140" s="60">
        <f t="shared" si="26"/>
        <v>3</v>
      </c>
      <c r="Q140" s="61">
        <f>_xlfn.IFNA(VLOOKUP($F140,tblInfluence[],3,FALSE),"")</f>
        <v>1</v>
      </c>
      <c r="R140" s="61">
        <f>_xlfn.IFNA(VLOOKUP($F140,tblInfluence[],4,FALSE),"")</f>
        <v>5</v>
      </c>
      <c r="Y140" s="15" t="s">
        <v>182</v>
      </c>
      <c r="Z140" s="19"/>
      <c r="AA140" s="61" t="str">
        <f t="shared" si="23"/>
        <v/>
      </c>
      <c r="AC140" s="60"/>
      <c r="AD140" s="20"/>
      <c r="AE140" s="20" t="str">
        <f t="shared" si="24"/>
        <v/>
      </c>
      <c r="AF140" s="61" t="str" cm="1">
        <f t="array" ref="AF140">IF(AC140="","",SUMPRODUCT(($F$138:$F$157=AC140)*($G$138:$G$157=IF(AD140="","",AD140))*$P$138:$P$157))</f>
        <v/>
      </c>
    </row>
    <row r="141" spans="1:32">
      <c r="A141" s="1" t="s">
        <v>140</v>
      </c>
      <c r="B141" t="str">
        <f t="shared" si="21"/>
        <v>¬</v>
      </c>
      <c r="D141" s="58" t="s">
        <v>1579</v>
      </c>
      <c r="E141" s="15" t="s">
        <v>179</v>
      </c>
      <c r="F141" s="3" t="s">
        <v>412</v>
      </c>
      <c r="G141" s="3" t="s">
        <v>527</v>
      </c>
      <c r="H141" s="67" t="str">
        <f>IFERROR(IF(VLOOKUP(F141,tblManoeuvre[],8,FALSE)=0,"None",VLOOKUP(F141,tblManoeuvre[],8,FALSE)),"None")</f>
        <v>None</v>
      </c>
      <c r="I141" s="67"/>
      <c r="L141" s="4"/>
      <c r="M141" s="4">
        <v>3</v>
      </c>
      <c r="N141" s="4"/>
      <c r="O141" s="61">
        <f t="shared" si="25"/>
        <v>0</v>
      </c>
      <c r="P141" s="60">
        <f t="shared" si="26"/>
        <v>3</v>
      </c>
      <c r="Q141" s="61">
        <f>_xlfn.IFNA(VLOOKUP($F141,tblInfluence[],3,FALSE),"")</f>
        <v>1</v>
      </c>
      <c r="R141" s="61">
        <f>_xlfn.IFNA(VLOOKUP($F141,tblInfluence[],4,FALSE),"")</f>
        <v>5</v>
      </c>
      <c r="Y141" s="15" t="s">
        <v>183</v>
      </c>
      <c r="Z141" s="19"/>
      <c r="AA141" s="61" t="str">
        <f t="shared" si="23"/>
        <v/>
      </c>
      <c r="AC141" s="60"/>
      <c r="AD141" s="20"/>
      <c r="AE141" s="20" t="str">
        <f t="shared" si="24"/>
        <v/>
      </c>
      <c r="AF141" s="61" t="str" cm="1">
        <f t="array" ref="AF141">IF(AC141="","",SUMPRODUCT(($F$138:$F$157=AC141)*($G$138:$G$157=IF(AD141="","",AD141))*$P$138:$P$157))</f>
        <v/>
      </c>
    </row>
    <row r="142" spans="1:32">
      <c r="A142" s="1" t="s">
        <v>141</v>
      </c>
      <c r="B142" t="str">
        <f t="shared" si="21"/>
        <v>¬</v>
      </c>
      <c r="D142" s="58" t="s">
        <v>1574</v>
      </c>
      <c r="E142" s="15" t="s">
        <v>180</v>
      </c>
      <c r="F142" s="3" t="s">
        <v>525</v>
      </c>
      <c r="G142" s="3"/>
      <c r="H142" s="67" t="str">
        <f>IFERROR(IF(VLOOKUP(F142,tblManoeuvre[],8,FALSE)=0,"None",VLOOKUP(F142,tblManoeuvre[],8,FALSE)),"None")</f>
        <v>None</v>
      </c>
      <c r="I142" s="67"/>
      <c r="L142" s="4"/>
      <c r="M142" s="4">
        <v>1</v>
      </c>
      <c r="N142" s="4">
        <v>4</v>
      </c>
      <c r="O142" s="61">
        <f t="shared" si="25"/>
        <v>4</v>
      </c>
      <c r="P142" s="60">
        <f t="shared" si="26"/>
        <v>5</v>
      </c>
      <c r="Q142" s="61">
        <f>_xlfn.IFNA(VLOOKUP($F142,tblInfluence[],3,FALSE),"")</f>
        <v>1</v>
      </c>
      <c r="R142" s="61">
        <f>_xlfn.IFNA(VLOOKUP($F142,tblInfluence[],4,FALSE),"")</f>
        <v>5</v>
      </c>
      <c r="Y142" s="15" t="s">
        <v>184</v>
      </c>
      <c r="Z142" s="19"/>
      <c r="AA142" s="61" t="str">
        <f t="shared" si="23"/>
        <v/>
      </c>
      <c r="AC142" s="60"/>
      <c r="AD142" s="20"/>
      <c r="AE142" s="20" t="str">
        <f t="shared" si="24"/>
        <v/>
      </c>
      <c r="AF142" s="61" t="str" cm="1">
        <f t="array" ref="AF142">IF(AC142="","",SUMPRODUCT(($F$138:$F$157=AC142)*($G$138:$G$157=IF(AD142="","",AD142))*$P$138:$P$157))</f>
        <v/>
      </c>
    </row>
    <row r="143" spans="1:32">
      <c r="A143" s="1" t="s">
        <v>142</v>
      </c>
      <c r="B143" t="str">
        <f t="shared" si="21"/>
        <v>¬</v>
      </c>
      <c r="D143" s="19"/>
      <c r="E143" s="15" t="s">
        <v>181</v>
      </c>
      <c r="F143" s="3"/>
      <c r="G143" s="3" t="str">
        <f>IFERROR(VLOOKUP(F143,tblManoeuvre[],2,FALSE)&amp;" "&amp;VLOOKUP(F143,tblManoeuvre[],3,FALSE),"")</f>
        <v/>
      </c>
      <c r="H143" s="67" t="str">
        <f>IFERROR(IF(VLOOKUP(F143,tblManoeuvre[],8,FALSE)=0,"None",VLOOKUP(F143,tblManoeuvre[],8,FALSE)),"None")</f>
        <v>None</v>
      </c>
      <c r="I143" s="67"/>
      <c r="L143" s="4"/>
      <c r="M143" s="4"/>
      <c r="N143" s="4"/>
      <c r="O143" s="61">
        <f t="shared" si="25"/>
        <v>0</v>
      </c>
      <c r="P143" s="60">
        <f t="shared" si="26"/>
        <v>0</v>
      </c>
      <c r="Q143" s="61" t="str">
        <f>_xlfn.IFNA(VLOOKUP($F143,tblInfluence[],3,FALSE),"")</f>
        <v/>
      </c>
      <c r="R143" s="61" t="str">
        <f>_xlfn.IFNA(VLOOKUP($F143,tblInfluence[],4,FALSE),"")</f>
        <v/>
      </c>
      <c r="Y143" s="15" t="s">
        <v>185</v>
      </c>
      <c r="Z143" s="19"/>
      <c r="AA143" s="61" t="str">
        <f t="shared" si="23"/>
        <v/>
      </c>
      <c r="AC143" s="60"/>
      <c r="AD143" s="20"/>
      <c r="AE143" s="20" t="str">
        <f t="shared" si="24"/>
        <v/>
      </c>
      <c r="AF143" s="61" t="str" cm="1">
        <f t="array" ref="AF143">IF(AC143="","",SUMPRODUCT(($F$138:$F$157=AC143)*($G$138:$G$157=IF(AD143="","",AD143))*$P$138:$P$157))</f>
        <v/>
      </c>
    </row>
    <row r="144" spans="1:32">
      <c r="A144" s="1" t="s">
        <v>143</v>
      </c>
      <c r="B144" t="str">
        <f t="shared" si="21"/>
        <v>¬</v>
      </c>
      <c r="D144" s="19"/>
      <c r="E144" s="15" t="s">
        <v>182</v>
      </c>
      <c r="F144" s="3"/>
      <c r="G144" s="3"/>
      <c r="H144" s="67" t="str">
        <f>IFERROR(IF(VLOOKUP(F144,tblManoeuvre[],8,FALSE)=0,"None",VLOOKUP(F144,tblManoeuvre[],8,FALSE)),"None")</f>
        <v>None</v>
      </c>
      <c r="I144" s="67"/>
      <c r="L144" s="4"/>
      <c r="M144" s="4"/>
      <c r="N144" s="4"/>
      <c r="O144" s="61">
        <f t="shared" si="25"/>
        <v>0</v>
      </c>
      <c r="P144" s="60">
        <f t="shared" si="26"/>
        <v>0</v>
      </c>
      <c r="Q144" s="61" t="str">
        <f>_xlfn.IFNA(VLOOKUP($F144,tblInfluence[],3,FALSE),"")</f>
        <v/>
      </c>
      <c r="R144" s="61" t="str">
        <f>_xlfn.IFNA(VLOOKUP($F144,tblInfluence[],4,FALSE),"")</f>
        <v/>
      </c>
      <c r="Y144" s="15" t="s">
        <v>186</v>
      </c>
      <c r="Z144" s="19"/>
      <c r="AA144" s="61" t="str">
        <f t="shared" si="23"/>
        <v/>
      </c>
      <c r="AC144" s="60"/>
      <c r="AD144" s="20"/>
      <c r="AE144" s="20" t="str">
        <f t="shared" si="24"/>
        <v/>
      </c>
      <c r="AF144" s="61" t="str" cm="1">
        <f t="array" ref="AF144">IF(AC144="","",SUMPRODUCT(($F$138:$F$157=AC144)*($G$138:$G$157=IF(AD144="","",AD144))*$P$138:$P$157))</f>
        <v/>
      </c>
    </row>
    <row r="145" spans="1:32">
      <c r="A145" s="1" t="s">
        <v>144</v>
      </c>
      <c r="B145" t="str">
        <f t="shared" ref="B145:B174" si="27">IF(AF2="","¬",AF2)</f>
        <v>Substitute chosen Skill for Athletics in Defence, if equipped for that Skill.</v>
      </c>
      <c r="D145" s="19"/>
      <c r="E145" s="15" t="s">
        <v>183</v>
      </c>
      <c r="F145" s="3"/>
      <c r="G145" s="3" t="str">
        <f>IFERROR(VLOOKUP(F145,tblManoeuvre[],2,FALSE)&amp;" "&amp;VLOOKUP(F145,tblManoeuvre[],3,FALSE),"")</f>
        <v/>
      </c>
      <c r="H145" s="67" t="str">
        <f>IFERROR(IF(VLOOKUP(F145,tblManoeuvre[],8,FALSE)=0,"None",VLOOKUP(F145,tblManoeuvre[],8,FALSE)),"None")</f>
        <v>None</v>
      </c>
      <c r="I145" s="67"/>
      <c r="L145" s="4"/>
      <c r="M145" s="4"/>
      <c r="N145" s="4"/>
      <c r="O145" s="61">
        <f t="shared" si="25"/>
        <v>0</v>
      </c>
      <c r="P145" s="60">
        <f t="shared" si="26"/>
        <v>0</v>
      </c>
      <c r="Q145" s="61" t="str">
        <f>_xlfn.IFNA(VLOOKUP($F145,tblInfluence[],3,FALSE),"")</f>
        <v/>
      </c>
      <c r="R145" s="61" t="str">
        <f>_xlfn.IFNA(VLOOKUP($F145,tblInfluence[],4,FALSE),"")</f>
        <v/>
      </c>
      <c r="Y145" s="15" t="s">
        <v>187</v>
      </c>
      <c r="Z145" s="19"/>
      <c r="AA145" s="61" t="str">
        <f t="shared" si="23"/>
        <v/>
      </c>
      <c r="AC145" s="60"/>
      <c r="AD145" s="20"/>
      <c r="AE145" s="20" t="str">
        <f t="shared" si="24"/>
        <v/>
      </c>
      <c r="AF145" s="61" t="str" cm="1">
        <f t="array" ref="AF145">IF(AC145="","",SUMPRODUCT(($F$138:$F$157=AC145)*($G$138:$G$157=IF(AD145="","",AD145))*$P$138:$P$157))</f>
        <v/>
      </c>
    </row>
    <row r="146" spans="1:32">
      <c r="A146" s="1" t="s">
        <v>145</v>
      </c>
      <c r="B146" t="str">
        <f t="shared" si="27"/>
        <v>+2 to contest or resist supernatural mental influence.</v>
      </c>
      <c r="D146" s="19"/>
      <c r="E146" s="15" t="s">
        <v>184</v>
      </c>
      <c r="F146" s="3"/>
      <c r="G146" s="3" t="str">
        <f>IFERROR(VLOOKUP(F146,tblManoeuvre[],2,FALSE)&amp;" "&amp;VLOOKUP(F146,tblManoeuvre[],3,FALSE),"")</f>
        <v/>
      </c>
      <c r="H146" s="67" t="str">
        <f>IFERROR(IF(VLOOKUP(F146,tblManoeuvre[],8,FALSE)=0,"None",VLOOKUP(F146,tblManoeuvre[],8,FALSE)),"None")</f>
        <v>None</v>
      </c>
      <c r="I146" s="67"/>
      <c r="L146" s="4"/>
      <c r="M146" s="4"/>
      <c r="N146" s="4"/>
      <c r="O146" s="61">
        <f t="shared" si="25"/>
        <v>0</v>
      </c>
      <c r="P146" s="60">
        <f t="shared" si="26"/>
        <v>0</v>
      </c>
      <c r="Q146" s="61" t="str">
        <f>_xlfn.IFNA(VLOOKUP($F146,tblInfluence[],3,FALSE),"")</f>
        <v/>
      </c>
      <c r="R146" s="61" t="str">
        <f>_xlfn.IFNA(VLOOKUP($F146,tblInfluence[],4,FALSE),"")</f>
        <v/>
      </c>
      <c r="Y146" s="15" t="s">
        <v>188</v>
      </c>
      <c r="Z146" s="19"/>
      <c r="AA146" s="61" t="str">
        <f t="shared" si="23"/>
        <v/>
      </c>
      <c r="AC146" s="60"/>
      <c r="AD146" s="20"/>
      <c r="AE146" s="20" t="str">
        <f t="shared" si="24"/>
        <v/>
      </c>
      <c r="AF146" s="61" t="str" cm="1">
        <f t="array" ref="AF146">IF(AC146="","",SUMPRODUCT(($F$138:$F$157=AC146)*($G$138:$G$157=IF(AD146="","",AD146))*$P$138:$P$157))</f>
        <v/>
      </c>
    </row>
    <row r="147" spans="1:32">
      <c r="A147" s="1" t="s">
        <v>146</v>
      </c>
      <c r="B147" t="str">
        <f t="shared" si="27"/>
        <v>Roll Presence + Expression to confer the Inspired Condition.</v>
      </c>
      <c r="D147" s="19"/>
      <c r="E147" s="15" t="s">
        <v>185</v>
      </c>
      <c r="F147" s="3"/>
      <c r="G147" s="3" t="str">
        <f>IFERROR(VLOOKUP(F147,tblManoeuvre[],2,FALSE)&amp;" "&amp;VLOOKUP(F147,tblManoeuvre[],3,FALSE),"")</f>
        <v/>
      </c>
      <c r="H147" s="67" t="str">
        <f>IFERROR(IF(VLOOKUP(F147,tblManoeuvre[],8,FALSE)=0,"None",VLOOKUP(F147,tblManoeuvre[],8,FALSE)),"None")</f>
        <v>None</v>
      </c>
      <c r="I147" s="67"/>
      <c r="L147" s="4"/>
      <c r="M147" s="4"/>
      <c r="N147" s="4"/>
      <c r="O147" s="61">
        <f t="shared" si="25"/>
        <v>0</v>
      </c>
      <c r="P147" s="60">
        <f t="shared" si="26"/>
        <v>0</v>
      </c>
      <c r="Q147" s="61" t="str">
        <f>_xlfn.IFNA(VLOOKUP($F147,tblInfluence[],3,FALSE),"")</f>
        <v/>
      </c>
      <c r="R147" s="61" t="str">
        <f>_xlfn.IFNA(VLOOKUP($F147,tblInfluence[],4,FALSE),"")</f>
        <v/>
      </c>
      <c r="Y147" s="15" t="s">
        <v>189</v>
      </c>
      <c r="Z147" s="19"/>
      <c r="AA147" s="61" t="str">
        <f t="shared" si="23"/>
        <v/>
      </c>
      <c r="AC147" s="60"/>
      <c r="AD147" s="20"/>
      <c r="AE147" s="20" t="str">
        <f t="shared" si="24"/>
        <v/>
      </c>
      <c r="AF147" s="61" t="str" cm="1">
        <f t="array" ref="AF147">IF(AC147="","",SUMPRODUCT(($F$138:$F$157=AC147)*($G$138:$G$157=IF(AD147="","",AD147))*$P$138:$P$157))</f>
        <v/>
      </c>
    </row>
    <row r="148" spans="1:32">
      <c r="A148" s="1" t="s">
        <v>147</v>
      </c>
      <c r="B148" t="str">
        <f t="shared" si="27"/>
        <v>Ignore penalties on meditation. (••) meditation grants +3 Resolve + Composure for the day. (••••) meditation needs only one success.</v>
      </c>
      <c r="D148" s="19"/>
      <c r="E148" s="15" t="s">
        <v>186</v>
      </c>
      <c r="F148" s="3"/>
      <c r="G148" s="3" t="str">
        <f>IFERROR(VLOOKUP(F148,tblManoeuvre[],2,FALSE)&amp;" "&amp;VLOOKUP(F148,tblManoeuvre[],3,FALSE),"")</f>
        <v/>
      </c>
      <c r="H148" s="67" t="str">
        <f>IFERROR(IF(VLOOKUP(F148,tblManoeuvre[],8,FALSE)=0,"None",VLOOKUP(F148,tblManoeuvre[],8,FALSE)),"None")</f>
        <v>None</v>
      </c>
      <c r="I148" s="67"/>
      <c r="L148" s="4"/>
      <c r="M148" s="4"/>
      <c r="N148" s="4"/>
      <c r="O148" s="61">
        <f t="shared" si="25"/>
        <v>0</v>
      </c>
      <c r="P148" s="60">
        <f t="shared" si="26"/>
        <v>0</v>
      </c>
      <c r="Q148" s="61" t="str">
        <f>_xlfn.IFNA(VLOOKUP($F148,tblInfluence[],3,FALSE),"")</f>
        <v/>
      </c>
      <c r="R148" s="61" t="str">
        <f>_xlfn.IFNA(VLOOKUP($F148,tblInfluence[],4,FALSE),"")</f>
        <v/>
      </c>
      <c r="Y148" s="15" t="s">
        <v>190</v>
      </c>
      <c r="Z148" s="19"/>
      <c r="AA148" s="61" t="str">
        <f t="shared" si="23"/>
        <v/>
      </c>
      <c r="AC148" s="60"/>
      <c r="AD148" s="20"/>
      <c r="AE148" s="20" t="str">
        <f t="shared" si="24"/>
        <v/>
      </c>
      <c r="AF148" s="61" t="str" cm="1">
        <f t="array" ref="AF148">IF(AC148="","",SUMPRODUCT(($F$138:$F$157=AC148)*($G$138:$G$157=IF(AD148="","",AD148))*$P$138:$P$157))</f>
        <v/>
      </c>
    </row>
    <row r="149" spans="1:32">
      <c r="A149" s="1" t="s">
        <v>148</v>
      </c>
      <c r="B149" t="str">
        <f t="shared" si="27"/>
        <v>Dots in Status or Mystery Cult Initiation representing human secret societies also count as dots of Herd.</v>
      </c>
      <c r="D149" s="19"/>
      <c r="E149" s="15" t="s">
        <v>187</v>
      </c>
      <c r="F149" s="3"/>
      <c r="G149" s="3" t="str">
        <f>IFERROR(VLOOKUP(F149,tblManoeuvre[],2,FALSE)&amp;" "&amp;VLOOKUP(F149,tblManoeuvre[],3,FALSE),"")</f>
        <v/>
      </c>
      <c r="H149" s="67" t="str">
        <f>IFERROR(IF(VLOOKUP(F149,tblManoeuvre[],8,FALSE)=0,"None",VLOOKUP(F149,tblManoeuvre[],8,FALSE)),"None")</f>
        <v>None</v>
      </c>
      <c r="I149" s="67"/>
      <c r="L149" s="4"/>
      <c r="M149" s="4"/>
      <c r="N149" s="4"/>
      <c r="O149" s="61">
        <f t="shared" si="25"/>
        <v>0</v>
      </c>
      <c r="P149" s="60">
        <f t="shared" si="26"/>
        <v>0</v>
      </c>
      <c r="Q149" s="61" t="str">
        <f>_xlfn.IFNA(VLOOKUP($F149,tblInfluence[],3,FALSE),"")</f>
        <v/>
      </c>
      <c r="R149" s="61" t="str">
        <f>_xlfn.IFNA(VLOOKUP($F149,tblInfluence[],4,FALSE),"")</f>
        <v/>
      </c>
      <c r="Y149" s="15" t="s">
        <v>191</v>
      </c>
      <c r="Z149" s="19"/>
      <c r="AA149" s="61" t="str">
        <f t="shared" si="23"/>
        <v/>
      </c>
      <c r="AC149" s="60"/>
      <c r="AD149" s="20"/>
      <c r="AE149" s="20" t="str">
        <f t="shared" si="24"/>
        <v/>
      </c>
      <c r="AF149" s="61" t="str" cm="1">
        <f t="array" ref="AF149">IF(AC149="","",SUMPRODUCT(($F$138:$F$157=AC149)*($G$138:$G$157=IF(AD149="","",AD149))*$P$138:$P$157))</f>
        <v/>
      </c>
    </row>
    <row r="150" spans="1:32">
      <c r="A150" s="1" t="s">
        <v>149</v>
      </c>
      <c r="B150" t="str">
        <f t="shared" si="27"/>
        <v>Spend Willpower to preempt Social Manoeuvring with your own Social action.</v>
      </c>
      <c r="D150" s="19"/>
      <c r="E150" s="15" t="s">
        <v>188</v>
      </c>
      <c r="F150" s="3"/>
      <c r="G150" s="3" t="str">
        <f>IFERROR(VLOOKUP(F150,tblManoeuvre[],2,FALSE)&amp;" "&amp;VLOOKUP(F150,tblManoeuvre[],3,FALSE),"")</f>
        <v/>
      </c>
      <c r="H150" s="67" t="str">
        <f>IFERROR(IF(VLOOKUP(F150,tblManoeuvre[],8,FALSE)=0,"None",VLOOKUP(F150,tblManoeuvre[],8,FALSE)),"None")</f>
        <v>None</v>
      </c>
      <c r="I150" s="67"/>
      <c r="L150" s="4"/>
      <c r="M150" s="4"/>
      <c r="N150" s="4"/>
      <c r="O150" s="61">
        <f t="shared" si="25"/>
        <v>0</v>
      </c>
      <c r="P150" s="60">
        <f t="shared" si="26"/>
        <v>0</v>
      </c>
      <c r="Q150" s="61" t="str">
        <f>_xlfn.IFNA(VLOOKUP($F150,tblInfluence[],3,FALSE),"")</f>
        <v/>
      </c>
      <c r="R150" s="61" t="str">
        <f>_xlfn.IFNA(VLOOKUP($F150,tblInfluence[],4,FALSE),"")</f>
        <v/>
      </c>
      <c r="Y150" s="15" t="s">
        <v>192</v>
      </c>
      <c r="Z150" s="19"/>
      <c r="AA150" s="61" t="str">
        <f t="shared" si="23"/>
        <v/>
      </c>
      <c r="AC150" s="60"/>
      <c r="AD150" s="20"/>
      <c r="AE150" s="20" t="str">
        <f t="shared" si="24"/>
        <v/>
      </c>
      <c r="AF150" s="61" t="str" cm="1">
        <f t="array" ref="AF150">IF(AC150="","",SUMPRODUCT(($F$138:$F$157=AC150)*($G$138:$G$157=IF(AD150="","",AD150))*$P$138:$P$157))</f>
        <v/>
      </c>
    </row>
    <row r="151" spans="1:32">
      <c r="A151" s="1" t="s">
        <v>150</v>
      </c>
      <c r="B151" t="str">
        <f t="shared" si="27"/>
        <v>Presence + Expression vs Wits + Composure to inflict contagious awe. Allies and Herd double their yield.</v>
      </c>
      <c r="D151" s="19"/>
      <c r="E151" s="15" t="s">
        <v>189</v>
      </c>
      <c r="F151" s="3"/>
      <c r="G151" s="3" t="str">
        <f>IFERROR(VLOOKUP(F151,tblManoeuvre[],2,FALSE)&amp;" "&amp;VLOOKUP(F151,tblManoeuvre[],3,FALSE),"")</f>
        <v/>
      </c>
      <c r="H151" s="67" t="str">
        <f>IFERROR(IF(VLOOKUP(F151,tblManoeuvre[],8,FALSE)=0,"None",VLOOKUP(F151,tblManoeuvre[],8,FALSE)),"None")</f>
        <v>None</v>
      </c>
      <c r="I151" s="67"/>
      <c r="L151" s="4"/>
      <c r="M151" s="4"/>
      <c r="N151" s="4"/>
      <c r="O151" s="61">
        <f t="shared" si="25"/>
        <v>0</v>
      </c>
      <c r="P151" s="60">
        <f t="shared" si="26"/>
        <v>0</v>
      </c>
      <c r="Q151" s="61" t="str">
        <f>_xlfn.IFNA(VLOOKUP($F151,tblInfluence[],3,FALSE),"")</f>
        <v/>
      </c>
      <c r="R151" s="61" t="str">
        <f>_xlfn.IFNA(VLOOKUP($F151,tblInfluence[],4,FALSE),"")</f>
        <v/>
      </c>
      <c r="Y151" s="15" t="s">
        <v>193</v>
      </c>
      <c r="Z151" s="19"/>
      <c r="AA151" s="61" t="str">
        <f t="shared" si="23"/>
        <v/>
      </c>
      <c r="AC151" s="60"/>
      <c r="AD151" s="20"/>
      <c r="AE151" s="20" t="str">
        <f t="shared" si="24"/>
        <v/>
      </c>
      <c r="AF151" s="61" t="str" cm="1">
        <f t="array" ref="AF151">IF(AC151="","",SUMPRODUCT(($F$138:$F$157=AC151)*($G$138:$G$157=IF(AD151="","",AD151))*$P$138:$P$157))</f>
        <v/>
      </c>
    </row>
    <row r="152" spans="1:32">
      <c r="A152" s="1" t="s">
        <v>151</v>
      </c>
      <c r="B152" t="str">
        <f t="shared" si="27"/>
        <v>Bite attacks take a 1L weapon rating.</v>
      </c>
      <c r="D152" s="19"/>
      <c r="E152" s="15" t="s">
        <v>190</v>
      </c>
      <c r="F152" s="3"/>
      <c r="G152" s="3" t="str">
        <f>IFERROR(VLOOKUP(F152,tblManoeuvre[],2,FALSE)&amp;" "&amp;VLOOKUP(F152,tblManoeuvre[],3,FALSE),"")</f>
        <v/>
      </c>
      <c r="H152" s="67" t="str">
        <f>IFERROR(IF(VLOOKUP(F152,tblManoeuvre[],8,FALSE)=0,"None",VLOOKUP(F152,tblManoeuvre[],8,FALSE)),"None")</f>
        <v>None</v>
      </c>
      <c r="I152" s="67"/>
      <c r="L152" s="4"/>
      <c r="M152" s="4"/>
      <c r="N152" s="4"/>
      <c r="O152" s="61">
        <f t="shared" si="25"/>
        <v>0</v>
      </c>
      <c r="P152" s="60">
        <f t="shared" si="26"/>
        <v>0</v>
      </c>
      <c r="Q152" s="61" t="str">
        <f>_xlfn.IFNA(VLOOKUP($F152,tblInfluence[],3,FALSE),"")</f>
        <v/>
      </c>
      <c r="R152" s="61" t="str">
        <f>_xlfn.IFNA(VLOOKUP($F152,tblInfluence[],4,FALSE),"")</f>
        <v/>
      </c>
      <c r="Y152" s="15" t="s">
        <v>194</v>
      </c>
      <c r="Z152" s="19"/>
      <c r="AA152" s="61" t="str">
        <f t="shared" si="23"/>
        <v/>
      </c>
      <c r="AC152" s="60"/>
      <c r="AD152" s="20"/>
      <c r="AE152" s="20" t="str">
        <f t="shared" si="24"/>
        <v/>
      </c>
      <c r="AF152" s="61" t="str" cm="1">
        <f t="array" ref="AF152">IF(AC152="","",SUMPRODUCT(($F$138:$F$157=AC152)*($G$138:$G$157=IF(AD152="","",AD152))*$P$138:$P$157))</f>
        <v/>
      </c>
    </row>
    <row r="153" spans="1:32">
      <c r="A153" s="1" t="s">
        <v>152</v>
      </c>
      <c r="B153" t="str">
        <f t="shared" si="27"/>
        <v>Double your Strength bonus from frenzy when lifting, jumping, or destroying objects.</v>
      </c>
      <c r="D153" s="19"/>
      <c r="E153" s="15" t="s">
        <v>191</v>
      </c>
      <c r="F153" s="3"/>
      <c r="G153" s="3" t="str">
        <f>IFERROR(VLOOKUP(F153,tblManoeuvre[],2,FALSE)&amp;" "&amp;VLOOKUP(F153,tblManoeuvre[],3,FALSE),"")</f>
        <v/>
      </c>
      <c r="H153" s="67" t="str">
        <f>IFERROR(IF(VLOOKUP(F153,tblManoeuvre[],8,FALSE)=0,"None",VLOOKUP(F153,tblManoeuvre[],8,FALSE)),"None")</f>
        <v>None</v>
      </c>
      <c r="I153" s="67"/>
      <c r="L153" s="4"/>
      <c r="M153" s="4"/>
      <c r="N153" s="4"/>
      <c r="O153" s="61">
        <f t="shared" si="25"/>
        <v>0</v>
      </c>
      <c r="P153" s="60">
        <f t="shared" si="26"/>
        <v>0</v>
      </c>
      <c r="Q153" s="61" t="str">
        <f>_xlfn.IFNA(VLOOKUP($F153,tblInfluence[],3,FALSE),"")</f>
        <v/>
      </c>
      <c r="R153" s="61" t="str">
        <f>_xlfn.IFNA(VLOOKUP($F153,tblInfluence[],4,FALSE),"")</f>
        <v/>
      </c>
      <c r="Y153" s="15" t="s">
        <v>195</v>
      </c>
      <c r="Z153" s="19"/>
      <c r="AA153" s="61" t="str">
        <f t="shared" si="23"/>
        <v/>
      </c>
      <c r="AC153" s="60"/>
      <c r="AD153" s="20"/>
      <c r="AE153" s="20" t="str">
        <f t="shared" si="24"/>
        <v/>
      </c>
      <c r="AF153" s="61" t="str" cm="1">
        <f t="array" ref="AF153">IF(AC153="","",SUMPRODUCT(($F$138:$F$157=AC153)*($G$138:$G$157=IF(AD153="","",AD153))*$P$138:$P$157))</f>
        <v/>
      </c>
    </row>
    <row r="154" spans="1:32">
      <c r="A154" s="1" t="s">
        <v>153</v>
      </c>
      <c r="B154" t="str">
        <f t="shared" si="27"/>
        <v>When you spend Willpower to ride the wave, you also apply the normal +3 action bonus.</v>
      </c>
      <c r="D154" s="19"/>
      <c r="E154" s="15" t="s">
        <v>192</v>
      </c>
      <c r="F154" s="3"/>
      <c r="G154" s="3" t="str">
        <f>IFERROR(VLOOKUP(F154,tblManoeuvre[],2,FALSE)&amp;" "&amp;VLOOKUP(F154,tblManoeuvre[],3,FALSE),"")</f>
        <v/>
      </c>
      <c r="H154" s="67" t="str">
        <f>IFERROR(IF(VLOOKUP(F154,tblManoeuvre[],8,FALSE)=0,"None",VLOOKUP(F154,tblManoeuvre[],8,FALSE)),"None")</f>
        <v>None</v>
      </c>
      <c r="I154" s="67"/>
      <c r="L154" s="4"/>
      <c r="M154" s="4"/>
      <c r="N154" s="4"/>
      <c r="O154" s="61">
        <f t="shared" si="25"/>
        <v>0</v>
      </c>
      <c r="P154" s="60">
        <f t="shared" si="26"/>
        <v>0</v>
      </c>
      <c r="Q154" s="61" t="str">
        <f>_xlfn.IFNA(VLOOKUP($F154,tblInfluence[],3,FALSE),"")</f>
        <v/>
      </c>
      <c r="R154" s="61" t="str">
        <f>_xlfn.IFNA(VLOOKUP($F154,tblInfluence[],4,FALSE),"")</f>
        <v/>
      </c>
    </row>
    <row r="155" spans="1:32">
      <c r="A155" s="1" t="s">
        <v>154</v>
      </c>
      <c r="B155" t="str">
        <f t="shared" si="27"/>
        <v>After a scene where you rode the wave, recover any Willpower spent to do so.</v>
      </c>
      <c r="D155" s="19"/>
      <c r="E155" s="15" t="s">
        <v>193</v>
      </c>
      <c r="F155" s="3"/>
      <c r="G155" s="3" t="str">
        <f>IFERROR(VLOOKUP(F155,tblManoeuvre[],2,FALSE)&amp;" "&amp;VLOOKUP(F155,tblManoeuvre[],3,FALSE),"")</f>
        <v/>
      </c>
      <c r="H155" s="67" t="str">
        <f>IFERROR(IF(VLOOKUP(F155,tblManoeuvre[],8,FALSE)=0,"None",VLOOKUP(F155,tblManoeuvre[],8,FALSE)),"None")</f>
        <v>None</v>
      </c>
      <c r="I155" s="67"/>
      <c r="L155" s="4"/>
      <c r="M155" s="4"/>
      <c r="N155" s="4"/>
      <c r="O155" s="61">
        <f t="shared" si="25"/>
        <v>0</v>
      </c>
      <c r="P155" s="60">
        <f t="shared" si="26"/>
        <v>0</v>
      </c>
      <c r="Q155" s="61" t="str">
        <f>_xlfn.IFNA(VLOOKUP($F155,tblInfluence[],3,FALSE),"")</f>
        <v/>
      </c>
      <c r="R155" s="61" t="str">
        <f>_xlfn.IFNA(VLOOKUP($F155,tblInfluence[],4,FALSE),"")</f>
        <v/>
      </c>
      <c r="AE155" s="61">
        <f>IF(P160=5,1,0)</f>
        <v>1</v>
      </c>
    </row>
    <row r="156" spans="1:32">
      <c r="A156" s="1" t="s">
        <v>155</v>
      </c>
      <c r="B156" t="str">
        <f t="shared" si="27"/>
        <v>¬</v>
      </c>
      <c r="D156" s="19"/>
      <c r="E156" s="15" t="s">
        <v>194</v>
      </c>
      <c r="F156" s="3"/>
      <c r="G156" s="3" t="str">
        <f>IFERROR(VLOOKUP(F156,tblManoeuvre[],2,FALSE)&amp;" "&amp;VLOOKUP(F156,tblManoeuvre[],3,FALSE),"")</f>
        <v/>
      </c>
      <c r="H156" s="67" t="str">
        <f>IFERROR(IF(VLOOKUP(F156,tblManoeuvre[],8,FALSE)=0,"None",VLOOKUP(F156,tblManoeuvre[],8,FALSE)),"None")</f>
        <v>None</v>
      </c>
      <c r="I156" s="67"/>
      <c r="L156" s="4"/>
      <c r="M156" s="4"/>
      <c r="N156" s="4"/>
      <c r="O156" s="61">
        <f t="shared" si="25"/>
        <v>0</v>
      </c>
      <c r="P156" s="60">
        <f t="shared" si="26"/>
        <v>0</v>
      </c>
      <c r="Q156" s="61" t="str">
        <f>_xlfn.IFNA(VLOOKUP($F156,tblInfluence[],3,FALSE),"")</f>
        <v/>
      </c>
      <c r="R156" s="61" t="str">
        <f>_xlfn.IFNA(VLOOKUP($F156,tblInfluence[],4,FALSE),"")</f>
        <v/>
      </c>
      <c r="AE156" s="61" t="b">
        <f>COUNTIF(AA2:AA21,"*Honey With Vinegar*")&gt;0</f>
        <v>0</v>
      </c>
    </row>
    <row r="157" spans="1:32">
      <c r="A157" s="1" t="s">
        <v>156</v>
      </c>
      <c r="B157" t="str">
        <f t="shared" si="27"/>
        <v>¬</v>
      </c>
      <c r="D157" s="19"/>
      <c r="E157" s="15" t="s">
        <v>195</v>
      </c>
      <c r="F157" s="3"/>
      <c r="G157" s="3" t="str">
        <f>IFERROR(VLOOKUP(F157,tblManoeuvre[],2,FALSE)&amp;" "&amp;VLOOKUP(F157,tblManoeuvre[],3,FALSE),"")</f>
        <v/>
      </c>
      <c r="H157" s="67" t="str">
        <f>IFERROR(IF(VLOOKUP(F157,tblManoeuvre[],8,FALSE)=0,"None",VLOOKUP(F157,tblManoeuvre[],8,FALSE)),"None")</f>
        <v>None</v>
      </c>
      <c r="I157" s="67"/>
      <c r="L157" s="4"/>
      <c r="M157" s="4"/>
      <c r="N157" s="4"/>
      <c r="O157" s="61">
        <f t="shared" si="25"/>
        <v>0</v>
      </c>
      <c r="P157" s="60">
        <f t="shared" si="26"/>
        <v>0</v>
      </c>
      <c r="Q157" s="61" t="str">
        <f>_xlfn.IFNA(VLOOKUP($F157,tblInfluence[],3,FALSE),"")</f>
        <v/>
      </c>
      <c r="R157" s="61" t="str">
        <f>_xlfn.IFNA(VLOOKUP($F157,tblInfluence[],4,FALSE),"")</f>
        <v/>
      </c>
    </row>
    <row r="158" spans="1:32">
      <c r="A158" s="1" t="s">
        <v>157</v>
      </c>
      <c r="B158" t="str">
        <f t="shared" si="27"/>
        <v>¬</v>
      </c>
    </row>
    <row r="159" spans="1:32">
      <c r="A159" s="1" t="s">
        <v>158</v>
      </c>
      <c r="B159" t="str">
        <f t="shared" si="27"/>
        <v>¬</v>
      </c>
      <c r="D159" s="16" t="s">
        <v>1486</v>
      </c>
      <c r="E159" s="17"/>
      <c r="F159" s="17" t="s">
        <v>1487</v>
      </c>
      <c r="G159" s="17"/>
      <c r="H159" s="17"/>
      <c r="I159" s="17"/>
    </row>
    <row r="160" spans="1:32">
      <c r="A160" s="1" t="s">
        <v>159</v>
      </c>
      <c r="B160" t="str">
        <f t="shared" si="27"/>
        <v>¬</v>
      </c>
      <c r="D160" s="19"/>
      <c r="E160" s="15" t="s">
        <v>98</v>
      </c>
      <c r="F160" s="3" t="s">
        <v>500</v>
      </c>
      <c r="G160" s="60"/>
      <c r="H160" s="60"/>
      <c r="I160" s="60"/>
      <c r="L160" s="4">
        <v>5</v>
      </c>
      <c r="M160" s="4"/>
      <c r="N160" s="4"/>
      <c r="O160" s="61">
        <f>N160</f>
        <v>0</v>
      </c>
      <c r="P160" s="60">
        <f>MIN(SUM(L160,M160,O160),R160)</f>
        <v>5</v>
      </c>
      <c r="Q160" s="61">
        <v>1</v>
      </c>
      <c r="R160" s="61">
        <v>5</v>
      </c>
    </row>
    <row r="161" spans="1:18">
      <c r="A161" s="1" t="s">
        <v>160</v>
      </c>
      <c r="B161" t="str">
        <f t="shared" si="27"/>
        <v>¬</v>
      </c>
      <c r="D161" s="19"/>
      <c r="E161" s="15" t="s">
        <v>100</v>
      </c>
      <c r="F161" s="3"/>
      <c r="G161" s="60"/>
      <c r="H161" s="60"/>
      <c r="I161" s="60"/>
      <c r="L161" s="4"/>
      <c r="M161" s="4"/>
      <c r="N161" s="4"/>
      <c r="O161" s="61">
        <f>N161</f>
        <v>0</v>
      </c>
      <c r="P161" s="60">
        <f>MIN(SUM(L161,M161,O161),R161)</f>
        <v>0</v>
      </c>
      <c r="Q161" s="61">
        <v>1</v>
      </c>
      <c r="R161" s="61">
        <v>5</v>
      </c>
    </row>
    <row r="162" spans="1:18">
      <c r="A162" s="1" t="s">
        <v>161</v>
      </c>
      <c r="B162" t="str">
        <f t="shared" si="27"/>
        <v>¬</v>
      </c>
    </row>
    <row r="163" spans="1:18" ht="15.75" thickBot="1">
      <c r="A163" s="1" t="s">
        <v>162</v>
      </c>
      <c r="B163" t="str">
        <f t="shared" si="27"/>
        <v>¬</v>
      </c>
      <c r="D163" s="14" t="s">
        <v>1488</v>
      </c>
      <c r="E163" s="14"/>
      <c r="F163" s="14"/>
      <c r="G163" s="14"/>
      <c r="H163" s="14"/>
      <c r="I163" s="14"/>
      <c r="N163" s="60">
        <f>SUM(N165:N174)+SUM(N177:N181)+SUM(N184:N185)+SUM(N187:N191)+SUM(N194:N203)</f>
        <v>7</v>
      </c>
    </row>
    <row r="164" spans="1:18">
      <c r="A164" s="1" t="s">
        <v>163</v>
      </c>
      <c r="B164" t="str">
        <f t="shared" si="27"/>
        <v>¬</v>
      </c>
      <c r="D164" s="16" t="s">
        <v>1489</v>
      </c>
      <c r="E164" s="15" t="s">
        <v>1490</v>
      </c>
      <c r="F164" s="61" t="str">
        <f>IFERROR(IF($F$8="",VLOOKUP($F$7,tblClans[],5,FALSE),VLOOKUP($F$8,tblBloodlines[],5,FALSE)),"")</f>
        <v>Animalism</v>
      </c>
      <c r="G164" s="61" t="str">
        <f>IFERROR(IF($F$8="",VLOOKUP($F$7,tblClans[],6,FALSE),VLOOKUP($F$8,tblBloodlines[],6,FALSE)),"")</f>
        <v>Protean</v>
      </c>
      <c r="H164" s="61" t="str">
        <f>IFERROR(IF($F$8="",VLOOKUP($F$7,tblClans[],7,FALSE),VLOOKUP($F$8,tblBloodlines[],7,FALSE)),"")</f>
        <v>Resilience</v>
      </c>
      <c r="I164" s="61" t="str">
        <f>IFERROR(IF($F$8="",VLOOKUP($F$7,tblClans[],8,FALSE),VLOOKUP($F$8,tblBloodlines[],8,FALSE)),"")</f>
        <v/>
      </c>
      <c r="L164" s="60">
        <f>3-SUM(L165:L174)-SUM(L184:L185)</f>
        <v>0</v>
      </c>
    </row>
    <row r="165" spans="1:18">
      <c r="A165" s="1" t="s">
        <v>164</v>
      </c>
      <c r="B165" t="str">
        <f t="shared" si="27"/>
        <v>¬</v>
      </c>
      <c r="D165" s="19"/>
      <c r="E165" s="15" t="s">
        <v>236</v>
      </c>
      <c r="F165" s="19"/>
      <c r="G165" s="19"/>
      <c r="H165" s="19"/>
      <c r="I165" s="19"/>
      <c r="L165" s="4"/>
      <c r="N165" s="4"/>
      <c r="O165" s="61">
        <f t="shared" ref="O165:O174" si="28">ROUNDDOWN(IF(COUNTIF($F$164:$I$164,$E165)&gt;0,N165/3,N165/4),0)</f>
        <v>0</v>
      </c>
      <c r="P165" s="60">
        <f>MIN(SUM(L165,O165),R165)</f>
        <v>0</v>
      </c>
      <c r="Q165" s="61">
        <v>0</v>
      </c>
      <c r="R165" s="61">
        <v>5</v>
      </c>
    </row>
    <row r="166" spans="1:18">
      <c r="A166" s="1" t="s">
        <v>165</v>
      </c>
      <c r="B166" t="str">
        <f t="shared" si="27"/>
        <v>¬</v>
      </c>
      <c r="D166" s="19"/>
      <c r="E166" s="15" t="s">
        <v>237</v>
      </c>
      <c r="F166" s="19"/>
      <c r="G166" s="19"/>
      <c r="H166" s="19"/>
      <c r="I166" s="19"/>
      <c r="L166" s="4"/>
      <c r="N166" s="4"/>
      <c r="O166" s="61">
        <f t="shared" si="28"/>
        <v>0</v>
      </c>
      <c r="P166" s="60">
        <f t="shared" ref="P166:P174" si="29">MIN(SUM(L166,O166),R166)</f>
        <v>0</v>
      </c>
      <c r="Q166" s="61">
        <v>0</v>
      </c>
      <c r="R166" s="61">
        <v>5</v>
      </c>
    </row>
    <row r="167" spans="1:18">
      <c r="A167" s="1" t="s">
        <v>166</v>
      </c>
      <c r="B167" t="str">
        <f t="shared" si="27"/>
        <v>¬</v>
      </c>
      <c r="D167" s="19"/>
      <c r="E167" s="15" t="s">
        <v>238</v>
      </c>
      <c r="F167" s="19"/>
      <c r="G167" s="19"/>
      <c r="H167" s="19"/>
      <c r="I167" s="19"/>
      <c r="L167" s="4"/>
      <c r="N167" s="4"/>
      <c r="O167" s="61">
        <f t="shared" si="28"/>
        <v>0</v>
      </c>
      <c r="P167" s="60">
        <f t="shared" si="29"/>
        <v>0</v>
      </c>
      <c r="Q167" s="61">
        <v>0</v>
      </c>
      <c r="R167" s="61">
        <v>5</v>
      </c>
    </row>
    <row r="168" spans="1:18">
      <c r="A168" s="1" t="s">
        <v>167</v>
      </c>
      <c r="B168" t="str">
        <f t="shared" si="27"/>
        <v>¬</v>
      </c>
      <c r="D168" s="19"/>
      <c r="E168" s="15" t="s">
        <v>239</v>
      </c>
      <c r="F168" s="19"/>
      <c r="G168" s="19"/>
      <c r="H168" s="19"/>
      <c r="I168" s="19"/>
      <c r="L168" s="4"/>
      <c r="N168" s="4"/>
      <c r="O168" s="61">
        <f t="shared" si="28"/>
        <v>0</v>
      </c>
      <c r="P168" s="60">
        <f t="shared" si="29"/>
        <v>0</v>
      </c>
      <c r="Q168" s="61">
        <v>0</v>
      </c>
      <c r="R168" s="61">
        <v>5</v>
      </c>
    </row>
    <row r="169" spans="1:18">
      <c r="A169" s="1" t="s">
        <v>168</v>
      </c>
      <c r="B169" t="str">
        <f t="shared" si="27"/>
        <v>¬</v>
      </c>
      <c r="D169" s="19"/>
      <c r="E169" s="15" t="s">
        <v>240</v>
      </c>
      <c r="F169" s="19"/>
      <c r="G169" s="19"/>
      <c r="H169" s="19"/>
      <c r="I169" s="19"/>
      <c r="L169" s="4"/>
      <c r="N169" s="4">
        <v>4</v>
      </c>
      <c r="O169" s="61">
        <f t="shared" si="28"/>
        <v>1</v>
      </c>
      <c r="P169" s="60">
        <f t="shared" si="29"/>
        <v>1</v>
      </c>
      <c r="Q169" s="61">
        <v>0</v>
      </c>
      <c r="R169" s="61">
        <v>5</v>
      </c>
    </row>
    <row r="170" spans="1:18">
      <c r="A170" s="1" t="s">
        <v>169</v>
      </c>
      <c r="B170" t="str">
        <f t="shared" si="27"/>
        <v>¬</v>
      </c>
      <c r="D170" s="19"/>
      <c r="E170" s="15" t="s">
        <v>241</v>
      </c>
      <c r="F170" s="19"/>
      <c r="G170" s="19"/>
      <c r="H170" s="19"/>
      <c r="I170" s="19"/>
      <c r="L170" s="4"/>
      <c r="N170" s="4"/>
      <c r="O170" s="61">
        <f t="shared" si="28"/>
        <v>0</v>
      </c>
      <c r="P170" s="60">
        <f t="shared" si="29"/>
        <v>0</v>
      </c>
      <c r="Q170" s="61">
        <v>0</v>
      </c>
      <c r="R170" s="61">
        <v>5</v>
      </c>
    </row>
    <row r="171" spans="1:18">
      <c r="A171" s="1" t="s">
        <v>170</v>
      </c>
      <c r="B171" t="str">
        <f t="shared" si="27"/>
        <v>¬</v>
      </c>
      <c r="D171" s="19"/>
      <c r="E171" s="15" t="s">
        <v>242</v>
      </c>
      <c r="F171" s="19"/>
      <c r="G171" s="19"/>
      <c r="H171" s="19"/>
      <c r="I171" s="19"/>
      <c r="L171" s="4"/>
      <c r="N171" s="4"/>
      <c r="O171" s="61">
        <f t="shared" si="28"/>
        <v>0</v>
      </c>
      <c r="P171" s="60">
        <f t="shared" si="29"/>
        <v>0</v>
      </c>
      <c r="Q171" s="61">
        <v>0</v>
      </c>
      <c r="R171" s="61">
        <v>5</v>
      </c>
    </row>
    <row r="172" spans="1:18">
      <c r="A172" s="1" t="s">
        <v>171</v>
      </c>
      <c r="B172" t="str">
        <f t="shared" si="27"/>
        <v>¬</v>
      </c>
      <c r="D172" s="19"/>
      <c r="E172" s="15" t="s">
        <v>243</v>
      </c>
      <c r="F172" s="19"/>
      <c r="G172" s="19"/>
      <c r="H172" s="19"/>
      <c r="I172" s="19"/>
      <c r="L172" s="4">
        <v>2</v>
      </c>
      <c r="N172" s="4">
        <v>3</v>
      </c>
      <c r="O172" s="61">
        <f t="shared" si="28"/>
        <v>1</v>
      </c>
      <c r="P172" s="60">
        <f t="shared" si="29"/>
        <v>3</v>
      </c>
      <c r="Q172" s="61">
        <v>0</v>
      </c>
      <c r="R172" s="61">
        <v>5</v>
      </c>
    </row>
    <row r="173" spans="1:18">
      <c r="A173" s="1" t="s">
        <v>172</v>
      </c>
      <c r="B173" t="str">
        <f t="shared" si="27"/>
        <v>¬</v>
      </c>
      <c r="D173" s="19"/>
      <c r="E173" s="15" t="s">
        <v>244</v>
      </c>
      <c r="F173" s="19"/>
      <c r="G173" s="19"/>
      <c r="H173" s="19"/>
      <c r="I173" s="19"/>
      <c r="L173" s="4"/>
      <c r="N173" s="4"/>
      <c r="O173" s="61">
        <f t="shared" si="28"/>
        <v>0</v>
      </c>
      <c r="P173" s="60">
        <f t="shared" si="29"/>
        <v>0</v>
      </c>
      <c r="Q173" s="61">
        <v>0</v>
      </c>
      <c r="R173" s="61">
        <v>5</v>
      </c>
    </row>
    <row r="174" spans="1:18">
      <c r="A174" s="1" t="s">
        <v>173</v>
      </c>
      <c r="B174" t="str">
        <f t="shared" si="27"/>
        <v>¬</v>
      </c>
      <c r="D174" s="19"/>
      <c r="E174" s="15" t="s">
        <v>245</v>
      </c>
      <c r="F174" s="19"/>
      <c r="G174" s="19"/>
      <c r="H174" s="19"/>
      <c r="I174" s="19"/>
      <c r="L174" s="4"/>
      <c r="N174" s="4"/>
      <c r="O174" s="61">
        <f t="shared" si="28"/>
        <v>0</v>
      </c>
      <c r="P174" s="60">
        <f t="shared" si="29"/>
        <v>0</v>
      </c>
      <c r="Q174" s="61">
        <v>0</v>
      </c>
      <c r="R174" s="61">
        <v>5</v>
      </c>
    </row>
    <row r="175" spans="1:18">
      <c r="A175" s="1" t="s">
        <v>174</v>
      </c>
      <c r="B175" t="str">
        <f>_xlfn.CONCAT(I137-H137," / ",I137)</f>
        <v>11 / 11</v>
      </c>
    </row>
    <row r="176" spans="1:18">
      <c r="A176" s="1" t="s">
        <v>175</v>
      </c>
      <c r="B176" t="str">
        <f>REPT("□",I137-H137) &amp; REPT("■",H137)</f>
        <v>□□□□□□□□□□□</v>
      </c>
      <c r="D176" s="16" t="s">
        <v>1491</v>
      </c>
      <c r="E176" s="16"/>
      <c r="F176" s="16"/>
      <c r="G176" s="16"/>
      <c r="H176" s="16"/>
      <c r="I176" s="16"/>
    </row>
    <row r="177" spans="1:18">
      <c r="A177" s="1" t="s">
        <v>176</v>
      </c>
      <c r="B177" t="str">
        <f t="shared" ref="B177:B196" si="30">IF(AC134="","¬",AC134)</f>
        <v>Allies</v>
      </c>
      <c r="D177" s="19"/>
      <c r="E177" s="15" t="s">
        <v>1492</v>
      </c>
      <c r="F177" s="3"/>
      <c r="G177" s="19"/>
      <c r="H177" s="72" t="str">
        <f>IFERROR(IF(VLOOKUP(F177,tblDisciplines[],14,FALSE)=0,"None",VLOOKUP(F177,tblDisciplines[],14,FALSE)),"None")</f>
        <v>None</v>
      </c>
      <c r="I177" s="73"/>
      <c r="N177" s="4"/>
      <c r="O177" s="61">
        <f>N177</f>
        <v>0</v>
      </c>
      <c r="P177" s="60" t="str">
        <f>IF(O177=R177,O177,"")</f>
        <v/>
      </c>
      <c r="R177" s="61" t="str">
        <f>_xlfn.IFNA(VLOOKUP(F177,tblDisciplines[],15,FALSE),"")</f>
        <v/>
      </c>
    </row>
    <row r="178" spans="1:18">
      <c r="A178" s="1" t="s">
        <v>177</v>
      </c>
      <c r="B178" t="str">
        <f t="shared" si="30"/>
        <v>Allies</v>
      </c>
      <c r="D178" s="19"/>
      <c r="E178" s="15" t="s">
        <v>1493</v>
      </c>
      <c r="F178" s="3"/>
      <c r="G178" s="19"/>
      <c r="H178" s="72" t="str">
        <f>IFERROR(IF(VLOOKUP(F178,tblDisciplines[],14,FALSE)=0,"None",VLOOKUP(F178,tblDisciplines[],14,FALSE)),"None")</f>
        <v>None</v>
      </c>
      <c r="I178" s="73"/>
      <c r="N178" s="4"/>
      <c r="O178" s="61">
        <f>N178</f>
        <v>0</v>
      </c>
      <c r="P178" s="60" t="str">
        <f>IF(O178=R178,O178,"")</f>
        <v/>
      </c>
      <c r="R178" s="61" t="str">
        <f>_xlfn.IFNA(VLOOKUP(F178,tblDisciplines[],15,FALSE),"")</f>
        <v/>
      </c>
    </row>
    <row r="179" spans="1:18">
      <c r="A179" s="1" t="s">
        <v>178</v>
      </c>
      <c r="B179" t="str">
        <f t="shared" si="30"/>
        <v>Allies</v>
      </c>
      <c r="D179" s="19"/>
      <c r="E179" s="15" t="s">
        <v>1494</v>
      </c>
      <c r="F179" s="3"/>
      <c r="G179" s="19"/>
      <c r="H179" s="72" t="str">
        <f>IFERROR(IF(VLOOKUP(F179,tblDisciplines[],14,FALSE)=0,"None",VLOOKUP(F179,tblDisciplines[],14,FALSE)),"None")</f>
        <v>None</v>
      </c>
      <c r="I179" s="73"/>
      <c r="N179" s="4"/>
      <c r="O179" s="61">
        <f>N179</f>
        <v>0</v>
      </c>
      <c r="P179" s="60" t="str">
        <f>IF(O179=R179,O179,"")</f>
        <v/>
      </c>
      <c r="R179" s="61" t="str">
        <f>_xlfn.IFNA(VLOOKUP(F179,tblDisciplines[],15,FALSE),"")</f>
        <v/>
      </c>
    </row>
    <row r="180" spans="1:18">
      <c r="A180" s="1" t="s">
        <v>179</v>
      </c>
      <c r="B180" t="str">
        <f t="shared" si="30"/>
        <v>Allies</v>
      </c>
      <c r="D180" s="19"/>
      <c r="E180" s="15" t="s">
        <v>1495</v>
      </c>
      <c r="F180" s="3"/>
      <c r="G180" s="19"/>
      <c r="H180" s="72" t="str">
        <f>IFERROR(IF(VLOOKUP(F180,tblDisciplines[],14,FALSE)=0,"None",VLOOKUP(F180,tblDisciplines[],14,FALSE)),"None")</f>
        <v>None</v>
      </c>
      <c r="I180" s="73"/>
      <c r="N180" s="4"/>
      <c r="O180" s="61">
        <f>N180</f>
        <v>0</v>
      </c>
      <c r="P180" s="60" t="str">
        <f>IF(O180=R180,O180,"")</f>
        <v/>
      </c>
      <c r="R180" s="61" t="str">
        <f>_xlfn.IFNA(VLOOKUP(F180,tblDisciplines[],15,FALSE),"")</f>
        <v/>
      </c>
    </row>
    <row r="181" spans="1:18">
      <c r="A181" s="1" t="s">
        <v>180</v>
      </c>
      <c r="B181" t="str">
        <f t="shared" si="30"/>
        <v>Resources</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30"/>
        <v>¬</v>
      </c>
    </row>
    <row r="183" spans="1:18">
      <c r="A183" s="1" t="s">
        <v>182</v>
      </c>
      <c r="B183" t="str">
        <f t="shared" si="30"/>
        <v>¬</v>
      </c>
      <c r="D183" s="16" t="s">
        <v>1497</v>
      </c>
      <c r="E183" s="16"/>
      <c r="F183" s="16"/>
      <c r="G183" s="16"/>
      <c r="H183" s="16"/>
      <c r="I183" s="16"/>
    </row>
    <row r="184" spans="1:18">
      <c r="A184" s="1" t="s">
        <v>183</v>
      </c>
      <c r="B184" t="str">
        <f t="shared" si="30"/>
        <v>¬</v>
      </c>
      <c r="D184" s="19"/>
      <c r="E184" s="15" t="s">
        <v>246</v>
      </c>
      <c r="F184" s="19"/>
      <c r="G184" s="19"/>
      <c r="H184" s="19"/>
      <c r="I184" s="60" t="b">
        <f>IF(OR(F$9="Circle of the Crone",COUNTIF(F$79:F$93,"Chorister")&gt;0),TRUE,FALSE)</f>
        <v>1</v>
      </c>
      <c r="L184" s="4">
        <v>1</v>
      </c>
      <c r="N184" s="4"/>
      <c r="O184" s="61">
        <f>ROUNDDOWN(N184/4,0)</f>
        <v>0</v>
      </c>
      <c r="P184" s="60">
        <f>SUM(L184,O184)</f>
        <v>1</v>
      </c>
      <c r="Q184" s="61">
        <v>0</v>
      </c>
      <c r="R184" s="61">
        <v>5</v>
      </c>
    </row>
    <row r="185" spans="1:18">
      <c r="A185" s="1" t="s">
        <v>184</v>
      </c>
      <c r="B185" t="str">
        <f t="shared" si="30"/>
        <v>¬</v>
      </c>
      <c r="D185" s="19"/>
      <c r="E185" s="15" t="s">
        <v>247</v>
      </c>
      <c r="F185" s="19"/>
      <c r="G185" s="19"/>
      <c r="H185" s="19"/>
      <c r="I185" s="60" t="b">
        <f>IF(OR(F$9="Lancea et Sanctum",COUNTIF(F$79:F$93,"Laity")&gt;0),TRUE,FALSE)</f>
        <v>0</v>
      </c>
      <c r="L185" s="4"/>
      <c r="N185" s="4"/>
      <c r="O185" s="61">
        <f>ROUNDDOWN(N185/4,0)</f>
        <v>0</v>
      </c>
      <c r="P185" s="60">
        <f>SUM(L185,O185)</f>
        <v>0</v>
      </c>
      <c r="Q185" s="61">
        <v>0</v>
      </c>
      <c r="R185" s="61">
        <v>5</v>
      </c>
    </row>
    <row r="186" spans="1:18">
      <c r="A186" s="1" t="s">
        <v>185</v>
      </c>
      <c r="B186" t="str">
        <f t="shared" si="30"/>
        <v>¬</v>
      </c>
      <c r="D186" s="19"/>
      <c r="E186" s="19"/>
      <c r="F186" s="19"/>
      <c r="G186" s="19"/>
      <c r="H186" s="19"/>
      <c r="I186" s="19"/>
      <c r="L186" s="60">
        <f>SUM(P184:P185)-SUM(L187:L191)</f>
        <v>0</v>
      </c>
    </row>
    <row r="187" spans="1:18">
      <c r="A187" s="1" t="s">
        <v>186</v>
      </c>
      <c r="B187" t="str">
        <f t="shared" si="30"/>
        <v>¬</v>
      </c>
      <c r="D187" s="19"/>
      <c r="E187" s="15" t="s">
        <v>248</v>
      </c>
      <c r="F187" s="19"/>
      <c r="G187" s="19"/>
      <c r="H187" s="19"/>
      <c r="I187" s="19"/>
      <c r="L187" s="4"/>
      <c r="M187" s="61">
        <f>IF(AND(I184,L184&gt;=1),1,0)</f>
        <v>1</v>
      </c>
      <c r="N187" s="4"/>
      <c r="O187" s="61">
        <f>ROUNDDOWN(N187/2,0)</f>
        <v>0</v>
      </c>
      <c r="P187" s="60">
        <f>MIN(SUM(L187,M187,O187),R187)</f>
        <v>1</v>
      </c>
      <c r="Q187" s="61">
        <v>0</v>
      </c>
      <c r="R187" s="61">
        <f>MAX(P$184,P$185)</f>
        <v>1</v>
      </c>
    </row>
    <row r="188" spans="1:18">
      <c r="A188" s="1" t="s">
        <v>187</v>
      </c>
      <c r="B188" t="str">
        <f t="shared" si="30"/>
        <v>¬</v>
      </c>
      <c r="D188" s="19"/>
      <c r="E188" s="15" t="s">
        <v>249</v>
      </c>
      <c r="F188" s="19"/>
      <c r="G188" s="19"/>
      <c r="H188" s="19"/>
      <c r="I188" s="19"/>
      <c r="L188" s="4">
        <v>1</v>
      </c>
      <c r="M188" s="61"/>
      <c r="N188" s="4"/>
      <c r="O188" s="61">
        <f>ROUNDDOWN(N188/2,0)</f>
        <v>0</v>
      </c>
      <c r="P188" s="60">
        <f>MIN(SUM(L188,M188,O188),R188)</f>
        <v>1</v>
      </c>
      <c r="Q188" s="61">
        <v>0</v>
      </c>
      <c r="R188" s="61">
        <f>MAX(P$184,P$185)</f>
        <v>1</v>
      </c>
    </row>
    <row r="189" spans="1:18">
      <c r="A189" s="1" t="s">
        <v>188</v>
      </c>
      <c r="B189" t="str">
        <f t="shared" si="30"/>
        <v>¬</v>
      </c>
      <c r="D189" s="19"/>
      <c r="E189" s="15" t="s">
        <v>250</v>
      </c>
      <c r="F189" s="19"/>
      <c r="G189" s="19"/>
      <c r="H189" s="19"/>
      <c r="I189" s="19"/>
      <c r="L189" s="4"/>
      <c r="M189" s="61">
        <f>IF(AND(I185,L185&gt;=1),1,0)</f>
        <v>0</v>
      </c>
      <c r="N189" s="4"/>
      <c r="O189" s="61">
        <f>ROUNDDOWN(N189/2,0)</f>
        <v>0</v>
      </c>
      <c r="P189" s="60">
        <f>MIN(SUM(L189,M189,O189),R189)</f>
        <v>0</v>
      </c>
      <c r="Q189" s="61">
        <v>0</v>
      </c>
      <c r="R189" s="61">
        <f>MAX(P$184,P$185)</f>
        <v>1</v>
      </c>
    </row>
    <row r="190" spans="1:18">
      <c r="A190" s="1" t="s">
        <v>189</v>
      </c>
      <c r="B190" t="str">
        <f t="shared" si="30"/>
        <v>¬</v>
      </c>
      <c r="D190" s="19"/>
      <c r="E190" s="15" t="s">
        <v>251</v>
      </c>
      <c r="F190" s="19"/>
      <c r="G190" s="19"/>
      <c r="H190" s="19"/>
      <c r="I190" s="19"/>
      <c r="L190" s="4"/>
      <c r="M190" s="61">
        <f>IF(AND(I184,L184&gt;=1),1,0)</f>
        <v>1</v>
      </c>
      <c r="N190" s="4"/>
      <c r="O190" s="61">
        <f>ROUNDDOWN(N190/2,0)</f>
        <v>0</v>
      </c>
      <c r="P190" s="60">
        <f>MIN(SUM(L190,M190,O190),R190)</f>
        <v>1</v>
      </c>
      <c r="Q190" s="61">
        <v>0</v>
      </c>
      <c r="R190" s="61">
        <f>MAX(P$184,P$185)</f>
        <v>1</v>
      </c>
    </row>
    <row r="191" spans="1:18">
      <c r="A191" s="1" t="s">
        <v>190</v>
      </c>
      <c r="B191" t="str">
        <f t="shared" si="30"/>
        <v>¬</v>
      </c>
      <c r="D191" s="19"/>
      <c r="E191" s="15" t="s">
        <v>252</v>
      </c>
      <c r="F191" s="19"/>
      <c r="G191" s="19"/>
      <c r="H191" s="19"/>
      <c r="I191" s="19"/>
      <c r="L191" s="4"/>
      <c r="M191" s="61">
        <f>IF(AND(I185,L185&gt;=1),1,0)</f>
        <v>0</v>
      </c>
      <c r="N191" s="4"/>
      <c r="O191" s="61">
        <f>ROUNDDOWN(N191/2,0)</f>
        <v>0</v>
      </c>
      <c r="P191" s="60">
        <f>MIN(SUM(L191,M191,O191),R191)</f>
        <v>0</v>
      </c>
      <c r="Q191" s="61">
        <v>0</v>
      </c>
      <c r="R191" s="61">
        <f>MAX(P$184,P$185)</f>
        <v>1</v>
      </c>
    </row>
    <row r="192" spans="1:18">
      <c r="A192" s="1" t="s">
        <v>191</v>
      </c>
      <c r="B192" t="str">
        <f t="shared" si="30"/>
        <v>¬</v>
      </c>
    </row>
    <row r="193" spans="1:18">
      <c r="A193" s="1" t="s">
        <v>192</v>
      </c>
      <c r="B193" t="str">
        <f t="shared" si="30"/>
        <v>¬</v>
      </c>
      <c r="D193" s="16" t="s">
        <v>1474</v>
      </c>
      <c r="E193" s="16"/>
      <c r="F193" s="16"/>
      <c r="G193" s="16"/>
      <c r="H193" s="16"/>
      <c r="I193" s="16"/>
      <c r="L193" s="60">
        <f>SUM(P184:P185)+SUM(O187:O191)-SUM(L194:L203)</f>
        <v>0</v>
      </c>
    </row>
    <row r="194" spans="1:18">
      <c r="A194" s="1" t="s">
        <v>193</v>
      </c>
      <c r="B194" t="str">
        <f t="shared" si="30"/>
        <v>¬</v>
      </c>
      <c r="D194" s="19"/>
      <c r="E194" s="15" t="s">
        <v>1498</v>
      </c>
      <c r="F194" s="3" t="s">
        <v>1597</v>
      </c>
      <c r="G194" s="61" t="str">
        <f>_xlfn.IFNA(VLOOKUP(F194,tblDisciplines[#Data],2,FALSE),"")</f>
        <v>Cruac</v>
      </c>
      <c r="H194" s="19"/>
      <c r="I194" s="19"/>
      <c r="L194" s="4">
        <v>1</v>
      </c>
      <c r="N194" s="4"/>
      <c r="O194" s="61">
        <f>N194</f>
        <v>0</v>
      </c>
      <c r="P194" s="60">
        <f>IF(OR(L194=R194,O194=R194),R194,MIN(SUM(L194,O194),R194))</f>
        <v>1</v>
      </c>
      <c r="R194" s="61">
        <f>_xlfn.IFNA(VLOOKUP(F194,tblDisciplines[],3,FALSE),"")</f>
        <v>1</v>
      </c>
    </row>
    <row r="195" spans="1:18">
      <c r="A195" s="1" t="s">
        <v>194</v>
      </c>
      <c r="B195" t="str">
        <f t="shared" si="30"/>
        <v>¬</v>
      </c>
      <c r="D195" s="19"/>
      <c r="E195" s="15" t="s">
        <v>1499</v>
      </c>
      <c r="F195" s="3"/>
      <c r="G195" s="61" t="str">
        <f>_xlfn.IFNA(VLOOKUP(F195,tblDisciplines[],2,FALSE),"")</f>
        <v/>
      </c>
      <c r="H195" s="19"/>
      <c r="I195" s="19"/>
      <c r="L195" s="4"/>
      <c r="N195" s="4"/>
      <c r="O195" s="61">
        <f t="shared" ref="O195:O203" si="31">N195</f>
        <v>0</v>
      </c>
      <c r="P195" s="60" t="str">
        <f t="shared" ref="P195:P203" si="32">IF(OR(L195=R195,O195=R195),R195,MIN(SUM(L195,O195),R195))</f>
        <v/>
      </c>
      <c r="R195" s="61" t="str">
        <f>_xlfn.IFNA(VLOOKUP(F195,tblDisciplines[],3,FALSE),"")</f>
        <v/>
      </c>
    </row>
    <row r="196" spans="1:18">
      <c r="A196" s="1" t="s">
        <v>195</v>
      </c>
      <c r="B196" t="str">
        <f t="shared" si="30"/>
        <v>¬</v>
      </c>
      <c r="D196" s="19"/>
      <c r="E196" s="15" t="s">
        <v>1500</v>
      </c>
      <c r="F196" s="3"/>
      <c r="G196" s="61" t="str">
        <f>_xlfn.IFNA(VLOOKUP(F196,tblDisciplines[],2,FALSE),"")</f>
        <v/>
      </c>
      <c r="H196" s="19"/>
      <c r="I196" s="19"/>
      <c r="L196" s="4"/>
      <c r="N196" s="4"/>
      <c r="O196" s="61">
        <f t="shared" si="31"/>
        <v>0</v>
      </c>
      <c r="P196" s="60" t="str">
        <f t="shared" si="32"/>
        <v/>
      </c>
      <c r="R196" s="61" t="str">
        <f>_xlfn.IFNA(VLOOKUP(F196,tblDisciplines[],3,FALSE),"")</f>
        <v/>
      </c>
    </row>
    <row r="197" spans="1:18">
      <c r="A197" s="1" t="s">
        <v>196</v>
      </c>
      <c r="B197" t="str">
        <f>IF(AD134="","¬",AD134)</f>
        <v>High Society</v>
      </c>
      <c r="D197" s="19"/>
      <c r="E197" s="15" t="s">
        <v>1501</v>
      </c>
      <c r="F197" s="3"/>
      <c r="G197" s="61" t="str">
        <f>_xlfn.IFNA(VLOOKUP(F197,tblDisciplines[],2,FALSE),"")</f>
        <v/>
      </c>
      <c r="H197" s="19"/>
      <c r="I197" s="19"/>
      <c r="L197" s="4"/>
      <c r="N197" s="4"/>
      <c r="O197" s="61">
        <f t="shared" si="31"/>
        <v>0</v>
      </c>
      <c r="P197" s="60" t="str">
        <f t="shared" si="32"/>
        <v/>
      </c>
      <c r="R197" s="61" t="str">
        <f>_xlfn.IFNA(VLOOKUP(F197,tblDisciplines[],3,FALSE),"")</f>
        <v/>
      </c>
    </row>
    <row r="198" spans="1:18">
      <c r="A198" s="1" t="s">
        <v>197</v>
      </c>
      <c r="B198" t="str">
        <f t="shared" ref="B198:B216" si="33">IF(AD135="","¬",AD135)</f>
        <v>Media</v>
      </c>
      <c r="D198" s="19"/>
      <c r="E198" s="15" t="s">
        <v>1502</v>
      </c>
      <c r="F198" s="3"/>
      <c r="G198" s="61" t="str">
        <f>_xlfn.IFNA(VLOOKUP(F198,tblDisciplines[],2,FALSE),"")</f>
        <v/>
      </c>
      <c r="H198" s="19"/>
      <c r="I198" s="19"/>
      <c r="L198" s="4"/>
      <c r="N198" s="4"/>
      <c r="O198" s="61">
        <f t="shared" si="31"/>
        <v>0</v>
      </c>
      <c r="P198" s="60" t="str">
        <f t="shared" si="32"/>
        <v/>
      </c>
      <c r="R198" s="61" t="str">
        <f>_xlfn.IFNA(VLOOKUP(F198,tblDisciplines[],3,FALSE),"")</f>
        <v/>
      </c>
    </row>
    <row r="199" spans="1:18">
      <c r="A199" s="1" t="s">
        <v>198</v>
      </c>
      <c r="B199" t="str">
        <f t="shared" si="33"/>
        <v>Police</v>
      </c>
      <c r="D199" s="19"/>
      <c r="E199" s="15" t="s">
        <v>1503</v>
      </c>
      <c r="F199" s="3"/>
      <c r="G199" s="61" t="str">
        <f>_xlfn.IFNA(VLOOKUP(F199,tblDisciplines[],2,FALSE),"")</f>
        <v/>
      </c>
      <c r="H199" s="19"/>
      <c r="I199" s="19"/>
      <c r="L199" s="4"/>
      <c r="N199" s="4"/>
      <c r="O199" s="61">
        <f t="shared" si="31"/>
        <v>0</v>
      </c>
      <c r="P199" s="60" t="str">
        <f t="shared" si="32"/>
        <v/>
      </c>
      <c r="R199" s="61" t="str">
        <f>_xlfn.IFNA(VLOOKUP(F199,tblDisciplines[],3,FALSE),"")</f>
        <v/>
      </c>
    </row>
    <row r="200" spans="1:18">
      <c r="A200" s="1" t="s">
        <v>199</v>
      </c>
      <c r="B200" t="str">
        <f t="shared" si="33"/>
        <v>Underworld</v>
      </c>
      <c r="D200" s="19"/>
      <c r="E200" s="15" t="s">
        <v>1504</v>
      </c>
      <c r="F200" s="3"/>
      <c r="G200" s="61" t="str">
        <f>_xlfn.IFNA(VLOOKUP(F200,tblDisciplines[],2,FALSE),"")</f>
        <v/>
      </c>
      <c r="H200" s="19"/>
      <c r="I200" s="19"/>
      <c r="L200" s="4"/>
      <c r="N200" s="4"/>
      <c r="O200" s="61">
        <f t="shared" si="31"/>
        <v>0</v>
      </c>
      <c r="P200" s="60" t="str">
        <f t="shared" si="32"/>
        <v/>
      </c>
      <c r="R200" s="61" t="str">
        <f>_xlfn.IFNA(VLOOKUP(F200,tblDisciplines[],3,FALSE),"")</f>
        <v/>
      </c>
    </row>
    <row r="201" spans="1:18">
      <c r="A201" s="1" t="s">
        <v>200</v>
      </c>
      <c r="B201" t="str">
        <f t="shared" si="33"/>
        <v>¬</v>
      </c>
      <c r="D201" s="19"/>
      <c r="E201" s="15" t="s">
        <v>1505</v>
      </c>
      <c r="F201" s="3"/>
      <c r="G201" s="61" t="str">
        <f>_xlfn.IFNA(VLOOKUP(F201,tblDisciplines[],2,FALSE),"")</f>
        <v/>
      </c>
      <c r="H201" s="19"/>
      <c r="I201" s="19"/>
      <c r="L201" s="4"/>
      <c r="N201" s="4"/>
      <c r="O201" s="61">
        <f t="shared" si="31"/>
        <v>0</v>
      </c>
      <c r="P201" s="60" t="str">
        <f t="shared" si="32"/>
        <v/>
      </c>
      <c r="R201" s="61" t="str">
        <f>_xlfn.IFNA(VLOOKUP(F201,tblDisciplines[],3,FALSE),"")</f>
        <v/>
      </c>
    </row>
    <row r="202" spans="1:18">
      <c r="A202" s="1" t="s">
        <v>201</v>
      </c>
      <c r="B202" t="str">
        <f t="shared" si="33"/>
        <v>¬</v>
      </c>
      <c r="D202" s="19"/>
      <c r="E202" s="15" t="s">
        <v>1506</v>
      </c>
      <c r="F202" s="3"/>
      <c r="G202" s="61" t="str">
        <f>_xlfn.IFNA(VLOOKUP(F202,tblDisciplines[],2,FALSE),"")</f>
        <v/>
      </c>
      <c r="H202" s="19"/>
      <c r="I202" s="19"/>
      <c r="L202" s="4"/>
      <c r="N202" s="4"/>
      <c r="O202" s="61">
        <f t="shared" si="31"/>
        <v>0</v>
      </c>
      <c r="P202" s="60" t="str">
        <f t="shared" si="32"/>
        <v/>
      </c>
      <c r="R202" s="61" t="str">
        <f>_xlfn.IFNA(VLOOKUP(F202,tblDisciplines[],3,FALSE),"")</f>
        <v/>
      </c>
    </row>
    <row r="203" spans="1:18">
      <c r="A203" s="1" t="s">
        <v>202</v>
      </c>
      <c r="B203" t="str">
        <f t="shared" si="33"/>
        <v>¬</v>
      </c>
      <c r="D203" s="19"/>
      <c r="E203" s="15" t="s">
        <v>1507</v>
      </c>
      <c r="F203" s="3"/>
      <c r="G203" s="61" t="str">
        <f>_xlfn.IFNA(VLOOKUP(F203,tblDisciplines[],2,FALSE),"")</f>
        <v/>
      </c>
      <c r="H203" s="19"/>
      <c r="I203" s="19"/>
      <c r="L203" s="4"/>
      <c r="N203" s="4"/>
      <c r="O203" s="61">
        <f t="shared" si="31"/>
        <v>0</v>
      </c>
      <c r="P203" s="60" t="str">
        <f t="shared" si="32"/>
        <v/>
      </c>
      <c r="R203" s="61" t="str">
        <f>_xlfn.IFNA(VLOOKUP(F203,tblDisciplines[],3,FALSE),"")</f>
        <v/>
      </c>
    </row>
    <row r="204" spans="1:18">
      <c r="A204" s="1" t="s">
        <v>203</v>
      </c>
      <c r="B204" t="str">
        <f t="shared" si="33"/>
        <v>¬</v>
      </c>
    </row>
    <row r="205" spans="1:18">
      <c r="A205" s="1" t="s">
        <v>204</v>
      </c>
      <c r="B205" t="str">
        <f t="shared" si="33"/>
        <v>¬</v>
      </c>
      <c r="D205" s="16" t="s">
        <v>1508</v>
      </c>
      <c r="E205" s="17"/>
      <c r="F205" s="17"/>
      <c r="G205" s="17"/>
      <c r="H205" s="17"/>
      <c r="I205" s="17"/>
    </row>
    <row r="206" spans="1:18">
      <c r="A206" s="1" t="s">
        <v>205</v>
      </c>
      <c r="B206" t="str">
        <f t="shared" si="33"/>
        <v>¬</v>
      </c>
      <c r="D206" s="19"/>
      <c r="E206" s="15" t="s">
        <v>1476</v>
      </c>
      <c r="F206" s="3"/>
      <c r="G206" s="19" t="str">
        <f>IFERROR(VLOOKUP(F206,tblManoeuvre[],2,FALSE)&amp;" "&amp;VLOOKUP(F206,tblManoeuvre[],3,FALSE),"")</f>
        <v/>
      </c>
      <c r="H206" s="68" t="str">
        <f>_xlfn.IFNA(IF(VLOOKUP(F206,tblMerits[],6,FALSE)=0,"None",VLOOKUP(F206,tblMerits[],6,FALSE)),"None")</f>
        <v>None</v>
      </c>
      <c r="I206" s="69"/>
      <c r="L206" s="4"/>
      <c r="M206" s="4"/>
      <c r="N206" s="4"/>
      <c r="O206" s="61">
        <f t="shared" ref="O206:O215" si="34">N206</f>
        <v>0</v>
      </c>
      <c r="P206" s="60">
        <f t="shared" ref="P206:P215" si="35">MIN(SUM(L206,M206,O206),R206)</f>
        <v>0</v>
      </c>
      <c r="Q206" s="61" t="str">
        <f>_xlfn.IFNA(VLOOKUP($F206,tblPacts[],3,FALSE),"")</f>
        <v/>
      </c>
      <c r="R206" s="61" t="str">
        <f>_xlfn.IFNA(VLOOKUP($F206,tblPacts[],4,FALSE),"")</f>
        <v/>
      </c>
    </row>
    <row r="207" spans="1:18">
      <c r="A207" s="1" t="s">
        <v>206</v>
      </c>
      <c r="B207" t="str">
        <f t="shared" si="33"/>
        <v>¬</v>
      </c>
      <c r="D207" s="19"/>
      <c r="E207" s="15" t="s">
        <v>1477</v>
      </c>
      <c r="F207" s="3"/>
      <c r="G207" s="19" t="str">
        <f>IFERROR(VLOOKUP(F207,tblManoeuvre[],2,FALSE)&amp;" "&amp;VLOOKUP(F207,tblManoeuvre[],3,FALSE),"")</f>
        <v/>
      </c>
      <c r="H207" s="68" t="str">
        <f>_xlfn.IFNA(IF(VLOOKUP(F207,tblMerits[],6,FALSE)=0,"None",VLOOKUP(F207,tblMerits[],6,FALSE)),"None")</f>
        <v>None</v>
      </c>
      <c r="I207" s="69"/>
      <c r="L207" s="4"/>
      <c r="M207" s="4"/>
      <c r="N207" s="4"/>
      <c r="O207" s="61">
        <f t="shared" si="34"/>
        <v>0</v>
      </c>
      <c r="P207" s="60">
        <f t="shared" si="35"/>
        <v>0</v>
      </c>
      <c r="Q207" s="61" t="str">
        <f>_xlfn.IFNA(VLOOKUP($F207,tblPacts[],3,FALSE),"")</f>
        <v/>
      </c>
      <c r="R207" s="61" t="str">
        <f>_xlfn.IFNA(VLOOKUP($F207,tblPacts[],4,FALSE),"")</f>
        <v/>
      </c>
    </row>
    <row r="208" spans="1:18">
      <c r="A208" s="1" t="s">
        <v>207</v>
      </c>
      <c r="B208" t="str">
        <f t="shared" si="33"/>
        <v>¬</v>
      </c>
      <c r="D208" s="19"/>
      <c r="E208" s="15" t="s">
        <v>1478</v>
      </c>
      <c r="F208" s="3"/>
      <c r="G208" s="19" t="str">
        <f>IFERROR(VLOOKUP(F208,tblManoeuvre[],2,FALSE)&amp;" "&amp;VLOOKUP(F208,tblManoeuvre[],3,FALSE),"")</f>
        <v/>
      </c>
      <c r="H208" s="68" t="str">
        <f>_xlfn.IFNA(IF(VLOOKUP(F208,tblMerits[],6,FALSE)=0,"None",VLOOKUP(F208,tblMerits[],6,FALSE)),"None")</f>
        <v>None</v>
      </c>
      <c r="I208" s="69"/>
      <c r="L208" s="4"/>
      <c r="M208" s="4"/>
      <c r="N208" s="4"/>
      <c r="O208" s="61">
        <f t="shared" si="34"/>
        <v>0</v>
      </c>
      <c r="P208" s="60">
        <f t="shared" si="35"/>
        <v>0</v>
      </c>
      <c r="Q208" s="61" t="str">
        <f>_xlfn.IFNA(VLOOKUP($F208,tblPacts[],3,FALSE),"")</f>
        <v/>
      </c>
      <c r="R208" s="61" t="str">
        <f>_xlfn.IFNA(VLOOKUP($F208,tblPacts[],4,FALSE),"")</f>
        <v/>
      </c>
    </row>
    <row r="209" spans="1:18">
      <c r="A209" s="1" t="s">
        <v>208</v>
      </c>
      <c r="B209" t="str">
        <f t="shared" si="33"/>
        <v>¬</v>
      </c>
      <c r="D209" s="19"/>
      <c r="E209" s="15" t="s">
        <v>1479</v>
      </c>
      <c r="F209" s="3"/>
      <c r="G209" s="19" t="str">
        <f>IFERROR(VLOOKUP(F209,tblManoeuvre[],2,FALSE)&amp;" "&amp;VLOOKUP(F209,tblManoeuvre[],3,FALSE),"")</f>
        <v/>
      </c>
      <c r="H209" s="68" t="str">
        <f>_xlfn.IFNA(IF(VLOOKUP(F209,tblMerits[],6,FALSE)=0,"None",VLOOKUP(F209,tblMerits[],6,FALSE)),"None")</f>
        <v>None</v>
      </c>
      <c r="I209" s="69"/>
      <c r="L209" s="4"/>
      <c r="M209" s="4"/>
      <c r="N209" s="4"/>
      <c r="O209" s="61">
        <f t="shared" si="34"/>
        <v>0</v>
      </c>
      <c r="P209" s="60">
        <f t="shared" si="35"/>
        <v>0</v>
      </c>
      <c r="Q209" s="61" t="str">
        <f>_xlfn.IFNA(VLOOKUP($F209,tblPacts[],3,FALSE),"")</f>
        <v/>
      </c>
      <c r="R209" s="61" t="str">
        <f>_xlfn.IFNA(VLOOKUP($F209,tblPacts[],4,FALSE),"")</f>
        <v/>
      </c>
    </row>
    <row r="210" spans="1:18">
      <c r="A210" s="1" t="s">
        <v>209</v>
      </c>
      <c r="B210" t="str">
        <f t="shared" si="33"/>
        <v>¬</v>
      </c>
      <c r="D210" s="19"/>
      <c r="E210" s="15" t="s">
        <v>1480</v>
      </c>
      <c r="F210" s="3"/>
      <c r="G210" s="19" t="str">
        <f>IFERROR(VLOOKUP(F210,tblManoeuvre[],2,FALSE)&amp;" "&amp;VLOOKUP(F210,tblManoeuvre[],3,FALSE),"")</f>
        <v/>
      </c>
      <c r="H210" s="68" t="str">
        <f>_xlfn.IFNA(IF(VLOOKUP(F210,tblMerits[],6,FALSE)=0,"None",VLOOKUP(F210,tblMerits[],6,FALSE)),"None")</f>
        <v>None</v>
      </c>
      <c r="I210" s="69"/>
      <c r="L210" s="4"/>
      <c r="M210" s="4"/>
      <c r="N210" s="4"/>
      <c r="O210" s="61">
        <f t="shared" si="34"/>
        <v>0</v>
      </c>
      <c r="P210" s="60">
        <f t="shared" si="35"/>
        <v>0</v>
      </c>
      <c r="Q210" s="61" t="str">
        <f>_xlfn.IFNA(VLOOKUP($F210,tblPacts[],3,FALSE),"")</f>
        <v/>
      </c>
      <c r="R210" s="61" t="str">
        <f>_xlfn.IFNA(VLOOKUP($F210,tblPacts[],4,FALSE),"")</f>
        <v/>
      </c>
    </row>
    <row r="211" spans="1:18">
      <c r="A211" s="1" t="s">
        <v>210</v>
      </c>
      <c r="B211" t="str">
        <f t="shared" si="33"/>
        <v>¬</v>
      </c>
      <c r="D211" s="19"/>
      <c r="E211" s="15" t="s">
        <v>1481</v>
      </c>
      <c r="F211" s="3"/>
      <c r="G211" s="19" t="str">
        <f>IFERROR(VLOOKUP(F211,tblManoeuvre[],2,FALSE)&amp;" "&amp;VLOOKUP(F211,tblManoeuvre[],3,FALSE),"")</f>
        <v/>
      </c>
      <c r="H211" s="68" t="str">
        <f>_xlfn.IFNA(IF(VLOOKUP(F211,tblMerits[],6,FALSE)=0,"None",VLOOKUP(F211,tblMerits[],6,FALSE)),"None")</f>
        <v>None</v>
      </c>
      <c r="I211" s="69"/>
      <c r="L211" s="4"/>
      <c r="M211" s="4"/>
      <c r="N211" s="4"/>
      <c r="O211" s="61">
        <f t="shared" si="34"/>
        <v>0</v>
      </c>
      <c r="P211" s="60">
        <f t="shared" si="35"/>
        <v>0</v>
      </c>
      <c r="Q211" s="61" t="str">
        <f>_xlfn.IFNA(VLOOKUP($F211,tblPacts[],3,FALSE),"")</f>
        <v/>
      </c>
      <c r="R211" s="61" t="str">
        <f>_xlfn.IFNA(VLOOKUP($F211,tblPacts[],4,FALSE),"")</f>
        <v/>
      </c>
    </row>
    <row r="212" spans="1:18">
      <c r="A212" s="1" t="s">
        <v>211</v>
      </c>
      <c r="B212" t="str">
        <f t="shared" si="33"/>
        <v>¬</v>
      </c>
      <c r="D212" s="19"/>
      <c r="E212" s="15" t="s">
        <v>1482</v>
      </c>
      <c r="F212" s="3"/>
      <c r="G212" s="19" t="str">
        <f>IFERROR(VLOOKUP(F212,tblManoeuvre[],2,FALSE)&amp;" "&amp;VLOOKUP(F212,tblManoeuvre[],3,FALSE),"")</f>
        <v/>
      </c>
      <c r="H212" s="68" t="str">
        <f>_xlfn.IFNA(IF(VLOOKUP(F212,tblMerits[],6,FALSE)=0,"None",VLOOKUP(F212,tblMerits[],6,FALSE)),"None")</f>
        <v>None</v>
      </c>
      <c r="I212" s="69"/>
      <c r="L212" s="4"/>
      <c r="M212" s="4"/>
      <c r="N212" s="4"/>
      <c r="O212" s="61">
        <f t="shared" si="34"/>
        <v>0</v>
      </c>
      <c r="P212" s="60">
        <f t="shared" si="35"/>
        <v>0</v>
      </c>
      <c r="Q212" s="61" t="str">
        <f>_xlfn.IFNA(VLOOKUP($F212,tblPacts[],3,FALSE),"")</f>
        <v/>
      </c>
      <c r="R212" s="61" t="str">
        <f>_xlfn.IFNA(VLOOKUP($F212,tblPacts[],4,FALSE),"")</f>
        <v/>
      </c>
    </row>
    <row r="213" spans="1:18">
      <c r="A213" s="1" t="s">
        <v>212</v>
      </c>
      <c r="B213" t="str">
        <f t="shared" si="33"/>
        <v>¬</v>
      </c>
      <c r="D213" s="19"/>
      <c r="E213" s="15" t="s">
        <v>1483</v>
      </c>
      <c r="F213" s="3"/>
      <c r="G213" s="19" t="str">
        <f>IFERROR(VLOOKUP(F213,tblManoeuvre[],2,FALSE)&amp;" "&amp;VLOOKUP(F213,tblManoeuvre[],3,FALSE),"")</f>
        <v/>
      </c>
      <c r="H213" s="68" t="str">
        <f>_xlfn.IFNA(IF(VLOOKUP(F213,tblMerits[],6,FALSE)=0,"None",VLOOKUP(F213,tblMerits[],6,FALSE)),"None")</f>
        <v>None</v>
      </c>
      <c r="I213" s="69"/>
      <c r="L213" s="4"/>
      <c r="M213" s="4"/>
      <c r="N213" s="4"/>
      <c r="O213" s="61">
        <f t="shared" si="34"/>
        <v>0</v>
      </c>
      <c r="P213" s="60">
        <f t="shared" si="35"/>
        <v>0</v>
      </c>
      <c r="Q213" s="61" t="str">
        <f>_xlfn.IFNA(VLOOKUP($F213,tblPacts[],3,FALSE),"")</f>
        <v/>
      </c>
      <c r="R213" s="61" t="str">
        <f>_xlfn.IFNA(VLOOKUP($F213,tblPacts[],4,FALSE),"")</f>
        <v/>
      </c>
    </row>
    <row r="214" spans="1:18">
      <c r="A214" s="1" t="s">
        <v>213</v>
      </c>
      <c r="B214" t="str">
        <f t="shared" si="33"/>
        <v>¬</v>
      </c>
      <c r="D214" s="19"/>
      <c r="E214" s="15" t="s">
        <v>1484</v>
      </c>
      <c r="F214" s="3"/>
      <c r="G214" s="19" t="str">
        <f>IFERROR(VLOOKUP(F214,tblManoeuvre[],2,FALSE)&amp;" "&amp;VLOOKUP(F214,tblManoeuvre[],3,FALSE),"")</f>
        <v/>
      </c>
      <c r="H214" s="68" t="str">
        <f>_xlfn.IFNA(IF(VLOOKUP(F214,tblMerits[],6,FALSE)=0,"None",VLOOKUP(F214,tblMerits[],6,FALSE)),"None")</f>
        <v>None</v>
      </c>
      <c r="I214" s="69"/>
      <c r="L214" s="4"/>
      <c r="M214" s="4"/>
      <c r="N214" s="4"/>
      <c r="O214" s="61">
        <f t="shared" si="34"/>
        <v>0</v>
      </c>
      <c r="P214" s="60">
        <f t="shared" si="35"/>
        <v>0</v>
      </c>
      <c r="Q214" s="61" t="str">
        <f>_xlfn.IFNA(VLOOKUP($F214,tblPacts[],3,FALSE),"")</f>
        <v/>
      </c>
      <c r="R214" s="61" t="str">
        <f>_xlfn.IFNA(VLOOKUP($F214,tblPacts[],4,FALSE),"")</f>
        <v/>
      </c>
    </row>
    <row r="215" spans="1:18">
      <c r="A215" s="1" t="s">
        <v>214</v>
      </c>
      <c r="B215" t="str">
        <f t="shared" si="33"/>
        <v>¬</v>
      </c>
      <c r="D215" s="19"/>
      <c r="E215" s="15" t="s">
        <v>1485</v>
      </c>
      <c r="F215" s="3"/>
      <c r="G215" s="19" t="str">
        <f>IFERROR(VLOOKUP(F215,tblManoeuvre[],2,FALSE)&amp;" "&amp;VLOOKUP(F215,tblManoeuvre[],3,FALSE),"")</f>
        <v/>
      </c>
      <c r="H215" s="68" t="str">
        <f>_xlfn.IFNA(IF(VLOOKUP(F215,tblMerits[],6,FALSE)=0,"None",VLOOKUP(F215,tblMerits[],6,FALSE)),"None")</f>
        <v>None</v>
      </c>
      <c r="I215" s="69"/>
      <c r="L215" s="4"/>
      <c r="M215" s="4"/>
      <c r="N215" s="4"/>
      <c r="O215" s="61">
        <f t="shared" si="34"/>
        <v>0</v>
      </c>
      <c r="P215" s="60">
        <f t="shared" si="35"/>
        <v>0</v>
      </c>
      <c r="Q215" s="61" t="str">
        <f>_xlfn.IFNA(VLOOKUP($F215,tblPacts[],3,FALSE),"")</f>
        <v/>
      </c>
      <c r="R215" s="61" t="str">
        <f>_xlfn.IFNA(VLOOKUP($F215,tblPacts[],4,FALSE),"")</f>
        <v/>
      </c>
    </row>
    <row r="216" spans="1:18">
      <c r="A216" s="1" t="s">
        <v>215</v>
      </c>
      <c r="B216" t="str">
        <f t="shared" si="33"/>
        <v>¬</v>
      </c>
    </row>
    <row r="217" spans="1:18">
      <c r="A217" s="1" t="s">
        <v>216</v>
      </c>
      <c r="B217" t="str">
        <f>IF(OR(AF134=0,AF134=""),"",REPT("●",AF134))</f>
        <v>●●●</v>
      </c>
      <c r="D217" s="16" t="s">
        <v>1509</v>
      </c>
      <c r="E217" s="16"/>
      <c r="F217" s="16"/>
      <c r="G217" s="16"/>
      <c r="H217" s="16"/>
      <c r="I217" s="16"/>
    </row>
    <row r="218" spans="1:18">
      <c r="A218" s="1" t="s">
        <v>217</v>
      </c>
      <c r="B218" t="str">
        <f t="shared" ref="B218:B236" si="36">IF(OR(AF135=0,AF135=""),"",REPT("●",AF135))</f>
        <v>●●●</v>
      </c>
      <c r="D218" s="19"/>
      <c r="E218" s="15" t="s">
        <v>353</v>
      </c>
      <c r="F218" s="19"/>
      <c r="G218" s="19"/>
      <c r="H218" s="19"/>
      <c r="I218" s="19"/>
      <c r="M218" s="61">
        <f>IF(COUNTIF(F79:F93,"Giant")&gt;0,1,0)+IF(COUNTIF(F79:F93,"Small-Framed")&gt;0,-1,0)</f>
        <v>0</v>
      </c>
      <c r="P218" s="60">
        <f>5+M218</f>
        <v>5</v>
      </c>
    </row>
    <row r="219" spans="1:18">
      <c r="A219" s="1" t="s">
        <v>218</v>
      </c>
      <c r="B219" t="str">
        <f t="shared" si="36"/>
        <v>●●●</v>
      </c>
      <c r="D219" s="19"/>
      <c r="E219" s="15" t="s">
        <v>354</v>
      </c>
      <c r="F219" s="19"/>
      <c r="G219" s="19"/>
      <c r="H219" s="19"/>
      <c r="I219" s="19"/>
      <c r="P219" s="60">
        <f ca="1">VLOOKUP("Size",INDIRECT($AH$1),2,FALSE)+VLOOKUP("Strength",INDIRECT($AH$1),2,FALSE)+VLOOKUP("Dexterity",INDIRECT($AH$1),2,FALSE)+VLOOKUP("Vigour",INDIRECT($AH$1),2,FALSE)</f>
        <v>10</v>
      </c>
    </row>
    <row r="220" spans="1:18">
      <c r="A220" s="1" t="s">
        <v>219</v>
      </c>
      <c r="B220" t="str">
        <f t="shared" si="36"/>
        <v>●●●</v>
      </c>
      <c r="D220" s="19"/>
      <c r="E220" s="15" t="s">
        <v>355</v>
      </c>
      <c r="F220" s="19"/>
      <c r="G220" s="19"/>
      <c r="H220" s="19"/>
      <c r="I220" s="19"/>
      <c r="P220" s="60">
        <f ca="1">MIN(VLOOKUP("Dexterity",INDIRECT($AH$1),2,FALSE),VLOOKUP("Wits",INDIRECT($AH$1),2,FALSE))+VLOOKUP("Athletics",INDIRECT($AH$1),2,FALSE)</f>
        <v>2</v>
      </c>
    </row>
    <row r="221" spans="1:18">
      <c r="A221" s="1" t="s">
        <v>220</v>
      </c>
      <c r="B221" t="str">
        <f t="shared" si="36"/>
        <v>●●●●●</v>
      </c>
      <c r="D221" s="19"/>
      <c r="E221" s="15" t="s">
        <v>52</v>
      </c>
      <c r="F221" s="19"/>
      <c r="G221" s="19"/>
      <c r="H221" s="19"/>
      <c r="I221" s="19"/>
      <c r="P221" s="60">
        <f ca="1">VLOOKUP("Size",INDIRECT($AH$1),2,FALSE)+VLOOKUP("Stamina",INDIRECT($AH$1),2,FALSE)+VLOOKUP("Resilience",INDIRECT($AH$1),2,FALSE)</f>
        <v>8</v>
      </c>
    </row>
    <row r="222" spans="1:18">
      <c r="A222" s="1" t="s">
        <v>221</v>
      </c>
      <c r="B222" t="str">
        <f t="shared" si="36"/>
        <v/>
      </c>
      <c r="D222" s="19"/>
      <c r="E222" s="19"/>
      <c r="F222" s="19"/>
      <c r="G222" s="19"/>
      <c r="H222" s="15" t="s">
        <v>1510</v>
      </c>
      <c r="I222" s="19"/>
      <c r="L222" s="4"/>
    </row>
    <row r="223" spans="1:18">
      <c r="A223" s="1" t="s">
        <v>222</v>
      </c>
      <c r="B223" t="str">
        <f t="shared" si="36"/>
        <v/>
      </c>
      <c r="D223" s="19"/>
      <c r="E223" s="15" t="s">
        <v>1511</v>
      </c>
      <c r="F223" s="7"/>
      <c r="G223" s="19"/>
      <c r="H223" s="15" t="s">
        <v>1512</v>
      </c>
      <c r="I223" s="19"/>
      <c r="L223" s="4"/>
    </row>
    <row r="224" spans="1:18">
      <c r="A224" s="1" t="s">
        <v>223</v>
      </c>
      <c r="B224" t="str">
        <f t="shared" si="36"/>
        <v/>
      </c>
      <c r="D224" s="19"/>
      <c r="E224" s="15" t="s">
        <v>1513</v>
      </c>
      <c r="F224" s="7"/>
      <c r="G224" s="19"/>
      <c r="H224" s="15" t="s">
        <v>1514</v>
      </c>
      <c r="I224" s="19"/>
      <c r="L224" s="4"/>
    </row>
    <row r="225" spans="1:12">
      <c r="A225" s="1" t="s">
        <v>224</v>
      </c>
      <c r="B225" t="str">
        <f t="shared" si="36"/>
        <v/>
      </c>
      <c r="D225" s="19"/>
      <c r="E225" s="15" t="s">
        <v>1515</v>
      </c>
      <c r="F225" s="7"/>
      <c r="G225" s="19"/>
      <c r="H225" s="15" t="s">
        <v>1516</v>
      </c>
      <c r="I225" s="19"/>
      <c r="L225" s="4"/>
    </row>
    <row r="226" spans="1:12">
      <c r="A226" s="1" t="s">
        <v>225</v>
      </c>
      <c r="B226" t="str">
        <f t="shared" si="36"/>
        <v/>
      </c>
      <c r="D226" s="19"/>
      <c r="E226" s="15" t="s">
        <v>1517</v>
      </c>
      <c r="F226" s="7"/>
      <c r="G226" s="19"/>
      <c r="H226" s="19"/>
      <c r="I226" s="19"/>
    </row>
    <row r="227" spans="1:12">
      <c r="A227" s="1" t="s">
        <v>226</v>
      </c>
      <c r="B227" t="str">
        <f t="shared" si="36"/>
        <v/>
      </c>
      <c r="D227" s="19"/>
      <c r="E227" s="15" t="s">
        <v>1518</v>
      </c>
      <c r="F227" s="7" t="s">
        <v>1598</v>
      </c>
      <c r="G227" s="19"/>
      <c r="H227" s="19"/>
      <c r="I227" s="19"/>
    </row>
    <row r="228" spans="1:12">
      <c r="A228" s="1" t="s">
        <v>227</v>
      </c>
      <c r="B228" t="str">
        <f t="shared" si="36"/>
        <v/>
      </c>
      <c r="D228" s="19"/>
      <c r="E228" s="15" t="s">
        <v>1519</v>
      </c>
      <c r="F228" s="7" t="s">
        <v>1599</v>
      </c>
      <c r="G228" s="19"/>
      <c r="H228" s="19"/>
      <c r="I228" s="19"/>
    </row>
    <row r="229" spans="1:12">
      <c r="A229" s="1" t="s">
        <v>228</v>
      </c>
      <c r="B229" t="str">
        <f t="shared" si="36"/>
        <v/>
      </c>
      <c r="D229" s="19"/>
      <c r="E229" s="15" t="s">
        <v>1520</v>
      </c>
      <c r="F229" s="7"/>
      <c r="G229" s="19"/>
      <c r="H229" s="19"/>
      <c r="I229" s="19"/>
    </row>
    <row r="230" spans="1:12">
      <c r="A230" s="1" t="s">
        <v>229</v>
      </c>
      <c r="B230" t="str">
        <f t="shared" si="36"/>
        <v/>
      </c>
      <c r="D230" s="19"/>
      <c r="E230" s="15" t="s">
        <v>1521</v>
      </c>
      <c r="F230" s="7"/>
      <c r="G230" s="19"/>
      <c r="H230" s="19"/>
      <c r="I230" s="19"/>
    </row>
    <row r="231" spans="1:12">
      <c r="A231" s="1" t="s">
        <v>230</v>
      </c>
      <c r="B231" t="str">
        <f t="shared" si="36"/>
        <v/>
      </c>
      <c r="D231" s="19"/>
      <c r="E231" s="15" t="s">
        <v>1522</v>
      </c>
      <c r="F231" s="7"/>
      <c r="G231" s="19"/>
      <c r="H231" s="19"/>
      <c r="I231" s="19"/>
    </row>
    <row r="232" spans="1:12">
      <c r="A232" s="1" t="s">
        <v>231</v>
      </c>
      <c r="B232" t="str">
        <f t="shared" si="36"/>
        <v/>
      </c>
      <c r="D232" s="19"/>
      <c r="E232" s="15" t="s">
        <v>1523</v>
      </c>
      <c r="F232" s="7"/>
      <c r="G232" s="19"/>
      <c r="H232" s="19"/>
      <c r="I232" s="19"/>
    </row>
    <row r="233" spans="1:12">
      <c r="A233" s="1" t="s">
        <v>232</v>
      </c>
      <c r="B233" t="str">
        <f t="shared" si="36"/>
        <v/>
      </c>
      <c r="D233" s="19"/>
      <c r="E233" s="19"/>
      <c r="F233" s="19"/>
      <c r="G233" s="19"/>
      <c r="H233" s="19"/>
      <c r="I233" s="19"/>
    </row>
    <row r="234" spans="1:12">
      <c r="A234" s="1" t="s">
        <v>233</v>
      </c>
      <c r="B234" t="str">
        <f t="shared" si="36"/>
        <v/>
      </c>
      <c r="D234" s="19"/>
      <c r="E234" s="15" t="s">
        <v>343</v>
      </c>
      <c r="F234" s="61" t="str">
        <f>_xlfn.IFNA(VLOOKUP(F7,tblClans[],4,FALSE),"")</f>
        <v>Feral Curse</v>
      </c>
      <c r="G234" s="19"/>
      <c r="H234" s="74" t="str">
        <f>_xlfn.IFNA(VLOOKUP(F234,tblBanes[],2,FALSE),"")</f>
        <v>Frenzy resistance dice pools capped by Humanity (doesn't affect Riding the Wave).</v>
      </c>
      <c r="I234" s="74"/>
    </row>
    <row r="235" spans="1:12">
      <c r="A235" s="1" t="s">
        <v>234</v>
      </c>
      <c r="B235" t="str">
        <f t="shared" si="36"/>
        <v/>
      </c>
      <c r="D235" s="19"/>
      <c r="E235" s="15" t="s">
        <v>344</v>
      </c>
      <c r="F235" s="19"/>
      <c r="G235" s="19"/>
      <c r="H235" s="19"/>
      <c r="I235" s="19"/>
    </row>
    <row r="236" spans="1:12">
      <c r="A236" s="1" t="s">
        <v>235</v>
      </c>
      <c r="B236" t="str">
        <f t="shared" si="36"/>
        <v/>
      </c>
      <c r="D236" s="19"/>
      <c r="E236" s="15" t="s">
        <v>345</v>
      </c>
      <c r="F236" s="3"/>
      <c r="G236" s="19"/>
      <c r="H236" s="70" t="str">
        <f>_xlfn.IFNA(VLOOKUP(F236,tblBanes[],2,FALSE),"")</f>
        <v/>
      </c>
      <c r="I236" s="71"/>
    </row>
    <row r="237" spans="1:12">
      <c r="A237" s="1" t="s">
        <v>236</v>
      </c>
      <c r="B237" t="str">
        <f ca="1">_xlfn.LET(_xlpm.v,VLOOKUP(tblCharDataBrandy[[#This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_xlfn.LET(_xlpm.v,VLOOKUP(tblCharDataBrandy[[#This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_xlfn.LET(_xlpm.v,VLOOKUP(tblCharDataBrandy[[#This Row],[Field]],INDIRECT($AH$1),2,FALSE),IF(OR(_xlpm.v=0,_xlpm.v=""),"-",REPT("●",_xlpm.v)))</f>
        <v>-</v>
      </c>
      <c r="D239" s="19"/>
      <c r="E239" s="19"/>
      <c r="F239" s="19"/>
      <c r="G239" s="19"/>
      <c r="H239" s="19"/>
      <c r="I239" s="19"/>
    </row>
    <row r="240" spans="1:12">
      <c r="A240" s="1" t="s">
        <v>239</v>
      </c>
      <c r="B240" t="str">
        <f ca="1">_xlfn.LET(_xlpm.v,VLOOKUP(tblCharDataBrandy[[#This Row],[Field]],INDIRECT($AH$1),2,FALSE),IF(OR(_xlpm.v=0,_xlpm.v=""),"-",REPT("●",_xlpm.v)))</f>
        <v>-</v>
      </c>
      <c r="D240" s="19"/>
      <c r="E240" s="15" t="s">
        <v>360</v>
      </c>
      <c r="F240" s="62"/>
      <c r="G240" s="63"/>
      <c r="H240" s="63"/>
      <c r="I240" s="64"/>
    </row>
    <row r="241" spans="1:9">
      <c r="A241" s="1" t="s">
        <v>240</v>
      </c>
      <c r="B241" t="str">
        <f ca="1">_xlfn.LET(_xlpm.v,VLOOKUP(tblCharDataBrandy[[#This Row],[Field]],INDIRECT($AH$1),2,FALSE),IF(OR(_xlpm.v=0,_xlpm.v=""),"-",REPT("●",_xlpm.v)))</f>
        <v>●</v>
      </c>
      <c r="D241" s="19"/>
      <c r="E241" s="15" t="s">
        <v>361</v>
      </c>
      <c r="F241" s="62"/>
      <c r="G241" s="63"/>
      <c r="H241" s="63"/>
      <c r="I241" s="64"/>
    </row>
    <row r="242" spans="1:9">
      <c r="A242" s="1" t="s">
        <v>241</v>
      </c>
      <c r="B242" t="str">
        <f ca="1">_xlfn.LET(_xlpm.v,VLOOKUP(tblCharDataBrandy[[#This Row],[Field]],INDIRECT($AH$1),2,FALSE),IF(OR(_xlpm.v=0,_xlpm.v=""),"-",REPT("●",_xlpm.v)))</f>
        <v>-</v>
      </c>
      <c r="D242" s="19"/>
      <c r="E242" s="15" t="s">
        <v>362</v>
      </c>
      <c r="F242" s="62"/>
      <c r="G242" s="63"/>
      <c r="H242" s="63"/>
      <c r="I242" s="64"/>
    </row>
    <row r="243" spans="1:9">
      <c r="A243" s="1" t="s">
        <v>242</v>
      </c>
      <c r="B243" t="str">
        <f ca="1">_xlfn.LET(_xlpm.v,VLOOKUP(tblCharDataBrandy[[#This Row],[Field]],INDIRECT($AH$1),2,FALSE),IF(OR(_xlpm.v=0,_xlpm.v=""),"-",REPT("●",_xlpm.v)))</f>
        <v>-</v>
      </c>
      <c r="D243" s="19"/>
      <c r="E243" s="19"/>
      <c r="F243" s="19"/>
      <c r="G243" s="19"/>
      <c r="H243" s="19"/>
      <c r="I243" s="19"/>
    </row>
    <row r="244" spans="1:9">
      <c r="A244" s="1" t="s">
        <v>243</v>
      </c>
      <c r="B244" t="str">
        <f ca="1">_xlfn.LET(_xlpm.v,VLOOKUP(tblCharDataBrandy[[#This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_xlfn.LET(_xlpm.v,VLOOKUP(tblCharDataBrandy[[#This Row],[Field]],INDIRECT($AH$1),2,FALSE),IF(OR(_xlpm.v=0,_xlpm.v=""),"-",REPT("●",_xlpm.v)))</f>
        <v>-</v>
      </c>
      <c r="D245" s="19"/>
      <c r="E245" s="15" t="s">
        <v>1524</v>
      </c>
      <c r="F245" s="62"/>
      <c r="G245" s="63"/>
      <c r="H245" s="63"/>
      <c r="I245" s="64"/>
    </row>
    <row r="246" spans="1:9">
      <c r="A246" s="1" t="s">
        <v>245</v>
      </c>
      <c r="B246" t="str">
        <f ca="1">_xlfn.LET(_xlpm.v,VLOOKUP(tblCharDataBrandy[[#This Row],[Field]],INDIRECT($AH$1),2,FALSE),IF(OR(_xlpm.v=0,_xlpm.v=""),"-",REPT("●",_xlpm.v)))</f>
        <v>-</v>
      </c>
    </row>
    <row r="247" spans="1:9">
      <c r="A247" s="1" t="s">
        <v>246</v>
      </c>
      <c r="B247" t="str">
        <f ca="1">_xlfn.LET(_xlpm.v,VLOOKUP(tblCharDataBrandy[[#This Row],[Field]],INDIRECT($AH$1),2,FALSE),IF(OR(_xlpm.v=0,_xlpm.v=""),"-",REPT("●",_xlpm.v)))</f>
        <v>●</v>
      </c>
      <c r="D247" s="16" t="s">
        <v>1525</v>
      </c>
      <c r="E247" s="16"/>
      <c r="F247" s="16" t="s">
        <v>1526</v>
      </c>
      <c r="G247" s="16" t="s">
        <v>1527</v>
      </c>
      <c r="H247" s="16"/>
      <c r="I247" s="16"/>
    </row>
    <row r="248" spans="1:9">
      <c r="A248" s="1" t="s">
        <v>247</v>
      </c>
      <c r="B248" t="str">
        <f ca="1">_xlfn.LET(_xlpm.v,VLOOKUP(tblCharDataBrandy[[#This Row],[Field]],INDIRECT($AH$1),2,FALSE),IF(OR(_xlpm.v=0,_xlpm.v=""),"-",REPT("●",_xlpm.v)))</f>
        <v>-</v>
      </c>
      <c r="D248" s="19"/>
      <c r="E248" s="15" t="s">
        <v>1528</v>
      </c>
      <c r="F248" s="7"/>
      <c r="G248" s="7"/>
      <c r="H248" s="19"/>
      <c r="I248" s="19" t="s">
        <v>1529</v>
      </c>
    </row>
    <row r="249" spans="1:9">
      <c r="A249" s="1" t="s">
        <v>248</v>
      </c>
      <c r="B249" t="str">
        <f ca="1">_xlfn.LET(_xlpm.v,VLOOKUP(tblCharDataBrandy[[#This Row],[Field]],INDIRECT($AH$1),2,FALSE),IF(OR(_xlpm.v=0,_xlpm.v=""),"-",REPT("●",_xlpm.v)))</f>
        <v>●</v>
      </c>
      <c r="D249" s="19"/>
      <c r="E249" s="15" t="s">
        <v>1530</v>
      </c>
      <c r="F249" s="7"/>
      <c r="G249" s="7"/>
      <c r="H249" s="19"/>
      <c r="I249" s="19" t="s">
        <v>1531</v>
      </c>
    </row>
    <row r="250" spans="1:9">
      <c r="A250" s="1" t="s">
        <v>249</v>
      </c>
      <c r="B250" t="str">
        <f ca="1">_xlfn.LET(_xlpm.v,VLOOKUP(tblCharDataBrandy[[#This Row],[Field]],INDIRECT($AH$1),2,FALSE),IF(OR(_xlpm.v=0,_xlpm.v=""),"-",REPT("●",_xlpm.v)))</f>
        <v>●</v>
      </c>
      <c r="D250" s="19" t="s">
        <v>1532</v>
      </c>
      <c r="E250" s="15" t="s">
        <v>1533</v>
      </c>
      <c r="F250" s="7"/>
      <c r="G250" s="7"/>
      <c r="H250" s="19"/>
      <c r="I250" s="19"/>
    </row>
    <row r="251" spans="1:9">
      <c r="A251" s="1" t="s">
        <v>250</v>
      </c>
      <c r="B251" t="str">
        <f ca="1">_xlfn.LET(_xlpm.v,VLOOKUP(tblCharDataBrandy[[#This Row],[Field]],INDIRECT($AH$1),2,FALSE),IF(OR(_xlpm.v=0,_xlpm.v=""),"-",REPT("●",_xlpm.v)))</f>
        <v>-</v>
      </c>
      <c r="D251" s="19" t="s">
        <v>1532</v>
      </c>
      <c r="E251" s="15" t="s">
        <v>1534</v>
      </c>
      <c r="F251" s="7"/>
      <c r="G251" s="7"/>
      <c r="H251" s="19"/>
      <c r="I251" s="19"/>
    </row>
    <row r="252" spans="1:9">
      <c r="A252" s="1" t="s">
        <v>251</v>
      </c>
      <c r="B252" t="str">
        <f ca="1">_xlfn.LET(_xlpm.v,VLOOKUP(tblCharDataBrandy[[#This Row],[Field]],INDIRECT($AH$1),2,FALSE),IF(OR(_xlpm.v=0,_xlpm.v=""),"-",REPT("●",_xlpm.v)))</f>
        <v>●</v>
      </c>
      <c r="D252" s="19" t="s">
        <v>1532</v>
      </c>
      <c r="E252" s="15" t="s">
        <v>1535</v>
      </c>
      <c r="F252" s="7"/>
      <c r="G252" s="7"/>
      <c r="H252" s="19"/>
      <c r="I252" s="19"/>
    </row>
    <row r="253" spans="1:9">
      <c r="A253" s="1" t="s">
        <v>252</v>
      </c>
      <c r="B253" t="str">
        <f ca="1">_xlfn.LET(_xlpm.v,VLOOKUP(tblCharDataBrandy[[#This Row],[Field]],INDIRECT($AH$1),2,FALSE),IF(OR(_xlpm.v=0,_xlpm.v=""),"-",REPT("●",_xlpm.v)))</f>
        <v>-</v>
      </c>
      <c r="D253" s="19" t="s">
        <v>1532</v>
      </c>
      <c r="E253" s="15" t="s">
        <v>1536</v>
      </c>
      <c r="F253" s="7"/>
      <c r="G253" s="7"/>
      <c r="H253" s="19"/>
      <c r="I253" s="19"/>
    </row>
    <row r="254" spans="1:9">
      <c r="A254" s="1" t="s">
        <v>253</v>
      </c>
      <c r="B254" t="str">
        <f t="shared" ref="B254:B283" si="37">IF(AD44="","¬",AD44)</f>
        <v>Majesty ● | Awe</v>
      </c>
      <c r="D254" s="19" t="s">
        <v>1532</v>
      </c>
      <c r="E254" s="15" t="s">
        <v>1537</v>
      </c>
      <c r="F254" s="7"/>
      <c r="G254" s="7"/>
      <c r="H254" s="19"/>
      <c r="I254" s="19"/>
    </row>
    <row r="255" spans="1:9">
      <c r="A255" s="1" t="s">
        <v>254</v>
      </c>
      <c r="B255" t="str">
        <f t="shared" si="37"/>
        <v>Protean ● | Unmarked Grave</v>
      </c>
      <c r="D255" s="19" t="s">
        <v>1532</v>
      </c>
      <c r="E255" s="15" t="s">
        <v>1538</v>
      </c>
      <c r="F255" s="7"/>
      <c r="G255" s="7"/>
      <c r="H255" s="19"/>
      <c r="I255" s="19"/>
    </row>
    <row r="256" spans="1:9">
      <c r="A256" s="1" t="s">
        <v>255</v>
      </c>
      <c r="B256" t="str">
        <f t="shared" si="37"/>
        <v>Protean ●● | Predatory Aspect</v>
      </c>
      <c r="D256" s="19" t="s">
        <v>1532</v>
      </c>
      <c r="E256" s="15" t="s">
        <v>1539</v>
      </c>
      <c r="F256" s="7"/>
      <c r="G256" s="7"/>
      <c r="H256" s="19"/>
      <c r="I256" s="19"/>
    </row>
    <row r="257" spans="1:9">
      <c r="A257" s="1" t="s">
        <v>256</v>
      </c>
      <c r="B257" t="str">
        <f t="shared" si="37"/>
        <v>Protean ●●● | Beast's Skin</v>
      </c>
      <c r="D257" s="19" t="s">
        <v>1532</v>
      </c>
      <c r="E257" s="15" t="s">
        <v>1540</v>
      </c>
      <c r="F257" s="7"/>
      <c r="G257" s="7"/>
      <c r="H257" s="19"/>
      <c r="I257" s="19"/>
    </row>
    <row r="258" spans="1:9">
      <c r="A258" s="1" t="s">
        <v>257</v>
      </c>
      <c r="B258" t="str">
        <f t="shared" si="37"/>
        <v>Blood Sorcery | Creation ●</v>
      </c>
      <c r="D258" s="19" t="s">
        <v>1532</v>
      </c>
      <c r="E258" s="15" t="s">
        <v>1541</v>
      </c>
      <c r="F258" s="7"/>
      <c r="G258" s="7"/>
      <c r="H258" s="19"/>
      <c r="I258" s="19"/>
    </row>
    <row r="259" spans="1:9">
      <c r="A259" s="1" t="s">
        <v>258</v>
      </c>
      <c r="B259" t="str">
        <f t="shared" si="37"/>
        <v>Blood Sorcery | Destruction ●</v>
      </c>
      <c r="D259" s="19" t="s">
        <v>1532</v>
      </c>
      <c r="E259" s="15" t="s">
        <v>1542</v>
      </c>
      <c r="F259" s="7"/>
      <c r="G259" s="7"/>
      <c r="H259" s="19"/>
      <c r="I259" s="19"/>
    </row>
    <row r="260" spans="1:9">
      <c r="A260" s="1" t="s">
        <v>259</v>
      </c>
      <c r="B260" t="str">
        <f t="shared" si="37"/>
        <v>Blood Sorcery | Protection ●</v>
      </c>
      <c r="D260" s="19" t="s">
        <v>1532</v>
      </c>
      <c r="E260" s="15" t="s">
        <v>1543</v>
      </c>
      <c r="F260" s="7"/>
      <c r="G260" s="7"/>
      <c r="H260" s="19"/>
      <c r="I260" s="19"/>
    </row>
    <row r="261" spans="1:9">
      <c r="A261" s="1" t="s">
        <v>260</v>
      </c>
      <c r="B261" t="str">
        <f t="shared" si="37"/>
        <v>Cruac ● | Mantle of Amorous Fire</v>
      </c>
      <c r="D261" s="19" t="s">
        <v>1532</v>
      </c>
      <c r="E261" s="15" t="s">
        <v>1544</v>
      </c>
      <c r="F261" s="7"/>
      <c r="G261" s="7"/>
      <c r="H261" s="19"/>
      <c r="I261" s="19"/>
    </row>
    <row r="262" spans="1:9">
      <c r="A262" s="1" t="s">
        <v>261</v>
      </c>
      <c r="B262" t="str">
        <f t="shared" si="37"/>
        <v>¬</v>
      </c>
      <c r="D262" s="19" t="s">
        <v>1532</v>
      </c>
      <c r="E262" s="15" t="s">
        <v>1545</v>
      </c>
      <c r="F262" s="7"/>
      <c r="G262" s="7"/>
      <c r="H262" s="19"/>
      <c r="I262" s="19"/>
    </row>
    <row r="263" spans="1:9">
      <c r="A263" s="1" t="s">
        <v>262</v>
      </c>
      <c r="B263" t="str">
        <f t="shared" si="37"/>
        <v>¬</v>
      </c>
      <c r="D263" s="19" t="s">
        <v>1532</v>
      </c>
      <c r="E263" s="15" t="s">
        <v>1546</v>
      </c>
      <c r="F263" s="7"/>
      <c r="G263" s="7"/>
      <c r="H263" s="19"/>
      <c r="I263" s="19"/>
    </row>
    <row r="264" spans="1:9">
      <c r="A264" s="1" t="s">
        <v>263</v>
      </c>
      <c r="B264" t="str">
        <f t="shared" si="37"/>
        <v>¬</v>
      </c>
      <c r="D264" s="19" t="s">
        <v>1532</v>
      </c>
      <c r="E264" s="15" t="s">
        <v>1547</v>
      </c>
      <c r="F264" s="7"/>
      <c r="G264" s="7"/>
      <c r="H264" s="19"/>
      <c r="I264" s="19"/>
    </row>
    <row r="265" spans="1:9">
      <c r="A265" s="1" t="s">
        <v>264</v>
      </c>
      <c r="B265" t="str">
        <f t="shared" si="37"/>
        <v>¬</v>
      </c>
      <c r="D265" s="19" t="s">
        <v>1532</v>
      </c>
      <c r="E265" s="15" t="s">
        <v>1548</v>
      </c>
      <c r="F265" s="7"/>
      <c r="G265" s="7"/>
      <c r="H265" s="19"/>
      <c r="I265" s="19"/>
    </row>
    <row r="266" spans="1:9">
      <c r="A266" s="1" t="s">
        <v>265</v>
      </c>
      <c r="B266" t="str">
        <f t="shared" si="37"/>
        <v>¬</v>
      </c>
      <c r="D266" s="19" t="s">
        <v>1532</v>
      </c>
      <c r="E266" s="15" t="s">
        <v>1549</v>
      </c>
      <c r="F266" s="7"/>
      <c r="G266" s="7"/>
      <c r="H266" s="19"/>
      <c r="I266" s="19"/>
    </row>
    <row r="267" spans="1:9">
      <c r="A267" s="1" t="s">
        <v>266</v>
      </c>
      <c r="B267" t="str">
        <f t="shared" si="37"/>
        <v>¬</v>
      </c>
      <c r="D267" s="19" t="s">
        <v>1532</v>
      </c>
      <c r="E267" s="15" t="s">
        <v>1550</v>
      </c>
      <c r="F267" s="7"/>
      <c r="G267" s="7"/>
      <c r="H267" s="19"/>
      <c r="I267" s="19"/>
    </row>
    <row r="268" spans="1:9">
      <c r="A268" s="1" t="s">
        <v>267</v>
      </c>
      <c r="B268" t="str">
        <f t="shared" si="37"/>
        <v>¬</v>
      </c>
      <c r="D268" s="19" t="s">
        <v>1532</v>
      </c>
      <c r="E268" s="15" t="s">
        <v>1551</v>
      </c>
      <c r="F268" s="7"/>
      <c r="G268" s="7"/>
      <c r="H268" s="19"/>
      <c r="I268" s="19"/>
    </row>
    <row r="269" spans="1:9">
      <c r="A269" s="1" t="s">
        <v>268</v>
      </c>
      <c r="B269" t="str">
        <f t="shared" si="37"/>
        <v>¬</v>
      </c>
      <c r="D269" s="19" t="s">
        <v>1532</v>
      </c>
      <c r="E269" s="15" t="s">
        <v>1552</v>
      </c>
      <c r="F269" s="7"/>
      <c r="G269" s="7"/>
      <c r="H269" s="19"/>
      <c r="I269" s="19"/>
    </row>
    <row r="270" spans="1:9">
      <c r="A270" s="1" t="s">
        <v>269</v>
      </c>
      <c r="B270" t="str">
        <f t="shared" si="37"/>
        <v>¬</v>
      </c>
      <c r="D270" s="19" t="s">
        <v>1532</v>
      </c>
      <c r="E270" s="15" t="s">
        <v>1553</v>
      </c>
      <c r="F270" s="7"/>
      <c r="G270" s="7"/>
      <c r="H270" s="19"/>
      <c r="I270" s="19"/>
    </row>
    <row r="271" spans="1:9">
      <c r="A271" s="1" t="s">
        <v>270</v>
      </c>
      <c r="B271" t="str">
        <f t="shared" si="37"/>
        <v>¬</v>
      </c>
      <c r="D271" s="19" t="s">
        <v>1532</v>
      </c>
      <c r="E271" s="15" t="s">
        <v>1554</v>
      </c>
      <c r="F271" s="7"/>
      <c r="G271" s="7"/>
      <c r="H271" s="19"/>
      <c r="I271" s="19"/>
    </row>
    <row r="272" spans="1:9">
      <c r="A272" s="1" t="s">
        <v>271</v>
      </c>
      <c r="B272" t="str">
        <f t="shared" si="37"/>
        <v>¬</v>
      </c>
      <c r="D272" s="19" t="s">
        <v>1532</v>
      </c>
      <c r="E272" s="15" t="s">
        <v>1555</v>
      </c>
      <c r="F272" s="7"/>
      <c r="G272" s="7"/>
      <c r="H272" s="19"/>
      <c r="I272" s="19"/>
    </row>
    <row r="273" spans="1:14">
      <c r="A273" s="1" t="s">
        <v>272</v>
      </c>
      <c r="B273" t="str">
        <f t="shared" si="37"/>
        <v>¬</v>
      </c>
      <c r="D273" s="19" t="s">
        <v>1532</v>
      </c>
      <c r="E273" s="15" t="s">
        <v>1556</v>
      </c>
      <c r="F273" s="7"/>
      <c r="G273" s="7"/>
      <c r="H273" s="19"/>
      <c r="I273" s="19"/>
    </row>
    <row r="274" spans="1:14">
      <c r="A274" s="1" t="s">
        <v>273</v>
      </c>
      <c r="B274" t="str">
        <f t="shared" si="37"/>
        <v>¬</v>
      </c>
      <c r="D274" s="19" t="s">
        <v>1532</v>
      </c>
      <c r="E274" s="15" t="s">
        <v>1557</v>
      </c>
      <c r="F274" s="7"/>
      <c r="G274" s="7"/>
      <c r="H274" s="19"/>
      <c r="I274" s="19"/>
    </row>
    <row r="275" spans="1:14">
      <c r="A275" s="1" t="s">
        <v>274</v>
      </c>
      <c r="B275" t="str">
        <f t="shared" si="37"/>
        <v>¬</v>
      </c>
      <c r="D275" s="19" t="s">
        <v>1532</v>
      </c>
      <c r="E275" s="15" t="s">
        <v>1558</v>
      </c>
      <c r="F275" s="7"/>
      <c r="G275" s="7"/>
      <c r="H275" s="19"/>
      <c r="I275" s="19"/>
    </row>
    <row r="276" spans="1:14">
      <c r="A276" s="1" t="s">
        <v>275</v>
      </c>
      <c r="B276" t="str">
        <f t="shared" si="37"/>
        <v>¬</v>
      </c>
      <c r="D276" s="19" t="s">
        <v>1532</v>
      </c>
      <c r="E276" s="15" t="s">
        <v>1559</v>
      </c>
      <c r="F276" s="7"/>
      <c r="G276" s="7"/>
      <c r="H276" s="19"/>
      <c r="I276" s="19"/>
    </row>
    <row r="277" spans="1:14">
      <c r="A277" s="1" t="s">
        <v>276</v>
      </c>
      <c r="B277" t="str">
        <f t="shared" si="37"/>
        <v>¬</v>
      </c>
      <c r="D277" s="19" t="s">
        <v>1532</v>
      </c>
      <c r="E277" s="15" t="s">
        <v>1560</v>
      </c>
      <c r="F277" s="7"/>
      <c r="G277" s="7"/>
      <c r="H277" s="19"/>
      <c r="I277" s="19"/>
    </row>
    <row r="278" spans="1:14">
      <c r="A278" s="1" t="s">
        <v>277</v>
      </c>
      <c r="B278" t="str">
        <f t="shared" si="37"/>
        <v>¬</v>
      </c>
    </row>
    <row r="279" spans="1:14">
      <c r="A279" s="1" t="s">
        <v>278</v>
      </c>
      <c r="B279" t="str">
        <f t="shared" si="37"/>
        <v>¬</v>
      </c>
      <c r="D279" s="16" t="s">
        <v>1561</v>
      </c>
      <c r="E279" s="16"/>
      <c r="F279" s="16" t="s">
        <v>1347</v>
      </c>
      <c r="G279" s="16" t="s">
        <v>1348</v>
      </c>
      <c r="H279" s="16" t="s">
        <v>1349</v>
      </c>
      <c r="I279" s="16" t="s">
        <v>1350</v>
      </c>
      <c r="N279" s="60">
        <f ca="1">SUM(N280:N282)</f>
        <v>3</v>
      </c>
    </row>
    <row r="280" spans="1:14">
      <c r="A280" s="1" t="s">
        <v>279</v>
      </c>
      <c r="B280" t="str">
        <f t="shared" si="37"/>
        <v>¬</v>
      </c>
      <c r="D280" s="61" t="str" cm="1">
        <f t="array" aca="1" ref="D280" ca="1">INDEX(Attendance!$C$14:$GP$44,
       MATCH($F$4, Attendance!$C$14:$C$44, 0),
       MATCH(1, (Attendance!$C$12:$GP$12=$E280) * (Attendance!$C$13:$GP$13="Paid"), 0)
)</f>
        <v>Cash</v>
      </c>
      <c r="E280" s="41">
        <v>46054</v>
      </c>
      <c r="F280" s="61" cm="1">
        <f t="array" aca="1" ref="F280" ca="1">N(INDEX(Attendance!$C$14:$GP$104,
       MATCH($F$4, Attendance!$C$14:$C$104, 0),
       MATCH(1, (Attendance!$C$12:$GP$12=$E280) * (Attendance!$C$13:$GP$13=$F$279), 0)
))</f>
        <v>3</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0</v>
      </c>
      <c r="I280" s="61" t="str" cm="1">
        <f t="array" aca="1" ref="I280" ca="1">INDEX(Attendance!$C$14:$GP$44,
       MATCH($F$4, Attendance!$C$14:$C$44, 0),
       MATCH(1, (Attendance!$C$12:$GP$12=$E280) * (Attendance!$C$13:$GP$13=$I$279), 0)
)</f>
        <v>Quiet</v>
      </c>
      <c r="K280" s="18"/>
      <c r="L280" s="18"/>
      <c r="M280" s="18" t="s">
        <v>1562</v>
      </c>
      <c r="N280" s="61">
        <f ca="1">SUM(F$280:F$316)</f>
        <v>3</v>
      </c>
    </row>
    <row r="281" spans="1:14">
      <c r="A281" s="1" t="s">
        <v>280</v>
      </c>
      <c r="B281" t="str">
        <f t="shared" si="37"/>
        <v>¬</v>
      </c>
      <c r="D281" s="61" t="str" cm="1">
        <f t="array" aca="1" ref="D281" ca="1">INDEX(Attendance!$C$14:$GP$44,
       MATCH($F$4, Attendance!$C$14:$C$44, 0),
       MATCH(1, (Attendance!$C$12:$GP$12=$E281) * (Attendance!$C$13:$GP$13="Paid"), 0)
)</f>
        <v> </v>
      </c>
      <c r="E281" s="42">
        <f t="shared" ref="E281:E316" si="38">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7"/>
        <v>¬</v>
      </c>
      <c r="D282" s="61" t="str" cm="1">
        <f t="array" aca="1" ref="D282" ca="1">INDEX(Attendance!$C$14:$GP$44,
       MATCH($F$4, Attendance!$C$14:$C$44, 0),
       MATCH(1, (Attendance!$C$12:$GP$12=$E282) * (Attendance!$C$13:$GP$13="Paid"), 0)
)</f>
        <v> </v>
      </c>
      <c r="E282" s="42">
        <f t="shared" si="38"/>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0</v>
      </c>
    </row>
    <row r="283" spans="1:14">
      <c r="A283" s="1" t="s">
        <v>282</v>
      </c>
      <c r="B283" t="str">
        <f t="shared" si="37"/>
        <v>¬</v>
      </c>
      <c r="D283" s="61" t="str" cm="1">
        <f t="array" aca="1" ref="D283" ca="1">INDEX(Attendance!$C$14:$GP$44,
       MATCH($F$4, Attendance!$C$14:$C$44, 0),
       MATCH(1, (Attendance!$C$12:$GP$12=$E283) * (Attendance!$C$13:$GP$13="Paid"), 0)
)</f>
        <v> </v>
      </c>
      <c r="E283" s="42">
        <f t="shared" si="38"/>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9">IF(AE44="","¬",AE44)</f>
        <v>Cost: -  •  Pool: -  •  Instant  •  Scene</v>
      </c>
      <c r="D284" s="61" t="str" cm="1">
        <f t="array" aca="1" ref="D284" ca="1">INDEX(Attendance!$C$14:$GP$44,
       MATCH($F$4, Attendance!$C$14:$C$44, 0),
       MATCH(1, (Attendance!$C$12:$GP$12=$E284) * (Attendance!$C$13:$GP$13="Paid"), 0)
)</f>
        <v> </v>
      </c>
      <c r="E284" s="42">
        <f t="shared" si="38"/>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9"/>
        <v>Cost: Varies  •  Pool: -  •  Instant  •  Indefinite</v>
      </c>
      <c r="D285" s="61" t="str" cm="1">
        <f t="array" aca="1" ref="D285" ca="1">INDEX(Attendance!$C$14:$GP$44,
       MATCH($F$4, Attendance!$C$14:$C$44, 0),
       MATCH(1, (Attendance!$C$12:$GP$12=$E285) * (Attendance!$C$13:$GP$13="Paid"), 0)
)</f>
        <v> </v>
      </c>
      <c r="E285" s="42">
        <f t="shared" si="38"/>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9"/>
        <v>Cost: 1 V  •  Pool: -  •  Instant  •  Scene</v>
      </c>
      <c r="D286" s="61" t="str" cm="1">
        <f t="array" aca="1" ref="D286" ca="1">INDEX(Attendance!$C$14:$GP$44,
       MATCH($F$4, Attendance!$C$14:$C$44, 0),
       MATCH(1, (Attendance!$C$12:$GP$12=$E286) * (Attendance!$C$13:$GP$13="Paid"), 0)
)</f>
        <v> </v>
      </c>
      <c r="E286" s="42">
        <f t="shared" si="38"/>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9"/>
        <v>Cost: 2 V  •  Pool: -  •  Instant  •  Indefinite</v>
      </c>
      <c r="D287" s="61" t="str" cm="1">
        <f t="array" aca="1" ref="D287" ca="1">INDEX(Attendance!$C$14:$GP$44,
       MATCH($F$4, Attendance!$C$14:$C$44, 0),
       MATCH(1, (Attendance!$C$12:$GP$12=$E287) * (Attendance!$C$13:$GP$13="Paid"), 0)
)</f>
        <v> </v>
      </c>
      <c r="E287" s="42">
        <f t="shared" si="38"/>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9"/>
        <v>¬</v>
      </c>
      <c r="D288" s="61" t="str" cm="1">
        <f t="array" aca="1" ref="D288" ca="1">INDEX(Attendance!$C$14:$GP$44,
       MATCH($F$4, Attendance!$C$14:$C$44, 0),
       MATCH(1, (Attendance!$C$12:$GP$12=$E288) * (Attendance!$C$13:$GP$13="Paid"), 0)
)</f>
        <v> </v>
      </c>
      <c r="E288" s="42">
        <f t="shared" si="38"/>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9"/>
        <v>¬</v>
      </c>
      <c r="D289" s="61" t="str" cm="1">
        <f t="array" aca="1" ref="D289" ca="1">INDEX(Attendance!$C$14:$GP$44,
       MATCH($F$4, Attendance!$C$14:$C$44, 0),
       MATCH(1, (Attendance!$C$12:$GP$12=$E289) * (Attendance!$C$13:$GP$13="Paid"), 0)
)</f>
        <v> </v>
      </c>
      <c r="E289" s="42">
        <f t="shared" si="38"/>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9"/>
        <v>¬</v>
      </c>
      <c r="D290" s="61" t="str" cm="1">
        <f t="array" aca="1" ref="D290" ca="1">INDEX(Attendance!$C$14:$GP$44,
       MATCH($F$4, Attendance!$C$14:$C$44, 0),
       MATCH(1, (Attendance!$C$12:$GP$12=$E290) * (Attendance!$C$13:$GP$13="Paid"), 0)
)</f>
        <v> </v>
      </c>
      <c r="E290" s="42">
        <f t="shared" si="38"/>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9"/>
        <v>Cost: 1 V 1 Successes  •  Pool: 6  •  Ritual  •  Scene</v>
      </c>
      <c r="D291" s="61" t="str" cm="1">
        <f t="array" aca="1" ref="D291" ca="1">INDEX(Attendance!$C$14:$GP$44,
       MATCH($F$4, Attendance!$C$14:$C$44, 0),
       MATCH(1, (Attendance!$C$12:$GP$12=$E291) * (Attendance!$C$13:$GP$13="Paid"), 0)
)</f>
        <v> </v>
      </c>
      <c r="E291" s="42">
        <f t="shared" si="38"/>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9"/>
        <v>¬</v>
      </c>
      <c r="D292" s="61" t="str" cm="1">
        <f t="array" aca="1" ref="D292" ca="1">INDEX(Attendance!$C$14:$GP$44,
       MATCH($F$4, Attendance!$C$14:$C$44, 0),
       MATCH(1, (Attendance!$C$12:$GP$12=$E292) * (Attendance!$C$13:$GP$13="Paid"), 0)
)</f>
        <v> </v>
      </c>
      <c r="E292" s="42">
        <f t="shared" si="38"/>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9"/>
        <v>¬</v>
      </c>
      <c r="D293" s="61" t="str" cm="1">
        <f t="array" aca="1" ref="D293" ca="1">INDEX(Attendance!$C$14:$GP$44,
       MATCH($F$4, Attendance!$C$14:$C$44, 0),
       MATCH(1, (Attendance!$C$12:$GP$12=$E293) * (Attendance!$C$13:$GP$13="Paid"), 0)
)</f>
        <v> </v>
      </c>
      <c r="E293" s="42">
        <f t="shared" si="38"/>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9"/>
        <v>¬</v>
      </c>
      <c r="D294" s="61" t="str" cm="1">
        <f t="array" aca="1" ref="D294" ca="1">INDEX(Attendance!$C$14:$GP$44,
       MATCH($F$4, Attendance!$C$14:$C$44, 0),
       MATCH(1, (Attendance!$C$12:$GP$12=$E294) * (Attendance!$C$13:$GP$13="Paid"), 0)
)</f>
        <v> </v>
      </c>
      <c r="E294" s="42">
        <f t="shared" si="38"/>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9"/>
        <v>¬</v>
      </c>
      <c r="D295" s="61" t="str" cm="1">
        <f t="array" aca="1" ref="D295" ca="1">INDEX(Attendance!$C$14:$GP$44,
       MATCH($F$4, Attendance!$C$14:$C$44, 0),
       MATCH(1, (Attendance!$C$12:$GP$12=$E295) * (Attendance!$C$13:$GP$13="Paid"), 0)
)</f>
        <v> </v>
      </c>
      <c r="E295" s="42">
        <f t="shared" si="38"/>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9"/>
        <v>¬</v>
      </c>
      <c r="D296" s="61" t="str" cm="1">
        <f t="array" aca="1" ref="D296" ca="1">INDEX(Attendance!$C$14:$GP$44,
       MATCH($F$4, Attendance!$C$14:$C$44, 0),
       MATCH(1, (Attendance!$C$12:$GP$12=$E296) * (Attendance!$C$13:$GP$13="Paid"), 0)
)</f>
        <v> </v>
      </c>
      <c r="E296" s="42">
        <f t="shared" si="38"/>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9"/>
        <v>¬</v>
      </c>
      <c r="D297" s="61" t="str" cm="1">
        <f t="array" aca="1" ref="D297" ca="1">INDEX(Attendance!$C$14:$GP$44,
       MATCH($F$4, Attendance!$C$14:$C$44, 0),
       MATCH(1, (Attendance!$C$12:$GP$12=$E297) * (Attendance!$C$13:$GP$13="Paid"), 0)
)</f>
        <v> </v>
      </c>
      <c r="E297" s="42">
        <f t="shared" si="38"/>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9"/>
        <v>¬</v>
      </c>
      <c r="D298" s="61" t="str" cm="1">
        <f t="array" aca="1" ref="D298" ca="1">INDEX(Attendance!$C$14:$GP$44,
       MATCH($F$4, Attendance!$C$14:$C$44, 0),
       MATCH(1, (Attendance!$C$12:$GP$12=$E298) * (Attendance!$C$13:$GP$13="Paid"), 0)
)</f>
        <v> </v>
      </c>
      <c r="E298" s="42">
        <f t="shared" si="38"/>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9"/>
        <v>¬</v>
      </c>
      <c r="D299" s="61" t="str" cm="1">
        <f t="array" aca="1" ref="D299" ca="1">INDEX(Attendance!$C$14:$GP$44,
       MATCH($F$4, Attendance!$C$14:$C$44, 0),
       MATCH(1, (Attendance!$C$12:$GP$12=$E299) * (Attendance!$C$13:$GP$13="Paid"), 0)
)</f>
        <v> </v>
      </c>
      <c r="E299" s="42">
        <f t="shared" si="38"/>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9"/>
        <v>¬</v>
      </c>
      <c r="D300" s="61" t="str" cm="1">
        <f t="array" aca="1" ref="D300" ca="1">INDEX(Attendance!$C$14:$GP$44,
       MATCH($F$4, Attendance!$C$14:$C$44, 0),
       MATCH(1, (Attendance!$C$12:$GP$12=$E300) * (Attendance!$C$13:$GP$13="Paid"), 0)
)</f>
        <v> </v>
      </c>
      <c r="E300" s="42">
        <f t="shared" si="38"/>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9"/>
        <v>¬</v>
      </c>
      <c r="D301" s="61" t="str" cm="1">
        <f t="array" aca="1" ref="D301" ca="1">INDEX(Attendance!$C$14:$GP$44,
       MATCH($F$4, Attendance!$C$14:$C$44, 0),
       MATCH(1, (Attendance!$C$12:$GP$12=$E301) * (Attendance!$C$13:$GP$13="Paid"), 0)
)</f>
        <v> </v>
      </c>
      <c r="E301" s="42">
        <f t="shared" si="38"/>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9"/>
        <v>¬</v>
      </c>
      <c r="D302" s="61" t="str" cm="1">
        <f t="array" aca="1" ref="D302" ca="1">INDEX(Attendance!$C$14:$GP$44,
       MATCH($F$4, Attendance!$C$14:$C$44, 0),
       MATCH(1, (Attendance!$C$12:$GP$12=$E302) * (Attendance!$C$13:$GP$13="Paid"), 0)
)</f>
        <v> </v>
      </c>
      <c r="E302" s="42">
        <f t="shared" si="38"/>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9"/>
        <v>¬</v>
      </c>
      <c r="D303" s="61" t="str" cm="1">
        <f t="array" aca="1" ref="D303" ca="1">INDEX(Attendance!$C$14:$GP$44,
       MATCH($F$4, Attendance!$C$14:$C$44, 0),
       MATCH(1, (Attendance!$C$12:$GP$12=$E303) * (Attendance!$C$13:$GP$13="Paid"), 0)
)</f>
        <v> </v>
      </c>
      <c r="E303" s="42">
        <f t="shared" si="38"/>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9"/>
        <v>¬</v>
      </c>
      <c r="D304" s="61" t="str" cm="1">
        <f t="array" aca="1" ref="D304" ca="1">INDEX(Attendance!$C$14:$GP$44,
       MATCH($F$4, Attendance!$C$14:$C$44, 0),
       MATCH(1, (Attendance!$C$12:$GP$12=$E304) * (Attendance!$C$13:$GP$13="Paid"), 0)
)</f>
        <v> </v>
      </c>
      <c r="E304" s="42">
        <f t="shared" si="38"/>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9"/>
        <v>¬</v>
      </c>
      <c r="D305" s="61" t="str" cm="1">
        <f t="array" aca="1" ref="D305" ca="1">INDEX(Attendance!$C$14:$GP$44,
       MATCH($F$4, Attendance!$C$14:$C$44, 0),
       MATCH(1, (Attendance!$C$12:$GP$12=$E305) * (Attendance!$C$13:$GP$13="Paid"), 0)
)</f>
        <v> </v>
      </c>
      <c r="E305" s="42">
        <f t="shared" si="38"/>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9"/>
        <v>¬</v>
      </c>
      <c r="D306" s="61" t="str" cm="1">
        <f t="array" aca="1" ref="D306" ca="1">INDEX(Attendance!$C$14:$GP$44,
       MATCH($F$4, Attendance!$C$14:$C$44, 0),
       MATCH(1, (Attendance!$C$12:$GP$12=$E306) * (Attendance!$C$13:$GP$13="Paid"), 0)
)</f>
        <v> </v>
      </c>
      <c r="E306" s="42">
        <f t="shared" si="38"/>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9"/>
        <v>¬</v>
      </c>
      <c r="D307" s="61" t="str" cm="1">
        <f t="array" aca="1" ref="D307" ca="1">INDEX(Attendance!$C$14:$GP$44,
       MATCH($F$4, Attendance!$C$14:$C$44, 0),
       MATCH(1, (Attendance!$C$12:$GP$12=$E307) * (Attendance!$C$13:$GP$13="Paid"), 0)
)</f>
        <v> </v>
      </c>
      <c r="E307" s="42">
        <f t="shared" si="38"/>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9"/>
        <v>¬</v>
      </c>
      <c r="D308" s="61" t="str" cm="1">
        <f t="array" aca="1" ref="D308" ca="1">INDEX(Attendance!$C$14:$GP$44,
       MATCH($F$4, Attendance!$C$14:$C$44, 0),
       MATCH(1, (Attendance!$C$12:$GP$12=$E308) * (Attendance!$C$13:$GP$13="Paid"), 0)
)</f>
        <v> </v>
      </c>
      <c r="E308" s="42">
        <f t="shared" si="38"/>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9"/>
        <v>¬</v>
      </c>
      <c r="D309" s="61" t="str" cm="1">
        <f t="array" aca="1" ref="D309" ca="1">INDEX(Attendance!$C$14:$GP$44,
       MATCH($F$4, Attendance!$C$14:$C$44, 0),
       MATCH(1, (Attendance!$C$12:$GP$12=$E309) * (Attendance!$C$13:$GP$13="Paid"), 0)
)</f>
        <v> </v>
      </c>
      <c r="E309" s="42">
        <f t="shared" si="38"/>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9"/>
        <v>¬</v>
      </c>
      <c r="D310" s="61" t="str" cm="1">
        <f t="array" aca="1" ref="D310" ca="1">INDEX(Attendance!$C$14:$GP$44,
       MATCH($F$4, Attendance!$C$14:$C$44, 0),
       MATCH(1, (Attendance!$C$12:$GP$12=$E310) * (Attendance!$C$13:$GP$13="Paid"), 0)
)</f>
        <v> </v>
      </c>
      <c r="E310" s="42">
        <f t="shared" si="38"/>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9"/>
        <v>¬</v>
      </c>
      <c r="D311" s="61" t="str" cm="1">
        <f t="array" aca="1" ref="D311" ca="1">INDEX(Attendance!$C$14:$GP$44,
       MATCH($F$4, Attendance!$C$14:$C$44, 0),
       MATCH(1, (Attendance!$C$12:$GP$12=$E311) * (Attendance!$C$13:$GP$13="Paid"), 0)
)</f>
        <v> </v>
      </c>
      <c r="E311" s="42">
        <f t="shared" si="38"/>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9"/>
        <v>¬</v>
      </c>
      <c r="D312" s="61" t="str" cm="1">
        <f t="array" aca="1" ref="D312" ca="1">INDEX(Attendance!$C$14:$GP$44,
       MATCH($F$4, Attendance!$C$14:$C$44, 0),
       MATCH(1, (Attendance!$C$12:$GP$12=$E312) * (Attendance!$C$13:$GP$13="Paid"), 0)
)</f>
        <v> </v>
      </c>
      <c r="E312" s="42">
        <f t="shared" si="38"/>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9"/>
        <v>¬</v>
      </c>
      <c r="D313" s="61" t="str" cm="1">
        <f t="array" aca="1" ref="D313" ca="1">INDEX(Attendance!$C$14:$GP$44,
       MATCH($F$4, Attendance!$C$14:$C$44, 0),
       MATCH(1, (Attendance!$C$12:$GP$12=$E313) * (Attendance!$C$13:$GP$13="Paid"), 0)
)</f>
        <v> </v>
      </c>
      <c r="E313" s="42">
        <f t="shared" si="38"/>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40">IF(AF44="","¬",AF44)</f>
        <v>Become centre of attention. Subjects become Awed.</v>
      </c>
      <c r="D314" s="61" t="str" cm="1">
        <f t="array" aca="1" ref="D314" ca="1">INDEX(Attendance!$C$14:$GP$44,
       MATCH($F$4, Attendance!$C$14:$C$44, 0),
       MATCH(1, (Attendance!$C$12:$GP$12=$E314) * (Attendance!$C$13:$GP$13="Paid"), 0)
)</f>
        <v> </v>
      </c>
      <c r="E314" s="42">
        <f t="shared" si="38"/>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40"/>
        <v>Merge with soil.</v>
      </c>
      <c r="D315" s="61" t="str" cm="1">
        <f t="array" aca="1" ref="D315" ca="1">INDEX(Attendance!$C$14:$GP$44,
       MATCH($F$4, Attendance!$C$14:$C$44, 0),
       MATCH(1, (Attendance!$C$12:$GP$12=$E315) * (Attendance!$C$13:$GP$13="Paid"), 0)
)</f>
        <v> </v>
      </c>
      <c r="E315" s="42">
        <f t="shared" si="38"/>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40"/>
        <v>Take on animal traits.</v>
      </c>
      <c r="D316" s="61" t="str" cm="1">
        <f t="array" aca="1" ref="D316" ca="1">INDEX(Attendance!$C$14:$GP$44,
       MATCH($F$4, Attendance!$C$14:$C$44, 0),
       MATCH(1, (Attendance!$C$12:$GP$12=$E316) * (Attendance!$C$13:$GP$13="Paid"), 0)
)</f>
        <v> </v>
      </c>
      <c r="E316" s="42">
        <f t="shared" si="38"/>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40"/>
        <v>Transform into predatory animal.</v>
      </c>
    </row>
    <row r="318" spans="1:9">
      <c r="A318" s="1" t="s">
        <v>317</v>
      </c>
      <c r="B318" t="str">
        <f t="shared" si="40"/>
        <v>Summon liquids, dead organic matter, sensory phenomena. Bonus/penalty = Potency.</v>
      </c>
    </row>
    <row r="319" spans="1:9">
      <c r="A319" s="1" t="s">
        <v>318</v>
      </c>
      <c r="B319" t="str">
        <f t="shared" si="40"/>
        <v>Upgrade bashing to lethal. Produce poisons (Toxicity = Potency).</v>
      </c>
    </row>
    <row r="320" spans="1:9">
      <c r="A320" s="1" t="s">
        <v>319</v>
      </c>
      <c r="B320" t="str">
        <f t="shared" si="40"/>
        <v>Subtract Potency from ritual rolls targeting subject. Heal bashing in vampires. Protect from the Kiss (add Potency to resistance).</v>
      </c>
    </row>
    <row r="321" spans="1:2">
      <c r="A321" s="1" t="s">
        <v>320</v>
      </c>
      <c r="B321" t="str">
        <f t="shared" si="40"/>
        <v>Dance to exhaustion. Add Cruac as a Presence bonus for the night.</v>
      </c>
    </row>
    <row r="322" spans="1:2">
      <c r="A322" s="1" t="s">
        <v>321</v>
      </c>
      <c r="B322" t="str">
        <f t="shared" si="40"/>
        <v>¬</v>
      </c>
    </row>
    <row r="323" spans="1:2">
      <c r="A323" s="1" t="s">
        <v>322</v>
      </c>
      <c r="B323" t="str">
        <f t="shared" si="40"/>
        <v>¬</v>
      </c>
    </row>
    <row r="324" spans="1:2">
      <c r="A324" s="1" t="s">
        <v>323</v>
      </c>
      <c r="B324" t="str">
        <f t="shared" si="40"/>
        <v>¬</v>
      </c>
    </row>
    <row r="325" spans="1:2">
      <c r="A325" s="1" t="s">
        <v>324</v>
      </c>
      <c r="B325" t="str">
        <f t="shared" si="40"/>
        <v>¬</v>
      </c>
    </row>
    <row r="326" spans="1:2">
      <c r="A326" s="1" t="s">
        <v>325</v>
      </c>
      <c r="B326" t="str">
        <f t="shared" si="40"/>
        <v>¬</v>
      </c>
    </row>
    <row r="327" spans="1:2">
      <c r="A327" s="1" t="s">
        <v>326</v>
      </c>
      <c r="B327" t="str">
        <f t="shared" si="40"/>
        <v>¬</v>
      </c>
    </row>
    <row r="328" spans="1:2">
      <c r="A328" s="1" t="s">
        <v>327</v>
      </c>
      <c r="B328" t="str">
        <f t="shared" si="40"/>
        <v>¬</v>
      </c>
    </row>
    <row r="329" spans="1:2">
      <c r="A329" s="1" t="s">
        <v>328</v>
      </c>
      <c r="B329" t="str">
        <f t="shared" si="40"/>
        <v>¬</v>
      </c>
    </row>
    <row r="330" spans="1:2">
      <c r="A330" s="1" t="s">
        <v>329</v>
      </c>
      <c r="B330" t="str">
        <f t="shared" si="40"/>
        <v>¬</v>
      </c>
    </row>
    <row r="331" spans="1:2">
      <c r="A331" s="1" t="s">
        <v>330</v>
      </c>
      <c r="B331" t="str">
        <f t="shared" si="40"/>
        <v>¬</v>
      </c>
    </row>
    <row r="332" spans="1:2">
      <c r="A332" s="1" t="s">
        <v>331</v>
      </c>
      <c r="B332" t="str">
        <f t="shared" si="40"/>
        <v>¬</v>
      </c>
    </row>
    <row r="333" spans="1:2">
      <c r="A333" s="1" t="s">
        <v>332</v>
      </c>
      <c r="B333" t="str">
        <f t="shared" si="40"/>
        <v>¬</v>
      </c>
    </row>
    <row r="334" spans="1:2">
      <c r="A334" s="1" t="s">
        <v>333</v>
      </c>
      <c r="B334" t="str">
        <f t="shared" si="40"/>
        <v>¬</v>
      </c>
    </row>
    <row r="335" spans="1:2">
      <c r="A335" s="1" t="s">
        <v>334</v>
      </c>
      <c r="B335" t="str">
        <f t="shared" si="40"/>
        <v>¬</v>
      </c>
    </row>
    <row r="336" spans="1:2">
      <c r="A336" s="1" t="s">
        <v>335</v>
      </c>
      <c r="B336" t="str">
        <f t="shared" si="40"/>
        <v>¬</v>
      </c>
    </row>
    <row r="337" spans="1:2">
      <c r="A337" s="1" t="s">
        <v>336</v>
      </c>
      <c r="B337" t="str">
        <f t="shared" si="40"/>
        <v>¬</v>
      </c>
    </row>
    <row r="338" spans="1:2">
      <c r="A338" s="1" t="s">
        <v>337</v>
      </c>
      <c r="B338" t="str">
        <f t="shared" si="40"/>
        <v>¬</v>
      </c>
    </row>
    <row r="339" spans="1:2">
      <c r="A339" s="1" t="s">
        <v>338</v>
      </c>
      <c r="B339" t="str">
        <f t="shared" si="40"/>
        <v>¬</v>
      </c>
    </row>
    <row r="340" spans="1:2">
      <c r="A340" s="1" t="s">
        <v>339</v>
      </c>
      <c r="B340" t="str">
        <f t="shared" si="40"/>
        <v>¬</v>
      </c>
    </row>
    <row r="341" spans="1:2">
      <c r="A341" s="1" t="s">
        <v>340</v>
      </c>
      <c r="B341" t="str">
        <f t="shared" si="40"/>
        <v>¬</v>
      </c>
    </row>
    <row r="342" spans="1:2">
      <c r="A342" s="1" t="s">
        <v>341</v>
      </c>
      <c r="B342" t="str">
        <f t="shared" si="40"/>
        <v>¬</v>
      </c>
    </row>
    <row r="343" spans="1:2">
      <c r="A343" s="1" t="s">
        <v>342</v>
      </c>
      <c r="B343" t="str">
        <f t="shared" si="40"/>
        <v>¬</v>
      </c>
    </row>
    <row r="344" spans="1:2">
      <c r="A344" s="1" t="s">
        <v>343</v>
      </c>
      <c r="B344" s="8" t="str">
        <f>IF(VLOOKUP(tblCharDataBrandy[[#This Row],[Field]],$E$2:$F$361,2,FALSE)="","¬",VLOOKUP(tblCharDataBrandy[[#This Row],[Field]],$E$2:$F$361,2,FALSE))</f>
        <v>Feral Curse</v>
      </c>
    </row>
    <row r="345" spans="1:2">
      <c r="A345" s="1" t="s">
        <v>344</v>
      </c>
      <c r="B345" s="8" t="str">
        <f>IF(VLOOKUP(tblCharDataBrandy[[#This Row],[Field]],$E$2:$F$361,2,FALSE)="","¬",VLOOKUP(tblCharDataBrandy[[#This Row],[Field]],$E$2:$F$361,2,FALSE))</f>
        <v>¬</v>
      </c>
    </row>
    <row r="346" spans="1:2">
      <c r="A346" s="1" t="s">
        <v>345</v>
      </c>
      <c r="B346" s="8" t="str">
        <f>IF(VLOOKUP(tblCharDataBrandy[[#This Row],[Field]],$E$2:$F$361,2,FALSE)="","¬",VLOOKUP(tblCharDataBrandy[[#This Row],[Field]],$E$2:$F$361,2,FALSE))</f>
        <v>¬</v>
      </c>
    </row>
    <row r="347" spans="1:2">
      <c r="A347" s="1" t="s">
        <v>346</v>
      </c>
      <c r="B347" s="8" t="str">
        <f>IF(VLOOKUP(tblCharDataBrandy[[#This Row],[Field]],$E$2:$F$361,2,FALSE)="","¬",VLOOKUP(tblCharDataBrandy[[#This Row],[Field]],$E$2:$F$361,2,FALSE))</f>
        <v>¬</v>
      </c>
    </row>
    <row r="348" spans="1:2">
      <c r="A348" s="1" t="s">
        <v>347</v>
      </c>
      <c r="B348" s="8" t="str">
        <f>IF(VLOOKUP(tblCharDataBrandy[[#This Row],[Field]],$E$2:$F$361,2,FALSE)="","¬",VLOOKUP(tblCharDataBrandy[[#This Row],[Field]],$E$2:$F$361,2,FALSE))</f>
        <v>¬</v>
      </c>
    </row>
    <row r="349" spans="1:2">
      <c r="A349" s="1" t="s">
        <v>348</v>
      </c>
      <c r="B349" t="str">
        <f>_xlfn.IFNA(VLOOKUP(B344,$F$234:$I$238,3,FALSE),"")</f>
        <v>Frenzy resistance dice pools capped by Humanity (doesn't affect Riding the Wave).</v>
      </c>
    </row>
    <row r="350" spans="1:2">
      <c r="A350" s="1" t="s">
        <v>349</v>
      </c>
      <c r="B350" t="str">
        <f>_xlfn.IFNA(VLOOKUP(B345,$F$234:$I$238,3,FALSE),"¬")</f>
        <v>¬</v>
      </c>
    </row>
    <row r="351" spans="1:2">
      <c r="A351" s="1" t="s">
        <v>350</v>
      </c>
      <c r="B351" t="str">
        <f>_xlfn.IFNA(VLOOKUP(B346,$F$234:$I$238,3,FALSE),"")</f>
        <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10</v>
      </c>
    </row>
    <row r="356" spans="1:2">
      <c r="A356" s="1" t="s">
        <v>355</v>
      </c>
      <c r="B356">
        <f ca="1">P220</f>
        <v>2</v>
      </c>
    </row>
    <row r="357" spans="1:2">
      <c r="A357" s="1" t="s">
        <v>356</v>
      </c>
      <c r="B357" t="str">
        <f>IF(F10="","¬",VLOOKUP(F10,tblAnchors[],2,FALSE))</f>
        <v>Revisit an already successful action to hammer out a flaw.</v>
      </c>
    </row>
    <row r="358" spans="1:2">
      <c r="A358" s="1" t="s">
        <v>357</v>
      </c>
      <c r="B358" t="str">
        <f>IF(F10="","¬",VLOOKUP(F10,tblAnchors[],3,FALSE))</f>
        <v>Stick with a failed and dangerous plan in order to fix what went wrong.</v>
      </c>
    </row>
    <row r="359" spans="1:2">
      <c r="A359" s="1" t="s">
        <v>358</v>
      </c>
      <c r="B359" t="str">
        <f>IF(F11="","¬",VLOOKUP(F11,tblAnchors[],2,FALSE))</f>
        <v>Cause pain for the sole intention of causing pain.</v>
      </c>
    </row>
    <row r="360" spans="1:2">
      <c r="A360" s="1" t="s">
        <v>359</v>
      </c>
      <c r="B360" t="str">
        <f>IF(F11="","¬",VLOOKUP(F11,tblAnchors[],3,FALSE))</f>
        <v>Commit a capital crime without additional motive.</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
      </c>
    </row>
    <row r="365" spans="1:2">
      <c r="A365" s="1" t="s">
        <v>364</v>
      </c>
      <c r="B365" t="str">
        <f>_xlfn.LET(_xlpm.a,IF(F244="","",F244),_xlpm.b,IF(F245="","",F245),IF(AND(_xlpm.a&lt;&gt;"",_xlpm.b&lt;&gt;""),_xlpm.a&amp;", "&amp;_xlpm.b,IF(_xlpm.a&lt;&gt;"",_xlpm.a,IF(_xlpm.b&lt;&gt;"",_xlpm.b,""))))</f>
        <v/>
      </c>
    </row>
  </sheetData>
  <mergeCells count="89">
    <mergeCell ref="H85:I85"/>
    <mergeCell ref="O8:P8"/>
    <mergeCell ref="O9:P9"/>
    <mergeCell ref="O10:P10"/>
    <mergeCell ref="O11:P11"/>
    <mergeCell ref="O12:P12"/>
    <mergeCell ref="H79:I79"/>
    <mergeCell ref="H80:I80"/>
    <mergeCell ref="H81:I81"/>
    <mergeCell ref="H82:I82"/>
    <mergeCell ref="H83:I83"/>
    <mergeCell ref="H84:I84"/>
    <mergeCell ref="H97:I97"/>
    <mergeCell ref="H86:I86"/>
    <mergeCell ref="H87:I87"/>
    <mergeCell ref="H88:I88"/>
    <mergeCell ref="H89:I89"/>
    <mergeCell ref="H90:I90"/>
    <mergeCell ref="H91:I91"/>
    <mergeCell ref="H92:I92"/>
    <mergeCell ref="H93:I93"/>
    <mergeCell ref="H94:I94"/>
    <mergeCell ref="H95:I95"/>
    <mergeCell ref="H96:I96"/>
    <mergeCell ref="H111:I111"/>
    <mergeCell ref="H98:I98"/>
    <mergeCell ref="H101:I101"/>
    <mergeCell ref="H102:I102"/>
    <mergeCell ref="H103:I103"/>
    <mergeCell ref="H104:I104"/>
    <mergeCell ref="H105:I105"/>
    <mergeCell ref="H106:I106"/>
    <mergeCell ref="H107:I107"/>
    <mergeCell ref="H108:I108"/>
    <mergeCell ref="H109:I109"/>
    <mergeCell ref="H110:I110"/>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52:I152"/>
    <mergeCell ref="H141:I141"/>
    <mergeCell ref="H142:I142"/>
    <mergeCell ref="H143:I143"/>
    <mergeCell ref="H144:I144"/>
    <mergeCell ref="H145:I145"/>
    <mergeCell ref="H146:I146"/>
    <mergeCell ref="H147:I147"/>
    <mergeCell ref="H148:I148"/>
    <mergeCell ref="H149:I149"/>
    <mergeCell ref="H150:I150"/>
    <mergeCell ref="H151:I151"/>
    <mergeCell ref="H207:I207"/>
    <mergeCell ref="H153:I153"/>
    <mergeCell ref="H154:I154"/>
    <mergeCell ref="H155:I155"/>
    <mergeCell ref="H156:I156"/>
    <mergeCell ref="H157:I157"/>
    <mergeCell ref="H177:I177"/>
    <mergeCell ref="H178:I178"/>
    <mergeCell ref="H179:I179"/>
    <mergeCell ref="H180:I180"/>
    <mergeCell ref="H181:I181"/>
    <mergeCell ref="H206:I206"/>
    <mergeCell ref="H238:I238"/>
    <mergeCell ref="H208:I208"/>
    <mergeCell ref="H209:I209"/>
    <mergeCell ref="H210:I210"/>
    <mergeCell ref="H211:I211"/>
    <mergeCell ref="H212:I212"/>
    <mergeCell ref="H213:I213"/>
    <mergeCell ref="H214:I214"/>
    <mergeCell ref="H215:I215"/>
    <mergeCell ref="H234:I234"/>
    <mergeCell ref="H236:I236"/>
    <mergeCell ref="H237:I237"/>
    <mergeCell ref="F240:I240"/>
    <mergeCell ref="F241:I241"/>
    <mergeCell ref="F242:I242"/>
    <mergeCell ref="F244:I244"/>
    <mergeCell ref="F245:I245"/>
  </mergeCells>
  <dataValidations disablePrompts="1" count="15">
    <dataValidation type="list" allowBlank="1" showInputMessage="1" showErrorMessage="1" sqref="G248:G277" xr:uid="{C13A7497-1152-427C-A731-0DEE7EA7FCF0}">
      <formula1>$I$248:$I$249</formula1>
    </dataValidation>
    <dataValidation type="list" allowBlank="1" showInputMessage="1" showErrorMessage="1" sqref="F101:F120" xr:uid="{C1BEAA8B-E9A2-4414-A2BD-F7EEC1D20B1C}">
      <formula1>lstManoeuvres</formula1>
    </dataValidation>
    <dataValidation type="list" allowBlank="1" showInputMessage="1" showErrorMessage="1" sqref="F79:F98" xr:uid="{94983324-62AE-4896-8676-2E1C5299AE13}">
      <formula1>lstMerits</formula1>
    </dataValidation>
    <dataValidation type="list" allowBlank="1" showInputMessage="1" showErrorMessage="1" sqref="F236:F238" xr:uid="{F80E1141-24C1-4801-A3AB-D320E949E72A}">
      <formula1>lstBanes</formula1>
    </dataValidation>
    <dataValidation type="list" allowBlank="1" showInputMessage="1" showErrorMessage="1" sqref="F206:F215" xr:uid="{83EDB529-5BA4-490A-95A1-0650F7334B49}">
      <formula1>lstPacts</formula1>
    </dataValidation>
    <dataValidation type="list" allowBlank="1" showInputMessage="1" showErrorMessage="1" sqref="G12:G13" xr:uid="{DF6704F4-A2BF-40E2-AE7D-E19C533E26ED}">
      <formula1>lstStatus</formula1>
    </dataValidation>
    <dataValidation type="list" allowBlank="1" showInputMessage="1" showErrorMessage="1" sqref="F207:F215 F194:F205" xr:uid="{D8E88C89-C56F-4F75-B905-FC7C2CF4C467}">
      <formula1>lstRites</formula1>
    </dataValidation>
    <dataValidation type="list" allowBlank="1" showInputMessage="1" showErrorMessage="1" sqref="F177:F181" xr:uid="{894803B1-0606-4389-AE8B-E93C64698025}">
      <formula1>lstDevotions</formula1>
    </dataValidation>
    <dataValidation type="list" allowBlank="1" showInputMessage="1" showErrorMessage="1" sqref="F17:F21" xr:uid="{E4E3FAF0-3D92-4C8D-A2E0-20E02CD56A72}">
      <formula1>"TRUE,FALSE"</formula1>
    </dataValidation>
    <dataValidation type="list" allowBlank="1" showInputMessage="1" showErrorMessage="1" sqref="F24" xr:uid="{5B105627-7EA3-48E3-BE63-CD0B37420E6F}">
      <formula1>$D$7:$D$8</formula1>
    </dataValidation>
    <dataValidation type="list" allowBlank="1" showInputMessage="1" showErrorMessage="1" sqref="I25 I30 I35 I41 I51 I61" xr:uid="{2563FFF6-DEDE-44B6-AFC7-7A081CAAD71D}">
      <formula1>lstPriority</formula1>
    </dataValidation>
    <dataValidation type="list" allowBlank="1" showInputMessage="1" showErrorMessage="1" sqref="F10:F11" xr:uid="{25A86096-2973-47E6-B244-D3BB940760A1}">
      <formula1>lstNature</formula1>
    </dataValidation>
    <dataValidation type="list" allowBlank="1" showInputMessage="1" showErrorMessage="1" sqref="F8" xr:uid="{20E26220-5A32-4ACC-A426-F45DB6CA0CD9}">
      <formula1>lstBloodlines</formula1>
    </dataValidation>
    <dataValidation type="list" allowBlank="1" showInputMessage="1" showErrorMessage="1" sqref="F9" xr:uid="{B90BB333-DFA2-42F5-97A4-79EB544A86DD}">
      <formula1>lstCovenant</formula1>
    </dataValidation>
    <dataValidation type="list" allowBlank="1" showInputMessage="1" showErrorMessage="1" sqref="F7" xr:uid="{54988066-2F5A-402E-AD8D-03A5E58CEE1D}">
      <formula1>lstClan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2104F76-198B-4595-A229-1A2E9589492E}">
          <x14:formula1>
            <xm:f>'Lookup-Domain'!$A$2:$A$8</xm:f>
          </x14:formula1>
          <xm:sqref>F143:F157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7955D-7387-466C-88C8-49743E84E170}">
  <dimension ref="A1:AK365"/>
  <sheetViews>
    <sheetView zoomScale="70" zoomScaleNormal="70" workbookViewId="0">
      <pane ySplit="1" topLeftCell="A121" activePane="bottomLeft" state="frozen"/>
      <selection pane="bottomLeft" activeCell="M132" sqref="M132"/>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Acute Senses</v>
      </c>
      <c r="AC2" s="60" t="str" cm="1">
        <f t="array" ref="AC2:AC7">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Acute Senses</v>
      </c>
      <c r="AD2" s="20" t="str">
        <f>IF(AC2="","¬",_xlfn.LET(_xlpm.base,IFERROR(LEFT(AC2,FIND(" (",AC2)-1),AC2),IFERROR(VLOOKUP(_xlpm.base,tblManoeuvre[],2,FALSE) &amp; " " &amp; REPT("●",VLOOKUP(_xlpm.base,tblManoeuvre[],3,FALSE)) &amp; " | " &amp; AC2,AC2 &amp; " " &amp; REPT("●",VLOOKUP(_xlpm.base,$F$79:$P$120,11,FALSE)))))</f>
        <v>Acute Senses ●</v>
      </c>
      <c r="AE2" s="20"/>
      <c r="AF2" s="20" t="str">
        <f>IF(LEN(AC2)=0,"¬",_xlfn.LET(_xlpm.base,IFERROR(LEFT(AC2,FIND(" (",AC2)-1),AC2),IFERROR(VLOOKUP(_xlpm.base,tblMerits[],5,FALSE),IFERROR(VLOOKUP(_xlpm.base,tblManoeuvre[],9,FALSE),"¬"))))</f>
        <v>Add Blood Potency to sensory rolls. Exceptional success can inflict Obsession.</v>
      </c>
      <c r="AI2" s="15" t="s">
        <v>25</v>
      </c>
      <c r="AJ2" s="61">
        <f t="shared" ref="AJ2:AJ33" si="1">VLOOKUP(AI2,$E$3:$P$221,12,FALSE)</f>
        <v>4</v>
      </c>
      <c r="AK2" s="61">
        <f>IF(AJ2=0,IF(COUNTIF($E$42:$E$49,AI2)&gt;0,-3,-1),AJ2)</f>
        <v>4</v>
      </c>
    </row>
    <row r="3" spans="1:37">
      <c r="A3" s="1" t="s">
        <v>2</v>
      </c>
      <c r="B3">
        <f ca="1">N3</f>
        <v>2</v>
      </c>
      <c r="D3" s="19"/>
      <c r="E3" s="15" t="s">
        <v>4</v>
      </c>
      <c r="F3" s="3" t="s">
        <v>549</v>
      </c>
      <c r="G3" s="18"/>
      <c r="H3" s="18"/>
      <c r="I3" s="18" t="s">
        <v>1425</v>
      </c>
      <c r="N3" s="60">
        <f ca="1">10+SUM(N4:N6)-SUM(N7)</f>
        <v>2</v>
      </c>
      <c r="Y3" s="15" t="s">
        <v>115</v>
      </c>
      <c r="Z3" s="19"/>
      <c r="AA3" s="61" t="str">
        <f t="shared" si="0"/>
        <v>Eidetic Memory</v>
      </c>
      <c r="AC3" s="60" t="str">
        <v>Eidetic Memory</v>
      </c>
      <c r="AD3" s="20" t="str">
        <f>IF(AC3="","¬",_xlfn.LET(_xlpm.base,IFERROR(LEFT(AC3,FIND(" (",AC3)-1),AC3),IFERROR(VLOOKUP(_xlpm.base,tblManoeuvre[],2,FALSE) &amp; " " &amp; REPT("●",VLOOKUP(_xlpm.base,tblManoeuvre[],3,FALSE)) &amp; " | " &amp; AC3,AC3 &amp; " " &amp; REPT("●",VLOOKUP(_xlpm.base,$F$79:$P$120,11,FALSE)))))</f>
        <v>Eidetic Memory ●</v>
      </c>
      <c r="AE3" s="20"/>
      <c r="AF3" s="20" t="str">
        <f>IF(LEN(AC3)=0,"¬",_xlfn.LET(_xlpm.base,IFERROR(LEFT(AC3,FIND(" (",AC3)-1),AC3),IFERROR(VLOOKUP(_xlpm.base,tblMerits[],5,FALSE),IFERROR(VLOOKUP(_xlpm.base,tblManoeuvre[],9,FALSE),"¬"))))</f>
        <v>No rolls for recall. +2 to recall minute facts.</v>
      </c>
      <c r="AI3" s="15" t="s">
        <v>41</v>
      </c>
      <c r="AJ3" s="61">
        <f t="shared" si="1"/>
        <v>0</v>
      </c>
      <c r="AK3" s="61">
        <f>IF(AJ3=0,IF(COUNTIF($E$42:$E$49,AI3)&gt;0,-3,-1),AJ3)</f>
        <v>-1</v>
      </c>
    </row>
    <row r="4" spans="1:37">
      <c r="A4" s="1" t="s">
        <v>3</v>
      </c>
      <c r="B4">
        <f ca="1">SUM(N3:N9)</f>
        <v>50</v>
      </c>
      <c r="D4" s="19"/>
      <c r="E4" s="15" t="s">
        <v>5</v>
      </c>
      <c r="F4" s="3" t="s">
        <v>550</v>
      </c>
      <c r="G4" s="18"/>
      <c r="H4" s="18"/>
      <c r="I4" s="18" t="s">
        <v>1426</v>
      </c>
      <c r="N4" s="61">
        <f>K73*2</f>
        <v>2</v>
      </c>
      <c r="Y4" s="15" t="s">
        <v>116</v>
      </c>
      <c r="Z4" s="19"/>
      <c r="AA4" s="61" t="str">
        <f t="shared" si="0"/>
        <v>Library (Academic)</v>
      </c>
      <c r="AC4" s="60" t="str">
        <v>Esoteric Armoury</v>
      </c>
      <c r="AD4" s="20" t="str">
        <f>IF(AC4="","¬",_xlfn.LET(_xlpm.base,IFERROR(LEFT(AC4,FIND(" (",AC4)-1),AC4),IFERROR(VLOOKUP(_xlpm.base,tblManoeuvre[],2,FALSE) &amp; " " &amp; REPT("●",VLOOKUP(_xlpm.base,tblManoeuvre[],3,FALSE)) &amp; " | " &amp; AC4,AC4 &amp; " " &amp; REPT("●",VLOOKUP(_xlpm.base,$F$79:$P$120,11,FALSE)))))</f>
        <v>Esoteric Armoury ●</v>
      </c>
      <c r="AE4" s="20"/>
      <c r="AF4" s="20" t="str">
        <f>IF(LEN(AC4)=0,"¬",_xlfn.LET(_xlpm.base,IFERROR(LEFT(AC4,FIND(" (",AC4)-1),AC4),IFERROR(VLOOKUP(_xlpm.base,tblMerits[],5,FALSE),IFERROR(VLOOKUP(_xlpm.base,tblManoeuvre[],9,FALSE),"¬"))))</f>
        <v>Enough esoterica to supply the banes of ephemeral entities with a Rank up to your rating in this Merit.</v>
      </c>
      <c r="AI4" s="15" t="s">
        <v>236</v>
      </c>
      <c r="AJ4" s="61">
        <f t="shared" si="1"/>
        <v>0</v>
      </c>
      <c r="AK4" s="61">
        <f>AJ4</f>
        <v>0</v>
      </c>
    </row>
    <row r="5" spans="1:37">
      <c r="A5" s="1" t="s">
        <v>4</v>
      </c>
      <c r="B5" t="str">
        <f>IF(VLOOKUP(tblCharDataCarver[[#This Row],[Field]],$E$2:$F$362,2,FALSE)="","¬",VLOOKUP(tblCharDataCarver[[#This Row],[Field]],$E$2:$F$362,2,FALSE))</f>
        <v>Archer</v>
      </c>
      <c r="D5" s="19"/>
      <c r="E5" s="15" t="s">
        <v>6</v>
      </c>
      <c r="F5" s="3" t="s">
        <v>551</v>
      </c>
      <c r="G5" s="18"/>
      <c r="H5" s="18"/>
      <c r="I5" s="18" t="s">
        <v>1427</v>
      </c>
      <c r="N5" s="61">
        <f>N16</f>
        <v>15</v>
      </c>
      <c r="Y5" s="15" t="s">
        <v>117</v>
      </c>
      <c r="Z5" s="19"/>
      <c r="AA5" s="61" t="str">
        <f t="shared" si="0"/>
        <v>Library (Occult)</v>
      </c>
      <c r="AC5" s="60" t="str">
        <v>Library (Academic)</v>
      </c>
      <c r="AD5" s="20" t="str">
        <f>IF(AC5="","¬",_xlfn.LET(_xlpm.base,IFERROR(LEFT(AC5,FIND(" (",AC5)-1),AC5),IFERROR(VLOOKUP(_xlpm.base,tblManoeuvre[],2,FALSE) &amp; " " &amp; REPT("●",VLOOKUP(_xlpm.base,tblManoeuvre[],3,FALSE)) &amp; " | " &amp; AC5,AC5 &amp; " " &amp; REPT("●",VLOOKUP(_xlpm.base,$F$79:$P$120,11,FALSE)))))</f>
        <v>Library (Academic) ●●●</v>
      </c>
      <c r="AE5" s="20"/>
      <c r="AF5" s="20" t="str">
        <f>IF(LEN(AC5)=0,"¬",_xlfn.LET(_xlpm.base,IFERROR(LEFT(AC5,FIND(" (",AC5)-1),AC5),IFERROR(VLOOKUP(_xlpm.base,tblMerits[],5,FALSE),IFERROR(VLOOKUP(_xlpm.base,tblManoeuvre[],9,FALSE),"¬"))))</f>
        <v>Add dots to extended rolls for a chosen Skill's subject matter.</v>
      </c>
      <c r="AI5" s="15" t="s">
        <v>33</v>
      </c>
      <c r="AJ5" s="61">
        <f t="shared" si="1"/>
        <v>0</v>
      </c>
      <c r="AK5" s="61">
        <f>IF(AJ5=0,IF(COUNTIF($E$42:$E$49,AI5)&gt;0,-3,-1),AJ5)</f>
        <v>-1</v>
      </c>
    </row>
    <row r="6" spans="1:37">
      <c r="A6" s="1" t="s">
        <v>5</v>
      </c>
      <c r="B6" t="str">
        <f>IF(VLOOKUP(tblCharDataCarver[[#This Row],[Field]],$E$2:$F$362,2,FALSE)="","¬",VLOOKUP(tblCharDataCarver[[#This Row],[Field]],$E$2:$F$362,2,FALSE))</f>
        <v>Carver</v>
      </c>
      <c r="D6" s="19"/>
      <c r="E6" s="15" t="s">
        <v>7</v>
      </c>
      <c r="F6" s="3" t="s">
        <v>552</v>
      </c>
      <c r="G6" s="18"/>
      <c r="H6" s="18"/>
      <c r="I6" s="18" t="s">
        <v>1347</v>
      </c>
      <c r="N6" s="61">
        <f ca="1">N279</f>
        <v>3</v>
      </c>
      <c r="Y6" s="15" t="s">
        <v>118</v>
      </c>
      <c r="Z6" s="19"/>
      <c r="AA6" s="61" t="str">
        <f t="shared" si="0"/>
        <v>Esoteric Armoury</v>
      </c>
      <c r="AC6" s="60" t="str">
        <v>Library (Occult)</v>
      </c>
      <c r="AD6" s="20" t="str">
        <f>IF(AC6="","¬",_xlfn.LET(_xlpm.base,IFERROR(LEFT(AC6,FIND(" (",AC6)-1),AC6),IFERROR(VLOOKUP(_xlpm.base,tblManoeuvre[],2,FALSE) &amp; " " &amp; REPT("●",VLOOKUP(_xlpm.base,tblManoeuvre[],3,FALSE)) &amp; " | " &amp; AC6,AC6 &amp; " " &amp; REPT("●",VLOOKUP(_xlpm.base,$F$79:$P$120,11,FALSE)))))</f>
        <v>Library (Occult) ●●●</v>
      </c>
      <c r="AE6" s="20"/>
      <c r="AF6" s="20" t="str">
        <f>IF(LEN(AC6)=0,"¬",_xlfn.LET(_xlpm.base,IFERROR(LEFT(AC6,FIND(" (",AC6)-1),AC6),IFERROR(VLOOKUP(_xlpm.base,tblMerits[],5,FALSE),IFERROR(VLOOKUP(_xlpm.base,tblManoeuvre[],9,FALSE),"¬"))))</f>
        <v>Add dots to extended rolls for a chosen Skill's subject matter.</v>
      </c>
      <c r="AI6" s="15" t="s">
        <v>237</v>
      </c>
      <c r="AJ6" s="61">
        <f t="shared" si="1"/>
        <v>0</v>
      </c>
      <c r="AK6" s="61">
        <f>AJ6</f>
        <v>0</v>
      </c>
    </row>
    <row r="7" spans="1:37">
      <c r="A7" s="1" t="s">
        <v>6</v>
      </c>
      <c r="B7" t="str">
        <f>IF(VLOOKUP(tblCharDataCarver[[#This Row],[Field]],$E$2:$F$362,2,FALSE)="","¬",VLOOKUP(tblCharDataCarver[[#This Row],[Field]],$E$2:$F$362,2,FALSE))</f>
        <v>Lance Lore Nerd</v>
      </c>
      <c r="D7" s="19" t="str">
        <f>VLOOKUP(F7,tblClans[],3,FALSE)</f>
        <v>Resolve</v>
      </c>
      <c r="E7" s="15" t="s">
        <v>8</v>
      </c>
      <c r="F7" s="3" t="s">
        <v>553</v>
      </c>
      <c r="G7" s="18"/>
      <c r="H7" s="18"/>
      <c r="I7" s="18"/>
      <c r="N7" s="60">
        <f>SUM(N8:N12)</f>
        <v>28</v>
      </c>
      <c r="Y7" s="15" t="s">
        <v>119</v>
      </c>
      <c r="Z7" s="19"/>
      <c r="AA7" s="61" t="str">
        <f t="shared" si="0"/>
        <v>Lorekeeper</v>
      </c>
      <c r="AC7" s="60" t="str">
        <v>Lorekeeper</v>
      </c>
      <c r="AD7" s="20" t="str">
        <f>IF(AC7="","¬",_xlfn.LET(_xlpm.base,IFERROR(LEFT(AC7,FIND(" (",AC7)-1),AC7),IFERROR(VLOOKUP(_xlpm.base,tblManoeuvre[],2,FALSE) &amp; " " &amp; REPT("●",VLOOKUP(_xlpm.base,tblManoeuvre[],3,FALSE)) &amp; " | " &amp; AC7,AC7 &amp; " " &amp; REPT("●",VLOOKUP(_xlpm.base,$F$79:$P$120,11,FALSE)))))</f>
        <v>Lorekeeper ●</v>
      </c>
      <c r="AE7" s="20"/>
      <c r="AF7" s="20" t="str">
        <f>IF(LEN(AC7)=0,"¬",_xlfn.LET(_xlpm.base,IFERROR(LEFT(AC7,FIND(" (",AC7)-1),AC7),IFERROR(VLOOKUP(_xlpm.base,tblMerits[],5,FALSE),IFERROR(VLOOKUP(_xlpm.base,tblManoeuvre[],9,FALSE),"¬"))))</f>
        <v>Distribute Library dots among bonus Retainer and Herd.</v>
      </c>
      <c r="AI7" s="15" t="s">
        <v>49</v>
      </c>
      <c r="AJ7" s="61">
        <f t="shared" si="1"/>
        <v>2</v>
      </c>
      <c r="AK7" s="61">
        <f>AJ7</f>
        <v>2</v>
      </c>
    </row>
    <row r="8" spans="1:37">
      <c r="A8" s="1" t="s">
        <v>7</v>
      </c>
      <c r="B8" t="str">
        <f>IF(VLOOKUP(tblCharDataCarver[[#This Row],[Field]],$E$2:$F$362,2,FALSE)="","¬",LOWER(VLOOKUP(tblCharDataCarver[[#This Row],[Field]],$E$2:$F$362,2,FALSE)))</f>
        <v>he/him</v>
      </c>
      <c r="D8" s="19" t="str">
        <f>VLOOKUP(F7,tblClans[],2,FALSE)</f>
        <v>Presence</v>
      </c>
      <c r="E8" s="15" t="s">
        <v>10</v>
      </c>
      <c r="F8" s="3" t="s">
        <v>555</v>
      </c>
      <c r="G8" s="61" t="b">
        <f>IFERROR(IF(OR(AND(VLOOKUP(F8,tblBloodlines[],2,FALSE)="",VLOOKUP(F8,tblBloodlines[],3,FALSE)="",VLOOKUP(F8,tblBloodlines[],4,FALSE)=""),AND(VLOOKUP(F8,tblBloodlines[],2,FALSE)="",VLOOKUP(F8,tblBloodlines[],3,FALSE)="",F9=VLOOKUP(F8,tblBloodlines[],4,FALSE)),F7=VLOOKUP(F8,tblBloodlines[],2,FALSE),F7=VLOOKUP(F8,tblBloodlines[],3,FALSE)),TRUE,FALSE),"")</f>
        <v>0</v>
      </c>
      <c r="H8" s="18"/>
      <c r="I8" s="18" t="s">
        <v>1428</v>
      </c>
      <c r="N8" s="61">
        <f>N23</f>
        <v>0</v>
      </c>
      <c r="O8" s="65">
        <f>N8/SUM(N$7:N$12)</f>
        <v>0</v>
      </c>
      <c r="P8" s="66"/>
      <c r="Y8" s="15" t="s">
        <v>120</v>
      </c>
      <c r="Z8" s="19"/>
      <c r="AA8" s="61" t="str">
        <f t="shared" si="0"/>
        <v/>
      </c>
      <c r="AC8" s="60"/>
      <c r="AD8" s="20" t="str">
        <f>IF(AC8="","¬",_xlfn.LET(_xlpm.base,IFERROR(LEFT(AC8,FIND(" (",AC8)-1),AC8),IFERROR(VLOOKUP(_xlpm.base,tblManoeuvre[],2,FALSE) &amp; " " &amp; REPT("●",VLOOKUP(_xlpm.base,tblManoeuvre[],3,FALSE)) &amp; " | " &amp; AC8,AC8 &amp; " " &amp; REPT("●",VLOOKUP(_xlpm.base,$F$79:$P$120,11,FALSE)))))</f>
        <v>¬</v>
      </c>
      <c r="AE8" s="20"/>
      <c r="AF8" s="20" t="str">
        <f>IF(LEN(AC8)=0,"¬",_xlfn.LET(_xlpm.base,IFERROR(LEFT(AC8,FIND(" (",AC8)-1),AC8),IFERROR(VLOOKUP(_xlpm.base,tblMerits[],5,FALSE),IFERROR(VLOOKUP(_xlpm.base,tblManoeuvre[],9,FALSE),"¬"))))</f>
        <v>¬</v>
      </c>
      <c r="AI8" s="15" t="s">
        <v>34</v>
      </c>
      <c r="AJ8" s="61">
        <f t="shared" si="1"/>
        <v>0</v>
      </c>
      <c r="AK8" s="61">
        <f>IF(AJ8=0,IF(COUNTIF($E$42:$E$49,AI8)&gt;0,-3,-1),AJ8)</f>
        <v>-1</v>
      </c>
    </row>
    <row r="9" spans="1:37">
      <c r="A9" s="1" t="s">
        <v>8</v>
      </c>
      <c r="B9" t="str">
        <f>IF(VLOOKUP(tblCharDataCarver[[#This Row],[Field]],$E$2:$F$362,2,FALSE)="","¬",VLOOKUP(tblCharDataCarver[[#This Row],[Field]],$E$2:$F$362,2,FALSE))</f>
        <v>Ventrue</v>
      </c>
      <c r="D9" s="19"/>
      <c r="E9" s="15" t="s">
        <v>11</v>
      </c>
      <c r="F9" s="3" t="s">
        <v>556</v>
      </c>
      <c r="G9" s="18"/>
      <c r="H9" s="18"/>
      <c r="I9" s="18" t="s">
        <v>1429</v>
      </c>
      <c r="N9" s="61">
        <f>N40+T40</f>
        <v>0</v>
      </c>
      <c r="O9" s="65">
        <f>N9/SUM(N$7:N$12)</f>
        <v>0</v>
      </c>
      <c r="P9" s="66"/>
      <c r="Y9" s="15" t="s">
        <v>121</v>
      </c>
      <c r="Z9" s="19"/>
      <c r="AA9" s="61" t="str">
        <f t="shared" si="0"/>
        <v/>
      </c>
      <c r="AC9" s="60"/>
      <c r="AD9" s="20" t="str">
        <f>IF(AC9="","¬",_xlfn.LET(_xlpm.base,IFERROR(LEFT(AC9,FIND(" (",AC9)-1),AC9),IFERROR(VLOOKUP(_xlpm.base,tblManoeuvre[],2,FALSE) &amp; " " &amp; REPT("●",VLOOKUP(_xlpm.base,tblManoeuvre[],3,FALSE)) &amp; " | " &amp; AC9,AC9 &amp; " " &amp; REPT("●",VLOOKUP(_xlpm.base,$F$79:$P$120,11,FALSE)))))</f>
        <v>¬</v>
      </c>
      <c r="AE9" s="20"/>
      <c r="AF9" s="20" t="str">
        <f>IF(LEN(AC9)=0,"¬",_xlfn.LET(_xlpm.base,IFERROR(LEFT(AC9,FIND(" (",AC9)-1),AC9),IFERROR(VLOOKUP(_xlpm.base,tblMerits[],5,FALSE),IFERROR(VLOOKUP(_xlpm.base,tblManoeuvre[],9,FALSE),"¬"))))</f>
        <v>¬</v>
      </c>
      <c r="AI9" s="15" t="s">
        <v>238</v>
      </c>
      <c r="AJ9" s="61">
        <f t="shared" si="1"/>
        <v>0</v>
      </c>
      <c r="AK9" s="61">
        <f>AJ9</f>
        <v>0</v>
      </c>
    </row>
    <row r="10" spans="1:37">
      <c r="A10" s="1" t="s">
        <v>9</v>
      </c>
      <c r="B10" t="str">
        <f>CONCATENATE(Elements,B9," icon.svg")</f>
        <v>D:\Terra Mortis\Character Sheets\Sheet Elements\Ventrue icon.svg</v>
      </c>
      <c r="D10" s="19"/>
      <c r="E10" s="15" t="s">
        <v>13</v>
      </c>
      <c r="F10" s="3" t="s">
        <v>376</v>
      </c>
      <c r="G10" s="18"/>
      <c r="H10" s="18"/>
      <c r="I10" s="18" t="s">
        <v>1430</v>
      </c>
      <c r="N10" s="61">
        <f>N77</f>
        <v>17</v>
      </c>
      <c r="O10" s="65">
        <f>N10/SUM(N$7:N$12)</f>
        <v>0.30357142857142855</v>
      </c>
      <c r="P10" s="66"/>
      <c r="Y10" s="15" t="s">
        <v>122</v>
      </c>
      <c r="Z10" s="19"/>
      <c r="AA10" s="61" t="str">
        <f t="shared" si="0"/>
        <v/>
      </c>
      <c r="AC10" s="60"/>
      <c r="AD10" s="20" t="str">
        <f>IF(AC10="","¬",_xlfn.LET(_xlpm.base,IFERROR(LEFT(AC10,FIND(" (",AC10)-1),AC10),IFERROR(VLOOKUP(_xlpm.base,tblManoeuvre[],2,FALSE) &amp; " " &amp; REPT("●",VLOOKUP(_xlpm.base,tblManoeuvre[],3,FALSE)) &amp; " | " &amp; AC10,AC10 &amp; " " &amp; REPT("●",VLOOKUP(_xlpm.base,$F$79:$P$120,11,FALSE)))))</f>
        <v>¬</v>
      </c>
      <c r="AE10" s="20"/>
      <c r="AF10" s="20" t="str">
        <f>IF(LEN(AC10)=0,"¬",_xlfn.LET(_xlpm.base,IFERROR(LEFT(AC10,FIND(" (",AC10)-1),AC10),IFERROR(VLOOKUP(_xlpm.base,tblMerits[],5,FALSE),IFERROR(VLOOKUP(_xlpm.base,tblManoeuvre[],9,FALSE),"¬"))))</f>
        <v>¬</v>
      </c>
      <c r="AI10" s="15" t="s">
        <v>24</v>
      </c>
      <c r="AJ10" s="61">
        <f t="shared" si="1"/>
        <v>3</v>
      </c>
      <c r="AK10" s="61">
        <f>AJ10+IFERROR(INDEX($V$26:$V$38,MATCH(AI10,$E$26:$E$38,0)),0)</f>
        <v>3</v>
      </c>
    </row>
    <row r="11" spans="1:37">
      <c r="A11" s="1" t="s">
        <v>10</v>
      </c>
      <c r="B11" t="str">
        <f>IF(VLOOKUP(tblCharDataCarver[[#This Row],[Field]],$E$2:$F$362,2,FALSE)="","¬",VLOOKUP(tblCharDataCarver[[#This Row],[Field]],$E$2:$F$362,2,FALSE))</f>
        <v>Lasombra</v>
      </c>
      <c r="D11" s="19"/>
      <c r="E11" s="15" t="s">
        <v>14</v>
      </c>
      <c r="F11" s="3" t="s">
        <v>558</v>
      </c>
      <c r="G11" s="18"/>
      <c r="H11" s="18"/>
      <c r="I11" s="18" t="s">
        <v>1431</v>
      </c>
      <c r="N11" s="61">
        <f>N163</f>
        <v>11</v>
      </c>
      <c r="O11" s="65">
        <f>N11/SUM(N$7:N$12)</f>
        <v>0.19642857142857142</v>
      </c>
      <c r="P11" s="66"/>
      <c r="Y11" s="15" t="s">
        <v>123</v>
      </c>
      <c r="Z11" s="19"/>
      <c r="AA11" s="61" t="str">
        <f t="shared" si="0"/>
        <v/>
      </c>
      <c r="AC11" s="60"/>
      <c r="AD11" s="20" t="str">
        <f>IF(AC11="","¬",_xlfn.LET(_xlpm.base,IFERROR(LEFT(AC11,FIND(" (",AC11)-1),AC11),IFERROR(VLOOKUP(_xlpm.base,tblManoeuvre[],2,FALSE) &amp; " " &amp; REPT("●",VLOOKUP(_xlpm.base,tblManoeuvre[],3,FALSE)) &amp; " | " &amp; AC11,AC11 &amp; " " &amp; REPT("●",VLOOKUP(_xlpm.base,$F$79:$P$120,11,FALSE)))))</f>
        <v>¬</v>
      </c>
      <c r="AE11" s="20"/>
      <c r="AF11" s="20" t="str">
        <f>IF(LEN(AC11)=0,"¬",_xlfn.LET(_xlpm.base,IFERROR(LEFT(AC11,FIND(" (",AC11)-1),AC11),IFERROR(VLOOKUP(_xlpm.base,tblMerits[],5,FALSE),IFERROR(VLOOKUP(_xlpm.base,tblManoeuvre[],9,FALSE),"¬"))))</f>
        <v>¬</v>
      </c>
      <c r="AI11" s="15" t="s">
        <v>26</v>
      </c>
      <c r="AJ11" s="61">
        <f t="shared" si="1"/>
        <v>0</v>
      </c>
      <c r="AK11" s="61">
        <f>IF(AJ11=0,IF(COUNTIF($E$42:$E$49,AI11)&gt;0,-3,-1),AJ11)</f>
        <v>-3</v>
      </c>
    </row>
    <row r="12" spans="1:37">
      <c r="A12" s="1" t="s">
        <v>11</v>
      </c>
      <c r="B12" t="str">
        <f>IF(VLOOKUP(tblCharDataCarver[[#This Row],[Field]],$E$2:$F$362,2,FALSE)="","¬",VLOOKUP(tblCharDataCarver[[#This Row],[Field]],$E$2:$F$362,2,FALSE))</f>
        <v>Lancea et Sanctum</v>
      </c>
      <c r="D12" s="19"/>
      <c r="E12" s="15" t="s">
        <v>15</v>
      </c>
      <c r="F12" s="3"/>
      <c r="G12" s="3"/>
      <c r="H12" s="18"/>
      <c r="I12" s="18" t="s">
        <v>1432</v>
      </c>
      <c r="N12" s="61">
        <f>N71</f>
        <v>0</v>
      </c>
      <c r="O12" s="65">
        <f>N12/SUM(N$7:N$12)</f>
        <v>0</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0</v>
      </c>
      <c r="AK12" s="61">
        <f>IF(AJ12=0,IF(COUNTIF($E$42:$E$49,AI12)&gt;0,-3,-1),AJ12)</f>
        <v>-3</v>
      </c>
    </row>
    <row r="13" spans="1:37">
      <c r="A13" s="1" t="s">
        <v>12</v>
      </c>
      <c r="B13" t="str">
        <f>_xlfn.IFNA(CONCATENATE(Elements,VLOOKUP(B12,tblCovenantShortName[#Data],2,FALSE)," icon.svg"),"")</f>
        <v>D:\Terra Mortis\Character Sheets\Sheet Elements\Lance icon.svg</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0</v>
      </c>
      <c r="AK13" s="61">
        <f t="shared" ref="AK13:AK19" si="2">AJ13</f>
        <v>0</v>
      </c>
    </row>
    <row r="14" spans="1:37">
      <c r="A14" s="1" t="s">
        <v>13</v>
      </c>
      <c r="B14" t="str">
        <f>IF(VLOOKUP(tblCharDataCarver[[#This Row],[Field]],$E$2:$F$362,2,FALSE)="","¬",VLOOKUP(tblCharDataCarver[[#This Row],[Field]],$E$2:$F$362,2,FALSE))</f>
        <v>Scholar</v>
      </c>
      <c r="D14" s="19"/>
      <c r="E14" s="15" t="s">
        <v>1433</v>
      </c>
      <c r="F14" s="28">
        <v>33741</v>
      </c>
      <c r="G14" s="3" t="s">
        <v>600</v>
      </c>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0</v>
      </c>
      <c r="AK14" s="61">
        <f t="shared" si="2"/>
        <v>0</v>
      </c>
    </row>
    <row r="15" spans="1:37">
      <c r="A15" s="1" t="s">
        <v>14</v>
      </c>
      <c r="B15" t="str">
        <f>IF(VLOOKUP(tblCharDataCarver[[#This Row],[Field]],$E$2:$F$362,2,FALSE)="","¬",VLOOKUP(tblCharDataCarver[[#This Row],[Field]],$E$2:$F$362,2,FALSE))</f>
        <v>Authoritarian</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2</v>
      </c>
      <c r="AK15" s="61">
        <f t="shared" ca="1" si="2"/>
        <v>2</v>
      </c>
    </row>
    <row r="16" spans="1:37" ht="15.75" thickBot="1">
      <c r="A16" s="1" t="s">
        <v>15</v>
      </c>
      <c r="B16" t="str">
        <f ca="1">_xlfn.LET(_xlpm.a,VLOOKUP(tblCharDataCarver[[#This Row],[Field]],$E$2:$F$362,2,FALSE),_xlpm.b,VLOOKUP(OFFSET(tblCharDataCarver[[#This Row],[Field]],1,0),$E$2:$F$362,2,FALSE),IF(AND(_xlpm.a&lt;&gt;"",_xlpm.b&lt;&gt;""),_xlpm.a&amp;" &amp; "&amp;_xlpm.b,IF(_xlpm.a&lt;&gt;"",_xlpm.a,IF(_xlpm.b&lt;&gt;"",_xlpm.b,"¬"))))</f>
        <v>¬</v>
      </c>
      <c r="D16" s="14" t="s">
        <v>1427</v>
      </c>
      <c r="E16" s="14"/>
      <c r="F16" s="14"/>
      <c r="G16" s="14"/>
      <c r="H16" s="14"/>
      <c r="I16" s="14"/>
      <c r="N16" s="60">
        <f>SUM(N17:N21)</f>
        <v>15</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REPT("●",IFERROR(INDEX($P$26:$P$38,MATCH(tblCharDataCarver[[#This Row],[Field]],$E$26:$E$38,0)),0))&amp;REPT("○",IFERROR(INDEX($V$26:$V$38,MATCH(tblCharDataCarver[[#This Row],[Field]],$E$26:$E$38,0)),0))</f>
        <v>●●●</v>
      </c>
      <c r="D17" s="19"/>
      <c r="E17" s="15" t="s">
        <v>1435</v>
      </c>
      <c r="F17" s="3" t="b">
        <v>1</v>
      </c>
      <c r="G17" s="19"/>
      <c r="H17" s="19"/>
      <c r="I17" s="19"/>
      <c r="N17" s="61">
        <f>IF(F17=TRUE,3,0)</f>
        <v>3</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2</v>
      </c>
      <c r="AK17" s="61">
        <f>AJ17+IFERROR(INDEX($V$26:$V$38,MATCH(AI17,$E$26:$E$38,0)),0)</f>
        <v>2</v>
      </c>
    </row>
    <row r="18" spans="1:37">
      <c r="A18" s="1" t="s">
        <v>17</v>
      </c>
      <c r="B18" t="str">
        <f>REPT("●",IFERROR(INDEX($P$26:$P$38,MATCH(tblCharDataCarver[[#This Row],[Field]],$E$26:$E$38,0)),0))&amp;REPT("○",IFERROR(INDEX($V$26:$V$38,MATCH(tblCharDataCarver[[#This Row],[Field]],$E$26:$E$38,0)),0))</f>
        <v>●●</v>
      </c>
      <c r="D18" s="19"/>
      <c r="E18" s="15" t="s">
        <v>1436</v>
      </c>
      <c r="F18" s="3" t="b">
        <v>1</v>
      </c>
      <c r="G18" s="19"/>
      <c r="H18" s="19"/>
      <c r="I18" s="19"/>
      <c r="N18" s="61">
        <f>IF(F18=TRUE,3,0)</f>
        <v>3</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0</v>
      </c>
      <c r="AK18" s="61">
        <f t="shared" si="2"/>
        <v>0</v>
      </c>
    </row>
    <row r="19" spans="1:37">
      <c r="A19" s="1" t="s">
        <v>18</v>
      </c>
      <c r="B19" t="str">
        <f>REPT("●",IFERROR(INDEX($P$26:$P$38,MATCH(tblCharDataCarver[[#This Row],[Field]],$E$26:$E$38,0)),0))&amp;REPT("○",IFERROR(INDEX($V$26:$V$38,MATCH(tblCharDataCarver[[#This Row],[Field]],$E$26:$E$38,0)),0))</f>
        <v>●●●</v>
      </c>
      <c r="D19" s="19"/>
      <c r="E19" s="15" t="s">
        <v>1437</v>
      </c>
      <c r="F19" s="3" t="b">
        <v>1</v>
      </c>
      <c r="G19" s="19"/>
      <c r="H19" s="19"/>
      <c r="I19" s="19"/>
      <c r="N19" s="61">
        <f>IF(F19=TRUE,3,0)</f>
        <v>3</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0</v>
      </c>
      <c r="AK19" s="61">
        <f t="shared" si="2"/>
        <v>0</v>
      </c>
    </row>
    <row r="20" spans="1:37">
      <c r="A20" s="1" t="s">
        <v>19</v>
      </c>
      <c r="B20" t="str">
        <f>REPT("●",IFERROR(INDEX($P$26:$P$38,MATCH(tblCharDataCarver[[#This Row],[Field]],$E$26:$E$38,0)),0))&amp;REPT("○",IFERROR(INDEX($V$26:$V$38,MATCH(tblCharDataCarver[[#This Row],[Field]],$E$26:$E$38,0)),0))</f>
        <v>●●</v>
      </c>
      <c r="D20" s="19"/>
      <c r="E20" s="15" t="s">
        <v>1438</v>
      </c>
      <c r="F20" s="3" t="b">
        <v>1</v>
      </c>
      <c r="G20" s="19"/>
      <c r="H20" s="19"/>
      <c r="I20" s="19"/>
      <c r="N20" s="61">
        <f>IF(F20=TRUE,3,0)</f>
        <v>3</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REPT("●",IFERROR(INDEX($P$26:$P$38,MATCH(tblCharDataCarver[[#This Row],[Field]],$E$26:$E$38,0)),0))&amp;REPT("○",IFERROR(INDEX($V$26:$V$38,MATCH(tblCharDataCarver[[#This Row],[Field]],$E$26:$E$38,0)),0))</f>
        <v>●●</v>
      </c>
      <c r="D21" s="19"/>
      <c r="E21" s="15" t="s">
        <v>11</v>
      </c>
      <c r="F21" s="3" t="b">
        <v>1</v>
      </c>
      <c r="G21" s="19"/>
      <c r="H21" s="19"/>
      <c r="I21" s="19"/>
      <c r="N21" s="61">
        <f>IF(F21=TRUE,3,0)</f>
        <v>3</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3</v>
      </c>
      <c r="AK21" s="61">
        <f>IF(AJ21=0,IF(COUNTIF($E$42:$E$49,AI21)&gt;0,-3,-1),AJ21)</f>
        <v>3</v>
      </c>
    </row>
    <row r="22" spans="1:37">
      <c r="A22" s="1" t="s">
        <v>21</v>
      </c>
      <c r="B22" t="str">
        <f>REPT("●",IFERROR(INDEX($P$26:$P$38,MATCH(tblCharDataCarver[[#This Row],[Field]],$E$26:$E$38,0)),0))&amp;REPT("○",IFERROR(INDEX($V$26:$V$38,MATCH(tblCharDataCarver[[#This Row],[Field]],$E$26:$E$38,0)),0))</f>
        <v>●●○○</v>
      </c>
      <c r="Y22" s="15" t="s">
        <v>1439</v>
      </c>
      <c r="Z22" s="61" t="str">
        <f>IFERROR(VLOOKUP(AA22,tblManoeuvre[],2,FALSE),"")</f>
        <v/>
      </c>
      <c r="AA22" s="61" t="str">
        <f t="shared" ref="AA22:AA41" si="3">_xlfn.LET(_xlpm.name,VLOOKUP(Y22,$E$2:$F$362,2,FALSE),_xlpm.paid,_xlfn.IFNA(VLOOKUP(_xlpm.name,$F$79:$Q$120,11,FALSE)&gt;=VLOOKUP(_xlpm.name,$F$79:$Q$120,12,FALSE),FALSE),IF(AND(_xlpm.name&lt;&gt;"",_xlpm.paid),_xlpm.name,""))</f>
        <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0</v>
      </c>
      <c r="AK22" s="61">
        <f>IF(AJ22=0,IF(COUNTIF($E$42:$E$49,AI22)&gt;0,-3,-1),AJ22)</f>
        <v>-1</v>
      </c>
    </row>
    <row r="23" spans="1:37" ht="15.75" thickBot="1">
      <c r="A23" s="1" t="s">
        <v>22</v>
      </c>
      <c r="B23" t="str">
        <f>REPT("●",IFERROR(INDEX($P$26:$P$38,MATCH(tblCharDataCarver[[#This Row],[Field]],$E$26:$E$38,0)),0))&amp;REPT("○",IFERROR(INDEX($V$26:$V$38,MATCH(tblCharDataCarver[[#This Row],[Field]],$E$26:$E$38,0)),0))</f>
        <v>●●●</v>
      </c>
      <c r="D23" s="14" t="s">
        <v>1440</v>
      </c>
      <c r="E23" s="14"/>
      <c r="F23" s="14"/>
      <c r="G23" s="14"/>
      <c r="H23" s="14"/>
      <c r="I23" s="14"/>
      <c r="N23" s="60">
        <f>SUM(N26:N28,N31:N33,N36:N38)</f>
        <v>0</v>
      </c>
      <c r="Y23" s="15" t="s">
        <v>1441</v>
      </c>
      <c r="Z23" s="61" t="str">
        <f>IFERROR(VLOOKUP(AA23,tblManoeuvre[],2,FALSE),"")</f>
        <v/>
      </c>
      <c r="AA23" s="61" t="str">
        <f t="shared" si="3"/>
        <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0</v>
      </c>
      <c r="AK23" s="61">
        <f>IF(AJ23=0,VLOOKUP(AI23,$E$42:$Q$69,13,FALSE),AJ23)</f>
        <v>0</v>
      </c>
    </row>
    <row r="24" spans="1:37">
      <c r="A24" s="1" t="s">
        <v>23</v>
      </c>
      <c r="B24" t="str">
        <f>REPT("●",IFERROR(INDEX($P$26:$P$38,MATCH(tblCharDataCarver[[#This Row],[Field]],$E$26:$E$38,0)),0))&amp;REPT("○",IFERROR(INDEX($V$26:$V$38,MATCH(tblCharDataCarver[[#This Row],[Field]],$E$26:$E$38,0)),0))</f>
        <v>●●</v>
      </c>
      <c r="E24" s="15" t="s">
        <v>1442</v>
      </c>
      <c r="F24" s="3" t="s">
        <v>18</v>
      </c>
      <c r="Y24" s="15" t="s">
        <v>1443</v>
      </c>
      <c r="Z24" s="61" t="str">
        <f>IFERROR(VLOOKUP(AA24,tblManoeuvre[],2,FALSE),"")</f>
        <v/>
      </c>
      <c r="AA24" s="61" t="str">
        <f t="shared" si="3"/>
        <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9</v>
      </c>
      <c r="AK24" s="61">
        <f ca="1">AJ24</f>
        <v>9</v>
      </c>
    </row>
    <row r="25" spans="1:37">
      <c r="A25" s="1" t="s">
        <v>24</v>
      </c>
      <c r="B25" t="str">
        <f>REPT("●",IFERROR(INDEX($P$26:$P$38,MATCH(tblCharDataCarver[[#This Row],[Field]],$E$26:$E$38,0)),0))&amp;REPT("○",IFERROR(INDEX($V$26:$V$38,MATCH(tblCharDataCarver[[#This Row],[Field]],$E$26:$E$38,0)),0))</f>
        <v>●●●</v>
      </c>
      <c r="D25" s="16" t="s">
        <v>1444</v>
      </c>
      <c r="E25" s="17"/>
      <c r="F25" s="17"/>
      <c r="G25" s="17" t="s">
        <v>1445</v>
      </c>
      <c r="H25" s="16" t="s">
        <v>1446</v>
      </c>
      <c r="I25" s="3" t="s">
        <v>1567</v>
      </c>
      <c r="L25" s="60">
        <f>IF(I25="",0,VLOOKUP(I25,tblPriority[#Data],2,FALSE))-SUM(L26:L28)</f>
        <v>0</v>
      </c>
      <c r="Y25" s="15" t="s">
        <v>1447</v>
      </c>
      <c r="Z25" s="61" t="str">
        <f>IFERROR(VLOOKUP(AA25,tblManoeuvre[],2,FALSE),"")</f>
        <v/>
      </c>
      <c r="AA25" s="61" t="str">
        <f t="shared" si="3"/>
        <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6</v>
      </c>
      <c r="AK25" s="61">
        <f>AJ25</f>
        <v>6</v>
      </c>
    </row>
    <row r="26" spans="1:37">
      <c r="A26" s="1" t="s">
        <v>25</v>
      </c>
      <c r="B26" t="str">
        <f>REPT("●",IFERROR(INDEX($P$42:$P$69,MATCH(tblCharDataCarver[[#This Row],[Field]],$E$42:$E$69,0)),0))&amp;REPT("○",IFERROR(INDEX($V$42:$V$69,MATCH(tblCharDataCarver[[#This Row],[Field]],$E$42:$E$69,0)),0))&amp;IF(IFERROR(INDEX($W$42:$W$69,MATCH(tblCharDataCarver[[#This Row],[Field]],$E$42:$E$69,0)),0)=1,"†","")</f>
        <v>●●●●</v>
      </c>
      <c r="D26" s="18"/>
      <c r="E26" s="15" t="s">
        <v>16</v>
      </c>
      <c r="F26" s="18"/>
      <c r="G26" s="3"/>
      <c r="H26" s="18"/>
      <c r="I26" s="18"/>
      <c r="L26" s="3">
        <v>2</v>
      </c>
      <c r="M26" s="60">
        <f>IF(E26=$F$24,2,1)</f>
        <v>1</v>
      </c>
      <c r="N26" s="3"/>
      <c r="O26" s="61">
        <f>ROUNDDOWN(N26/4,0)</f>
        <v>0</v>
      </c>
      <c r="P26" s="60">
        <f>MIN(SUM(L26,M26,O26),R26)</f>
        <v>3</v>
      </c>
      <c r="R26" s="61">
        <v>5</v>
      </c>
      <c r="U26" s="4"/>
      <c r="V26" s="61">
        <f>U26</f>
        <v>0</v>
      </c>
      <c r="Y26" s="15" t="s">
        <v>1449</v>
      </c>
      <c r="Z26" s="61" t="str">
        <f>IFERROR(VLOOKUP(AA26,tblManoeuvre[],2,FALSE),"")</f>
        <v/>
      </c>
      <c r="AA26" s="61" t="str">
        <f t="shared" si="3"/>
        <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3</v>
      </c>
      <c r="AK26" s="61">
        <f>AJ26+IFERROR(INDEX($V$26:$V$38,MATCH(AI26,$E$26:$E$38,0)),0)</f>
        <v>3</v>
      </c>
    </row>
    <row r="27" spans="1:37">
      <c r="A27" s="1" t="s">
        <v>26</v>
      </c>
      <c r="B27" t="str">
        <f>REPT("●",IFERROR(INDEX($P$42:$P$69,MATCH(tblCharDataCarver[[#This Row],[Field]],$E$42:$E$69,0)),0))&amp;REPT("○",IFERROR(INDEX($V$42:$V$69,MATCH(tblCharDataCarver[[#This Row],[Field]],$E$42:$E$69,0)),0))&amp;IF(IFERROR(INDEX($W$42:$W$69,MATCH(tblCharDataCarver[[#This Row],[Field]],$E$42:$E$69,0)),0)=1,"†","")</f>
        <v/>
      </c>
      <c r="D27" s="18"/>
      <c r="E27" s="15" t="s">
        <v>17</v>
      </c>
      <c r="F27" s="18"/>
      <c r="G27" s="3"/>
      <c r="H27" s="18"/>
      <c r="I27" s="18"/>
      <c r="L27" s="3">
        <v>1</v>
      </c>
      <c r="M27" s="60">
        <f>IF(E27=$F$24,2,1)</f>
        <v>1</v>
      </c>
      <c r="N27" s="3"/>
      <c r="O27" s="61">
        <f>ROUNDDOWN(N27/4,0)</f>
        <v>0</v>
      </c>
      <c r="P27" s="60">
        <f>MIN(SUM(L27,M27,O27),R27)</f>
        <v>2</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2</v>
      </c>
      <c r="AK27" s="61">
        <f>IF(AJ27=0,IF(COUNTIF($E$42:$E$49,AI27)&gt;0,-3,-1),AJ27)</f>
        <v>2</v>
      </c>
    </row>
    <row r="28" spans="1:37">
      <c r="A28" s="1" t="s">
        <v>27</v>
      </c>
      <c r="B28" t="str">
        <f>REPT("●",IFERROR(INDEX($P$42:$P$69,MATCH(tblCharDataCarver[[#This Row],[Field]],$E$42:$E$69,0)),0))&amp;REPT("○",IFERROR(INDEX($V$42:$V$69,MATCH(tblCharDataCarver[[#This Row],[Field]],$E$42:$E$69,0)),0))&amp;IF(IFERROR(INDEX($W$42:$W$69,MATCH(tblCharDataCarver[[#This Row],[Field]],$E$42:$E$69,0)),0)=1,"†","")</f>
        <v/>
      </c>
      <c r="D28" s="18"/>
      <c r="E28" s="15" t="s">
        <v>18</v>
      </c>
      <c r="F28" s="18"/>
      <c r="G28" s="3"/>
      <c r="H28" s="18"/>
      <c r="I28" s="18"/>
      <c r="L28" s="3">
        <v>1</v>
      </c>
      <c r="M28" s="60">
        <f>IF(E28=$F$24,2,1)</f>
        <v>2</v>
      </c>
      <c r="N28" s="3"/>
      <c r="O28" s="61">
        <f>ROUNDDOWN(N28/4,0)</f>
        <v>0</v>
      </c>
      <c r="P28" s="60">
        <f>MIN(SUM(L28,M28,O28),R28)</f>
        <v>3</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2</v>
      </c>
      <c r="AK28" s="61">
        <f>IF(AJ28=0,IF(COUNTIF($E$42:$E$49,AI28)&gt;0,-3,-1),AJ28)</f>
        <v>2</v>
      </c>
    </row>
    <row r="29" spans="1:37">
      <c r="A29" s="1" t="s">
        <v>28</v>
      </c>
      <c r="B29" t="str">
        <f>REPT("●",IFERROR(INDEX($P$42:$P$69,MATCH(tblCharDataCarver[[#This Row],[Field]],$E$42:$E$69,0)),0))&amp;REPT("○",IFERROR(INDEX($V$42:$V$69,MATCH(tblCharDataCarver[[#This Row],[Field]],$E$42:$E$69,0)),0))&amp;IF(IFERROR(INDEX($W$42:$W$69,MATCH(tblCharDataCarver[[#This Row],[Field]],$E$42:$E$69,0)),0)=1,"†","")</f>
        <v>●●</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2</v>
      </c>
      <c r="AK29" s="61">
        <f>IF(AJ29=0,IF(COUNTIF($E$42:$E$49,AI29)&gt;0,-3,-1),AJ29)</f>
        <v>2</v>
      </c>
    </row>
    <row r="30" spans="1:37">
      <c r="A30" s="1" t="s">
        <v>29</v>
      </c>
      <c r="B30" t="str">
        <f>REPT("●",IFERROR(INDEX($P$42:$P$69,MATCH(tblCharDataCarver[[#This Row],[Field]],$E$42:$E$69,0)),0))&amp;REPT("○",IFERROR(INDEX($V$42:$V$69,MATCH(tblCharDataCarver[[#This Row],[Field]],$E$42:$E$69,0)),0))&amp;IF(IFERROR(INDEX($W$42:$W$69,MATCH(tblCharDataCarver[[#This Row],[Field]],$E$42:$E$69,0)),0)=1,"†","")</f>
        <v/>
      </c>
      <c r="D30" s="16" t="s">
        <v>1453</v>
      </c>
      <c r="E30" s="17"/>
      <c r="F30" s="17"/>
      <c r="G30" s="17" t="s">
        <v>1445</v>
      </c>
      <c r="H30" s="16" t="s">
        <v>1446</v>
      </c>
      <c r="I30" s="3" t="s">
        <v>1566</v>
      </c>
      <c r="L30" s="60">
        <f>IF(I30="",0,VLOOKUP(I30,tblPriority[#Data],2,FALSE))-SUM(L31:L33)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0</v>
      </c>
      <c r="AK30" s="61">
        <f>AJ30</f>
        <v>0</v>
      </c>
    </row>
    <row r="31" spans="1:37">
      <c r="A31" s="1" t="s">
        <v>30</v>
      </c>
      <c r="B31" t="str">
        <f>REPT("●",IFERROR(INDEX($P$42:$P$69,MATCH(tblCharDataCarver[[#This Row],[Field]],$E$42:$E$69,0)),0))&amp;REPT("○",IFERROR(INDEX($V$42:$V$69,MATCH(tblCharDataCarver[[#This Row],[Field]],$E$42:$E$69,0)),0))&amp;IF(IFERROR(INDEX($W$42:$W$69,MATCH(tblCharDataCarver[[#This Row],[Field]],$E$42:$E$69,0)),0)=1,"†","")</f>
        <v>●●●●</v>
      </c>
      <c r="D31" s="18"/>
      <c r="E31" s="15" t="s">
        <v>19</v>
      </c>
      <c r="F31" s="18"/>
      <c r="G31" s="3"/>
      <c r="H31" s="18"/>
      <c r="I31" s="18"/>
      <c r="L31" s="3">
        <v>1</v>
      </c>
      <c r="M31" s="60">
        <f>IF(E31=$F$24,2,1)</f>
        <v>1</v>
      </c>
      <c r="N31" s="3"/>
      <c r="O31" s="61">
        <f>ROUNDDOWN(N31/4,0)</f>
        <v>0</v>
      </c>
      <c r="P31" s="60">
        <f>MIN(SUM(L31,M31,O31),R31)</f>
        <v>2</v>
      </c>
      <c r="R31" s="61">
        <v>5</v>
      </c>
      <c r="U31" s="4"/>
      <c r="V31" s="61">
        <f>$P$174+U31</f>
        <v>0</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2</v>
      </c>
      <c r="AK31" s="61">
        <f>AJ31+IFERROR(INDEX($V$26:$V$38,MATCH(AI31,$E$26:$E$38,0)),0)</f>
        <v>2</v>
      </c>
    </row>
    <row r="32" spans="1:37">
      <c r="A32" s="1" t="s">
        <v>31</v>
      </c>
      <c r="B32" t="str">
        <f>REPT("●",IFERROR(INDEX($P$42:$P$69,MATCH(tblCharDataCarver[[#This Row],[Field]],$E$42:$E$69,0)),0))&amp;REPT("○",IFERROR(INDEX($V$42:$V$69,MATCH(tblCharDataCarver[[#This Row],[Field]],$E$42:$E$69,0)),0))&amp;IF(IFERROR(INDEX($W$42:$W$69,MATCH(tblCharDataCarver[[#This Row],[Field]],$E$42:$E$69,0)),0)=1,"†","")</f>
        <v>●</v>
      </c>
      <c r="D32" s="18"/>
      <c r="E32" s="15" t="s">
        <v>20</v>
      </c>
      <c r="F32" s="18"/>
      <c r="G32" s="3"/>
      <c r="H32" s="18"/>
      <c r="I32" s="18"/>
      <c r="L32" s="3">
        <v>1</v>
      </c>
      <c r="M32" s="60">
        <f>IF(E32=$F$24,2,1)</f>
        <v>1</v>
      </c>
      <c r="N32" s="3"/>
      <c r="O32" s="61">
        <f>ROUNDDOWN(N32/4,0)</f>
        <v>0</v>
      </c>
      <c r="P32" s="60">
        <f>MIN(SUM(L32,M32,O32),R32)</f>
        <v>2</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REPT("●",IFERROR(INDEX($P$42:$P$69,MATCH(tblCharDataCarver[[#This Row],[Field]],$E$42:$E$69,0)),0))&amp;REPT("○",IFERROR(INDEX($V$42:$V$69,MATCH(tblCharDataCarver[[#This Row],[Field]],$E$42:$E$69,0)),0))&amp;IF(IFERROR(INDEX($W$42:$W$69,MATCH(tblCharDataCarver[[#This Row],[Field]],$E$42:$E$69,0)),0)=1,"†","")</f>
        <v/>
      </c>
      <c r="D33" s="18"/>
      <c r="E33" s="15" t="s">
        <v>21</v>
      </c>
      <c r="F33" s="18"/>
      <c r="G33" s="3"/>
      <c r="H33" s="18"/>
      <c r="I33" s="18"/>
      <c r="L33" s="3">
        <v>1</v>
      </c>
      <c r="M33" s="60">
        <f>IF(E33=$F$24,2,1)</f>
        <v>1</v>
      </c>
      <c r="N33" s="3"/>
      <c r="O33" s="61">
        <f>ROUNDDOWN(N33/4,0)</f>
        <v>0</v>
      </c>
      <c r="P33" s="60">
        <f>MIN(SUM(L33,M33,O33),R33)</f>
        <v>2</v>
      </c>
      <c r="R33" s="61">
        <v>5</v>
      </c>
      <c r="U33" s="4"/>
      <c r="V33" s="61">
        <f>$P$173+U33</f>
        <v>2</v>
      </c>
      <c r="Y33" s="15" t="s">
        <v>1457</v>
      </c>
      <c r="Z33" s="61" t="str">
        <f>IFERROR(VLOOKUP(AA33,tblManoeuvre[],2,FALSE),"")</f>
        <v/>
      </c>
      <c r="AA33" s="61" t="str">
        <f t="shared" si="3"/>
        <v/>
      </c>
      <c r="AI33" s="15" t="s">
        <v>241</v>
      </c>
      <c r="AJ33" s="61">
        <f t="shared" si="1"/>
        <v>4</v>
      </c>
      <c r="AK33" s="61">
        <f>AJ33</f>
        <v>4</v>
      </c>
    </row>
    <row r="34" spans="1:37">
      <c r="A34" s="1" t="s">
        <v>33</v>
      </c>
      <c r="B34" t="str">
        <f>REPT("●",IFERROR(INDEX($P$42:$P$69,MATCH(tblCharDataCarver[[#This Row],[Field]],$E$42:$E$69,0)),0))&amp;REPT("○",IFERROR(INDEX($V$42:$V$69,MATCH(tblCharDataCarver[[#This Row],[Field]],$E$42:$E$69,0)),0))&amp;IF(IFERROR(INDEX($W$42:$W$69,MATCH(tblCharDataCarver[[#This Row],[Field]],$E$42:$E$69,0)),0)=1,"†","")</f>
        <v/>
      </c>
      <c r="Y34" s="15" t="s">
        <v>1458</v>
      </c>
      <c r="Z34" s="61" t="str">
        <f>IFERROR(VLOOKUP(AA34,tblManoeuvre[],2,FALSE),"")</f>
        <v/>
      </c>
      <c r="AA34" s="61" t="str">
        <f t="shared" si="3"/>
        <v/>
      </c>
      <c r="AI34" s="15" t="s">
        <v>242</v>
      </c>
      <c r="AJ34" s="61">
        <f t="shared" ref="AJ34:AJ58" si="4">VLOOKUP(AI34,$E$3:$P$221,12,FALSE)</f>
        <v>0</v>
      </c>
      <c r="AK34" s="61">
        <f>AJ34</f>
        <v>0</v>
      </c>
    </row>
    <row r="35" spans="1:37">
      <c r="A35" s="1" t="s">
        <v>34</v>
      </c>
      <c r="B35" t="str">
        <f>REPT("●",IFERROR(INDEX($P$42:$P$69,MATCH(tblCharDataCarver[[#This Row],[Field]],$E$42:$E$69,0)),0))&amp;REPT("○",IFERROR(INDEX($V$42:$V$69,MATCH(tblCharDataCarver[[#This Row],[Field]],$E$42:$E$69,0)),0))&amp;IF(IFERROR(INDEX($W$42:$W$69,MATCH(tblCharDataCarver[[#This Row],[Field]],$E$42:$E$69,0)),0)=1,"†","")</f>
        <v/>
      </c>
      <c r="D35" s="16" t="s">
        <v>1459</v>
      </c>
      <c r="E35" s="17"/>
      <c r="F35" s="17"/>
      <c r="G35" s="17" t="s">
        <v>1445</v>
      </c>
      <c r="H35" s="16" t="s">
        <v>1446</v>
      </c>
      <c r="I35" s="3" t="s">
        <v>1565</v>
      </c>
      <c r="L35" s="60">
        <f>IF(I35="",0,VLOOKUP(I35,tblPriority[#Data],2,FALSE))-SUM(L36:L38)</f>
        <v>0</v>
      </c>
      <c r="Y35" s="15" t="s">
        <v>1460</v>
      </c>
      <c r="Z35" s="61" t="str">
        <f>IFERROR(VLOOKUP(AA35,tblManoeuvre[],2,FALSE),"")</f>
        <v/>
      </c>
      <c r="AA35" s="61" t="str">
        <f t="shared" si="3"/>
        <v/>
      </c>
      <c r="AI35" s="15" t="s">
        <v>30</v>
      </c>
      <c r="AJ35" s="61">
        <f t="shared" si="4"/>
        <v>4</v>
      </c>
      <c r="AK35" s="61">
        <f>IF(AJ35=0,IF(COUNTIF($E$42:$E$49,AI35)&gt;0,-3,-1),AJ35)</f>
        <v>4</v>
      </c>
    </row>
    <row r="36" spans="1:37">
      <c r="A36" s="1" t="s">
        <v>35</v>
      </c>
      <c r="B36" t="str">
        <f>REPT("●",IFERROR(INDEX($P$42:$P$69,MATCH(tblCharDataCarver[[#This Row],[Field]],$E$42:$E$69,0)),0))&amp;REPT("○",IFERROR(INDEX($V$42:$V$69,MATCH(tblCharDataCarver[[#This Row],[Field]],$E$42:$E$69,0)),0))&amp;IF(IFERROR(INDEX($W$42:$W$69,MATCH(tblCharDataCarver[[#This Row],[Field]],$E$42:$E$69,0)),0)=1,"†","")</f>
        <v/>
      </c>
      <c r="D36" s="18"/>
      <c r="E36" s="15" t="s">
        <v>22</v>
      </c>
      <c r="F36" s="18"/>
      <c r="G36" s="3"/>
      <c r="H36" s="18"/>
      <c r="I36" s="18"/>
      <c r="L36" s="3">
        <v>2</v>
      </c>
      <c r="M36" s="60">
        <f>IF(E36=$F$24,2,1)</f>
        <v>1</v>
      </c>
      <c r="N36" s="3"/>
      <c r="O36" s="61">
        <f>ROUNDDOWN(N36/4,0)</f>
        <v>0</v>
      </c>
      <c r="P36" s="60">
        <f>MIN(SUM(L36,M36,O36),R36)</f>
        <v>3</v>
      </c>
      <c r="R36" s="61">
        <v>5</v>
      </c>
      <c r="U36" s="4"/>
      <c r="V36" s="61">
        <f>U36</f>
        <v>0</v>
      </c>
      <c r="Y36" s="15" t="s">
        <v>1461</v>
      </c>
      <c r="Z36" s="61" t="str">
        <f>IFERROR(VLOOKUP(AA36,tblManoeuvre[],2,FALSE),"")</f>
        <v/>
      </c>
      <c r="AA36" s="61" t="str">
        <f t="shared" si="3"/>
        <v/>
      </c>
      <c r="AI36" s="15" t="s">
        <v>45</v>
      </c>
      <c r="AJ36" s="61">
        <f t="shared" si="4"/>
        <v>2</v>
      </c>
      <c r="AK36" s="61">
        <f>IF(AJ36=0,IF(COUNTIF($E$42:$E$49,AI36)&gt;0,-3,-1),AJ36)</f>
        <v>2</v>
      </c>
    </row>
    <row r="37" spans="1:37">
      <c r="A37" s="1" t="s">
        <v>36</v>
      </c>
      <c r="B37" t="str">
        <f>REPT("●",IFERROR(INDEX($P$42:$P$69,MATCH(tblCharDataCarver[[#This Row],[Field]],$E$42:$E$69,0)),0))&amp;REPT("○",IFERROR(INDEX($V$42:$V$69,MATCH(tblCharDataCarver[[#This Row],[Field]],$E$42:$E$69,0)),0))&amp;IF(IFERROR(INDEX($W$42:$W$69,MATCH(tblCharDataCarver[[#This Row],[Field]],$E$42:$E$69,0)),0)=1,"†","")</f>
        <v/>
      </c>
      <c r="D37" s="18"/>
      <c r="E37" s="15" t="s">
        <v>23</v>
      </c>
      <c r="F37" s="18"/>
      <c r="G37" s="3"/>
      <c r="H37" s="18"/>
      <c r="I37" s="18"/>
      <c r="L37" s="3">
        <v>1</v>
      </c>
      <c r="M37" s="60">
        <f>IF(E37=$F$24,2,1)</f>
        <v>1</v>
      </c>
      <c r="N37" s="3"/>
      <c r="O37" s="61">
        <f>ROUNDDOWN(N37/4,0)</f>
        <v>0</v>
      </c>
      <c r="P37" s="60">
        <f>MIN(SUM(L37,M37,O37),R37)</f>
        <v>2</v>
      </c>
      <c r="R37" s="61">
        <v>5</v>
      </c>
      <c r="U37" s="4"/>
      <c r="V37" s="61">
        <f>U37</f>
        <v>0</v>
      </c>
      <c r="Y37" s="15" t="s">
        <v>1462</v>
      </c>
      <c r="Z37" s="61" t="str">
        <f>IFERROR(VLOOKUP(AA37,tblManoeuvre[],2,FALSE),"")</f>
        <v/>
      </c>
      <c r="AA37" s="61" t="str">
        <f t="shared" si="3"/>
        <v/>
      </c>
      <c r="AI37" s="15" t="s">
        <v>31</v>
      </c>
      <c r="AJ37" s="61">
        <f t="shared" si="4"/>
        <v>1</v>
      </c>
      <c r="AK37" s="61">
        <f>IF(AJ37=0,IF(COUNTIF($E$42:$E$49,AI37)&gt;0,-3,-1),AJ37)</f>
        <v>1</v>
      </c>
    </row>
    <row r="38" spans="1:37">
      <c r="A38" s="1" t="s">
        <v>37</v>
      </c>
      <c r="B38" t="str">
        <f>REPT("●",IFERROR(INDEX($P$42:$P$69,MATCH(tblCharDataCarver[[#This Row],[Field]],$E$42:$E$69,0)),0))&amp;REPT("○",IFERROR(INDEX($V$42:$V$69,MATCH(tblCharDataCarver[[#This Row],[Field]],$E$42:$E$69,0)),0))&amp;IF(IFERROR(INDEX($W$42:$W$69,MATCH(tblCharDataCarver[[#This Row],[Field]],$E$42:$E$69,0)),0)=1,"†","")</f>
        <v>●●</v>
      </c>
      <c r="D38" s="18"/>
      <c r="E38" s="15" t="s">
        <v>24</v>
      </c>
      <c r="F38" s="18"/>
      <c r="G38" s="3"/>
      <c r="H38" s="18"/>
      <c r="I38" s="18"/>
      <c r="L38" s="3">
        <v>2</v>
      </c>
      <c r="M38" s="60">
        <f>IF(E38=$F$24,2,1)</f>
        <v>1</v>
      </c>
      <c r="N38" s="3"/>
      <c r="O38" s="61">
        <f>ROUNDDOWN(N38/4,0)</f>
        <v>0</v>
      </c>
      <c r="P38" s="60">
        <f>MIN(SUM(L38,M38,O38),R38)</f>
        <v>3</v>
      </c>
      <c r="R38" s="61">
        <v>5</v>
      </c>
      <c r="U38" s="4"/>
      <c r="V38" s="61">
        <f>U38</f>
        <v>0</v>
      </c>
      <c r="Y38" s="15" t="s">
        <v>1463</v>
      </c>
      <c r="Z38" s="61" t="str">
        <f>IFERROR(VLOOKUP(AA38,tblManoeuvre[],2,FALSE),"")</f>
        <v/>
      </c>
      <c r="AA38" s="61" t="str">
        <f t="shared" si="3"/>
        <v/>
      </c>
      <c r="AI38" s="15" t="s">
        <v>22</v>
      </c>
      <c r="AJ38" s="61">
        <f t="shared" si="4"/>
        <v>3</v>
      </c>
      <c r="AK38" s="61">
        <f>AJ38+IFERROR(INDEX($V$26:$V$38,MATCH(AI38,$E$26:$E$38,0)),0)</f>
        <v>3</v>
      </c>
    </row>
    <row r="39" spans="1:37">
      <c r="A39" s="1" t="s">
        <v>38</v>
      </c>
      <c r="B39" t="str">
        <f>REPT("●",IFERROR(INDEX($P$42:$P$69,MATCH(tblCharDataCarver[[#This Row],[Field]],$E$42:$E$69,0)),0))&amp;REPT("○",IFERROR(INDEX($V$42:$V$69,MATCH(tblCharDataCarver[[#This Row],[Field]],$E$42:$E$69,0)),0))&amp;IF(IFERROR(INDEX($W$42:$W$69,MATCH(tblCharDataCarver[[#This Row],[Field]],$E$42:$E$69,0)),0)=1,"†","")</f>
        <v>●●</v>
      </c>
      <c r="Y39" s="15" t="s">
        <v>1464</v>
      </c>
      <c r="Z39" s="61" t="str">
        <f>IFERROR(VLOOKUP(AA39,tblManoeuvre[],2,FALSE),"")</f>
        <v/>
      </c>
      <c r="AA39" s="61" t="str">
        <f t="shared" si="3"/>
        <v/>
      </c>
      <c r="AI39" s="15" t="s">
        <v>243</v>
      </c>
      <c r="AJ39" s="61">
        <f t="shared" si="4"/>
        <v>0</v>
      </c>
      <c r="AK39" s="61">
        <f>AJ39</f>
        <v>0</v>
      </c>
    </row>
    <row r="40" spans="1:37" ht="15.75" thickBot="1">
      <c r="A40" s="1" t="s">
        <v>39</v>
      </c>
      <c r="B40" t="str">
        <f>REPT("●",IFERROR(INDEX($P$42:$P$69,MATCH(tblCharDataCarver[[#This Row],[Field]],$E$42:$E$69,0)),0))&amp;REPT("○",IFERROR(INDEX($V$42:$V$69,MATCH(tblCharDataCarver[[#This Row],[Field]],$E$42:$E$69,0)),0))&amp;IF(IFERROR(INDEX($W$42:$W$69,MATCH(tblCharDataCarver[[#This Row],[Field]],$E$42:$E$69,0)),0)=1,"†","")</f>
        <v/>
      </c>
      <c r="D40" s="14" t="s">
        <v>1465</v>
      </c>
      <c r="E40" s="14"/>
      <c r="F40" s="14"/>
      <c r="G40" s="14"/>
      <c r="H40" s="14"/>
      <c r="I40" s="14"/>
      <c r="N40" s="60">
        <f>SUM(N42:N49,N52:N59,N62:N69)</f>
        <v>0</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4"/>
        <v>0</v>
      </c>
      <c r="AK40" s="61">
        <f>AJ40</f>
        <v>0</v>
      </c>
    </row>
    <row r="41" spans="1:37">
      <c r="A41" s="1" t="s">
        <v>40</v>
      </c>
      <c r="B41" t="str">
        <f>REPT("●",IFERROR(INDEX($P$42:$P$69,MATCH(tblCharDataCarver[[#This Row],[Field]],$E$42:$E$69,0)),0))&amp;REPT("○",IFERROR(INDEX($V$42:$V$69,MATCH(tblCharDataCarver[[#This Row],[Field]],$E$42:$E$69,0)),0))&amp;IF(IFERROR(INDEX($W$42:$W$69,MATCH(tblCharDataCarver[[#This Row],[Field]],$E$42:$E$69,0)),0)=1,"†","")</f>
        <v/>
      </c>
      <c r="D41" s="16" t="s">
        <v>1444</v>
      </c>
      <c r="E41" s="17"/>
      <c r="F41" s="17"/>
      <c r="G41" s="17" t="s">
        <v>1467</v>
      </c>
      <c r="H41" s="16" t="s">
        <v>1446</v>
      </c>
      <c r="I41" s="3" t="s">
        <v>1565</v>
      </c>
      <c r="L41" s="60">
        <f>IF(I41="",0,VLOOKUP(I41,tblPriority[#Data],3,FALSE))-SUM(L42:L49)</f>
        <v>0</v>
      </c>
      <c r="T41" s="60">
        <f>MAX(3+IF(P161&gt;=3,2,0)-SUM(T42:T49,T52:T59,T62:T69),0)</f>
        <v>0</v>
      </c>
      <c r="Y41" s="15" t="s">
        <v>1468</v>
      </c>
      <c r="Z41" s="61" t="str">
        <f>IFERROR(VLOOKUP(AA41,tblManoeuvre[],2,FALSE),"")</f>
        <v/>
      </c>
      <c r="AA41" s="61" t="str">
        <f t="shared" si="3"/>
        <v/>
      </c>
      <c r="AI41" s="15" t="s">
        <v>244</v>
      </c>
      <c r="AJ41" s="61">
        <f t="shared" si="4"/>
        <v>2</v>
      </c>
      <c r="AK41" s="61">
        <f>AJ41</f>
        <v>2</v>
      </c>
    </row>
    <row r="42" spans="1:37">
      <c r="A42" s="1" t="s">
        <v>41</v>
      </c>
      <c r="B42" t="str">
        <f>REPT("●",IFERROR(INDEX($P$42:$P$69,MATCH(tblCharDataCarver[[#This Row],[Field]],$E$42:$E$69,0)),0))&amp;REPT("○",IFERROR(INDEX($V$42:$V$69,MATCH(tblCharDataCarver[[#This Row],[Field]],$E$42:$E$69,0)),0))&amp;IF(IFERROR(INDEX($W$42:$W$69,MATCH(tblCharDataCarver[[#This Row],[Field]],$E$42:$E$69,0)),0)=1,"†","")</f>
        <v/>
      </c>
      <c r="D42" s="18"/>
      <c r="E42" s="15" t="s">
        <v>25</v>
      </c>
      <c r="F42" s="18"/>
      <c r="G42" s="3" t="s">
        <v>564</v>
      </c>
      <c r="H42" s="18"/>
      <c r="I42" s="18"/>
      <c r="L42" s="4">
        <v>4</v>
      </c>
      <c r="M42" s="60"/>
      <c r="N42" s="4"/>
      <c r="O42" s="61">
        <f>ROUNDDOWN(N42/2,0)</f>
        <v>0</v>
      </c>
      <c r="P42" s="60">
        <f t="shared" ref="P42:P49" si="5">MIN(SUM(L42,M42,O42),R42)</f>
        <v>4</v>
      </c>
      <c r="R42" s="61">
        <v>5</v>
      </c>
      <c r="T42" s="4">
        <v>1</v>
      </c>
      <c r="U42" s="4"/>
      <c r="V42" s="61">
        <f t="shared" ref="V42:V49" si="6">U42</f>
        <v>0</v>
      </c>
      <c r="W42" s="4"/>
      <c r="AI42" s="15" t="s">
        <v>18</v>
      </c>
      <c r="AJ42" s="61">
        <f t="shared" si="4"/>
        <v>3</v>
      </c>
      <c r="AK42" s="61">
        <f>AJ42+IFERROR(INDEX($V$26:$V$38,MATCH(AI42,$E$26:$E$38,0)),0)</f>
        <v>3</v>
      </c>
    </row>
    <row r="43" spans="1:37">
      <c r="A43" s="1" t="s">
        <v>42</v>
      </c>
      <c r="B43" t="str">
        <f>REPT("●",IFERROR(INDEX($P$42:$P$69,MATCH(tblCharDataCarver[[#This Row],[Field]],$E$42:$E$69,0)),0))&amp;REPT("○",IFERROR(INDEX($V$42:$V$69,MATCH(tblCharDataCarver[[#This Row],[Field]],$E$42:$E$69,0)),0))&amp;IF(IFERROR(INDEX($W$42:$W$69,MATCH(tblCharDataCarver[[#This Row],[Field]],$E$42:$E$69,0)),0)=1,"†","")</f>
        <v>●●●</v>
      </c>
      <c r="D43" s="18"/>
      <c r="E43" s="15" t="s">
        <v>26</v>
      </c>
      <c r="F43" s="18"/>
      <c r="G43" s="3"/>
      <c r="H43" s="18"/>
      <c r="I43" s="18"/>
      <c r="L43" s="4"/>
      <c r="M43" s="60"/>
      <c r="N43" s="4"/>
      <c r="O43" s="61">
        <f t="shared" ref="O43:O49" si="7">ROUNDDOWN(N43/2,0)</f>
        <v>0</v>
      </c>
      <c r="P43" s="60">
        <f t="shared" si="5"/>
        <v>0</v>
      </c>
      <c r="R43" s="61">
        <v>5</v>
      </c>
      <c r="T43" s="4"/>
      <c r="U43" s="4"/>
      <c r="V43" s="61">
        <f t="shared" si="6"/>
        <v>0</v>
      </c>
      <c r="W43" s="4"/>
      <c r="AI43" s="15" t="s">
        <v>32</v>
      </c>
      <c r="AJ43" s="61">
        <f t="shared" si="4"/>
        <v>0</v>
      </c>
      <c r="AK43" s="61">
        <f>IF(AJ43=0,IF(COUNTIF($E$42:$E$49,AI43)&gt;0,-3,-1),AJ43)</f>
        <v>-3</v>
      </c>
    </row>
    <row r="44" spans="1:37">
      <c r="A44" s="1" t="s">
        <v>43</v>
      </c>
      <c r="B44" t="str">
        <f>REPT("●",IFERROR(INDEX($P$42:$P$69,MATCH(tblCharDataCarver[[#This Row],[Field]],$E$42:$E$69,0)),0))&amp;REPT("○",IFERROR(INDEX($V$42:$V$69,MATCH(tblCharDataCarver[[#This Row],[Field]],$E$42:$E$69,0)),0))&amp;IF(IFERROR(INDEX($W$42:$W$69,MATCH(tblCharDataCarver[[#This Row],[Field]],$E$42:$E$69,0)),0)=1,"†","")</f>
        <v/>
      </c>
      <c r="D44" s="18"/>
      <c r="E44" s="15" t="s">
        <v>27</v>
      </c>
      <c r="F44" s="18"/>
      <c r="G44" s="3"/>
      <c r="H44" s="18"/>
      <c r="I44" s="18"/>
      <c r="L44" s="4"/>
      <c r="M44" s="60"/>
      <c r="N44" s="4"/>
      <c r="O44" s="61">
        <f t="shared" si="7"/>
        <v>0</v>
      </c>
      <c r="P44" s="60">
        <f t="shared" si="5"/>
        <v>0</v>
      </c>
      <c r="R44" s="61">
        <v>5</v>
      </c>
      <c r="T44" s="4"/>
      <c r="U44" s="4"/>
      <c r="V44" s="61">
        <f t="shared" si="6"/>
        <v>0</v>
      </c>
      <c r="W44" s="4"/>
      <c r="Y44" s="15">
        <v>1</v>
      </c>
      <c r="Z44" s="61" t="s">
        <v>236</v>
      </c>
      <c r="AA44" s="60" t="str" cm="1">
        <f t="array" ref="AA44">IF(OR(Y44=0,Y44=""),"",IF(VLOOKUP(Z44,$AI$1:$AJ$58,2,FALSE)&gt;=Y44,INDEX(tblDisciplines[Name],MATCH(1,(tblDisciplines[Discipline]=Z44)*(tblDisciplines[Rank]=Y44),0)),""))</f>
        <v/>
      </c>
      <c r="AC44" s="60" t="str" cm="1">
        <f t="array" ref="AC44:AC50">IFERROR(_xlfn.VSTACK(IFERROR(_xlfn._xlws.FILTER(AA44:AA121,AA44:AA121&lt;&gt;""),""),IFERROR(_xlfn._xlws.SORT(_xlfn._xlws.FILTER(AA123:AA132,AA123:AA132&lt;&gt;"")),"")),"")</f>
        <v>Dread Presence</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Nightmare ● | Dread Presence</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  •  Pool: -  •  Instant  •  Scene</v>
      </c>
      <c r="AF44" s="20" t="str">
        <f>IF(AC44="","",IFERROR(VLOOKUP(AC44,tblDisciplines[],12,FALSE),VLOOKUP(AC44,tblPacts[],5,FALSE)))</f>
        <v>Conjure brief illusions. Improve Intimidation. Prevent foes spending Willpower.</v>
      </c>
      <c r="AI44" s="15" t="s">
        <v>353</v>
      </c>
      <c r="AJ44" s="61">
        <f t="shared" si="4"/>
        <v>5</v>
      </c>
      <c r="AK44" s="61">
        <f>AJ44</f>
        <v>5</v>
      </c>
    </row>
    <row r="45" spans="1:37">
      <c r="A45" s="1" t="s">
        <v>44</v>
      </c>
      <c r="B45" t="str">
        <f>REPT("●",IFERROR(INDEX($P$42:$P$69,MATCH(tblCharDataCarver[[#This Row],[Field]],$E$42:$E$69,0)),0))&amp;REPT("○",IFERROR(INDEX($V$42:$V$69,MATCH(tblCharDataCarver[[#This Row],[Field]],$E$42:$E$69,0)),0))&amp;IF(IFERROR(INDEX($W$42:$W$69,MATCH(tblCharDataCarver[[#This Row],[Field]],$E$42:$E$69,0)),0)=1,"†","")</f>
        <v>●●</v>
      </c>
      <c r="D45" s="18"/>
      <c r="E45" s="15" t="s">
        <v>28</v>
      </c>
      <c r="F45" s="18"/>
      <c r="G45" s="3"/>
      <c r="H45" s="18"/>
      <c r="I45" s="18"/>
      <c r="L45" s="4">
        <v>2</v>
      </c>
      <c r="M45" s="60"/>
      <c r="N45" s="4"/>
      <c r="O45" s="61">
        <f t="shared" si="7"/>
        <v>0</v>
      </c>
      <c r="P45" s="60">
        <f t="shared" si="5"/>
        <v>2</v>
      </c>
      <c r="R45" s="61">
        <v>5</v>
      </c>
      <c r="T45" s="4"/>
      <c r="U45" s="4"/>
      <c r="V45" s="61">
        <f t="shared" si="6"/>
        <v>0</v>
      </c>
      <c r="W45" s="4"/>
      <c r="Y45" s="15">
        <v>2</v>
      </c>
      <c r="Z45" s="61" t="s">
        <v>236</v>
      </c>
      <c r="AA45" s="60" t="str" cm="1">
        <f t="array" ref="AA45">IF(OR(Y45=0,Y45=""),"",IF(VLOOKUP(Z45,$AI$1:$AJ$58,2,FALSE)&gt;=Y45,INDEX(tblDisciplines[Name],MATCH(1,(tblDisciplines[Discipline]=Z45)*(tblDisciplines[Rank]=Y45),0)),""))</f>
        <v/>
      </c>
      <c r="AC45" s="60" t="str">
        <v>Face of the Beast</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Nightmare ●● | Face of the Beast</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1 V  •  Pool: 10  v Composure + BP  •  Contested  •  Instant</v>
      </c>
      <c r="AF45" s="20" t="str">
        <f>IF(AC45="","",IFERROR(VLOOKUP(AC45,tblDisciplines[],12,FALSE),VLOOKUP(AC45,tblPacts[],5,FALSE)))</f>
        <v>Impose Frightened Condition. Cause fleeing.</v>
      </c>
      <c r="AI45" s="15" t="s">
        <v>46</v>
      </c>
      <c r="AJ45" s="61">
        <f t="shared" si="4"/>
        <v>0</v>
      </c>
      <c r="AK45" s="61">
        <f>IF(AJ45=0,IF(COUNTIF($E$42:$E$49,AI45)&gt;0,-3,-1),AJ45)</f>
        <v>-1</v>
      </c>
    </row>
    <row r="46" spans="1:37">
      <c r="A46" s="1" t="s">
        <v>45</v>
      </c>
      <c r="B46" t="str">
        <f>REPT("●",IFERROR(INDEX($P$42:$P$69,MATCH(tblCharDataCarver[[#This Row],[Field]],$E$42:$E$69,0)),0))&amp;REPT("○",IFERROR(INDEX($V$42:$V$69,MATCH(tblCharDataCarver[[#This Row],[Field]],$E$42:$E$69,0)),0))&amp;IF(IFERROR(INDEX($W$42:$W$69,MATCH(tblCharDataCarver[[#This Row],[Field]],$E$42:$E$69,0)),0)=1,"†","")</f>
        <v>●●</v>
      </c>
      <c r="D46" s="18"/>
      <c r="E46" s="15" t="s">
        <v>29</v>
      </c>
      <c r="F46" s="18"/>
      <c r="G46" s="3"/>
      <c r="H46" s="18"/>
      <c r="I46" s="18"/>
      <c r="L46" s="4"/>
      <c r="M46" s="60"/>
      <c r="N46" s="4"/>
      <c r="O46" s="61">
        <f t="shared" si="7"/>
        <v>0</v>
      </c>
      <c r="P46" s="60">
        <f t="shared" si="5"/>
        <v>0</v>
      </c>
      <c r="R46" s="61">
        <v>5</v>
      </c>
      <c r="T46" s="4"/>
      <c r="U46" s="4"/>
      <c r="V46" s="61">
        <f t="shared" si="6"/>
        <v>0</v>
      </c>
      <c r="W46" s="4"/>
      <c r="Y46" s="15">
        <v>3</v>
      </c>
      <c r="Z46" s="61" t="s">
        <v>236</v>
      </c>
      <c r="AA46" s="60" t="str" cm="1">
        <f t="array" ref="AA46">IF(OR(Y46=0,Y46=""),"",IF(VLOOKUP(Z46,$AI$1:$AJ$58,2,FALSE)&gt;=Y46,INDEX(tblDisciplines[Name],MATCH(1,(tblDisciplines[Discipline]=Z46)*(tblDisciplines[Rank]=Y46),0)),""))</f>
        <v/>
      </c>
      <c r="AC46" s="60" t="str">
        <v>Grand Delusion</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Nightmare ●●● | Grand Delusion</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2 V  •  Pool: 9  v Composure + BP  •  Contested  •  1 night</v>
      </c>
      <c r="AF46" s="20" t="str">
        <f>IF(AC46="","",IFERROR(VLOOKUP(AC46,tblDisciplines[],12,FALSE),VLOOKUP(AC46,tblPacts[],5,FALSE)))</f>
        <v>Impose Delusional Condition.</v>
      </c>
      <c r="AI46" s="15" t="s">
        <v>354</v>
      </c>
      <c r="AJ46" s="61">
        <f t="shared" ca="1" si="4"/>
        <v>9</v>
      </c>
      <c r="AK46" s="61">
        <f ca="1">AJ46</f>
        <v>9</v>
      </c>
    </row>
    <row r="47" spans="1:37">
      <c r="A47" s="1" t="s">
        <v>46</v>
      </c>
      <c r="B47" t="str">
        <f>REPT("●",IFERROR(INDEX($P$42:$P$69,MATCH(tblCharDataCarver[[#This Row],[Field]],$E$42:$E$69,0)),0))&amp;REPT("○",IFERROR(INDEX($V$42:$V$69,MATCH(tblCharDataCarver[[#This Row],[Field]],$E$42:$E$69,0)),0))&amp;IF(IFERROR(INDEX($W$42:$W$69,MATCH(tblCharDataCarver[[#This Row],[Field]],$E$42:$E$69,0)),0)=1,"†","")</f>
        <v/>
      </c>
      <c r="D47" s="18"/>
      <c r="E47" s="15" t="s">
        <v>30</v>
      </c>
      <c r="F47" s="18"/>
      <c r="G47" s="3" t="s">
        <v>565</v>
      </c>
      <c r="H47" s="18"/>
      <c r="I47" s="18"/>
      <c r="L47" s="4">
        <v>4</v>
      </c>
      <c r="M47" s="60"/>
      <c r="N47" s="4"/>
      <c r="O47" s="61">
        <f t="shared" si="7"/>
        <v>0</v>
      </c>
      <c r="P47" s="60">
        <f t="shared" si="5"/>
        <v>4</v>
      </c>
      <c r="R47" s="61">
        <v>5</v>
      </c>
      <c r="T47" s="4">
        <v>1</v>
      </c>
      <c r="U47" s="4"/>
      <c r="V47" s="61">
        <f t="shared" si="6"/>
        <v>0</v>
      </c>
      <c r="W47" s="4"/>
      <c r="Y47" s="15">
        <v>4</v>
      </c>
      <c r="Z47" s="61" t="s">
        <v>236</v>
      </c>
      <c r="AA47" s="60" t="str" cm="1">
        <f t="array" ref="AA47">IF(OR(Y47=0,Y47=""),"",IF(VLOOKUP(Z47,$AI$1:$AJ$58,2,FALSE)&gt;=Y47,INDEX(tblDisciplines[Name],MATCH(1,(tblDisciplines[Discipline]=Z47)*(tblDisciplines[Rank]=Y47),0)),""))</f>
        <v/>
      </c>
      <c r="AC47" s="60" t="str">
        <v>Waking Nightmare</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Nightmare ●●●● | Waking Nightmare</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Cost: 1 V  •  Pool: 10  v highest Composure + BP  •  Contested  •  Scene</v>
      </c>
      <c r="AF47" s="20" t="str">
        <f>IF(AC47="","",IFERROR(VLOOKUP(AC47,tblDisciplines[],12,FALSE),VLOOKUP(AC47,tblPacts[],5,FALSE)))</f>
        <v>Create and control hallucinations.</v>
      </c>
      <c r="AI47" s="15" t="s">
        <v>21</v>
      </c>
      <c r="AJ47" s="61">
        <f t="shared" si="4"/>
        <v>2</v>
      </c>
      <c r="AK47" s="61">
        <f>AJ47+IFERROR(INDEX($V$26:$V$38,MATCH(AI47,$E$26:$E$38,0)),0)</f>
        <v>4</v>
      </c>
    </row>
    <row r="48" spans="1:37">
      <c r="A48" s="1" t="s">
        <v>47</v>
      </c>
      <c r="B48" t="str">
        <f>REPT("●",IFERROR(INDEX($P$42:$P$69,MATCH(tblCharDataCarver[[#This Row],[Field]],$E$42:$E$69,0)),0))&amp;REPT("○",IFERROR(INDEX($V$42:$V$69,MATCH(tblCharDataCarver[[#This Row],[Field]],$E$42:$E$69,0)),0))&amp;IF(IFERROR(INDEX($W$42:$W$69,MATCH(tblCharDataCarver[[#This Row],[Field]],$E$42:$E$69,0)),0)=1,"†","")</f>
        <v/>
      </c>
      <c r="D48" s="18"/>
      <c r="E48" s="15" t="s">
        <v>31</v>
      </c>
      <c r="F48" s="18"/>
      <c r="G48" s="3"/>
      <c r="H48" s="18"/>
      <c r="I48" s="18"/>
      <c r="L48" s="4">
        <v>1</v>
      </c>
      <c r="M48" s="60"/>
      <c r="N48" s="4"/>
      <c r="O48" s="61">
        <f t="shared" si="7"/>
        <v>0</v>
      </c>
      <c r="P48" s="60">
        <f t="shared" si="5"/>
        <v>1</v>
      </c>
      <c r="R48" s="61">
        <v>5</v>
      </c>
      <c r="T48" s="4"/>
      <c r="U48" s="4"/>
      <c r="V48" s="61">
        <f t="shared" si="6"/>
        <v>0</v>
      </c>
      <c r="W48" s="4"/>
      <c r="Y48" s="15">
        <v>5</v>
      </c>
      <c r="Z48" s="61" t="s">
        <v>236</v>
      </c>
      <c r="AA48" s="60" t="str" cm="1">
        <f t="array" ref="AA48">IF(OR(Y48=0,Y48=""),"",IF(VLOOKUP(Z48,$AI$1:$AJ$58,2,FALSE)&gt;=Y48,INDEX(tblDisciplines[Name],MATCH(1,(tblDisciplines[Discipline]=Z48)*(tblDisciplines[Rank]=Y48),0)),""))</f>
        <v/>
      </c>
      <c r="AC48" s="60" t="str">
        <v>Resilience 2</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Resilience ●●</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Cost: 1 V per effect  •  Pool: -  •  Reflexive  •  1 turn</v>
      </c>
      <c r="AF48" s="20" t="str">
        <f>IF(AC48="","",IFERROR(VLOOKUP(AC48,tblDisciplines[],12,FALSE),VLOOKUP(AC48,tblPacts[],5,FALSE)))</f>
        <v>Downgrade damage and increase Stamina. Improve Armour and Defences. Unnatural Fortitude: add Resilience dots as bonus dice to non-combat Stamina pools.</v>
      </c>
      <c r="AI48" s="15" t="s">
        <v>38</v>
      </c>
      <c r="AJ48" s="61">
        <f t="shared" si="4"/>
        <v>2</v>
      </c>
      <c r="AK48" s="61">
        <f>IF(AJ48=0,IF(COUNTIF($E$42:$E$49,AI48)&gt;0,-3,-1),AJ48)</f>
        <v>2</v>
      </c>
    </row>
    <row r="49" spans="1:37">
      <c r="A49" s="1" t="s">
        <v>48</v>
      </c>
      <c r="B49" t="str">
        <f>REPT("●",IFERROR(INDEX($P$42:$P$69,MATCH(tblCharDataCarver[[#This Row],[Field]],$E$42:$E$69,0)),0))&amp;REPT("○",IFERROR(INDEX($V$42:$V$69,MATCH(tblCharDataCarver[[#This Row],[Field]],$E$42:$E$69,0)),0))&amp;IF(IFERROR(INDEX($W$42:$W$69,MATCH(tblCharDataCarver[[#This Row],[Field]],$E$42:$E$69,0)),0)=1,"†","")</f>
        <v/>
      </c>
      <c r="D49" s="18"/>
      <c r="E49" s="15" t="s">
        <v>32</v>
      </c>
      <c r="F49" s="18"/>
      <c r="G49" s="3"/>
      <c r="H49" s="18"/>
      <c r="I49" s="18"/>
      <c r="L49" s="4"/>
      <c r="M49" s="60"/>
      <c r="N49" s="4"/>
      <c r="O49" s="61">
        <f t="shared" si="7"/>
        <v>0</v>
      </c>
      <c r="P49" s="60">
        <f t="shared" si="5"/>
        <v>0</v>
      </c>
      <c r="R49" s="61">
        <v>5</v>
      </c>
      <c r="T49" s="4"/>
      <c r="U49" s="4"/>
      <c r="V49" s="61">
        <f t="shared" si="6"/>
        <v>0</v>
      </c>
      <c r="W49" s="4"/>
      <c r="Y49" s="15">
        <v>1</v>
      </c>
      <c r="Z49" s="61" t="s">
        <v>237</v>
      </c>
      <c r="AA49" s="60" t="str" cm="1">
        <f t="array" ref="AA49">IF(OR(Y49=0,Y49=""),"",IF(VLOOKUP(Z49,$AI$1:$AJ$58,2,FALSE)&gt;=Y49,INDEX(tblDisciplines[Name],MATCH(1,(tblDisciplines[Discipline]=Z49)*(tblDisciplines[Rank]=Y49),0)),""))</f>
        <v/>
      </c>
      <c r="AC49" s="60" t="str">
        <v>Skim the Void</v>
      </c>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Devotion  | Skim the Void</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Cost: 1 V (Lasombra Only)  •  Pool: 6  •  Instant  •  Instant</v>
      </c>
      <c r="AF49" s="20" t="str">
        <f>IF(AC49="","",IFERROR(VLOOKUP(AC49,tblDisciplines[],12,FALSE),VLOOKUP(AC49,tblPacts[],5,FALSE)))</f>
        <v>Step into any visible shadow and out of another instantly. Can carry objects but not people or animals. Torpid Kindred do not count as objects.</v>
      </c>
      <c r="AI49" s="15" t="s">
        <v>47</v>
      </c>
      <c r="AJ49" s="61">
        <f t="shared" si="4"/>
        <v>0</v>
      </c>
      <c r="AK49" s="61">
        <f>IF(AJ49=0,IF(COUNTIF($E$42:$E$49,AI49)&gt;0,-3,-1),AJ49)</f>
        <v>-1</v>
      </c>
    </row>
    <row r="50" spans="1:37">
      <c r="A50" s="1" t="s">
        <v>49</v>
      </c>
      <c r="B50" t="str">
        <f ca="1">REPT("●",VLOOKUP(tblCharDataCarver[[#This Row],[Field]],INDIRECT($AH$1),2,FALSE)) &amp; REPT("○",10-VLOOKUP(tblCharDataCarver[[#This Row],[Field]],INDIRECT($AH$1),2,FALSE))</f>
        <v>●●○○○○○○○○</v>
      </c>
      <c r="Y50" s="15">
        <v>2</v>
      </c>
      <c r="Z50" s="61" t="s">
        <v>237</v>
      </c>
      <c r="AA50" s="60" t="str" cm="1">
        <f t="array" ref="AA50">IF(OR(Y50=0,Y50=""),"",IF(VLOOKUP(Z50,$AI$1:$AJ$58,2,FALSE)&gt;=Y50,INDEX(tblDisciplines[Name],MATCH(1,(tblDisciplines[Discipline]=Z50)*(tblDisciplines[Rank]=Y50),0)),""))</f>
        <v/>
      </c>
      <c r="AC50" s="60" t="str">
        <v/>
      </c>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
      </c>
      <c r="AF50" s="20" t="str">
        <f>IF(AC50="","",IFERROR(VLOOKUP(AC50,tblDisciplines[],12,FALSE),VLOOKUP(AC50,tblPacts[],5,FALSE)))</f>
        <v/>
      </c>
      <c r="AI50" s="15" t="s">
        <v>19</v>
      </c>
      <c r="AJ50" s="61">
        <f t="shared" si="4"/>
        <v>2</v>
      </c>
      <c r="AK50" s="61">
        <f>AJ50+IFERROR(INDEX($V$26:$V$38,MATCH(AI50,$E$26:$E$38,0)),0)</f>
        <v>2</v>
      </c>
    </row>
    <row r="51" spans="1:37">
      <c r="A51" s="1" t="s">
        <v>50</v>
      </c>
      <c r="B51">
        <f>P72</f>
        <v>2</v>
      </c>
      <c r="D51" s="16" t="s">
        <v>1453</v>
      </c>
      <c r="E51" s="17"/>
      <c r="F51" s="17"/>
      <c r="G51" s="17" t="s">
        <v>1467</v>
      </c>
      <c r="H51" s="16" t="s">
        <v>1446</v>
      </c>
      <c r="I51" s="3" t="s">
        <v>1566</v>
      </c>
      <c r="L51" s="60">
        <f>IF(I51="",0,VLOOKUP(I51,tblPriority[#Data],3,FALSE))-SUM(L52:L59)</f>
        <v>0</v>
      </c>
      <c r="Y51" s="15">
        <v>3</v>
      </c>
      <c r="Z51" s="61" t="s">
        <v>237</v>
      </c>
      <c r="AA51" s="60" t="str" cm="1">
        <f t="array" ref="AA51">IF(OR(Y51=0,Y51=""),"",IF(VLOOKUP(Z51,$AI$1:$AJ$58,2,FALSE)&gt;=Y51,INDEX(tblDisciplines[Name],MATCH(1,(tblDisciplines[Discipline]=Z51)*(tblDisciplines[Rank]=Y51),0)),""))</f>
        <v/>
      </c>
      <c r="AC51" s="60"/>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
      </c>
      <c r="AF51" s="20" t="str">
        <f>IF(AC51="","",IFERROR(VLOOKUP(AC51,tblDisciplines[],12,FALSE),VLOOKUP(AC51,tblPacts[],5,FALSE)))</f>
        <v/>
      </c>
      <c r="AI51" s="15" t="s">
        <v>48</v>
      </c>
      <c r="AJ51" s="61">
        <f t="shared" si="4"/>
        <v>0</v>
      </c>
      <c r="AK51" s="61">
        <f>IF(AJ51=0,IF(COUNTIF($E$42:$E$49,AI51)&gt;0,-3,-1),AJ51)</f>
        <v>-1</v>
      </c>
    </row>
    <row r="52" spans="1:37">
      <c r="A52" s="1" t="s">
        <v>51</v>
      </c>
      <c r="B52" t="str">
        <f>_xlfn.IFNA(VLOOKUP(P72,tblBloodPotency[#Data],5,FALSE),"")</f>
        <v>†</v>
      </c>
      <c r="D52" s="18"/>
      <c r="E52" s="15" t="s">
        <v>33</v>
      </c>
      <c r="F52" s="18"/>
      <c r="G52" s="3"/>
      <c r="H52" s="18"/>
      <c r="I52" s="18"/>
      <c r="L52" s="4"/>
      <c r="M52" s="60"/>
      <c r="N52" s="4"/>
      <c r="O52" s="61">
        <f>ROUNDDOWN(N52/2,0)</f>
        <v>0</v>
      </c>
      <c r="P52" s="60">
        <f t="shared" ref="P52:P59" si="8">MIN(SUM(L52,M52,O52),R52)</f>
        <v>0</v>
      </c>
      <c r="R52" s="61">
        <v>5</v>
      </c>
      <c r="T52" s="4"/>
      <c r="U52" s="4"/>
      <c r="V52" s="61">
        <f t="shared" ref="V52:V59" si="9">U52</f>
        <v>0</v>
      </c>
      <c r="W52" s="4"/>
      <c r="Y52" s="15">
        <v>4</v>
      </c>
      <c r="Z52" s="61" t="s">
        <v>237</v>
      </c>
      <c r="AA52" s="60" t="str" cm="1">
        <f t="array" ref="AA52">IF(OR(Y52=0,Y52=""),"",IF(VLOOKUP(Z52,$AI$1:$AJ$58,2,FALSE)&gt;=Y52,INDEX(tblDisciplines[Name],MATCH(1,(tblDisciplines[Discipline]=Z52)*(tblDisciplines[Rank]=Y52),0)),""))</f>
        <v/>
      </c>
      <c r="AC52" s="60"/>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
      </c>
      <c r="AF52" s="20" t="str">
        <f>IF(AC52="","",IFERROR(VLOOKUP(AC52,tblDisciplines[],12,FALSE),VLOOKUP(AC52,tblPacts[],5,FALSE)))</f>
        <v/>
      </c>
      <c r="AI52" s="15" t="s">
        <v>39</v>
      </c>
      <c r="AJ52" s="61">
        <f t="shared" si="4"/>
        <v>0</v>
      </c>
      <c r="AK52" s="61">
        <f>IF(AJ52=0,IF(COUNTIF($E$42:$E$49,AI52)&gt;0,-3,-1),AJ52)</f>
        <v>-1</v>
      </c>
    </row>
    <row r="53" spans="1:37">
      <c r="A53" s="1" t="s">
        <v>52</v>
      </c>
      <c r="B53" t="str">
        <f ca="1">REPT("□",P221) &amp; REPT("■",15-P221)</f>
        <v>□□□□□□□□□■■■■■■</v>
      </c>
      <c r="D53" s="18"/>
      <c r="E53" s="15" t="s">
        <v>34</v>
      </c>
      <c r="F53" s="18"/>
      <c r="G53" s="3"/>
      <c r="H53" s="18"/>
      <c r="I53" s="18"/>
      <c r="L53" s="4"/>
      <c r="M53" s="60"/>
      <c r="N53" s="4"/>
      <c r="O53" s="61">
        <f t="shared" ref="O53:O59" si="10">ROUNDDOWN(N53/2,0)</f>
        <v>0</v>
      </c>
      <c r="P53" s="60">
        <f t="shared" si="8"/>
        <v>0</v>
      </c>
      <c r="R53" s="61">
        <v>5</v>
      </c>
      <c r="T53" s="4"/>
      <c r="U53" s="4"/>
      <c r="V53" s="61">
        <f t="shared" si="9"/>
        <v>0</v>
      </c>
      <c r="W53" s="4"/>
      <c r="Y53" s="15">
        <v>5</v>
      </c>
      <c r="Z53" s="61" t="s">
        <v>237</v>
      </c>
      <c r="AA53" s="60" t="str" cm="1">
        <f t="array" ref="AA53">IF(OR(Y53=0,Y53=""),"",IF(VLOOKUP(Z53,$AI$1:$AJ$58,2,FALSE)&gt;=Y53,INDEX(tblDisciplines[Name],MATCH(1,(tblDisciplines[Discipline]=Z53)*(tblDisciplines[Rank]=Y53),0)),""))</f>
        <v/>
      </c>
      <c r="AC53" s="60"/>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
      </c>
      <c r="AF53" s="20" t="str">
        <f>IF(AC53="","",IFERROR(VLOOKUP(AC53,tblDisciplines[],12,FALSE),VLOOKUP(AC53,tblPacts[],5,FALSE)))</f>
        <v/>
      </c>
      <c r="AI53" s="15" t="s">
        <v>247</v>
      </c>
      <c r="AJ53" s="61">
        <f t="shared" si="4"/>
        <v>0</v>
      </c>
      <c r="AK53" s="61">
        <f>AJ53</f>
        <v>0</v>
      </c>
    </row>
    <row r="54" spans="1:37">
      <c r="A54" s="1" t="s">
        <v>53</v>
      </c>
      <c r="B54" t="str">
        <f>_xlfn.CONCAT(P74-L224," / ",P74)</f>
        <v>6 / 6</v>
      </c>
      <c r="D54" s="18"/>
      <c r="E54" s="15" t="s">
        <v>35</v>
      </c>
      <c r="F54" s="18"/>
      <c r="G54" s="3"/>
      <c r="H54" s="18"/>
      <c r="I54" s="18"/>
      <c r="L54" s="4"/>
      <c r="M54" s="60"/>
      <c r="N54" s="4"/>
      <c r="O54" s="61">
        <f t="shared" si="10"/>
        <v>0</v>
      </c>
      <c r="P54" s="60">
        <f t="shared" si="8"/>
        <v>0</v>
      </c>
      <c r="R54" s="61">
        <v>5</v>
      </c>
      <c r="T54" s="4"/>
      <c r="U54" s="4"/>
      <c r="V54" s="61">
        <f t="shared" si="9"/>
        <v>0</v>
      </c>
      <c r="W54" s="4"/>
      <c r="Y54" s="15">
        <f>P167</f>
        <v>0</v>
      </c>
      <c r="Z54" s="61" t="s">
        <v>238</v>
      </c>
      <c r="AA54" s="60" t="str" cm="1">
        <f t="array" ref="AA54">IF(OR(Y54=0,Y54=""),"",IF(VLOOKUP(Z54,$AI$1:$AJ$58,2,FALSE)&gt;=Y54,INDEX(tblDisciplines[Name],MATCH(1,(tblDisciplines[Discipline]=Z54)*(tblDisciplines[Rank]=Y54),0)),""))</f>
        <v/>
      </c>
      <c r="AC54" s="60"/>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
      </c>
      <c r="AF54" s="20" t="str">
        <f>IF(AC54="","",IFERROR(VLOOKUP(AC54,tblDisciplines[],12,FALSE),VLOOKUP(AC54,tblPacts[],5,FALSE)))</f>
        <v/>
      </c>
      <c r="AI54" s="15" t="s">
        <v>252</v>
      </c>
      <c r="AJ54" s="61">
        <f t="shared" si="4"/>
        <v>0</v>
      </c>
      <c r="AK54" s="61">
        <f>AJ54</f>
        <v>0</v>
      </c>
    </row>
    <row r="55" spans="1:37">
      <c r="A55" s="1" t="s">
        <v>54</v>
      </c>
      <c r="B55" t="str">
        <f>REPT("□",P74) &amp; REPT("■",10-P74)</f>
        <v>□□□□□□■■■■</v>
      </c>
      <c r="D55" s="18"/>
      <c r="E55" s="15" t="s">
        <v>36</v>
      </c>
      <c r="F55" s="18"/>
      <c r="G55" s="3"/>
      <c r="H55" s="18"/>
      <c r="I55" s="18"/>
      <c r="L55" s="4"/>
      <c r="M55" s="60"/>
      <c r="N55" s="4"/>
      <c r="O55" s="61">
        <f t="shared" si="10"/>
        <v>0</v>
      </c>
      <c r="P55" s="60">
        <f t="shared" si="8"/>
        <v>0</v>
      </c>
      <c r="R55" s="61">
        <v>5</v>
      </c>
      <c r="T55" s="4"/>
      <c r="U55" s="4"/>
      <c r="V55" s="61">
        <f t="shared" si="9"/>
        <v>0</v>
      </c>
      <c r="W55" s="4"/>
      <c r="Y55" s="15">
        <v>1</v>
      </c>
      <c r="Z55" s="61" t="s">
        <v>239</v>
      </c>
      <c r="AA55" s="60" t="str" cm="1">
        <f t="array" ref="AA55">IF(OR(Y55=0,Y55=""),"",IF(VLOOKUP(Z55,$AI$1:$AJ$58,2,FALSE)&gt;=Y55,INDEX(tblDisciplines[Name],MATCH(1,(tblDisciplines[Discipline]=Z55)*(tblDisciplines[Rank]=Y55),0)),""))</f>
        <v/>
      </c>
      <c r="AC55" s="60"/>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
      </c>
      <c r="AF55" s="20" t="str">
        <f>IF(AC55="","",IFERROR(VLOOKUP(AC55,tblDisciplines[],12,FALSE),VLOOKUP(AC55,tblPacts[],5,FALSE)))</f>
        <v/>
      </c>
      <c r="AI55" s="15" t="s">
        <v>245</v>
      </c>
      <c r="AJ55" s="61">
        <f t="shared" si="4"/>
        <v>0</v>
      </c>
      <c r="AK55" s="61">
        <f>AJ55+IFERROR(INDEX($V$26:$V$38,MATCH(AI55,$E$26:$E$38,0)),0)</f>
        <v>0</v>
      </c>
    </row>
    <row r="56" spans="1:37">
      <c r="A56" s="1" t="s">
        <v>55</v>
      </c>
      <c r="B56" t="str">
        <f ca="1">_xlfn.CONCAT(P75-L223," / ",P75)</f>
        <v>11 / 11</v>
      </c>
      <c r="D56" s="19"/>
      <c r="E56" s="15" t="s">
        <v>37</v>
      </c>
      <c r="F56" s="18"/>
      <c r="G56" s="3"/>
      <c r="H56" s="18"/>
      <c r="I56" s="18"/>
      <c r="L56" s="4">
        <v>2</v>
      </c>
      <c r="M56" s="60"/>
      <c r="N56" s="4"/>
      <c r="O56" s="61">
        <f t="shared" si="10"/>
        <v>0</v>
      </c>
      <c r="P56" s="60">
        <f t="shared" si="8"/>
        <v>2</v>
      </c>
      <c r="R56" s="61">
        <v>5</v>
      </c>
      <c r="T56" s="4"/>
      <c r="U56" s="4"/>
      <c r="V56" s="61">
        <f t="shared" si="9"/>
        <v>0</v>
      </c>
      <c r="W56" s="4"/>
      <c r="Y56" s="15">
        <v>2</v>
      </c>
      <c r="Z56" s="61" t="s">
        <v>239</v>
      </c>
      <c r="AA56" s="60" t="str" cm="1">
        <f t="array" ref="AA56">IF(OR(Y56=0,Y56=""),"",IF(VLOOKUP(Z56,$AI$1:$AJ$58,2,FALSE)&gt;=Y56,INDEX(tblDisciplines[Name],MATCH(1,(tblDisciplines[Discipline]=Z56)*(tblDisciplines[Rank]=Y56),0)),""))</f>
        <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4"/>
        <v>0</v>
      </c>
      <c r="AK56" s="61">
        <f>IF(AJ56=0,IF(COUNTIF($E$42:$E$49,AI56)&gt;0,-3,-1),AJ56)</f>
        <v>-1</v>
      </c>
    </row>
    <row r="57" spans="1:37">
      <c r="A57" s="1" t="s">
        <v>56</v>
      </c>
      <c r="B57" t="str">
        <f ca="1">REPT("□",P75-L223) &amp; REPT("■",20-P75+L223)</f>
        <v>□□□□□□□□□□□■■■■■■■■■</v>
      </c>
      <c r="D57" s="19"/>
      <c r="E57" s="15" t="s">
        <v>38</v>
      </c>
      <c r="F57" s="18"/>
      <c r="G57" s="3"/>
      <c r="H57" s="18"/>
      <c r="I57" s="18"/>
      <c r="L57" s="4">
        <v>2</v>
      </c>
      <c r="M57" s="60"/>
      <c r="N57" s="4"/>
      <c r="O57" s="61">
        <f t="shared" si="10"/>
        <v>0</v>
      </c>
      <c r="P57" s="60">
        <f t="shared" si="8"/>
        <v>2</v>
      </c>
      <c r="R57" s="61">
        <v>5</v>
      </c>
      <c r="T57" s="4"/>
      <c r="U57" s="4"/>
      <c r="V57" s="61">
        <f t="shared" si="9"/>
        <v>0</v>
      </c>
      <c r="W57" s="4"/>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4"/>
        <v>6</v>
      </c>
      <c r="AK57" s="61">
        <f>AJ57</f>
        <v>6</v>
      </c>
    </row>
    <row r="58" spans="1:37">
      <c r="A58" s="1" t="s">
        <v>57</v>
      </c>
      <c r="B58">
        <f ca="1">VLOOKUP(VLOOKUP("Blood Potency", INDIRECT($AH$1),2,FALSE),tblBloodPotency[#Data],3,FALSE)</f>
        <v>2</v>
      </c>
      <c r="D58" s="19"/>
      <c r="E58" s="15" t="s">
        <v>39</v>
      </c>
      <c r="F58" s="18"/>
      <c r="G58" s="3"/>
      <c r="H58" s="18"/>
      <c r="I58" s="18"/>
      <c r="L58" s="4"/>
      <c r="M58" s="60"/>
      <c r="N58" s="4"/>
      <c r="O58" s="61">
        <f t="shared" si="10"/>
        <v>0</v>
      </c>
      <c r="P58" s="60">
        <f t="shared" si="8"/>
        <v>0</v>
      </c>
      <c r="R58" s="61">
        <v>5</v>
      </c>
      <c r="T58" s="4"/>
      <c r="U58" s="4"/>
      <c r="V58" s="61">
        <f t="shared" si="9"/>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4"/>
        <v>2</v>
      </c>
      <c r="AK58" s="61">
        <f>AJ58+IFERROR(INDEX($V$26:$V$38,MATCH(AI58,$E$26:$E$38,0)),0)</f>
        <v>2</v>
      </c>
    </row>
    <row r="59" spans="1:37">
      <c r="A59" s="1" t="s">
        <v>58</v>
      </c>
      <c r="B59" t="str">
        <f ca="1">VLOOKUP(VLOOKUP("Blood Potency", INDIRECT($AH$1),2,FALSE),tblBloodPotency[#Data],4,FALSE)</f>
        <v>Animals</v>
      </c>
      <c r="D59" s="19"/>
      <c r="E59" s="15" t="s">
        <v>40</v>
      </c>
      <c r="F59" s="18"/>
      <c r="G59" s="3"/>
      <c r="H59" s="18"/>
      <c r="I59" s="18"/>
      <c r="L59" s="4"/>
      <c r="M59" s="60"/>
      <c r="N59" s="4"/>
      <c r="O59" s="61">
        <f t="shared" si="10"/>
        <v>0</v>
      </c>
      <c r="P59" s="60">
        <f t="shared" si="8"/>
        <v>0</v>
      </c>
      <c r="R59" s="61">
        <v>5</v>
      </c>
      <c r="T59" s="4"/>
      <c r="U59" s="4"/>
      <c r="V59" s="61">
        <f t="shared" si="9"/>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1">IFERROR(IF(VLOOKUP(SUBSTITUTE(A60," Spec",""),$E$42:$G$69,3,FALSE)=0,"",VLOOKUP(SUBSTITUTE(A60," Spec",""),$E$42:$G$69,3,FALSE)),"")</f>
        <v>law</v>
      </c>
      <c r="Y60" s="15">
        <v>1</v>
      </c>
      <c r="Z60" s="61" t="s">
        <v>240</v>
      </c>
      <c r="AA60" s="60" t="str" cm="1">
        <f t="array" ref="AA60">IF(OR(Y60=0,Y60=""),"",IF(VLOOKUP(Z60,$AI$1:$AJ$58,2,FALSE)&gt;=Y60,INDEX(tblDisciplines[Name],MATCH(1,(tblDisciplines[Discipline]=Z60)*(tblDisciplines[Rank]=Y60),0)),""))</f>
        <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1"/>
        <v/>
      </c>
      <c r="D61" s="16" t="s">
        <v>1459</v>
      </c>
      <c r="E61" s="17"/>
      <c r="F61" s="17"/>
      <c r="G61" s="17" t="s">
        <v>1467</v>
      </c>
      <c r="H61" s="16" t="s">
        <v>1446</v>
      </c>
      <c r="I61" s="3" t="s">
        <v>1567</v>
      </c>
      <c r="L61" s="60">
        <f>IF(I61="",0,VLOOKUP(I61,tblPriority[#Data],3,FALSE))-SUM(L62:L69)</f>
        <v>0</v>
      </c>
      <c r="Y61" s="15">
        <v>2</v>
      </c>
      <c r="Z61" s="61" t="s">
        <v>240</v>
      </c>
      <c r="AA61" s="60" t="str" cm="1">
        <f t="array" ref="AA61">IF(OR(Y61=0,Y61=""),"",IF(VLOOKUP(Z61,$AI$1:$AJ$58,2,FALSE)&gt;=Y61,INDEX(tblDisciplines[Name],MATCH(1,(tblDisciplines[Discipline]=Z61)*(tblDisciplines[Rank]=Y61),0)),""))</f>
        <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1"/>
        <v/>
      </c>
      <c r="D62" s="18"/>
      <c r="E62" s="15" t="s">
        <v>41</v>
      </c>
      <c r="F62" s="18"/>
      <c r="G62" s="3"/>
      <c r="H62" s="18"/>
      <c r="I62" s="18"/>
      <c r="L62" s="4"/>
      <c r="M62" s="60"/>
      <c r="N62" s="4"/>
      <c r="O62" s="61">
        <f>ROUNDDOWN(N62/2,0)</f>
        <v>0</v>
      </c>
      <c r="P62" s="60">
        <f t="shared" ref="P62:P69" si="12">MIN(SUM(L62,M62,O62),R62)</f>
        <v>0</v>
      </c>
      <c r="R62" s="61">
        <v>5</v>
      </c>
      <c r="T62" s="4"/>
      <c r="U62" s="4"/>
      <c r="V62" s="61">
        <f t="shared" ref="V62:V69" si="13">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1"/>
        <v/>
      </c>
      <c r="D63" s="19"/>
      <c r="E63" s="15" t="s">
        <v>42</v>
      </c>
      <c r="F63" s="18"/>
      <c r="G63" s="3" t="s">
        <v>566</v>
      </c>
      <c r="H63" s="18"/>
      <c r="I63" s="18"/>
      <c r="L63" s="4">
        <v>3</v>
      </c>
      <c r="M63" s="60"/>
      <c r="N63" s="4"/>
      <c r="O63" s="61">
        <f t="shared" ref="O63:O69" si="14">ROUNDDOWN(N63/2,0)</f>
        <v>0</v>
      </c>
      <c r="P63" s="60">
        <f t="shared" si="12"/>
        <v>3</v>
      </c>
      <c r="R63" s="61">
        <v>5</v>
      </c>
      <c r="T63" s="4">
        <v>1</v>
      </c>
      <c r="U63" s="4"/>
      <c r="V63" s="61">
        <f t="shared" si="13"/>
        <v>0</v>
      </c>
      <c r="W63" s="4"/>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1"/>
        <v/>
      </c>
      <c r="D64" s="19"/>
      <c r="E64" s="15" t="s">
        <v>43</v>
      </c>
      <c r="F64" s="18"/>
      <c r="G64" s="3"/>
      <c r="H64" s="18"/>
      <c r="I64" s="18"/>
      <c r="L64" s="4"/>
      <c r="M64" s="60"/>
      <c r="N64" s="4"/>
      <c r="O64" s="61">
        <f t="shared" si="14"/>
        <v>0</v>
      </c>
      <c r="P64" s="60">
        <f t="shared" si="12"/>
        <v>0</v>
      </c>
      <c r="R64" s="61">
        <v>5</v>
      </c>
      <c r="T64" s="4"/>
      <c r="U64" s="4"/>
      <c r="V64" s="61">
        <f t="shared" si="13"/>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1"/>
        <v>artefacts</v>
      </c>
      <c r="D65" s="19"/>
      <c r="E65" s="15" t="s">
        <v>44</v>
      </c>
      <c r="F65" s="18"/>
      <c r="G65" s="3"/>
      <c r="H65" s="18"/>
      <c r="I65" s="18"/>
      <c r="L65" s="4">
        <v>2</v>
      </c>
      <c r="M65" s="60"/>
      <c r="N65" s="4"/>
      <c r="O65" s="61">
        <f t="shared" si="14"/>
        <v>0</v>
      </c>
      <c r="P65" s="60">
        <f t="shared" si="12"/>
        <v>2</v>
      </c>
      <c r="R65" s="61">
        <v>5</v>
      </c>
      <c r="T65" s="4"/>
      <c r="U65" s="4"/>
      <c r="V65" s="61">
        <f t="shared" si="13"/>
        <v>0</v>
      </c>
      <c r="W65" s="4"/>
      <c r="Y65" s="15">
        <v>1</v>
      </c>
      <c r="Z65" s="61" t="s">
        <v>241</v>
      </c>
      <c r="AA65" s="60" t="str" cm="1">
        <f t="array" ref="AA65">IF(OR(Y65=0,Y65=""),"",IF(VLOOKUP(Z65,$AI$1:$AJ$58,2,FALSE)&gt;=Y65,INDEX(tblDisciplines[Name],MATCH(1,(tblDisciplines[Discipline]=Z65)*(tblDisciplines[Rank]=Y65),0)),""))</f>
        <v>Dread Presence</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1"/>
        <v/>
      </c>
      <c r="D66" s="19"/>
      <c r="E66" s="15" t="s">
        <v>45</v>
      </c>
      <c r="F66" s="18"/>
      <c r="G66" s="3"/>
      <c r="H66" s="18"/>
      <c r="I66" s="18"/>
      <c r="L66" s="4">
        <v>2</v>
      </c>
      <c r="M66" s="60"/>
      <c r="N66" s="4"/>
      <c r="O66" s="61">
        <f t="shared" si="14"/>
        <v>0</v>
      </c>
      <c r="P66" s="60">
        <f t="shared" si="12"/>
        <v>2</v>
      </c>
      <c r="R66" s="61">
        <v>5</v>
      </c>
      <c r="T66" s="4"/>
      <c r="U66" s="4"/>
      <c r="V66" s="61">
        <f t="shared" si="13"/>
        <v>0</v>
      </c>
      <c r="W66" s="4"/>
      <c r="Y66" s="15">
        <v>2</v>
      </c>
      <c r="Z66" s="61" t="s">
        <v>241</v>
      </c>
      <c r="AA66" s="60" t="str" cm="1">
        <f t="array" ref="AA66">IF(OR(Y66=0,Y66=""),"",IF(VLOOKUP(Z66,$AI$1:$AJ$58,2,FALSE)&gt;=Y66,INDEX(tblDisciplines[Name],MATCH(1,(tblDisciplines[Discipline]=Z66)*(tblDisciplines[Rank]=Y66),0)),""))</f>
        <v>Face of the Beast</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1"/>
        <v/>
      </c>
      <c r="D67" s="19"/>
      <c r="E67" s="15" t="s">
        <v>46</v>
      </c>
      <c r="F67" s="18"/>
      <c r="G67" s="3"/>
      <c r="H67" s="18"/>
      <c r="I67" s="18"/>
      <c r="L67" s="4"/>
      <c r="M67" s="60"/>
      <c r="N67" s="4"/>
      <c r="O67" s="61">
        <f t="shared" si="14"/>
        <v>0</v>
      </c>
      <c r="P67" s="60">
        <f t="shared" si="12"/>
        <v>0</v>
      </c>
      <c r="R67" s="61">
        <v>5</v>
      </c>
      <c r="T67" s="4"/>
      <c r="U67" s="4"/>
      <c r="V67" s="61">
        <f t="shared" si="13"/>
        <v>0</v>
      </c>
      <c r="W67" s="4"/>
      <c r="Y67" s="15">
        <v>3</v>
      </c>
      <c r="Z67" s="61" t="s">
        <v>241</v>
      </c>
      <c r="AA67" s="60" t="str" cm="1">
        <f t="array" ref="AA67">IF(OR(Y67=0,Y67=""),"",IF(VLOOKUP(Z67,$AI$1:$AJ$58,2,FALSE)&gt;=Y67,INDEX(tblDisciplines[Name],MATCH(1,(tblDisciplines[Discipline]=Z67)*(tblDisciplines[Rank]=Y67),0)),""))</f>
        <v>Grand Delusion</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1"/>
        <v/>
      </c>
      <c r="D68" s="18"/>
      <c r="E68" s="15" t="s">
        <v>47</v>
      </c>
      <c r="F68" s="18"/>
      <c r="G68" s="3"/>
      <c r="H68" s="18"/>
      <c r="I68" s="18"/>
      <c r="L68" s="4"/>
      <c r="M68" s="60"/>
      <c r="N68" s="4"/>
      <c r="O68" s="61">
        <f t="shared" si="14"/>
        <v>0</v>
      </c>
      <c r="P68" s="60">
        <f t="shared" si="12"/>
        <v>0</v>
      </c>
      <c r="R68" s="61">
        <v>5</v>
      </c>
      <c r="T68" s="4"/>
      <c r="U68" s="4"/>
      <c r="V68" s="61">
        <f t="shared" si="13"/>
        <v>0</v>
      </c>
      <c r="W68" s="4"/>
      <c r="Y68" s="15">
        <v>4</v>
      </c>
      <c r="Z68" s="61" t="s">
        <v>241</v>
      </c>
      <c r="AA68" s="60" t="str" cm="1">
        <f t="array" ref="AA68">IF(OR(Y68=0,Y68=""),"",IF(VLOOKUP(Z68,$AI$1:$AJ$58,2,FALSE)&gt;=Y68,INDEX(tblDisciplines[Name],MATCH(1,(tblDisciplines[Discipline]=Z68)*(tblDisciplines[Rank]=Y68),0)),""))</f>
        <v>Waking Nightmare</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1"/>
        <v/>
      </c>
      <c r="D69" s="18"/>
      <c r="E69" s="15" t="s">
        <v>48</v>
      </c>
      <c r="F69" s="18"/>
      <c r="G69" s="3"/>
      <c r="H69" s="18"/>
      <c r="I69" s="18"/>
      <c r="L69" s="4"/>
      <c r="M69" s="60"/>
      <c r="N69" s="4"/>
      <c r="O69" s="61">
        <f t="shared" si="14"/>
        <v>0</v>
      </c>
      <c r="P69" s="60">
        <f t="shared" si="12"/>
        <v>0</v>
      </c>
      <c r="R69" s="61">
        <v>5</v>
      </c>
      <c r="T69" s="4"/>
      <c r="U69" s="4"/>
      <c r="V69" s="61">
        <f t="shared" si="13"/>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1"/>
        <v/>
      </c>
      <c r="Y70" s="15">
        <v>1</v>
      </c>
      <c r="Z70" s="61" t="s">
        <v>242</v>
      </c>
      <c r="AA70" s="60" t="str" cm="1">
        <f t="array" ref="AA70">IF(OR(Y70=0,Y70=""),"",IF(VLOOKUP(Z70,$AI$1:$AJ$58,2,FALSE)&gt;=Y70,INDEX(tblDisciplines[Name],MATCH(1,(tblDisciplines[Discipline]=Z70)*(tblDisciplines[Rank]=Y70),0)),""))</f>
        <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1"/>
        <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1"/>
        <v/>
      </c>
      <c r="D72" s="19"/>
      <c r="E72" s="15" t="s">
        <v>49</v>
      </c>
      <c r="F72" s="19"/>
      <c r="G72" s="19"/>
      <c r="H72" s="19"/>
      <c r="I72" s="19"/>
      <c r="K72" s="4"/>
      <c r="L72" s="4">
        <v>5</v>
      </c>
      <c r="M72" s="60">
        <v>1</v>
      </c>
      <c r="N72" s="4"/>
      <c r="O72" s="61">
        <f>ROUNDDOWN(N72/5,0)</f>
        <v>0</v>
      </c>
      <c r="P72" s="60">
        <f>MIN(SUM(K72*-1,ROUNDDOWN(L72/5,0),M72,O72),R72)</f>
        <v>2</v>
      </c>
      <c r="R72" s="61">
        <v>2</v>
      </c>
      <c r="Y72" s="15">
        <v>3</v>
      </c>
      <c r="Z72" s="61" t="s">
        <v>242</v>
      </c>
      <c r="AA72" s="60" t="str" cm="1">
        <f t="array" ref="AA72">IF(OR(Y72=0,Y72=""),"",IF(VLOOKUP(Z72,$AI$1:$AJ$58,2,FALSE)&gt;=Y72,INDEX(tblDisciplines[Name],MATCH(1,(tblDisciplines[Discipline]=Z72)*(tblDisciplines[Rank]=Y72),0)),""))</f>
        <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1"/>
        <v/>
      </c>
      <c r="D73" s="19"/>
      <c r="E73" s="15" t="s">
        <v>1448</v>
      </c>
      <c r="F73" s="19"/>
      <c r="G73" s="19"/>
      <c r="H73" s="19"/>
      <c r="I73" s="19"/>
      <c r="K73" s="4">
        <v>1</v>
      </c>
      <c r="M73" s="60">
        <v>7</v>
      </c>
      <c r="N73" s="4"/>
      <c r="O73" s="61">
        <f>ROUNDDOWN(N73/2,0)</f>
        <v>0</v>
      </c>
      <c r="P73" s="60">
        <f>MIN(SUM(K73*-1,M73,O73),R73)</f>
        <v>6</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1"/>
        <v/>
      </c>
      <c r="D74" s="19"/>
      <c r="E74" s="15" t="s">
        <v>53</v>
      </c>
      <c r="F74" s="19"/>
      <c r="G74" s="19"/>
      <c r="H74" s="19"/>
      <c r="I74" s="19"/>
      <c r="K74" s="4"/>
      <c r="M74" s="60">
        <f>P28+P38</f>
        <v>6</v>
      </c>
      <c r="N74" s="4"/>
      <c r="O74" s="61">
        <f>N74</f>
        <v>0</v>
      </c>
      <c r="P74" s="60">
        <f>MIN(SUM(K74*-1,M74,O74),R74)</f>
        <v>6</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1"/>
        <v/>
      </c>
      <c r="D75" s="19"/>
      <c r="E75" s="15" t="s">
        <v>55</v>
      </c>
      <c r="F75" s="19"/>
      <c r="G75" s="19"/>
      <c r="H75" s="19"/>
      <c r="I75" s="19"/>
      <c r="P75" s="60">
        <f ca="1">VLOOKUP(VLOOKUP("Blood Potency",INDIRECT($AH$1),2,FALSE),tblBloodPotency[],2,FALSE)</f>
        <v>11</v>
      </c>
      <c r="Y75" s="15">
        <v>1</v>
      </c>
      <c r="Z75" s="61" t="s">
        <v>243</v>
      </c>
      <c r="AA75" s="60" t="str" cm="1">
        <f t="array" ref="AA75">IF(OR(Y75=0,Y75=""),"",IF(VLOOKUP(Z75,$AI$1:$AJ$58,2,FALSE)&gt;=Y75,INDEX(tblDisciplines[Name],MATCH(1,(tblDisciplines[Discipline]=Z75)*(tblDisciplines[Rank]=Y75),0)),""))</f>
        <v/>
      </c>
    </row>
    <row r="76" spans="1:32">
      <c r="A76" s="1" t="s">
        <v>75</v>
      </c>
      <c r="B76" t="str">
        <f t="shared" si="11"/>
        <v/>
      </c>
      <c r="Y76" s="15">
        <v>2</v>
      </c>
      <c r="Z76" s="61" t="s">
        <v>243</v>
      </c>
      <c r="AA76" s="60" t="str" cm="1">
        <f t="array" ref="AA76">IF(OR(Y76=0,Y76=""),"",IF(VLOOKUP(Z76,$AI$1:$AJ$58,2,FALSE)&gt;=Y76,INDEX(tblDisciplines[Name],MATCH(1,(tblDisciplines[Discipline]=Z76)*(tblDisciplines[Rank]=Y76),0)),""))</f>
        <v/>
      </c>
    </row>
    <row r="77" spans="1:32" ht="15.75" thickBot="1">
      <c r="A77" s="1" t="s">
        <v>76</v>
      </c>
      <c r="B77" t="str">
        <f t="shared" si="11"/>
        <v>motives</v>
      </c>
      <c r="D77" s="14" t="s">
        <v>1470</v>
      </c>
      <c r="E77" s="14"/>
      <c r="F77" s="14"/>
      <c r="G77" s="14"/>
      <c r="H77" s="14"/>
      <c r="I77" s="14"/>
      <c r="N77" s="60">
        <f>SUM(N79:N98,N101:N120,N206:N215,N132:N135,N138:N157,N160:N161)</f>
        <v>17</v>
      </c>
      <c r="Y77" s="15">
        <v>3</v>
      </c>
      <c r="Z77" s="61" t="s">
        <v>243</v>
      </c>
      <c r="AA77" s="60" t="str" cm="1">
        <f t="array" ref="AA77">IF(OR(Y77=0,Y77=""),"",IF(VLOOKUP(Z77,$AI$1:$AJ$58,2,FALSE)&gt;=Y77,INDEX(tblDisciplines[Name],MATCH(1,(tblDisciplines[Discipline]=Z77)*(tblDisciplines[Rank]=Y77),0)),""))</f>
        <v/>
      </c>
    </row>
    <row r="78" spans="1:32">
      <c r="A78" s="1" t="s">
        <v>77</v>
      </c>
      <c r="B78" t="str">
        <f t="shared" si="11"/>
        <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1"/>
        <v/>
      </c>
      <c r="D79" s="19"/>
      <c r="E79" s="15" t="s">
        <v>114</v>
      </c>
      <c r="F79" s="3" t="s">
        <v>1600</v>
      </c>
      <c r="G79" s="3"/>
      <c r="H79" s="67" t="str">
        <f>_xlfn.IFNA(IF(VLOOKUP(F79,tblMerits[#Data],6,FALSE)=0,"None",VLOOKUP(F79,tblMerits[#Data],6,FALSE)),"None")</f>
        <v>None</v>
      </c>
      <c r="I79" s="67"/>
      <c r="L79" s="4">
        <v>1</v>
      </c>
      <c r="M79" s="4"/>
      <c r="N79" s="4"/>
      <c r="O79" s="61">
        <f>N79</f>
        <v>0</v>
      </c>
      <c r="P79" s="60">
        <f t="shared" ref="P79:P98" si="15">MIN(SUM(L79,M79,O79),R79)</f>
        <v>1</v>
      </c>
      <c r="Q79" s="61">
        <f>_xlfn.IFNA(VLOOKUP($F79,tblMerits[],3,FALSE),"")</f>
        <v>1</v>
      </c>
      <c r="R79" s="61">
        <f>_xlfn.IFNA(VLOOKUP($F79,tblMerits[],4,FALSE),"")</f>
        <v>1</v>
      </c>
      <c r="Y79" s="15">
        <v>5</v>
      </c>
      <c r="Z79" s="61" t="s">
        <v>243</v>
      </c>
      <c r="AA79" s="60" t="str" cm="1">
        <f t="array" ref="AA79">IF(OR(Y79=0,Y79=""),"",IF(VLOOKUP(Z79,$AI$1:$AJ$58,2,FALSE)&gt;=Y79,INDEX(tblDisciplines[Name],MATCH(1,(tblDisciplines[Discipline]=Z79)*(tblDisciplines[Rank]=Y79),0)),""))</f>
        <v/>
      </c>
    </row>
    <row r="80" spans="1:32">
      <c r="A80" s="1" t="s">
        <v>79</v>
      </c>
      <c r="B80" t="str">
        <f t="shared" si="11"/>
        <v/>
      </c>
      <c r="D80" s="19"/>
      <c r="E80" s="15" t="s">
        <v>115</v>
      </c>
      <c r="F80" s="3" t="s">
        <v>1601</v>
      </c>
      <c r="G80" s="3"/>
      <c r="H80" s="67" t="str">
        <f>_xlfn.IFNA(IF(VLOOKUP(F80,tblMerits[#Data],6,FALSE)=0,"None",VLOOKUP(F80,tblMerits[#Data],6,FALSE)),"None")</f>
        <v>None</v>
      </c>
      <c r="I80" s="67"/>
      <c r="L80" s="4">
        <v>1</v>
      </c>
      <c r="M80" s="4"/>
      <c r="N80" s="4"/>
      <c r="O80" s="61">
        <f t="shared" ref="O80:O98" si="16">N80</f>
        <v>0</v>
      </c>
      <c r="P80" s="60">
        <f t="shared" si="15"/>
        <v>1</v>
      </c>
      <c r="Q80" s="61">
        <f>_xlfn.IFNA(VLOOKUP($F80,tblMerits[],3,FALSE),"")</f>
        <v>1</v>
      </c>
      <c r="R80" s="61">
        <f>_xlfn.IFNA(VLOOKUP($F80,tblMerits[],4,FALSE),"")</f>
        <v>1</v>
      </c>
      <c r="Y80" s="15">
        <f>P173</f>
        <v>2</v>
      </c>
      <c r="Z80" s="61" t="s">
        <v>244</v>
      </c>
      <c r="AA80" s="60" t="str" cm="1">
        <f t="array" ref="AA80">IF(OR(Y80=0,Y80=""),"",IF(VLOOKUP(Z80,$AI$1:$AJ$58,2,FALSE)&gt;=Y80,INDEX(tblDisciplines[Name],MATCH(1,(tblDisciplines[Discipline]=Z80)*(tblDisciplines[Rank]=Y80),0)),""))</f>
        <v>Resilience 2</v>
      </c>
    </row>
    <row r="81" spans="1:27">
      <c r="A81" s="1" t="s">
        <v>80</v>
      </c>
      <c r="B81" t="str">
        <f t="shared" si="11"/>
        <v/>
      </c>
      <c r="D81" s="19"/>
      <c r="E81" s="15" t="s">
        <v>116</v>
      </c>
      <c r="F81" s="3" t="s">
        <v>1573</v>
      </c>
      <c r="G81" s="3" t="s">
        <v>1602</v>
      </c>
      <c r="H81" s="67" t="str">
        <f>_xlfn.IFNA(IF(VLOOKUP(F81,tblMerits[#Data],6,FALSE)=0,"None",VLOOKUP(F81,tblMerits[#Data],6,FALSE)),"None")</f>
        <v>None</v>
      </c>
      <c r="I81" s="67"/>
      <c r="L81" s="4">
        <v>3</v>
      </c>
      <c r="M81" s="4"/>
      <c r="N81" s="4"/>
      <c r="O81" s="61">
        <f t="shared" si="16"/>
        <v>0</v>
      </c>
      <c r="P81" s="60">
        <f t="shared" si="15"/>
        <v>3</v>
      </c>
      <c r="Q81" s="61">
        <f>_xlfn.IFNA(VLOOKUP($F81,tblMerits[],3,FALSE),"")</f>
        <v>1</v>
      </c>
      <c r="R81" s="61">
        <f>_xlfn.IFNA(VLOOKUP($F81,tblMerits[],4,FALSE),"")</f>
        <v>3</v>
      </c>
      <c r="Y81" s="15">
        <f>P174</f>
        <v>0</v>
      </c>
      <c r="Z81" s="61" t="s">
        <v>245</v>
      </c>
      <c r="AA81" s="60" t="str" cm="1">
        <f t="array" ref="AA81">IF(OR(Y81=0,Y81=""),"",IF(VLOOKUP(Z81,$AI$1:$AJ$58,2,FALSE)&gt;=Y81,INDEX(tblDisciplines[Name],MATCH(1,(tblDisciplines[Discipline]=Z81)*(tblDisciplines[Rank]=Y81),0)),""))</f>
        <v/>
      </c>
    </row>
    <row r="82" spans="1:27">
      <c r="A82" s="1" t="s">
        <v>81</v>
      </c>
      <c r="B82" t="str">
        <f t="shared" si="11"/>
        <v/>
      </c>
      <c r="D82" s="19"/>
      <c r="E82" s="15" t="s">
        <v>117</v>
      </c>
      <c r="F82" s="3" t="s">
        <v>1573</v>
      </c>
      <c r="G82" s="3" t="s">
        <v>30</v>
      </c>
      <c r="H82" s="67" t="str">
        <f>_xlfn.IFNA(IF(VLOOKUP(F82,tblMerits[#Data],6,FALSE)=0,"None",VLOOKUP(F82,tblMerits[#Data],6,FALSE)),"None")</f>
        <v>None</v>
      </c>
      <c r="I82" s="67"/>
      <c r="L82" s="4"/>
      <c r="M82" s="4"/>
      <c r="N82" s="4">
        <v>3</v>
      </c>
      <c r="O82" s="61">
        <f t="shared" si="16"/>
        <v>3</v>
      </c>
      <c r="P82" s="60">
        <f t="shared" si="15"/>
        <v>3</v>
      </c>
      <c r="Q82" s="61">
        <f>_xlfn.IFNA(VLOOKUP($F82,tblMerits[],3,FALSE),"")</f>
        <v>1</v>
      </c>
      <c r="R82" s="61">
        <f>_xlfn.IFNA(VLOOKUP($F82,tblMerits[],4,FALSE),"")</f>
        <v>3</v>
      </c>
      <c r="Y82" s="61" t="s">
        <v>1472</v>
      </c>
      <c r="Z82" s="19"/>
      <c r="AA82" s="60" t="str">
        <f>IF(P177="","",F177)</f>
        <v>Skim the Void</v>
      </c>
    </row>
    <row r="83" spans="1:27">
      <c r="A83" s="1" t="s">
        <v>82</v>
      </c>
      <c r="B83" t="str">
        <f t="shared" si="11"/>
        <v/>
      </c>
      <c r="D83" s="19"/>
      <c r="E83" s="15" t="s">
        <v>118</v>
      </c>
      <c r="F83" s="3" t="s">
        <v>1603</v>
      </c>
      <c r="G83" s="3"/>
      <c r="H83" s="67" t="str">
        <f>_xlfn.IFNA(IF(VLOOKUP(F83,tblMerits[#Data],6,FALSE)=0,"None",VLOOKUP(F83,tblMerits[#Data],6,FALSE)),"None")</f>
        <v>None</v>
      </c>
      <c r="I83" s="67"/>
      <c r="L83" s="4"/>
      <c r="M83" s="4"/>
      <c r="N83" s="4">
        <v>1</v>
      </c>
      <c r="O83" s="61">
        <f t="shared" si="16"/>
        <v>1</v>
      </c>
      <c r="P83" s="60">
        <f t="shared" si="15"/>
        <v>1</v>
      </c>
      <c r="Q83" s="61">
        <f>_xlfn.IFNA(VLOOKUP($F83,tblMerits[],3,FALSE),"")</f>
        <v>1</v>
      </c>
      <c r="R83" s="61">
        <f>_xlfn.IFNA(VLOOKUP($F83,tblMerits[],4,FALSE),"")</f>
        <v>5</v>
      </c>
      <c r="Y83" s="61" t="s">
        <v>1472</v>
      </c>
      <c r="Z83" s="19"/>
      <c r="AA83" s="60" t="str">
        <f>IF(P178="","",F178)</f>
        <v/>
      </c>
    </row>
    <row r="84" spans="1:27">
      <c r="A84" s="1" t="s">
        <v>83</v>
      </c>
      <c r="B84">
        <f>P124</f>
        <v>1</v>
      </c>
      <c r="D84" s="19"/>
      <c r="E84" s="15" t="s">
        <v>119</v>
      </c>
      <c r="F84" s="3" t="s">
        <v>1604</v>
      </c>
      <c r="G84" s="3"/>
      <c r="H84" s="67" t="str">
        <f>_xlfn.IFNA(IF(VLOOKUP(F84,tblMerits[#Data],6,FALSE)=0,"None",VLOOKUP(F84,tblMerits[#Data],6,FALSE)),"None")</f>
        <v>Lance Status 1</v>
      </c>
      <c r="I84" s="67"/>
      <c r="L84" s="4"/>
      <c r="M84" s="4"/>
      <c r="N84" s="4">
        <v>1</v>
      </c>
      <c r="O84" s="61">
        <f t="shared" si="16"/>
        <v>1</v>
      </c>
      <c r="P84" s="60">
        <f t="shared" si="15"/>
        <v>1</v>
      </c>
      <c r="Q84" s="61">
        <f>_xlfn.IFNA(VLOOKUP($F84,tblMerits[],3,FALSE),"")</f>
        <v>1</v>
      </c>
      <c r="R84" s="61">
        <f>_xlfn.IFNA(VLOOKUP($F84,tblMerits[],4,FALSE),"")</f>
        <v>1</v>
      </c>
      <c r="Y84" s="61" t="s">
        <v>1472</v>
      </c>
      <c r="Z84" s="19"/>
      <c r="AA84" s="60" t="str">
        <f>IF(P179="","",F179)</f>
        <v/>
      </c>
    </row>
    <row r="85" spans="1:27">
      <c r="A85" s="1" t="s">
        <v>84</v>
      </c>
      <c r="B85">
        <f>P125</f>
        <v>2</v>
      </c>
      <c r="D85" s="19"/>
      <c r="E85" s="15" t="s">
        <v>120</v>
      </c>
      <c r="F85" s="3"/>
      <c r="G85" s="3"/>
      <c r="H85" s="67" t="str">
        <f>_xlfn.IFNA(IF(VLOOKUP(F85,tblMerits[#Data],6,FALSE)=0,"None",VLOOKUP(F85,tblMerits[#Data],6,FALSE)),"None")</f>
        <v>None</v>
      </c>
      <c r="I85" s="67"/>
      <c r="L85" s="4"/>
      <c r="M85" s="4"/>
      <c r="N85" s="4"/>
      <c r="O85" s="61">
        <f t="shared" si="16"/>
        <v>0</v>
      </c>
      <c r="P85" s="60">
        <f t="shared" si="15"/>
        <v>0</v>
      </c>
      <c r="Q85" s="61" t="str">
        <f>_xlfn.IFNA(VLOOKUP($F85,tblMerits[],3,FALSE),"")</f>
        <v/>
      </c>
      <c r="R85" s="61" t="str">
        <f>_xlfn.IFNA(VLOOKUP($F85,tblMerits[],4,FALSE),"")</f>
        <v/>
      </c>
      <c r="Y85" s="61" t="s">
        <v>1472</v>
      </c>
      <c r="Z85" s="19"/>
      <c r="AA85" s="60" t="str">
        <f>IF(P180="","",F180)</f>
        <v/>
      </c>
    </row>
    <row r="86" spans="1:27">
      <c r="A86" s="1" t="s">
        <v>85</v>
      </c>
      <c r="B86">
        <f>P126</f>
        <v>3</v>
      </c>
      <c r="D86" s="19"/>
      <c r="E86" s="15" t="s">
        <v>121</v>
      </c>
      <c r="F86" s="3"/>
      <c r="G86" s="3"/>
      <c r="H86" s="67" t="str">
        <f>_xlfn.IFNA(IF(VLOOKUP(F86,tblMerits[#Data],6,FALSE)=0,"None",VLOOKUP(F86,tblMerits[#Data],6,FALSE)),"None")</f>
        <v>None</v>
      </c>
      <c r="I86" s="67"/>
      <c r="L86" s="4"/>
      <c r="M86" s="4"/>
      <c r="N86" s="4"/>
      <c r="O86" s="61">
        <f t="shared" si="16"/>
        <v>0</v>
      </c>
      <c r="P86" s="60">
        <f t="shared" si="15"/>
        <v>0</v>
      </c>
      <c r="Q86" s="61" t="str">
        <f>_xlfn.IFNA(VLOOKUP($F86,tblMerits[],3,FALSE),"")</f>
        <v/>
      </c>
      <c r="R86" s="61" t="str">
        <f>_xlfn.IFNA(VLOOKUP($F86,tblMerits[],4,FALSE),"")</f>
        <v/>
      </c>
      <c r="Y86" s="61" t="s">
        <v>1472</v>
      </c>
      <c r="Z86" s="19"/>
      <c r="AA86" s="60" t="str">
        <f>IF(P181="","",F181)</f>
        <v/>
      </c>
    </row>
    <row r="87" spans="1:27">
      <c r="A87" s="1" t="s">
        <v>86</v>
      </c>
      <c r="B87" t="str">
        <f>IF(F126="","¬",F126)</f>
        <v>Lance</v>
      </c>
      <c r="D87" s="19"/>
      <c r="E87" s="15" t="s">
        <v>122</v>
      </c>
      <c r="F87" s="3"/>
      <c r="G87" s="3"/>
      <c r="H87" s="67" t="str">
        <f>_xlfn.IFNA(IF(VLOOKUP(F87,tblMerits[#Data],6,FALSE)=0,"None",VLOOKUP(F87,tblMerits[#Data],6,FALSE)),"None")</f>
        <v>None</v>
      </c>
      <c r="I87" s="67"/>
      <c r="L87" s="4"/>
      <c r="M87" s="4"/>
      <c r="N87" s="4"/>
      <c r="O87" s="61">
        <f t="shared" si="16"/>
        <v>0</v>
      </c>
      <c r="P87" s="60">
        <f t="shared" si="15"/>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
      </c>
    </row>
    <row r="88" spans="1:27">
      <c r="A88" s="1" t="s">
        <v>87</v>
      </c>
      <c r="B88" t="str">
        <f>REPT("●",P126)</f>
        <v>●●●</v>
      </c>
      <c r="D88" s="19"/>
      <c r="E88" s="15" t="s">
        <v>123</v>
      </c>
      <c r="F88" s="3"/>
      <c r="G88" s="3"/>
      <c r="H88" s="67" t="str">
        <f>_xlfn.IFNA(IF(VLOOKUP(F88,tblMerits[#Data],6,FALSE)=0,"None",VLOOKUP(F88,tblMerits[#Data],6,FALSE)),"None")</f>
        <v>None</v>
      </c>
      <c r="I88" s="67"/>
      <c r="L88" s="4"/>
      <c r="M88" s="4"/>
      <c r="N88" s="4"/>
      <c r="O88" s="61">
        <f t="shared" si="16"/>
        <v>0</v>
      </c>
      <c r="P88" s="60">
        <f t="shared" si="15"/>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Carthian</v>
      </c>
      <c r="D89" s="19"/>
      <c r="E89" s="15" t="s">
        <v>124</v>
      </c>
      <c r="F89" s="3"/>
      <c r="G89" s="3"/>
      <c r="H89" s="67" t="str">
        <f>_xlfn.IFNA(IF(VLOOKUP(F89,tblMerits[#Data],6,FALSE)=0,"None",VLOOKUP(F89,tblMerits[#Data],6,FALSE)),"None")</f>
        <v>None</v>
      </c>
      <c r="I89" s="67"/>
      <c r="L89" s="4"/>
      <c r="M89" s="4"/>
      <c r="N89" s="4"/>
      <c r="O89" s="61">
        <f t="shared" si="16"/>
        <v>0</v>
      </c>
      <c r="P89" s="60">
        <f t="shared" si="15"/>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_xlfn.IFNA(IF(VLOOKUP(F90,tblMerits[#Data],6,FALSE)=0,"None",VLOOKUP(F90,tblMerits[#Data],6,FALSE)),"None")</f>
        <v>None</v>
      </c>
      <c r="I90" s="67"/>
      <c r="L90" s="4"/>
      <c r="M90" s="4"/>
      <c r="N90" s="4"/>
      <c r="O90" s="61">
        <f t="shared" si="16"/>
        <v>0</v>
      </c>
      <c r="P90" s="60">
        <f t="shared" si="15"/>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Crone</v>
      </c>
      <c r="D91" s="19"/>
      <c r="E91" s="15" t="s">
        <v>126</v>
      </c>
      <c r="F91" s="3"/>
      <c r="G91" s="3"/>
      <c r="H91" s="67" t="str">
        <f>_xlfn.IFNA(IF(VLOOKUP(F91,tblMerits[#Data],6,FALSE)=0,"None",VLOOKUP(F91,tblMerits[#Data],6,FALSE)),"None")</f>
        <v>None</v>
      </c>
      <c r="I91" s="67"/>
      <c r="L91" s="4"/>
      <c r="M91" s="4"/>
      <c r="N91" s="4"/>
      <c r="O91" s="61">
        <f t="shared" si="16"/>
        <v>0</v>
      </c>
      <c r="P91" s="60">
        <f t="shared" si="15"/>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_xlfn.IFNA(IF(VLOOKUP(F92,tblMerits[#Data],6,FALSE)=0,"None",VLOOKUP(F92,tblMerits[#Data],6,FALSE)),"None")</f>
        <v>None</v>
      </c>
      <c r="I92" s="67"/>
      <c r="L92" s="4"/>
      <c r="M92" s="4"/>
      <c r="N92" s="4"/>
      <c r="O92" s="61">
        <f t="shared" si="16"/>
        <v>0</v>
      </c>
      <c r="P92" s="60">
        <f t="shared" si="15"/>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Invictus</v>
      </c>
      <c r="D93" s="19"/>
      <c r="E93" s="15" t="s">
        <v>128</v>
      </c>
      <c r="F93" s="3"/>
      <c r="G93" s="3"/>
      <c r="H93" s="67" t="str">
        <f>_xlfn.IFNA(IF(VLOOKUP(F93,tblMerits[#Data],6,FALSE)=0,"None",VLOOKUP(F93,tblMerits[#Data],6,FALSE)),"None")</f>
        <v>None</v>
      </c>
      <c r="I93" s="67"/>
      <c r="L93" s="4"/>
      <c r="M93" s="4"/>
      <c r="N93" s="4"/>
      <c r="O93" s="61">
        <f t="shared" si="16"/>
        <v>0</v>
      </c>
      <c r="P93" s="60">
        <f t="shared" si="15"/>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_xlfn.IFNA(IF(VLOOKUP(F94,tblMerits[#Data],6,FALSE)=0,"None",VLOOKUP(F94,tblMerits[#Data],6,FALSE)),"None")</f>
        <v>None</v>
      </c>
      <c r="I94" s="67"/>
      <c r="L94" s="4"/>
      <c r="M94" s="4"/>
      <c r="N94" s="4"/>
      <c r="O94" s="61">
        <f t="shared" si="16"/>
        <v>0</v>
      </c>
      <c r="P94" s="60">
        <f t="shared" si="15"/>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_xlfn.IFNA(IF(VLOOKUP(F95,tblMerits[#Data],6,FALSE)=0,"None",VLOOKUP(F95,tblMerits[#Data],6,FALSE)),"None")</f>
        <v>None</v>
      </c>
      <c r="I95" s="67"/>
      <c r="L95" s="4"/>
      <c r="M95" s="4"/>
      <c r="N95" s="4"/>
      <c r="O95" s="61">
        <f t="shared" si="16"/>
        <v>0</v>
      </c>
      <c r="P95" s="60">
        <f t="shared" si="15"/>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_xlfn.IFNA(IF(VLOOKUP(F96,tblMerits[#Data],6,FALSE)=0,"None",VLOOKUP(F96,tblMerits[#Data],6,FALSE)),"None")</f>
        <v>None</v>
      </c>
      <c r="I96" s="67"/>
      <c r="L96" s="4"/>
      <c r="M96" s="4"/>
      <c r="N96" s="4"/>
      <c r="O96" s="61">
        <f t="shared" si="16"/>
        <v>0</v>
      </c>
      <c r="P96" s="60">
        <f t="shared" si="15"/>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_xlfn.IFNA(IF(VLOOKUP(F97,tblMerits[#Data],6,FALSE)=0,"None",VLOOKUP(F97,tblMerits[#Data],6,FALSE)),"None")</f>
        <v>None</v>
      </c>
      <c r="I97" s="67"/>
      <c r="L97" s="4"/>
      <c r="M97" s="4"/>
      <c r="N97" s="4"/>
      <c r="O97" s="61">
        <f t="shared" si="16"/>
        <v>0</v>
      </c>
      <c r="P97" s="60">
        <f t="shared" si="15"/>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
      </c>
    </row>
    <row r="98" spans="1:27">
      <c r="A98" s="1" t="s">
        <v>97</v>
      </c>
      <c r="B98" t="str">
        <f>IF(OR(P135=0,P135=""),"-",REPT("●",P135))</f>
        <v>●●●</v>
      </c>
      <c r="D98" s="19"/>
      <c r="E98" s="15" t="s">
        <v>133</v>
      </c>
      <c r="F98" s="3"/>
      <c r="G98" s="3"/>
      <c r="H98" s="67" t="str">
        <f>_xlfn.IFNA(IF(VLOOKUP(F98,tblMerits[#Data],6,FALSE)=0,"None",VLOOKUP(F98,tblMerits[#Data],6,FALSE)),"None")</f>
        <v>None</v>
      </c>
      <c r="I98" s="67"/>
      <c r="L98" s="4"/>
      <c r="M98" s="4"/>
      <c r="N98" s="4"/>
      <c r="O98" s="61">
        <f t="shared" si="16"/>
        <v>0</v>
      </c>
      <c r="P98" s="60">
        <f t="shared" si="15"/>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c r="G101" s="60" t="str">
        <f>IFERROR(VLOOKUP(F101,tblManoeuvre[#Data],2,FALSE)&amp;" "&amp;VLOOKUP(F101,tblManoeuvre[#Data],3,FALSE),"")</f>
        <v/>
      </c>
      <c r="H101" s="67" t="str">
        <f>IFERROR(IF(VLOOKUP(F101,tblManoeuvre[#Data],8,FALSE)=0,"None",VLOOKUP(F101,tblManoeuvre[#Data],8,FALSE)),"None")</f>
        <v>None</v>
      </c>
      <c r="I101" s="67"/>
      <c r="L101" s="4"/>
      <c r="M101" s="4"/>
      <c r="N101" s="4"/>
      <c r="O101" s="61">
        <f t="shared" ref="O101:O120" si="17">N101</f>
        <v>0</v>
      </c>
      <c r="P101" s="60">
        <f t="shared" ref="P101:P120" si="18">MIN(SUM(L101,M101,O101),R101)</f>
        <v>0</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
      </c>
      <c r="D102" s="19"/>
      <c r="E102" s="15" t="s">
        <v>1441</v>
      </c>
      <c r="F102" s="3"/>
      <c r="G102" s="60" t="str">
        <f>IFERROR(VLOOKUP(F102,tblManoeuvre[#Data],2,FALSE)&amp;" "&amp;VLOOKUP(F102,tblManoeuvre[#Data],3,FALSE),"")</f>
        <v/>
      </c>
      <c r="H102" s="67" t="str">
        <f>IFERROR(IF(VLOOKUP(F102,tblManoeuvre[#Data],8,FALSE)=0,"None",VLOOKUP(F102,tblManoeuvre[#Data],8,FALSE)),"None")</f>
        <v>None</v>
      </c>
      <c r="I102" s="67"/>
      <c r="L102" s="4"/>
      <c r="M102" s="4"/>
      <c r="N102" s="4"/>
      <c r="O102" s="61">
        <f t="shared" si="17"/>
        <v>0</v>
      </c>
      <c r="P102" s="60">
        <f t="shared" si="18"/>
        <v>0</v>
      </c>
      <c r="Q102" s="61">
        <v>1</v>
      </c>
      <c r="R102" s="61">
        <v>1</v>
      </c>
      <c r="Y102" s="15">
        <v>1</v>
      </c>
      <c r="Z102" s="61" t="s">
        <v>251</v>
      </c>
      <c r="AA102" s="60" t="str" cm="1">
        <f t="array" ref="AA102">IF(VLOOKUP(Z102,$AI$1:$AJ$58,2,FALSE)&gt;=Y102,INDEX(tblDisciplines[Name],MATCH(1,(tblDisciplines[Discipline]=Z102)*(tblDisciplines[Rank]=Y102),0)),"")</f>
        <v/>
      </c>
    </row>
    <row r="103" spans="1:27">
      <c r="A103" s="1" t="s">
        <v>102</v>
      </c>
      <c r="B103">
        <f>P73</f>
        <v>6</v>
      </c>
      <c r="D103" s="19"/>
      <c r="E103" s="15" t="s">
        <v>1443</v>
      </c>
      <c r="F103" s="3"/>
      <c r="G103" s="60" t="str">
        <f>IFERROR(VLOOKUP(F103,tblManoeuvre[#Data],2,FALSE)&amp;" "&amp;VLOOKUP(F103,tblManoeuvre[#Data],3,FALSE),"")</f>
        <v/>
      </c>
      <c r="H103" s="67" t="str">
        <f>IFERROR(IF(VLOOKUP(F103,tblManoeuvre[#Data],8,FALSE)=0,"None",VLOOKUP(F103,tblManoeuvre[#Data],8,FALSE)),"None")</f>
        <v>None</v>
      </c>
      <c r="I103" s="67"/>
      <c r="L103" s="4"/>
      <c r="M103" s="4"/>
      <c r="N103" s="4"/>
      <c r="O103" s="61">
        <f t="shared" si="17"/>
        <v>0</v>
      </c>
      <c r="P103" s="60">
        <f t="shared" si="18"/>
        <v>0</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c r="G104" s="60" t="str">
        <f>IFERROR(VLOOKUP(F104,tblManoeuvre[#Data],2,FALSE)&amp;" "&amp;VLOOKUP(F104,tblManoeuvre[#Data],3,FALSE),"")</f>
        <v/>
      </c>
      <c r="H104" s="67" t="str">
        <f>IFERROR(IF(VLOOKUP(F104,tblManoeuvre[#Data],8,FALSE)=0,"None",VLOOKUP(F104,tblManoeuvre[#Data],8,FALSE)),"None")</f>
        <v>None</v>
      </c>
      <c r="I104" s="67"/>
      <c r="L104" s="4"/>
      <c r="M104" s="4"/>
      <c r="N104" s="4"/>
      <c r="O104" s="61">
        <f t="shared" si="17"/>
        <v>0</v>
      </c>
      <c r="P104" s="60">
        <f t="shared" si="18"/>
        <v>0</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c r="G105" s="60" t="str">
        <f>IFERROR(VLOOKUP(F105,tblManoeuvre[#Data],2,FALSE)&amp;" "&amp;VLOOKUP(F105,tblManoeuvre[#Data],3,FALSE),"")</f>
        <v/>
      </c>
      <c r="H105" s="67" t="str">
        <f>IFERROR(IF(VLOOKUP(F105,tblManoeuvre[#Data],8,FALSE)=0,"None",VLOOKUP(F105,tblManoeuvre[#Data],8,FALSE)),"None")</f>
        <v>None</v>
      </c>
      <c r="I105" s="67"/>
      <c r="L105" s="4"/>
      <c r="M105" s="4"/>
      <c r="N105" s="4"/>
      <c r="O105" s="61">
        <f t="shared" si="17"/>
        <v>0</v>
      </c>
      <c r="P105" s="60">
        <f t="shared" si="18"/>
        <v>0</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IFERROR(VLOOKUP(F106,tblManoeuvre[#Data],2,FALSE)&amp;" "&amp;VLOOKUP(F106,tblManoeuvre[#Data],3,FALSE),"")</f>
        <v/>
      </c>
      <c r="H106" s="67" t="str">
        <f>IFERROR(IF(VLOOKUP(F106,tblManoeuvre[#Data],8,FALSE)=0,"None",VLOOKUP(F106,tblManoeuvre[#Data],8,FALSE)),"None")</f>
        <v>None</v>
      </c>
      <c r="I106" s="67"/>
      <c r="L106" s="4"/>
      <c r="M106" s="4"/>
      <c r="N106" s="4"/>
      <c r="O106" s="61">
        <f t="shared" si="17"/>
        <v>0</v>
      </c>
      <c r="P106" s="60">
        <f t="shared" si="18"/>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IFERROR(VLOOKUP(F107,tblManoeuvre[#Data],2,FALSE)&amp;" "&amp;VLOOKUP(F107,tblManoeuvre[#Data],3,FALSE),"")</f>
        <v/>
      </c>
      <c r="H107" s="67" t="str">
        <f>IFERROR(IF(VLOOKUP(F107,tblManoeuvre[#Data],8,FALSE)=0,"None",VLOOKUP(F107,tblManoeuvre[#Data],8,FALSE)),"None")</f>
        <v>None</v>
      </c>
      <c r="I107" s="67"/>
      <c r="L107" s="4"/>
      <c r="M107" s="4"/>
      <c r="N107" s="4"/>
      <c r="O107" s="61">
        <f t="shared" si="17"/>
        <v>0</v>
      </c>
      <c r="P107" s="60">
        <f t="shared" si="18"/>
        <v>0</v>
      </c>
      <c r="Q107" s="61">
        <v>1</v>
      </c>
      <c r="R107" s="61">
        <v>1</v>
      </c>
      <c r="Y107" s="15">
        <v>1</v>
      </c>
      <c r="Z107" s="61" t="s">
        <v>252</v>
      </c>
      <c r="AA107" s="60" t="str" cm="1">
        <f t="array" ref="AA107">IF(VLOOKUP(Z107,$AI$1:$AJ$58,2,FALSE)&gt;=Y107,INDEX(tblDisciplines[Name],MATCH(1,(tblDisciplines[Discipline]=Z107)*(tblDisciplines[Rank]=Y107),0)),"")</f>
        <v/>
      </c>
    </row>
    <row r="108" spans="1:27">
      <c r="A108" s="1" t="s">
        <v>107</v>
      </c>
      <c r="B108" t="str">
        <f>IF($P$73&gt;=7,"●","○") &amp; IF(F226&lt;&gt;""," (" &amp; F226 &amp; ")","")</f>
        <v>○ (James (Crowley descendant))</v>
      </c>
      <c r="D108" s="19"/>
      <c r="E108" s="15" t="s">
        <v>1452</v>
      </c>
      <c r="F108" s="3"/>
      <c r="G108" s="60" t="str">
        <f>IFERROR(VLOOKUP(F108,tblManoeuvre[#Data],2,FALSE)&amp;" "&amp;VLOOKUP(F108,tblManoeuvre[#Data],3,FALSE),"")</f>
        <v/>
      </c>
      <c r="H108" s="67" t="str">
        <f>IFERROR(IF(VLOOKUP(F108,tblManoeuvre[#Data],8,FALSE)=0,"None",VLOOKUP(F108,tblManoeuvre[#Data],8,FALSE)),"None")</f>
        <v>None</v>
      </c>
      <c r="I108" s="67"/>
      <c r="L108" s="4"/>
      <c r="M108" s="4"/>
      <c r="N108" s="4"/>
      <c r="O108" s="61">
        <f t="shared" si="17"/>
        <v>0</v>
      </c>
      <c r="P108" s="60">
        <f t="shared" si="18"/>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v>
      </c>
      <c r="D109" s="19"/>
      <c r="E109" s="15" t="s">
        <v>1454</v>
      </c>
      <c r="F109" s="3"/>
      <c r="G109" s="60" t="str">
        <f>IFERROR(VLOOKUP(F109,tblManoeuvre[#Data],2,FALSE)&amp;" "&amp;VLOOKUP(F109,tblManoeuvre[#Data],3,FALSE),"")</f>
        <v/>
      </c>
      <c r="H109" s="67" t="str">
        <f>IFERROR(IF(VLOOKUP(F109,tblManoeuvre[#Data],8,FALSE)=0,"None",VLOOKUP(F109,tblManoeuvre[#Data],8,FALSE)),"None")</f>
        <v>None</v>
      </c>
      <c r="I109" s="67"/>
      <c r="L109" s="4"/>
      <c r="M109" s="4"/>
      <c r="N109" s="4"/>
      <c r="O109" s="61">
        <f t="shared" si="17"/>
        <v>0</v>
      </c>
      <c r="P109" s="60">
        <f t="shared" si="18"/>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v>
      </c>
      <c r="D110" s="19"/>
      <c r="E110" s="15" t="s">
        <v>1455</v>
      </c>
      <c r="F110" s="3"/>
      <c r="G110" s="60" t="str">
        <f>IFERROR(VLOOKUP(F110,tblManoeuvre[#Data],2,FALSE)&amp;" "&amp;VLOOKUP(F110,tblManoeuvre[#Data],3,FALSE),"")</f>
        <v/>
      </c>
      <c r="H110" s="67" t="str">
        <f>IFERROR(IF(VLOOKUP(F110,tblManoeuvre[#Data],8,FALSE)=0,"None",VLOOKUP(F110,tblManoeuvre[#Data],8,FALSE)),"None")</f>
        <v>None</v>
      </c>
      <c r="I110" s="67"/>
      <c r="L110" s="4"/>
      <c r="M110" s="4"/>
      <c r="N110" s="4"/>
      <c r="O110" s="61">
        <f t="shared" si="17"/>
        <v>0</v>
      </c>
      <c r="P110" s="60">
        <f t="shared" si="18"/>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c r="H111" s="67" t="str">
        <f>IFERROR(IF(VLOOKUP(F111,tblManoeuvre[#Data],8,FALSE)=0,"None",VLOOKUP(F111,tblManoeuvre[#Data],8,FALSE)),"None")</f>
        <v>None</v>
      </c>
      <c r="I111" s="67"/>
      <c r="L111" s="4"/>
      <c r="M111" s="4"/>
      <c r="N111" s="4"/>
      <c r="O111" s="61">
        <f t="shared" si="17"/>
        <v>0</v>
      </c>
      <c r="P111" s="60">
        <f t="shared" si="18"/>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c r="H112" s="67" t="str">
        <f>IFERROR(IF(VLOOKUP(F112,tblManoeuvre[#Data],8,FALSE)=0,"None",VLOOKUP(F112,tblManoeuvre[#Data],8,FALSE)),"None")</f>
        <v>None</v>
      </c>
      <c r="I112" s="67"/>
      <c r="L112" s="4"/>
      <c r="M112" s="4"/>
      <c r="N112" s="4"/>
      <c r="O112" s="61">
        <f t="shared" si="17"/>
        <v>0</v>
      </c>
      <c r="P112" s="60">
        <f t="shared" si="18"/>
        <v>0</v>
      </c>
      <c r="Q112" s="61">
        <v>1</v>
      </c>
      <c r="R112" s="61">
        <v>1</v>
      </c>
      <c r="Y112" s="61" t="s">
        <v>1474</v>
      </c>
      <c r="Z112" s="61" t="str">
        <f t="shared" ref="Z112:Z121" si="19">G194</f>
        <v/>
      </c>
      <c r="AA112" s="60" t="str">
        <f t="shared" ref="AA112:AA121" si="20">IF(P194="","",F194)</f>
        <v/>
      </c>
    </row>
    <row r="113" spans="1:27">
      <c r="A113" s="1" t="s">
        <v>112</v>
      </c>
      <c r="B113" t="str">
        <f>IF($P$73&gt;=2,"●","○") &amp; IF(F231&lt;&gt;""," (" &amp; F231 &amp; ")","")</f>
        <v>●</v>
      </c>
      <c r="D113" s="19"/>
      <c r="E113" s="15" t="s">
        <v>1458</v>
      </c>
      <c r="F113" s="3"/>
      <c r="G113" s="60"/>
      <c r="H113" s="67" t="str">
        <f>IFERROR(IF(VLOOKUP(F113,tblManoeuvre[#Data],8,FALSE)=0,"None",VLOOKUP(F113,tblManoeuvre[#Data],8,FALSE)),"None")</f>
        <v>None</v>
      </c>
      <c r="I113" s="67"/>
      <c r="L113" s="4"/>
      <c r="M113" s="4"/>
      <c r="N113" s="4"/>
      <c r="O113" s="61">
        <f t="shared" si="17"/>
        <v>0</v>
      </c>
      <c r="P113" s="60">
        <f t="shared" si="18"/>
        <v>0</v>
      </c>
      <c r="Q113" s="61">
        <v>1</v>
      </c>
      <c r="R113" s="61">
        <v>1</v>
      </c>
      <c r="Y113" s="61" t="s">
        <v>1474</v>
      </c>
      <c r="Z113" s="61" t="str">
        <f t="shared" si="19"/>
        <v/>
      </c>
      <c r="AA113" s="60" t="str">
        <f t="shared" si="20"/>
        <v/>
      </c>
    </row>
    <row r="114" spans="1:27">
      <c r="A114" s="1" t="s">
        <v>113</v>
      </c>
      <c r="B114" t="str">
        <f>IF($P$73&gt;=1,"●","○") &amp; IF(F232&lt;&gt;""," (" &amp; F232 &amp; ")","")</f>
        <v>●</v>
      </c>
      <c r="D114" s="19"/>
      <c r="E114" s="15" t="s">
        <v>1460</v>
      </c>
      <c r="F114" s="3"/>
      <c r="G114" s="60"/>
      <c r="H114" s="67" t="str">
        <f>IFERROR(IF(VLOOKUP(F114,tblManoeuvre[#Data],8,FALSE)=0,"None",VLOOKUP(F114,tblManoeuvre[#Data],8,FALSE)),"None")</f>
        <v>None</v>
      </c>
      <c r="I114" s="67"/>
      <c r="L114" s="4"/>
      <c r="M114" s="4"/>
      <c r="N114" s="4"/>
      <c r="O114" s="61">
        <f t="shared" si="17"/>
        <v>0</v>
      </c>
      <c r="P114" s="60">
        <f t="shared" si="18"/>
        <v>0</v>
      </c>
      <c r="Q114" s="61">
        <v>1</v>
      </c>
      <c r="R114" s="61">
        <v>1</v>
      </c>
      <c r="Y114" s="61" t="s">
        <v>1474</v>
      </c>
      <c r="Z114" s="61" t="str">
        <f t="shared" si="19"/>
        <v/>
      </c>
      <c r="AA114" s="60" t="str">
        <f t="shared" si="20"/>
        <v/>
      </c>
    </row>
    <row r="115" spans="1:27">
      <c r="A115" s="1" t="s">
        <v>114</v>
      </c>
      <c r="B115" t="str">
        <f t="shared" ref="B115:B144" si="21">IF(AD2="","¬",AD2)</f>
        <v>Acute Senses ●</v>
      </c>
      <c r="D115" s="19"/>
      <c r="E115" s="15" t="s">
        <v>1461</v>
      </c>
      <c r="F115" s="3"/>
      <c r="G115" s="60"/>
      <c r="H115" s="67" t="str">
        <f>IFERROR(IF(VLOOKUP(F115,tblManoeuvre[#Data],8,FALSE)=0,"None",VLOOKUP(F115,tblManoeuvre[#Data],8,FALSE)),"None")</f>
        <v>None</v>
      </c>
      <c r="I115" s="67"/>
      <c r="L115" s="4"/>
      <c r="M115" s="4"/>
      <c r="N115" s="4"/>
      <c r="O115" s="61">
        <f t="shared" si="17"/>
        <v>0</v>
      </c>
      <c r="P115" s="60">
        <f t="shared" si="18"/>
        <v>0</v>
      </c>
      <c r="Q115" s="61">
        <v>1</v>
      </c>
      <c r="R115" s="61">
        <v>1</v>
      </c>
      <c r="Y115" s="61" t="s">
        <v>1474</v>
      </c>
      <c r="Z115" s="61" t="str">
        <f t="shared" si="19"/>
        <v/>
      </c>
      <c r="AA115" s="60" t="str">
        <f t="shared" si="20"/>
        <v/>
      </c>
    </row>
    <row r="116" spans="1:27">
      <c r="A116" s="1" t="s">
        <v>115</v>
      </c>
      <c r="B116" t="str">
        <f t="shared" si="21"/>
        <v>Eidetic Memory ●</v>
      </c>
      <c r="D116" s="19"/>
      <c r="E116" s="15" t="s">
        <v>1462</v>
      </c>
      <c r="F116" s="3"/>
      <c r="G116" s="60"/>
      <c r="H116" s="67" t="str">
        <f>IFERROR(IF(VLOOKUP(F116,tblManoeuvre[#Data],8,FALSE)=0,"None",VLOOKUP(F116,tblManoeuvre[#Data],8,FALSE)),"None")</f>
        <v>None</v>
      </c>
      <c r="I116" s="67"/>
      <c r="L116" s="4"/>
      <c r="M116" s="4"/>
      <c r="N116" s="4"/>
      <c r="O116" s="61">
        <f t="shared" si="17"/>
        <v>0</v>
      </c>
      <c r="P116" s="60">
        <f t="shared" si="18"/>
        <v>0</v>
      </c>
      <c r="Q116" s="61">
        <v>1</v>
      </c>
      <c r="R116" s="61">
        <v>1</v>
      </c>
      <c r="Y116" s="61" t="s">
        <v>1474</v>
      </c>
      <c r="Z116" s="61" t="str">
        <f t="shared" si="19"/>
        <v/>
      </c>
      <c r="AA116" s="60" t="str">
        <f t="shared" si="20"/>
        <v/>
      </c>
    </row>
    <row r="117" spans="1:27">
      <c r="A117" s="1" t="s">
        <v>116</v>
      </c>
      <c r="B117" t="str">
        <f t="shared" si="21"/>
        <v>Esoteric Armoury ●</v>
      </c>
      <c r="D117" s="19"/>
      <c r="E117" s="15" t="s">
        <v>1463</v>
      </c>
      <c r="F117" s="3"/>
      <c r="G117" s="60"/>
      <c r="H117" s="67" t="str">
        <f>IFERROR(IF(VLOOKUP(F117,tblManoeuvre[#Data],8,FALSE)=0,"None",VLOOKUP(F117,tblManoeuvre[#Data],8,FALSE)),"None")</f>
        <v>None</v>
      </c>
      <c r="I117" s="67"/>
      <c r="L117" s="4"/>
      <c r="M117" s="4"/>
      <c r="N117" s="4"/>
      <c r="O117" s="61">
        <f t="shared" si="17"/>
        <v>0</v>
      </c>
      <c r="P117" s="60">
        <f t="shared" si="18"/>
        <v>0</v>
      </c>
      <c r="Q117" s="61">
        <v>1</v>
      </c>
      <c r="R117" s="61">
        <v>1</v>
      </c>
      <c r="Y117" s="61" t="s">
        <v>1474</v>
      </c>
      <c r="Z117" s="61" t="str">
        <f t="shared" si="19"/>
        <v/>
      </c>
      <c r="AA117" s="60" t="str">
        <f t="shared" si="20"/>
        <v/>
      </c>
    </row>
    <row r="118" spans="1:27">
      <c r="A118" s="1" t="s">
        <v>117</v>
      </c>
      <c r="B118" t="str">
        <f t="shared" si="21"/>
        <v>Library (Academic) ●●●</v>
      </c>
      <c r="D118" s="19"/>
      <c r="E118" s="15" t="s">
        <v>1464</v>
      </c>
      <c r="F118" s="3"/>
      <c r="G118" s="60"/>
      <c r="H118" s="67" t="str">
        <f>IFERROR(IF(VLOOKUP(F118,tblManoeuvre[#Data],8,FALSE)=0,"None",VLOOKUP(F118,tblManoeuvre[#Data],8,FALSE)),"None")</f>
        <v>None</v>
      </c>
      <c r="I118" s="67"/>
      <c r="L118" s="4"/>
      <c r="M118" s="4"/>
      <c r="N118" s="4"/>
      <c r="O118" s="61">
        <f t="shared" si="17"/>
        <v>0</v>
      </c>
      <c r="P118" s="60">
        <f t="shared" si="18"/>
        <v>0</v>
      </c>
      <c r="Q118" s="61">
        <v>1</v>
      </c>
      <c r="R118" s="61">
        <v>1</v>
      </c>
      <c r="Y118" s="61" t="s">
        <v>1474</v>
      </c>
      <c r="Z118" s="61" t="str">
        <f t="shared" si="19"/>
        <v/>
      </c>
      <c r="AA118" s="60" t="str">
        <f t="shared" si="20"/>
        <v/>
      </c>
    </row>
    <row r="119" spans="1:27">
      <c r="A119" s="1" t="s">
        <v>118</v>
      </c>
      <c r="B119" t="str">
        <f t="shared" si="21"/>
        <v>Library (Occult) ●●●</v>
      </c>
      <c r="D119" s="19"/>
      <c r="E119" s="15" t="s">
        <v>1466</v>
      </c>
      <c r="F119" s="3"/>
      <c r="G119" s="60"/>
      <c r="H119" s="67" t="str">
        <f>IFERROR(IF(VLOOKUP(F119,tblManoeuvre[#Data],8,FALSE)=0,"None",VLOOKUP(F119,tblManoeuvre[#Data],8,FALSE)),"None")</f>
        <v>None</v>
      </c>
      <c r="I119" s="67"/>
      <c r="L119" s="4"/>
      <c r="M119" s="4"/>
      <c r="N119" s="4"/>
      <c r="O119" s="61">
        <f t="shared" si="17"/>
        <v>0</v>
      </c>
      <c r="P119" s="60">
        <f t="shared" si="18"/>
        <v>0</v>
      </c>
      <c r="Q119" s="61">
        <v>1</v>
      </c>
      <c r="R119" s="61">
        <v>1</v>
      </c>
      <c r="Y119" s="61" t="s">
        <v>1474</v>
      </c>
      <c r="Z119" s="61" t="str">
        <f t="shared" si="19"/>
        <v/>
      </c>
      <c r="AA119" s="60" t="str">
        <f t="shared" si="20"/>
        <v/>
      </c>
    </row>
    <row r="120" spans="1:27">
      <c r="A120" s="1" t="s">
        <v>119</v>
      </c>
      <c r="B120" t="str">
        <f t="shared" si="21"/>
        <v>Lorekeeper ●</v>
      </c>
      <c r="D120" s="19"/>
      <c r="E120" s="15" t="s">
        <v>1468</v>
      </c>
      <c r="F120" s="3"/>
      <c r="G120" s="60"/>
      <c r="H120" s="67" t="str">
        <f>IFERROR(IF(VLOOKUP(F120,tblManoeuvre[#Data],8,FALSE)=0,"None",VLOOKUP(F120,tblManoeuvre[#Data],8,FALSE)),"None")</f>
        <v>None</v>
      </c>
      <c r="I120" s="67"/>
      <c r="L120" s="4"/>
      <c r="M120" s="4"/>
      <c r="N120" s="4"/>
      <c r="O120" s="61">
        <f t="shared" si="17"/>
        <v>0</v>
      </c>
      <c r="P120" s="60">
        <f t="shared" si="18"/>
        <v>0</v>
      </c>
      <c r="Q120" s="61">
        <v>1</v>
      </c>
      <c r="R120" s="61">
        <v>1</v>
      </c>
      <c r="Y120" s="61" t="s">
        <v>1474</v>
      </c>
      <c r="Z120" s="61" t="str">
        <f t="shared" si="19"/>
        <v/>
      </c>
      <c r="AA120" s="60" t="str">
        <f t="shared" si="20"/>
        <v/>
      </c>
    </row>
    <row r="121" spans="1:27">
      <c r="A121" s="1" t="s">
        <v>120</v>
      </c>
      <c r="B121" t="str">
        <f t="shared" si="21"/>
        <v>¬</v>
      </c>
      <c r="Y121" s="61" t="s">
        <v>1474</v>
      </c>
      <c r="Z121" s="61" t="str">
        <f t="shared" si="19"/>
        <v/>
      </c>
      <c r="AA121" s="60" t="str">
        <f t="shared" si="20"/>
        <v/>
      </c>
    </row>
    <row r="122" spans="1:27" ht="15.75" thickBot="1">
      <c r="A122" s="1" t="s">
        <v>121</v>
      </c>
      <c r="B122" t="str">
        <f t="shared" si="21"/>
        <v>¬</v>
      </c>
      <c r="D122" s="14" t="s">
        <v>1475</v>
      </c>
      <c r="E122" s="14"/>
      <c r="F122" s="14"/>
      <c r="G122" s="14"/>
      <c r="H122" s="14"/>
      <c r="I122" s="14"/>
    </row>
    <row r="123" spans="1:27">
      <c r="A123" s="1" t="s">
        <v>122</v>
      </c>
      <c r="B123" t="str">
        <f t="shared" si="21"/>
        <v>¬</v>
      </c>
      <c r="D123" s="16" t="s">
        <v>927</v>
      </c>
      <c r="E123" s="17"/>
      <c r="F123" s="17"/>
      <c r="G123" s="17"/>
      <c r="H123" s="17"/>
      <c r="I123" s="17"/>
      <c r="Y123" s="15" t="s">
        <v>1476</v>
      </c>
      <c r="Z123" s="19"/>
      <c r="AA123" s="61" t="str">
        <f t="shared" ref="AA123:AA132" si="22">_xlfn.LET(_xlpm.name,VLOOKUP(Y123,$E$2:$F$362,2,FALSE),_xlpm.paid,_xlfn.IFNA(VLOOKUP(_xlpm.name,$F$121:$Q$215,11,FALSE)&gt;=VLOOKUP(_xlpm.name,$F$121:$Q$215,12,FALSE),FALSE),IF(AND(_xlpm.name&lt;&gt;"",_xlpm.paid),_xlpm.name,""))</f>
        <v/>
      </c>
    </row>
    <row r="124" spans="1:27">
      <c r="A124" s="1" t="s">
        <v>123</v>
      </c>
      <c r="B124" t="str">
        <f t="shared" si="21"/>
        <v>¬</v>
      </c>
      <c r="D124" s="19"/>
      <c r="E124" s="15" t="s">
        <v>83</v>
      </c>
      <c r="F124" s="19"/>
      <c r="G124" s="19"/>
      <c r="H124" s="19"/>
      <c r="I124" s="19"/>
      <c r="L124" s="4">
        <v>1</v>
      </c>
      <c r="M124" s="61">
        <f>IFERROR(VLOOKUP(G13,tblEffectiveStatus[#Data],2,FALSE),0)</f>
        <v>0</v>
      </c>
      <c r="P124" s="60">
        <f>MIN(L124+M124,R124)</f>
        <v>1</v>
      </c>
      <c r="R124" s="61">
        <v>10</v>
      </c>
      <c r="Y124" s="15" t="s">
        <v>1477</v>
      </c>
      <c r="Z124" s="19"/>
      <c r="AA124" s="61" t="str">
        <f t="shared" si="22"/>
        <v/>
      </c>
    </row>
    <row r="125" spans="1:27">
      <c r="A125" s="1" t="s">
        <v>124</v>
      </c>
      <c r="B125" t="str">
        <f t="shared" si="21"/>
        <v>¬</v>
      </c>
      <c r="D125" s="19"/>
      <c r="E125" s="15" t="str">
        <f>IF(F7="","Clan Status",F7&amp;" Status")</f>
        <v>Ventrue Status</v>
      </c>
      <c r="F125" s="19"/>
      <c r="G125" s="19"/>
      <c r="H125" s="19"/>
      <c r="I125" s="19"/>
      <c r="L125" s="4">
        <v>2</v>
      </c>
      <c r="P125" s="60">
        <f>IF(L125="",0,MIN(L125,R125))</f>
        <v>2</v>
      </c>
      <c r="R125" s="61">
        <v>5</v>
      </c>
      <c r="Y125" s="15" t="s">
        <v>1478</v>
      </c>
      <c r="Z125" s="19"/>
      <c r="AA125" s="61" t="str">
        <f t="shared" si="22"/>
        <v/>
      </c>
    </row>
    <row r="126" spans="1:27">
      <c r="A126" s="1" t="s">
        <v>125</v>
      </c>
      <c r="B126" t="str">
        <f t="shared" si="21"/>
        <v>¬</v>
      </c>
      <c r="D126" s="19"/>
      <c r="E126" s="15" t="str">
        <f>IF(F9="","",F9&amp;" Status")</f>
        <v>Lancea et Sanctum Status</v>
      </c>
      <c r="F126" s="19" t="str">
        <f>IF(F9="","",VLOOKUP(F9,tblCovenantShortName[#Data],2,FALSE))</f>
        <v>Lance</v>
      </c>
      <c r="G126" s="19"/>
      <c r="H126" s="19"/>
      <c r="I126" s="19"/>
      <c r="L126" s="4">
        <v>3</v>
      </c>
      <c r="P126" s="60">
        <f>L126</f>
        <v>3</v>
      </c>
      <c r="R126" s="61">
        <f>5-SUM(L127:L129)</f>
        <v>5</v>
      </c>
      <c r="Y126" s="15" t="s">
        <v>1479</v>
      </c>
      <c r="Z126" s="19"/>
      <c r="AA126" s="61" t="str">
        <f t="shared" si="22"/>
        <v/>
      </c>
    </row>
    <row r="127" spans="1:27">
      <c r="A127" s="1" t="s">
        <v>126</v>
      </c>
      <c r="B127" t="str">
        <f t="shared" si="21"/>
        <v>¬</v>
      </c>
      <c r="D127" s="19"/>
      <c r="E127" s="15" t="str" cm="1">
        <f t="array" ref="E127">IF(F9="","",IFERROR(INDEX(Lists!$F$2:$F$5,SMALL(IF(Lists!$F$2:$F$5&lt;&gt;$F$9,ROW(Lists!$F$2:$F$5)-ROW(Lists!$F$2)+1),1))&amp;" Status",""))</f>
        <v>Carthian Movement Status</v>
      </c>
      <c r="F127" s="19" t="str" cm="1">
        <f t="array" ref="F127">IF(F9="","",IFERROR(VLOOKUP(INDEX(Lists!$F$2:$F$5,SMALL(IF(Lists!$F$2:$F$5&lt;&gt;$F$9,ROW(Lists!$F$2:$F$5)-ROW(Lists!$F$2)+1),1)),tblCovenantShortName[],2,FALSE),""))</f>
        <v>Carthian</v>
      </c>
      <c r="G127" s="19"/>
      <c r="H127" s="19"/>
      <c r="I127" s="19"/>
      <c r="L127" s="4"/>
      <c r="P127" s="60">
        <f>L127</f>
        <v>0</v>
      </c>
      <c r="R127" s="61">
        <f>MAX(0,MIN(P126-1,5-L126-L128-L129))</f>
        <v>2</v>
      </c>
      <c r="Y127" s="15" t="s">
        <v>1480</v>
      </c>
      <c r="Z127" s="19"/>
      <c r="AA127" s="61" t="str">
        <f t="shared" si="22"/>
        <v/>
      </c>
    </row>
    <row r="128" spans="1:27">
      <c r="A128" s="1" t="s">
        <v>127</v>
      </c>
      <c r="B128" t="str">
        <f t="shared" si="21"/>
        <v>¬</v>
      </c>
      <c r="D128" s="19"/>
      <c r="E128" s="15" t="str" cm="1">
        <f t="array" ref="E128">IF(F9="","",IFERROR(INDEX(Lists!$F$2:$F$5,SMALL(IF(Lists!$F$2:$F$5&lt;&gt;$F$9,ROW(Lists!$F$2:$F$5)-ROW(Lists!$F$2)+1),2))&amp;" Status",""))</f>
        <v>Circle of the Crone Status</v>
      </c>
      <c r="F128" s="19" t="str" cm="1">
        <f t="array" ref="F128">IF(F9="","",IFERROR(VLOOKUP(INDEX(Lists!$F$2:$F$5,SMALL(IF(Lists!$F$2:$F$5&lt;&gt;$F$9,ROW(Lists!$F$2:$F$5)-ROW(Lists!$F$2)+1),2)),tblCovenantShortName[],2,FALSE),""))</f>
        <v>Crone</v>
      </c>
      <c r="G128" s="19"/>
      <c r="H128" s="19"/>
      <c r="I128" s="19"/>
      <c r="L128" s="4"/>
      <c r="P128" s="60">
        <f>L128</f>
        <v>0</v>
      </c>
      <c r="R128" s="61">
        <f>MAX(0,MIN(P126-1,5-L126-L127-L129))</f>
        <v>2</v>
      </c>
      <c r="Y128" s="15" t="s">
        <v>1481</v>
      </c>
      <c r="Z128" s="19"/>
      <c r="AA128" s="61" t="str">
        <f t="shared" si="22"/>
        <v/>
      </c>
    </row>
    <row r="129" spans="1:32">
      <c r="A129" s="1" t="s">
        <v>128</v>
      </c>
      <c r="B129" t="str">
        <f t="shared" si="21"/>
        <v>¬</v>
      </c>
      <c r="D129" s="19"/>
      <c r="E129" s="15" t="str" cm="1">
        <f t="array" ref="E129">IF(F9="","",IFERROR(INDEX(Lists!$F$2:$F$5,SMALL(IF(Lists!$F$2:$F$5&lt;&gt;$F$9,ROW(Lists!$F$2:$F$5)-ROW(Lists!$F$2)+1),3))&amp;" Status",""))</f>
        <v>Invictus Status</v>
      </c>
      <c r="F129" s="19" t="str" cm="1">
        <f t="array" ref="F129">IF(F9="","",IFERROR(VLOOKUP(INDEX(Lists!$F$2:$F$5,SMALL(IF(Lists!$F$2:$F$5&lt;&gt;$F$9,ROW(Lists!$F$2:$F$5)-ROW(Lists!$F$2)+1),3)),tblCovenantShortName[],2,FALSE),""))</f>
        <v>Invictus</v>
      </c>
      <c r="G129" s="19"/>
      <c r="H129" s="19"/>
      <c r="I129" s="19"/>
      <c r="L129" s="4"/>
      <c r="P129" s="60">
        <f>L129</f>
        <v>0</v>
      </c>
      <c r="R129" s="61">
        <f>MAX(0,MIN(P126-1,5-L126-L127-L128))</f>
        <v>2</v>
      </c>
      <c r="Y129" s="15" t="s">
        <v>1482</v>
      </c>
      <c r="Z129" s="19"/>
      <c r="AA129" s="61" t="str">
        <f t="shared" si="22"/>
        <v/>
      </c>
    </row>
    <row r="130" spans="1:32">
      <c r="A130" s="1" t="s">
        <v>129</v>
      </c>
      <c r="B130" t="str">
        <f t="shared" si="21"/>
        <v>¬</v>
      </c>
      <c r="Y130" s="15" t="s">
        <v>1483</v>
      </c>
      <c r="Z130" s="19"/>
      <c r="AA130" s="61" t="str">
        <f t="shared" si="22"/>
        <v/>
      </c>
    </row>
    <row r="131" spans="1:32">
      <c r="A131" s="1" t="s">
        <v>130</v>
      </c>
      <c r="B131" t="str">
        <f t="shared" si="21"/>
        <v>¬</v>
      </c>
      <c r="D131" s="16" t="s">
        <v>1475</v>
      </c>
      <c r="E131" s="17"/>
      <c r="F131" s="16" t="s">
        <v>1605</v>
      </c>
      <c r="G131" s="17"/>
      <c r="H131" s="17"/>
      <c r="I131" s="17"/>
      <c r="Y131" s="15" t="s">
        <v>1484</v>
      </c>
      <c r="Z131" s="19"/>
      <c r="AA131" s="61" t="str">
        <f t="shared" si="22"/>
        <v/>
      </c>
    </row>
    <row r="132" spans="1:32">
      <c r="A132" s="1" t="s">
        <v>131</v>
      </c>
      <c r="B132" t="str">
        <f t="shared" si="21"/>
        <v>¬</v>
      </c>
      <c r="D132" s="19"/>
      <c r="E132" s="15" t="s">
        <v>94</v>
      </c>
      <c r="F132" s="3" t="s">
        <v>1606</v>
      </c>
      <c r="G132" s="19"/>
      <c r="H132" s="19"/>
      <c r="I132" s="19"/>
      <c r="L132" s="4"/>
      <c r="M132" s="4">
        <v>2</v>
      </c>
      <c r="N132" s="4">
        <v>3</v>
      </c>
      <c r="O132" s="61">
        <f>N132</f>
        <v>3</v>
      </c>
      <c r="P132" s="60">
        <f>MIN(SUM(L132,M132,O132),R132)</f>
        <v>5</v>
      </c>
      <c r="Q132" s="61">
        <f>_xlfn.IFNA(VLOOKUP($E132,tblDomain[],3,FALSE),"")</f>
        <v>1</v>
      </c>
      <c r="R132" s="61">
        <f>_xlfn.IFNA(VLOOKUP($E132,tblDomain[],4,FALSE),"")</f>
        <v>5</v>
      </c>
      <c r="Y132" s="15" t="s">
        <v>1485</v>
      </c>
      <c r="Z132" s="19"/>
      <c r="AA132" s="61" t="str">
        <f t="shared" si="22"/>
        <v/>
      </c>
    </row>
    <row r="133" spans="1:32">
      <c r="A133" s="1" t="s">
        <v>132</v>
      </c>
      <c r="B133" t="str">
        <f t="shared" si="21"/>
        <v>¬</v>
      </c>
      <c r="D133" s="19"/>
      <c r="E133" s="15" t="s">
        <v>95</v>
      </c>
      <c r="F133" s="3" t="s">
        <v>1606</v>
      </c>
      <c r="G133" s="19"/>
      <c r="H133" s="19"/>
      <c r="I133" s="19"/>
      <c r="L133" s="4"/>
      <c r="M133" s="4">
        <v>2</v>
      </c>
      <c r="N133" s="4">
        <v>1</v>
      </c>
      <c r="O133" s="61">
        <f>N133</f>
        <v>1</v>
      </c>
      <c r="P133" s="60">
        <f>MIN(SUM(L133,M133,O133),R133)</f>
        <v>3</v>
      </c>
      <c r="Q133" s="61">
        <f>_xlfn.IFNA(VLOOKUP($E133,tblDomain[],3,FALSE),"")</f>
        <v>1</v>
      </c>
      <c r="R133" s="61">
        <f>_xlfn.IFNA(VLOOKUP($E133,tblDomain[],4,FALSE),"")</f>
        <v>5</v>
      </c>
    </row>
    <row r="134" spans="1:32">
      <c r="A134" s="1" t="s">
        <v>133</v>
      </c>
      <c r="B134" t="str">
        <f t="shared" si="21"/>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3">_xlfn.LET(_xlpm.name,VLOOKUP(Y134,$E$2:$F$362,2,FALSE),_xlpm.note,VLOOKUP(Y134,$E$2:$G$362,3,FALSE),_xlpm.row,MATCH(Y134,$E$138:$E$157,0),_xlpm.dots,INDEX($P$138:$P$157,_xlpm.row),_xlpm.max,INDEX($Q$138:$Q$157,_xlpm.row),_xlpm.paid,_xlfn.IFNA(_xlpm.dots&gt;=_xlpm.max,FALSE),IF(AND(_xlpm.name&lt;&gt;"",_xlpm.paid),IF(_xlpm.note="",_xlpm.name,_xlpm.name&amp;" ("&amp;_xlpm.note&amp;")"),""))</f>
        <v>Retainer (Nicole - EA)</v>
      </c>
      <c r="AC134" s="60" t="str" cm="1">
        <f t="array" ref="AC134:AC136">_xlfn.LET(_xlpm.raw,IFERROR(_xlfn.VSTACK(IFERROR(_xlfn._xlws.SORT(_xlfn._xlws.FILTER(AA134:AA211,AA134:AA211&lt;&gt;"")),""),IFERROR(_xlfn._xlws.SORT(_xlfn._xlws.FILTER(AA213:AA222,AA213:AA222&lt;&gt;"")),"")),""),_xlpm.sorted,IFERROR(_xlfn._xlws.FILTER(_xlpm.raw,_xlpm.raw&lt;&gt;""),""),IFERROR(LEFT(_xlpm.sorted,FIND(" (",_xlpm.sorted)-1),_xlpm.sorted))</f>
        <v>Contacts</v>
      </c>
      <c r="AD134" s="20" t="str" cm="1">
        <f t="array" ref="AD134:AD136">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Occult, University, Beuracracy, Church, Legal</v>
      </c>
      <c r="AE134" s="20">
        <f t="shared" ref="AE134:AE153" si="24">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1</v>
      </c>
      <c r="AF134" s="61" cm="1">
        <f t="array" ref="AF134">IF(AC134="","",SUMPRODUCT(($F$138:$F$157=AC134)*($G$138:$G$157=IF(AD134="","",AD134))*$P$138:$P$157))</f>
        <v>5</v>
      </c>
    </row>
    <row r="135" spans="1:32">
      <c r="A135" s="1" t="s">
        <v>134</v>
      </c>
      <c r="B135" t="str">
        <f t="shared" si="21"/>
        <v>¬</v>
      </c>
      <c r="D135" s="58" t="s">
        <v>1604</v>
      </c>
      <c r="E135" s="15" t="s">
        <v>97</v>
      </c>
      <c r="F135" s="19"/>
      <c r="G135" s="19"/>
      <c r="H135" s="19"/>
      <c r="I135" s="19"/>
      <c r="L135" s="4"/>
      <c r="M135" s="4">
        <v>3</v>
      </c>
      <c r="N135" s="4"/>
      <c r="O135" s="61">
        <f>N135</f>
        <v>0</v>
      </c>
      <c r="P135" s="60">
        <f>MIN(SUM(L135,M135,O135),R135)</f>
        <v>3</v>
      </c>
      <c r="Q135" s="61">
        <f>_xlfn.IFNA(VLOOKUP($E135,tblDomain[],3,FALSE),"")</f>
        <v>1</v>
      </c>
      <c r="R135" s="61">
        <f>_xlfn.IFNA(VLOOKUP($E135,tblDomain[],4,FALSE),"")</f>
        <v>5</v>
      </c>
      <c r="Y135" s="15" t="s">
        <v>177</v>
      </c>
      <c r="Z135" s="19"/>
      <c r="AA135" s="61" t="str">
        <f t="shared" si="23"/>
        <v>Contacts (Occult, University, Beuracracy, Church, Legal)</v>
      </c>
      <c r="AC135" s="60" t="str">
        <v>Resources</v>
      </c>
      <c r="AD135" s="20" t="str">
        <v/>
      </c>
      <c r="AE135" s="20">
        <f t="shared" si="24"/>
        <v>1</v>
      </c>
      <c r="AF135" s="61" cm="1">
        <f t="array" ref="AF135">IF(AC135="","",SUMPRODUCT(($F$138:$F$157=AC135)*($G$138:$G$157=IF(AD135="","",AD135))*$P$138:$P$157))</f>
        <v>3</v>
      </c>
    </row>
    <row r="136" spans="1:32">
      <c r="A136" s="1" t="s">
        <v>135</v>
      </c>
      <c r="B136" t="str">
        <f t="shared" si="21"/>
        <v>¬</v>
      </c>
      <c r="Y136" s="15" t="s">
        <v>178</v>
      </c>
      <c r="Z136" s="19"/>
      <c r="AA136" s="61" t="str">
        <f t="shared" si="23"/>
        <v>Resources</v>
      </c>
      <c r="AC136" s="60" t="str">
        <v>Retainer</v>
      </c>
      <c r="AD136" s="20" t="str">
        <v>Nicole - EA</v>
      </c>
      <c r="AE136" s="20">
        <f t="shared" si="24"/>
        <v>0</v>
      </c>
      <c r="AF136" s="61" cm="1">
        <f t="array" ref="AF136">IF(AC136="","",SUMPRODUCT(($F$138:$F$157=AC136)*($G$138:$G$157=IF(AD136="","",AD136))*$P$138:$P$157))</f>
        <v>3</v>
      </c>
    </row>
    <row r="137" spans="1:32">
      <c r="A137" s="1" t="s">
        <v>136</v>
      </c>
      <c r="B137" t="str">
        <f t="shared" si="21"/>
        <v>¬</v>
      </c>
      <c r="D137" s="16" t="s">
        <v>174</v>
      </c>
      <c r="E137" s="17"/>
      <c r="F137" s="17"/>
      <c r="G137" s="17"/>
      <c r="H137" s="61">
        <f>L225</f>
        <v>0</v>
      </c>
      <c r="I137" s="61">
        <f>SUM(AE134:AE155)+SUM(P125:P129)</f>
        <v>7</v>
      </c>
      <c r="Y137" s="15" t="s">
        <v>179</v>
      </c>
      <c r="Z137" s="19"/>
      <c r="AA137" s="61" t="str">
        <f t="shared" si="23"/>
        <v/>
      </c>
      <c r="AC137" s="60"/>
      <c r="AD137" s="20"/>
      <c r="AE137" s="20" t="str">
        <f t="shared" si="24"/>
        <v/>
      </c>
      <c r="AF137" s="61" t="str" cm="1">
        <f t="array" ref="AF137">IF(AC137="","",SUMPRODUCT(($F$138:$F$157=AC137)*($G$138:$G$157=IF(AD137="","",AD137))*$P$138:$P$157))</f>
        <v/>
      </c>
    </row>
    <row r="138" spans="1:32">
      <c r="A138" s="1" t="s">
        <v>137</v>
      </c>
      <c r="B138" t="str">
        <f t="shared" si="21"/>
        <v>¬</v>
      </c>
      <c r="D138" s="58" t="s">
        <v>1604</v>
      </c>
      <c r="E138" s="15" t="s">
        <v>176</v>
      </c>
      <c r="F138" s="3" t="s">
        <v>468</v>
      </c>
      <c r="G138" s="3" t="s">
        <v>579</v>
      </c>
      <c r="H138" s="67" t="str">
        <f>IFERROR(IF(VLOOKUP(F138,tblManoeuvre[#Data],8,FALSE)=0,"None",VLOOKUP(F138,tblManoeuvre[#Data],8,FALSE)),"None")</f>
        <v>None</v>
      </c>
      <c r="I138" s="67"/>
      <c r="L138" s="4"/>
      <c r="M138" s="4">
        <v>3</v>
      </c>
      <c r="N138" s="4"/>
      <c r="O138" s="61">
        <f t="shared" ref="O138:O157" si="25">N138</f>
        <v>0</v>
      </c>
      <c r="P138" s="60">
        <f t="shared" ref="P138:P157" si="26">MIN(SUM(L138,M138,O138),R138)</f>
        <v>3</v>
      </c>
      <c r="Q138" s="61">
        <f>_xlfn.IFNA(VLOOKUP($F138,tblInfluence[],3,FALSE),"")</f>
        <v>1</v>
      </c>
      <c r="R138" s="61">
        <f>_xlfn.IFNA(VLOOKUP($F138,tblInfluence[],4,FALSE),"")</f>
        <v>5</v>
      </c>
      <c r="Y138" s="15" t="s">
        <v>180</v>
      </c>
      <c r="Z138" s="19"/>
      <c r="AA138" s="61" t="str">
        <f t="shared" si="23"/>
        <v/>
      </c>
      <c r="AC138" s="60"/>
      <c r="AD138" s="20"/>
      <c r="AE138" s="20" t="str">
        <f t="shared" si="24"/>
        <v/>
      </c>
      <c r="AF138" s="61" t="str" cm="1">
        <f t="array" ref="AF138">IF(AC138="","",SUMPRODUCT(($F$138:$F$157=AC138)*($G$138:$G$157=IF(AD138="","",AD138))*$P$138:$P$157))</f>
        <v/>
      </c>
    </row>
    <row r="139" spans="1:32">
      <c r="A139" s="1" t="s">
        <v>138</v>
      </c>
      <c r="B139" t="str">
        <f t="shared" si="21"/>
        <v>¬</v>
      </c>
      <c r="D139" s="19"/>
      <c r="E139" s="15" t="s">
        <v>177</v>
      </c>
      <c r="F139" s="3" t="s">
        <v>413</v>
      </c>
      <c r="G139" s="3" t="s">
        <v>578</v>
      </c>
      <c r="H139" s="67" t="str">
        <f>IFERROR(IF(VLOOKUP(F139,tblManoeuvre[#Data],8,FALSE)=0,"None",VLOOKUP(F139,tblManoeuvre[#Data],8,FALSE)),"None")</f>
        <v>None</v>
      </c>
      <c r="I139" s="67"/>
      <c r="L139" s="4"/>
      <c r="M139" s="4"/>
      <c r="N139" s="4">
        <v>5</v>
      </c>
      <c r="O139" s="61">
        <f t="shared" si="25"/>
        <v>5</v>
      </c>
      <c r="P139" s="60">
        <f t="shared" si="26"/>
        <v>5</v>
      </c>
      <c r="Q139" s="61">
        <f>_xlfn.IFNA(VLOOKUP($F139,tblInfluence[],3,FALSE),"")</f>
        <v>1</v>
      </c>
      <c r="R139" s="61">
        <f>_xlfn.IFNA(VLOOKUP($F139,tblInfluence[],4,FALSE),"")</f>
        <v>5</v>
      </c>
      <c r="Y139" s="15" t="s">
        <v>181</v>
      </c>
      <c r="Z139" s="19"/>
      <c r="AA139" s="61" t="str">
        <f t="shared" si="23"/>
        <v/>
      </c>
      <c r="AC139" s="60"/>
      <c r="AD139" s="20"/>
      <c r="AE139" s="20" t="str">
        <f t="shared" si="24"/>
        <v/>
      </c>
      <c r="AF139" s="61" t="str" cm="1">
        <f t="array" ref="AF139">IF(AC139="","",SUMPRODUCT(($F$138:$F$157=AC139)*($G$138:$G$157=IF(AD139="","",AD139))*$P$138:$P$157))</f>
        <v/>
      </c>
    </row>
    <row r="140" spans="1:32">
      <c r="A140" s="1" t="s">
        <v>139</v>
      </c>
      <c r="B140" t="str">
        <f t="shared" si="21"/>
        <v>¬</v>
      </c>
      <c r="D140" s="19"/>
      <c r="E140" s="15" t="s">
        <v>178</v>
      </c>
      <c r="F140" s="3" t="s">
        <v>525</v>
      </c>
      <c r="G140" s="3"/>
      <c r="H140" s="67" t="str">
        <f>IFERROR(IF(VLOOKUP(F140,tblManoeuvre[#Data],8,FALSE)=0,"None",VLOOKUP(F140,tblManoeuvre[#Data],8,FALSE)),"None")</f>
        <v>None</v>
      </c>
      <c r="I140" s="67"/>
      <c r="L140" s="4"/>
      <c r="M140" s="4"/>
      <c r="N140" s="4">
        <v>3</v>
      </c>
      <c r="O140" s="61">
        <f t="shared" si="25"/>
        <v>3</v>
      </c>
      <c r="P140" s="60">
        <f t="shared" si="26"/>
        <v>3</v>
      </c>
      <c r="Q140" s="61">
        <f>_xlfn.IFNA(VLOOKUP($F140,tblInfluence[],3,FALSE),"")</f>
        <v>1</v>
      </c>
      <c r="R140" s="61">
        <f>_xlfn.IFNA(VLOOKUP($F140,tblInfluence[],4,FALSE),"")</f>
        <v>5</v>
      </c>
      <c r="Y140" s="15" t="s">
        <v>182</v>
      </c>
      <c r="Z140" s="19"/>
      <c r="AA140" s="61" t="str">
        <f t="shared" si="23"/>
        <v/>
      </c>
      <c r="AC140" s="60"/>
      <c r="AD140" s="20"/>
      <c r="AE140" s="20" t="str">
        <f t="shared" si="24"/>
        <v/>
      </c>
      <c r="AF140" s="61" t="str" cm="1">
        <f t="array" ref="AF140">IF(AC140="","",SUMPRODUCT(($F$138:$F$157=AC140)*($G$138:$G$157=IF(AD140="","",AD140))*$P$138:$P$157))</f>
        <v/>
      </c>
    </row>
    <row r="141" spans="1:32">
      <c r="A141" s="1" t="s">
        <v>140</v>
      </c>
      <c r="B141" t="str">
        <f t="shared" si="21"/>
        <v>¬</v>
      </c>
      <c r="D141" s="19"/>
      <c r="E141" s="15" t="s">
        <v>179</v>
      </c>
      <c r="F141" s="3"/>
      <c r="G141" s="3" t="str">
        <f>IFERROR(VLOOKUP(F141,tblManoeuvre[#Data],2,FALSE)&amp;" "&amp;VLOOKUP(F141,tblManoeuvre[#Data],3,FALSE),"")</f>
        <v/>
      </c>
      <c r="H141" s="67" t="str">
        <f>IFERROR(IF(VLOOKUP(F141,tblManoeuvre[#Data],8,FALSE)=0,"None",VLOOKUP(F141,tblManoeuvre[#Data],8,FALSE)),"None")</f>
        <v>None</v>
      </c>
      <c r="I141" s="67"/>
      <c r="L141" s="4"/>
      <c r="M141" s="4"/>
      <c r="N141" s="4"/>
      <c r="O141" s="61">
        <f t="shared" si="25"/>
        <v>0</v>
      </c>
      <c r="P141" s="60">
        <f t="shared" si="26"/>
        <v>0</v>
      </c>
      <c r="Q141" s="61" t="str">
        <f>_xlfn.IFNA(VLOOKUP($F141,tblInfluence[],3,FALSE),"")</f>
        <v/>
      </c>
      <c r="R141" s="61" t="str">
        <f>_xlfn.IFNA(VLOOKUP($F141,tblInfluence[],4,FALSE),"")</f>
        <v/>
      </c>
      <c r="Y141" s="15" t="s">
        <v>183</v>
      </c>
      <c r="Z141" s="19"/>
      <c r="AA141" s="61" t="str">
        <f t="shared" si="23"/>
        <v/>
      </c>
      <c r="AC141" s="60"/>
      <c r="AD141" s="20"/>
      <c r="AE141" s="20" t="str">
        <f t="shared" si="24"/>
        <v/>
      </c>
      <c r="AF141" s="61" t="str" cm="1">
        <f t="array" ref="AF141">IF(AC141="","",SUMPRODUCT(($F$138:$F$157=AC141)*($G$138:$G$157=IF(AD141="","",AD141))*$P$138:$P$157))</f>
        <v/>
      </c>
    </row>
    <row r="142" spans="1:32">
      <c r="A142" s="1" t="s">
        <v>141</v>
      </c>
      <c r="B142" t="str">
        <f t="shared" si="21"/>
        <v>¬</v>
      </c>
      <c r="D142" s="19"/>
      <c r="E142" s="15" t="s">
        <v>180</v>
      </c>
      <c r="F142" s="3"/>
      <c r="G142" s="3" t="str">
        <f>IFERROR(VLOOKUP(F142,tblManoeuvre[#Data],2,FALSE)&amp;" "&amp;VLOOKUP(F142,tblManoeuvre[#Data],3,FALSE),"")</f>
        <v/>
      </c>
      <c r="H142" s="67" t="str">
        <f>IFERROR(IF(VLOOKUP(F142,tblManoeuvre[#Data],8,FALSE)=0,"None",VLOOKUP(F142,tblManoeuvre[#Data],8,FALSE)),"None")</f>
        <v>None</v>
      </c>
      <c r="I142" s="67"/>
      <c r="L142" s="4"/>
      <c r="M142" s="4"/>
      <c r="N142" s="4"/>
      <c r="O142" s="61">
        <f t="shared" si="25"/>
        <v>0</v>
      </c>
      <c r="P142" s="60">
        <f t="shared" si="26"/>
        <v>0</v>
      </c>
      <c r="Q142" s="61" t="str">
        <f>_xlfn.IFNA(VLOOKUP($F142,tblInfluence[],3,FALSE),"")</f>
        <v/>
      </c>
      <c r="R142" s="61" t="str">
        <f>_xlfn.IFNA(VLOOKUP($F142,tblInfluence[],4,FALSE),"")</f>
        <v/>
      </c>
      <c r="Y142" s="15" t="s">
        <v>184</v>
      </c>
      <c r="Z142" s="19"/>
      <c r="AA142" s="61" t="str">
        <f t="shared" si="23"/>
        <v/>
      </c>
      <c r="AC142" s="60"/>
      <c r="AD142" s="20"/>
      <c r="AE142" s="20" t="str">
        <f t="shared" si="24"/>
        <v/>
      </c>
      <c r="AF142" s="61" t="str" cm="1">
        <f t="array" ref="AF142">IF(AC142="","",SUMPRODUCT(($F$138:$F$157=AC142)*($G$138:$G$157=IF(AD142="","",AD142))*$P$138:$P$157))</f>
        <v/>
      </c>
    </row>
    <row r="143" spans="1:32">
      <c r="A143" s="1" t="s">
        <v>142</v>
      </c>
      <c r="B143" t="str">
        <f t="shared" si="21"/>
        <v>¬</v>
      </c>
      <c r="D143" s="19"/>
      <c r="E143" s="15" t="s">
        <v>181</v>
      </c>
      <c r="F143" s="3"/>
      <c r="G143" s="3" t="str">
        <f>IFERROR(VLOOKUP(F143,tblManoeuvre[#Data],2,FALSE)&amp;" "&amp;VLOOKUP(F143,tblManoeuvre[#Data],3,FALSE),"")</f>
        <v/>
      </c>
      <c r="H143" s="67" t="str">
        <f>IFERROR(IF(VLOOKUP(F143,tblManoeuvre[#Data],8,FALSE)=0,"None",VLOOKUP(F143,tblManoeuvre[#Data],8,FALSE)),"None")</f>
        <v>None</v>
      </c>
      <c r="I143" s="67"/>
      <c r="L143" s="4"/>
      <c r="M143" s="4"/>
      <c r="N143" s="4"/>
      <c r="O143" s="61">
        <f t="shared" si="25"/>
        <v>0</v>
      </c>
      <c r="P143" s="60">
        <f t="shared" si="26"/>
        <v>0</v>
      </c>
      <c r="Q143" s="61" t="str">
        <f>_xlfn.IFNA(VLOOKUP($F143,tblInfluence[],3,FALSE),"")</f>
        <v/>
      </c>
      <c r="R143" s="61" t="str">
        <f>_xlfn.IFNA(VLOOKUP($F143,tblInfluence[],4,FALSE),"")</f>
        <v/>
      </c>
      <c r="Y143" s="15" t="s">
        <v>185</v>
      </c>
      <c r="Z143" s="19"/>
      <c r="AA143" s="61" t="str">
        <f t="shared" si="23"/>
        <v/>
      </c>
      <c r="AC143" s="60"/>
      <c r="AD143" s="20"/>
      <c r="AE143" s="20" t="str">
        <f t="shared" si="24"/>
        <v/>
      </c>
      <c r="AF143" s="61" t="str" cm="1">
        <f t="array" ref="AF143">IF(AC143="","",SUMPRODUCT(($F$138:$F$157=AC143)*($G$138:$G$157=IF(AD143="","",AD143))*$P$138:$P$157))</f>
        <v/>
      </c>
    </row>
    <row r="144" spans="1:32">
      <c r="A144" s="1" t="s">
        <v>143</v>
      </c>
      <c r="B144" t="str">
        <f t="shared" si="21"/>
        <v>¬</v>
      </c>
      <c r="D144" s="19"/>
      <c r="E144" s="15" t="s">
        <v>182</v>
      </c>
      <c r="F144" s="3"/>
      <c r="G144" s="3" t="str">
        <f>IFERROR(VLOOKUP(F144,tblManoeuvre[#Data],2,FALSE)&amp;" "&amp;VLOOKUP(F144,tblManoeuvre[#Data],3,FALSE),"")</f>
        <v/>
      </c>
      <c r="H144" s="67" t="str">
        <f>IFERROR(IF(VLOOKUP(F144,tblManoeuvre[#Data],8,FALSE)=0,"None",VLOOKUP(F144,tblManoeuvre[#Data],8,FALSE)),"None")</f>
        <v>None</v>
      </c>
      <c r="I144" s="67"/>
      <c r="L144" s="4"/>
      <c r="M144" s="4"/>
      <c r="N144" s="4"/>
      <c r="O144" s="61">
        <f t="shared" si="25"/>
        <v>0</v>
      </c>
      <c r="P144" s="60">
        <f t="shared" si="26"/>
        <v>0</v>
      </c>
      <c r="Q144" s="61" t="str">
        <f>_xlfn.IFNA(VLOOKUP($F144,tblInfluence[],3,FALSE),"")</f>
        <v/>
      </c>
      <c r="R144" s="61" t="str">
        <f>_xlfn.IFNA(VLOOKUP($F144,tblInfluence[],4,FALSE),"")</f>
        <v/>
      </c>
      <c r="Y144" s="15" t="s">
        <v>186</v>
      </c>
      <c r="Z144" s="19"/>
      <c r="AA144" s="61" t="str">
        <f t="shared" si="23"/>
        <v/>
      </c>
      <c r="AC144" s="60"/>
      <c r="AD144" s="20"/>
      <c r="AE144" s="20" t="str">
        <f t="shared" si="24"/>
        <v/>
      </c>
      <c r="AF144" s="61" t="str" cm="1">
        <f t="array" ref="AF144">IF(AC144="","",SUMPRODUCT(($F$138:$F$157=AC144)*($G$138:$G$157=IF(AD144="","",AD144))*$P$138:$P$157))</f>
        <v/>
      </c>
    </row>
    <row r="145" spans="1:32">
      <c r="A145" s="1" t="s">
        <v>144</v>
      </c>
      <c r="B145" t="str">
        <f t="shared" ref="B145:B174" si="27">IF(AF2="","¬",AF2)</f>
        <v>Add Blood Potency to sensory rolls. Exceptional success can inflict Obsession.</v>
      </c>
      <c r="D145" s="19"/>
      <c r="E145" s="15" t="s">
        <v>183</v>
      </c>
      <c r="F145" s="3"/>
      <c r="G145" s="3" t="str">
        <f>IFERROR(VLOOKUP(F145,tblManoeuvre[#Data],2,FALSE)&amp;" "&amp;VLOOKUP(F145,tblManoeuvre[#Data],3,FALSE),"")</f>
        <v/>
      </c>
      <c r="H145" s="67" t="str">
        <f>IFERROR(IF(VLOOKUP(F145,tblManoeuvre[#Data],8,FALSE)=0,"None",VLOOKUP(F145,tblManoeuvre[#Data],8,FALSE)),"None")</f>
        <v>None</v>
      </c>
      <c r="I145" s="67"/>
      <c r="L145" s="4"/>
      <c r="M145" s="4"/>
      <c r="N145" s="4"/>
      <c r="O145" s="61">
        <f t="shared" si="25"/>
        <v>0</v>
      </c>
      <c r="P145" s="60">
        <f t="shared" si="26"/>
        <v>0</v>
      </c>
      <c r="Q145" s="61" t="str">
        <f>_xlfn.IFNA(VLOOKUP($F145,tblInfluence[],3,FALSE),"")</f>
        <v/>
      </c>
      <c r="R145" s="61" t="str">
        <f>_xlfn.IFNA(VLOOKUP($F145,tblInfluence[],4,FALSE),"")</f>
        <v/>
      </c>
      <c r="Y145" s="15" t="s">
        <v>187</v>
      </c>
      <c r="Z145" s="19"/>
      <c r="AA145" s="61" t="str">
        <f t="shared" si="23"/>
        <v/>
      </c>
      <c r="AC145" s="60"/>
      <c r="AD145" s="20"/>
      <c r="AE145" s="20" t="str">
        <f t="shared" si="24"/>
        <v/>
      </c>
      <c r="AF145" s="61" t="str" cm="1">
        <f t="array" ref="AF145">IF(AC145="","",SUMPRODUCT(($F$138:$F$157=AC145)*($G$138:$G$157=IF(AD145="","",AD145))*$P$138:$P$157))</f>
        <v/>
      </c>
    </row>
    <row r="146" spans="1:32">
      <c r="A146" s="1" t="s">
        <v>145</v>
      </c>
      <c r="B146" t="str">
        <f t="shared" si="27"/>
        <v>No rolls for recall. +2 to recall minute facts.</v>
      </c>
      <c r="D146" s="19"/>
      <c r="E146" s="15" t="s">
        <v>184</v>
      </c>
      <c r="F146" s="3"/>
      <c r="G146" s="3" t="str">
        <f>IFERROR(VLOOKUP(F146,tblManoeuvre[#Data],2,FALSE)&amp;" "&amp;VLOOKUP(F146,tblManoeuvre[#Data],3,FALSE),"")</f>
        <v/>
      </c>
      <c r="H146" s="67" t="str">
        <f>IFERROR(IF(VLOOKUP(F146,tblManoeuvre[#Data],8,FALSE)=0,"None",VLOOKUP(F146,tblManoeuvre[#Data],8,FALSE)),"None")</f>
        <v>None</v>
      </c>
      <c r="I146" s="67"/>
      <c r="L146" s="4"/>
      <c r="M146" s="4"/>
      <c r="N146" s="4"/>
      <c r="O146" s="61">
        <f t="shared" si="25"/>
        <v>0</v>
      </c>
      <c r="P146" s="60">
        <f t="shared" si="26"/>
        <v>0</v>
      </c>
      <c r="Q146" s="61" t="str">
        <f>_xlfn.IFNA(VLOOKUP($F146,tblInfluence[],3,FALSE),"")</f>
        <v/>
      </c>
      <c r="R146" s="61" t="str">
        <f>_xlfn.IFNA(VLOOKUP($F146,tblInfluence[],4,FALSE),"")</f>
        <v/>
      </c>
      <c r="Y146" s="15" t="s">
        <v>188</v>
      </c>
      <c r="Z146" s="19"/>
      <c r="AA146" s="61" t="str">
        <f t="shared" si="23"/>
        <v/>
      </c>
      <c r="AC146" s="60"/>
      <c r="AD146" s="20"/>
      <c r="AE146" s="20" t="str">
        <f t="shared" si="24"/>
        <v/>
      </c>
      <c r="AF146" s="61" t="str" cm="1">
        <f t="array" ref="AF146">IF(AC146="","",SUMPRODUCT(($F$138:$F$157=AC146)*($G$138:$G$157=IF(AD146="","",AD146))*$P$138:$P$157))</f>
        <v/>
      </c>
    </row>
    <row r="147" spans="1:32">
      <c r="A147" s="1" t="s">
        <v>146</v>
      </c>
      <c r="B147" t="str">
        <f t="shared" si="27"/>
        <v>Enough esoterica to supply the banes of ephemeral entities with a Rank up to your rating in this Merit.</v>
      </c>
      <c r="D147" s="19"/>
      <c r="E147" s="15" t="s">
        <v>185</v>
      </c>
      <c r="F147" s="3"/>
      <c r="G147" s="3" t="str">
        <f>IFERROR(VLOOKUP(F147,tblManoeuvre[#Data],2,FALSE)&amp;" "&amp;VLOOKUP(F147,tblManoeuvre[#Data],3,FALSE),"")</f>
        <v/>
      </c>
      <c r="H147" s="67" t="str">
        <f>IFERROR(IF(VLOOKUP(F147,tblManoeuvre[#Data],8,FALSE)=0,"None",VLOOKUP(F147,tblManoeuvre[#Data],8,FALSE)),"None")</f>
        <v>None</v>
      </c>
      <c r="I147" s="67"/>
      <c r="L147" s="4"/>
      <c r="M147" s="4"/>
      <c r="N147" s="4"/>
      <c r="O147" s="61">
        <f t="shared" si="25"/>
        <v>0</v>
      </c>
      <c r="P147" s="60">
        <f t="shared" si="26"/>
        <v>0</v>
      </c>
      <c r="Q147" s="61" t="str">
        <f>_xlfn.IFNA(VLOOKUP($F147,tblInfluence[],3,FALSE),"")</f>
        <v/>
      </c>
      <c r="R147" s="61" t="str">
        <f>_xlfn.IFNA(VLOOKUP($F147,tblInfluence[],4,FALSE),"")</f>
        <v/>
      </c>
      <c r="Y147" s="15" t="s">
        <v>189</v>
      </c>
      <c r="Z147" s="19"/>
      <c r="AA147" s="61" t="str">
        <f t="shared" si="23"/>
        <v/>
      </c>
      <c r="AC147" s="60"/>
      <c r="AD147" s="20"/>
      <c r="AE147" s="20" t="str">
        <f t="shared" si="24"/>
        <v/>
      </c>
      <c r="AF147" s="61" t="str" cm="1">
        <f t="array" ref="AF147">IF(AC147="","",SUMPRODUCT(($F$138:$F$157=AC147)*($G$138:$G$157=IF(AD147="","",AD147))*$P$138:$P$157))</f>
        <v/>
      </c>
    </row>
    <row r="148" spans="1:32">
      <c r="A148" s="1" t="s">
        <v>147</v>
      </c>
      <c r="B148" t="str">
        <f t="shared" si="27"/>
        <v>Add dots to extended rolls for a chosen Skill's subject matter.</v>
      </c>
      <c r="D148" s="19"/>
      <c r="E148" s="15" t="s">
        <v>186</v>
      </c>
      <c r="F148" s="3"/>
      <c r="G148" s="3" t="str">
        <f>IFERROR(VLOOKUP(F148,tblManoeuvre[#Data],2,FALSE)&amp;" "&amp;VLOOKUP(F148,tblManoeuvre[#Data],3,FALSE),"")</f>
        <v/>
      </c>
      <c r="H148" s="67" t="str">
        <f>IFERROR(IF(VLOOKUP(F148,tblManoeuvre[#Data],8,FALSE)=0,"None",VLOOKUP(F148,tblManoeuvre[#Data],8,FALSE)),"None")</f>
        <v>None</v>
      </c>
      <c r="I148" s="67"/>
      <c r="L148" s="4"/>
      <c r="M148" s="4"/>
      <c r="N148" s="4"/>
      <c r="O148" s="61">
        <f t="shared" si="25"/>
        <v>0</v>
      </c>
      <c r="P148" s="60">
        <f t="shared" si="26"/>
        <v>0</v>
      </c>
      <c r="Q148" s="61" t="str">
        <f>_xlfn.IFNA(VLOOKUP($F148,tblInfluence[],3,FALSE),"")</f>
        <v/>
      </c>
      <c r="R148" s="61" t="str">
        <f>_xlfn.IFNA(VLOOKUP($F148,tblInfluence[],4,FALSE),"")</f>
        <v/>
      </c>
      <c r="Y148" s="15" t="s">
        <v>190</v>
      </c>
      <c r="Z148" s="19"/>
      <c r="AA148" s="61" t="str">
        <f t="shared" si="23"/>
        <v/>
      </c>
      <c r="AC148" s="60"/>
      <c r="AD148" s="20"/>
      <c r="AE148" s="20" t="str">
        <f t="shared" si="24"/>
        <v/>
      </c>
      <c r="AF148" s="61" t="str" cm="1">
        <f t="array" ref="AF148">IF(AC148="","",SUMPRODUCT(($F$138:$F$157=AC148)*($G$138:$G$157=IF(AD148="","",AD148))*$P$138:$P$157))</f>
        <v/>
      </c>
    </row>
    <row r="149" spans="1:32">
      <c r="A149" s="1" t="s">
        <v>148</v>
      </c>
      <c r="B149" t="str">
        <f t="shared" si="27"/>
        <v>Add dots to extended rolls for a chosen Skill's subject matter.</v>
      </c>
      <c r="D149" s="19"/>
      <c r="E149" s="15" t="s">
        <v>187</v>
      </c>
      <c r="F149" s="3"/>
      <c r="G149" s="3" t="str">
        <f>IFERROR(VLOOKUP(F149,tblManoeuvre[#Data],2,FALSE)&amp;" "&amp;VLOOKUP(F149,tblManoeuvre[#Data],3,FALSE),"")</f>
        <v/>
      </c>
      <c r="H149" s="67" t="str">
        <f>IFERROR(IF(VLOOKUP(F149,tblManoeuvre[#Data],8,FALSE)=0,"None",VLOOKUP(F149,tblManoeuvre[#Data],8,FALSE)),"None")</f>
        <v>None</v>
      </c>
      <c r="I149" s="67"/>
      <c r="L149" s="4"/>
      <c r="M149" s="4"/>
      <c r="N149" s="4"/>
      <c r="O149" s="61">
        <f t="shared" si="25"/>
        <v>0</v>
      </c>
      <c r="P149" s="60">
        <f t="shared" si="26"/>
        <v>0</v>
      </c>
      <c r="Q149" s="61" t="str">
        <f>_xlfn.IFNA(VLOOKUP($F149,tblInfluence[],3,FALSE),"")</f>
        <v/>
      </c>
      <c r="R149" s="61" t="str">
        <f>_xlfn.IFNA(VLOOKUP($F149,tblInfluence[],4,FALSE),"")</f>
        <v/>
      </c>
      <c r="Y149" s="15" t="s">
        <v>191</v>
      </c>
      <c r="Z149" s="19"/>
      <c r="AA149" s="61" t="str">
        <f t="shared" si="23"/>
        <v/>
      </c>
      <c r="AC149" s="60"/>
      <c r="AD149" s="20"/>
      <c r="AE149" s="20" t="str">
        <f t="shared" si="24"/>
        <v/>
      </c>
      <c r="AF149" s="61" t="str" cm="1">
        <f t="array" ref="AF149">IF(AC149="","",SUMPRODUCT(($F$138:$F$157=AC149)*($G$138:$G$157=IF(AD149="","",AD149))*$P$138:$P$157))</f>
        <v/>
      </c>
    </row>
    <row r="150" spans="1:32">
      <c r="A150" s="1" t="s">
        <v>149</v>
      </c>
      <c r="B150" t="str">
        <f t="shared" si="27"/>
        <v>Distribute Library dots among bonus Retainer and Herd.</v>
      </c>
      <c r="D150" s="19"/>
      <c r="E150" s="15" t="s">
        <v>188</v>
      </c>
      <c r="F150" s="3"/>
      <c r="G150" s="3" t="str">
        <f>IFERROR(VLOOKUP(F150,tblManoeuvre[#Data],2,FALSE)&amp;" "&amp;VLOOKUP(F150,tblManoeuvre[#Data],3,FALSE),"")</f>
        <v/>
      </c>
      <c r="H150" s="67" t="str">
        <f>IFERROR(IF(VLOOKUP(F150,tblManoeuvre[#Data],8,FALSE)=0,"None",VLOOKUP(F150,tblManoeuvre[#Data],8,FALSE)),"None")</f>
        <v>None</v>
      </c>
      <c r="I150" s="67"/>
      <c r="L150" s="4"/>
      <c r="M150" s="4"/>
      <c r="N150" s="4"/>
      <c r="O150" s="61">
        <f t="shared" si="25"/>
        <v>0</v>
      </c>
      <c r="P150" s="60">
        <f t="shared" si="26"/>
        <v>0</v>
      </c>
      <c r="Q150" s="61" t="str">
        <f>_xlfn.IFNA(VLOOKUP($F150,tblInfluence[],3,FALSE),"")</f>
        <v/>
      </c>
      <c r="R150" s="61" t="str">
        <f>_xlfn.IFNA(VLOOKUP($F150,tblInfluence[],4,FALSE),"")</f>
        <v/>
      </c>
      <c r="Y150" s="15" t="s">
        <v>192</v>
      </c>
      <c r="Z150" s="19"/>
      <c r="AA150" s="61" t="str">
        <f t="shared" si="23"/>
        <v/>
      </c>
      <c r="AC150" s="60"/>
      <c r="AD150" s="20"/>
      <c r="AE150" s="20" t="str">
        <f t="shared" si="24"/>
        <v/>
      </c>
      <c r="AF150" s="61" t="str" cm="1">
        <f t="array" ref="AF150">IF(AC150="","",SUMPRODUCT(($F$138:$F$157=AC150)*($G$138:$G$157=IF(AD150="","",AD150))*$P$138:$P$157))</f>
        <v/>
      </c>
    </row>
    <row r="151" spans="1:32">
      <c r="A151" s="1" t="s">
        <v>150</v>
      </c>
      <c r="B151" t="str">
        <f t="shared" si="27"/>
        <v>¬</v>
      </c>
      <c r="D151" s="19"/>
      <c r="E151" s="15" t="s">
        <v>189</v>
      </c>
      <c r="F151" s="3"/>
      <c r="G151" s="3" t="str">
        <f>IFERROR(VLOOKUP(F151,tblManoeuvre[#Data],2,FALSE)&amp;" "&amp;VLOOKUP(F151,tblManoeuvre[#Data],3,FALSE),"")</f>
        <v/>
      </c>
      <c r="H151" s="67" t="str">
        <f>IFERROR(IF(VLOOKUP(F151,tblManoeuvre[#Data],8,FALSE)=0,"None",VLOOKUP(F151,tblManoeuvre[#Data],8,FALSE)),"None")</f>
        <v>None</v>
      </c>
      <c r="I151" s="67"/>
      <c r="L151" s="4"/>
      <c r="M151" s="4"/>
      <c r="N151" s="4"/>
      <c r="O151" s="61">
        <f t="shared" si="25"/>
        <v>0</v>
      </c>
      <c r="P151" s="60">
        <f t="shared" si="26"/>
        <v>0</v>
      </c>
      <c r="Q151" s="61" t="str">
        <f>_xlfn.IFNA(VLOOKUP($F151,tblInfluence[],3,FALSE),"")</f>
        <v/>
      </c>
      <c r="R151" s="61" t="str">
        <f>_xlfn.IFNA(VLOOKUP($F151,tblInfluence[],4,FALSE),"")</f>
        <v/>
      </c>
      <c r="Y151" s="15" t="s">
        <v>193</v>
      </c>
      <c r="Z151" s="19"/>
      <c r="AA151" s="61" t="str">
        <f t="shared" si="23"/>
        <v/>
      </c>
      <c r="AC151" s="60"/>
      <c r="AD151" s="20"/>
      <c r="AE151" s="20" t="str">
        <f t="shared" si="24"/>
        <v/>
      </c>
      <c r="AF151" s="61" t="str" cm="1">
        <f t="array" ref="AF151">IF(AC151="","",SUMPRODUCT(($F$138:$F$157=AC151)*($G$138:$G$157=IF(AD151="","",AD151))*$P$138:$P$157))</f>
        <v/>
      </c>
    </row>
    <row r="152" spans="1:32">
      <c r="A152" s="1" t="s">
        <v>151</v>
      </c>
      <c r="B152" t="str">
        <f t="shared" si="27"/>
        <v>¬</v>
      </c>
      <c r="D152" s="19"/>
      <c r="E152" s="15" t="s">
        <v>190</v>
      </c>
      <c r="F152" s="3"/>
      <c r="G152" s="3" t="str">
        <f>IFERROR(VLOOKUP(F152,tblManoeuvre[#Data],2,FALSE)&amp;" "&amp;VLOOKUP(F152,tblManoeuvre[#Data],3,FALSE),"")</f>
        <v/>
      </c>
      <c r="H152" s="67" t="str">
        <f>IFERROR(IF(VLOOKUP(F152,tblManoeuvre[#Data],8,FALSE)=0,"None",VLOOKUP(F152,tblManoeuvre[#Data],8,FALSE)),"None")</f>
        <v>None</v>
      </c>
      <c r="I152" s="67"/>
      <c r="L152" s="4"/>
      <c r="M152" s="4"/>
      <c r="N152" s="4"/>
      <c r="O152" s="61">
        <f t="shared" si="25"/>
        <v>0</v>
      </c>
      <c r="P152" s="60">
        <f t="shared" si="26"/>
        <v>0</v>
      </c>
      <c r="Q152" s="61" t="str">
        <f>_xlfn.IFNA(VLOOKUP($F152,tblInfluence[],3,FALSE),"")</f>
        <v/>
      </c>
      <c r="R152" s="61" t="str">
        <f>_xlfn.IFNA(VLOOKUP($F152,tblInfluence[],4,FALSE),"")</f>
        <v/>
      </c>
      <c r="Y152" s="15" t="s">
        <v>194</v>
      </c>
      <c r="Z152" s="19"/>
      <c r="AA152" s="61" t="str">
        <f t="shared" si="23"/>
        <v/>
      </c>
      <c r="AC152" s="60"/>
      <c r="AD152" s="20"/>
      <c r="AE152" s="20" t="str">
        <f t="shared" si="24"/>
        <v/>
      </c>
      <c r="AF152" s="61" t="str" cm="1">
        <f t="array" ref="AF152">IF(AC152="","",SUMPRODUCT(($F$138:$F$157=AC152)*($G$138:$G$157=IF(AD152="","",AD152))*$P$138:$P$157))</f>
        <v/>
      </c>
    </row>
    <row r="153" spans="1:32">
      <c r="A153" s="1" t="s">
        <v>152</v>
      </c>
      <c r="B153" t="str">
        <f t="shared" si="27"/>
        <v>¬</v>
      </c>
      <c r="D153" s="19"/>
      <c r="E153" s="15" t="s">
        <v>191</v>
      </c>
      <c r="F153" s="3"/>
      <c r="G153" s="3" t="str">
        <f>IFERROR(VLOOKUP(F153,tblManoeuvre[#Data],2,FALSE)&amp;" "&amp;VLOOKUP(F153,tblManoeuvre[#Data],3,FALSE),"")</f>
        <v/>
      </c>
      <c r="H153" s="67" t="str">
        <f>IFERROR(IF(VLOOKUP(F153,tblManoeuvre[#Data],8,FALSE)=0,"None",VLOOKUP(F153,tblManoeuvre[#Data],8,FALSE)),"None")</f>
        <v>None</v>
      </c>
      <c r="I153" s="67"/>
      <c r="L153" s="4"/>
      <c r="M153" s="4"/>
      <c r="N153" s="4"/>
      <c r="O153" s="61">
        <f t="shared" si="25"/>
        <v>0</v>
      </c>
      <c r="P153" s="60">
        <f t="shared" si="26"/>
        <v>0</v>
      </c>
      <c r="Q153" s="61" t="str">
        <f>_xlfn.IFNA(VLOOKUP($F153,tblInfluence[],3,FALSE),"")</f>
        <v/>
      </c>
      <c r="R153" s="61" t="str">
        <f>_xlfn.IFNA(VLOOKUP($F153,tblInfluence[],4,FALSE),"")</f>
        <v/>
      </c>
      <c r="Y153" s="15" t="s">
        <v>195</v>
      </c>
      <c r="Z153" s="19"/>
      <c r="AA153" s="61" t="str">
        <f t="shared" si="23"/>
        <v/>
      </c>
      <c r="AC153" s="60"/>
      <c r="AD153" s="20"/>
      <c r="AE153" s="20" t="str">
        <f t="shared" si="24"/>
        <v/>
      </c>
      <c r="AF153" s="61" t="str" cm="1">
        <f t="array" ref="AF153">IF(AC153="","",SUMPRODUCT(($F$138:$F$157=AC153)*($G$138:$G$157=IF(AD153="","",AD153))*$P$138:$P$157))</f>
        <v/>
      </c>
    </row>
    <row r="154" spans="1:32">
      <c r="A154" s="1" t="s">
        <v>153</v>
      </c>
      <c r="B154" t="str">
        <f t="shared" si="27"/>
        <v>¬</v>
      </c>
      <c r="D154" s="19"/>
      <c r="E154" s="15" t="s">
        <v>192</v>
      </c>
      <c r="F154" s="3"/>
      <c r="G154" s="3" t="str">
        <f>IFERROR(VLOOKUP(F154,tblManoeuvre[#Data],2,FALSE)&amp;" "&amp;VLOOKUP(F154,tblManoeuvre[#Data],3,FALSE),"")</f>
        <v/>
      </c>
      <c r="H154" s="67" t="str">
        <f>IFERROR(IF(VLOOKUP(F154,tblManoeuvre[#Data],8,FALSE)=0,"None",VLOOKUP(F154,tblManoeuvre[#Data],8,FALSE)),"None")</f>
        <v>None</v>
      </c>
      <c r="I154" s="67"/>
      <c r="L154" s="4"/>
      <c r="M154" s="4"/>
      <c r="N154" s="4"/>
      <c r="O154" s="61">
        <f t="shared" si="25"/>
        <v>0</v>
      </c>
      <c r="P154" s="60">
        <f t="shared" si="26"/>
        <v>0</v>
      </c>
      <c r="Q154" s="61" t="str">
        <f>_xlfn.IFNA(VLOOKUP($F154,tblInfluence[],3,FALSE),"")</f>
        <v/>
      </c>
      <c r="R154" s="61" t="str">
        <f>_xlfn.IFNA(VLOOKUP($F154,tblInfluence[],4,FALSE),"")</f>
        <v/>
      </c>
    </row>
    <row r="155" spans="1:32">
      <c r="A155" s="1" t="s">
        <v>154</v>
      </c>
      <c r="B155" t="str">
        <f t="shared" si="27"/>
        <v>¬</v>
      </c>
      <c r="D155" s="19"/>
      <c r="E155" s="15" t="s">
        <v>193</v>
      </c>
      <c r="F155" s="3"/>
      <c r="G155" s="3" t="str">
        <f>IFERROR(VLOOKUP(F155,tblManoeuvre[#Data],2,FALSE)&amp;" "&amp;VLOOKUP(F155,tblManoeuvre[#Data],3,FALSE),"")</f>
        <v/>
      </c>
      <c r="H155" s="67" t="str">
        <f>IFERROR(IF(VLOOKUP(F155,tblManoeuvre[#Data],8,FALSE)=0,"None",VLOOKUP(F155,tblManoeuvre[#Data],8,FALSE)),"None")</f>
        <v>None</v>
      </c>
      <c r="I155" s="67"/>
      <c r="L155" s="4"/>
      <c r="M155" s="4"/>
      <c r="N155" s="4"/>
      <c r="O155" s="61">
        <f t="shared" si="25"/>
        <v>0</v>
      </c>
      <c r="P155" s="60">
        <f t="shared" si="26"/>
        <v>0</v>
      </c>
      <c r="Q155" s="61" t="str">
        <f>_xlfn.IFNA(VLOOKUP($F155,tblInfluence[],3,FALSE),"")</f>
        <v/>
      </c>
      <c r="R155" s="61" t="str">
        <f>_xlfn.IFNA(VLOOKUP($F155,tblInfluence[],4,FALSE),"")</f>
        <v/>
      </c>
      <c r="AE155" s="61">
        <f>IF(P160=5,1,0)</f>
        <v>0</v>
      </c>
    </row>
    <row r="156" spans="1:32">
      <c r="A156" s="1" t="s">
        <v>155</v>
      </c>
      <c r="B156" t="str">
        <f t="shared" si="27"/>
        <v>¬</v>
      </c>
      <c r="D156" s="19"/>
      <c r="E156" s="15" t="s">
        <v>194</v>
      </c>
      <c r="F156" s="3"/>
      <c r="G156" s="3" t="str">
        <f>IFERROR(VLOOKUP(F156,tblManoeuvre[#Data],2,FALSE)&amp;" "&amp;VLOOKUP(F156,tblManoeuvre[#Data],3,FALSE),"")</f>
        <v/>
      </c>
      <c r="H156" s="67" t="str">
        <f>IFERROR(IF(VLOOKUP(F156,tblManoeuvre[#Data],8,FALSE)=0,"None",VLOOKUP(F156,tblManoeuvre[#Data],8,FALSE)),"None")</f>
        <v>None</v>
      </c>
      <c r="I156" s="67"/>
      <c r="L156" s="4"/>
      <c r="M156" s="4"/>
      <c r="N156" s="4"/>
      <c r="O156" s="61">
        <f t="shared" si="25"/>
        <v>0</v>
      </c>
      <c r="P156" s="60">
        <f t="shared" si="26"/>
        <v>0</v>
      </c>
      <c r="Q156" s="61" t="str">
        <f>_xlfn.IFNA(VLOOKUP($F156,tblInfluence[],3,FALSE),"")</f>
        <v/>
      </c>
      <c r="R156" s="61" t="str">
        <f>_xlfn.IFNA(VLOOKUP($F156,tblInfluence[],4,FALSE),"")</f>
        <v/>
      </c>
      <c r="AE156" s="61" t="b">
        <f>COUNTIF(AA2:AA21,"*Honey With Vinegar*")&gt;0</f>
        <v>0</v>
      </c>
    </row>
    <row r="157" spans="1:32">
      <c r="A157" s="1" t="s">
        <v>156</v>
      </c>
      <c r="B157" t="str">
        <f t="shared" si="27"/>
        <v>¬</v>
      </c>
      <c r="D157" s="19"/>
      <c r="E157" s="15" t="s">
        <v>195</v>
      </c>
      <c r="F157" s="3"/>
      <c r="G157" s="3" t="str">
        <f>IFERROR(VLOOKUP(F157,tblManoeuvre[#Data],2,FALSE)&amp;" "&amp;VLOOKUP(F157,tblManoeuvre[#Data],3,FALSE),"")</f>
        <v/>
      </c>
      <c r="H157" s="67" t="str">
        <f>IFERROR(IF(VLOOKUP(F157,tblManoeuvre[#Data],8,FALSE)=0,"None",VLOOKUP(F157,tblManoeuvre[#Data],8,FALSE)),"None")</f>
        <v>None</v>
      </c>
      <c r="I157" s="67"/>
      <c r="L157" s="4"/>
      <c r="M157" s="4"/>
      <c r="N157" s="4"/>
      <c r="O157" s="61">
        <f t="shared" si="25"/>
        <v>0</v>
      </c>
      <c r="P157" s="60">
        <f t="shared" si="26"/>
        <v>0</v>
      </c>
      <c r="Q157" s="61" t="str">
        <f>_xlfn.IFNA(VLOOKUP($F157,tblInfluence[],3,FALSE),"")</f>
        <v/>
      </c>
      <c r="R157" s="61" t="str">
        <f>_xlfn.IFNA(VLOOKUP($F157,tblInfluence[],4,FALSE),"")</f>
        <v/>
      </c>
    </row>
    <row r="158" spans="1:32">
      <c r="A158" s="1" t="s">
        <v>157</v>
      </c>
      <c r="B158" t="str">
        <f t="shared" si="27"/>
        <v>¬</v>
      </c>
    </row>
    <row r="159" spans="1:32">
      <c r="A159" s="1" t="s">
        <v>158</v>
      </c>
      <c r="B159" t="str">
        <f t="shared" si="27"/>
        <v>¬</v>
      </c>
      <c r="D159" s="16" t="s">
        <v>1486</v>
      </c>
      <c r="E159" s="17"/>
      <c r="F159" s="17" t="s">
        <v>1487</v>
      </c>
      <c r="G159" s="17"/>
      <c r="H159" s="17"/>
      <c r="I159" s="17"/>
    </row>
    <row r="160" spans="1:32">
      <c r="A160" s="1" t="s">
        <v>159</v>
      </c>
      <c r="B160" t="str">
        <f t="shared" si="27"/>
        <v>¬</v>
      </c>
      <c r="D160" s="19"/>
      <c r="E160" s="15" t="s">
        <v>98</v>
      </c>
      <c r="F160" s="3"/>
      <c r="G160" s="60"/>
      <c r="H160" s="60"/>
      <c r="I160" s="60"/>
      <c r="L160" s="4"/>
      <c r="M160" s="4"/>
      <c r="N160" s="4"/>
      <c r="O160" s="61">
        <f>N160</f>
        <v>0</v>
      </c>
      <c r="P160" s="60">
        <f>MIN(SUM(L160,M160,O160),R160)</f>
        <v>0</v>
      </c>
      <c r="Q160" s="61">
        <v>1</v>
      </c>
      <c r="R160" s="61">
        <v>5</v>
      </c>
    </row>
    <row r="161" spans="1:18">
      <c r="A161" s="1" t="s">
        <v>160</v>
      </c>
      <c r="B161" t="str">
        <f t="shared" si="27"/>
        <v>¬</v>
      </c>
      <c r="D161" s="19"/>
      <c r="E161" s="15" t="s">
        <v>100</v>
      </c>
      <c r="F161" s="3"/>
      <c r="G161" s="60"/>
      <c r="H161" s="60"/>
      <c r="I161" s="60"/>
      <c r="L161" s="4"/>
      <c r="M161" s="4"/>
      <c r="N161" s="4"/>
      <c r="O161" s="61">
        <f>N161</f>
        <v>0</v>
      </c>
      <c r="P161" s="60">
        <f>MIN(SUM(L161,M161,O161),R161)</f>
        <v>0</v>
      </c>
      <c r="Q161" s="61">
        <v>1</v>
      </c>
      <c r="R161" s="61">
        <v>5</v>
      </c>
    </row>
    <row r="162" spans="1:18">
      <c r="A162" s="1" t="s">
        <v>161</v>
      </c>
      <c r="B162" t="str">
        <f t="shared" si="27"/>
        <v>¬</v>
      </c>
    </row>
    <row r="163" spans="1:18" ht="15.75" thickBot="1">
      <c r="A163" s="1" t="s">
        <v>162</v>
      </c>
      <c r="B163" t="str">
        <f t="shared" si="27"/>
        <v>¬</v>
      </c>
      <c r="D163" s="14" t="s">
        <v>1488</v>
      </c>
      <c r="E163" s="14"/>
      <c r="F163" s="14"/>
      <c r="G163" s="14"/>
      <c r="H163" s="14"/>
      <c r="I163" s="14"/>
      <c r="N163" s="60">
        <f>SUM(N165:N174)+SUM(N177:N181)+SUM(N184:N185)+SUM(N187:N191)+SUM(N194:N203)</f>
        <v>11</v>
      </c>
    </row>
    <row r="164" spans="1:18">
      <c r="A164" s="1" t="s">
        <v>163</v>
      </c>
      <c r="B164" t="str">
        <f t="shared" si="27"/>
        <v>¬</v>
      </c>
      <c r="D164" s="16" t="s">
        <v>1489</v>
      </c>
      <c r="E164" s="15" t="s">
        <v>1490</v>
      </c>
      <c r="F164" s="61" t="str">
        <f>IFERROR(IF($F$8="",VLOOKUP($F$7,tblClans[#Data],5,FALSE),VLOOKUP($F$8,tblBloodlines[#Data],5,FALSE)),"")</f>
        <v>Animalism</v>
      </c>
      <c r="G164" s="61" t="str">
        <f>IFERROR(IF($F$8="",VLOOKUP($F$7,tblClans[#Data],6,FALSE),VLOOKUP($F$8,tblBloodlines[#Data],6,FALSE)),"")</f>
        <v>Dominate</v>
      </c>
      <c r="H164" s="61" t="str">
        <f>IFERROR(IF($F$8="",VLOOKUP($F$7,tblClans[#Data],7,FALSE),VLOOKUP($F$8,tblBloodlines[#Data],7,FALSE)),"")</f>
        <v>Nightmare</v>
      </c>
      <c r="I164" s="61" t="str">
        <f>IFERROR(IF($F$8="",VLOOKUP($F$7,tblClans[#Data],8,FALSE),VLOOKUP($F$8,tblBloodlines[#Data],8,FALSE)),"")</f>
        <v>Resilience</v>
      </c>
      <c r="L164" s="60">
        <f>3-SUM(L165:L174)-SUM(L184:L185)</f>
        <v>0</v>
      </c>
    </row>
    <row r="165" spans="1:18">
      <c r="A165" s="1" t="s">
        <v>164</v>
      </c>
      <c r="B165" t="str">
        <f t="shared" si="27"/>
        <v>¬</v>
      </c>
      <c r="D165" s="19"/>
      <c r="E165" s="15" t="s">
        <v>236</v>
      </c>
      <c r="F165" s="19"/>
      <c r="G165" s="19"/>
      <c r="H165" s="19"/>
      <c r="I165" s="19"/>
      <c r="L165" s="4"/>
      <c r="N165" s="4"/>
      <c r="O165" s="61">
        <f t="shared" ref="O165:O174" si="28">ROUNDDOWN(IF(COUNTIF($F$164:$I$164,$E165)&gt;0,N165/3,N165/4),0)</f>
        <v>0</v>
      </c>
      <c r="P165" s="60">
        <f>MIN(SUM(L165,O165),R165)</f>
        <v>0</v>
      </c>
      <c r="Q165" s="61">
        <v>0</v>
      </c>
      <c r="R165" s="61">
        <v>5</v>
      </c>
    </row>
    <row r="166" spans="1:18">
      <c r="A166" s="1" t="s">
        <v>165</v>
      </c>
      <c r="B166" t="str">
        <f t="shared" si="27"/>
        <v>¬</v>
      </c>
      <c r="D166" s="19"/>
      <c r="E166" s="15" t="s">
        <v>237</v>
      </c>
      <c r="F166" s="19"/>
      <c r="G166" s="19"/>
      <c r="H166" s="19"/>
      <c r="I166" s="19"/>
      <c r="L166" s="4"/>
      <c r="N166" s="4"/>
      <c r="O166" s="61">
        <f t="shared" si="28"/>
        <v>0</v>
      </c>
      <c r="P166" s="60">
        <f t="shared" ref="P166:P174" si="29">MIN(SUM(L166,O166),R166)</f>
        <v>0</v>
      </c>
      <c r="Q166" s="61">
        <v>0</v>
      </c>
      <c r="R166" s="61">
        <v>5</v>
      </c>
    </row>
    <row r="167" spans="1:18">
      <c r="A167" s="1" t="s">
        <v>166</v>
      </c>
      <c r="B167" t="str">
        <f t="shared" si="27"/>
        <v>¬</v>
      </c>
      <c r="D167" s="19"/>
      <c r="E167" s="15" t="s">
        <v>238</v>
      </c>
      <c r="F167" s="19"/>
      <c r="G167" s="19"/>
      <c r="H167" s="19"/>
      <c r="I167" s="19"/>
      <c r="L167" s="4"/>
      <c r="N167" s="4"/>
      <c r="O167" s="61">
        <f t="shared" si="28"/>
        <v>0</v>
      </c>
      <c r="P167" s="60">
        <f t="shared" si="29"/>
        <v>0</v>
      </c>
      <c r="Q167" s="61">
        <v>0</v>
      </c>
      <c r="R167" s="61">
        <v>5</v>
      </c>
    </row>
    <row r="168" spans="1:18">
      <c r="A168" s="1" t="s">
        <v>167</v>
      </c>
      <c r="B168" t="str">
        <f t="shared" si="27"/>
        <v>¬</v>
      </c>
      <c r="D168" s="19"/>
      <c r="E168" s="15" t="s">
        <v>239</v>
      </c>
      <c r="F168" s="19"/>
      <c r="G168" s="19"/>
      <c r="H168" s="19"/>
      <c r="I168" s="19"/>
      <c r="L168" s="4"/>
      <c r="N168" s="4"/>
      <c r="O168" s="61">
        <f t="shared" si="28"/>
        <v>0</v>
      </c>
      <c r="P168" s="60">
        <f t="shared" si="29"/>
        <v>0</v>
      </c>
      <c r="Q168" s="61">
        <v>0</v>
      </c>
      <c r="R168" s="61">
        <v>5</v>
      </c>
    </row>
    <row r="169" spans="1:18">
      <c r="A169" s="1" t="s">
        <v>168</v>
      </c>
      <c r="B169" t="str">
        <f t="shared" si="27"/>
        <v>¬</v>
      </c>
      <c r="D169" s="19"/>
      <c r="E169" s="15" t="s">
        <v>240</v>
      </c>
      <c r="F169" s="19"/>
      <c r="G169" s="19"/>
      <c r="H169" s="19"/>
      <c r="I169" s="19"/>
      <c r="L169" s="4"/>
      <c r="N169" s="4"/>
      <c r="O169" s="61">
        <f t="shared" si="28"/>
        <v>0</v>
      </c>
      <c r="P169" s="60">
        <f t="shared" si="29"/>
        <v>0</v>
      </c>
      <c r="Q169" s="61">
        <v>0</v>
      </c>
      <c r="R169" s="61">
        <v>5</v>
      </c>
    </row>
    <row r="170" spans="1:18">
      <c r="A170" s="1" t="s">
        <v>169</v>
      </c>
      <c r="B170" t="str">
        <f t="shared" si="27"/>
        <v>¬</v>
      </c>
      <c r="D170" s="19"/>
      <c r="E170" s="15" t="s">
        <v>241</v>
      </c>
      <c r="F170" s="19"/>
      <c r="G170" s="19"/>
      <c r="H170" s="19"/>
      <c r="I170" s="19"/>
      <c r="L170" s="4">
        <v>1</v>
      </c>
      <c r="N170" s="4">
        <v>9</v>
      </c>
      <c r="O170" s="61">
        <f t="shared" si="28"/>
        <v>3</v>
      </c>
      <c r="P170" s="60">
        <f t="shared" si="29"/>
        <v>4</v>
      </c>
      <c r="Q170" s="61">
        <v>0</v>
      </c>
      <c r="R170" s="61">
        <v>5</v>
      </c>
    </row>
    <row r="171" spans="1:18">
      <c r="A171" s="1" t="s">
        <v>170</v>
      </c>
      <c r="B171" t="str">
        <f t="shared" si="27"/>
        <v>¬</v>
      </c>
      <c r="D171" s="19"/>
      <c r="E171" s="15" t="s">
        <v>242</v>
      </c>
      <c r="F171" s="19"/>
      <c r="G171" s="19"/>
      <c r="H171" s="19"/>
      <c r="I171" s="19"/>
      <c r="L171" s="4"/>
      <c r="N171" s="4"/>
      <c r="O171" s="61">
        <f t="shared" si="28"/>
        <v>0</v>
      </c>
      <c r="P171" s="60">
        <f t="shared" si="29"/>
        <v>0</v>
      </c>
      <c r="Q171" s="61">
        <v>0</v>
      </c>
      <c r="R171" s="61">
        <v>5</v>
      </c>
    </row>
    <row r="172" spans="1:18">
      <c r="A172" s="1" t="s">
        <v>171</v>
      </c>
      <c r="B172" t="str">
        <f t="shared" si="27"/>
        <v>¬</v>
      </c>
      <c r="D172" s="19"/>
      <c r="E172" s="15" t="s">
        <v>243</v>
      </c>
      <c r="F172" s="19"/>
      <c r="G172" s="19"/>
      <c r="H172" s="19"/>
      <c r="I172" s="19"/>
      <c r="L172" s="4"/>
      <c r="N172" s="4"/>
      <c r="O172" s="61">
        <f t="shared" si="28"/>
        <v>0</v>
      </c>
      <c r="P172" s="60">
        <f t="shared" si="29"/>
        <v>0</v>
      </c>
      <c r="Q172" s="61">
        <v>0</v>
      </c>
      <c r="R172" s="61">
        <v>5</v>
      </c>
    </row>
    <row r="173" spans="1:18">
      <c r="A173" s="1" t="s">
        <v>172</v>
      </c>
      <c r="B173" t="str">
        <f t="shared" si="27"/>
        <v>¬</v>
      </c>
      <c r="D173" s="19"/>
      <c r="E173" s="15" t="s">
        <v>244</v>
      </c>
      <c r="F173" s="19"/>
      <c r="G173" s="19"/>
      <c r="H173" s="19"/>
      <c r="I173" s="19"/>
      <c r="L173" s="4">
        <v>2</v>
      </c>
      <c r="N173" s="4"/>
      <c r="O173" s="61">
        <f t="shared" si="28"/>
        <v>0</v>
      </c>
      <c r="P173" s="60">
        <f t="shared" si="29"/>
        <v>2</v>
      </c>
      <c r="Q173" s="61">
        <v>0</v>
      </c>
      <c r="R173" s="61">
        <v>5</v>
      </c>
    </row>
    <row r="174" spans="1:18">
      <c r="A174" s="1" t="s">
        <v>173</v>
      </c>
      <c r="B174" t="str">
        <f t="shared" si="27"/>
        <v>¬</v>
      </c>
      <c r="D174" s="19"/>
      <c r="E174" s="15" t="s">
        <v>245</v>
      </c>
      <c r="F174" s="19"/>
      <c r="G174" s="19"/>
      <c r="H174" s="19"/>
      <c r="I174" s="19"/>
      <c r="L174" s="4"/>
      <c r="N174" s="4"/>
      <c r="O174" s="61">
        <f t="shared" si="28"/>
        <v>0</v>
      </c>
      <c r="P174" s="60">
        <f t="shared" si="29"/>
        <v>0</v>
      </c>
      <c r="Q174" s="61">
        <v>0</v>
      </c>
      <c r="R174" s="61">
        <v>5</v>
      </c>
    </row>
    <row r="175" spans="1:18">
      <c r="A175" s="1" t="s">
        <v>174</v>
      </c>
      <c r="B175" t="str">
        <f>_xlfn.CONCAT(I137-H137," / ",I137)</f>
        <v>7 / 7</v>
      </c>
    </row>
    <row r="176" spans="1:18">
      <c r="A176" s="1" t="s">
        <v>175</v>
      </c>
      <c r="B176" t="str">
        <f>REPT("□",I137-H137) &amp; REPT("■",H137)</f>
        <v>□□□□□□□</v>
      </c>
      <c r="D176" s="16" t="s">
        <v>1491</v>
      </c>
      <c r="E176" s="16"/>
      <c r="F176" s="16"/>
      <c r="G176" s="16"/>
      <c r="H176" s="16"/>
      <c r="I176" s="16"/>
    </row>
    <row r="177" spans="1:18">
      <c r="A177" s="1" t="s">
        <v>176</v>
      </c>
      <c r="B177" t="str">
        <f t="shared" ref="B177:B196" si="30">IF(AC134="","¬",AC134)</f>
        <v>Contacts</v>
      </c>
      <c r="D177" s="19"/>
      <c r="E177" s="15" t="s">
        <v>1492</v>
      </c>
      <c r="F177" s="3" t="s">
        <v>1607</v>
      </c>
      <c r="G177" s="19"/>
      <c r="H177" s="72" t="str">
        <f>IFERROR(IF(VLOOKUP(F177,tblDisciplines[#Data],14,FALSE)=0,"None",VLOOKUP(F177,tblDisciplines[#Data],14,FALSE)),"None")</f>
        <v>Nigh 2, Resl 2</v>
      </c>
      <c r="I177" s="73"/>
      <c r="N177" s="4">
        <v>2</v>
      </c>
      <c r="O177" s="61">
        <f>N177</f>
        <v>2</v>
      </c>
      <c r="P177" s="60">
        <f>IF(O177=R177,O177,"")</f>
        <v>2</v>
      </c>
      <c r="R177" s="61">
        <f>_xlfn.IFNA(VLOOKUP(F177,tblDisciplines[],15,FALSE),"")</f>
        <v>2</v>
      </c>
    </row>
    <row r="178" spans="1:18">
      <c r="A178" s="1" t="s">
        <v>177</v>
      </c>
      <c r="B178" t="str">
        <f t="shared" si="30"/>
        <v>Resources</v>
      </c>
      <c r="D178" s="19"/>
      <c r="E178" s="15" t="s">
        <v>1493</v>
      </c>
      <c r="F178" s="3"/>
      <c r="G178" s="19"/>
      <c r="H178" s="72" t="str">
        <f>IFERROR(IF(VLOOKUP(F178,tblDisciplines[#Data],14,FALSE)=0,"None",VLOOKUP(F178,tblDisciplines[#Data],14,FALSE)),"None")</f>
        <v>None</v>
      </c>
      <c r="I178" s="73"/>
      <c r="N178" s="4"/>
      <c r="O178" s="61">
        <f>N178</f>
        <v>0</v>
      </c>
      <c r="P178" s="60" t="str">
        <f>IF(O178=R178,O178,"")</f>
        <v/>
      </c>
      <c r="R178" s="61" t="str">
        <f>_xlfn.IFNA(VLOOKUP(F178,tblDisciplines[],15,FALSE),"")</f>
        <v/>
      </c>
    </row>
    <row r="179" spans="1:18">
      <c r="A179" s="1" t="s">
        <v>178</v>
      </c>
      <c r="B179" t="str">
        <f t="shared" si="30"/>
        <v>Retainer</v>
      </c>
      <c r="D179" s="19"/>
      <c r="E179" s="15" t="s">
        <v>1494</v>
      </c>
      <c r="F179" s="3"/>
      <c r="G179" s="19"/>
      <c r="H179" s="72" t="str">
        <f>IFERROR(IF(VLOOKUP(F179,tblDisciplines[#Data],14,FALSE)=0,"None",VLOOKUP(F179,tblDisciplines[#Data],14,FALSE)),"None")</f>
        <v>None</v>
      </c>
      <c r="I179" s="73"/>
      <c r="N179" s="4"/>
      <c r="O179" s="61">
        <f>N179</f>
        <v>0</v>
      </c>
      <c r="P179" s="60" t="str">
        <f>IF(O179=R179,O179,"")</f>
        <v/>
      </c>
      <c r="R179" s="61" t="str">
        <f>_xlfn.IFNA(VLOOKUP(F179,tblDisciplines[],15,FALSE),"")</f>
        <v/>
      </c>
    </row>
    <row r="180" spans="1:18">
      <c r="A180" s="1" t="s">
        <v>179</v>
      </c>
      <c r="B180" t="str">
        <f t="shared" si="30"/>
        <v>¬</v>
      </c>
      <c r="D180" s="19"/>
      <c r="E180" s="15" t="s">
        <v>1495</v>
      </c>
      <c r="F180" s="3"/>
      <c r="G180" s="19"/>
      <c r="H180" s="72" t="str">
        <f>IFERROR(IF(VLOOKUP(F180,tblDisciplines[#Data],14,FALSE)=0,"None",VLOOKUP(F180,tblDisciplines[#Data],14,FALSE)),"None")</f>
        <v>None</v>
      </c>
      <c r="I180" s="73"/>
      <c r="N180" s="4"/>
      <c r="O180" s="61">
        <f>N180</f>
        <v>0</v>
      </c>
      <c r="P180" s="60" t="str">
        <f>IF(O180=R180,O180,"")</f>
        <v/>
      </c>
      <c r="R180" s="61" t="str">
        <f>_xlfn.IFNA(VLOOKUP(F180,tblDisciplines[],15,FALSE),"")</f>
        <v/>
      </c>
    </row>
    <row r="181" spans="1:18">
      <c r="A181" s="1" t="s">
        <v>180</v>
      </c>
      <c r="B181" t="str">
        <f t="shared" si="30"/>
        <v>¬</v>
      </c>
      <c r="D181" s="19"/>
      <c r="E181" s="15" t="s">
        <v>1496</v>
      </c>
      <c r="F181" s="3"/>
      <c r="G181" s="19"/>
      <c r="H181" s="72" t="str">
        <f>IFERROR(IF(VLOOKUP(F181,tblDisciplines[#Data],14,FALSE)=0,"None",VLOOKUP(F181,tblDisciplines[#Data],14,FALSE)),"None")</f>
        <v>None</v>
      </c>
      <c r="I181" s="73"/>
      <c r="N181" s="4"/>
      <c r="O181" s="61">
        <f>N181</f>
        <v>0</v>
      </c>
      <c r="P181" s="60" t="str">
        <f>IF(O181=R181,O181,"")</f>
        <v/>
      </c>
      <c r="R181" s="61" t="str">
        <f>_xlfn.IFNA(VLOOKUP(F181,tblDisciplines[],15,FALSE),"")</f>
        <v/>
      </c>
    </row>
    <row r="182" spans="1:18">
      <c r="A182" s="1" t="s">
        <v>181</v>
      </c>
      <c r="B182" t="str">
        <f t="shared" si="30"/>
        <v>¬</v>
      </c>
    </row>
    <row r="183" spans="1:18">
      <c r="A183" s="1" t="s">
        <v>182</v>
      </c>
      <c r="B183" t="str">
        <f t="shared" si="30"/>
        <v>¬</v>
      </c>
      <c r="D183" s="16" t="s">
        <v>1497</v>
      </c>
      <c r="E183" s="16"/>
      <c r="F183" s="16"/>
      <c r="G183" s="16"/>
      <c r="H183" s="16"/>
      <c r="I183" s="16"/>
    </row>
    <row r="184" spans="1:18">
      <c r="A184" s="1" t="s">
        <v>183</v>
      </c>
      <c r="B184" t="str">
        <f t="shared" si="30"/>
        <v>¬</v>
      </c>
      <c r="D184" s="19"/>
      <c r="E184" s="15" t="s">
        <v>246</v>
      </c>
      <c r="F184" s="19"/>
      <c r="G184" s="19"/>
      <c r="H184" s="19"/>
      <c r="I184" s="60" t="b">
        <f>IF(OR(F$9="Circle of the Crone",COUNTIF(F$78:F$92,"Chorister")&gt;0),TRUE,FALSE)</f>
        <v>0</v>
      </c>
      <c r="L184" s="4"/>
      <c r="N184" s="4"/>
      <c r="O184" s="61">
        <f>ROUNDDOWN(N184/4,0)</f>
        <v>0</v>
      </c>
      <c r="P184" s="60">
        <f>SUM(L184,O184)</f>
        <v>0</v>
      </c>
      <c r="Q184" s="61">
        <v>0</v>
      </c>
      <c r="R184" s="61">
        <v>5</v>
      </c>
    </row>
    <row r="185" spans="1:18">
      <c r="A185" s="1" t="s">
        <v>184</v>
      </c>
      <c r="B185" t="str">
        <f t="shared" si="30"/>
        <v>¬</v>
      </c>
      <c r="D185" s="19"/>
      <c r="E185" s="15" t="s">
        <v>247</v>
      </c>
      <c r="F185" s="19"/>
      <c r="G185" s="19"/>
      <c r="H185" s="19"/>
      <c r="I185" s="60" t="b">
        <f>IF(OR(F$9="Lancea et Sanctum",COUNTIF(F$78:F$92,"Laity")&gt;0),TRUE,FALSE)</f>
        <v>1</v>
      </c>
      <c r="L185" s="4"/>
      <c r="N185" s="4"/>
      <c r="O185" s="61">
        <f>ROUNDDOWN(N185/4,0)</f>
        <v>0</v>
      </c>
      <c r="P185" s="60">
        <f>SUM(L185,O185)</f>
        <v>0</v>
      </c>
      <c r="Q185" s="61">
        <v>0</v>
      </c>
      <c r="R185" s="61">
        <v>5</v>
      </c>
    </row>
    <row r="186" spans="1:18">
      <c r="A186" s="1" t="s">
        <v>185</v>
      </c>
      <c r="B186" t="str">
        <f t="shared" si="30"/>
        <v>¬</v>
      </c>
      <c r="D186" s="19"/>
      <c r="E186" s="19"/>
      <c r="F186" s="19"/>
      <c r="G186" s="19"/>
      <c r="H186" s="19"/>
      <c r="I186" s="19"/>
      <c r="L186" s="60">
        <f>SUM(P184:P185)-SUM(L187:L191)</f>
        <v>0</v>
      </c>
    </row>
    <row r="187" spans="1:18">
      <c r="A187" s="1" t="s">
        <v>186</v>
      </c>
      <c r="B187" t="str">
        <f t="shared" si="30"/>
        <v>¬</v>
      </c>
      <c r="D187" s="19"/>
      <c r="E187" s="15" t="s">
        <v>248</v>
      </c>
      <c r="F187" s="19"/>
      <c r="G187" s="19"/>
      <c r="H187" s="19"/>
      <c r="I187" s="19"/>
      <c r="L187" s="4"/>
      <c r="M187" s="61">
        <f>IF(AND(I184,L184&gt;=1),1,0)</f>
        <v>0</v>
      </c>
      <c r="N187" s="4"/>
      <c r="O187" s="61">
        <f>ROUNDDOWN(N187/2,0)</f>
        <v>0</v>
      </c>
      <c r="P187" s="60">
        <f>MIN(SUM(L187,M187,O187),R187)</f>
        <v>0</v>
      </c>
      <c r="Q187" s="61">
        <v>0</v>
      </c>
      <c r="R187" s="61">
        <f>MAX(P$184,P$185)</f>
        <v>0</v>
      </c>
    </row>
    <row r="188" spans="1:18">
      <c r="A188" s="1" t="s">
        <v>187</v>
      </c>
      <c r="B188" t="str">
        <f t="shared" si="30"/>
        <v>¬</v>
      </c>
      <c r="D188" s="19"/>
      <c r="E188" s="15" t="s">
        <v>249</v>
      </c>
      <c r="F188" s="19"/>
      <c r="G188" s="19"/>
      <c r="H188" s="19"/>
      <c r="I188" s="19"/>
      <c r="L188" s="4"/>
      <c r="M188" s="61"/>
      <c r="N188" s="4"/>
      <c r="O188" s="61">
        <f>ROUNDDOWN(N188/2,0)</f>
        <v>0</v>
      </c>
      <c r="P188" s="60">
        <f>MIN(SUM(L188,M188,O188),R188)</f>
        <v>0</v>
      </c>
      <c r="Q188" s="61">
        <v>0</v>
      </c>
      <c r="R188" s="61">
        <f>MAX(P$184,P$185)</f>
        <v>0</v>
      </c>
    </row>
    <row r="189" spans="1:18">
      <c r="A189" s="1" t="s">
        <v>188</v>
      </c>
      <c r="B189" t="str">
        <f t="shared" si="30"/>
        <v>¬</v>
      </c>
      <c r="D189" s="19"/>
      <c r="E189" s="15" t="s">
        <v>250</v>
      </c>
      <c r="F189" s="19"/>
      <c r="G189" s="19"/>
      <c r="H189" s="19"/>
      <c r="I189" s="19"/>
      <c r="L189" s="4"/>
      <c r="M189" s="61">
        <f>IF(AND(I185,L185&gt;=1),1,0)</f>
        <v>0</v>
      </c>
      <c r="N189" s="4"/>
      <c r="O189" s="61">
        <f>ROUNDDOWN(N189/2,0)</f>
        <v>0</v>
      </c>
      <c r="P189" s="60">
        <f>MIN(SUM(L189,M189,O189),R189)</f>
        <v>0</v>
      </c>
      <c r="Q189" s="61">
        <v>0</v>
      </c>
      <c r="R189" s="61">
        <f>MAX(P$184,P$185)</f>
        <v>0</v>
      </c>
    </row>
    <row r="190" spans="1:18">
      <c r="A190" s="1" t="s">
        <v>189</v>
      </c>
      <c r="B190" t="str">
        <f t="shared" si="30"/>
        <v>¬</v>
      </c>
      <c r="D190" s="19"/>
      <c r="E190" s="15" t="s">
        <v>251</v>
      </c>
      <c r="F190" s="19"/>
      <c r="G190" s="19"/>
      <c r="H190" s="19"/>
      <c r="I190" s="19"/>
      <c r="L190" s="4"/>
      <c r="M190" s="61">
        <f>IF(AND(I184,L184&gt;=1),1,0)</f>
        <v>0</v>
      </c>
      <c r="N190" s="4"/>
      <c r="O190" s="61">
        <f>ROUNDDOWN(N190/2,0)</f>
        <v>0</v>
      </c>
      <c r="P190" s="60">
        <f>MIN(SUM(L190,M190,O190),R190)</f>
        <v>0</v>
      </c>
      <c r="Q190" s="61">
        <v>0</v>
      </c>
      <c r="R190" s="61">
        <f>MAX(P$184,P$185)</f>
        <v>0</v>
      </c>
    </row>
    <row r="191" spans="1:18">
      <c r="A191" s="1" t="s">
        <v>190</v>
      </c>
      <c r="B191" t="str">
        <f t="shared" si="30"/>
        <v>¬</v>
      </c>
      <c r="D191" s="19"/>
      <c r="E191" s="15" t="s">
        <v>252</v>
      </c>
      <c r="F191" s="19"/>
      <c r="G191" s="19"/>
      <c r="H191" s="19"/>
      <c r="I191" s="19"/>
      <c r="L191" s="4"/>
      <c r="M191" s="61">
        <f>IF(AND(I185,L185&gt;=1),1,0)</f>
        <v>0</v>
      </c>
      <c r="N191" s="4"/>
      <c r="O191" s="61">
        <f>ROUNDDOWN(N191/2,0)</f>
        <v>0</v>
      </c>
      <c r="P191" s="60">
        <f>MIN(SUM(L191,M191,O191),R191)</f>
        <v>0</v>
      </c>
      <c r="Q191" s="61">
        <v>0</v>
      </c>
      <c r="R191" s="61">
        <f>MAX(P$184,P$185)</f>
        <v>0</v>
      </c>
    </row>
    <row r="192" spans="1:18">
      <c r="A192" s="1" t="s">
        <v>191</v>
      </c>
      <c r="B192" t="str">
        <f t="shared" si="30"/>
        <v>¬</v>
      </c>
    </row>
    <row r="193" spans="1:18">
      <c r="A193" s="1" t="s">
        <v>192</v>
      </c>
      <c r="B193" t="str">
        <f t="shared" si="30"/>
        <v>¬</v>
      </c>
      <c r="D193" s="16" t="s">
        <v>1474</v>
      </c>
      <c r="E193" s="16"/>
      <c r="F193" s="16"/>
      <c r="G193" s="16"/>
      <c r="H193" s="16"/>
      <c r="I193" s="16"/>
      <c r="L193" s="60">
        <f>SUM(P184:P185)+SUM(O187:O191)-SUM(L194:L203)</f>
        <v>0</v>
      </c>
    </row>
    <row r="194" spans="1:18">
      <c r="A194" s="1" t="s">
        <v>193</v>
      </c>
      <c r="B194" t="str">
        <f t="shared" si="30"/>
        <v>¬</v>
      </c>
      <c r="D194" s="19"/>
      <c r="E194" s="15" t="s">
        <v>1498</v>
      </c>
      <c r="F194" s="3"/>
      <c r="G194" s="61" t="str">
        <f>_xlfn.IFNA(VLOOKUP(F194,tblDisciplines[#Data],2,FALSE),"")</f>
        <v/>
      </c>
      <c r="H194" s="19"/>
      <c r="I194" s="19"/>
      <c r="L194" s="4"/>
      <c r="N194" s="4"/>
      <c r="O194" s="61">
        <f>N194</f>
        <v>0</v>
      </c>
      <c r="P194" s="60" t="str">
        <f>IF(OR(L194=R194,O194=R194),R194,MIN(SUM(L194,O194),R194))</f>
        <v/>
      </c>
      <c r="R194" s="61" t="str">
        <f>_xlfn.IFNA(VLOOKUP(F194,tblDisciplines[],3,FALSE),"")</f>
        <v/>
      </c>
    </row>
    <row r="195" spans="1:18">
      <c r="A195" s="1" t="s">
        <v>194</v>
      </c>
      <c r="B195" t="str">
        <f t="shared" si="30"/>
        <v>¬</v>
      </c>
      <c r="D195" s="19"/>
      <c r="E195" s="15" t="s">
        <v>1499</v>
      </c>
      <c r="F195" s="3"/>
      <c r="G195" s="61" t="str">
        <f>_xlfn.IFNA(VLOOKUP(F195,tblDisciplines[#Data],2,FALSE),"")</f>
        <v/>
      </c>
      <c r="H195" s="19"/>
      <c r="I195" s="19"/>
      <c r="L195" s="4"/>
      <c r="N195" s="4"/>
      <c r="O195" s="61">
        <f t="shared" ref="O195:O203" si="31">N195</f>
        <v>0</v>
      </c>
      <c r="P195" s="60" t="str">
        <f t="shared" ref="P195:P203" si="32">IF(OR(L195=R195,O195=R195),R195,MIN(SUM(L195,O195),R195))</f>
        <v/>
      </c>
      <c r="R195" s="61" t="str">
        <f>_xlfn.IFNA(VLOOKUP(F195,tblDisciplines[],3,FALSE),"")</f>
        <v/>
      </c>
    </row>
    <row r="196" spans="1:18">
      <c r="A196" s="1" t="s">
        <v>195</v>
      </c>
      <c r="B196" t="str">
        <f t="shared" si="30"/>
        <v>¬</v>
      </c>
      <c r="D196" s="19"/>
      <c r="E196" s="15" t="s">
        <v>1500</v>
      </c>
      <c r="F196" s="3"/>
      <c r="G196" s="61" t="str">
        <f>_xlfn.IFNA(VLOOKUP(F196,tblDisciplines[#Data],2,FALSE),"")</f>
        <v/>
      </c>
      <c r="H196" s="19"/>
      <c r="I196" s="19"/>
      <c r="L196" s="4"/>
      <c r="N196" s="4"/>
      <c r="O196" s="61">
        <f t="shared" si="31"/>
        <v>0</v>
      </c>
      <c r="P196" s="60" t="str">
        <f t="shared" si="32"/>
        <v/>
      </c>
      <c r="R196" s="61" t="str">
        <f>_xlfn.IFNA(VLOOKUP(F196,tblDisciplines[],3,FALSE),"")</f>
        <v/>
      </c>
    </row>
    <row r="197" spans="1:18">
      <c r="A197" s="1" t="s">
        <v>196</v>
      </c>
      <c r="B197" t="str">
        <f>IF(AD134="","¬",AD134)</f>
        <v>Occult, University, Beuracracy, Church, Legal</v>
      </c>
      <c r="D197" s="19"/>
      <c r="E197" s="15" t="s">
        <v>1501</v>
      </c>
      <c r="F197" s="3"/>
      <c r="G197" s="61" t="str">
        <f>_xlfn.IFNA(VLOOKUP(F197,tblDisciplines[#Data],2,FALSE),"")</f>
        <v/>
      </c>
      <c r="H197" s="19"/>
      <c r="I197" s="19"/>
      <c r="L197" s="4"/>
      <c r="N197" s="4"/>
      <c r="O197" s="61">
        <f t="shared" si="31"/>
        <v>0</v>
      </c>
      <c r="P197" s="60" t="str">
        <f t="shared" si="32"/>
        <v/>
      </c>
      <c r="R197" s="61" t="str">
        <f>_xlfn.IFNA(VLOOKUP(F197,tblDisciplines[],3,FALSE),"")</f>
        <v/>
      </c>
    </row>
    <row r="198" spans="1:18">
      <c r="A198" s="1" t="s">
        <v>197</v>
      </c>
      <c r="B198" t="str">
        <f t="shared" ref="B198:B216" si="33">IF(AD135="","¬",AD135)</f>
        <v>¬</v>
      </c>
      <c r="D198" s="19"/>
      <c r="E198" s="15" t="s">
        <v>1502</v>
      </c>
      <c r="F198" s="3"/>
      <c r="G198" s="61" t="str">
        <f>_xlfn.IFNA(VLOOKUP(F198,tblDisciplines[#Data],2,FALSE),"")</f>
        <v/>
      </c>
      <c r="H198" s="19"/>
      <c r="I198" s="19"/>
      <c r="L198" s="4"/>
      <c r="N198" s="4"/>
      <c r="O198" s="61">
        <f t="shared" si="31"/>
        <v>0</v>
      </c>
      <c r="P198" s="60" t="str">
        <f t="shared" si="32"/>
        <v/>
      </c>
      <c r="R198" s="61" t="str">
        <f>_xlfn.IFNA(VLOOKUP(F198,tblDisciplines[],3,FALSE),"")</f>
        <v/>
      </c>
    </row>
    <row r="199" spans="1:18">
      <c r="A199" s="1" t="s">
        <v>198</v>
      </c>
      <c r="B199" t="str">
        <f t="shared" si="33"/>
        <v>Nicole - EA</v>
      </c>
      <c r="D199" s="19"/>
      <c r="E199" s="15" t="s">
        <v>1503</v>
      </c>
      <c r="F199" s="3"/>
      <c r="G199" s="61" t="str">
        <f>_xlfn.IFNA(VLOOKUP(F199,tblDisciplines[#Data],2,FALSE),"")</f>
        <v/>
      </c>
      <c r="H199" s="19"/>
      <c r="I199" s="19"/>
      <c r="L199" s="4"/>
      <c r="N199" s="4"/>
      <c r="O199" s="61">
        <f t="shared" si="31"/>
        <v>0</v>
      </c>
      <c r="P199" s="60" t="str">
        <f t="shared" si="32"/>
        <v/>
      </c>
      <c r="R199" s="61" t="str">
        <f>_xlfn.IFNA(VLOOKUP(F199,tblDisciplines[],3,FALSE),"")</f>
        <v/>
      </c>
    </row>
    <row r="200" spans="1:18">
      <c r="A200" s="1" t="s">
        <v>199</v>
      </c>
      <c r="B200" t="str">
        <f t="shared" si="33"/>
        <v>¬</v>
      </c>
      <c r="D200" s="19"/>
      <c r="E200" s="15" t="s">
        <v>1504</v>
      </c>
      <c r="F200" s="3"/>
      <c r="G200" s="61" t="str">
        <f>_xlfn.IFNA(VLOOKUP(F200,tblDisciplines[#Data],2,FALSE),"")</f>
        <v/>
      </c>
      <c r="H200" s="19"/>
      <c r="I200" s="19"/>
      <c r="L200" s="4"/>
      <c r="N200" s="4"/>
      <c r="O200" s="61">
        <f t="shared" si="31"/>
        <v>0</v>
      </c>
      <c r="P200" s="60" t="str">
        <f t="shared" si="32"/>
        <v/>
      </c>
      <c r="R200" s="61" t="str">
        <f>_xlfn.IFNA(VLOOKUP(F200,tblDisciplines[],3,FALSE),"")</f>
        <v/>
      </c>
    </row>
    <row r="201" spans="1:18">
      <c r="A201" s="1" t="s">
        <v>200</v>
      </c>
      <c r="B201" t="str">
        <f t="shared" si="33"/>
        <v>¬</v>
      </c>
      <c r="D201" s="19"/>
      <c r="E201" s="15" t="s">
        <v>1505</v>
      </c>
      <c r="F201" s="3"/>
      <c r="G201" s="61" t="str">
        <f>_xlfn.IFNA(VLOOKUP(F201,tblDisciplines[#Data],2,FALSE),"")</f>
        <v/>
      </c>
      <c r="H201" s="19"/>
      <c r="I201" s="19"/>
      <c r="L201" s="4"/>
      <c r="N201" s="4"/>
      <c r="O201" s="61">
        <f t="shared" si="31"/>
        <v>0</v>
      </c>
      <c r="P201" s="60" t="str">
        <f t="shared" si="32"/>
        <v/>
      </c>
      <c r="R201" s="61" t="str">
        <f>_xlfn.IFNA(VLOOKUP(F201,tblDisciplines[],3,FALSE),"")</f>
        <v/>
      </c>
    </row>
    <row r="202" spans="1:18">
      <c r="A202" s="1" t="s">
        <v>201</v>
      </c>
      <c r="B202" t="str">
        <f t="shared" si="33"/>
        <v>¬</v>
      </c>
      <c r="D202" s="19"/>
      <c r="E202" s="15" t="s">
        <v>1506</v>
      </c>
      <c r="F202" s="3"/>
      <c r="G202" s="61" t="str">
        <f>_xlfn.IFNA(VLOOKUP(F202,tblDisciplines[#Data],2,FALSE),"")</f>
        <v/>
      </c>
      <c r="H202" s="19"/>
      <c r="I202" s="19"/>
      <c r="L202" s="4"/>
      <c r="N202" s="4"/>
      <c r="O202" s="61">
        <f t="shared" si="31"/>
        <v>0</v>
      </c>
      <c r="P202" s="60" t="str">
        <f t="shared" si="32"/>
        <v/>
      </c>
      <c r="R202" s="61" t="str">
        <f>_xlfn.IFNA(VLOOKUP(F202,tblDisciplines[],3,FALSE),"")</f>
        <v/>
      </c>
    </row>
    <row r="203" spans="1:18">
      <c r="A203" s="1" t="s">
        <v>202</v>
      </c>
      <c r="B203" t="str">
        <f t="shared" si="33"/>
        <v>¬</v>
      </c>
      <c r="D203" s="19"/>
      <c r="E203" s="15" t="s">
        <v>1507</v>
      </c>
      <c r="F203" s="3"/>
      <c r="G203" s="61" t="str">
        <f>_xlfn.IFNA(VLOOKUP(F203,tblDisciplines[#Data],2,FALSE),"")</f>
        <v/>
      </c>
      <c r="H203" s="19"/>
      <c r="I203" s="19"/>
      <c r="L203" s="4"/>
      <c r="N203" s="4"/>
      <c r="O203" s="61">
        <f t="shared" si="31"/>
        <v>0</v>
      </c>
      <c r="P203" s="60" t="str">
        <f t="shared" si="32"/>
        <v/>
      </c>
      <c r="R203" s="61" t="str">
        <f>_xlfn.IFNA(VLOOKUP(F203,tblDisciplines[],3,FALSE),"")</f>
        <v/>
      </c>
    </row>
    <row r="204" spans="1:18">
      <c r="A204" s="1" t="s">
        <v>203</v>
      </c>
      <c r="B204" t="str">
        <f t="shared" si="33"/>
        <v>¬</v>
      </c>
    </row>
    <row r="205" spans="1:18">
      <c r="A205" s="1" t="s">
        <v>204</v>
      </c>
      <c r="B205" t="str">
        <f t="shared" si="33"/>
        <v>¬</v>
      </c>
      <c r="D205" s="16" t="s">
        <v>1508</v>
      </c>
      <c r="E205" s="17"/>
      <c r="F205" s="17"/>
      <c r="G205" s="17"/>
      <c r="H205" s="17"/>
      <c r="I205" s="17"/>
    </row>
    <row r="206" spans="1:18">
      <c r="A206" s="1" t="s">
        <v>205</v>
      </c>
      <c r="B206" t="str">
        <f t="shared" si="33"/>
        <v>¬</v>
      </c>
      <c r="D206" s="19"/>
      <c r="E206" s="15" t="s">
        <v>1476</v>
      </c>
      <c r="F206" s="3"/>
      <c r="G206" s="19" t="str">
        <f>IFERROR(VLOOKUP(F206,tblManoeuvre[#Data],2,FALSE)&amp;" "&amp;VLOOKUP(F206,tblManoeuvre[#Data],3,FALSE),"")</f>
        <v/>
      </c>
      <c r="H206" s="68" t="str">
        <f>_xlfn.IFNA(IF(VLOOKUP(F206,tblMerits[#Data],6,FALSE)=0,"None",VLOOKUP(F206,tblMerits[#Data],6,FALSE)),"None")</f>
        <v>None</v>
      </c>
      <c r="I206" s="69"/>
      <c r="L206" s="4"/>
      <c r="M206" s="4"/>
      <c r="N206" s="4"/>
      <c r="O206" s="61">
        <f t="shared" ref="O206:O215" si="34">N206</f>
        <v>0</v>
      </c>
      <c r="P206" s="60">
        <f t="shared" ref="P206:P215" si="35">MIN(SUM(L206,M206,O206),R206)</f>
        <v>0</v>
      </c>
      <c r="Q206" s="61" t="str">
        <f>_xlfn.IFNA(VLOOKUP($F206,tblPacts[],3,FALSE),"")</f>
        <v/>
      </c>
      <c r="R206" s="61" t="str">
        <f>_xlfn.IFNA(VLOOKUP($F206,tblPacts[],4,FALSE),"")</f>
        <v/>
      </c>
    </row>
    <row r="207" spans="1:18">
      <c r="A207" s="1" t="s">
        <v>206</v>
      </c>
      <c r="B207" t="str">
        <f t="shared" si="33"/>
        <v>¬</v>
      </c>
      <c r="D207" s="19"/>
      <c r="E207" s="15" t="s">
        <v>1477</v>
      </c>
      <c r="F207" s="3"/>
      <c r="G207" s="19" t="str">
        <f>IFERROR(VLOOKUP(F207,tblManoeuvre[#Data],2,FALSE)&amp;" "&amp;VLOOKUP(F207,tblManoeuvre[#Data],3,FALSE),"")</f>
        <v/>
      </c>
      <c r="H207" s="68" t="str">
        <f>_xlfn.IFNA(IF(VLOOKUP(F207,tblMerits[#Data],6,FALSE)=0,"None",VLOOKUP(F207,tblMerits[#Data],6,FALSE)),"None")</f>
        <v>None</v>
      </c>
      <c r="I207" s="69"/>
      <c r="L207" s="4"/>
      <c r="M207" s="4"/>
      <c r="N207" s="4"/>
      <c r="O207" s="61">
        <f t="shared" si="34"/>
        <v>0</v>
      </c>
      <c r="P207" s="60">
        <f t="shared" si="35"/>
        <v>0</v>
      </c>
      <c r="Q207" s="61" t="str">
        <f>_xlfn.IFNA(VLOOKUP($F207,tblPacts[],3,FALSE),"")</f>
        <v/>
      </c>
      <c r="R207" s="61" t="str">
        <f>_xlfn.IFNA(VLOOKUP($F207,tblPacts[],4,FALSE),"")</f>
        <v/>
      </c>
    </row>
    <row r="208" spans="1:18">
      <c r="A208" s="1" t="s">
        <v>207</v>
      </c>
      <c r="B208" t="str">
        <f t="shared" si="33"/>
        <v>¬</v>
      </c>
      <c r="D208" s="19"/>
      <c r="E208" s="15" t="s">
        <v>1478</v>
      </c>
      <c r="F208" s="3"/>
      <c r="G208" s="19" t="str">
        <f>IFERROR(VLOOKUP(F208,tblManoeuvre[#Data],2,FALSE)&amp;" "&amp;VLOOKUP(F208,tblManoeuvre[#Data],3,FALSE),"")</f>
        <v/>
      </c>
      <c r="H208" s="68" t="str">
        <f>_xlfn.IFNA(IF(VLOOKUP(F208,tblMerits[#Data],6,FALSE)=0,"None",VLOOKUP(F208,tblMerits[#Data],6,FALSE)),"None")</f>
        <v>None</v>
      </c>
      <c r="I208" s="69"/>
      <c r="L208" s="4"/>
      <c r="M208" s="4"/>
      <c r="N208" s="4"/>
      <c r="O208" s="61">
        <f t="shared" si="34"/>
        <v>0</v>
      </c>
      <c r="P208" s="60">
        <f t="shared" si="35"/>
        <v>0</v>
      </c>
      <c r="Q208" s="61" t="str">
        <f>_xlfn.IFNA(VLOOKUP($F208,tblPacts[],3,FALSE),"")</f>
        <v/>
      </c>
      <c r="R208" s="61" t="str">
        <f>_xlfn.IFNA(VLOOKUP($F208,tblPacts[],4,FALSE),"")</f>
        <v/>
      </c>
    </row>
    <row r="209" spans="1:18">
      <c r="A209" s="1" t="s">
        <v>208</v>
      </c>
      <c r="B209" t="str">
        <f t="shared" si="33"/>
        <v>¬</v>
      </c>
      <c r="D209" s="19"/>
      <c r="E209" s="15" t="s">
        <v>1479</v>
      </c>
      <c r="F209" s="3"/>
      <c r="G209" s="19" t="str">
        <f>IFERROR(VLOOKUP(F209,tblManoeuvre[#Data],2,FALSE)&amp;" "&amp;VLOOKUP(F209,tblManoeuvre[#Data],3,FALSE),"")</f>
        <v/>
      </c>
      <c r="H209" s="68" t="str">
        <f>_xlfn.IFNA(IF(VLOOKUP(F209,tblMerits[#Data],6,FALSE)=0,"None",VLOOKUP(F209,tblMerits[#Data],6,FALSE)),"None")</f>
        <v>None</v>
      </c>
      <c r="I209" s="69"/>
      <c r="L209" s="4"/>
      <c r="M209" s="4"/>
      <c r="N209" s="4"/>
      <c r="O209" s="61">
        <f t="shared" si="34"/>
        <v>0</v>
      </c>
      <c r="P209" s="60">
        <f t="shared" si="35"/>
        <v>0</v>
      </c>
      <c r="Q209" s="61" t="str">
        <f>_xlfn.IFNA(VLOOKUP($F209,tblPacts[],3,FALSE),"")</f>
        <v/>
      </c>
      <c r="R209" s="61" t="str">
        <f>_xlfn.IFNA(VLOOKUP($F209,tblPacts[],4,FALSE),"")</f>
        <v/>
      </c>
    </row>
    <row r="210" spans="1:18">
      <c r="A210" s="1" t="s">
        <v>209</v>
      </c>
      <c r="B210" t="str">
        <f t="shared" si="33"/>
        <v>¬</v>
      </c>
      <c r="D210" s="19"/>
      <c r="E210" s="15" t="s">
        <v>1480</v>
      </c>
      <c r="F210" s="3"/>
      <c r="G210" s="19" t="str">
        <f>IFERROR(VLOOKUP(F210,tblManoeuvre[#Data],2,FALSE)&amp;" "&amp;VLOOKUP(F210,tblManoeuvre[#Data],3,FALSE),"")</f>
        <v/>
      </c>
      <c r="H210" s="68" t="str">
        <f>_xlfn.IFNA(IF(VLOOKUP(F210,tblMerits[#Data],6,FALSE)=0,"None",VLOOKUP(F210,tblMerits[#Data],6,FALSE)),"None")</f>
        <v>None</v>
      </c>
      <c r="I210" s="69"/>
      <c r="L210" s="4"/>
      <c r="M210" s="4"/>
      <c r="N210" s="4"/>
      <c r="O210" s="61">
        <f t="shared" si="34"/>
        <v>0</v>
      </c>
      <c r="P210" s="60">
        <f t="shared" si="35"/>
        <v>0</v>
      </c>
      <c r="Q210" s="61" t="str">
        <f>_xlfn.IFNA(VLOOKUP($F210,tblPacts[],3,FALSE),"")</f>
        <v/>
      </c>
      <c r="R210" s="61" t="str">
        <f>_xlfn.IFNA(VLOOKUP($F210,tblPacts[],4,FALSE),"")</f>
        <v/>
      </c>
    </row>
    <row r="211" spans="1:18">
      <c r="A211" s="1" t="s">
        <v>210</v>
      </c>
      <c r="B211" t="str">
        <f t="shared" si="33"/>
        <v>¬</v>
      </c>
      <c r="D211" s="19"/>
      <c r="E211" s="15" t="s">
        <v>1481</v>
      </c>
      <c r="F211" s="3"/>
      <c r="G211" s="19" t="str">
        <f>IFERROR(VLOOKUP(F211,tblManoeuvre[#Data],2,FALSE)&amp;" "&amp;VLOOKUP(F211,tblManoeuvre[#Data],3,FALSE),"")</f>
        <v/>
      </c>
      <c r="H211" s="68" t="str">
        <f>_xlfn.IFNA(IF(VLOOKUP(F211,tblMerits[#Data],6,FALSE)=0,"None",VLOOKUP(F211,tblMerits[#Data],6,FALSE)),"None")</f>
        <v>None</v>
      </c>
      <c r="I211" s="69"/>
      <c r="L211" s="4"/>
      <c r="M211" s="4"/>
      <c r="N211" s="4"/>
      <c r="O211" s="61">
        <f t="shared" si="34"/>
        <v>0</v>
      </c>
      <c r="P211" s="60">
        <f t="shared" si="35"/>
        <v>0</v>
      </c>
      <c r="Q211" s="61" t="str">
        <f>_xlfn.IFNA(VLOOKUP($F211,tblPacts[],3,FALSE),"")</f>
        <v/>
      </c>
      <c r="R211" s="61" t="str">
        <f>_xlfn.IFNA(VLOOKUP($F211,tblPacts[],4,FALSE),"")</f>
        <v/>
      </c>
    </row>
    <row r="212" spans="1:18">
      <c r="A212" s="1" t="s">
        <v>211</v>
      </c>
      <c r="B212" t="str">
        <f t="shared" si="33"/>
        <v>¬</v>
      </c>
      <c r="D212" s="19"/>
      <c r="E212" s="15" t="s">
        <v>1482</v>
      </c>
      <c r="F212" s="3"/>
      <c r="G212" s="19" t="str">
        <f>IFERROR(VLOOKUP(F212,tblManoeuvre[#Data],2,FALSE)&amp;" "&amp;VLOOKUP(F212,tblManoeuvre[#Data],3,FALSE),"")</f>
        <v/>
      </c>
      <c r="H212" s="68" t="str">
        <f>_xlfn.IFNA(IF(VLOOKUP(F212,tblMerits[#Data],6,FALSE)=0,"None",VLOOKUP(F212,tblMerits[#Data],6,FALSE)),"None")</f>
        <v>None</v>
      </c>
      <c r="I212" s="69"/>
      <c r="L212" s="4"/>
      <c r="M212" s="4"/>
      <c r="N212" s="4"/>
      <c r="O212" s="61">
        <f t="shared" si="34"/>
        <v>0</v>
      </c>
      <c r="P212" s="60">
        <f t="shared" si="35"/>
        <v>0</v>
      </c>
      <c r="Q212" s="61" t="str">
        <f>_xlfn.IFNA(VLOOKUP($F212,tblPacts[],3,FALSE),"")</f>
        <v/>
      </c>
      <c r="R212" s="61" t="str">
        <f>_xlfn.IFNA(VLOOKUP($F212,tblPacts[],4,FALSE),"")</f>
        <v/>
      </c>
    </row>
    <row r="213" spans="1:18">
      <c r="A213" s="1" t="s">
        <v>212</v>
      </c>
      <c r="B213" t="str">
        <f t="shared" si="33"/>
        <v>¬</v>
      </c>
      <c r="D213" s="19"/>
      <c r="E213" s="15" t="s">
        <v>1483</v>
      </c>
      <c r="F213" s="3"/>
      <c r="G213" s="19" t="str">
        <f>IFERROR(VLOOKUP(F213,tblManoeuvre[#Data],2,FALSE)&amp;" "&amp;VLOOKUP(F213,tblManoeuvre[#Data],3,FALSE),"")</f>
        <v/>
      </c>
      <c r="H213" s="68" t="str">
        <f>_xlfn.IFNA(IF(VLOOKUP(F213,tblMerits[#Data],6,FALSE)=0,"None",VLOOKUP(F213,tblMerits[#Data],6,FALSE)),"None")</f>
        <v>None</v>
      </c>
      <c r="I213" s="69"/>
      <c r="L213" s="4"/>
      <c r="M213" s="4"/>
      <c r="N213" s="4"/>
      <c r="O213" s="61">
        <f t="shared" si="34"/>
        <v>0</v>
      </c>
      <c r="P213" s="60">
        <f t="shared" si="35"/>
        <v>0</v>
      </c>
      <c r="Q213" s="61" t="str">
        <f>_xlfn.IFNA(VLOOKUP($F213,tblPacts[],3,FALSE),"")</f>
        <v/>
      </c>
      <c r="R213" s="61" t="str">
        <f>_xlfn.IFNA(VLOOKUP($F213,tblPacts[],4,FALSE),"")</f>
        <v/>
      </c>
    </row>
    <row r="214" spans="1:18">
      <c r="A214" s="1" t="s">
        <v>213</v>
      </c>
      <c r="B214" t="str">
        <f t="shared" si="33"/>
        <v>¬</v>
      </c>
      <c r="D214" s="19"/>
      <c r="E214" s="15" t="s">
        <v>1484</v>
      </c>
      <c r="F214" s="3"/>
      <c r="G214" s="19" t="str">
        <f>IFERROR(VLOOKUP(F214,tblManoeuvre[#Data],2,FALSE)&amp;" "&amp;VLOOKUP(F214,tblManoeuvre[#Data],3,FALSE),"")</f>
        <v/>
      </c>
      <c r="H214" s="68" t="str">
        <f>_xlfn.IFNA(IF(VLOOKUP(F214,tblMerits[#Data],6,FALSE)=0,"None",VLOOKUP(F214,tblMerits[#Data],6,FALSE)),"None")</f>
        <v>None</v>
      </c>
      <c r="I214" s="69"/>
      <c r="L214" s="4"/>
      <c r="M214" s="4"/>
      <c r="N214" s="4"/>
      <c r="O214" s="61">
        <f t="shared" si="34"/>
        <v>0</v>
      </c>
      <c r="P214" s="60">
        <f t="shared" si="35"/>
        <v>0</v>
      </c>
      <c r="Q214" s="61" t="str">
        <f>_xlfn.IFNA(VLOOKUP($F214,tblPacts[],3,FALSE),"")</f>
        <v/>
      </c>
      <c r="R214" s="61" t="str">
        <f>_xlfn.IFNA(VLOOKUP($F214,tblPacts[],4,FALSE),"")</f>
        <v/>
      </c>
    </row>
    <row r="215" spans="1:18">
      <c r="A215" s="1" t="s">
        <v>214</v>
      </c>
      <c r="B215" t="str">
        <f t="shared" si="33"/>
        <v>¬</v>
      </c>
      <c r="D215" s="19"/>
      <c r="E215" s="15" t="s">
        <v>1485</v>
      </c>
      <c r="F215" s="3"/>
      <c r="G215" s="19" t="str">
        <f>IFERROR(VLOOKUP(F215,tblManoeuvre[#Data],2,FALSE)&amp;" "&amp;VLOOKUP(F215,tblManoeuvre[#Data],3,FALSE),"")</f>
        <v/>
      </c>
      <c r="H215" s="68" t="str">
        <f>_xlfn.IFNA(IF(VLOOKUP(F215,tblMerits[#Data],6,FALSE)=0,"None",VLOOKUP(F215,tblMerits[#Data],6,FALSE)),"None")</f>
        <v>None</v>
      </c>
      <c r="I215" s="69"/>
      <c r="L215" s="4"/>
      <c r="M215" s="4"/>
      <c r="N215" s="4"/>
      <c r="O215" s="61">
        <f t="shared" si="34"/>
        <v>0</v>
      </c>
      <c r="P215" s="60">
        <f t="shared" si="35"/>
        <v>0</v>
      </c>
      <c r="Q215" s="61" t="str">
        <f>_xlfn.IFNA(VLOOKUP($F215,tblPacts[],3,FALSE),"")</f>
        <v/>
      </c>
      <c r="R215" s="61" t="str">
        <f>_xlfn.IFNA(VLOOKUP($F215,tblPacts[],4,FALSE),"")</f>
        <v/>
      </c>
    </row>
    <row r="216" spans="1:18">
      <c r="A216" s="1" t="s">
        <v>215</v>
      </c>
      <c r="B216" t="str">
        <f t="shared" si="33"/>
        <v>¬</v>
      </c>
    </row>
    <row r="217" spans="1:18">
      <c r="A217" s="1" t="s">
        <v>216</v>
      </c>
      <c r="B217" t="str">
        <f>IF(OR(AF134=0,AF134=""),"",REPT("●",AF134))</f>
        <v>●●●●●</v>
      </c>
      <c r="D217" s="16" t="s">
        <v>1509</v>
      </c>
      <c r="E217" s="16"/>
      <c r="F217" s="16"/>
      <c r="G217" s="16"/>
      <c r="H217" s="16"/>
      <c r="I217" s="16"/>
    </row>
    <row r="218" spans="1:18">
      <c r="A218" s="1" t="s">
        <v>217</v>
      </c>
      <c r="B218" t="str">
        <f t="shared" ref="B218:B236" si="36">IF(OR(AF135=0,AF135=""),"",REPT("●",AF135))</f>
        <v>●●●</v>
      </c>
      <c r="D218" s="19"/>
      <c r="E218" s="15" t="s">
        <v>353</v>
      </c>
      <c r="F218" s="19"/>
      <c r="G218" s="19"/>
      <c r="H218" s="19"/>
      <c r="I218" s="19"/>
      <c r="M218" s="61">
        <f>IF(COUNTIF(F79:F93,"Giant")&gt;0,1,0)+IF(COUNTIF(F79:F93,"Small-Framed")&gt;0,-1,0)</f>
        <v>0</v>
      </c>
      <c r="P218" s="60">
        <f>5+M218</f>
        <v>5</v>
      </c>
    </row>
    <row r="219" spans="1:18">
      <c r="A219" s="1" t="s">
        <v>218</v>
      </c>
      <c r="B219" t="str">
        <f t="shared" si="36"/>
        <v>●●●</v>
      </c>
      <c r="D219" s="19"/>
      <c r="E219" s="15" t="s">
        <v>354</v>
      </c>
      <c r="F219" s="19"/>
      <c r="G219" s="19"/>
      <c r="H219" s="19"/>
      <c r="I219" s="19"/>
      <c r="P219" s="60">
        <f ca="1">VLOOKUP("Size",INDIRECT($AH$1),2,FALSE)+VLOOKUP("Strength",INDIRECT($AH$1),2,FALSE)+VLOOKUP("Dexterity",INDIRECT($AH$1),2,FALSE)+VLOOKUP("Vigour",INDIRECT($AH$1),2,FALSE)</f>
        <v>9</v>
      </c>
    </row>
    <row r="220" spans="1:18">
      <c r="A220" s="1" t="s">
        <v>219</v>
      </c>
      <c r="B220" t="str">
        <f t="shared" si="36"/>
        <v/>
      </c>
      <c r="D220" s="19"/>
      <c r="E220" s="15" t="s">
        <v>355</v>
      </c>
      <c r="F220" s="19"/>
      <c r="G220" s="19"/>
      <c r="H220" s="19"/>
      <c r="I220" s="19"/>
      <c r="P220" s="60">
        <f ca="1">MIN(VLOOKUP("Dexterity",INDIRECT($AH$1),2,FALSE),VLOOKUP("Wits",INDIRECT($AH$1),2,FALSE))+VLOOKUP("Athletics",INDIRECT($AH$1),2,FALSE)</f>
        <v>2</v>
      </c>
    </row>
    <row r="221" spans="1:18">
      <c r="A221" s="1" t="s">
        <v>220</v>
      </c>
      <c r="B221" t="str">
        <f t="shared" si="36"/>
        <v/>
      </c>
      <c r="D221" s="19"/>
      <c r="E221" s="15" t="s">
        <v>52</v>
      </c>
      <c r="F221" s="19"/>
      <c r="G221" s="19"/>
      <c r="H221" s="19"/>
      <c r="I221" s="19"/>
      <c r="P221" s="60">
        <f ca="1">VLOOKUP("Size",INDIRECT($AH$1),2,FALSE)+VLOOKUP("Stamina",INDIRECT($AH$1),2,FALSE)+VLOOKUP("Resilience",INDIRECT($AH$1),2,FALSE)</f>
        <v>9</v>
      </c>
    </row>
    <row r="222" spans="1:18">
      <c r="A222" s="1" t="s">
        <v>221</v>
      </c>
      <c r="B222" t="str">
        <f t="shared" si="36"/>
        <v/>
      </c>
      <c r="D222" s="19"/>
      <c r="E222" s="19"/>
      <c r="F222" s="19"/>
      <c r="G222" s="19"/>
      <c r="H222" s="15" t="s">
        <v>1510</v>
      </c>
      <c r="I222" s="19"/>
      <c r="L222" s="4"/>
    </row>
    <row r="223" spans="1:18">
      <c r="A223" s="1" t="s">
        <v>222</v>
      </c>
      <c r="B223" t="str">
        <f t="shared" si="36"/>
        <v/>
      </c>
      <c r="D223" s="19"/>
      <c r="E223" s="15" t="s">
        <v>1511</v>
      </c>
      <c r="F223" s="7"/>
      <c r="G223" s="19"/>
      <c r="H223" s="15" t="s">
        <v>1512</v>
      </c>
      <c r="I223" s="19"/>
      <c r="L223" s="4"/>
    </row>
    <row r="224" spans="1:18">
      <c r="A224" s="1" t="s">
        <v>223</v>
      </c>
      <c r="B224" t="str">
        <f t="shared" si="36"/>
        <v/>
      </c>
      <c r="D224" s="19"/>
      <c r="E224" s="15" t="s">
        <v>1513</v>
      </c>
      <c r="F224" s="7"/>
      <c r="G224" s="19"/>
      <c r="H224" s="15" t="s">
        <v>1514</v>
      </c>
      <c r="I224" s="19"/>
      <c r="L224" s="4"/>
    </row>
    <row r="225" spans="1:12">
      <c r="A225" s="1" t="s">
        <v>224</v>
      </c>
      <c r="B225" t="str">
        <f t="shared" si="36"/>
        <v/>
      </c>
      <c r="D225" s="19"/>
      <c r="E225" s="15" t="s">
        <v>1515</v>
      </c>
      <c r="F225" s="7"/>
      <c r="G225" s="19"/>
      <c r="H225" s="15" t="s">
        <v>1516</v>
      </c>
      <c r="I225" s="19"/>
      <c r="L225" s="4"/>
    </row>
    <row r="226" spans="1:12">
      <c r="A226" s="1" t="s">
        <v>225</v>
      </c>
      <c r="B226" t="str">
        <f t="shared" si="36"/>
        <v/>
      </c>
      <c r="D226" s="19"/>
      <c r="E226" s="15" t="s">
        <v>1517</v>
      </c>
      <c r="F226" s="7" t="s">
        <v>1608</v>
      </c>
      <c r="G226" s="19"/>
      <c r="H226" s="19"/>
      <c r="I226" s="19"/>
    </row>
    <row r="227" spans="1:12">
      <c r="A227" s="1" t="s">
        <v>226</v>
      </c>
      <c r="B227" t="str">
        <f t="shared" si="36"/>
        <v/>
      </c>
      <c r="D227" s="19"/>
      <c r="E227" s="15" t="s">
        <v>1518</v>
      </c>
      <c r="F227" s="7"/>
      <c r="G227" s="19"/>
      <c r="H227" s="19"/>
      <c r="I227" s="19"/>
    </row>
    <row r="228" spans="1:12">
      <c r="A228" s="1" t="s">
        <v>227</v>
      </c>
      <c r="B228" t="str">
        <f t="shared" si="36"/>
        <v/>
      </c>
      <c r="D228" s="19"/>
      <c r="E228" s="15" t="s">
        <v>1519</v>
      </c>
      <c r="F228" s="7"/>
      <c r="G228" s="19"/>
      <c r="H228" s="19"/>
      <c r="I228" s="19"/>
    </row>
    <row r="229" spans="1:12">
      <c r="A229" s="1" t="s">
        <v>228</v>
      </c>
      <c r="B229" t="str">
        <f t="shared" si="36"/>
        <v/>
      </c>
      <c r="D229" s="19"/>
      <c r="E229" s="15" t="s">
        <v>1520</v>
      </c>
      <c r="F229" s="7"/>
      <c r="G229" s="19"/>
      <c r="H229" s="19"/>
      <c r="I229" s="19"/>
    </row>
    <row r="230" spans="1:12">
      <c r="A230" s="1" t="s">
        <v>229</v>
      </c>
      <c r="B230" t="str">
        <f t="shared" si="36"/>
        <v/>
      </c>
      <c r="D230" s="19"/>
      <c r="E230" s="15" t="s">
        <v>1521</v>
      </c>
      <c r="F230" s="7"/>
      <c r="G230" s="19"/>
      <c r="H230" s="19"/>
      <c r="I230" s="19"/>
    </row>
    <row r="231" spans="1:12">
      <c r="A231" s="1" t="s">
        <v>230</v>
      </c>
      <c r="B231" t="str">
        <f t="shared" si="36"/>
        <v/>
      </c>
      <c r="D231" s="19"/>
      <c r="E231" s="15" t="s">
        <v>1522</v>
      </c>
      <c r="F231" s="7"/>
      <c r="G231" s="19"/>
      <c r="H231" s="19"/>
      <c r="I231" s="19"/>
    </row>
    <row r="232" spans="1:12">
      <c r="A232" s="1" t="s">
        <v>231</v>
      </c>
      <c r="B232" t="str">
        <f t="shared" si="36"/>
        <v/>
      </c>
      <c r="D232" s="19"/>
      <c r="E232" s="15" t="s">
        <v>1523</v>
      </c>
      <c r="F232" s="7"/>
      <c r="G232" s="19"/>
      <c r="H232" s="19"/>
      <c r="I232" s="19"/>
    </row>
    <row r="233" spans="1:12">
      <c r="A233" s="1" t="s">
        <v>232</v>
      </c>
      <c r="B233" t="str">
        <f t="shared" si="36"/>
        <v/>
      </c>
      <c r="D233" s="19"/>
      <c r="E233" s="19"/>
      <c r="F233" s="19"/>
      <c r="G233" s="19"/>
      <c r="H233" s="19"/>
      <c r="I233" s="19"/>
    </row>
    <row r="234" spans="1:12">
      <c r="A234" s="1" t="s">
        <v>233</v>
      </c>
      <c r="B234" t="str">
        <f t="shared" si="36"/>
        <v/>
      </c>
      <c r="D234" s="19"/>
      <c r="E234" s="15" t="s">
        <v>343</v>
      </c>
      <c r="F234" s="61" t="str">
        <f>_xlfn.IFNA(VLOOKUP(F7,tblClans[],4,FALSE),"")</f>
        <v>Aloof Curse</v>
      </c>
      <c r="G234" s="19"/>
      <c r="H234" s="74" t="str">
        <f>_xlfn.IFNA(VLOOKUP(F234,tblBanes[],2,FALSE),"")</f>
        <v>First Touchstone attaches to Humanity 7; losing it detaches on first Humanity loss. Breaking points always treated as one step lower.</v>
      </c>
      <c r="I234" s="74"/>
    </row>
    <row r="235" spans="1:12">
      <c r="A235" s="1" t="s">
        <v>234</v>
      </c>
      <c r="B235" t="str">
        <f t="shared" si="36"/>
        <v/>
      </c>
      <c r="D235" s="19"/>
      <c r="E235" s="15" t="s">
        <v>344</v>
      </c>
      <c r="F235" s="19"/>
      <c r="G235" s="19"/>
      <c r="H235" s="19"/>
      <c r="I235" s="19"/>
    </row>
    <row r="236" spans="1:12">
      <c r="A236" s="1" t="s">
        <v>235</v>
      </c>
      <c r="B236" t="str">
        <f t="shared" si="36"/>
        <v/>
      </c>
      <c r="D236" s="19"/>
      <c r="E236" s="15" t="s">
        <v>345</v>
      </c>
      <c r="F236" s="3"/>
      <c r="G236" s="19"/>
      <c r="H236" s="70" t="str">
        <f>_xlfn.IFNA(VLOOKUP(F236,tblBanes[],2,FALSE),"")</f>
        <v/>
      </c>
      <c r="I236" s="71"/>
    </row>
    <row r="237" spans="1:12">
      <c r="A237" s="1" t="s">
        <v>236</v>
      </c>
      <c r="B237" t="str">
        <f ca="1">_xlfn.LET(_xlpm.v,VLOOKUP(tblCharDataCarver[[#This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_xlfn.LET(_xlpm.v,VLOOKUP(tblCharDataCarver[[#This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_xlfn.LET(_xlpm.v,VLOOKUP(tblCharDataCarver[[#This Row],[Field]],INDIRECT($AH$1),2,FALSE),IF(OR(_xlpm.v=0,_xlpm.v=""),"-",REPT("●",_xlpm.v)))</f>
        <v>-</v>
      </c>
      <c r="D239" s="19"/>
      <c r="E239" s="19"/>
      <c r="F239" s="19"/>
      <c r="G239" s="19"/>
      <c r="H239" s="19"/>
      <c r="I239" s="19"/>
    </row>
    <row r="240" spans="1:12">
      <c r="A240" s="1" t="s">
        <v>239</v>
      </c>
      <c r="B240" t="str">
        <f ca="1">_xlfn.LET(_xlpm.v,VLOOKUP(tblCharDataCarver[[#This Row],[Field]],INDIRECT($AH$1),2,FALSE),IF(OR(_xlpm.v=0,_xlpm.v=""),"-",REPT("●",_xlpm.v)))</f>
        <v>-</v>
      </c>
      <c r="D240" s="19"/>
      <c r="E240" s="15" t="s">
        <v>360</v>
      </c>
      <c r="F240" s="62"/>
      <c r="G240" s="63"/>
      <c r="H240" s="63"/>
      <c r="I240" s="64"/>
    </row>
    <row r="241" spans="1:9">
      <c r="A241" s="1" t="s">
        <v>240</v>
      </c>
      <c r="B241" t="str">
        <f ca="1">_xlfn.LET(_xlpm.v,VLOOKUP(tblCharDataCarver[[#This Row],[Field]],INDIRECT($AH$1),2,FALSE),IF(OR(_xlpm.v=0,_xlpm.v=""),"-",REPT("●",_xlpm.v)))</f>
        <v>-</v>
      </c>
      <c r="D241" s="19"/>
      <c r="E241" s="15" t="s">
        <v>361</v>
      </c>
      <c r="F241" s="62"/>
      <c r="G241" s="63"/>
      <c r="H241" s="63"/>
      <c r="I241" s="64"/>
    </row>
    <row r="242" spans="1:9">
      <c r="A242" s="1" t="s">
        <v>241</v>
      </c>
      <c r="B242" t="str">
        <f ca="1">_xlfn.LET(_xlpm.v,VLOOKUP(tblCharDataCarver[[#This Row],[Field]],INDIRECT($AH$1),2,FALSE),IF(OR(_xlpm.v=0,_xlpm.v=""),"-",REPT("●",_xlpm.v)))</f>
        <v>●●●●</v>
      </c>
      <c r="D242" s="19"/>
      <c r="E242" s="15" t="s">
        <v>362</v>
      </c>
      <c r="F242" s="62"/>
      <c r="G242" s="63"/>
      <c r="H242" s="63"/>
      <c r="I242" s="64"/>
    </row>
    <row r="243" spans="1:9">
      <c r="A243" s="1" t="s">
        <v>242</v>
      </c>
      <c r="B243" t="str">
        <f ca="1">_xlfn.LET(_xlpm.v,VLOOKUP(tblCharDataCarver[[#This Row],[Field]],INDIRECT($AH$1),2,FALSE),IF(OR(_xlpm.v=0,_xlpm.v=""),"-",REPT("●",_xlpm.v)))</f>
        <v>-</v>
      </c>
      <c r="D243" s="19"/>
      <c r="E243" s="19"/>
      <c r="F243" s="19"/>
      <c r="G243" s="19"/>
      <c r="H243" s="19"/>
      <c r="I243" s="19"/>
    </row>
    <row r="244" spans="1:9">
      <c r="A244" s="1" t="s">
        <v>243</v>
      </c>
      <c r="B244" t="str">
        <f ca="1">_xlfn.LET(_xlpm.v,VLOOKUP(tblCharDataCarver[[#This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_xlfn.LET(_xlpm.v,VLOOKUP(tblCharDataCarver[[#This Row],[Field]],INDIRECT($AH$1),2,FALSE),IF(OR(_xlpm.v=0,_xlpm.v=""),"-",REPT("●",_xlpm.v)))</f>
        <v>●●</v>
      </c>
      <c r="D245" s="19"/>
      <c r="E245" s="15" t="s">
        <v>1524</v>
      </c>
      <c r="F245" s="62"/>
      <c r="G245" s="63"/>
      <c r="H245" s="63"/>
      <c r="I245" s="64"/>
    </row>
    <row r="246" spans="1:9">
      <c r="A246" s="1" t="s">
        <v>245</v>
      </c>
      <c r="B246" t="str">
        <f ca="1">_xlfn.LET(_xlpm.v,VLOOKUP(tblCharDataCarver[[#This Row],[Field]],INDIRECT($AH$1),2,FALSE),IF(OR(_xlpm.v=0,_xlpm.v=""),"-",REPT("●",_xlpm.v)))</f>
        <v>-</v>
      </c>
    </row>
    <row r="247" spans="1:9">
      <c r="A247" s="1" t="s">
        <v>246</v>
      </c>
      <c r="B247" t="str">
        <f ca="1">_xlfn.LET(_xlpm.v,VLOOKUP(tblCharDataCarver[[#This Row],[Field]],INDIRECT($AH$1),2,FALSE),IF(OR(_xlpm.v=0,_xlpm.v=""),"-",REPT("●",_xlpm.v)))</f>
        <v>-</v>
      </c>
      <c r="D247" s="16" t="s">
        <v>1525</v>
      </c>
      <c r="E247" s="16"/>
      <c r="F247" s="16" t="s">
        <v>1526</v>
      </c>
      <c r="G247" s="16" t="s">
        <v>1527</v>
      </c>
      <c r="H247" s="16"/>
      <c r="I247" s="16"/>
    </row>
    <row r="248" spans="1:9">
      <c r="A248" s="1" t="s">
        <v>247</v>
      </c>
      <c r="B248" t="str">
        <f ca="1">_xlfn.LET(_xlpm.v,VLOOKUP(tblCharDataCarver[[#This Row],[Field]],INDIRECT($AH$1),2,FALSE),IF(OR(_xlpm.v=0,_xlpm.v=""),"-",REPT("●",_xlpm.v)))</f>
        <v>-</v>
      </c>
      <c r="D248" s="19"/>
      <c r="E248" s="15" t="s">
        <v>1528</v>
      </c>
      <c r="F248" s="7"/>
      <c r="G248" s="7"/>
      <c r="H248" s="19"/>
      <c r="I248" s="19" t="s">
        <v>1529</v>
      </c>
    </row>
    <row r="249" spans="1:9">
      <c r="A249" s="1" t="s">
        <v>248</v>
      </c>
      <c r="B249" t="str">
        <f ca="1">_xlfn.LET(_xlpm.v,VLOOKUP(tblCharDataCarver[[#This Row],[Field]],INDIRECT($AH$1),2,FALSE),IF(OR(_xlpm.v=0,_xlpm.v=""),"-",REPT("●",_xlpm.v)))</f>
        <v>-</v>
      </c>
      <c r="D249" s="19"/>
      <c r="E249" s="15" t="s">
        <v>1530</v>
      </c>
      <c r="F249" s="7"/>
      <c r="G249" s="7"/>
      <c r="H249" s="19"/>
      <c r="I249" s="19" t="s">
        <v>1531</v>
      </c>
    </row>
    <row r="250" spans="1:9">
      <c r="A250" s="1" t="s">
        <v>249</v>
      </c>
      <c r="B250" t="str">
        <f ca="1">_xlfn.LET(_xlpm.v,VLOOKUP(tblCharDataCarver[[#This Row],[Field]],INDIRECT($AH$1),2,FALSE),IF(OR(_xlpm.v=0,_xlpm.v=""),"-",REPT("●",_xlpm.v)))</f>
        <v>-</v>
      </c>
      <c r="D250" s="19" t="s">
        <v>1532</v>
      </c>
      <c r="E250" s="15" t="s">
        <v>1533</v>
      </c>
      <c r="F250" s="7"/>
      <c r="G250" s="7"/>
      <c r="H250" s="19"/>
      <c r="I250" s="19"/>
    </row>
    <row r="251" spans="1:9">
      <c r="A251" s="1" t="s">
        <v>250</v>
      </c>
      <c r="B251" t="str">
        <f ca="1">_xlfn.LET(_xlpm.v,VLOOKUP(tblCharDataCarver[[#This Row],[Field]],INDIRECT($AH$1),2,FALSE),IF(OR(_xlpm.v=0,_xlpm.v=""),"-",REPT("●",_xlpm.v)))</f>
        <v>-</v>
      </c>
      <c r="D251" s="19" t="s">
        <v>1532</v>
      </c>
      <c r="E251" s="15" t="s">
        <v>1534</v>
      </c>
      <c r="F251" s="7"/>
      <c r="G251" s="7"/>
      <c r="H251" s="19"/>
      <c r="I251" s="19"/>
    </row>
    <row r="252" spans="1:9">
      <c r="A252" s="1" t="s">
        <v>251</v>
      </c>
      <c r="B252" t="str">
        <f ca="1">_xlfn.LET(_xlpm.v,VLOOKUP(tblCharDataCarver[[#This Row],[Field]],INDIRECT($AH$1),2,FALSE),IF(OR(_xlpm.v=0,_xlpm.v=""),"-",REPT("●",_xlpm.v)))</f>
        <v>-</v>
      </c>
      <c r="D252" s="19" t="s">
        <v>1532</v>
      </c>
      <c r="E252" s="15" t="s">
        <v>1535</v>
      </c>
      <c r="F252" s="7"/>
      <c r="G252" s="7"/>
      <c r="H252" s="19"/>
      <c r="I252" s="19"/>
    </row>
    <row r="253" spans="1:9">
      <c r="A253" s="1" t="s">
        <v>252</v>
      </c>
      <c r="B253" t="str">
        <f ca="1">_xlfn.LET(_xlpm.v,VLOOKUP(tblCharDataCarver[[#This Row],[Field]],INDIRECT($AH$1),2,FALSE),IF(OR(_xlpm.v=0,_xlpm.v=""),"-",REPT("●",_xlpm.v)))</f>
        <v>-</v>
      </c>
      <c r="D253" s="19" t="s">
        <v>1532</v>
      </c>
      <c r="E253" s="15" t="s">
        <v>1536</v>
      </c>
      <c r="F253" s="7"/>
      <c r="G253" s="7"/>
      <c r="H253" s="19"/>
      <c r="I253" s="19"/>
    </row>
    <row r="254" spans="1:9">
      <c r="A254" s="1" t="s">
        <v>253</v>
      </c>
      <c r="B254" t="str">
        <f t="shared" ref="B254:B283" si="37">IF(AD44="","¬",AD44)</f>
        <v>Nightmare ● | Dread Presence</v>
      </c>
      <c r="D254" s="19" t="s">
        <v>1532</v>
      </c>
      <c r="E254" s="15" t="s">
        <v>1537</v>
      </c>
      <c r="F254" s="7"/>
      <c r="G254" s="7"/>
      <c r="H254" s="19"/>
      <c r="I254" s="19"/>
    </row>
    <row r="255" spans="1:9">
      <c r="A255" s="1" t="s">
        <v>254</v>
      </c>
      <c r="B255" t="str">
        <f t="shared" si="37"/>
        <v>Nightmare ●● | Face of the Beast</v>
      </c>
      <c r="D255" s="19" t="s">
        <v>1532</v>
      </c>
      <c r="E255" s="15" t="s">
        <v>1538</v>
      </c>
      <c r="F255" s="7"/>
      <c r="G255" s="7"/>
      <c r="H255" s="19"/>
      <c r="I255" s="19"/>
    </row>
    <row r="256" spans="1:9">
      <c r="A256" s="1" t="s">
        <v>255</v>
      </c>
      <c r="B256" t="str">
        <f t="shared" si="37"/>
        <v>Nightmare ●●● | Grand Delusion</v>
      </c>
      <c r="D256" s="19" t="s">
        <v>1532</v>
      </c>
      <c r="E256" s="15" t="s">
        <v>1539</v>
      </c>
      <c r="F256" s="7"/>
      <c r="G256" s="7"/>
      <c r="H256" s="19"/>
      <c r="I256" s="19"/>
    </row>
    <row r="257" spans="1:9">
      <c r="A257" s="1" t="s">
        <v>256</v>
      </c>
      <c r="B257" t="str">
        <f t="shared" si="37"/>
        <v>Nightmare ●●●● | Waking Nightmare</v>
      </c>
      <c r="D257" s="19" t="s">
        <v>1532</v>
      </c>
      <c r="E257" s="15" t="s">
        <v>1540</v>
      </c>
      <c r="F257" s="7"/>
      <c r="G257" s="7"/>
      <c r="H257" s="19"/>
      <c r="I257" s="19"/>
    </row>
    <row r="258" spans="1:9">
      <c r="A258" s="1" t="s">
        <v>257</v>
      </c>
      <c r="B258" t="str">
        <f t="shared" si="37"/>
        <v>Resilience ●●</v>
      </c>
      <c r="D258" s="19" t="s">
        <v>1532</v>
      </c>
      <c r="E258" s="15" t="s">
        <v>1541</v>
      </c>
      <c r="F258" s="7"/>
      <c r="G258" s="7"/>
      <c r="H258" s="19"/>
      <c r="I258" s="19"/>
    </row>
    <row r="259" spans="1:9">
      <c r="A259" s="1" t="s">
        <v>258</v>
      </c>
      <c r="B259" t="str">
        <f t="shared" si="37"/>
        <v>Devotion  | Skim the Void</v>
      </c>
      <c r="D259" s="19" t="s">
        <v>1532</v>
      </c>
      <c r="E259" s="15" t="s">
        <v>1542</v>
      </c>
      <c r="F259" s="7"/>
      <c r="G259" s="7"/>
      <c r="H259" s="19"/>
      <c r="I259" s="19"/>
    </row>
    <row r="260" spans="1:9">
      <c r="A260" s="1" t="s">
        <v>259</v>
      </c>
      <c r="B260" t="str">
        <f t="shared" si="37"/>
        <v>¬</v>
      </c>
      <c r="D260" s="19" t="s">
        <v>1532</v>
      </c>
      <c r="E260" s="15" t="s">
        <v>1543</v>
      </c>
      <c r="F260" s="7"/>
      <c r="G260" s="7"/>
      <c r="H260" s="19"/>
      <c r="I260" s="19"/>
    </row>
    <row r="261" spans="1:9">
      <c r="A261" s="1" t="s">
        <v>260</v>
      </c>
      <c r="B261" t="str">
        <f t="shared" si="37"/>
        <v>¬</v>
      </c>
      <c r="D261" s="19" t="s">
        <v>1532</v>
      </c>
      <c r="E261" s="15" t="s">
        <v>1544</v>
      </c>
      <c r="F261" s="7"/>
      <c r="G261" s="7"/>
      <c r="H261" s="19"/>
      <c r="I261" s="19"/>
    </row>
    <row r="262" spans="1:9">
      <c r="A262" s="1" t="s">
        <v>261</v>
      </c>
      <c r="B262" t="str">
        <f t="shared" si="37"/>
        <v>¬</v>
      </c>
      <c r="D262" s="19" t="s">
        <v>1532</v>
      </c>
      <c r="E262" s="15" t="s">
        <v>1545</v>
      </c>
      <c r="F262" s="7"/>
      <c r="G262" s="7"/>
      <c r="H262" s="19"/>
      <c r="I262" s="19"/>
    </row>
    <row r="263" spans="1:9">
      <c r="A263" s="1" t="s">
        <v>262</v>
      </c>
      <c r="B263" t="str">
        <f t="shared" si="37"/>
        <v>¬</v>
      </c>
      <c r="D263" s="19" t="s">
        <v>1532</v>
      </c>
      <c r="E263" s="15" t="s">
        <v>1546</v>
      </c>
      <c r="F263" s="7"/>
      <c r="G263" s="7"/>
      <c r="H263" s="19"/>
      <c r="I263" s="19"/>
    </row>
    <row r="264" spans="1:9">
      <c r="A264" s="1" t="s">
        <v>263</v>
      </c>
      <c r="B264" t="str">
        <f t="shared" si="37"/>
        <v>¬</v>
      </c>
      <c r="D264" s="19" t="s">
        <v>1532</v>
      </c>
      <c r="E264" s="15" t="s">
        <v>1547</v>
      </c>
      <c r="F264" s="7"/>
      <c r="G264" s="7"/>
      <c r="H264" s="19"/>
      <c r="I264" s="19"/>
    </row>
    <row r="265" spans="1:9">
      <c r="A265" s="1" t="s">
        <v>264</v>
      </c>
      <c r="B265" t="str">
        <f t="shared" si="37"/>
        <v>¬</v>
      </c>
      <c r="D265" s="19" t="s">
        <v>1532</v>
      </c>
      <c r="E265" s="15" t="s">
        <v>1548</v>
      </c>
      <c r="F265" s="7"/>
      <c r="G265" s="7"/>
      <c r="H265" s="19"/>
      <c r="I265" s="19"/>
    </row>
    <row r="266" spans="1:9">
      <c r="A266" s="1" t="s">
        <v>265</v>
      </c>
      <c r="B266" t="str">
        <f t="shared" si="37"/>
        <v>¬</v>
      </c>
      <c r="D266" s="19" t="s">
        <v>1532</v>
      </c>
      <c r="E266" s="15" t="s">
        <v>1549</v>
      </c>
      <c r="F266" s="7"/>
      <c r="G266" s="7"/>
      <c r="H266" s="19"/>
      <c r="I266" s="19"/>
    </row>
    <row r="267" spans="1:9">
      <c r="A267" s="1" t="s">
        <v>266</v>
      </c>
      <c r="B267" t="str">
        <f t="shared" si="37"/>
        <v>¬</v>
      </c>
      <c r="D267" s="19" t="s">
        <v>1532</v>
      </c>
      <c r="E267" s="15" t="s">
        <v>1550</v>
      </c>
      <c r="F267" s="7"/>
      <c r="G267" s="7"/>
      <c r="H267" s="19"/>
      <c r="I267" s="19"/>
    </row>
    <row r="268" spans="1:9">
      <c r="A268" s="1" t="s">
        <v>267</v>
      </c>
      <c r="B268" t="str">
        <f t="shared" si="37"/>
        <v>¬</v>
      </c>
      <c r="D268" s="19" t="s">
        <v>1532</v>
      </c>
      <c r="E268" s="15" t="s">
        <v>1551</v>
      </c>
      <c r="F268" s="7"/>
      <c r="G268" s="7"/>
      <c r="H268" s="19"/>
      <c r="I268" s="19"/>
    </row>
    <row r="269" spans="1:9">
      <c r="A269" s="1" t="s">
        <v>268</v>
      </c>
      <c r="B269" t="str">
        <f t="shared" si="37"/>
        <v>¬</v>
      </c>
      <c r="D269" s="19" t="s">
        <v>1532</v>
      </c>
      <c r="E269" s="15" t="s">
        <v>1552</v>
      </c>
      <c r="F269" s="7"/>
      <c r="G269" s="7"/>
      <c r="H269" s="19"/>
      <c r="I269" s="19"/>
    </row>
    <row r="270" spans="1:9">
      <c r="A270" s="1" t="s">
        <v>269</v>
      </c>
      <c r="B270" t="str">
        <f t="shared" si="37"/>
        <v>¬</v>
      </c>
      <c r="D270" s="19" t="s">
        <v>1532</v>
      </c>
      <c r="E270" s="15" t="s">
        <v>1553</v>
      </c>
      <c r="F270" s="7"/>
      <c r="G270" s="7"/>
      <c r="H270" s="19"/>
      <c r="I270" s="19"/>
    </row>
    <row r="271" spans="1:9">
      <c r="A271" s="1" t="s">
        <v>270</v>
      </c>
      <c r="B271" t="str">
        <f t="shared" si="37"/>
        <v>¬</v>
      </c>
      <c r="D271" s="19" t="s">
        <v>1532</v>
      </c>
      <c r="E271" s="15" t="s">
        <v>1554</v>
      </c>
      <c r="F271" s="7"/>
      <c r="G271" s="7"/>
      <c r="H271" s="19"/>
      <c r="I271" s="19"/>
    </row>
    <row r="272" spans="1:9">
      <c r="A272" s="1" t="s">
        <v>271</v>
      </c>
      <c r="B272" t="str">
        <f t="shared" si="37"/>
        <v>¬</v>
      </c>
      <c r="D272" s="19" t="s">
        <v>1532</v>
      </c>
      <c r="E272" s="15" t="s">
        <v>1555</v>
      </c>
      <c r="F272" s="7"/>
      <c r="G272" s="7"/>
      <c r="H272" s="19"/>
      <c r="I272" s="19"/>
    </row>
    <row r="273" spans="1:14">
      <c r="A273" s="1" t="s">
        <v>272</v>
      </c>
      <c r="B273" t="str">
        <f t="shared" si="37"/>
        <v>¬</v>
      </c>
      <c r="D273" s="19" t="s">
        <v>1532</v>
      </c>
      <c r="E273" s="15" t="s">
        <v>1556</v>
      </c>
      <c r="F273" s="7"/>
      <c r="G273" s="7"/>
      <c r="H273" s="19"/>
      <c r="I273" s="19"/>
    </row>
    <row r="274" spans="1:14">
      <c r="A274" s="1" t="s">
        <v>273</v>
      </c>
      <c r="B274" t="str">
        <f t="shared" si="37"/>
        <v>¬</v>
      </c>
      <c r="D274" s="19" t="s">
        <v>1532</v>
      </c>
      <c r="E274" s="15" t="s">
        <v>1557</v>
      </c>
      <c r="F274" s="7"/>
      <c r="G274" s="7"/>
      <c r="H274" s="19"/>
      <c r="I274" s="19"/>
    </row>
    <row r="275" spans="1:14">
      <c r="A275" s="1" t="s">
        <v>274</v>
      </c>
      <c r="B275" t="str">
        <f t="shared" si="37"/>
        <v>¬</v>
      </c>
      <c r="D275" s="19" t="s">
        <v>1532</v>
      </c>
      <c r="E275" s="15" t="s">
        <v>1558</v>
      </c>
      <c r="F275" s="7"/>
      <c r="G275" s="7"/>
      <c r="H275" s="19"/>
      <c r="I275" s="19"/>
    </row>
    <row r="276" spans="1:14">
      <c r="A276" s="1" t="s">
        <v>275</v>
      </c>
      <c r="B276" t="str">
        <f t="shared" si="37"/>
        <v>¬</v>
      </c>
      <c r="D276" s="19" t="s">
        <v>1532</v>
      </c>
      <c r="E276" s="15" t="s">
        <v>1559</v>
      </c>
      <c r="F276" s="7"/>
      <c r="G276" s="7"/>
      <c r="H276" s="19"/>
      <c r="I276" s="19"/>
    </row>
    <row r="277" spans="1:14">
      <c r="A277" s="1" t="s">
        <v>276</v>
      </c>
      <c r="B277" t="str">
        <f t="shared" si="37"/>
        <v>¬</v>
      </c>
      <c r="D277" s="19" t="s">
        <v>1532</v>
      </c>
      <c r="E277" s="15" t="s">
        <v>1560</v>
      </c>
      <c r="F277" s="7"/>
      <c r="G277" s="7"/>
      <c r="H277" s="19"/>
      <c r="I277" s="19"/>
    </row>
    <row r="278" spans="1:14">
      <c r="A278" s="1" t="s">
        <v>277</v>
      </c>
      <c r="B278" t="str">
        <f t="shared" si="37"/>
        <v>¬</v>
      </c>
    </row>
    <row r="279" spans="1:14">
      <c r="A279" s="1" t="s">
        <v>278</v>
      </c>
      <c r="B279" t="str">
        <f t="shared" si="37"/>
        <v>¬</v>
      </c>
      <c r="D279" s="16" t="s">
        <v>1561</v>
      </c>
      <c r="E279" s="16"/>
      <c r="F279" s="16" t="s">
        <v>1347</v>
      </c>
      <c r="G279" s="16" t="s">
        <v>1348</v>
      </c>
      <c r="H279" s="16" t="s">
        <v>1349</v>
      </c>
      <c r="I279" s="16" t="s">
        <v>1350</v>
      </c>
      <c r="N279" s="60">
        <f ca="1">SUM(N280:N282)</f>
        <v>3</v>
      </c>
    </row>
    <row r="280" spans="1:14">
      <c r="A280" s="1" t="s">
        <v>279</v>
      </c>
      <c r="B280" t="str">
        <f t="shared" si="37"/>
        <v>¬</v>
      </c>
      <c r="D280" s="61" t="str" cm="1">
        <f t="array" aca="1" ref="D280" ca="1">INDEX(Attendance!$C$14:$GP$44,
       MATCH($F$4, Attendance!$C$14:$C$44, 0),
       MATCH(1, (Attendance!$C$12:$GP$12=$E280) * (Attendance!$C$13:$GP$13="Paid"), 0)
)</f>
        <v>PayID</v>
      </c>
      <c r="E280" s="41">
        <v>46054</v>
      </c>
      <c r="F280" s="61" cm="1">
        <f t="array" aca="1" ref="F280" ca="1">N(INDEX(Attendance!$C$14:$GP$104,
       MATCH($F$4, Attendance!$C$14:$C$104, 0),
       MATCH(1, (Attendance!$C$12:$GP$12=$E280) * (Attendance!$C$13:$GP$13=$F$279), 0)
))</f>
        <v>3</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0</v>
      </c>
      <c r="I280" s="61" t="str" cm="1">
        <f t="array" aca="1" ref="I280" ca="1">INDEX(Attendance!$C$14:$GP$44,
       MATCH($F$4, Attendance!$C$14:$C$44, 0),
       MATCH(1, (Attendance!$C$12:$GP$12=$E280) * (Attendance!$C$13:$GP$13=$I$279), 0)
)</f>
        <v>Quiet</v>
      </c>
      <c r="K280" s="18"/>
      <c r="L280" s="18"/>
      <c r="M280" s="18" t="s">
        <v>1562</v>
      </c>
      <c r="N280" s="61">
        <f ca="1">SUM(F$280:F$316)</f>
        <v>3</v>
      </c>
    </row>
    <row r="281" spans="1:14">
      <c r="A281" s="1" t="s">
        <v>280</v>
      </c>
      <c r="B281" t="str">
        <f t="shared" si="37"/>
        <v>¬</v>
      </c>
      <c r="D281" s="61" t="str" cm="1">
        <f t="array" aca="1" ref="D281" ca="1">INDEX(Attendance!$C$14:$GP$44,
       MATCH($F$4, Attendance!$C$14:$C$44, 0),
       MATCH(1, (Attendance!$C$12:$GP$12=$E281) * (Attendance!$C$13:$GP$13="Paid"), 0)
)</f>
        <v> </v>
      </c>
      <c r="E281" s="42">
        <f t="shared" ref="E281:E316" si="38">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7"/>
        <v>¬</v>
      </c>
      <c r="D282" s="61" t="str" cm="1">
        <f t="array" aca="1" ref="D282" ca="1">INDEX(Attendance!$C$14:$GP$44,
       MATCH($F$4, Attendance!$C$14:$C$44, 0),
       MATCH(1, (Attendance!$C$12:$GP$12=$E282) * (Attendance!$C$13:$GP$13="Paid"), 0)
)</f>
        <v> </v>
      </c>
      <c r="E282" s="42">
        <f t="shared" si="38"/>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0</v>
      </c>
    </row>
    <row r="283" spans="1:14">
      <c r="A283" s="1" t="s">
        <v>282</v>
      </c>
      <c r="B283" t="str">
        <f t="shared" si="37"/>
        <v>¬</v>
      </c>
      <c r="D283" s="61" t="str" cm="1">
        <f t="array" aca="1" ref="D283" ca="1">INDEX(Attendance!$C$14:$GP$44,
       MATCH($F$4, Attendance!$C$14:$C$44, 0),
       MATCH(1, (Attendance!$C$12:$GP$12=$E283) * (Attendance!$C$13:$GP$13="Paid"), 0)
)</f>
        <v> </v>
      </c>
      <c r="E283" s="42">
        <f t="shared" si="38"/>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9">IF(AE44="","¬",AE44)</f>
        <v>Cost: -  •  Pool: -  •  Instant  •  Scene</v>
      </c>
      <c r="D284" s="61" t="str" cm="1">
        <f t="array" aca="1" ref="D284" ca="1">INDEX(Attendance!$C$14:$GP$44,
       MATCH($F$4, Attendance!$C$14:$C$44, 0),
       MATCH(1, (Attendance!$C$12:$GP$12=$E284) * (Attendance!$C$13:$GP$13="Paid"), 0)
)</f>
        <v> </v>
      </c>
      <c r="E284" s="42">
        <f t="shared" si="38"/>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9"/>
        <v>Cost: 1 V  •  Pool: 10  v Composure + BP  •  Contested  •  Instant</v>
      </c>
      <c r="D285" s="61" t="str" cm="1">
        <f t="array" aca="1" ref="D285" ca="1">INDEX(Attendance!$C$14:$GP$44,
       MATCH($F$4, Attendance!$C$14:$C$44, 0),
       MATCH(1, (Attendance!$C$12:$GP$12=$E285) * (Attendance!$C$13:$GP$13="Paid"), 0)
)</f>
        <v> </v>
      </c>
      <c r="E285" s="42">
        <f t="shared" si="38"/>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9"/>
        <v>Cost: 2 V  •  Pool: 9  v Composure + BP  •  Contested  •  1 night</v>
      </c>
      <c r="D286" s="61" t="str" cm="1">
        <f t="array" aca="1" ref="D286" ca="1">INDEX(Attendance!$C$14:$GP$44,
       MATCH($F$4, Attendance!$C$14:$C$44, 0),
       MATCH(1, (Attendance!$C$12:$GP$12=$E286) * (Attendance!$C$13:$GP$13="Paid"), 0)
)</f>
        <v> </v>
      </c>
      <c r="E286" s="42">
        <f t="shared" si="38"/>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9"/>
        <v>Cost: 1 V  •  Pool: 10  v highest Composure + BP  •  Contested  •  Scene</v>
      </c>
      <c r="D287" s="61" t="str" cm="1">
        <f t="array" aca="1" ref="D287" ca="1">INDEX(Attendance!$C$14:$GP$44,
       MATCH($F$4, Attendance!$C$14:$C$44, 0),
       MATCH(1, (Attendance!$C$12:$GP$12=$E287) * (Attendance!$C$13:$GP$13="Paid"), 0)
)</f>
        <v> </v>
      </c>
      <c r="E287" s="42">
        <f t="shared" si="38"/>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9"/>
        <v>Cost: 1 V per effect  •  Pool: -  •  Reflexive  •  1 turn</v>
      </c>
      <c r="D288" s="61" t="str" cm="1">
        <f t="array" aca="1" ref="D288" ca="1">INDEX(Attendance!$C$14:$GP$44,
       MATCH($F$4, Attendance!$C$14:$C$44, 0),
       MATCH(1, (Attendance!$C$12:$GP$12=$E288) * (Attendance!$C$13:$GP$13="Paid"), 0)
)</f>
        <v> </v>
      </c>
      <c r="E288" s="42">
        <f t="shared" si="38"/>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9"/>
        <v>Cost: 1 V (Lasombra Only)  •  Pool: 6  •  Instant  •  Instant</v>
      </c>
      <c r="D289" s="61" t="str" cm="1">
        <f t="array" aca="1" ref="D289" ca="1">INDEX(Attendance!$C$14:$GP$44,
       MATCH($F$4, Attendance!$C$14:$C$44, 0),
       MATCH(1, (Attendance!$C$12:$GP$12=$E289) * (Attendance!$C$13:$GP$13="Paid"), 0)
)</f>
        <v> </v>
      </c>
      <c r="E289" s="42">
        <f t="shared" si="38"/>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9"/>
        <v>¬</v>
      </c>
      <c r="D290" s="61" t="str" cm="1">
        <f t="array" aca="1" ref="D290" ca="1">INDEX(Attendance!$C$14:$GP$44,
       MATCH($F$4, Attendance!$C$14:$C$44, 0),
       MATCH(1, (Attendance!$C$12:$GP$12=$E290) * (Attendance!$C$13:$GP$13="Paid"), 0)
)</f>
        <v> </v>
      </c>
      <c r="E290" s="42">
        <f t="shared" si="38"/>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9"/>
        <v>¬</v>
      </c>
      <c r="D291" s="61" t="str" cm="1">
        <f t="array" aca="1" ref="D291" ca="1">INDEX(Attendance!$C$14:$GP$44,
       MATCH($F$4, Attendance!$C$14:$C$44, 0),
       MATCH(1, (Attendance!$C$12:$GP$12=$E291) * (Attendance!$C$13:$GP$13="Paid"), 0)
)</f>
        <v> </v>
      </c>
      <c r="E291" s="42">
        <f t="shared" si="38"/>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9"/>
        <v>¬</v>
      </c>
      <c r="D292" s="61" t="str" cm="1">
        <f t="array" aca="1" ref="D292" ca="1">INDEX(Attendance!$C$14:$GP$44,
       MATCH($F$4, Attendance!$C$14:$C$44, 0),
       MATCH(1, (Attendance!$C$12:$GP$12=$E292) * (Attendance!$C$13:$GP$13="Paid"), 0)
)</f>
        <v> </v>
      </c>
      <c r="E292" s="42">
        <f t="shared" si="38"/>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9"/>
        <v>¬</v>
      </c>
      <c r="D293" s="61" t="str" cm="1">
        <f t="array" aca="1" ref="D293" ca="1">INDEX(Attendance!$C$14:$GP$44,
       MATCH($F$4, Attendance!$C$14:$C$44, 0),
       MATCH(1, (Attendance!$C$12:$GP$12=$E293) * (Attendance!$C$13:$GP$13="Paid"), 0)
)</f>
        <v> </v>
      </c>
      <c r="E293" s="42">
        <f t="shared" si="38"/>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9"/>
        <v>¬</v>
      </c>
      <c r="D294" s="61" t="str" cm="1">
        <f t="array" aca="1" ref="D294" ca="1">INDEX(Attendance!$C$14:$GP$44,
       MATCH($F$4, Attendance!$C$14:$C$44, 0),
       MATCH(1, (Attendance!$C$12:$GP$12=$E294) * (Attendance!$C$13:$GP$13="Paid"), 0)
)</f>
        <v> </v>
      </c>
      <c r="E294" s="42">
        <f t="shared" si="38"/>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9"/>
        <v>¬</v>
      </c>
      <c r="D295" s="61" t="str" cm="1">
        <f t="array" aca="1" ref="D295" ca="1">INDEX(Attendance!$C$14:$GP$44,
       MATCH($F$4, Attendance!$C$14:$C$44, 0),
       MATCH(1, (Attendance!$C$12:$GP$12=$E295) * (Attendance!$C$13:$GP$13="Paid"), 0)
)</f>
        <v> </v>
      </c>
      <c r="E295" s="42">
        <f t="shared" si="38"/>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9"/>
        <v>¬</v>
      </c>
      <c r="D296" s="61" t="str" cm="1">
        <f t="array" aca="1" ref="D296" ca="1">INDEX(Attendance!$C$14:$GP$44,
       MATCH($F$4, Attendance!$C$14:$C$44, 0),
       MATCH(1, (Attendance!$C$12:$GP$12=$E296) * (Attendance!$C$13:$GP$13="Paid"), 0)
)</f>
        <v> </v>
      </c>
      <c r="E296" s="42">
        <f t="shared" si="38"/>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9"/>
        <v>¬</v>
      </c>
      <c r="D297" s="61" t="str" cm="1">
        <f t="array" aca="1" ref="D297" ca="1">INDEX(Attendance!$C$14:$GP$44,
       MATCH($F$4, Attendance!$C$14:$C$44, 0),
       MATCH(1, (Attendance!$C$12:$GP$12=$E297) * (Attendance!$C$13:$GP$13="Paid"), 0)
)</f>
        <v> </v>
      </c>
      <c r="E297" s="42">
        <f t="shared" si="38"/>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9"/>
        <v>¬</v>
      </c>
      <c r="D298" s="61" t="str" cm="1">
        <f t="array" aca="1" ref="D298" ca="1">INDEX(Attendance!$C$14:$GP$44,
       MATCH($F$4, Attendance!$C$14:$C$44, 0),
       MATCH(1, (Attendance!$C$12:$GP$12=$E298) * (Attendance!$C$13:$GP$13="Paid"), 0)
)</f>
        <v> </v>
      </c>
      <c r="E298" s="42">
        <f t="shared" si="38"/>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9"/>
        <v>¬</v>
      </c>
      <c r="D299" s="61" t="str" cm="1">
        <f t="array" aca="1" ref="D299" ca="1">INDEX(Attendance!$C$14:$GP$44,
       MATCH($F$4, Attendance!$C$14:$C$44, 0),
       MATCH(1, (Attendance!$C$12:$GP$12=$E299) * (Attendance!$C$13:$GP$13="Paid"), 0)
)</f>
        <v> </v>
      </c>
      <c r="E299" s="42">
        <f t="shared" si="38"/>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9"/>
        <v>¬</v>
      </c>
      <c r="D300" s="61" t="str" cm="1">
        <f t="array" aca="1" ref="D300" ca="1">INDEX(Attendance!$C$14:$GP$44,
       MATCH($F$4, Attendance!$C$14:$C$44, 0),
       MATCH(1, (Attendance!$C$12:$GP$12=$E300) * (Attendance!$C$13:$GP$13="Paid"), 0)
)</f>
        <v> </v>
      </c>
      <c r="E300" s="42">
        <f t="shared" si="38"/>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9"/>
        <v>¬</v>
      </c>
      <c r="D301" s="61" t="str" cm="1">
        <f t="array" aca="1" ref="D301" ca="1">INDEX(Attendance!$C$14:$GP$44,
       MATCH($F$4, Attendance!$C$14:$C$44, 0),
       MATCH(1, (Attendance!$C$12:$GP$12=$E301) * (Attendance!$C$13:$GP$13="Paid"), 0)
)</f>
        <v> </v>
      </c>
      <c r="E301" s="42">
        <f t="shared" si="38"/>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9"/>
        <v>¬</v>
      </c>
      <c r="D302" s="61" t="str" cm="1">
        <f t="array" aca="1" ref="D302" ca="1">INDEX(Attendance!$C$14:$GP$44,
       MATCH($F$4, Attendance!$C$14:$C$44, 0),
       MATCH(1, (Attendance!$C$12:$GP$12=$E302) * (Attendance!$C$13:$GP$13="Paid"), 0)
)</f>
        <v> </v>
      </c>
      <c r="E302" s="42">
        <f t="shared" si="38"/>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9"/>
        <v>¬</v>
      </c>
      <c r="D303" s="61" t="str" cm="1">
        <f t="array" aca="1" ref="D303" ca="1">INDEX(Attendance!$C$14:$GP$44,
       MATCH($F$4, Attendance!$C$14:$C$44, 0),
       MATCH(1, (Attendance!$C$12:$GP$12=$E303) * (Attendance!$C$13:$GP$13="Paid"), 0)
)</f>
        <v> </v>
      </c>
      <c r="E303" s="42">
        <f t="shared" si="38"/>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9"/>
        <v>¬</v>
      </c>
      <c r="D304" s="61" t="str" cm="1">
        <f t="array" aca="1" ref="D304" ca="1">INDEX(Attendance!$C$14:$GP$44,
       MATCH($F$4, Attendance!$C$14:$C$44, 0),
       MATCH(1, (Attendance!$C$12:$GP$12=$E304) * (Attendance!$C$13:$GP$13="Paid"), 0)
)</f>
        <v> </v>
      </c>
      <c r="E304" s="42">
        <f t="shared" si="38"/>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9"/>
        <v>¬</v>
      </c>
      <c r="D305" s="61" t="str" cm="1">
        <f t="array" aca="1" ref="D305" ca="1">INDEX(Attendance!$C$14:$GP$44,
       MATCH($F$4, Attendance!$C$14:$C$44, 0),
       MATCH(1, (Attendance!$C$12:$GP$12=$E305) * (Attendance!$C$13:$GP$13="Paid"), 0)
)</f>
        <v> </v>
      </c>
      <c r="E305" s="42">
        <f t="shared" si="38"/>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9"/>
        <v>¬</v>
      </c>
      <c r="D306" s="61" t="str" cm="1">
        <f t="array" aca="1" ref="D306" ca="1">INDEX(Attendance!$C$14:$GP$44,
       MATCH($F$4, Attendance!$C$14:$C$44, 0),
       MATCH(1, (Attendance!$C$12:$GP$12=$E306) * (Attendance!$C$13:$GP$13="Paid"), 0)
)</f>
        <v> </v>
      </c>
      <c r="E306" s="42">
        <f t="shared" si="38"/>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9"/>
        <v>¬</v>
      </c>
      <c r="D307" s="61" t="str" cm="1">
        <f t="array" aca="1" ref="D307" ca="1">INDEX(Attendance!$C$14:$GP$44,
       MATCH($F$4, Attendance!$C$14:$C$44, 0),
       MATCH(1, (Attendance!$C$12:$GP$12=$E307) * (Attendance!$C$13:$GP$13="Paid"), 0)
)</f>
        <v> </v>
      </c>
      <c r="E307" s="42">
        <f t="shared" si="38"/>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9"/>
        <v>¬</v>
      </c>
      <c r="D308" s="61" t="str" cm="1">
        <f t="array" aca="1" ref="D308" ca="1">INDEX(Attendance!$C$14:$GP$44,
       MATCH($F$4, Attendance!$C$14:$C$44, 0),
       MATCH(1, (Attendance!$C$12:$GP$12=$E308) * (Attendance!$C$13:$GP$13="Paid"), 0)
)</f>
        <v> </v>
      </c>
      <c r="E308" s="42">
        <f t="shared" si="38"/>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9"/>
        <v>¬</v>
      </c>
      <c r="D309" s="61" t="str" cm="1">
        <f t="array" aca="1" ref="D309" ca="1">INDEX(Attendance!$C$14:$GP$44,
       MATCH($F$4, Attendance!$C$14:$C$44, 0),
       MATCH(1, (Attendance!$C$12:$GP$12=$E309) * (Attendance!$C$13:$GP$13="Paid"), 0)
)</f>
        <v> </v>
      </c>
      <c r="E309" s="42">
        <f t="shared" si="38"/>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9"/>
        <v>¬</v>
      </c>
      <c r="D310" s="61" t="str" cm="1">
        <f t="array" aca="1" ref="D310" ca="1">INDEX(Attendance!$C$14:$GP$44,
       MATCH($F$4, Attendance!$C$14:$C$44, 0),
       MATCH(1, (Attendance!$C$12:$GP$12=$E310) * (Attendance!$C$13:$GP$13="Paid"), 0)
)</f>
        <v> </v>
      </c>
      <c r="E310" s="42">
        <f t="shared" si="38"/>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9"/>
        <v>¬</v>
      </c>
      <c r="D311" s="61" t="str" cm="1">
        <f t="array" aca="1" ref="D311" ca="1">INDEX(Attendance!$C$14:$GP$44,
       MATCH($F$4, Attendance!$C$14:$C$44, 0),
       MATCH(1, (Attendance!$C$12:$GP$12=$E311) * (Attendance!$C$13:$GP$13="Paid"), 0)
)</f>
        <v> </v>
      </c>
      <c r="E311" s="42">
        <f t="shared" si="38"/>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9"/>
        <v>¬</v>
      </c>
      <c r="D312" s="61" t="str" cm="1">
        <f t="array" aca="1" ref="D312" ca="1">INDEX(Attendance!$C$14:$GP$44,
       MATCH($F$4, Attendance!$C$14:$C$44, 0),
       MATCH(1, (Attendance!$C$12:$GP$12=$E312) * (Attendance!$C$13:$GP$13="Paid"), 0)
)</f>
        <v> </v>
      </c>
      <c r="E312" s="42">
        <f t="shared" si="38"/>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9"/>
        <v>¬</v>
      </c>
      <c r="D313" s="61" t="str" cm="1">
        <f t="array" aca="1" ref="D313" ca="1">INDEX(Attendance!$C$14:$GP$44,
       MATCH($F$4, Attendance!$C$14:$C$44, 0),
       MATCH(1, (Attendance!$C$12:$GP$12=$E313) * (Attendance!$C$13:$GP$13="Paid"), 0)
)</f>
        <v> </v>
      </c>
      <c r="E313" s="42">
        <f t="shared" si="38"/>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40">IF(AF44="","¬",AF44)</f>
        <v>Conjure brief illusions. Improve Intimidation. Prevent foes spending Willpower.</v>
      </c>
      <c r="D314" s="61" t="str" cm="1">
        <f t="array" aca="1" ref="D314" ca="1">INDEX(Attendance!$C$14:$GP$44,
       MATCH($F$4, Attendance!$C$14:$C$44, 0),
       MATCH(1, (Attendance!$C$12:$GP$12=$E314) * (Attendance!$C$13:$GP$13="Paid"), 0)
)</f>
        <v> </v>
      </c>
      <c r="E314" s="42">
        <f t="shared" si="38"/>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40"/>
        <v>Impose Frightened Condition. Cause fleeing.</v>
      </c>
      <c r="D315" s="61" t="str" cm="1">
        <f t="array" aca="1" ref="D315" ca="1">INDEX(Attendance!$C$14:$GP$44,
       MATCH($F$4, Attendance!$C$14:$C$44, 0),
       MATCH(1, (Attendance!$C$12:$GP$12=$E315) * (Attendance!$C$13:$GP$13="Paid"), 0)
)</f>
        <v> </v>
      </c>
      <c r="E315" s="42">
        <f t="shared" si="38"/>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40"/>
        <v>Impose Delusional Condition.</v>
      </c>
      <c r="D316" s="61" t="str" cm="1">
        <f t="array" aca="1" ref="D316" ca="1">INDEX(Attendance!$C$14:$GP$44,
       MATCH($F$4, Attendance!$C$14:$C$44, 0),
       MATCH(1, (Attendance!$C$12:$GP$12=$E316) * (Attendance!$C$13:$GP$13="Paid"), 0)
)</f>
        <v> </v>
      </c>
      <c r="E316" s="42">
        <f t="shared" si="38"/>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40"/>
        <v>Create and control hallucinations.</v>
      </c>
    </row>
    <row r="318" spans="1:9">
      <c r="A318" s="1" t="s">
        <v>317</v>
      </c>
      <c r="B318" t="str">
        <f t="shared" si="40"/>
        <v>Downgrade damage and increase Stamina. Improve Armour and Defences. Unnatural Fortitude: add Resilience dots as bonus dice to non-combat Stamina pools.</v>
      </c>
    </row>
    <row r="319" spans="1:9">
      <c r="A319" s="1" t="s">
        <v>318</v>
      </c>
      <c r="B319" t="str">
        <f t="shared" si="40"/>
        <v>Step into any visible shadow and out of another instantly. Can carry objects but not people or animals. Torpid Kindred do not count as objects.</v>
      </c>
    </row>
    <row r="320" spans="1:9">
      <c r="A320" s="1" t="s">
        <v>319</v>
      </c>
      <c r="B320" t="str">
        <f t="shared" si="40"/>
        <v>¬</v>
      </c>
    </row>
    <row r="321" spans="1:2">
      <c r="A321" s="1" t="s">
        <v>320</v>
      </c>
      <c r="B321" t="str">
        <f t="shared" si="40"/>
        <v>¬</v>
      </c>
    </row>
    <row r="322" spans="1:2">
      <c r="A322" s="1" t="s">
        <v>321</v>
      </c>
      <c r="B322" t="str">
        <f t="shared" si="40"/>
        <v>¬</v>
      </c>
    </row>
    <row r="323" spans="1:2">
      <c r="A323" s="1" t="s">
        <v>322</v>
      </c>
      <c r="B323" t="str">
        <f t="shared" si="40"/>
        <v>¬</v>
      </c>
    </row>
    <row r="324" spans="1:2">
      <c r="A324" s="1" t="s">
        <v>323</v>
      </c>
      <c r="B324" t="str">
        <f t="shared" si="40"/>
        <v>¬</v>
      </c>
    </row>
    <row r="325" spans="1:2">
      <c r="A325" s="1" t="s">
        <v>324</v>
      </c>
      <c r="B325" t="str">
        <f t="shared" si="40"/>
        <v>¬</v>
      </c>
    </row>
    <row r="326" spans="1:2">
      <c r="A326" s="1" t="s">
        <v>325</v>
      </c>
      <c r="B326" t="str">
        <f t="shared" si="40"/>
        <v>¬</v>
      </c>
    </row>
    <row r="327" spans="1:2">
      <c r="A327" s="1" t="s">
        <v>326</v>
      </c>
      <c r="B327" t="str">
        <f t="shared" si="40"/>
        <v>¬</v>
      </c>
    </row>
    <row r="328" spans="1:2">
      <c r="A328" s="1" t="s">
        <v>327</v>
      </c>
      <c r="B328" t="str">
        <f t="shared" si="40"/>
        <v>¬</v>
      </c>
    </row>
    <row r="329" spans="1:2">
      <c r="A329" s="1" t="s">
        <v>328</v>
      </c>
      <c r="B329" t="str">
        <f t="shared" si="40"/>
        <v>¬</v>
      </c>
    </row>
    <row r="330" spans="1:2">
      <c r="A330" s="1" t="s">
        <v>329</v>
      </c>
      <c r="B330" t="str">
        <f t="shared" si="40"/>
        <v>¬</v>
      </c>
    </row>
    <row r="331" spans="1:2">
      <c r="A331" s="1" t="s">
        <v>330</v>
      </c>
      <c r="B331" t="str">
        <f t="shared" si="40"/>
        <v>¬</v>
      </c>
    </row>
    <row r="332" spans="1:2">
      <c r="A332" s="1" t="s">
        <v>331</v>
      </c>
      <c r="B332" t="str">
        <f t="shared" si="40"/>
        <v>¬</v>
      </c>
    </row>
    <row r="333" spans="1:2">
      <c r="A333" s="1" t="s">
        <v>332</v>
      </c>
      <c r="B333" t="str">
        <f t="shared" si="40"/>
        <v>¬</v>
      </c>
    </row>
    <row r="334" spans="1:2">
      <c r="A334" s="1" t="s">
        <v>333</v>
      </c>
      <c r="B334" t="str">
        <f t="shared" si="40"/>
        <v>¬</v>
      </c>
    </row>
    <row r="335" spans="1:2">
      <c r="A335" s="1" t="s">
        <v>334</v>
      </c>
      <c r="B335" t="str">
        <f t="shared" si="40"/>
        <v>¬</v>
      </c>
    </row>
    <row r="336" spans="1:2">
      <c r="A336" s="1" t="s">
        <v>335</v>
      </c>
      <c r="B336" t="str">
        <f t="shared" si="40"/>
        <v>¬</v>
      </c>
    </row>
    <row r="337" spans="1:2">
      <c r="A337" s="1" t="s">
        <v>336</v>
      </c>
      <c r="B337" t="str">
        <f t="shared" si="40"/>
        <v>¬</v>
      </c>
    </row>
    <row r="338" spans="1:2">
      <c r="A338" s="1" t="s">
        <v>337</v>
      </c>
      <c r="B338" t="str">
        <f t="shared" si="40"/>
        <v>¬</v>
      </c>
    </row>
    <row r="339" spans="1:2">
      <c r="A339" s="1" t="s">
        <v>338</v>
      </c>
      <c r="B339" t="str">
        <f t="shared" si="40"/>
        <v>¬</v>
      </c>
    </row>
    <row r="340" spans="1:2">
      <c r="A340" s="1" t="s">
        <v>339</v>
      </c>
      <c r="B340" t="str">
        <f t="shared" si="40"/>
        <v>¬</v>
      </c>
    </row>
    <row r="341" spans="1:2">
      <c r="A341" s="1" t="s">
        <v>340</v>
      </c>
      <c r="B341" t="str">
        <f t="shared" si="40"/>
        <v>¬</v>
      </c>
    </row>
    <row r="342" spans="1:2">
      <c r="A342" s="1" t="s">
        <v>341</v>
      </c>
      <c r="B342" t="str">
        <f t="shared" si="40"/>
        <v>¬</v>
      </c>
    </row>
    <row r="343" spans="1:2">
      <c r="A343" s="1" t="s">
        <v>342</v>
      </c>
      <c r="B343" t="str">
        <f t="shared" si="40"/>
        <v>¬</v>
      </c>
    </row>
    <row r="344" spans="1:2">
      <c r="A344" s="1" t="s">
        <v>343</v>
      </c>
      <c r="B344" s="8" t="str">
        <f>IF(VLOOKUP(tblCharDataCarver[[#This Row],[Field]],$E$2:$F$361,2,FALSE)="","¬",VLOOKUP(tblCharDataCarver[[#This Row],[Field]],$E$2:$F$361,2,FALSE))</f>
        <v>Aloof Curse</v>
      </c>
    </row>
    <row r="345" spans="1:2">
      <c r="A345" s="1" t="s">
        <v>344</v>
      </c>
      <c r="B345" s="8" t="str">
        <f>IF(VLOOKUP(tblCharDataCarver[[#This Row],[Field]],$E$2:$F$361,2,FALSE)="","¬",VLOOKUP(tblCharDataCarver[[#This Row],[Field]],$E$2:$F$361,2,FALSE))</f>
        <v>¬</v>
      </c>
    </row>
    <row r="346" spans="1:2">
      <c r="A346" s="1" t="s">
        <v>345</v>
      </c>
      <c r="B346" s="8" t="str">
        <f>IF(VLOOKUP(tblCharDataCarver[[#This Row],[Field]],$E$2:$F$361,2,FALSE)="","¬",VLOOKUP(tblCharDataCarver[[#This Row],[Field]],$E$2:$F$361,2,FALSE))</f>
        <v>¬</v>
      </c>
    </row>
    <row r="347" spans="1:2">
      <c r="A347" s="1" t="s">
        <v>346</v>
      </c>
      <c r="B347" s="8" t="str">
        <f>IF(VLOOKUP(tblCharDataCarver[[#This Row],[Field]],$E$2:$F$361,2,FALSE)="","¬",VLOOKUP(tblCharDataCarver[[#This Row],[Field]],$E$2:$F$361,2,FALSE))</f>
        <v>¬</v>
      </c>
    </row>
    <row r="348" spans="1:2">
      <c r="A348" s="1" t="s">
        <v>347</v>
      </c>
      <c r="B348" s="8" t="str">
        <f>IF(VLOOKUP(tblCharDataCarver[[#This Row],[Field]],$E$2:$F$361,2,FALSE)="","¬",VLOOKUP(tblCharDataCarver[[#This Row],[Field]],$E$2:$F$361,2,FALSE))</f>
        <v>¬</v>
      </c>
    </row>
    <row r="349" spans="1:2">
      <c r="A349" s="1" t="s">
        <v>348</v>
      </c>
      <c r="B349" t="str">
        <f>_xlfn.IFNA(VLOOKUP(B344,$F$234:$I$238,3,FALSE),"")</f>
        <v>First Touchstone attaches to Humanity 7; losing it detaches on first Humanity loss. Breaking points always treated as one step lower.</v>
      </c>
    </row>
    <row r="350" spans="1:2">
      <c r="A350" s="1" t="s">
        <v>349</v>
      </c>
      <c r="B350" t="str">
        <f>_xlfn.IFNA(VLOOKUP(B345,$F$234:$I$238,3,FALSE),"¬")</f>
        <v>¬</v>
      </c>
    </row>
    <row r="351" spans="1:2">
      <c r="A351" s="1" t="s">
        <v>350</v>
      </c>
      <c r="B351" t="str">
        <f>_xlfn.IFNA(VLOOKUP(B346,$F$234:$I$238,3,FALSE),"")</f>
        <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9</v>
      </c>
    </row>
    <row r="356" spans="1:2">
      <c r="A356" s="1" t="s">
        <v>355</v>
      </c>
      <c r="B356">
        <f ca="1">P220</f>
        <v>2</v>
      </c>
    </row>
    <row r="357" spans="1:2">
      <c r="A357" s="1" t="s">
        <v>356</v>
      </c>
      <c r="B357" t="str">
        <f>IF(F10="","¬",VLOOKUP(F10,tblAnchors[],2,FALSE))</f>
        <v>Uncover a lost piece of information.</v>
      </c>
    </row>
    <row r="358" spans="1:2">
      <c r="A358" s="1" t="s">
        <v>357</v>
      </c>
      <c r="B358" t="str">
        <f>IF(F10="","¬",VLOOKUP(F10,tblAnchors[],3,FALSE))</f>
        <v>Uncover forbidden knowledge.</v>
      </c>
    </row>
    <row r="359" spans="1:2">
      <c r="A359" s="1" t="s">
        <v>358</v>
      </c>
      <c r="B359" t="str">
        <f>IF(F11="","¬",VLOOKUP(F11,tblAnchors[],2,FALSE))</f>
        <v>Cow someone into submission.</v>
      </c>
    </row>
    <row r="360" spans="1:2">
      <c r="A360" s="1" t="s">
        <v>359</v>
      </c>
      <c r="B360" t="str">
        <f>IF(F11="","¬",VLOOKUP(F11,tblAnchors[],3,FALSE))</f>
        <v>Commit a widespread hit against a rival's mortal connections.</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mid 40s</v>
      </c>
    </row>
    <row r="365" spans="1:2">
      <c r="A365" s="1" t="s">
        <v>364</v>
      </c>
      <c r="B365" t="str">
        <f>_xlfn.LET(_xlpm.a,IF(F244="","",F244),_xlpm.b,IF(F245="","",F245),IF(AND(_xlpm.a&lt;&gt;"",_xlpm.b&lt;&gt;""),_xlpm.a&amp;", "&amp;_xlpm.b,IF(_xlpm.a&lt;&gt;"",_xlpm.a,IF(_xlpm.b&lt;&gt;"",_xlpm.b,""))))</f>
        <v/>
      </c>
    </row>
  </sheetData>
  <mergeCells count="89">
    <mergeCell ref="H85:I85"/>
    <mergeCell ref="O8:P8"/>
    <mergeCell ref="O9:P9"/>
    <mergeCell ref="O10:P10"/>
    <mergeCell ref="O11:P11"/>
    <mergeCell ref="O12:P12"/>
    <mergeCell ref="H79:I79"/>
    <mergeCell ref="H80:I80"/>
    <mergeCell ref="H81:I81"/>
    <mergeCell ref="H82:I82"/>
    <mergeCell ref="H83:I83"/>
    <mergeCell ref="H84:I84"/>
    <mergeCell ref="H97:I97"/>
    <mergeCell ref="H86:I86"/>
    <mergeCell ref="H87:I87"/>
    <mergeCell ref="H88:I88"/>
    <mergeCell ref="H89:I89"/>
    <mergeCell ref="H90:I90"/>
    <mergeCell ref="H91:I91"/>
    <mergeCell ref="H92:I92"/>
    <mergeCell ref="H93:I93"/>
    <mergeCell ref="H94:I94"/>
    <mergeCell ref="H95:I95"/>
    <mergeCell ref="H96:I96"/>
    <mergeCell ref="H111:I111"/>
    <mergeCell ref="H98:I98"/>
    <mergeCell ref="H101:I101"/>
    <mergeCell ref="H102:I102"/>
    <mergeCell ref="H103:I103"/>
    <mergeCell ref="H104:I104"/>
    <mergeCell ref="H105:I105"/>
    <mergeCell ref="H106:I106"/>
    <mergeCell ref="H107:I107"/>
    <mergeCell ref="H108:I108"/>
    <mergeCell ref="H109:I109"/>
    <mergeCell ref="H110:I110"/>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52:I152"/>
    <mergeCell ref="H141:I141"/>
    <mergeCell ref="H142:I142"/>
    <mergeCell ref="H143:I143"/>
    <mergeCell ref="H144:I144"/>
    <mergeCell ref="H145:I145"/>
    <mergeCell ref="H146:I146"/>
    <mergeCell ref="H147:I147"/>
    <mergeCell ref="H148:I148"/>
    <mergeCell ref="H149:I149"/>
    <mergeCell ref="H150:I150"/>
    <mergeCell ref="H151:I151"/>
    <mergeCell ref="H207:I207"/>
    <mergeCell ref="H153:I153"/>
    <mergeCell ref="H154:I154"/>
    <mergeCell ref="H155:I155"/>
    <mergeCell ref="H156:I156"/>
    <mergeCell ref="H157:I157"/>
    <mergeCell ref="H177:I177"/>
    <mergeCell ref="H178:I178"/>
    <mergeCell ref="H179:I179"/>
    <mergeCell ref="H180:I180"/>
    <mergeCell ref="H181:I181"/>
    <mergeCell ref="H206:I206"/>
    <mergeCell ref="H238:I238"/>
    <mergeCell ref="H208:I208"/>
    <mergeCell ref="H209:I209"/>
    <mergeCell ref="H210:I210"/>
    <mergeCell ref="H211:I211"/>
    <mergeCell ref="H212:I212"/>
    <mergeCell ref="H213:I213"/>
    <mergeCell ref="H214:I214"/>
    <mergeCell ref="H215:I215"/>
    <mergeCell ref="H234:I234"/>
    <mergeCell ref="H236:I236"/>
    <mergeCell ref="H237:I237"/>
    <mergeCell ref="F240:I240"/>
    <mergeCell ref="F241:I241"/>
    <mergeCell ref="F242:I242"/>
    <mergeCell ref="F244:I244"/>
    <mergeCell ref="F245:I245"/>
  </mergeCells>
  <dataValidations disablePrompts="1" count="15">
    <dataValidation type="list" allowBlank="1" showInputMessage="1" showErrorMessage="1" sqref="G248:G277" xr:uid="{857CF4B9-74A6-4F27-9916-B6E09FFB06C9}">
      <formula1>$I$248:$I$249</formula1>
    </dataValidation>
    <dataValidation type="list" allowBlank="1" showInputMessage="1" showErrorMessage="1" sqref="F101:F120" xr:uid="{53440276-1825-4E3C-A1A1-88C8BB67DC47}">
      <formula1>lstManoeuvres</formula1>
    </dataValidation>
    <dataValidation type="list" allowBlank="1" showInputMessage="1" showErrorMessage="1" sqref="F79:F98" xr:uid="{1F8187D9-818F-4848-886B-41D2E51F1FD1}">
      <formula1>lstMerits</formula1>
    </dataValidation>
    <dataValidation type="list" allowBlank="1" showInputMessage="1" showErrorMessage="1" sqref="F236:F238" xr:uid="{C7A9C0C0-DE9E-4DD6-99A3-B39F5175A5B0}">
      <formula1>lstBanes</formula1>
    </dataValidation>
    <dataValidation type="list" allowBlank="1" showInputMessage="1" showErrorMessage="1" sqref="F206:F215" xr:uid="{8891DBFA-B094-4138-B952-7F1DB400D9F4}">
      <formula1>lstPacts</formula1>
    </dataValidation>
    <dataValidation type="list" allowBlank="1" showInputMessage="1" showErrorMessage="1" sqref="G12:G13" xr:uid="{E292C613-5355-43FB-AFC7-2AE86C726AA4}">
      <formula1>lstStatus</formula1>
    </dataValidation>
    <dataValidation type="list" allowBlank="1" showInputMessage="1" showErrorMessage="1" sqref="F194:F205 F207:F215" xr:uid="{F1498EDC-7E4E-4DD4-BC9C-7F6BB406D0D0}">
      <formula1>lstRites</formula1>
    </dataValidation>
    <dataValidation type="list" allowBlank="1" showInputMessage="1" showErrorMessage="1" sqref="F177:F181" xr:uid="{5E74358C-F287-4D7B-9F66-FFAB7F30FC77}">
      <formula1>lstDevotions</formula1>
    </dataValidation>
    <dataValidation type="list" allowBlank="1" showInputMessage="1" showErrorMessage="1" sqref="F17:F21" xr:uid="{E69B7E83-A525-4CEF-9290-5B43211345B4}">
      <formula1>"TRUE,FALSE"</formula1>
    </dataValidation>
    <dataValidation type="list" allowBlank="1" showInputMessage="1" showErrorMessage="1" sqref="F24" xr:uid="{A58633D9-B3B9-4526-B436-FFBD495951EE}">
      <formula1>$D$7:$D$8</formula1>
    </dataValidation>
    <dataValidation type="list" allowBlank="1" showInputMessage="1" showErrorMessage="1" sqref="I25 I30 I35 I41 I51 I61" xr:uid="{BD2257A4-65DC-4D7C-BCF5-B00C975C5F51}">
      <formula1>lstPriority</formula1>
    </dataValidation>
    <dataValidation type="list" allowBlank="1" showInputMessage="1" showErrorMessage="1" sqref="F10:F11" xr:uid="{4E0259D9-1C3A-49B9-A0EF-ECB3100D707A}">
      <formula1>lstNature</formula1>
    </dataValidation>
    <dataValidation type="list" allowBlank="1" showInputMessage="1" showErrorMessage="1" sqref="F8" xr:uid="{A0FE36ED-14D3-43B0-B716-F6ACDB91B5F3}">
      <formula1>lstBloodlines</formula1>
    </dataValidation>
    <dataValidation type="list" allowBlank="1" showInputMessage="1" showErrorMessage="1" sqref="F9" xr:uid="{492F3047-2917-4F78-B868-BDA3A6B5E572}">
      <formula1>lstCovenant</formula1>
    </dataValidation>
    <dataValidation type="list" allowBlank="1" showInputMessage="1" showErrorMessage="1" sqref="F7" xr:uid="{C0622D7D-DD04-4B0E-B328-330FA61A8FD1}">
      <formula1>lstClan</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E0101-F222-4FF3-87AC-C27E0BB28474}">
  <dimension ref="A1:AK365"/>
  <sheetViews>
    <sheetView zoomScale="70" zoomScaleNormal="70" workbookViewId="0">
      <pane ySplit="1" topLeftCell="A2" activePane="bottomLeft" state="frozen"/>
      <selection pane="bottomLeft" activeCell="D28" sqref="D28"/>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Quick Draw (Bow)</v>
      </c>
      <c r="AC2" s="60" t="str" cm="1">
        <f t="array" ref="AC2:AC7">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Quick Draw (Bow)</v>
      </c>
      <c r="AD2" s="20" t="str">
        <f>IF(AC2="","¬",_xlfn.LET(_xlpm.base,IFERROR(LEFT(AC2,FIND(" (",AC2)-1),AC2),IFERROR(VLOOKUP(_xlpm.base,tblManoeuvre[],2,FALSE) &amp; " " &amp; REPT("●",VLOOKUP(_xlpm.base,tblManoeuvre[],3,FALSE)) &amp; " | " &amp; AC2,AC2 &amp; " " &amp; REPT("●",VLOOKUP(_xlpm.base,$F$79:$P$120,11,FALSE)))))</f>
        <v>Quick Draw (Bow) ●</v>
      </c>
      <c r="AE2" s="20"/>
      <c r="AF2" s="20" t="str">
        <f>IF(LEN(AC2)=0,"¬",_xlfn.LET(_xlpm.base,IFERROR(LEFT(AC2,FIND(" (",AC2)-1),AC2),IFERROR(VLOOKUP(_xlpm.base,tblMerits[],5,FALSE),IFERROR(VLOOKUP(_xlpm.base,tblManoeuvre[],9,FALSE),"¬"))))</f>
        <v>Draw a weapon from a chosen Specialty reflexively while Defence is available. Initiative bonuses only apply if using the weapon.</v>
      </c>
      <c r="AI2" s="15" t="s">
        <v>25</v>
      </c>
      <c r="AJ2" s="61">
        <f t="shared" ref="AJ2:AJ33" si="1">VLOOKUP(AI2,$E$3:$P$221,12,FALSE)</f>
        <v>2</v>
      </c>
      <c r="AK2" s="61">
        <f>IF(AJ2=0,IF(COUNTIF($E$42:$E$49,AI2)&gt;0,-3,-1),AJ2)</f>
        <v>2</v>
      </c>
    </row>
    <row r="3" spans="1:37">
      <c r="A3" s="1" t="s">
        <v>2</v>
      </c>
      <c r="B3">
        <f ca="1">N3</f>
        <v>4</v>
      </c>
      <c r="D3" s="19"/>
      <c r="E3" s="15" t="s">
        <v>4</v>
      </c>
      <c r="F3" s="3" t="s">
        <v>602</v>
      </c>
      <c r="G3" s="18"/>
      <c r="H3" s="18"/>
      <c r="I3" s="18" t="s">
        <v>1425</v>
      </c>
      <c r="N3" s="60">
        <f ca="1">10+SUM(N4:N6)-SUM(N7)</f>
        <v>4</v>
      </c>
      <c r="Y3" s="15" t="s">
        <v>115</v>
      </c>
      <c r="Z3" s="19"/>
      <c r="AA3" s="61" t="str">
        <f t="shared" si="0"/>
        <v/>
      </c>
      <c r="AC3" s="60" t="str">
        <v>Rapid Nock</v>
      </c>
      <c r="AD3" s="20" t="str">
        <f>IF(AC3="","¬",_xlfn.LET(_xlpm.base,IFERROR(LEFT(AC3,FIND(" (",AC3)-1),AC3),IFERROR(VLOOKUP(_xlpm.base,tblManoeuvre[],2,FALSE) &amp; " " &amp; REPT("●",VLOOKUP(_xlpm.base,tblManoeuvre[],3,FALSE)) &amp; " | " &amp; AC3,AC3 &amp; " " &amp; REPT("●",VLOOKUP(_xlpm.base,$F$79:$P$120,11,FALSE)))))</f>
        <v>Combat Archery ● | Rapid Nock</v>
      </c>
      <c r="AE3" s="20"/>
      <c r="AF3" s="20" t="str">
        <f>IF(LEN(AC3)=0,"¬",_xlfn.LET(_xlpm.base,IFERROR(LEFT(AC3,FIND(" (",AC3)-1),AC3),IFERROR(VLOOKUP(_xlpm.base,tblMerits[],5,FALSE),IFERROR(VLOOKUP(_xlpm.base,tblManoeuvre[],9,FALSE),"¬"))))</f>
        <v>Ignore bow Initiative penalties. String arrows reflexively.</v>
      </c>
      <c r="AI3" s="15" t="s">
        <v>41</v>
      </c>
      <c r="AJ3" s="61">
        <f t="shared" si="1"/>
        <v>0</v>
      </c>
      <c r="AK3" s="61">
        <f>IF(AJ3=0,IF(COUNTIF($E$42:$E$49,AI3)&gt;0,-3,-1),AJ3)</f>
        <v>-1</v>
      </c>
    </row>
    <row r="4" spans="1:37">
      <c r="A4" s="1" t="s">
        <v>3</v>
      </c>
      <c r="B4">
        <f ca="1">SUM(N3:N9)</f>
        <v>34</v>
      </c>
      <c r="D4" s="19"/>
      <c r="E4" s="15" t="s">
        <v>5</v>
      </c>
      <c r="F4" s="3" t="s">
        <v>603</v>
      </c>
      <c r="G4" s="18"/>
      <c r="H4" s="18"/>
      <c r="I4" s="18" t="s">
        <v>1426</v>
      </c>
      <c r="N4" s="61">
        <f>K73*2</f>
        <v>2</v>
      </c>
      <c r="Y4" s="15" t="s">
        <v>116</v>
      </c>
      <c r="Z4" s="19"/>
      <c r="AA4" s="61" t="str">
        <f t="shared" si="0"/>
        <v/>
      </c>
      <c r="AC4" s="60" t="str">
        <v>Reflex Aiming</v>
      </c>
      <c r="AD4" s="20" t="str">
        <f>IF(AC4="","¬",_xlfn.LET(_xlpm.base,IFERROR(LEFT(AC4,FIND(" (",AC4)-1),AC4),IFERROR(VLOOKUP(_xlpm.base,tblManoeuvre[],2,FALSE) &amp; " " &amp; REPT("●",VLOOKUP(_xlpm.base,tblManoeuvre[],3,FALSE)) &amp; " | " &amp; AC4,AC4 &amp; " " &amp; REPT("●",VLOOKUP(_xlpm.base,$F$79:$P$120,11,FALSE)))))</f>
        <v>Combat Archery ●● | Reflex Aiming</v>
      </c>
      <c r="AE4" s="20"/>
      <c r="AF4" s="20" t="str">
        <f>IF(LEN(AC4)=0,"¬",_xlfn.LET(_xlpm.base,IFERROR(LEFT(AC4,FIND(" (",AC4)-1),AC4),IFERROR(VLOOKUP(_xlpm.base,tblMerits[],5,FALSE),IFERROR(VLOOKUP(_xlpm.base,tblManoeuvre[],9,FALSE),"¬"))))</f>
        <v>Ignore penalties for firing into close combat.</v>
      </c>
      <c r="AI4" s="15" t="s">
        <v>236</v>
      </c>
      <c r="AJ4" s="61">
        <f t="shared" si="1"/>
        <v>0</v>
      </c>
      <c r="AK4" s="61">
        <f>AJ4</f>
        <v>0</v>
      </c>
    </row>
    <row r="5" spans="1:37">
      <c r="A5" s="1" t="s">
        <v>4</v>
      </c>
      <c r="B5" t="str">
        <f>IF(VLOOKUP(tblCharDataCazz[[#This Row],[Field]],$E$2:$F$362,2,FALSE)="","¬",VLOOKUP(tblCharDataCazz[[#This Row],[Field]],$E$2:$F$362,2,FALSE))</f>
        <v>Brae C</v>
      </c>
      <c r="D5" s="19"/>
      <c r="E5" s="15" t="s">
        <v>6</v>
      </c>
      <c r="F5" s="3" t="s">
        <v>604</v>
      </c>
      <c r="G5" s="18"/>
      <c r="H5" s="18"/>
      <c r="I5" s="18" t="s">
        <v>1427</v>
      </c>
      <c r="N5" s="61">
        <f>N16</f>
        <v>3</v>
      </c>
      <c r="Y5" s="15" t="s">
        <v>117</v>
      </c>
      <c r="Z5" s="19"/>
      <c r="AA5" s="61" t="str">
        <f t="shared" si="0"/>
        <v/>
      </c>
      <c r="AC5" s="60" t="str">
        <v>Parthian Shot</v>
      </c>
      <c r="AD5" s="20" t="str">
        <f>IF(AC5="","¬",_xlfn.LET(_xlpm.base,IFERROR(LEFT(AC5,FIND(" (",AC5)-1),AC5),IFERROR(VLOOKUP(_xlpm.base,tblManoeuvre[],2,FALSE) &amp; " " &amp; REPT("●",VLOOKUP(_xlpm.base,tblManoeuvre[],3,FALSE)) &amp; " | " &amp; AC5,AC5 &amp; " " &amp; REPT("●",VLOOKUP(_xlpm.base,$F$79:$P$120,11,FALSE)))))</f>
        <v>Combat Archery ●●● | Parthian Shot</v>
      </c>
      <c r="AE5" s="20"/>
      <c r="AF5" s="20" t="str">
        <f>IF(LEN(AC5)=0,"¬",_xlfn.LET(_xlpm.base,IFERROR(LEFT(AC5,FIND(" (",AC5)-1),AC5),IFERROR(VLOOKUP(_xlpm.base,tblMerits[],5,FALSE),IFERROR(VLOOKUP(_xlpm.base,tblManoeuvre[],9,FALSE),"¬"))))</f>
        <v>When you Dodge, inflict threshold successes as attack damage against the first close attack you beat each turn.</v>
      </c>
      <c r="AI5" s="15" t="s">
        <v>33</v>
      </c>
      <c r="AJ5" s="61">
        <f t="shared" si="1"/>
        <v>5</v>
      </c>
      <c r="AK5" s="61">
        <f>IF(AJ5=0,IF(COUNTIF($E$42:$E$49,AI5)&gt;0,-3,-1),AJ5)</f>
        <v>5</v>
      </c>
    </row>
    <row r="6" spans="1:37">
      <c r="A6" s="1" t="s">
        <v>5</v>
      </c>
      <c r="B6" t="str">
        <f>IF(VLOOKUP(tblCharDataCazz[[#This Row],[Field]],$E$2:$F$362,2,FALSE)="","¬",VLOOKUP(tblCharDataCazz[[#This Row],[Field]],$E$2:$F$362,2,FALSE))</f>
        <v>Casamir 'Cazz'</v>
      </c>
      <c r="D6" s="19"/>
      <c r="E6" s="15" t="s">
        <v>7</v>
      </c>
      <c r="F6" s="3" t="s">
        <v>605</v>
      </c>
      <c r="G6" s="18"/>
      <c r="H6" s="18"/>
      <c r="I6" s="18" t="s">
        <v>1347</v>
      </c>
      <c r="N6" s="61">
        <f ca="1">N279</f>
        <v>3</v>
      </c>
      <c r="Y6" s="15" t="s">
        <v>118</v>
      </c>
      <c r="Z6" s="19"/>
      <c r="AA6" s="61" t="str">
        <f t="shared" si="0"/>
        <v/>
      </c>
      <c r="AC6" s="60" t="str">
        <v>Rain of Arrows</v>
      </c>
      <c r="AD6" s="20" t="str">
        <f>IF(AC6="","¬",_xlfn.LET(_xlpm.base,IFERROR(LEFT(AC6,FIND(" (",AC6)-1),AC6),IFERROR(VLOOKUP(_xlpm.base,tblManoeuvre[],2,FALSE) &amp; " " &amp; REPT("●",VLOOKUP(_xlpm.base,tblManoeuvre[],3,FALSE)) &amp; " | " &amp; AC6,AC6 &amp; " " &amp; REPT("●",VLOOKUP(_xlpm.base,$F$79:$P$120,11,FALSE)))))</f>
        <v>Combat Archery ●●●● | Rain of Arrows</v>
      </c>
      <c r="AE6" s="20"/>
      <c r="AF6" s="20" t="str">
        <f>IF(LEN(AC6)=0,"¬",_xlfn.LET(_xlpm.base,IFERROR(LEFT(AC6,FIND(" (",AC6)-1),AC6),IFERROR(VLOOKUP(_xlpm.base,tblMerits[],5,FALSE),IFERROR(VLOOKUP(_xlpm.base,tblManoeuvre[],9,FALSE),"¬"))))</f>
        <v>Make medium autofire attacks at triple range penalties.</v>
      </c>
      <c r="AI6" s="15" t="s">
        <v>237</v>
      </c>
      <c r="AJ6" s="61">
        <f t="shared" si="1"/>
        <v>1</v>
      </c>
      <c r="AK6" s="61">
        <f>AJ6</f>
        <v>1</v>
      </c>
    </row>
    <row r="7" spans="1:37">
      <c r="A7" s="1" t="s">
        <v>6</v>
      </c>
      <c r="B7" t="str">
        <f>IF(VLOOKUP(tblCharDataCazz[[#This Row],[Field]],$E$2:$F$362,2,FALSE)="","¬",VLOOKUP(tblCharDataCazz[[#This Row],[Field]],$E$2:$F$362,2,FALSE))</f>
        <v>The Mad Dog</v>
      </c>
      <c r="D7" s="19" t="str">
        <f>VLOOKUP(F7,tblClans[],3,FALSE)</f>
        <v>Resolve</v>
      </c>
      <c r="E7" s="15" t="s">
        <v>8</v>
      </c>
      <c r="F7" s="3" t="s">
        <v>553</v>
      </c>
      <c r="G7" s="18"/>
      <c r="H7" s="18"/>
      <c r="I7" s="18"/>
      <c r="N7" s="60">
        <f>SUM(N8:N12)</f>
        <v>14</v>
      </c>
      <c r="Y7" s="15" t="s">
        <v>119</v>
      </c>
      <c r="Z7" s="19"/>
      <c r="AA7" s="61" t="str">
        <f t="shared" si="0"/>
        <v/>
      </c>
      <c r="AC7" s="60" t="str">
        <v>Trick Shot</v>
      </c>
      <c r="AD7" s="20" t="str">
        <f>IF(AC7="","¬",_xlfn.LET(_xlpm.base,IFERROR(LEFT(AC7,FIND(" (",AC7)-1),AC7),IFERROR(VLOOKUP(_xlpm.base,tblManoeuvre[],2,FALSE) &amp; " " &amp; REPT("●",VLOOKUP(_xlpm.base,tblManoeuvre[],3,FALSE)) &amp; " | " &amp; AC7,AC7 &amp; " " &amp; REPT("●",VLOOKUP(_xlpm.base,$F$79:$P$120,11,FALSE)))))</f>
        <v>Combat Archery ●●●●● | Trick Shot</v>
      </c>
      <c r="AE7" s="20"/>
      <c r="AF7" s="20" t="str">
        <f>IF(LEN(AC7)=0,"¬",_xlfn.LET(_xlpm.base,IFERROR(LEFT(AC7,FIND(" (",AC7)-1),AC7),IFERROR(VLOOKUP(_xlpm.base,tblMerits[],5,FALSE),IFERROR(VLOOKUP(_xlpm.base,tblManoeuvre[],9,FALSE),"¬"))))</f>
        <v>Simultaneously perform a Combat Archery attack and an Athletics action, both at -2.</v>
      </c>
      <c r="AI7" s="15" t="s">
        <v>49</v>
      </c>
      <c r="AJ7" s="61">
        <f t="shared" si="1"/>
        <v>2</v>
      </c>
      <c r="AK7" s="61">
        <f>AJ7</f>
        <v>2</v>
      </c>
    </row>
    <row r="8" spans="1:37">
      <c r="A8" s="1" t="s">
        <v>7</v>
      </c>
      <c r="B8" t="str">
        <f>IF(VLOOKUP(tblCharDataCazz[[#This Row],[Field]],$E$2:$F$362,2,FALSE)="","¬",LOWER(VLOOKUP(tblCharDataCazz[[#This Row],[Field]],$E$2:$F$362,2,FALSE)))</f>
        <v>he/they</v>
      </c>
      <c r="D8" s="19" t="str">
        <f>VLOOKUP(F7,tblClans[],2,FALSE)</f>
        <v>Presence</v>
      </c>
      <c r="E8" s="15" t="s">
        <v>10</v>
      </c>
      <c r="F8" s="3" t="s">
        <v>606</v>
      </c>
      <c r="G8" s="61" t="b">
        <f>IFERROR(IF(OR(AND(VLOOKUP(F8,tblBloodlines[],2,FALSE)="",VLOOKUP(F8,tblBloodlines[],3,FALSE)="",VLOOKUP(F8,tblBloodlines[],4,FALSE)=""),AND(VLOOKUP(F8,tblBloodlines[],2,FALSE)="",VLOOKUP(F8,tblBloodlines[],3,FALSE)="",F9=VLOOKUP(F8,tblBloodlines[],4,FALSE)),F7=VLOOKUP(F8,tblBloodlines[],2,FALSE),F7=VLOOKUP(F8,tblBloodlines[],3,FALSE)),TRUE,FALSE),"")</f>
        <v>1</v>
      </c>
      <c r="H8" s="18"/>
      <c r="I8" s="18" t="s">
        <v>1428</v>
      </c>
      <c r="N8" s="61">
        <f>N23</f>
        <v>8</v>
      </c>
      <c r="O8" s="65">
        <f>N8/SUM(N$7:N$12)</f>
        <v>0.2857142857142857</v>
      </c>
      <c r="P8" s="66"/>
      <c r="Y8" s="15" t="s">
        <v>120</v>
      </c>
      <c r="Z8" s="19"/>
      <c r="AA8" s="61" t="str">
        <f t="shared" si="0"/>
        <v/>
      </c>
      <c r="AC8" s="60"/>
      <c r="AD8" s="20" t="str">
        <f>IF(AC8="","¬",_xlfn.LET(_xlpm.base,IFERROR(LEFT(AC8,FIND(" (",AC8)-1),AC8),IFERROR(VLOOKUP(_xlpm.base,tblManoeuvre[],2,FALSE) &amp; " " &amp; REPT("●",VLOOKUP(_xlpm.base,tblManoeuvre[],3,FALSE)) &amp; " | " &amp; AC8,AC8 &amp; " " &amp; REPT("●",VLOOKUP(_xlpm.base,$F$79:$P$120,11,FALSE)))))</f>
        <v>¬</v>
      </c>
      <c r="AE8" s="20"/>
      <c r="AF8" s="20" t="str">
        <f>IF(LEN(AC8)=0,"¬",_xlfn.LET(_xlpm.base,IFERROR(LEFT(AC8,FIND(" (",AC8)-1),AC8),IFERROR(VLOOKUP(_xlpm.base,tblMerits[],5,FALSE),IFERROR(VLOOKUP(_xlpm.base,tblManoeuvre[],9,FALSE),"¬"))))</f>
        <v>¬</v>
      </c>
      <c r="AI8" s="15" t="s">
        <v>34</v>
      </c>
      <c r="AJ8" s="61">
        <f t="shared" si="1"/>
        <v>0</v>
      </c>
      <c r="AK8" s="61">
        <f>IF(AJ8=0,IF(COUNTIF($E$42:$E$49,AI8)&gt;0,-3,-1),AJ8)</f>
        <v>-1</v>
      </c>
    </row>
    <row r="9" spans="1:37">
      <c r="A9" s="1" t="s">
        <v>8</v>
      </c>
      <c r="B9" t="str">
        <f>IF(VLOOKUP(tblCharDataCazz[[#This Row],[Field]],$E$2:$F$362,2,FALSE)="","¬",VLOOKUP(tblCharDataCazz[[#This Row],[Field]],$E$2:$F$362,2,FALSE))</f>
        <v>Ventrue</v>
      </c>
      <c r="D9" s="19"/>
      <c r="E9" s="15" t="s">
        <v>11</v>
      </c>
      <c r="F9" s="3" t="s">
        <v>607</v>
      </c>
      <c r="G9" s="18"/>
      <c r="H9" s="18"/>
      <c r="I9" s="18" t="s">
        <v>1429</v>
      </c>
      <c r="N9" s="61">
        <f>N40+T40</f>
        <v>0</v>
      </c>
      <c r="O9" s="65">
        <f>N9/SUM(N$7:N$12)</f>
        <v>0</v>
      </c>
      <c r="P9" s="66"/>
      <c r="Y9" s="15" t="s">
        <v>121</v>
      </c>
      <c r="Z9" s="19"/>
      <c r="AA9" s="61" t="str">
        <f t="shared" si="0"/>
        <v/>
      </c>
      <c r="AC9" s="60"/>
      <c r="AD9" s="20" t="str">
        <f>IF(AC9="","¬",_xlfn.LET(_xlpm.base,IFERROR(LEFT(AC9,FIND(" (",AC9)-1),AC9),IFERROR(VLOOKUP(_xlpm.base,tblManoeuvre[],2,FALSE) &amp; " " &amp; REPT("●",VLOOKUP(_xlpm.base,tblManoeuvre[],3,FALSE)) &amp; " | " &amp; AC9,AC9 &amp; " " &amp; REPT("●",VLOOKUP(_xlpm.base,$F$79:$P$120,11,FALSE)))))</f>
        <v>¬</v>
      </c>
      <c r="AE9" s="20"/>
      <c r="AF9" s="20" t="str">
        <f>IF(LEN(AC9)=0,"¬",_xlfn.LET(_xlpm.base,IFERROR(LEFT(AC9,FIND(" (",AC9)-1),AC9),IFERROR(VLOOKUP(_xlpm.base,tblMerits[],5,FALSE),IFERROR(VLOOKUP(_xlpm.base,tblManoeuvre[],9,FALSE),"¬"))))</f>
        <v>¬</v>
      </c>
      <c r="AI9" s="15" t="s">
        <v>238</v>
      </c>
      <c r="AJ9" s="61">
        <f t="shared" si="1"/>
        <v>1</v>
      </c>
      <c r="AK9" s="61">
        <f>AJ9</f>
        <v>1</v>
      </c>
    </row>
    <row r="10" spans="1:37">
      <c r="A10" s="1" t="s">
        <v>9</v>
      </c>
      <c r="B10" t="str">
        <f>CONCATENATE(Elements,B9," icon.svg")</f>
        <v>D:\Terra Mortis\Character Sheets\Sheet Elements\Ventrue icon.svg</v>
      </c>
      <c r="D10" s="19"/>
      <c r="E10" s="15" t="s">
        <v>13</v>
      </c>
      <c r="F10" s="3" t="s">
        <v>376</v>
      </c>
      <c r="G10" s="18"/>
      <c r="H10" s="18"/>
      <c r="I10" s="18" t="s">
        <v>1430</v>
      </c>
      <c r="N10" s="61">
        <f>N77</f>
        <v>3</v>
      </c>
      <c r="O10" s="65">
        <f>N10/SUM(N$7:N$12)</f>
        <v>0.10714285714285714</v>
      </c>
      <c r="P10" s="66"/>
      <c r="Y10" s="15" t="s">
        <v>122</v>
      </c>
      <c r="Z10" s="19"/>
      <c r="AA10" s="61" t="str">
        <f t="shared" si="0"/>
        <v/>
      </c>
      <c r="AC10" s="60"/>
      <c r="AD10" s="20" t="str">
        <f>IF(AC10="","¬",_xlfn.LET(_xlpm.base,IFERROR(LEFT(AC10,FIND(" (",AC10)-1),AC10),IFERROR(VLOOKUP(_xlpm.base,tblManoeuvre[],2,FALSE) &amp; " " &amp; REPT("●",VLOOKUP(_xlpm.base,tblManoeuvre[],3,FALSE)) &amp; " | " &amp; AC10,AC10 &amp; " " &amp; REPT("●",VLOOKUP(_xlpm.base,$F$79:$P$120,11,FALSE)))))</f>
        <v>¬</v>
      </c>
      <c r="AE10" s="20"/>
      <c r="AF10" s="20" t="str">
        <f>IF(LEN(AC10)=0,"¬",_xlfn.LET(_xlpm.base,IFERROR(LEFT(AC10,FIND(" (",AC10)-1),AC10),IFERROR(VLOOKUP(_xlpm.base,tblMerits[],5,FALSE),IFERROR(VLOOKUP(_xlpm.base,tblManoeuvre[],9,FALSE),"¬"))))</f>
        <v>¬</v>
      </c>
      <c r="AI10" s="15" t="s">
        <v>24</v>
      </c>
      <c r="AJ10" s="61">
        <f t="shared" si="1"/>
        <v>2</v>
      </c>
      <c r="AK10" s="61">
        <f>AJ10+IFERROR(INDEX($V$26:$V$38,MATCH(AI10,$E$26:$E$38,0)),0)</f>
        <v>2</v>
      </c>
    </row>
    <row r="11" spans="1:37">
      <c r="A11" s="1" t="s">
        <v>10</v>
      </c>
      <c r="B11" t="str">
        <f>IF(VLOOKUP(tblCharDataCazz[[#This Row],[Field]],$E$2:$F$362,2,FALSE)="","¬",VLOOKUP(tblCharDataCazz[[#This Row],[Field]],$E$2:$F$362,2,FALSE))</f>
        <v>Malkovians</v>
      </c>
      <c r="D11" s="19"/>
      <c r="E11" s="15" t="s">
        <v>14</v>
      </c>
      <c r="F11" s="3" t="s">
        <v>609</v>
      </c>
      <c r="G11" s="18"/>
      <c r="H11" s="18"/>
      <c r="I11" s="18" t="s">
        <v>1431</v>
      </c>
      <c r="N11" s="61">
        <f>N163</f>
        <v>3</v>
      </c>
      <c r="O11" s="65">
        <f>N11/SUM(N$7:N$12)</f>
        <v>0.10714285714285714</v>
      </c>
      <c r="P11" s="66"/>
      <c r="Y11" s="15" t="s">
        <v>123</v>
      </c>
      <c r="Z11" s="19"/>
      <c r="AA11" s="61" t="str">
        <f t="shared" si="0"/>
        <v/>
      </c>
      <c r="AC11" s="60"/>
      <c r="AD11" s="20" t="str">
        <f>IF(AC11="","¬",_xlfn.LET(_xlpm.base,IFERROR(LEFT(AC11,FIND(" (",AC11)-1),AC11),IFERROR(VLOOKUP(_xlpm.base,tblManoeuvre[],2,FALSE) &amp; " " &amp; REPT("●",VLOOKUP(_xlpm.base,tblManoeuvre[],3,FALSE)) &amp; " | " &amp; AC11,AC11 &amp; " " &amp; REPT("●",VLOOKUP(_xlpm.base,$F$79:$P$120,11,FALSE)))))</f>
        <v>¬</v>
      </c>
      <c r="AE11" s="20"/>
      <c r="AF11" s="20" t="str">
        <f>IF(LEN(AC11)=0,"¬",_xlfn.LET(_xlpm.base,IFERROR(LEFT(AC11,FIND(" (",AC11)-1),AC11),IFERROR(VLOOKUP(_xlpm.base,tblMerits[],5,FALSE),IFERROR(VLOOKUP(_xlpm.base,tblManoeuvre[],9,FALSE),"¬"))))</f>
        <v>¬</v>
      </c>
      <c r="AI11" s="15" t="s">
        <v>26</v>
      </c>
      <c r="AJ11" s="61">
        <f t="shared" si="1"/>
        <v>0</v>
      </c>
      <c r="AK11" s="61">
        <f>IF(AJ11=0,IF(COUNTIF($E$42:$E$49,AI11)&gt;0,-3,-1),AJ11)</f>
        <v>-3</v>
      </c>
    </row>
    <row r="12" spans="1:37">
      <c r="A12" s="1" t="s">
        <v>11</v>
      </c>
      <c r="B12" t="str">
        <f>IF(VLOOKUP(tblCharDataCazz[[#This Row],[Field]],$E$2:$F$362,2,FALSE)="","¬",VLOOKUP(tblCharDataCazz[[#This Row],[Field]],$E$2:$F$362,2,FALSE))</f>
        <v>Carthian Movement</v>
      </c>
      <c r="D12" s="19"/>
      <c r="E12" s="15" t="s">
        <v>15</v>
      </c>
      <c r="F12" s="3"/>
      <c r="G12" s="3"/>
      <c r="H12" s="18"/>
      <c r="I12" s="18" t="s">
        <v>1432</v>
      </c>
      <c r="N12" s="61">
        <f>N71</f>
        <v>0</v>
      </c>
      <c r="O12" s="65">
        <f>N12/SUM(N$7:N$12)</f>
        <v>0</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1</v>
      </c>
      <c r="AK12" s="61">
        <f>IF(AJ12=0,IF(COUNTIF($E$42:$E$49,AI12)&gt;0,-3,-1),AJ12)</f>
        <v>1</v>
      </c>
    </row>
    <row r="13" spans="1:37">
      <c r="A13" s="1" t="s">
        <v>12</v>
      </c>
      <c r="B13" t="str">
        <f>_xlfn.IFNA(CONCATENATE(Elements,VLOOKUP(B12,tblCovenantShortName[#Data],2,FALSE)," icon.svg"),"")</f>
        <v>D:\Terra Mortis\Character Sheets\Sheet Elements\Carthian icon.svg</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0</v>
      </c>
      <c r="AK13" s="61">
        <f t="shared" ref="AK13:AK19" si="2">AJ13</f>
        <v>0</v>
      </c>
    </row>
    <row r="14" spans="1:37">
      <c r="A14" s="1" t="s">
        <v>13</v>
      </c>
      <c r="B14" t="str">
        <f>IF(VLOOKUP(tblCharDataCazz[[#This Row],[Field]],$E$2:$F$362,2,FALSE)="","¬",VLOOKUP(tblCharDataCazz[[#This Row],[Field]],$E$2:$F$362,2,FALSE))</f>
        <v>Scholar</v>
      </c>
      <c r="D14" s="19"/>
      <c r="E14" s="15" t="s">
        <v>1433</v>
      </c>
      <c r="F14" s="28" t="s">
        <v>1609</v>
      </c>
      <c r="G14" s="3" t="s">
        <v>634</v>
      </c>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0</v>
      </c>
      <c r="AK14" s="61">
        <f t="shared" si="2"/>
        <v>0</v>
      </c>
    </row>
    <row r="15" spans="1:37">
      <c r="A15" s="1" t="s">
        <v>14</v>
      </c>
      <c r="B15" t="str">
        <f>IF(VLOOKUP(tblCharDataCazz[[#This Row],[Field]],$E$2:$F$362,2,FALSE)="","¬",VLOOKUP(tblCharDataCazz[[#This Row],[Field]],$E$2:$F$362,2,FALSE))</f>
        <v>Jester</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8</v>
      </c>
      <c r="AK15" s="61">
        <f t="shared" ca="1" si="2"/>
        <v>8</v>
      </c>
    </row>
    <row r="16" spans="1:37" ht="15.75" thickBot="1">
      <c r="A16" s="1" t="s">
        <v>15</v>
      </c>
      <c r="B16" t="str">
        <f ca="1">_xlfn.LET(_xlpm.a,VLOOKUP(tblCharDataCazz[[#This Row],[Field]],$E$2:$F$362,2,FALSE),_xlpm.b,VLOOKUP(OFFSET(tblCharDataCazz[[#This Row],[Field]],1,0),$E$2:$F$362,2,FALSE),IF(AND(_xlpm.a&lt;&gt;"",_xlpm.b&lt;&gt;""),_xlpm.a&amp;" &amp; "&amp;_xlpm.b,IF(_xlpm.a&lt;&gt;"",_xlpm.a,IF(_xlpm.b&lt;&gt;"",_xlpm.b,"¬"))))</f>
        <v>¬</v>
      </c>
      <c r="D16" s="14" t="s">
        <v>1427</v>
      </c>
      <c r="E16" s="14"/>
      <c r="F16" s="14"/>
      <c r="G16" s="14"/>
      <c r="H16" s="14"/>
      <c r="I16" s="14"/>
      <c r="N16" s="60">
        <f>SUM(N17:N21)</f>
        <v>3</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REPT("●",IFERROR(INDEX($P$26:$P$38,MATCH(tblCharDataCazz[[#This Row],[Field]],$E$26:$E$38,0)),0))&amp;REPT("○",IFERROR(INDEX($V$26:$V$38,MATCH(tblCharDataCazz[[#This Row],[Field]],$E$26:$E$38,0)),0))</f>
        <v>●●●</v>
      </c>
      <c r="D17" s="19"/>
      <c r="E17" s="15" t="s">
        <v>1435</v>
      </c>
      <c r="F17" s="3" t="b">
        <v>1</v>
      </c>
      <c r="G17" s="19"/>
      <c r="H17" s="19"/>
      <c r="I17" s="19"/>
      <c r="N17" s="61">
        <f>IF(F17=TRUE,3,0)</f>
        <v>3</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3</v>
      </c>
      <c r="AK17" s="61">
        <f>AJ17+IFERROR(INDEX($V$26:$V$38,MATCH(AI17,$E$26:$E$38,0)),0)</f>
        <v>3</v>
      </c>
    </row>
    <row r="18" spans="1:37">
      <c r="A18" s="1" t="s">
        <v>17</v>
      </c>
      <c r="B18" t="str">
        <f>REPT("●",IFERROR(INDEX($P$26:$P$38,MATCH(tblCharDataCazz[[#This Row],[Field]],$E$26:$E$38,0)),0))&amp;REPT("○",IFERROR(INDEX($V$26:$V$38,MATCH(tblCharDataCazz[[#This Row],[Field]],$E$26:$E$38,0)),0))</f>
        <v>●●●</v>
      </c>
      <c r="D18" s="19"/>
      <c r="E18" s="15" t="s">
        <v>1436</v>
      </c>
      <c r="F18" s="3"/>
      <c r="G18" s="19"/>
      <c r="H18" s="19"/>
      <c r="I18" s="19"/>
      <c r="N18" s="61">
        <f>IF(F18=TRUE,3,0)</f>
        <v>0</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0</v>
      </c>
      <c r="AK18" s="61">
        <f t="shared" si="2"/>
        <v>0</v>
      </c>
    </row>
    <row r="19" spans="1:37">
      <c r="A19" s="1" t="s">
        <v>18</v>
      </c>
      <c r="B19" t="str">
        <f>REPT("●",IFERROR(INDEX($P$26:$P$38,MATCH(tblCharDataCazz[[#This Row],[Field]],$E$26:$E$38,0)),0))&amp;REPT("○",IFERROR(INDEX($V$26:$V$38,MATCH(tblCharDataCazz[[#This Row],[Field]],$E$26:$E$38,0)),0))</f>
        <v>●●●</v>
      </c>
      <c r="D19" s="19"/>
      <c r="E19" s="15" t="s">
        <v>1437</v>
      </c>
      <c r="F19" s="3"/>
      <c r="G19" s="19"/>
      <c r="H19" s="19"/>
      <c r="I19" s="19"/>
      <c r="N19" s="61">
        <f>IF(F19=TRUE,3,0)</f>
        <v>0</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0</v>
      </c>
      <c r="AK19" s="61">
        <f t="shared" si="2"/>
        <v>0</v>
      </c>
    </row>
    <row r="20" spans="1:37">
      <c r="A20" s="1" t="s">
        <v>19</v>
      </c>
      <c r="B20" t="str">
        <f>REPT("●",IFERROR(INDEX($P$26:$P$38,MATCH(tblCharDataCazz[[#This Row],[Field]],$E$26:$E$38,0)),0))&amp;REPT("○",IFERROR(INDEX($V$26:$V$38,MATCH(tblCharDataCazz[[#This Row],[Field]],$E$26:$E$38,0)),0))</f>
        <v>●●●</v>
      </c>
      <c r="D20" s="19"/>
      <c r="E20" s="15" t="s">
        <v>1438</v>
      </c>
      <c r="F20" s="3"/>
      <c r="G20" s="19"/>
      <c r="H20" s="19"/>
      <c r="I20" s="19"/>
      <c r="N20" s="61">
        <f>IF(F20=TRUE,3,0)</f>
        <v>0</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REPT("●",IFERROR(INDEX($P$26:$P$38,MATCH(tblCharDataCazz[[#This Row],[Field]],$E$26:$E$38,0)),0))&amp;REPT("○",IFERROR(INDEX($V$26:$V$38,MATCH(tblCharDataCazz[[#This Row],[Field]],$E$26:$E$38,0)),0))</f>
        <v>●●●</v>
      </c>
      <c r="D21" s="19"/>
      <c r="E21" s="15" t="s">
        <v>11</v>
      </c>
      <c r="F21" s="3"/>
      <c r="G21" s="19"/>
      <c r="H21" s="19"/>
      <c r="I21" s="19"/>
      <c r="N21" s="61">
        <f>IF(F21=TRUE,3,0)</f>
        <v>0</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1</v>
      </c>
      <c r="AK21" s="61">
        <f>IF(AJ21=0,IF(COUNTIF($E$42:$E$49,AI21)&gt;0,-3,-1),AJ21)</f>
        <v>1</v>
      </c>
    </row>
    <row r="22" spans="1:37">
      <c r="A22" s="1" t="s">
        <v>21</v>
      </c>
      <c r="B22" t="str">
        <f>REPT("●",IFERROR(INDEX($P$26:$P$38,MATCH(tblCharDataCazz[[#This Row],[Field]],$E$26:$E$38,0)),0))&amp;REPT("○",IFERROR(INDEX($V$26:$V$38,MATCH(tblCharDataCazz[[#This Row],[Field]],$E$26:$E$38,0)),0))</f>
        <v>●●●○</v>
      </c>
      <c r="Y22" s="15" t="s">
        <v>1439</v>
      </c>
      <c r="Z22" s="61" t="str">
        <f>IFERROR(VLOOKUP(AA22,tblManoeuvre[],2,FALSE),"")</f>
        <v>Combat Archery</v>
      </c>
      <c r="AA22" s="61" t="str">
        <f t="shared" ref="AA22:AA41" si="3">_xlfn.LET(_xlpm.name,VLOOKUP(Y22,$E$2:$F$362,2,FALSE),_xlpm.paid,_xlfn.IFNA(VLOOKUP(_xlpm.name,$F$79:$Q$120,11,FALSE)&gt;=VLOOKUP(_xlpm.name,$F$79:$Q$120,12,FALSE),FALSE),IF(AND(_xlpm.name&lt;&gt;"",_xlpm.paid),_xlpm.name,""))</f>
        <v>Rapid Nock</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0</v>
      </c>
      <c r="AK22" s="61">
        <f>IF(AJ22=0,IF(COUNTIF($E$42:$E$49,AI22)&gt;0,-3,-1),AJ22)</f>
        <v>-1</v>
      </c>
    </row>
    <row r="23" spans="1:37" ht="15.75" thickBot="1">
      <c r="A23" s="1" t="s">
        <v>22</v>
      </c>
      <c r="B23" t="str">
        <f>REPT("●",IFERROR(INDEX($P$26:$P$38,MATCH(tblCharDataCazz[[#This Row],[Field]],$E$26:$E$38,0)),0))&amp;REPT("○",IFERROR(INDEX($V$26:$V$38,MATCH(tblCharDataCazz[[#This Row],[Field]],$E$26:$E$38,0)),0))</f>
        <v>●●</v>
      </c>
      <c r="D23" s="14" t="s">
        <v>1440</v>
      </c>
      <c r="E23" s="14"/>
      <c r="F23" s="14"/>
      <c r="G23" s="14"/>
      <c r="H23" s="14"/>
      <c r="I23" s="14"/>
      <c r="N23" s="60">
        <f>SUM(N26:N28,N31:N33,N36:N38)</f>
        <v>8</v>
      </c>
      <c r="Y23" s="15" t="s">
        <v>1441</v>
      </c>
      <c r="Z23" s="61" t="str">
        <f>IFERROR(VLOOKUP(AA23,tblManoeuvre[],2,FALSE),"")</f>
        <v>Combat Archery</v>
      </c>
      <c r="AA23" s="61" t="str">
        <f t="shared" si="3"/>
        <v>Reflex Aiming</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3</v>
      </c>
      <c r="AK23" s="61">
        <f>IF(AJ23=0,VLOOKUP(AI23,$E$42:$Q$69,13,FALSE),AJ23)</f>
        <v>3</v>
      </c>
    </row>
    <row r="24" spans="1:37">
      <c r="A24" s="1" t="s">
        <v>23</v>
      </c>
      <c r="B24" t="str">
        <f>REPT("●",IFERROR(INDEX($P$26:$P$38,MATCH(tblCharDataCazz[[#This Row],[Field]],$E$26:$E$38,0)),0))&amp;REPT("○",IFERROR(INDEX($V$26:$V$38,MATCH(tblCharDataCazz[[#This Row],[Field]],$E$26:$E$38,0)),0))</f>
        <v>●●</v>
      </c>
      <c r="E24" s="15" t="s">
        <v>1442</v>
      </c>
      <c r="F24" s="3" t="s">
        <v>18</v>
      </c>
      <c r="Y24" s="15" t="s">
        <v>1443</v>
      </c>
      <c r="Z24" s="61" t="str">
        <f>IFERROR(VLOOKUP(AA24,tblManoeuvre[],2,FALSE),"")</f>
        <v>Combat Archery</v>
      </c>
      <c r="AA24" s="61" t="str">
        <f t="shared" si="3"/>
        <v>Parthian Shot</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9</v>
      </c>
      <c r="AK24" s="61">
        <f ca="1">AJ24</f>
        <v>9</v>
      </c>
    </row>
    <row r="25" spans="1:37">
      <c r="A25" s="1" t="s">
        <v>24</v>
      </c>
      <c r="B25" t="str">
        <f>REPT("●",IFERROR(INDEX($P$26:$P$38,MATCH(tblCharDataCazz[[#This Row],[Field]],$E$26:$E$38,0)),0))&amp;REPT("○",IFERROR(INDEX($V$26:$V$38,MATCH(tblCharDataCazz[[#This Row],[Field]],$E$26:$E$38,0)),0))</f>
        <v>●●</v>
      </c>
      <c r="D25" s="16" t="s">
        <v>1444</v>
      </c>
      <c r="E25" s="17"/>
      <c r="F25" s="17"/>
      <c r="G25" s="17" t="s">
        <v>1445</v>
      </c>
      <c r="H25" s="16" t="s">
        <v>1446</v>
      </c>
      <c r="I25" s="3" t="s">
        <v>1565</v>
      </c>
      <c r="L25" s="60">
        <f>IF(I25="",0,VLOOKUP(I25,tblPriority[#Data],2,FALSE))-SUM(L26:L28)</f>
        <v>0</v>
      </c>
      <c r="Y25" s="15" t="s">
        <v>1447</v>
      </c>
      <c r="Z25" s="61" t="str">
        <f>IFERROR(VLOOKUP(AA25,tblManoeuvre[],2,FALSE),"")</f>
        <v>Combat Archery</v>
      </c>
      <c r="AA25" s="61" t="str">
        <f t="shared" si="3"/>
        <v>Rain of Arrows</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6</v>
      </c>
      <c r="AK25" s="61">
        <f>AJ25</f>
        <v>6</v>
      </c>
    </row>
    <row r="26" spans="1:37">
      <c r="A26" s="1" t="s">
        <v>25</v>
      </c>
      <c r="B26" t="str">
        <f>REPT("●",IFERROR(INDEX($P$42:$P$69,MATCH(tblCharDataCazz[[#This Row],[Field]],$E$42:$E$69,0)),0))&amp;REPT("○",IFERROR(INDEX($V$42:$V$69,MATCH(tblCharDataCazz[[#This Row],[Field]],$E$42:$E$69,0)),0))&amp;IF(IFERROR(INDEX($W$42:$W$69,MATCH(tblCharDataCazz[[#This Row],[Field]],$E$42:$E$69,0)),0)=1,"†","")</f>
        <v>●●</v>
      </c>
      <c r="D26" s="18"/>
      <c r="E26" s="15" t="s">
        <v>16</v>
      </c>
      <c r="F26" s="18"/>
      <c r="G26" s="3"/>
      <c r="H26" s="18"/>
      <c r="I26" s="18"/>
      <c r="L26" s="3">
        <v>2</v>
      </c>
      <c r="M26" s="60">
        <f>IF(E26=$F$24,2,1)</f>
        <v>1</v>
      </c>
      <c r="N26" s="3"/>
      <c r="O26" s="61">
        <f>ROUNDDOWN(N26/4,0)</f>
        <v>0</v>
      </c>
      <c r="P26" s="60">
        <f>MIN(SUM(L26,M26,O26),R26)</f>
        <v>3</v>
      </c>
      <c r="R26" s="61">
        <v>5</v>
      </c>
      <c r="U26" s="4"/>
      <c r="V26" s="61">
        <f>U26</f>
        <v>0</v>
      </c>
      <c r="Y26" s="15" t="s">
        <v>1449</v>
      </c>
      <c r="Z26" s="61" t="str">
        <f>IFERROR(VLOOKUP(AA26,tblManoeuvre[],2,FALSE),"")</f>
        <v>Combat Archery</v>
      </c>
      <c r="AA26" s="61" t="str">
        <f t="shared" si="3"/>
        <v>Trick Shot</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3</v>
      </c>
      <c r="AK26" s="61">
        <f>AJ26+IFERROR(INDEX($V$26:$V$38,MATCH(AI26,$E$26:$E$38,0)),0)</f>
        <v>3</v>
      </c>
    </row>
    <row r="27" spans="1:37">
      <c r="A27" s="1" t="s">
        <v>26</v>
      </c>
      <c r="B27" t="str">
        <f>REPT("●",IFERROR(INDEX($P$42:$P$69,MATCH(tblCharDataCazz[[#This Row],[Field]],$E$42:$E$69,0)),0))&amp;REPT("○",IFERROR(INDEX($V$42:$V$69,MATCH(tblCharDataCazz[[#This Row],[Field]],$E$42:$E$69,0)),0))&amp;IF(IFERROR(INDEX($W$42:$W$69,MATCH(tblCharDataCazz[[#This Row],[Field]],$E$42:$E$69,0)),0)=1,"†","")</f>
        <v/>
      </c>
      <c r="D27" s="18"/>
      <c r="E27" s="15" t="s">
        <v>17</v>
      </c>
      <c r="F27" s="18"/>
      <c r="G27" s="3"/>
      <c r="H27" s="18"/>
      <c r="I27" s="18"/>
      <c r="L27" s="3">
        <v>2</v>
      </c>
      <c r="M27" s="60">
        <f>IF(E27=$F$24,2,1)</f>
        <v>1</v>
      </c>
      <c r="N27" s="3"/>
      <c r="O27" s="61">
        <f>ROUNDDOWN(N27/4,0)</f>
        <v>0</v>
      </c>
      <c r="P27" s="60">
        <f>MIN(SUM(L27,M27,O27),R27)</f>
        <v>3</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1</v>
      </c>
      <c r="AK27" s="61">
        <f>IF(AJ27=0,IF(COUNTIF($E$42:$E$49,AI27)&gt;0,-3,-1),AJ27)</f>
        <v>1</v>
      </c>
    </row>
    <row r="28" spans="1:37">
      <c r="A28" s="1" t="s">
        <v>27</v>
      </c>
      <c r="B28" t="str">
        <f>REPT("●",IFERROR(INDEX($P$42:$P$69,MATCH(tblCharDataCazz[[#This Row],[Field]],$E$42:$E$69,0)),0))&amp;REPT("○",IFERROR(INDEX($V$42:$V$69,MATCH(tblCharDataCazz[[#This Row],[Field]],$E$42:$E$69,0)),0))&amp;IF(IFERROR(INDEX($W$42:$W$69,MATCH(tblCharDataCazz[[#This Row],[Field]],$E$42:$E$69,0)),0)=1,"†","")</f>
        <v>●</v>
      </c>
      <c r="D28" s="18"/>
      <c r="E28" s="15" t="s">
        <v>18</v>
      </c>
      <c r="F28" s="18"/>
      <c r="G28" s="3"/>
      <c r="H28" s="18"/>
      <c r="I28" s="18"/>
      <c r="L28" s="3">
        <v>1</v>
      </c>
      <c r="M28" s="60">
        <f>IF(E28=$F$24,2,1)</f>
        <v>2</v>
      </c>
      <c r="N28" s="3"/>
      <c r="O28" s="61">
        <f>ROUNDDOWN(N28/4,0)</f>
        <v>0</v>
      </c>
      <c r="P28" s="60">
        <f>MIN(SUM(L28,M28,O28),R28)</f>
        <v>3</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1</v>
      </c>
      <c r="AK28" s="61">
        <f>IF(AJ28=0,IF(COUNTIF($E$42:$E$49,AI28)&gt;0,-3,-1),AJ28)</f>
        <v>1</v>
      </c>
    </row>
    <row r="29" spans="1:37">
      <c r="A29" s="1" t="s">
        <v>28</v>
      </c>
      <c r="B29" t="str">
        <f>REPT("●",IFERROR(INDEX($P$42:$P$69,MATCH(tblCharDataCazz[[#This Row],[Field]],$E$42:$E$69,0)),0))&amp;REPT("○",IFERROR(INDEX($V$42:$V$69,MATCH(tblCharDataCazz[[#This Row],[Field]],$E$42:$E$69,0)),0))&amp;IF(IFERROR(INDEX($W$42:$W$69,MATCH(tblCharDataCazz[[#This Row],[Field]],$E$42:$E$69,0)),0)=1,"†","")</f>
        <v>●</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1</v>
      </c>
      <c r="AK29" s="61">
        <f>IF(AJ29=0,IF(COUNTIF($E$42:$E$49,AI29)&gt;0,-3,-1),AJ29)</f>
        <v>1</v>
      </c>
    </row>
    <row r="30" spans="1:37">
      <c r="A30" s="1" t="s">
        <v>29</v>
      </c>
      <c r="B30" t="str">
        <f>REPT("●",IFERROR(INDEX($P$42:$P$69,MATCH(tblCharDataCazz[[#This Row],[Field]],$E$42:$E$69,0)),0))&amp;REPT("○",IFERROR(INDEX($V$42:$V$69,MATCH(tblCharDataCazz[[#This Row],[Field]],$E$42:$E$69,0)),0))&amp;IF(IFERROR(INDEX($W$42:$W$69,MATCH(tblCharDataCazz[[#This Row],[Field]],$E$42:$E$69,0)),0)=1,"†","")</f>
        <v/>
      </c>
      <c r="D30" s="16" t="s">
        <v>1453</v>
      </c>
      <c r="E30" s="17"/>
      <c r="F30" s="17"/>
      <c r="G30" s="17" t="s">
        <v>1445</v>
      </c>
      <c r="H30" s="16" t="s">
        <v>1446</v>
      </c>
      <c r="I30" s="3" t="s">
        <v>1567</v>
      </c>
      <c r="L30" s="60">
        <f>IF(I30="",0,VLOOKUP(I30,tblPriority[#Data],2,FALSE))-SUM(L31:L33)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0</v>
      </c>
      <c r="AK30" s="61">
        <f>AJ30</f>
        <v>0</v>
      </c>
    </row>
    <row r="31" spans="1:37">
      <c r="A31" s="1" t="s">
        <v>30</v>
      </c>
      <c r="B31" t="str">
        <f>REPT("●",IFERROR(INDEX($P$42:$P$69,MATCH(tblCharDataCazz[[#This Row],[Field]],$E$42:$E$69,0)),0))&amp;REPT("○",IFERROR(INDEX($V$42:$V$69,MATCH(tblCharDataCazz[[#This Row],[Field]],$E$42:$E$69,0)),0))&amp;IF(IFERROR(INDEX($W$42:$W$69,MATCH(tblCharDataCazz[[#This Row],[Field]],$E$42:$E$69,0)),0)=1,"†","")</f>
        <v>●●</v>
      </c>
      <c r="D31" s="18"/>
      <c r="E31" s="15" t="s">
        <v>19</v>
      </c>
      <c r="F31" s="18"/>
      <c r="G31" s="3"/>
      <c r="H31" s="18"/>
      <c r="I31" s="18"/>
      <c r="L31" s="3">
        <v>1</v>
      </c>
      <c r="M31" s="60">
        <f>IF(E31=$F$24,2,1)</f>
        <v>1</v>
      </c>
      <c r="N31" s="3">
        <v>4</v>
      </c>
      <c r="O31" s="61">
        <f>ROUNDDOWN(N31/4,0)</f>
        <v>1</v>
      </c>
      <c r="P31" s="60">
        <f>MIN(SUM(L31,M31,O31),R31)</f>
        <v>3</v>
      </c>
      <c r="R31" s="61">
        <v>5</v>
      </c>
      <c r="U31" s="4"/>
      <c r="V31" s="61">
        <f>$P$174+U31</f>
        <v>0</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2</v>
      </c>
      <c r="AK31" s="61">
        <f>AJ31+IFERROR(INDEX($V$26:$V$38,MATCH(AI31,$E$26:$E$38,0)),0)</f>
        <v>2</v>
      </c>
    </row>
    <row r="32" spans="1:37">
      <c r="A32" s="1" t="s">
        <v>31</v>
      </c>
      <c r="B32" t="str">
        <f>REPT("●",IFERROR(INDEX($P$42:$P$69,MATCH(tblCharDataCazz[[#This Row],[Field]],$E$42:$E$69,0)),0))&amp;REPT("○",IFERROR(INDEX($V$42:$V$69,MATCH(tblCharDataCazz[[#This Row],[Field]],$E$42:$E$69,0)),0))&amp;IF(IFERROR(INDEX($W$42:$W$69,MATCH(tblCharDataCazz[[#This Row],[Field]],$E$42:$E$69,0)),0)=1,"†","")</f>
        <v/>
      </c>
      <c r="D32" s="18"/>
      <c r="E32" s="15" t="s">
        <v>20</v>
      </c>
      <c r="F32" s="18"/>
      <c r="G32" s="3"/>
      <c r="H32" s="18"/>
      <c r="I32" s="18"/>
      <c r="L32" s="3">
        <v>1</v>
      </c>
      <c r="M32" s="60">
        <f>IF(E32=$F$24,2,1)</f>
        <v>1</v>
      </c>
      <c r="N32" s="3">
        <v>4</v>
      </c>
      <c r="O32" s="61">
        <f>ROUNDDOWN(N32/4,0)</f>
        <v>1</v>
      </c>
      <c r="P32" s="60">
        <f>MIN(SUM(L32,M32,O32),R32)</f>
        <v>3</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REPT("●",IFERROR(INDEX($P$42:$P$69,MATCH(tblCharDataCazz[[#This Row],[Field]],$E$42:$E$69,0)),0))&amp;REPT("○",IFERROR(INDEX($V$42:$V$69,MATCH(tblCharDataCazz[[#This Row],[Field]],$E$42:$E$69,0)),0))&amp;IF(IFERROR(INDEX($W$42:$W$69,MATCH(tblCharDataCazz[[#This Row],[Field]],$E$42:$E$69,0)),0)=1,"†","")</f>
        <v>●</v>
      </c>
      <c r="D33" s="18"/>
      <c r="E33" s="15" t="s">
        <v>21</v>
      </c>
      <c r="F33" s="18"/>
      <c r="G33" s="3"/>
      <c r="H33" s="18"/>
      <c r="I33" s="18"/>
      <c r="L33" s="3">
        <v>2</v>
      </c>
      <c r="M33" s="60">
        <f>IF(E33=$F$24,2,1)</f>
        <v>1</v>
      </c>
      <c r="N33" s="3"/>
      <c r="O33" s="61">
        <f>ROUNDDOWN(N33/4,0)</f>
        <v>0</v>
      </c>
      <c r="P33" s="60">
        <f>MIN(SUM(L33,M33,O33),R33)</f>
        <v>3</v>
      </c>
      <c r="R33" s="61">
        <v>5</v>
      </c>
      <c r="U33" s="4"/>
      <c r="V33" s="61">
        <f>$P$173+U33</f>
        <v>1</v>
      </c>
      <c r="Y33" s="15" t="s">
        <v>1457</v>
      </c>
      <c r="Z33" s="61" t="str">
        <f>IFERROR(VLOOKUP(AA33,tblManoeuvre[],2,FALSE),"")</f>
        <v/>
      </c>
      <c r="AA33" s="61" t="str">
        <f t="shared" si="3"/>
        <v/>
      </c>
      <c r="AI33" s="15" t="s">
        <v>241</v>
      </c>
      <c r="AJ33" s="61">
        <f t="shared" si="1"/>
        <v>0</v>
      </c>
      <c r="AK33" s="61">
        <f>AJ33</f>
        <v>0</v>
      </c>
    </row>
    <row r="34" spans="1:37">
      <c r="A34" s="1" t="s">
        <v>33</v>
      </c>
      <c r="B34" t="str">
        <f>REPT("●",IFERROR(INDEX($P$42:$P$69,MATCH(tblCharDataCazz[[#This Row],[Field]],$E$42:$E$69,0)),0))&amp;REPT("○",IFERROR(INDEX($V$42:$V$69,MATCH(tblCharDataCazz[[#This Row],[Field]],$E$42:$E$69,0)),0))&amp;IF(IFERROR(INDEX($W$42:$W$69,MATCH(tblCharDataCazz[[#This Row],[Field]],$E$42:$E$69,0)),0)=1,"†","")</f>
        <v>●●●●●</v>
      </c>
      <c r="Y34" s="15" t="s">
        <v>1458</v>
      </c>
      <c r="Z34" s="61" t="str">
        <f>IFERROR(VLOOKUP(AA34,tblManoeuvre[],2,FALSE),"")</f>
        <v/>
      </c>
      <c r="AA34" s="61" t="str">
        <f t="shared" si="3"/>
        <v/>
      </c>
      <c r="AI34" s="15" t="s">
        <v>242</v>
      </c>
      <c r="AJ34" s="61">
        <f t="shared" ref="AJ34:AJ58" si="4">VLOOKUP(AI34,$E$3:$P$221,12,FALSE)</f>
        <v>1</v>
      </c>
      <c r="AK34" s="61">
        <f>AJ34</f>
        <v>1</v>
      </c>
    </row>
    <row r="35" spans="1:37">
      <c r="A35" s="1" t="s">
        <v>34</v>
      </c>
      <c r="B35" t="str">
        <f>REPT("●",IFERROR(INDEX($P$42:$P$69,MATCH(tblCharDataCazz[[#This Row],[Field]],$E$42:$E$69,0)),0))&amp;REPT("○",IFERROR(INDEX($V$42:$V$69,MATCH(tblCharDataCazz[[#This Row],[Field]],$E$42:$E$69,0)),0))&amp;IF(IFERROR(INDEX($W$42:$W$69,MATCH(tblCharDataCazz[[#This Row],[Field]],$E$42:$E$69,0)),0)=1,"†","")</f>
        <v/>
      </c>
      <c r="D35" s="16" t="s">
        <v>1459</v>
      </c>
      <c r="E35" s="17"/>
      <c r="F35" s="17"/>
      <c r="G35" s="17" t="s">
        <v>1445</v>
      </c>
      <c r="H35" s="16" t="s">
        <v>1446</v>
      </c>
      <c r="I35" s="3" t="s">
        <v>1566</v>
      </c>
      <c r="L35" s="60">
        <f>IF(I35="",0,VLOOKUP(I35,tblPriority[#Data],2,FALSE))-SUM(L36:L38)</f>
        <v>0</v>
      </c>
      <c r="Y35" s="15" t="s">
        <v>1460</v>
      </c>
      <c r="Z35" s="61" t="str">
        <f>IFERROR(VLOOKUP(AA35,tblManoeuvre[],2,FALSE),"")</f>
        <v/>
      </c>
      <c r="AA35" s="61" t="str">
        <f t="shared" si="3"/>
        <v/>
      </c>
      <c r="AI35" s="15" t="s">
        <v>30</v>
      </c>
      <c r="AJ35" s="61">
        <f t="shared" si="4"/>
        <v>2</v>
      </c>
      <c r="AK35" s="61">
        <f>IF(AJ35=0,IF(COUNTIF($E$42:$E$49,AI35)&gt;0,-3,-1),AJ35)</f>
        <v>2</v>
      </c>
    </row>
    <row r="36" spans="1:37">
      <c r="A36" s="1" t="s">
        <v>35</v>
      </c>
      <c r="B36" t="str">
        <f>REPT("●",IFERROR(INDEX($P$42:$P$69,MATCH(tblCharDataCazz[[#This Row],[Field]],$E$42:$E$69,0)),0))&amp;REPT("○",IFERROR(INDEX($V$42:$V$69,MATCH(tblCharDataCazz[[#This Row],[Field]],$E$42:$E$69,0)),0))&amp;IF(IFERROR(INDEX($W$42:$W$69,MATCH(tblCharDataCazz[[#This Row],[Field]],$E$42:$E$69,0)),0)=1,"†","")</f>
        <v/>
      </c>
      <c r="D36" s="18"/>
      <c r="E36" s="15" t="s">
        <v>22</v>
      </c>
      <c r="F36" s="18"/>
      <c r="G36" s="3"/>
      <c r="H36" s="18"/>
      <c r="I36" s="18"/>
      <c r="L36" s="3">
        <v>1</v>
      </c>
      <c r="M36" s="60">
        <f>IF(E36=$F$24,2,1)</f>
        <v>1</v>
      </c>
      <c r="N36" s="3"/>
      <c r="O36" s="61">
        <f>ROUNDDOWN(N36/4,0)</f>
        <v>0</v>
      </c>
      <c r="P36" s="60">
        <f>MIN(SUM(L36,M36,O36),R36)</f>
        <v>2</v>
      </c>
      <c r="R36" s="61">
        <v>5</v>
      </c>
      <c r="U36" s="4"/>
      <c r="V36" s="61">
        <f>U36</f>
        <v>0</v>
      </c>
      <c r="Y36" s="15" t="s">
        <v>1461</v>
      </c>
      <c r="Z36" s="61" t="str">
        <f>IFERROR(VLOOKUP(AA36,tblManoeuvre[],2,FALSE),"")</f>
        <v/>
      </c>
      <c r="AA36" s="61" t="str">
        <f t="shared" si="3"/>
        <v/>
      </c>
      <c r="AI36" s="15" t="s">
        <v>45</v>
      </c>
      <c r="AJ36" s="61">
        <f t="shared" si="4"/>
        <v>0</v>
      </c>
      <c r="AK36" s="61">
        <f>IF(AJ36=0,IF(COUNTIF($E$42:$E$49,AI36)&gt;0,-3,-1),AJ36)</f>
        <v>-1</v>
      </c>
    </row>
    <row r="37" spans="1:37">
      <c r="A37" s="1" t="s">
        <v>36</v>
      </c>
      <c r="B37" t="str">
        <f>REPT("●",IFERROR(INDEX($P$42:$P$69,MATCH(tblCharDataCazz[[#This Row],[Field]],$E$42:$E$69,0)),0))&amp;REPT("○",IFERROR(INDEX($V$42:$V$69,MATCH(tblCharDataCazz[[#This Row],[Field]],$E$42:$E$69,0)),0))&amp;IF(IFERROR(INDEX($W$42:$W$69,MATCH(tblCharDataCazz[[#This Row],[Field]],$E$42:$E$69,0)),0)=1,"†","")</f>
        <v>●●●</v>
      </c>
      <c r="D37" s="18"/>
      <c r="E37" s="15" t="s">
        <v>23</v>
      </c>
      <c r="F37" s="18"/>
      <c r="G37" s="3"/>
      <c r="H37" s="18"/>
      <c r="I37" s="18"/>
      <c r="L37" s="3">
        <v>1</v>
      </c>
      <c r="M37" s="60">
        <f>IF(E37=$F$24,2,1)</f>
        <v>1</v>
      </c>
      <c r="N37" s="3"/>
      <c r="O37" s="61">
        <f>ROUNDDOWN(N37/4,0)</f>
        <v>0</v>
      </c>
      <c r="P37" s="60">
        <f>MIN(SUM(L37,M37,O37),R37)</f>
        <v>2</v>
      </c>
      <c r="R37" s="61">
        <v>5</v>
      </c>
      <c r="U37" s="4"/>
      <c r="V37" s="61">
        <f>U37</f>
        <v>0</v>
      </c>
      <c r="Y37" s="15" t="s">
        <v>1462</v>
      </c>
      <c r="Z37" s="61" t="str">
        <f>IFERROR(VLOOKUP(AA37,tblManoeuvre[],2,FALSE),"")</f>
        <v/>
      </c>
      <c r="AA37" s="61" t="str">
        <f t="shared" si="3"/>
        <v/>
      </c>
      <c r="AI37" s="15" t="s">
        <v>31</v>
      </c>
      <c r="AJ37" s="61">
        <f t="shared" si="4"/>
        <v>0</v>
      </c>
      <c r="AK37" s="61">
        <f>IF(AJ37=0,IF(COUNTIF($E$42:$E$49,AI37)&gt;0,-3,-1),AJ37)</f>
        <v>-3</v>
      </c>
    </row>
    <row r="38" spans="1:37">
      <c r="A38" s="1" t="s">
        <v>37</v>
      </c>
      <c r="B38" t="str">
        <f>REPT("●",IFERROR(INDEX($P$42:$P$69,MATCH(tblCharDataCazz[[#This Row],[Field]],$E$42:$E$69,0)),0))&amp;REPT("○",IFERROR(INDEX($V$42:$V$69,MATCH(tblCharDataCazz[[#This Row],[Field]],$E$42:$E$69,0)),0))&amp;IF(IFERROR(INDEX($W$42:$W$69,MATCH(tblCharDataCazz[[#This Row],[Field]],$E$42:$E$69,0)),0)=1,"†","")</f>
        <v>●</v>
      </c>
      <c r="D38" s="18"/>
      <c r="E38" s="15" t="s">
        <v>24</v>
      </c>
      <c r="F38" s="18"/>
      <c r="G38" s="3"/>
      <c r="H38" s="18"/>
      <c r="I38" s="18"/>
      <c r="L38" s="3">
        <v>1</v>
      </c>
      <c r="M38" s="60">
        <f>IF(E38=$F$24,2,1)</f>
        <v>1</v>
      </c>
      <c r="N38" s="3"/>
      <c r="O38" s="61">
        <f>ROUNDDOWN(N38/4,0)</f>
        <v>0</v>
      </c>
      <c r="P38" s="60">
        <f>MIN(SUM(L38,M38,O38),R38)</f>
        <v>2</v>
      </c>
      <c r="R38" s="61">
        <v>5</v>
      </c>
      <c r="U38" s="4"/>
      <c r="V38" s="61">
        <f>U38</f>
        <v>0</v>
      </c>
      <c r="Y38" s="15" t="s">
        <v>1463</v>
      </c>
      <c r="Z38" s="61" t="str">
        <f>IFERROR(VLOOKUP(AA38,tblManoeuvre[],2,FALSE),"")</f>
        <v/>
      </c>
      <c r="AA38" s="61" t="str">
        <f t="shared" si="3"/>
        <v/>
      </c>
      <c r="AI38" s="15" t="s">
        <v>22</v>
      </c>
      <c r="AJ38" s="61">
        <f t="shared" si="4"/>
        <v>2</v>
      </c>
      <c r="AK38" s="61">
        <f>AJ38+IFERROR(INDEX($V$26:$V$38,MATCH(AI38,$E$26:$E$38,0)),0)</f>
        <v>2</v>
      </c>
    </row>
    <row r="39" spans="1:37">
      <c r="A39" s="1" t="s">
        <v>38</v>
      </c>
      <c r="B39" t="str">
        <f>REPT("●",IFERROR(INDEX($P$42:$P$69,MATCH(tblCharDataCazz[[#This Row],[Field]],$E$42:$E$69,0)),0))&amp;REPT("○",IFERROR(INDEX($V$42:$V$69,MATCH(tblCharDataCazz[[#This Row],[Field]],$E$42:$E$69,0)),0))&amp;IF(IFERROR(INDEX($W$42:$W$69,MATCH(tblCharDataCazz[[#This Row],[Field]],$E$42:$E$69,0)),0)=1,"†","")</f>
        <v>●</v>
      </c>
      <c r="Y39" s="15" t="s">
        <v>1464</v>
      </c>
      <c r="Z39" s="61" t="str">
        <f>IFERROR(VLOOKUP(AA39,tblManoeuvre[],2,FALSE),"")</f>
        <v/>
      </c>
      <c r="AA39" s="61" t="str">
        <f t="shared" si="3"/>
        <v/>
      </c>
      <c r="AI39" s="15" t="s">
        <v>243</v>
      </c>
      <c r="AJ39" s="61">
        <f t="shared" si="4"/>
        <v>0</v>
      </c>
      <c r="AK39" s="61">
        <f>AJ39</f>
        <v>0</v>
      </c>
    </row>
    <row r="40" spans="1:37" ht="15.75" thickBot="1">
      <c r="A40" s="1" t="s">
        <v>39</v>
      </c>
      <c r="B40" t="str">
        <f>REPT("●",IFERROR(INDEX($P$42:$P$69,MATCH(tblCharDataCazz[[#This Row],[Field]],$E$42:$E$69,0)),0))&amp;REPT("○",IFERROR(INDEX($V$42:$V$69,MATCH(tblCharDataCazz[[#This Row],[Field]],$E$42:$E$69,0)),0))&amp;IF(IFERROR(INDEX($W$42:$W$69,MATCH(tblCharDataCazz[[#This Row],[Field]],$E$42:$E$69,0)),0)=1,"†","")</f>
        <v>●</v>
      </c>
      <c r="D40" s="14" t="s">
        <v>1465</v>
      </c>
      <c r="E40" s="14"/>
      <c r="F40" s="14"/>
      <c r="G40" s="14"/>
      <c r="H40" s="14"/>
      <c r="I40" s="14"/>
      <c r="N40" s="60">
        <f>SUM(N42:N49,N52:N59,N62:N69)</f>
        <v>0</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4"/>
        <v>0</v>
      </c>
      <c r="AK40" s="61">
        <f>AJ40</f>
        <v>0</v>
      </c>
    </row>
    <row r="41" spans="1:37">
      <c r="A41" s="1" t="s">
        <v>40</v>
      </c>
      <c r="B41" t="str">
        <f>REPT("●",IFERROR(INDEX($P$42:$P$69,MATCH(tblCharDataCazz[[#This Row],[Field]],$E$42:$E$69,0)),0))&amp;REPT("○",IFERROR(INDEX($V$42:$V$69,MATCH(tblCharDataCazz[[#This Row],[Field]],$E$42:$E$69,0)),0))&amp;IF(IFERROR(INDEX($W$42:$W$69,MATCH(tblCharDataCazz[[#This Row],[Field]],$E$42:$E$69,0)),0)=1,"†","")</f>
        <v/>
      </c>
      <c r="D41" s="16" t="s">
        <v>1444</v>
      </c>
      <c r="E41" s="17"/>
      <c r="F41" s="17"/>
      <c r="G41" s="17" t="s">
        <v>1467</v>
      </c>
      <c r="H41" s="16" t="s">
        <v>1446</v>
      </c>
      <c r="I41" s="3" t="s">
        <v>1567</v>
      </c>
      <c r="L41" s="60">
        <f>IF(I41="",0,VLOOKUP(I41,tblPriority[#Data],3,FALSE))-SUM(L42:L49)</f>
        <v>0</v>
      </c>
      <c r="T41" s="60">
        <f>MAX(3+IF(P161&gt;=3,2,0)-SUM(T42:T49,T52:T59,T62:T69),0)</f>
        <v>0</v>
      </c>
      <c r="Y41" s="15" t="s">
        <v>1468</v>
      </c>
      <c r="Z41" s="61" t="str">
        <f>IFERROR(VLOOKUP(AA41,tblManoeuvre[],2,FALSE),"")</f>
        <v/>
      </c>
      <c r="AA41" s="61" t="str">
        <f t="shared" si="3"/>
        <v/>
      </c>
      <c r="AI41" s="15" t="s">
        <v>244</v>
      </c>
      <c r="AJ41" s="61">
        <f t="shared" si="4"/>
        <v>1</v>
      </c>
      <c r="AK41" s="61">
        <f>AJ41</f>
        <v>1</v>
      </c>
    </row>
    <row r="42" spans="1:37">
      <c r="A42" s="1" t="s">
        <v>41</v>
      </c>
      <c r="B42" t="str">
        <f>REPT("●",IFERROR(INDEX($P$42:$P$69,MATCH(tblCharDataCazz[[#This Row],[Field]],$E$42:$E$69,0)),0))&amp;REPT("○",IFERROR(INDEX($V$42:$V$69,MATCH(tblCharDataCazz[[#This Row],[Field]],$E$42:$E$69,0)),0))&amp;IF(IFERROR(INDEX($W$42:$W$69,MATCH(tblCharDataCazz[[#This Row],[Field]],$E$42:$E$69,0)),0)=1,"†","")</f>
        <v/>
      </c>
      <c r="D42" s="18"/>
      <c r="E42" s="15" t="s">
        <v>25</v>
      </c>
      <c r="F42" s="18"/>
      <c r="G42" s="3"/>
      <c r="H42" s="18"/>
      <c r="I42" s="18"/>
      <c r="L42" s="4">
        <v>2</v>
      </c>
      <c r="M42" s="60"/>
      <c r="N42" s="4"/>
      <c r="O42" s="61">
        <f>ROUNDDOWN(N42/2,0)</f>
        <v>0</v>
      </c>
      <c r="P42" s="60">
        <f t="shared" ref="P42:P49" si="5">MIN(SUM(L42,M42,O42),R42)</f>
        <v>2</v>
      </c>
      <c r="R42" s="61">
        <v>5</v>
      </c>
      <c r="T42" s="4"/>
      <c r="U42" s="4"/>
      <c r="V42" s="61">
        <f t="shared" ref="V42:V49" si="6">U42</f>
        <v>0</v>
      </c>
      <c r="W42" s="4"/>
      <c r="AI42" s="15" t="s">
        <v>18</v>
      </c>
      <c r="AJ42" s="61">
        <f t="shared" si="4"/>
        <v>3</v>
      </c>
      <c r="AK42" s="61">
        <f>AJ42+IFERROR(INDEX($V$26:$V$38,MATCH(AI42,$E$26:$E$38,0)),0)</f>
        <v>3</v>
      </c>
    </row>
    <row r="43" spans="1:37">
      <c r="A43" s="1" t="s">
        <v>42</v>
      </c>
      <c r="B43" t="str">
        <f>REPT("●",IFERROR(INDEX($P$42:$P$69,MATCH(tblCharDataCazz[[#This Row],[Field]],$E$42:$E$69,0)),0))&amp;REPT("○",IFERROR(INDEX($V$42:$V$69,MATCH(tblCharDataCazz[[#This Row],[Field]],$E$42:$E$69,0)),0))&amp;IF(IFERROR(INDEX($W$42:$W$69,MATCH(tblCharDataCazz[[#This Row],[Field]],$E$42:$E$69,0)),0)=1,"†","")</f>
        <v>●</v>
      </c>
      <c r="D43" s="18"/>
      <c r="E43" s="15" t="s">
        <v>26</v>
      </c>
      <c r="F43" s="18"/>
      <c r="G43" s="3"/>
      <c r="H43" s="18"/>
      <c r="I43" s="18"/>
      <c r="L43" s="4"/>
      <c r="M43" s="60"/>
      <c r="N43" s="4"/>
      <c r="O43" s="61">
        <f t="shared" ref="O43:O49" si="7">ROUNDDOWN(N43/2,0)</f>
        <v>0</v>
      </c>
      <c r="P43" s="60">
        <f t="shared" si="5"/>
        <v>0</v>
      </c>
      <c r="R43" s="61">
        <v>5</v>
      </c>
      <c r="T43" s="4"/>
      <c r="U43" s="4"/>
      <c r="V43" s="61">
        <f t="shared" si="6"/>
        <v>0</v>
      </c>
      <c r="W43" s="4"/>
      <c r="AI43" s="15" t="s">
        <v>32</v>
      </c>
      <c r="AJ43" s="61">
        <f t="shared" si="4"/>
        <v>1</v>
      </c>
      <c r="AK43" s="61">
        <f>IF(AJ43=0,IF(COUNTIF($E$42:$E$49,AI43)&gt;0,-3,-1),AJ43)</f>
        <v>1</v>
      </c>
    </row>
    <row r="44" spans="1:37">
      <c r="A44" s="1" t="s">
        <v>43</v>
      </c>
      <c r="B44" t="str">
        <f>REPT("●",IFERROR(INDEX($P$42:$P$69,MATCH(tblCharDataCazz[[#This Row],[Field]],$E$42:$E$69,0)),0))&amp;REPT("○",IFERROR(INDEX($V$42:$V$69,MATCH(tblCharDataCazz[[#This Row],[Field]],$E$42:$E$69,0)),0))&amp;IF(IFERROR(INDEX($W$42:$W$69,MATCH(tblCharDataCazz[[#This Row],[Field]],$E$42:$E$69,0)),0)=1,"†","")</f>
        <v/>
      </c>
      <c r="D44" s="18"/>
      <c r="E44" s="15" t="s">
        <v>27</v>
      </c>
      <c r="F44" s="18"/>
      <c r="G44" s="3"/>
      <c r="H44" s="18"/>
      <c r="I44" s="18"/>
      <c r="L44" s="4">
        <v>1</v>
      </c>
      <c r="M44" s="60"/>
      <c r="N44" s="4"/>
      <c r="O44" s="61">
        <f t="shared" si="7"/>
        <v>0</v>
      </c>
      <c r="P44" s="60">
        <f t="shared" si="5"/>
        <v>1</v>
      </c>
      <c r="R44" s="61">
        <v>5</v>
      </c>
      <c r="T44" s="4"/>
      <c r="U44" s="4"/>
      <c r="V44" s="61">
        <f t="shared" si="6"/>
        <v>0</v>
      </c>
      <c r="W44" s="4"/>
      <c r="Y44" s="15">
        <v>1</v>
      </c>
      <c r="Z44" s="61" t="s">
        <v>236</v>
      </c>
      <c r="AA44" s="60" t="str" cm="1">
        <f t="array" ref="AA44">IF(OR(Y44=0,Y44=""),"",IF(VLOOKUP(Z44,$AI$1:$AJ$58,2,FALSE)&gt;=Y44,INDEX(tblDisciplines[Name],MATCH(1,(tblDisciplines[Discipline]=Z44)*(tblDisciplines[Rank]=Y44),0)),""))</f>
        <v/>
      </c>
      <c r="AC44" s="60" t="str" cm="1">
        <f t="array" ref="AC44:AC48">IFERROR(_xlfn.VSTACK(IFERROR(_xlfn._xlws.FILTER(AA44:AA121,AA44:AA121&lt;&gt;""),""),IFERROR(_xlfn._xlws.SORT(_xlfn._xlws.FILTER(AA123:AA132,AA123:AA132&lt;&gt;"")),"")),"")</f>
        <v>Beast's Hackles</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Auspex ● | Beast's Hackles</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Free (1 V for Insight)  •  Pool: - - Composure &amp; Closed Book  •  Instant  •  Scene</v>
      </c>
      <c r="AF44" s="20" t="str">
        <f>IF(AC44="","",IFERROR(VLOOKUP(AC44,tblDisciplines[],12,FALSE),VLOOKUP(AC44,tblPacts[],5,FALSE)))</f>
        <v>Add Auspex dots to any rolls to resist surprise. Access to Tier 1 Auspex Insight questions.</v>
      </c>
      <c r="AI44" s="15" t="s">
        <v>353</v>
      </c>
      <c r="AJ44" s="61">
        <f t="shared" si="4"/>
        <v>5</v>
      </c>
      <c r="AK44" s="61">
        <f>AJ44</f>
        <v>5</v>
      </c>
    </row>
    <row r="45" spans="1:37">
      <c r="A45" s="1" t="s">
        <v>44</v>
      </c>
      <c r="B45" t="str">
        <f>REPT("●",IFERROR(INDEX($P$42:$P$69,MATCH(tblCharDataCazz[[#This Row],[Field]],$E$42:$E$69,0)),0))&amp;REPT("○",IFERROR(INDEX($V$42:$V$69,MATCH(tblCharDataCazz[[#This Row],[Field]],$E$42:$E$69,0)),0))&amp;IF(IFERROR(INDEX($W$42:$W$69,MATCH(tblCharDataCazz[[#This Row],[Field]],$E$42:$E$69,0)),0)=1,"†","")</f>
        <v>●</v>
      </c>
      <c r="D45" s="18"/>
      <c r="E45" s="15" t="s">
        <v>28</v>
      </c>
      <c r="F45" s="18"/>
      <c r="G45" s="3"/>
      <c r="H45" s="18"/>
      <c r="I45" s="18"/>
      <c r="L45" s="4">
        <v>1</v>
      </c>
      <c r="M45" s="60"/>
      <c r="N45" s="4"/>
      <c r="O45" s="61">
        <f t="shared" si="7"/>
        <v>0</v>
      </c>
      <c r="P45" s="60">
        <f t="shared" si="5"/>
        <v>1</v>
      </c>
      <c r="R45" s="61">
        <v>5</v>
      </c>
      <c r="T45" s="4"/>
      <c r="U45" s="4"/>
      <c r="V45" s="61">
        <f t="shared" si="6"/>
        <v>0</v>
      </c>
      <c r="W45" s="4"/>
      <c r="Y45" s="15">
        <v>2</v>
      </c>
      <c r="Z45" s="61" t="s">
        <v>236</v>
      </c>
      <c r="AA45" s="60" t="str" cm="1">
        <f t="array" ref="AA45">IF(OR(Y45=0,Y45=""),"",IF(VLOOKUP(Z45,$AI$1:$AJ$58,2,FALSE)&gt;=Y45,INDEX(tblDisciplines[Name],MATCH(1,(tblDisciplines[Discipline]=Z45)*(tblDisciplines[Rank]=Y45),0)),""))</f>
        <v/>
      </c>
      <c r="AC45" s="60" t="str">
        <v>Celerity 1</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Celerity ●</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1 V per effect  •  Pool: -  •  Reflexive  •  1 turn</v>
      </c>
      <c r="AF45" s="20" t="str">
        <f>IF(AC45="","",IFERROR(VLOOKUP(AC45,tblDisciplines[],12,FALSE),VLOOKUP(AC45,tblPacts[],5,FALSE)))</f>
        <v>Persistent improved Defence or Dodge. Activate for supernatural speed benefits. Unnatural Grace: add Celerity dots as bonus dice to non-combat speed-based pools.</v>
      </c>
      <c r="AI45" s="15" t="s">
        <v>46</v>
      </c>
      <c r="AJ45" s="61">
        <f t="shared" si="4"/>
        <v>0</v>
      </c>
      <c r="AK45" s="61">
        <f>IF(AJ45=0,IF(COUNTIF($E$42:$E$49,AI45)&gt;0,-3,-1),AJ45)</f>
        <v>-1</v>
      </c>
    </row>
    <row r="46" spans="1:37">
      <c r="A46" s="1" t="s">
        <v>45</v>
      </c>
      <c r="B46" t="str">
        <f>REPT("●",IFERROR(INDEX($P$42:$P$69,MATCH(tblCharDataCazz[[#This Row],[Field]],$E$42:$E$69,0)),0))&amp;REPT("○",IFERROR(INDEX($V$42:$V$69,MATCH(tblCharDataCazz[[#This Row],[Field]],$E$42:$E$69,0)),0))&amp;IF(IFERROR(INDEX($W$42:$W$69,MATCH(tblCharDataCazz[[#This Row],[Field]],$E$42:$E$69,0)),0)=1,"†","")</f>
        <v/>
      </c>
      <c r="D46" s="18"/>
      <c r="E46" s="15" t="s">
        <v>29</v>
      </c>
      <c r="F46" s="18"/>
      <c r="G46" s="3"/>
      <c r="H46" s="18"/>
      <c r="I46" s="18"/>
      <c r="L46" s="4"/>
      <c r="M46" s="60"/>
      <c r="N46" s="4"/>
      <c r="O46" s="61">
        <f t="shared" si="7"/>
        <v>0</v>
      </c>
      <c r="P46" s="60">
        <f t="shared" si="5"/>
        <v>0</v>
      </c>
      <c r="R46" s="61">
        <v>5</v>
      </c>
      <c r="T46" s="4"/>
      <c r="U46" s="4"/>
      <c r="V46" s="61">
        <f t="shared" si="6"/>
        <v>0</v>
      </c>
      <c r="W46" s="4"/>
      <c r="Y46" s="15">
        <v>3</v>
      </c>
      <c r="Z46" s="61" t="s">
        <v>236</v>
      </c>
      <c r="AA46" s="60" t="str" cm="1">
        <f t="array" ref="AA46">IF(OR(Y46=0,Y46=""),"",IF(VLOOKUP(Z46,$AI$1:$AJ$58,2,FALSE)&gt;=Y46,INDEX(tblDisciplines[Name],MATCH(1,(tblDisciplines[Discipline]=Z46)*(tblDisciplines[Rank]=Y46),0)),""))</f>
        <v/>
      </c>
      <c r="AC46" s="60" t="str">
        <v>Face in the Crowd</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Obfuscate ● | Face in the Crowd</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  •  Pool: -  •  Instant  •  Scene</v>
      </c>
      <c r="AF46" s="20" t="str">
        <f>IF(AC46="","",IFERROR(VLOOKUP(AC46,tblDisciplines[],12,FALSE),VLOOKUP(AC46,tblPacts[],5,FALSE)))</f>
        <v>Blend into surroundings, visible but unnoticeable. Predatory aura fully on or off. Leaving combat: Wits + Composure - Obfuscate to notice; auto Clash of Wills vs Auspex.</v>
      </c>
      <c r="AI46" s="15" t="s">
        <v>354</v>
      </c>
      <c r="AJ46" s="61">
        <f t="shared" ca="1" si="4"/>
        <v>11</v>
      </c>
      <c r="AK46" s="61">
        <f ca="1">AJ46</f>
        <v>11</v>
      </c>
    </row>
    <row r="47" spans="1:37">
      <c r="A47" s="1" t="s">
        <v>46</v>
      </c>
      <c r="B47" t="str">
        <f>REPT("●",IFERROR(INDEX($P$42:$P$69,MATCH(tblCharDataCazz[[#This Row],[Field]],$E$42:$E$69,0)),0))&amp;REPT("○",IFERROR(INDEX($V$42:$V$69,MATCH(tblCharDataCazz[[#This Row],[Field]],$E$42:$E$69,0)),0))&amp;IF(IFERROR(INDEX($W$42:$W$69,MATCH(tblCharDataCazz[[#This Row],[Field]],$E$42:$E$69,0)),0)=1,"†","")</f>
        <v/>
      </c>
      <c r="D47" s="18"/>
      <c r="E47" s="15" t="s">
        <v>30</v>
      </c>
      <c r="F47" s="18"/>
      <c r="G47" s="3" t="s">
        <v>613</v>
      </c>
      <c r="H47" s="18"/>
      <c r="I47" s="18"/>
      <c r="L47" s="4">
        <v>2</v>
      </c>
      <c r="M47" s="60"/>
      <c r="N47" s="4"/>
      <c r="O47" s="61">
        <f t="shared" si="7"/>
        <v>0</v>
      </c>
      <c r="P47" s="60">
        <f t="shared" si="5"/>
        <v>2</v>
      </c>
      <c r="R47" s="61">
        <v>5</v>
      </c>
      <c r="T47" s="4">
        <v>1</v>
      </c>
      <c r="U47" s="4"/>
      <c r="V47" s="61">
        <f t="shared" si="6"/>
        <v>0</v>
      </c>
      <c r="W47" s="4"/>
      <c r="Y47" s="15">
        <v>4</v>
      </c>
      <c r="Z47" s="61" t="s">
        <v>236</v>
      </c>
      <c r="AA47" s="60" t="str" cm="1">
        <f t="array" ref="AA47">IF(OR(Y47=0,Y47=""),"",IF(VLOOKUP(Z47,$AI$1:$AJ$58,2,FALSE)&gt;=Y47,INDEX(tblDisciplines[Name],MATCH(1,(tblDisciplines[Discipline]=Z47)*(tblDisciplines[Rank]=Y47),0)),""))</f>
        <v/>
      </c>
      <c r="AC47" s="60" t="str">
        <v>Resilience 1</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Resilience ●</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Cost: 1 V per effect  •  Pool: -  •  Reflexive  •  1 turn</v>
      </c>
      <c r="AF47" s="20" t="str">
        <f>IF(AC47="","",IFERROR(VLOOKUP(AC47,tblDisciplines[],12,FALSE),VLOOKUP(AC47,tblPacts[],5,FALSE)))</f>
        <v>Downgrade damage and increase Stamina. Improve Armour and Defences. Unnatural Fortitude: add Resilience dots as bonus dice to non-combat Stamina pools.</v>
      </c>
      <c r="AI47" s="15" t="s">
        <v>21</v>
      </c>
      <c r="AJ47" s="61">
        <f t="shared" si="4"/>
        <v>3</v>
      </c>
      <c r="AK47" s="61">
        <f>AJ47+IFERROR(INDEX($V$26:$V$38,MATCH(AI47,$E$26:$E$38,0)),0)</f>
        <v>4</v>
      </c>
    </row>
    <row r="48" spans="1:37">
      <c r="A48" s="1" t="s">
        <v>47</v>
      </c>
      <c r="B48" t="str">
        <f>REPT("●",IFERROR(INDEX($P$42:$P$69,MATCH(tblCharDataCazz[[#This Row],[Field]],$E$42:$E$69,0)),0))&amp;REPT("○",IFERROR(INDEX($V$42:$V$69,MATCH(tblCharDataCazz[[#This Row],[Field]],$E$42:$E$69,0)),0))&amp;IF(IFERROR(INDEX($W$42:$W$69,MATCH(tblCharDataCazz[[#This Row],[Field]],$E$42:$E$69,0)),0)=1,"†","")</f>
        <v/>
      </c>
      <c r="D48" s="18"/>
      <c r="E48" s="15" t="s">
        <v>31</v>
      </c>
      <c r="F48" s="18"/>
      <c r="G48" s="3"/>
      <c r="H48" s="18"/>
      <c r="I48" s="18"/>
      <c r="L48" s="4"/>
      <c r="M48" s="60"/>
      <c r="N48" s="4"/>
      <c r="O48" s="61">
        <f t="shared" si="7"/>
        <v>0</v>
      </c>
      <c r="P48" s="60">
        <f t="shared" si="5"/>
        <v>0</v>
      </c>
      <c r="R48" s="61">
        <v>5</v>
      </c>
      <c r="T48" s="4"/>
      <c r="U48" s="4"/>
      <c r="V48" s="61">
        <f t="shared" si="6"/>
        <v>0</v>
      </c>
      <c r="W48" s="4"/>
      <c r="Y48" s="15">
        <v>5</v>
      </c>
      <c r="Z48" s="61" t="s">
        <v>236</v>
      </c>
      <c r="AA48" s="60" t="str" cm="1">
        <f t="array" ref="AA48">IF(OR(Y48=0,Y48=""),"",IF(VLOOKUP(Z48,$AI$1:$AJ$58,2,FALSE)&gt;=Y48,INDEX(tblDisciplines[Name],MATCH(1,(tblDisciplines[Discipline]=Z48)*(tblDisciplines[Rank]=Y48),0)),""))</f>
        <v/>
      </c>
      <c r="AC48" s="60" t="str">
        <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
      </c>
      <c r="AF48" s="20" t="str">
        <f>IF(AC48="","",IFERROR(VLOOKUP(AC48,tblDisciplines[],12,FALSE),VLOOKUP(AC48,tblPacts[],5,FALSE)))</f>
        <v/>
      </c>
      <c r="AI48" s="15" t="s">
        <v>38</v>
      </c>
      <c r="AJ48" s="61">
        <f t="shared" si="4"/>
        <v>1</v>
      </c>
      <c r="AK48" s="61">
        <f>IF(AJ48=0,IF(COUNTIF($E$42:$E$49,AI48)&gt;0,-3,-1),AJ48)</f>
        <v>1</v>
      </c>
    </row>
    <row r="49" spans="1:37">
      <c r="A49" s="1" t="s">
        <v>48</v>
      </c>
      <c r="B49" t="str">
        <f>REPT("●",IFERROR(INDEX($P$42:$P$69,MATCH(tblCharDataCazz[[#This Row],[Field]],$E$42:$E$69,0)),0))&amp;REPT("○",IFERROR(INDEX($V$42:$V$69,MATCH(tblCharDataCazz[[#This Row],[Field]],$E$42:$E$69,0)),0))&amp;IF(IFERROR(INDEX($W$42:$W$69,MATCH(tblCharDataCazz[[#This Row],[Field]],$E$42:$E$69,0)),0)=1,"†","")</f>
        <v>●●</v>
      </c>
      <c r="D49" s="18"/>
      <c r="E49" s="15" t="s">
        <v>32</v>
      </c>
      <c r="F49" s="18"/>
      <c r="G49" s="3"/>
      <c r="H49" s="18"/>
      <c r="I49" s="18"/>
      <c r="L49" s="4">
        <v>1</v>
      </c>
      <c r="M49" s="60"/>
      <c r="N49" s="4"/>
      <c r="O49" s="61">
        <f t="shared" si="7"/>
        <v>0</v>
      </c>
      <c r="P49" s="60">
        <f t="shared" si="5"/>
        <v>1</v>
      </c>
      <c r="R49" s="61">
        <v>5</v>
      </c>
      <c r="T49" s="4"/>
      <c r="U49" s="4"/>
      <c r="V49" s="61">
        <f t="shared" si="6"/>
        <v>0</v>
      </c>
      <c r="W49" s="4"/>
      <c r="Y49" s="15">
        <v>1</v>
      </c>
      <c r="Z49" s="61" t="s">
        <v>237</v>
      </c>
      <c r="AA49" s="60" t="str" cm="1">
        <f t="array" ref="AA49">IF(OR(Y49=0,Y49=""),"",IF(VLOOKUP(Z49,$AI$1:$AJ$58,2,FALSE)&gt;=Y49,INDEX(tblDisciplines[Name],MATCH(1,(tblDisciplines[Discipline]=Z49)*(tblDisciplines[Rank]=Y49),0)),""))</f>
        <v>Beast's Hackles</v>
      </c>
      <c r="AC49" s="60"/>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
      </c>
      <c r="AF49" s="20" t="str">
        <f>IF(AC49="","",IFERROR(VLOOKUP(AC49,tblDisciplines[],12,FALSE),VLOOKUP(AC49,tblPacts[],5,FALSE)))</f>
        <v/>
      </c>
      <c r="AI49" s="15" t="s">
        <v>47</v>
      </c>
      <c r="AJ49" s="61">
        <f t="shared" si="4"/>
        <v>0</v>
      </c>
      <c r="AK49" s="61">
        <f>IF(AJ49=0,IF(COUNTIF($E$42:$E$49,AI49)&gt;0,-3,-1),AJ49)</f>
        <v>-1</v>
      </c>
    </row>
    <row r="50" spans="1:37">
      <c r="A50" s="1" t="s">
        <v>49</v>
      </c>
      <c r="B50" t="str">
        <f ca="1">REPT("●",VLOOKUP(tblCharDataCazz[[#This Row],[Field]],INDIRECT($AH$1),2,FALSE)) &amp; REPT("○",10-VLOOKUP(tblCharDataCazz[[#This Row],[Field]],INDIRECT($AH$1),2,FALSE))</f>
        <v>●●○○○○○○○○</v>
      </c>
      <c r="Y50" s="15">
        <v>2</v>
      </c>
      <c r="Z50" s="61" t="s">
        <v>237</v>
      </c>
      <c r="AA50" s="60" t="str" cm="1">
        <f t="array" ref="AA50">IF(OR(Y50=0,Y50=""),"",IF(VLOOKUP(Z50,$AI$1:$AJ$58,2,FALSE)&gt;=Y50,INDEX(tblDisciplines[Name],MATCH(1,(tblDisciplines[Discipline]=Z50)*(tblDisciplines[Rank]=Y50),0)),""))</f>
        <v/>
      </c>
      <c r="AC50" s="60"/>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
      </c>
      <c r="AF50" s="20" t="str">
        <f>IF(AC50="","",IFERROR(VLOOKUP(AC50,tblDisciplines[],12,FALSE),VLOOKUP(AC50,tblPacts[],5,FALSE)))</f>
        <v/>
      </c>
      <c r="AI50" s="15" t="s">
        <v>19</v>
      </c>
      <c r="AJ50" s="61">
        <f t="shared" si="4"/>
        <v>3</v>
      </c>
      <c r="AK50" s="61">
        <f>AJ50+IFERROR(INDEX($V$26:$V$38,MATCH(AI50,$E$26:$E$38,0)),0)</f>
        <v>3</v>
      </c>
    </row>
    <row r="51" spans="1:37">
      <c r="A51" s="1" t="s">
        <v>50</v>
      </c>
      <c r="B51">
        <f>P72</f>
        <v>2</v>
      </c>
      <c r="D51" s="16" t="s">
        <v>1453</v>
      </c>
      <c r="E51" s="17"/>
      <c r="F51" s="17"/>
      <c r="G51" s="17" t="s">
        <v>1467</v>
      </c>
      <c r="H51" s="16" t="s">
        <v>1446</v>
      </c>
      <c r="I51" s="3" t="s">
        <v>1565</v>
      </c>
      <c r="L51" s="60">
        <f>IF(I51="",0,VLOOKUP(I51,tblPriority[#Data],3,FALSE))-SUM(L52:L59)</f>
        <v>0</v>
      </c>
      <c r="Y51" s="15">
        <v>3</v>
      </c>
      <c r="Z51" s="61" t="s">
        <v>237</v>
      </c>
      <c r="AA51" s="60" t="str" cm="1">
        <f t="array" ref="AA51">IF(OR(Y51=0,Y51=""),"",IF(VLOOKUP(Z51,$AI$1:$AJ$58,2,FALSE)&gt;=Y51,INDEX(tblDisciplines[Name],MATCH(1,(tblDisciplines[Discipline]=Z51)*(tblDisciplines[Rank]=Y51),0)),""))</f>
        <v/>
      </c>
      <c r="AC51" s="60"/>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
      </c>
      <c r="AF51" s="20" t="str">
        <f>IF(AC51="","",IFERROR(VLOOKUP(AC51,tblDisciplines[],12,FALSE),VLOOKUP(AC51,tblPacts[],5,FALSE)))</f>
        <v/>
      </c>
      <c r="AI51" s="15" t="s">
        <v>48</v>
      </c>
      <c r="AJ51" s="61">
        <f t="shared" si="4"/>
        <v>2</v>
      </c>
      <c r="AK51" s="61">
        <f>IF(AJ51=0,IF(COUNTIF($E$42:$E$49,AI51)&gt;0,-3,-1),AJ51)</f>
        <v>2</v>
      </c>
    </row>
    <row r="52" spans="1:37">
      <c r="A52" s="1" t="s">
        <v>51</v>
      </c>
      <c r="B52" t="str">
        <f>_xlfn.IFNA(VLOOKUP(P72,tblBloodPotency[#Data],5,FALSE),"")</f>
        <v>†</v>
      </c>
      <c r="D52" s="18"/>
      <c r="E52" s="15" t="s">
        <v>33</v>
      </c>
      <c r="F52" s="18"/>
      <c r="G52" s="3" t="s">
        <v>614</v>
      </c>
      <c r="H52" s="18"/>
      <c r="I52" s="18"/>
      <c r="L52" s="4">
        <v>5</v>
      </c>
      <c r="M52" s="60"/>
      <c r="N52" s="4"/>
      <c r="O52" s="61">
        <f>ROUNDDOWN(N52/2,0)</f>
        <v>0</v>
      </c>
      <c r="P52" s="60">
        <f t="shared" ref="P52:P59" si="8">MIN(SUM(L52,M52,O52),R52)</f>
        <v>5</v>
      </c>
      <c r="R52" s="61">
        <v>5</v>
      </c>
      <c r="T52" s="4">
        <v>1</v>
      </c>
      <c r="U52" s="4"/>
      <c r="V52" s="61">
        <f t="shared" ref="V52:V59" si="9">U52</f>
        <v>0</v>
      </c>
      <c r="W52" s="4"/>
      <c r="Y52" s="15">
        <v>4</v>
      </c>
      <c r="Z52" s="61" t="s">
        <v>237</v>
      </c>
      <c r="AA52" s="60" t="str" cm="1">
        <f t="array" ref="AA52">IF(OR(Y52=0,Y52=""),"",IF(VLOOKUP(Z52,$AI$1:$AJ$58,2,FALSE)&gt;=Y52,INDEX(tblDisciplines[Name],MATCH(1,(tblDisciplines[Discipline]=Z52)*(tblDisciplines[Rank]=Y52),0)),""))</f>
        <v/>
      </c>
      <c r="AC52" s="60"/>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
      </c>
      <c r="AF52" s="20" t="str">
        <f>IF(AC52="","",IFERROR(VLOOKUP(AC52,tblDisciplines[],12,FALSE),VLOOKUP(AC52,tblPacts[],5,FALSE)))</f>
        <v/>
      </c>
      <c r="AI52" s="15" t="s">
        <v>39</v>
      </c>
      <c r="AJ52" s="61">
        <f t="shared" si="4"/>
        <v>1</v>
      </c>
      <c r="AK52" s="61">
        <f>IF(AJ52=0,IF(COUNTIF($E$42:$E$49,AI52)&gt;0,-3,-1),AJ52)</f>
        <v>1</v>
      </c>
    </row>
    <row r="53" spans="1:37">
      <c r="A53" s="1" t="s">
        <v>52</v>
      </c>
      <c r="B53" t="str">
        <f ca="1">REPT("□",P221) &amp; REPT("■",15-P221)</f>
        <v>□□□□□□□□□■■■■■■</v>
      </c>
      <c r="D53" s="18"/>
      <c r="E53" s="15" t="s">
        <v>34</v>
      </c>
      <c r="F53" s="18"/>
      <c r="G53" s="3"/>
      <c r="H53" s="18"/>
      <c r="I53" s="18"/>
      <c r="L53" s="4"/>
      <c r="M53" s="60"/>
      <c r="N53" s="4"/>
      <c r="O53" s="61">
        <f t="shared" ref="O53:O59" si="10">ROUNDDOWN(N53/2,0)</f>
        <v>0</v>
      </c>
      <c r="P53" s="60">
        <f t="shared" si="8"/>
        <v>0</v>
      </c>
      <c r="R53" s="61">
        <v>5</v>
      </c>
      <c r="T53" s="4"/>
      <c r="U53" s="4"/>
      <c r="V53" s="61">
        <f t="shared" si="9"/>
        <v>0</v>
      </c>
      <c r="W53" s="4"/>
      <c r="Y53" s="15">
        <v>5</v>
      </c>
      <c r="Z53" s="61" t="s">
        <v>237</v>
      </c>
      <c r="AA53" s="60" t="str" cm="1">
        <f t="array" ref="AA53">IF(OR(Y53=0,Y53=""),"",IF(VLOOKUP(Z53,$AI$1:$AJ$58,2,FALSE)&gt;=Y53,INDEX(tblDisciplines[Name],MATCH(1,(tblDisciplines[Discipline]=Z53)*(tblDisciplines[Rank]=Y53),0)),""))</f>
        <v/>
      </c>
      <c r="AC53" s="60"/>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
      </c>
      <c r="AF53" s="20" t="str">
        <f>IF(AC53="","",IFERROR(VLOOKUP(AC53,tblDisciplines[],12,FALSE),VLOOKUP(AC53,tblPacts[],5,FALSE)))</f>
        <v/>
      </c>
      <c r="AI53" s="15" t="s">
        <v>247</v>
      </c>
      <c r="AJ53" s="61">
        <f t="shared" si="4"/>
        <v>0</v>
      </c>
      <c r="AK53" s="61">
        <f>AJ53</f>
        <v>0</v>
      </c>
    </row>
    <row r="54" spans="1:37">
      <c r="A54" s="1" t="s">
        <v>53</v>
      </c>
      <c r="B54" t="str">
        <f>_xlfn.CONCAT(P74-L224," / ",P74)</f>
        <v>5 / 5</v>
      </c>
      <c r="D54" s="18"/>
      <c r="E54" s="15" t="s">
        <v>35</v>
      </c>
      <c r="F54" s="18"/>
      <c r="G54" s="3"/>
      <c r="H54" s="18"/>
      <c r="I54" s="18"/>
      <c r="L54" s="4"/>
      <c r="M54" s="60"/>
      <c r="N54" s="4"/>
      <c r="O54" s="61">
        <f t="shared" si="10"/>
        <v>0</v>
      </c>
      <c r="P54" s="60">
        <f t="shared" si="8"/>
        <v>0</v>
      </c>
      <c r="R54" s="61">
        <v>5</v>
      </c>
      <c r="T54" s="4"/>
      <c r="U54" s="4"/>
      <c r="V54" s="61">
        <f t="shared" si="9"/>
        <v>0</v>
      </c>
      <c r="W54" s="4"/>
      <c r="Y54" s="15">
        <f>P167</f>
        <v>1</v>
      </c>
      <c r="Z54" s="61" t="s">
        <v>238</v>
      </c>
      <c r="AA54" s="60" t="str" cm="1">
        <f t="array" ref="AA54">IF(OR(Y54=0,Y54=""),"",IF(VLOOKUP(Z54,$AI$1:$AJ$58,2,FALSE)&gt;=Y54,INDEX(tblDisciplines[Name],MATCH(1,(tblDisciplines[Discipline]=Z54)*(tblDisciplines[Rank]=Y54),0)),""))</f>
        <v>Celerity 1</v>
      </c>
      <c r="AC54" s="60"/>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
      </c>
      <c r="AF54" s="20" t="str">
        <f>IF(AC54="","",IFERROR(VLOOKUP(AC54,tblDisciplines[],12,FALSE),VLOOKUP(AC54,tblPacts[],5,FALSE)))</f>
        <v/>
      </c>
      <c r="AI54" s="15" t="s">
        <v>252</v>
      </c>
      <c r="AJ54" s="61">
        <f t="shared" si="4"/>
        <v>0</v>
      </c>
      <c r="AK54" s="61">
        <f>AJ54</f>
        <v>0</v>
      </c>
    </row>
    <row r="55" spans="1:37">
      <c r="A55" s="1" t="s">
        <v>54</v>
      </c>
      <c r="B55" t="str">
        <f>REPT("□",P74) &amp; REPT("■",10-P74)</f>
        <v>□□□□□■■■■■</v>
      </c>
      <c r="D55" s="18"/>
      <c r="E55" s="15" t="s">
        <v>36</v>
      </c>
      <c r="F55" s="18"/>
      <c r="G55" s="3" t="s">
        <v>615</v>
      </c>
      <c r="H55" s="18"/>
      <c r="I55" s="18"/>
      <c r="L55" s="4">
        <v>3</v>
      </c>
      <c r="M55" s="60"/>
      <c r="N55" s="4"/>
      <c r="O55" s="61">
        <f t="shared" si="10"/>
        <v>0</v>
      </c>
      <c r="P55" s="60">
        <f t="shared" si="8"/>
        <v>3</v>
      </c>
      <c r="R55" s="61">
        <v>5</v>
      </c>
      <c r="T55" s="4"/>
      <c r="U55" s="4"/>
      <c r="V55" s="61">
        <f t="shared" si="9"/>
        <v>0</v>
      </c>
      <c r="W55" s="4"/>
      <c r="Y55" s="15">
        <v>1</v>
      </c>
      <c r="Z55" s="61" t="s">
        <v>239</v>
      </c>
      <c r="AA55" s="60" t="str" cm="1">
        <f t="array" ref="AA55">IF(OR(Y55=0,Y55=""),"",IF(VLOOKUP(Z55,$AI$1:$AJ$58,2,FALSE)&gt;=Y55,INDEX(tblDisciplines[Name],MATCH(1,(tblDisciplines[Discipline]=Z55)*(tblDisciplines[Rank]=Y55),0)),""))</f>
        <v/>
      </c>
      <c r="AC55" s="60"/>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
      </c>
      <c r="AF55" s="20" t="str">
        <f>IF(AC55="","",IFERROR(VLOOKUP(AC55,tblDisciplines[],12,FALSE),VLOOKUP(AC55,tblPacts[],5,FALSE)))</f>
        <v/>
      </c>
      <c r="AI55" s="15" t="s">
        <v>245</v>
      </c>
      <c r="AJ55" s="61">
        <f t="shared" si="4"/>
        <v>0</v>
      </c>
      <c r="AK55" s="61">
        <f>AJ55+IFERROR(INDEX($V$26:$V$38,MATCH(AI55,$E$26:$E$38,0)),0)</f>
        <v>0</v>
      </c>
    </row>
    <row r="56" spans="1:37">
      <c r="A56" s="1" t="s">
        <v>55</v>
      </c>
      <c r="B56" t="str">
        <f ca="1">_xlfn.CONCAT(P75-L223," / ",P75)</f>
        <v>11 / 11</v>
      </c>
      <c r="D56" s="19"/>
      <c r="E56" s="15" t="s">
        <v>37</v>
      </c>
      <c r="F56" s="18"/>
      <c r="G56" s="3"/>
      <c r="H56" s="18"/>
      <c r="I56" s="18"/>
      <c r="L56" s="4">
        <v>1</v>
      </c>
      <c r="M56" s="60"/>
      <c r="N56" s="4"/>
      <c r="O56" s="61">
        <f t="shared" si="10"/>
        <v>0</v>
      </c>
      <c r="P56" s="60">
        <f t="shared" si="8"/>
        <v>1</v>
      </c>
      <c r="R56" s="61">
        <v>5</v>
      </c>
      <c r="T56" s="4"/>
      <c r="U56" s="4"/>
      <c r="V56" s="61">
        <f t="shared" si="9"/>
        <v>0</v>
      </c>
      <c r="W56" s="4"/>
      <c r="Y56" s="15">
        <v>2</v>
      </c>
      <c r="Z56" s="61" t="s">
        <v>239</v>
      </c>
      <c r="AA56" s="60" t="str" cm="1">
        <f t="array" ref="AA56">IF(OR(Y56=0,Y56=""),"",IF(VLOOKUP(Z56,$AI$1:$AJ$58,2,FALSE)&gt;=Y56,INDEX(tblDisciplines[Name],MATCH(1,(tblDisciplines[Discipline]=Z56)*(tblDisciplines[Rank]=Y56),0)),""))</f>
        <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4"/>
        <v>0</v>
      </c>
      <c r="AK56" s="61">
        <f>IF(AJ56=0,IF(COUNTIF($E$42:$E$49,AI56)&gt;0,-3,-1),AJ56)</f>
        <v>-1</v>
      </c>
    </row>
    <row r="57" spans="1:37">
      <c r="A57" s="1" t="s">
        <v>56</v>
      </c>
      <c r="B57" t="str">
        <f ca="1">REPT("□",P75-L223) &amp; REPT("■",20-P75+L223)</f>
        <v>□□□□□□□□□□□■■■■■■■■■</v>
      </c>
      <c r="D57" s="19"/>
      <c r="E57" s="15" t="s">
        <v>38</v>
      </c>
      <c r="F57" s="18"/>
      <c r="G57" s="3"/>
      <c r="H57" s="18"/>
      <c r="I57" s="18"/>
      <c r="L57" s="4">
        <v>1</v>
      </c>
      <c r="M57" s="60"/>
      <c r="N57" s="4"/>
      <c r="O57" s="61">
        <f t="shared" si="10"/>
        <v>0</v>
      </c>
      <c r="P57" s="60">
        <f t="shared" si="8"/>
        <v>1</v>
      </c>
      <c r="R57" s="61">
        <v>5</v>
      </c>
      <c r="T57" s="4"/>
      <c r="U57" s="4"/>
      <c r="V57" s="61">
        <f t="shared" si="9"/>
        <v>0</v>
      </c>
      <c r="W57" s="4"/>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4"/>
        <v>5</v>
      </c>
      <c r="AK57" s="61">
        <f>AJ57</f>
        <v>5</v>
      </c>
    </row>
    <row r="58" spans="1:37">
      <c r="A58" s="1" t="s">
        <v>57</v>
      </c>
      <c r="B58">
        <f ca="1">VLOOKUP(VLOOKUP("Blood Potency", INDIRECT($AH$1),2,FALSE),tblBloodPotency[#Data],3,FALSE)</f>
        <v>2</v>
      </c>
      <c r="D58" s="19"/>
      <c r="E58" s="15" t="s">
        <v>39</v>
      </c>
      <c r="F58" s="18"/>
      <c r="G58" s="3"/>
      <c r="H58" s="18"/>
      <c r="I58" s="18"/>
      <c r="L58" s="4">
        <v>1</v>
      </c>
      <c r="M58" s="60"/>
      <c r="N58" s="4"/>
      <c r="O58" s="61">
        <f t="shared" si="10"/>
        <v>0</v>
      </c>
      <c r="P58" s="60">
        <f t="shared" si="8"/>
        <v>1</v>
      </c>
      <c r="R58" s="61">
        <v>5</v>
      </c>
      <c r="T58" s="4">
        <v>1</v>
      </c>
      <c r="U58" s="4"/>
      <c r="V58" s="61">
        <f t="shared" si="9"/>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4"/>
        <v>3</v>
      </c>
      <c r="AK58" s="61">
        <f>AJ58+IFERROR(INDEX($V$26:$V$38,MATCH(AI58,$E$26:$E$38,0)),0)</f>
        <v>3</v>
      </c>
    </row>
    <row r="59" spans="1:37">
      <c r="A59" s="1" t="s">
        <v>58</v>
      </c>
      <c r="B59" t="str">
        <f ca="1">VLOOKUP(VLOOKUP("Blood Potency", INDIRECT($AH$1),2,FALSE),tblBloodPotency[#Data],4,FALSE)</f>
        <v>Animals</v>
      </c>
      <c r="D59" s="19"/>
      <c r="E59" s="15" t="s">
        <v>40</v>
      </c>
      <c r="F59" s="18"/>
      <c r="G59" s="3"/>
      <c r="H59" s="18"/>
      <c r="I59" s="18"/>
      <c r="L59" s="4"/>
      <c r="M59" s="60"/>
      <c r="N59" s="4"/>
      <c r="O59" s="61">
        <f t="shared" si="10"/>
        <v>0</v>
      </c>
      <c r="P59" s="60">
        <f t="shared" si="8"/>
        <v>0</v>
      </c>
      <c r="R59" s="61">
        <v>5</v>
      </c>
      <c r="T59" s="4"/>
      <c r="U59" s="4"/>
      <c r="V59" s="61">
        <f t="shared" si="9"/>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1">IFERROR(IF(VLOOKUP(SUBSTITUTE(A60," Spec",""),$E$42:$G$69,3,FALSE)=0,"",VLOOKUP(SUBSTITUTE(A60," Spec",""),$E$42:$G$69,3,FALSE)),"")</f>
        <v/>
      </c>
      <c r="Y60" s="15">
        <v>1</v>
      </c>
      <c r="Z60" s="61" t="s">
        <v>240</v>
      </c>
      <c r="AA60" s="60" t="str" cm="1">
        <f t="array" ref="AA60">IF(OR(Y60=0,Y60=""),"",IF(VLOOKUP(Z60,$AI$1:$AJ$58,2,FALSE)&gt;=Y60,INDEX(tblDisciplines[Name],MATCH(1,(tblDisciplines[Discipline]=Z60)*(tblDisciplines[Rank]=Y60),0)),""))</f>
        <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1"/>
        <v/>
      </c>
      <c r="D61" s="16" t="s">
        <v>1459</v>
      </c>
      <c r="E61" s="17"/>
      <c r="F61" s="17"/>
      <c r="G61" s="17" t="s">
        <v>1467</v>
      </c>
      <c r="H61" s="16" t="s">
        <v>1446</v>
      </c>
      <c r="I61" s="3" t="s">
        <v>1566</v>
      </c>
      <c r="L61" s="60">
        <f>IF(I61="",0,VLOOKUP(I61,tblPriority[#Data],3,FALSE))-SUM(L62:L69)</f>
        <v>0</v>
      </c>
      <c r="Y61" s="15">
        <v>2</v>
      </c>
      <c r="Z61" s="61" t="s">
        <v>240</v>
      </c>
      <c r="AA61" s="60" t="str" cm="1">
        <f t="array" ref="AA61">IF(OR(Y61=0,Y61=""),"",IF(VLOOKUP(Z61,$AI$1:$AJ$58,2,FALSE)&gt;=Y61,INDEX(tblDisciplines[Name],MATCH(1,(tblDisciplines[Discipline]=Z61)*(tblDisciplines[Rank]=Y61),0)),""))</f>
        <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1"/>
        <v/>
      </c>
      <c r="D62" s="18"/>
      <c r="E62" s="15" t="s">
        <v>41</v>
      </c>
      <c r="F62" s="18"/>
      <c r="G62" s="3"/>
      <c r="H62" s="18"/>
      <c r="I62" s="18"/>
      <c r="L62" s="4"/>
      <c r="M62" s="60"/>
      <c r="N62" s="4"/>
      <c r="O62" s="61">
        <f>ROUNDDOWN(N62/2,0)</f>
        <v>0</v>
      </c>
      <c r="P62" s="60">
        <f t="shared" ref="P62:P69" si="12">MIN(SUM(L62,M62,O62),R62)</f>
        <v>0</v>
      </c>
      <c r="R62" s="61">
        <v>5</v>
      </c>
      <c r="T62" s="4"/>
      <c r="U62" s="4"/>
      <c r="V62" s="61">
        <f t="shared" ref="V62:V69" si="13">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1"/>
        <v/>
      </c>
      <c r="D63" s="19"/>
      <c r="E63" s="15" t="s">
        <v>42</v>
      </c>
      <c r="F63" s="18"/>
      <c r="G63" s="3"/>
      <c r="H63" s="18"/>
      <c r="I63" s="18"/>
      <c r="L63" s="4">
        <v>1</v>
      </c>
      <c r="M63" s="60"/>
      <c r="N63" s="4"/>
      <c r="O63" s="61">
        <f t="shared" ref="O63:O69" si="14">ROUNDDOWN(N63/2,0)</f>
        <v>0</v>
      </c>
      <c r="P63" s="60">
        <f t="shared" si="12"/>
        <v>1</v>
      </c>
      <c r="R63" s="61">
        <v>5</v>
      </c>
      <c r="T63" s="4"/>
      <c r="U63" s="4"/>
      <c r="V63" s="61">
        <f t="shared" si="13"/>
        <v>0</v>
      </c>
      <c r="W63" s="4"/>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1"/>
        <v/>
      </c>
      <c r="D64" s="19"/>
      <c r="E64" s="15" t="s">
        <v>43</v>
      </c>
      <c r="F64" s="18"/>
      <c r="G64" s="3"/>
      <c r="H64" s="18"/>
      <c r="I64" s="18"/>
      <c r="L64" s="4"/>
      <c r="M64" s="60"/>
      <c r="N64" s="4"/>
      <c r="O64" s="61">
        <f t="shared" si="14"/>
        <v>0</v>
      </c>
      <c r="P64" s="60">
        <f t="shared" si="12"/>
        <v>0</v>
      </c>
      <c r="R64" s="61">
        <v>5</v>
      </c>
      <c r="T64" s="4"/>
      <c r="U64" s="4"/>
      <c r="V64" s="61">
        <f t="shared" si="13"/>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1"/>
        <v>ley lines</v>
      </c>
      <c r="D65" s="19"/>
      <c r="E65" s="15" t="s">
        <v>44</v>
      </c>
      <c r="F65" s="18"/>
      <c r="G65" s="3"/>
      <c r="H65" s="18"/>
      <c r="I65" s="18"/>
      <c r="L65" s="4">
        <v>1</v>
      </c>
      <c r="M65" s="60"/>
      <c r="N65" s="4"/>
      <c r="O65" s="61">
        <f t="shared" si="14"/>
        <v>0</v>
      </c>
      <c r="P65" s="60">
        <f t="shared" si="12"/>
        <v>1</v>
      </c>
      <c r="R65" s="61">
        <v>5</v>
      </c>
      <c r="T65" s="4"/>
      <c r="U65" s="4"/>
      <c r="V65" s="61">
        <f t="shared" si="13"/>
        <v>0</v>
      </c>
      <c r="W65" s="4"/>
      <c r="Y65" s="15">
        <v>1</v>
      </c>
      <c r="Z65" s="61" t="s">
        <v>241</v>
      </c>
      <c r="AA65" s="60" t="str" cm="1">
        <f t="array" ref="AA65">IF(OR(Y65=0,Y65=""),"",IF(VLOOKUP(Z65,$AI$1:$AJ$58,2,FALSE)&gt;=Y65,INDEX(tblDisciplines[Name],MATCH(1,(tblDisciplines[Discipline]=Z65)*(tblDisciplines[Rank]=Y65),0)),""))</f>
        <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1"/>
        <v/>
      </c>
      <c r="D66" s="19"/>
      <c r="E66" s="15" t="s">
        <v>45</v>
      </c>
      <c r="F66" s="18"/>
      <c r="G66" s="3"/>
      <c r="H66" s="18"/>
      <c r="I66" s="18"/>
      <c r="L66" s="4"/>
      <c r="M66" s="60"/>
      <c r="N66" s="4"/>
      <c r="O66" s="61">
        <f t="shared" si="14"/>
        <v>0</v>
      </c>
      <c r="P66" s="60">
        <f t="shared" si="12"/>
        <v>0</v>
      </c>
      <c r="R66" s="61">
        <v>5</v>
      </c>
      <c r="T66" s="4"/>
      <c r="U66" s="4"/>
      <c r="V66" s="61">
        <f t="shared" si="13"/>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1"/>
        <v/>
      </c>
      <c r="D67" s="19"/>
      <c r="E67" s="15" t="s">
        <v>46</v>
      </c>
      <c r="F67" s="18"/>
      <c r="G67" s="3"/>
      <c r="H67" s="18"/>
      <c r="I67" s="18"/>
      <c r="L67" s="4"/>
      <c r="M67" s="60"/>
      <c r="N67" s="4"/>
      <c r="O67" s="61">
        <f t="shared" si="14"/>
        <v>0</v>
      </c>
      <c r="P67" s="60">
        <f t="shared" si="12"/>
        <v>0</v>
      </c>
      <c r="R67" s="61">
        <v>5</v>
      </c>
      <c r="T67" s="4"/>
      <c r="U67" s="4"/>
      <c r="V67" s="61">
        <f t="shared" si="13"/>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1"/>
        <v>endurance</v>
      </c>
      <c r="D68" s="18"/>
      <c r="E68" s="15" t="s">
        <v>47</v>
      </c>
      <c r="F68" s="18"/>
      <c r="G68" s="3"/>
      <c r="H68" s="18"/>
      <c r="I68" s="18"/>
      <c r="L68" s="4"/>
      <c r="M68" s="60"/>
      <c r="N68" s="4"/>
      <c r="O68" s="61">
        <f t="shared" si="14"/>
        <v>0</v>
      </c>
      <c r="P68" s="60">
        <f t="shared" si="12"/>
        <v>0</v>
      </c>
      <c r="R68" s="61">
        <v>5</v>
      </c>
      <c r="T68" s="4"/>
      <c r="U68" s="4"/>
      <c r="V68" s="61">
        <f t="shared" si="13"/>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1"/>
        <v/>
      </c>
      <c r="D69" s="18"/>
      <c r="E69" s="15" t="s">
        <v>48</v>
      </c>
      <c r="F69" s="18"/>
      <c r="G69" s="3"/>
      <c r="H69" s="18"/>
      <c r="I69" s="18"/>
      <c r="L69" s="4">
        <v>2</v>
      </c>
      <c r="M69" s="60"/>
      <c r="N69" s="4"/>
      <c r="O69" s="61">
        <f t="shared" si="14"/>
        <v>0</v>
      </c>
      <c r="P69" s="60">
        <f t="shared" si="12"/>
        <v>2</v>
      </c>
      <c r="R69" s="61">
        <v>5</v>
      </c>
      <c r="T69" s="4"/>
      <c r="U69" s="4"/>
      <c r="V69" s="61">
        <f t="shared" si="13"/>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1"/>
        <v/>
      </c>
      <c r="Y70" s="15">
        <v>1</v>
      </c>
      <c r="Z70" s="61" t="s">
        <v>242</v>
      </c>
      <c r="AA70" s="60" t="str" cm="1">
        <f t="array" ref="AA70">IF(OR(Y70=0,Y70=""),"",IF(VLOOKUP(Z70,$AI$1:$AJ$58,2,FALSE)&gt;=Y70,INDEX(tblDisciplines[Name],MATCH(1,(tblDisciplines[Discipline]=Z70)*(tblDisciplines[Rank]=Y70),0)),""))</f>
        <v>Face in the Crowd</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1"/>
        <v>archery</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1"/>
        <v/>
      </c>
      <c r="D72" s="19"/>
      <c r="E72" s="15" t="s">
        <v>49</v>
      </c>
      <c r="F72" s="19"/>
      <c r="G72" s="19"/>
      <c r="H72" s="19"/>
      <c r="I72" s="19"/>
      <c r="K72" s="4"/>
      <c r="L72" s="4">
        <v>5</v>
      </c>
      <c r="M72" s="60">
        <v>1</v>
      </c>
      <c r="N72" s="4"/>
      <c r="O72" s="61">
        <f>ROUNDDOWN(N72/5,0)</f>
        <v>0</v>
      </c>
      <c r="P72" s="60">
        <f>MIN(SUM(K72*-1,ROUNDDOWN(L72/5,0),M72,O72),R72)</f>
        <v>2</v>
      </c>
      <c r="R72" s="61">
        <v>2</v>
      </c>
      <c r="Y72" s="15">
        <v>3</v>
      </c>
      <c r="Z72" s="61" t="s">
        <v>242</v>
      </c>
      <c r="AA72" s="60" t="str" cm="1">
        <f t="array" ref="AA72">IF(OR(Y72=0,Y72=""),"",IF(VLOOKUP(Z72,$AI$1:$AJ$58,2,FALSE)&gt;=Y72,INDEX(tblDisciplines[Name],MATCH(1,(tblDisciplines[Discipline]=Z72)*(tblDisciplines[Rank]=Y72),0)),""))</f>
        <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1"/>
        <v/>
      </c>
      <c r="D73" s="19"/>
      <c r="E73" s="15" t="s">
        <v>1448</v>
      </c>
      <c r="F73" s="19"/>
      <c r="G73" s="19"/>
      <c r="H73" s="19"/>
      <c r="I73" s="19"/>
      <c r="K73" s="4">
        <v>1</v>
      </c>
      <c r="M73" s="60">
        <v>7</v>
      </c>
      <c r="N73" s="4"/>
      <c r="O73" s="61">
        <f>ROUNDDOWN(N73/2,0)</f>
        <v>0</v>
      </c>
      <c r="P73" s="60">
        <f>MIN(SUM(K73*-1,M73,O73),R73)</f>
        <v>6</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1"/>
        <v/>
      </c>
      <c r="D74" s="19"/>
      <c r="E74" s="15" t="s">
        <v>53</v>
      </c>
      <c r="F74" s="19"/>
      <c r="G74" s="19"/>
      <c r="H74" s="19"/>
      <c r="I74" s="19"/>
      <c r="K74" s="4"/>
      <c r="M74" s="60">
        <f>P28+P38</f>
        <v>5</v>
      </c>
      <c r="N74" s="4"/>
      <c r="O74" s="61">
        <f>N74</f>
        <v>0</v>
      </c>
      <c r="P74" s="60">
        <f>MIN(SUM(K74*-1,M74,O74),R74)</f>
        <v>5</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1"/>
        <v/>
      </c>
      <c r="D75" s="19"/>
      <c r="E75" s="15" t="s">
        <v>55</v>
      </c>
      <c r="F75" s="19"/>
      <c r="G75" s="19"/>
      <c r="H75" s="19"/>
      <c r="I75" s="19"/>
      <c r="P75" s="60">
        <f ca="1">VLOOKUP(VLOOKUP("Blood Potency",INDIRECT($AH$1),2,FALSE),tblBloodPotency[],2,FALSE)</f>
        <v>11</v>
      </c>
      <c r="Y75" s="15">
        <v>1</v>
      </c>
      <c r="Z75" s="61" t="s">
        <v>243</v>
      </c>
      <c r="AA75" s="60" t="str" cm="1">
        <f t="array" ref="AA75">IF(OR(Y75=0,Y75=""),"",IF(VLOOKUP(Z75,$AI$1:$AJ$58,2,FALSE)&gt;=Y75,INDEX(tblDisciplines[Name],MATCH(1,(tblDisciplines[Discipline]=Z75)*(tblDisciplines[Rank]=Y75),0)),""))</f>
        <v/>
      </c>
    </row>
    <row r="76" spans="1:32">
      <c r="A76" s="1" t="s">
        <v>75</v>
      </c>
      <c r="B76" t="str">
        <f t="shared" si="11"/>
        <v/>
      </c>
      <c r="Y76" s="15">
        <v>2</v>
      </c>
      <c r="Z76" s="61" t="s">
        <v>243</v>
      </c>
      <c r="AA76" s="60" t="str" cm="1">
        <f t="array" ref="AA76">IF(OR(Y76=0,Y76=""),"",IF(VLOOKUP(Z76,$AI$1:$AJ$58,2,FALSE)&gt;=Y76,INDEX(tblDisciplines[Name],MATCH(1,(tblDisciplines[Discipline]=Z76)*(tblDisciplines[Rank]=Y76),0)),""))</f>
        <v/>
      </c>
    </row>
    <row r="77" spans="1:32" ht="15.75" thickBot="1">
      <c r="A77" s="1" t="s">
        <v>76</v>
      </c>
      <c r="B77" t="str">
        <f t="shared" si="11"/>
        <v/>
      </c>
      <c r="D77" s="14" t="s">
        <v>1470</v>
      </c>
      <c r="E77" s="14"/>
      <c r="F77" s="14"/>
      <c r="G77" s="14"/>
      <c r="H77" s="14"/>
      <c r="I77" s="14"/>
      <c r="N77" s="60">
        <f>SUM(N79:N98,N101:N120,N206:N215,N132:N135,N138:N157,N160:N161)</f>
        <v>3</v>
      </c>
      <c r="Y77" s="15">
        <v>3</v>
      </c>
      <c r="Z77" s="61" t="s">
        <v>243</v>
      </c>
      <c r="AA77" s="60" t="str" cm="1">
        <f t="array" ref="AA77">IF(OR(Y77=0,Y77=""),"",IF(VLOOKUP(Z77,$AI$1:$AJ$58,2,FALSE)&gt;=Y77,INDEX(tblDisciplines[Name],MATCH(1,(tblDisciplines[Discipline]=Z77)*(tblDisciplines[Rank]=Y77),0)),""))</f>
        <v/>
      </c>
    </row>
    <row r="78" spans="1:32">
      <c r="A78" s="1" t="s">
        <v>77</v>
      </c>
      <c r="B78" t="str">
        <f t="shared" si="11"/>
        <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1"/>
        <v/>
      </c>
      <c r="D79" s="19"/>
      <c r="E79" s="15" t="s">
        <v>114</v>
      </c>
      <c r="F79" s="3" t="s">
        <v>1610</v>
      </c>
      <c r="G79" s="3" t="s">
        <v>1611</v>
      </c>
      <c r="H79" s="67" t="str">
        <f>_xlfn.IFNA(IF(VLOOKUP(F79,tblMerits[#Data],6,FALSE)=0,"None",VLOOKUP(F79,tblMerits[#Data],6,FALSE)),"None")</f>
        <v>Wits 3, relevant Specialty</v>
      </c>
      <c r="I79" s="67"/>
      <c r="L79" s="4">
        <v>1</v>
      </c>
      <c r="M79" s="4"/>
      <c r="N79" s="4"/>
      <c r="O79" s="61">
        <f>N79</f>
        <v>0</v>
      </c>
      <c r="P79" s="60">
        <f t="shared" ref="P79:P98" si="15">MIN(SUM(L79,M79,O79),R79)</f>
        <v>1</v>
      </c>
      <c r="Q79" s="61">
        <f>_xlfn.IFNA(VLOOKUP($F79,tblMerits[],3,FALSE),"")</f>
        <v>1</v>
      </c>
      <c r="R79" s="61">
        <f>_xlfn.IFNA(VLOOKUP($F79,tblMerits[],4,FALSE),"")</f>
        <v>1</v>
      </c>
      <c r="Y79" s="15">
        <v>5</v>
      </c>
      <c r="Z79" s="61" t="s">
        <v>243</v>
      </c>
      <c r="AA79" s="60" t="str" cm="1">
        <f t="array" ref="AA79">IF(OR(Y79=0,Y79=""),"",IF(VLOOKUP(Z79,$AI$1:$AJ$58,2,FALSE)&gt;=Y79,INDEX(tblDisciplines[Name],MATCH(1,(tblDisciplines[Discipline]=Z79)*(tblDisciplines[Rank]=Y79),0)),""))</f>
        <v/>
      </c>
    </row>
    <row r="80" spans="1:32">
      <c r="A80" s="1" t="s">
        <v>79</v>
      </c>
      <c r="B80" t="str">
        <f t="shared" si="11"/>
        <v/>
      </c>
      <c r="D80" s="19"/>
      <c r="E80" s="15" t="s">
        <v>115</v>
      </c>
      <c r="F80" s="3"/>
      <c r="G80" s="3"/>
      <c r="H80" s="67" t="str">
        <f>_xlfn.IFNA(IF(VLOOKUP(F80,tblMerits[#Data],6,FALSE)=0,"None",VLOOKUP(F80,tblMerits[#Data],6,FALSE)),"None")</f>
        <v>None</v>
      </c>
      <c r="I80" s="67"/>
      <c r="L80" s="4"/>
      <c r="M80" s="4"/>
      <c r="N80" s="4"/>
      <c r="O80" s="61">
        <f t="shared" ref="O80:O98" si="16">N80</f>
        <v>0</v>
      </c>
      <c r="P80" s="60">
        <f t="shared" si="15"/>
        <v>0</v>
      </c>
      <c r="Q80" s="61" t="str">
        <f>_xlfn.IFNA(VLOOKUP($F80,tblMerits[],3,FALSE),"")</f>
        <v/>
      </c>
      <c r="R80" s="61" t="str">
        <f>_xlfn.IFNA(VLOOKUP($F80,tblMerits[],4,FALSE),"")</f>
        <v/>
      </c>
      <c r="Y80" s="15">
        <f>P173</f>
        <v>1</v>
      </c>
      <c r="Z80" s="61" t="s">
        <v>244</v>
      </c>
      <c r="AA80" s="60" t="str" cm="1">
        <f t="array" ref="AA80">IF(OR(Y80=0,Y80=""),"",IF(VLOOKUP(Z80,$AI$1:$AJ$58,2,FALSE)&gt;=Y80,INDEX(tblDisciplines[Name],MATCH(1,(tblDisciplines[Discipline]=Z80)*(tblDisciplines[Rank]=Y80),0)),""))</f>
        <v>Resilience 1</v>
      </c>
    </row>
    <row r="81" spans="1:27">
      <c r="A81" s="1" t="s">
        <v>80</v>
      </c>
      <c r="B81" t="str">
        <f t="shared" si="11"/>
        <v/>
      </c>
      <c r="D81" s="19"/>
      <c r="E81" s="15" t="s">
        <v>116</v>
      </c>
      <c r="F81" s="3"/>
      <c r="G81" s="3"/>
      <c r="H81" s="67" t="str">
        <f>_xlfn.IFNA(IF(VLOOKUP(F81,tblMerits[#Data],6,FALSE)=0,"None",VLOOKUP(F81,tblMerits[#Data],6,FALSE)),"None")</f>
        <v>None</v>
      </c>
      <c r="I81" s="67"/>
      <c r="L81" s="4"/>
      <c r="M81" s="4"/>
      <c r="N81" s="4"/>
      <c r="O81" s="61">
        <f t="shared" si="16"/>
        <v>0</v>
      </c>
      <c r="P81" s="60">
        <f t="shared" si="15"/>
        <v>0</v>
      </c>
      <c r="Q81" s="61" t="str">
        <f>_xlfn.IFNA(VLOOKUP($F81,tblMerits[],3,FALSE),"")</f>
        <v/>
      </c>
      <c r="R81" s="61" t="str">
        <f>_xlfn.IFNA(VLOOKUP($F81,tblMerits[],4,FALSE),"")</f>
        <v/>
      </c>
      <c r="Y81" s="15">
        <f>P174</f>
        <v>0</v>
      </c>
      <c r="Z81" s="61" t="s">
        <v>245</v>
      </c>
      <c r="AA81" s="60" t="str" cm="1">
        <f t="array" ref="AA81">IF(OR(Y81=0,Y81=""),"",IF(VLOOKUP(Z81,$AI$1:$AJ$58,2,FALSE)&gt;=Y81,INDEX(tblDisciplines[Name],MATCH(1,(tblDisciplines[Discipline]=Z81)*(tblDisciplines[Rank]=Y81),0)),""))</f>
        <v/>
      </c>
    </row>
    <row r="82" spans="1:27">
      <c r="A82" s="1" t="s">
        <v>81</v>
      </c>
      <c r="B82" t="str">
        <f t="shared" si="11"/>
        <v/>
      </c>
      <c r="D82" s="19"/>
      <c r="E82" s="15" t="s">
        <v>117</v>
      </c>
      <c r="F82" s="3"/>
      <c r="G82" s="3"/>
      <c r="H82" s="67" t="str">
        <f>_xlfn.IFNA(IF(VLOOKUP(F82,tblMerits[#Data],6,FALSE)=0,"None",VLOOKUP(F82,tblMerits[#Data],6,FALSE)),"None")</f>
        <v>None</v>
      </c>
      <c r="I82" s="67"/>
      <c r="L82" s="4"/>
      <c r="M82" s="4"/>
      <c r="N82" s="4"/>
      <c r="O82" s="61">
        <f t="shared" si="16"/>
        <v>0</v>
      </c>
      <c r="P82" s="60">
        <f t="shared" si="15"/>
        <v>0</v>
      </c>
      <c r="Q82" s="61" t="str">
        <f>_xlfn.IFNA(VLOOKUP($F82,tblMerits[],3,FALSE),"")</f>
        <v/>
      </c>
      <c r="R82" s="61" t="str">
        <f>_xlfn.IFNA(VLOOKUP($F82,tblMerits[],4,FALSE),"")</f>
        <v/>
      </c>
      <c r="Y82" s="61" t="s">
        <v>1472</v>
      </c>
      <c r="Z82" s="19"/>
      <c r="AA82" s="60" t="str">
        <f>IF(P177="","",F177)</f>
        <v/>
      </c>
    </row>
    <row r="83" spans="1:27">
      <c r="A83" s="1" t="s">
        <v>82</v>
      </c>
      <c r="B83" t="str">
        <f t="shared" si="11"/>
        <v/>
      </c>
      <c r="D83" s="19"/>
      <c r="E83" s="15" t="s">
        <v>118</v>
      </c>
      <c r="F83" s="3"/>
      <c r="G83" s="3"/>
      <c r="H83" s="67" t="str">
        <f>_xlfn.IFNA(IF(VLOOKUP(F83,tblMerits[#Data],6,FALSE)=0,"None",VLOOKUP(F83,tblMerits[#Data],6,FALSE)),"None")</f>
        <v>None</v>
      </c>
      <c r="I83" s="67"/>
      <c r="L83" s="4"/>
      <c r="M83" s="4"/>
      <c r="N83" s="4"/>
      <c r="O83" s="61">
        <f t="shared" si="16"/>
        <v>0</v>
      </c>
      <c r="P83" s="60">
        <f t="shared" si="15"/>
        <v>0</v>
      </c>
      <c r="Q83" s="61" t="str">
        <f>_xlfn.IFNA(VLOOKUP($F83,tblMerits[],3,FALSE),"")</f>
        <v/>
      </c>
      <c r="R83" s="61" t="str">
        <f>_xlfn.IFNA(VLOOKUP($F83,tblMerits[],4,FALSE),"")</f>
        <v/>
      </c>
      <c r="Y83" s="61" t="s">
        <v>1472</v>
      </c>
      <c r="Z83" s="19"/>
      <c r="AA83" s="60" t="str">
        <f>IF(P178="","",F178)</f>
        <v/>
      </c>
    </row>
    <row r="84" spans="1:27">
      <c r="A84" s="1" t="s">
        <v>83</v>
      </c>
      <c r="B84">
        <f>P124</f>
        <v>1</v>
      </c>
      <c r="D84" s="19"/>
      <c r="E84" s="15" t="s">
        <v>119</v>
      </c>
      <c r="F84" s="3"/>
      <c r="G84" s="3"/>
      <c r="H84" s="67" t="str">
        <f>_xlfn.IFNA(IF(VLOOKUP(F84,tblMerits[#Data],6,FALSE)=0,"None",VLOOKUP(F84,tblMerits[#Data],6,FALSE)),"None")</f>
        <v>None</v>
      </c>
      <c r="I84" s="67"/>
      <c r="L84" s="4"/>
      <c r="M84" s="4"/>
      <c r="N84" s="4"/>
      <c r="O84" s="61">
        <f t="shared" si="16"/>
        <v>0</v>
      </c>
      <c r="P84" s="60">
        <f t="shared" si="15"/>
        <v>0</v>
      </c>
      <c r="Q84" s="61" t="str">
        <f>_xlfn.IFNA(VLOOKUP($F84,tblMerits[],3,FALSE),"")</f>
        <v/>
      </c>
      <c r="R84" s="61" t="str">
        <f>_xlfn.IFNA(VLOOKUP($F84,tblMerits[],4,FALSE),"")</f>
        <v/>
      </c>
      <c r="Y84" s="61" t="s">
        <v>1472</v>
      </c>
      <c r="Z84" s="19"/>
      <c r="AA84" s="60" t="str">
        <f>IF(P179="","",F179)</f>
        <v/>
      </c>
    </row>
    <row r="85" spans="1:27">
      <c r="A85" s="1" t="s">
        <v>84</v>
      </c>
      <c r="B85">
        <f>P125</f>
        <v>1</v>
      </c>
      <c r="D85" s="19"/>
      <c r="E85" s="15" t="s">
        <v>120</v>
      </c>
      <c r="F85" s="3"/>
      <c r="G85" s="3"/>
      <c r="H85" s="67" t="str">
        <f>_xlfn.IFNA(IF(VLOOKUP(F85,tblMerits[#Data],6,FALSE)=0,"None",VLOOKUP(F85,tblMerits[#Data],6,FALSE)),"None")</f>
        <v>None</v>
      </c>
      <c r="I85" s="67"/>
      <c r="L85" s="4"/>
      <c r="M85" s="4"/>
      <c r="N85" s="4"/>
      <c r="O85" s="61">
        <f t="shared" si="16"/>
        <v>0</v>
      </c>
      <c r="P85" s="60">
        <f t="shared" si="15"/>
        <v>0</v>
      </c>
      <c r="Q85" s="61" t="str">
        <f>_xlfn.IFNA(VLOOKUP($F85,tblMerits[],3,FALSE),"")</f>
        <v/>
      </c>
      <c r="R85" s="61" t="str">
        <f>_xlfn.IFNA(VLOOKUP($F85,tblMerits[],4,FALSE),"")</f>
        <v/>
      </c>
      <c r="Y85" s="61" t="s">
        <v>1472</v>
      </c>
      <c r="Z85" s="19"/>
      <c r="AA85" s="60" t="str">
        <f>IF(P180="","",F180)</f>
        <v/>
      </c>
    </row>
    <row r="86" spans="1:27">
      <c r="A86" s="1" t="s">
        <v>85</v>
      </c>
      <c r="B86">
        <f>P126</f>
        <v>1</v>
      </c>
      <c r="D86" s="19"/>
      <c r="E86" s="15" t="s">
        <v>121</v>
      </c>
      <c r="F86" s="3"/>
      <c r="G86" s="3"/>
      <c r="H86" s="67" t="str">
        <f>_xlfn.IFNA(IF(VLOOKUP(F86,tblMerits[#Data],6,FALSE)=0,"None",VLOOKUP(F86,tblMerits[#Data],6,FALSE)),"None")</f>
        <v>None</v>
      </c>
      <c r="I86" s="67"/>
      <c r="L86" s="4"/>
      <c r="M86" s="4"/>
      <c r="N86" s="4"/>
      <c r="O86" s="61">
        <f t="shared" si="16"/>
        <v>0</v>
      </c>
      <c r="P86" s="60">
        <f t="shared" si="15"/>
        <v>0</v>
      </c>
      <c r="Q86" s="61" t="str">
        <f>_xlfn.IFNA(VLOOKUP($F86,tblMerits[],3,FALSE),"")</f>
        <v/>
      </c>
      <c r="R86" s="61" t="str">
        <f>_xlfn.IFNA(VLOOKUP($F86,tblMerits[],4,FALSE),"")</f>
        <v/>
      </c>
      <c r="Y86" s="61" t="s">
        <v>1472</v>
      </c>
      <c r="Z86" s="19"/>
      <c r="AA86" s="60" t="str">
        <f>IF(P181="","",F181)</f>
        <v/>
      </c>
    </row>
    <row r="87" spans="1:27">
      <c r="A87" s="1" t="s">
        <v>86</v>
      </c>
      <c r="B87" t="str">
        <f>IF(F126="","¬",F126)</f>
        <v>Carthian</v>
      </c>
      <c r="D87" s="19"/>
      <c r="E87" s="15" t="s">
        <v>122</v>
      </c>
      <c r="F87" s="3"/>
      <c r="G87" s="3"/>
      <c r="H87" s="67" t="str">
        <f>_xlfn.IFNA(IF(VLOOKUP(F87,tblMerits[#Data],6,FALSE)=0,"None",VLOOKUP(F87,tblMerits[#Data],6,FALSE)),"None")</f>
        <v>None</v>
      </c>
      <c r="I87" s="67"/>
      <c r="L87" s="4"/>
      <c r="M87" s="4"/>
      <c r="N87" s="4"/>
      <c r="O87" s="61">
        <f t="shared" si="16"/>
        <v>0</v>
      </c>
      <c r="P87" s="60">
        <f t="shared" si="15"/>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
      </c>
    </row>
    <row r="88" spans="1:27">
      <c r="A88" s="1" t="s">
        <v>87</v>
      </c>
      <c r="B88" t="str">
        <f>REPT("●",P126)</f>
        <v>●</v>
      </c>
      <c r="D88" s="19"/>
      <c r="E88" s="15" t="s">
        <v>123</v>
      </c>
      <c r="F88" s="3"/>
      <c r="G88" s="3"/>
      <c r="H88" s="67" t="str">
        <f>_xlfn.IFNA(IF(VLOOKUP(F88,tblMerits[#Data],6,FALSE)=0,"None",VLOOKUP(F88,tblMerits[#Data],6,FALSE)),"None")</f>
        <v>None</v>
      </c>
      <c r="I88" s="67"/>
      <c r="L88" s="4"/>
      <c r="M88" s="4"/>
      <c r="N88" s="4"/>
      <c r="O88" s="61">
        <f t="shared" si="16"/>
        <v>0</v>
      </c>
      <c r="P88" s="60">
        <f t="shared" si="15"/>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Crone</v>
      </c>
      <c r="D89" s="19"/>
      <c r="E89" s="15" t="s">
        <v>124</v>
      </c>
      <c r="F89" s="3"/>
      <c r="G89" s="3"/>
      <c r="H89" s="67" t="str">
        <f>_xlfn.IFNA(IF(VLOOKUP(F89,tblMerits[#Data],6,FALSE)=0,"None",VLOOKUP(F89,tblMerits[#Data],6,FALSE)),"None")</f>
        <v>None</v>
      </c>
      <c r="I89" s="67"/>
      <c r="L89" s="4"/>
      <c r="M89" s="4"/>
      <c r="N89" s="4"/>
      <c r="O89" s="61">
        <f t="shared" si="16"/>
        <v>0</v>
      </c>
      <c r="P89" s="60">
        <f t="shared" si="15"/>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_xlfn.IFNA(IF(VLOOKUP(F90,tblMerits[#Data],6,FALSE)=0,"None",VLOOKUP(F90,tblMerits[#Data],6,FALSE)),"None")</f>
        <v>None</v>
      </c>
      <c r="I90" s="67"/>
      <c r="L90" s="4"/>
      <c r="M90" s="4"/>
      <c r="N90" s="4"/>
      <c r="O90" s="61">
        <f t="shared" si="16"/>
        <v>0</v>
      </c>
      <c r="P90" s="60">
        <f t="shared" si="15"/>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Invictus</v>
      </c>
      <c r="D91" s="19"/>
      <c r="E91" s="15" t="s">
        <v>126</v>
      </c>
      <c r="F91" s="3"/>
      <c r="G91" s="3"/>
      <c r="H91" s="67" t="str">
        <f>_xlfn.IFNA(IF(VLOOKUP(F91,tblMerits[#Data],6,FALSE)=0,"None",VLOOKUP(F91,tblMerits[#Data],6,FALSE)),"None")</f>
        <v>None</v>
      </c>
      <c r="I91" s="67"/>
      <c r="L91" s="4"/>
      <c r="M91" s="4"/>
      <c r="N91" s="4"/>
      <c r="O91" s="61">
        <f t="shared" si="16"/>
        <v>0</v>
      </c>
      <c r="P91" s="60">
        <f t="shared" si="15"/>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_xlfn.IFNA(IF(VLOOKUP(F92,tblMerits[#Data],6,FALSE)=0,"None",VLOOKUP(F92,tblMerits[#Data],6,FALSE)),"None")</f>
        <v>None</v>
      </c>
      <c r="I92" s="67"/>
      <c r="L92" s="4"/>
      <c r="M92" s="4"/>
      <c r="N92" s="4"/>
      <c r="O92" s="61">
        <f t="shared" si="16"/>
        <v>0</v>
      </c>
      <c r="P92" s="60">
        <f t="shared" si="15"/>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Lance</v>
      </c>
      <c r="D93" s="19"/>
      <c r="E93" s="15" t="s">
        <v>128</v>
      </c>
      <c r="F93" s="3"/>
      <c r="G93" s="3"/>
      <c r="H93" s="67" t="str">
        <f>_xlfn.IFNA(IF(VLOOKUP(F93,tblMerits[#Data],6,FALSE)=0,"None",VLOOKUP(F93,tblMerits[#Data],6,FALSE)),"None")</f>
        <v>None</v>
      </c>
      <c r="I93" s="67"/>
      <c r="L93" s="4"/>
      <c r="M93" s="4"/>
      <c r="N93" s="4"/>
      <c r="O93" s="61">
        <f t="shared" si="16"/>
        <v>0</v>
      </c>
      <c r="P93" s="60">
        <f t="shared" si="15"/>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_xlfn.IFNA(IF(VLOOKUP(F94,tblMerits[#Data],6,FALSE)=0,"None",VLOOKUP(F94,tblMerits[#Data],6,FALSE)),"None")</f>
        <v>None</v>
      </c>
      <c r="I94" s="67"/>
      <c r="L94" s="4"/>
      <c r="M94" s="4"/>
      <c r="N94" s="4"/>
      <c r="O94" s="61">
        <f t="shared" si="16"/>
        <v>0</v>
      </c>
      <c r="P94" s="60">
        <f t="shared" si="15"/>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_xlfn.IFNA(IF(VLOOKUP(F95,tblMerits[#Data],6,FALSE)=0,"None",VLOOKUP(F95,tblMerits[#Data],6,FALSE)),"None")</f>
        <v>None</v>
      </c>
      <c r="I95" s="67"/>
      <c r="L95" s="4"/>
      <c r="M95" s="4"/>
      <c r="N95" s="4"/>
      <c r="O95" s="61">
        <f t="shared" si="16"/>
        <v>0</v>
      </c>
      <c r="P95" s="60">
        <f t="shared" si="15"/>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_xlfn.IFNA(IF(VLOOKUP(F96,tblMerits[#Data],6,FALSE)=0,"None",VLOOKUP(F96,tblMerits[#Data],6,FALSE)),"None")</f>
        <v>None</v>
      </c>
      <c r="I96" s="67"/>
      <c r="L96" s="4"/>
      <c r="M96" s="4"/>
      <c r="N96" s="4"/>
      <c r="O96" s="61">
        <f t="shared" si="16"/>
        <v>0</v>
      </c>
      <c r="P96" s="60">
        <f t="shared" si="15"/>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_xlfn.IFNA(IF(VLOOKUP(F97,tblMerits[#Data],6,FALSE)=0,"None",VLOOKUP(F97,tblMerits[#Data],6,FALSE)),"None")</f>
        <v>None</v>
      </c>
      <c r="I97" s="67"/>
      <c r="L97" s="4"/>
      <c r="M97" s="4"/>
      <c r="N97" s="4"/>
      <c r="O97" s="61">
        <f t="shared" si="16"/>
        <v>0</v>
      </c>
      <c r="P97" s="60">
        <f t="shared" si="15"/>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
      </c>
    </row>
    <row r="98" spans="1:27">
      <c r="A98" s="1" t="s">
        <v>97</v>
      </c>
      <c r="B98" t="str">
        <f>IF(OR(P135=0,P135=""),"-",REPT("●",P135))</f>
        <v>●</v>
      </c>
      <c r="D98" s="19"/>
      <c r="E98" s="15" t="s">
        <v>133</v>
      </c>
      <c r="F98" s="3"/>
      <c r="G98" s="3"/>
      <c r="H98" s="67" t="str">
        <f>_xlfn.IFNA(IF(VLOOKUP(F98,tblMerits[#Data],6,FALSE)=0,"None",VLOOKUP(F98,tblMerits[#Data],6,FALSE)),"None")</f>
        <v>None</v>
      </c>
      <c r="I98" s="67"/>
      <c r="L98" s="4"/>
      <c r="M98" s="4"/>
      <c r="N98" s="4"/>
      <c r="O98" s="61">
        <f t="shared" si="16"/>
        <v>0</v>
      </c>
      <c r="P98" s="60">
        <f t="shared" si="15"/>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t="s">
        <v>1612</v>
      </c>
      <c r="G101" s="60" t="str">
        <f>IFERROR(VLOOKUP(F101,tblManoeuvre[#Data],2,FALSE)&amp;" "&amp;VLOOKUP(F101,tblManoeuvre[#Data],3,FALSE),"")</f>
        <v>Combat Archery 1</v>
      </c>
      <c r="H101" s="67" t="str">
        <f>IFERROR(IF(VLOOKUP(F101,tblManoeuvre[#Data],8,FALSE)=0,"None",VLOOKUP(F101,tblManoeuvre[#Data],8,FALSE)),"None")</f>
        <v>Str 3, Athletics 2, Quick Draw (Bow)</v>
      </c>
      <c r="I101" s="67"/>
      <c r="L101" s="4">
        <v>1</v>
      </c>
      <c r="M101" s="4"/>
      <c r="N101" s="4"/>
      <c r="O101" s="61">
        <f t="shared" ref="O101:O120" si="17">N101</f>
        <v>0</v>
      </c>
      <c r="P101" s="60">
        <f t="shared" ref="P101:P120" si="18">MIN(SUM(L101,M101,O101),R101)</f>
        <v>1</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
      </c>
      <c r="D102" s="19"/>
      <c r="E102" s="15" t="s">
        <v>1441</v>
      </c>
      <c r="F102" s="3" t="s">
        <v>1613</v>
      </c>
      <c r="G102" s="60" t="str">
        <f>IFERROR(VLOOKUP(F102,tblManoeuvre[#Data],2,FALSE)&amp;" "&amp;VLOOKUP(F102,tblManoeuvre[#Data],3,FALSE),"")</f>
        <v>Combat Archery 2</v>
      </c>
      <c r="H102" s="67" t="str">
        <f>IFERROR(IF(VLOOKUP(F102,tblManoeuvre[#Data],8,FALSE)=0,"None",VLOOKUP(F102,tblManoeuvre[#Data],8,FALSE)),"None")</f>
        <v>Str 3, Athletics 2, Quick Draw (Bow)</v>
      </c>
      <c r="I102" s="67"/>
      <c r="L102" s="4">
        <v>1</v>
      </c>
      <c r="M102" s="4"/>
      <c r="N102" s="4"/>
      <c r="O102" s="61">
        <f t="shared" si="17"/>
        <v>0</v>
      </c>
      <c r="P102" s="60">
        <f t="shared" si="18"/>
        <v>1</v>
      </c>
      <c r="Q102" s="61">
        <v>1</v>
      </c>
      <c r="R102" s="61">
        <v>1</v>
      </c>
      <c r="Y102" s="15">
        <v>1</v>
      </c>
      <c r="Z102" s="61" t="s">
        <v>251</v>
      </c>
      <c r="AA102" s="60" t="str" cm="1">
        <f t="array" ref="AA102">IF(VLOOKUP(Z102,$AI$1:$AJ$58,2,FALSE)&gt;=Y102,INDEX(tblDisciplines[Name],MATCH(1,(tblDisciplines[Discipline]=Z102)*(tblDisciplines[Rank]=Y102),0)),"")</f>
        <v/>
      </c>
    </row>
    <row r="103" spans="1:27">
      <c r="A103" s="1" t="s">
        <v>102</v>
      </c>
      <c r="B103">
        <f>P73</f>
        <v>6</v>
      </c>
      <c r="D103" s="19"/>
      <c r="E103" s="15" t="s">
        <v>1443</v>
      </c>
      <c r="F103" s="3" t="s">
        <v>1614</v>
      </c>
      <c r="G103" s="60" t="str">
        <f>IFERROR(VLOOKUP(F103,tblManoeuvre[#Data],2,FALSE)&amp;" "&amp;VLOOKUP(F103,tblManoeuvre[#Data],3,FALSE),"")</f>
        <v>Combat Archery 3</v>
      </c>
      <c r="H103" s="67" t="str">
        <f>IFERROR(IF(VLOOKUP(F103,tblManoeuvre[#Data],8,FALSE)=0,"None",VLOOKUP(F103,tblManoeuvre[#Data],8,FALSE)),"None")</f>
        <v>Str 3, Athletics 2, Quick Draw (Bow)</v>
      </c>
      <c r="I103" s="67"/>
      <c r="L103" s="4">
        <v>1</v>
      </c>
      <c r="M103" s="4"/>
      <c r="N103" s="4"/>
      <c r="O103" s="61">
        <f t="shared" si="17"/>
        <v>0</v>
      </c>
      <c r="P103" s="60">
        <f t="shared" si="18"/>
        <v>1</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t="s">
        <v>1615</v>
      </c>
      <c r="G104" s="60" t="str">
        <f>IFERROR(VLOOKUP(F104,tblManoeuvre[#Data],2,FALSE)&amp;" "&amp;VLOOKUP(F104,tblManoeuvre[#Data],3,FALSE),"")</f>
        <v>Combat Archery 4</v>
      </c>
      <c r="H104" s="67" t="str">
        <f>IFERROR(IF(VLOOKUP(F104,tblManoeuvre[#Data],8,FALSE)=0,"None",VLOOKUP(F104,tblManoeuvre[#Data],8,FALSE)),"None")</f>
        <v>Str 3, Athletics 2, Quick Draw (Bow)</v>
      </c>
      <c r="I104" s="67"/>
      <c r="L104" s="4"/>
      <c r="M104" s="4"/>
      <c r="N104" s="4">
        <v>1</v>
      </c>
      <c r="O104" s="61">
        <f t="shared" si="17"/>
        <v>1</v>
      </c>
      <c r="P104" s="60">
        <f t="shared" si="18"/>
        <v>1</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t="s">
        <v>1616</v>
      </c>
      <c r="G105" s="60" t="str">
        <f>IFERROR(VLOOKUP(F105,tblManoeuvre[#Data],2,FALSE)&amp;" "&amp;VLOOKUP(F105,tblManoeuvre[#Data],3,FALSE),"")</f>
        <v>Combat Archery 5</v>
      </c>
      <c r="H105" s="67" t="str">
        <f>IFERROR(IF(VLOOKUP(F105,tblManoeuvre[#Data],8,FALSE)=0,"None",VLOOKUP(F105,tblManoeuvre[#Data],8,FALSE)),"None")</f>
        <v>Str 3, Athletics 2, Quick Draw (Bow)</v>
      </c>
      <c r="I105" s="67"/>
      <c r="L105" s="4"/>
      <c r="M105" s="4"/>
      <c r="N105" s="4">
        <v>1</v>
      </c>
      <c r="O105" s="61">
        <f t="shared" si="17"/>
        <v>1</v>
      </c>
      <c r="P105" s="60">
        <f t="shared" si="18"/>
        <v>1</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IFERROR(VLOOKUP(F106,tblManoeuvre[#Data],2,FALSE)&amp;" "&amp;VLOOKUP(F106,tblManoeuvre[#Data],3,FALSE),"")</f>
        <v/>
      </c>
      <c r="H106" s="67" t="str">
        <f>IFERROR(IF(VLOOKUP(F106,tblManoeuvre[#Data],8,FALSE)=0,"None",VLOOKUP(F106,tblManoeuvre[#Data],8,FALSE)),"None")</f>
        <v>None</v>
      </c>
      <c r="I106" s="67"/>
      <c r="L106" s="4"/>
      <c r="M106" s="4"/>
      <c r="N106" s="4"/>
      <c r="O106" s="61">
        <f t="shared" si="17"/>
        <v>0</v>
      </c>
      <c r="P106" s="60">
        <f t="shared" si="18"/>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IFERROR(VLOOKUP(F107,tblManoeuvre[#Data],2,FALSE)&amp;" "&amp;VLOOKUP(F107,tblManoeuvre[#Data],3,FALSE),"")</f>
        <v/>
      </c>
      <c r="H107" s="67" t="str">
        <f>IFERROR(IF(VLOOKUP(F107,tblManoeuvre[#Data],8,FALSE)=0,"None",VLOOKUP(F107,tblManoeuvre[#Data],8,FALSE)),"None")</f>
        <v>None</v>
      </c>
      <c r="I107" s="67"/>
      <c r="L107" s="4"/>
      <c r="M107" s="4"/>
      <c r="N107" s="4"/>
      <c r="O107" s="61">
        <f t="shared" si="17"/>
        <v>0</v>
      </c>
      <c r="P107" s="60">
        <f t="shared" si="18"/>
        <v>0</v>
      </c>
      <c r="Q107" s="61">
        <v>1</v>
      </c>
      <c r="R107" s="61">
        <v>1</v>
      </c>
      <c r="Y107" s="15">
        <v>1</v>
      </c>
      <c r="Z107" s="61" t="s">
        <v>252</v>
      </c>
      <c r="AA107" s="60" t="str" cm="1">
        <f t="array" ref="AA107">IF(VLOOKUP(Z107,$AI$1:$AJ$58,2,FALSE)&gt;=Y107,INDEX(tblDisciplines[Name],MATCH(1,(tblDisciplines[Discipline]=Z107)*(tblDisciplines[Rank]=Y107),0)),"")</f>
        <v/>
      </c>
    </row>
    <row r="108" spans="1:27">
      <c r="A108" s="1" t="s">
        <v>107</v>
      </c>
      <c r="B108" t="str">
        <f>IF($P$73&gt;=7,"●","○") &amp; IF(F226&lt;&gt;""," (" &amp; F226 &amp; ")","")</f>
        <v>○ (University testamur (Simulacrum))</v>
      </c>
      <c r="D108" s="19"/>
      <c r="E108" s="15" t="s">
        <v>1452</v>
      </c>
      <c r="F108" s="3"/>
      <c r="G108" s="60" t="str">
        <f>IFERROR(VLOOKUP(F108,tblManoeuvre[#Data],2,FALSE)&amp;" "&amp;VLOOKUP(F108,tblManoeuvre[#Data],3,FALSE),"")</f>
        <v/>
      </c>
      <c r="H108" s="67" t="str">
        <f>IFERROR(IF(VLOOKUP(F108,tblManoeuvre[#Data],8,FALSE)=0,"None",VLOOKUP(F108,tblManoeuvre[#Data],8,FALSE)),"None")</f>
        <v>None</v>
      </c>
      <c r="I108" s="67"/>
      <c r="L108" s="4"/>
      <c r="M108" s="4"/>
      <c r="N108" s="4"/>
      <c r="O108" s="61">
        <f t="shared" si="17"/>
        <v>0</v>
      </c>
      <c r="P108" s="60">
        <f t="shared" si="18"/>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v>
      </c>
      <c r="D109" s="19"/>
      <c r="E109" s="15" t="s">
        <v>1454</v>
      </c>
      <c r="F109" s="3"/>
      <c r="G109" s="60" t="str">
        <f>IFERROR(VLOOKUP(F109,tblManoeuvre[#Data],2,FALSE)&amp;" "&amp;VLOOKUP(F109,tblManoeuvre[#Data],3,FALSE),"")</f>
        <v/>
      </c>
      <c r="H109" s="67" t="str">
        <f>IFERROR(IF(VLOOKUP(F109,tblManoeuvre[#Data],8,FALSE)=0,"None",VLOOKUP(F109,tblManoeuvre[#Data],8,FALSE)),"None")</f>
        <v>None</v>
      </c>
      <c r="I109" s="67"/>
      <c r="L109" s="4"/>
      <c r="M109" s="4"/>
      <c r="N109" s="4"/>
      <c r="O109" s="61">
        <f t="shared" si="17"/>
        <v>0</v>
      </c>
      <c r="P109" s="60">
        <f t="shared" si="18"/>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v>
      </c>
      <c r="D110" s="19"/>
      <c r="E110" s="15" t="s">
        <v>1455</v>
      </c>
      <c r="F110" s="3"/>
      <c r="G110" s="60" t="str">
        <f>IFERROR(VLOOKUP(F110,tblManoeuvre[#Data],2,FALSE)&amp;" "&amp;VLOOKUP(F110,tblManoeuvre[#Data],3,FALSE),"")</f>
        <v/>
      </c>
      <c r="H110" s="67" t="str">
        <f>IFERROR(IF(VLOOKUP(F110,tblManoeuvre[#Data],8,FALSE)=0,"None",VLOOKUP(F110,tblManoeuvre[#Data],8,FALSE)),"None")</f>
        <v>None</v>
      </c>
      <c r="I110" s="67"/>
      <c r="L110" s="4"/>
      <c r="M110" s="4"/>
      <c r="N110" s="4"/>
      <c r="O110" s="61">
        <f t="shared" si="17"/>
        <v>0</v>
      </c>
      <c r="P110" s="60">
        <f t="shared" si="18"/>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c r="H111" s="67" t="str">
        <f>IFERROR(IF(VLOOKUP(F111,tblManoeuvre[#Data],8,FALSE)=0,"None",VLOOKUP(F111,tblManoeuvre[#Data],8,FALSE)),"None")</f>
        <v>None</v>
      </c>
      <c r="I111" s="67"/>
      <c r="L111" s="4"/>
      <c r="M111" s="4"/>
      <c r="N111" s="4"/>
      <c r="O111" s="61">
        <f t="shared" si="17"/>
        <v>0</v>
      </c>
      <c r="P111" s="60">
        <f t="shared" si="18"/>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c r="H112" s="67" t="str">
        <f>IFERROR(IF(VLOOKUP(F112,tblManoeuvre[#Data],8,FALSE)=0,"None",VLOOKUP(F112,tblManoeuvre[#Data],8,FALSE)),"None")</f>
        <v>None</v>
      </c>
      <c r="I112" s="67"/>
      <c r="L112" s="4"/>
      <c r="M112" s="4"/>
      <c r="N112" s="4"/>
      <c r="O112" s="61">
        <f t="shared" si="17"/>
        <v>0</v>
      </c>
      <c r="P112" s="60">
        <f t="shared" si="18"/>
        <v>0</v>
      </c>
      <c r="Q112" s="61">
        <v>1</v>
      </c>
      <c r="R112" s="61">
        <v>1</v>
      </c>
      <c r="Y112" s="61" t="s">
        <v>1474</v>
      </c>
      <c r="Z112" s="61" t="str">
        <f t="shared" ref="Z112:Z121" si="19">G194</f>
        <v/>
      </c>
      <c r="AA112" s="60" t="str">
        <f t="shared" ref="AA112:AA121" si="20">IF(P194="","",F194)</f>
        <v/>
      </c>
    </row>
    <row r="113" spans="1:27">
      <c r="A113" s="1" t="s">
        <v>112</v>
      </c>
      <c r="B113" t="str">
        <f>IF($P$73&gt;=2,"●","○") &amp; IF(F231&lt;&gt;""," (" &amp; F231 &amp; ")","")</f>
        <v>●</v>
      </c>
      <c r="D113" s="19"/>
      <c r="E113" s="15" t="s">
        <v>1458</v>
      </c>
      <c r="F113" s="3"/>
      <c r="G113" s="60"/>
      <c r="H113" s="67" t="str">
        <f>IFERROR(IF(VLOOKUP(F113,tblManoeuvre[#Data],8,FALSE)=0,"None",VLOOKUP(F113,tblManoeuvre[#Data],8,FALSE)),"None")</f>
        <v>None</v>
      </c>
      <c r="I113" s="67"/>
      <c r="L113" s="4"/>
      <c r="M113" s="4"/>
      <c r="N113" s="4"/>
      <c r="O113" s="61">
        <f t="shared" si="17"/>
        <v>0</v>
      </c>
      <c r="P113" s="60">
        <f t="shared" si="18"/>
        <v>0</v>
      </c>
      <c r="Q113" s="61">
        <v>1</v>
      </c>
      <c r="R113" s="61">
        <v>1</v>
      </c>
      <c r="Y113" s="61" t="s">
        <v>1474</v>
      </c>
      <c r="Z113" s="61" t="str">
        <f t="shared" si="19"/>
        <v/>
      </c>
      <c r="AA113" s="60" t="str">
        <f t="shared" si="20"/>
        <v/>
      </c>
    </row>
    <row r="114" spans="1:27">
      <c r="A114" s="1" t="s">
        <v>113</v>
      </c>
      <c r="B114" t="str">
        <f>IF($P$73&gt;=1,"●","○") &amp; IF(F232&lt;&gt;""," (" &amp; F232 &amp; ")","")</f>
        <v>●</v>
      </c>
      <c r="D114" s="19"/>
      <c r="E114" s="15" t="s">
        <v>1460</v>
      </c>
      <c r="F114" s="3"/>
      <c r="G114" s="60"/>
      <c r="H114" s="67" t="str">
        <f>IFERROR(IF(VLOOKUP(F114,tblManoeuvre[#Data],8,FALSE)=0,"None",VLOOKUP(F114,tblManoeuvre[#Data],8,FALSE)),"None")</f>
        <v>None</v>
      </c>
      <c r="I114" s="67"/>
      <c r="L114" s="4"/>
      <c r="M114" s="4"/>
      <c r="N114" s="4"/>
      <c r="O114" s="61">
        <f t="shared" si="17"/>
        <v>0</v>
      </c>
      <c r="P114" s="60">
        <f t="shared" si="18"/>
        <v>0</v>
      </c>
      <c r="Q114" s="61">
        <v>1</v>
      </c>
      <c r="R114" s="61">
        <v>1</v>
      </c>
      <c r="Y114" s="61" t="s">
        <v>1474</v>
      </c>
      <c r="Z114" s="61" t="str">
        <f t="shared" si="19"/>
        <v/>
      </c>
      <c r="AA114" s="60" t="str">
        <f t="shared" si="20"/>
        <v/>
      </c>
    </row>
    <row r="115" spans="1:27">
      <c r="A115" s="1" t="s">
        <v>114</v>
      </c>
      <c r="B115" t="str">
        <f t="shared" ref="B115:B144" si="21">IF(AD2="","¬",AD2)</f>
        <v>Quick Draw (Bow) ●</v>
      </c>
      <c r="D115" s="19"/>
      <c r="E115" s="15" t="s">
        <v>1461</v>
      </c>
      <c r="F115" s="3"/>
      <c r="G115" s="60"/>
      <c r="H115" s="67" t="str">
        <f>IFERROR(IF(VLOOKUP(F115,tblManoeuvre[#Data],8,FALSE)=0,"None",VLOOKUP(F115,tblManoeuvre[#Data],8,FALSE)),"None")</f>
        <v>None</v>
      </c>
      <c r="I115" s="67"/>
      <c r="L115" s="4"/>
      <c r="M115" s="4"/>
      <c r="N115" s="4"/>
      <c r="O115" s="61">
        <f t="shared" si="17"/>
        <v>0</v>
      </c>
      <c r="P115" s="60">
        <f t="shared" si="18"/>
        <v>0</v>
      </c>
      <c r="Q115" s="61">
        <v>1</v>
      </c>
      <c r="R115" s="61">
        <v>1</v>
      </c>
      <c r="Y115" s="61" t="s">
        <v>1474</v>
      </c>
      <c r="Z115" s="61" t="str">
        <f t="shared" si="19"/>
        <v/>
      </c>
      <c r="AA115" s="60" t="str">
        <f t="shared" si="20"/>
        <v/>
      </c>
    </row>
    <row r="116" spans="1:27">
      <c r="A116" s="1" t="s">
        <v>115</v>
      </c>
      <c r="B116" t="str">
        <f t="shared" si="21"/>
        <v>Combat Archery ● | Rapid Nock</v>
      </c>
      <c r="D116" s="19"/>
      <c r="E116" s="15" t="s">
        <v>1462</v>
      </c>
      <c r="F116" s="3"/>
      <c r="G116" s="60"/>
      <c r="H116" s="67" t="str">
        <f>IFERROR(IF(VLOOKUP(F116,tblManoeuvre[#Data],8,FALSE)=0,"None",VLOOKUP(F116,tblManoeuvre[#Data],8,FALSE)),"None")</f>
        <v>None</v>
      </c>
      <c r="I116" s="67"/>
      <c r="L116" s="4"/>
      <c r="M116" s="4"/>
      <c r="N116" s="4"/>
      <c r="O116" s="61">
        <f t="shared" si="17"/>
        <v>0</v>
      </c>
      <c r="P116" s="60">
        <f t="shared" si="18"/>
        <v>0</v>
      </c>
      <c r="Q116" s="61">
        <v>1</v>
      </c>
      <c r="R116" s="61">
        <v>1</v>
      </c>
      <c r="Y116" s="61" t="s">
        <v>1474</v>
      </c>
      <c r="Z116" s="61" t="str">
        <f t="shared" si="19"/>
        <v/>
      </c>
      <c r="AA116" s="60" t="str">
        <f t="shared" si="20"/>
        <v/>
      </c>
    </row>
    <row r="117" spans="1:27">
      <c r="A117" s="1" t="s">
        <v>116</v>
      </c>
      <c r="B117" t="str">
        <f t="shared" si="21"/>
        <v>Combat Archery ●● | Reflex Aiming</v>
      </c>
      <c r="D117" s="19"/>
      <c r="E117" s="15" t="s">
        <v>1463</v>
      </c>
      <c r="F117" s="3"/>
      <c r="G117" s="60"/>
      <c r="H117" s="67" t="str">
        <f>IFERROR(IF(VLOOKUP(F117,tblManoeuvre[#Data],8,FALSE)=0,"None",VLOOKUP(F117,tblManoeuvre[#Data],8,FALSE)),"None")</f>
        <v>None</v>
      </c>
      <c r="I117" s="67"/>
      <c r="L117" s="4"/>
      <c r="M117" s="4"/>
      <c r="N117" s="4"/>
      <c r="O117" s="61">
        <f t="shared" si="17"/>
        <v>0</v>
      </c>
      <c r="P117" s="60">
        <f t="shared" si="18"/>
        <v>0</v>
      </c>
      <c r="Q117" s="61">
        <v>1</v>
      </c>
      <c r="R117" s="61">
        <v>1</v>
      </c>
      <c r="Y117" s="61" t="s">
        <v>1474</v>
      </c>
      <c r="Z117" s="61" t="str">
        <f t="shared" si="19"/>
        <v/>
      </c>
      <c r="AA117" s="60" t="str">
        <f t="shared" si="20"/>
        <v/>
      </c>
    </row>
    <row r="118" spans="1:27">
      <c r="A118" s="1" t="s">
        <v>117</v>
      </c>
      <c r="B118" t="str">
        <f t="shared" si="21"/>
        <v>Combat Archery ●●● | Parthian Shot</v>
      </c>
      <c r="D118" s="19"/>
      <c r="E118" s="15" t="s">
        <v>1464</v>
      </c>
      <c r="F118" s="3"/>
      <c r="G118" s="60"/>
      <c r="H118" s="67" t="str">
        <f>IFERROR(IF(VLOOKUP(F118,tblManoeuvre[#Data],8,FALSE)=0,"None",VLOOKUP(F118,tblManoeuvre[#Data],8,FALSE)),"None")</f>
        <v>None</v>
      </c>
      <c r="I118" s="67"/>
      <c r="L118" s="4"/>
      <c r="M118" s="4"/>
      <c r="N118" s="4"/>
      <c r="O118" s="61">
        <f t="shared" si="17"/>
        <v>0</v>
      </c>
      <c r="P118" s="60">
        <f t="shared" si="18"/>
        <v>0</v>
      </c>
      <c r="Q118" s="61">
        <v>1</v>
      </c>
      <c r="R118" s="61">
        <v>1</v>
      </c>
      <c r="Y118" s="61" t="s">
        <v>1474</v>
      </c>
      <c r="Z118" s="61" t="str">
        <f t="shared" si="19"/>
        <v/>
      </c>
      <c r="AA118" s="60" t="str">
        <f t="shared" si="20"/>
        <v/>
      </c>
    </row>
    <row r="119" spans="1:27">
      <c r="A119" s="1" t="s">
        <v>118</v>
      </c>
      <c r="B119" t="str">
        <f t="shared" si="21"/>
        <v>Combat Archery ●●●● | Rain of Arrows</v>
      </c>
      <c r="D119" s="19"/>
      <c r="E119" s="15" t="s">
        <v>1466</v>
      </c>
      <c r="F119" s="3"/>
      <c r="G119" s="60"/>
      <c r="H119" s="67" t="str">
        <f>IFERROR(IF(VLOOKUP(F119,tblManoeuvre[#Data],8,FALSE)=0,"None",VLOOKUP(F119,tblManoeuvre[#Data],8,FALSE)),"None")</f>
        <v>None</v>
      </c>
      <c r="I119" s="67"/>
      <c r="L119" s="4"/>
      <c r="M119" s="4"/>
      <c r="N119" s="4"/>
      <c r="O119" s="61">
        <f t="shared" si="17"/>
        <v>0</v>
      </c>
      <c r="P119" s="60">
        <f t="shared" si="18"/>
        <v>0</v>
      </c>
      <c r="Q119" s="61">
        <v>1</v>
      </c>
      <c r="R119" s="61">
        <v>1</v>
      </c>
      <c r="Y119" s="61" t="s">
        <v>1474</v>
      </c>
      <c r="Z119" s="61" t="str">
        <f t="shared" si="19"/>
        <v/>
      </c>
      <c r="AA119" s="60" t="str">
        <f t="shared" si="20"/>
        <v/>
      </c>
    </row>
    <row r="120" spans="1:27">
      <c r="A120" s="1" t="s">
        <v>119</v>
      </c>
      <c r="B120" t="str">
        <f t="shared" si="21"/>
        <v>Combat Archery ●●●●● | Trick Shot</v>
      </c>
      <c r="D120" s="19"/>
      <c r="E120" s="15" t="s">
        <v>1468</v>
      </c>
      <c r="F120" s="3"/>
      <c r="G120" s="60"/>
      <c r="H120" s="67" t="str">
        <f>IFERROR(IF(VLOOKUP(F120,tblManoeuvre[#Data],8,FALSE)=0,"None",VLOOKUP(F120,tblManoeuvre[#Data],8,FALSE)),"None")</f>
        <v>None</v>
      </c>
      <c r="I120" s="67"/>
      <c r="L120" s="4"/>
      <c r="M120" s="4"/>
      <c r="N120" s="4"/>
      <c r="O120" s="61">
        <f t="shared" si="17"/>
        <v>0</v>
      </c>
      <c r="P120" s="60">
        <f t="shared" si="18"/>
        <v>0</v>
      </c>
      <c r="Q120" s="61">
        <v>1</v>
      </c>
      <c r="R120" s="61">
        <v>1</v>
      </c>
      <c r="Y120" s="61" t="s">
        <v>1474</v>
      </c>
      <c r="Z120" s="61" t="str">
        <f t="shared" si="19"/>
        <v/>
      </c>
      <c r="AA120" s="60" t="str">
        <f t="shared" si="20"/>
        <v/>
      </c>
    </row>
    <row r="121" spans="1:27">
      <c r="A121" s="1" t="s">
        <v>120</v>
      </c>
      <c r="B121" t="str">
        <f t="shared" si="21"/>
        <v>¬</v>
      </c>
      <c r="Y121" s="61" t="s">
        <v>1474</v>
      </c>
      <c r="Z121" s="61" t="str">
        <f t="shared" si="19"/>
        <v/>
      </c>
      <c r="AA121" s="60" t="str">
        <f t="shared" si="20"/>
        <v/>
      </c>
    </row>
    <row r="122" spans="1:27" ht="15.75" thickBot="1">
      <c r="A122" s="1" t="s">
        <v>121</v>
      </c>
      <c r="B122" t="str">
        <f t="shared" si="21"/>
        <v>¬</v>
      </c>
      <c r="D122" s="14" t="s">
        <v>1475</v>
      </c>
      <c r="E122" s="14"/>
      <c r="F122" s="14"/>
      <c r="G122" s="14"/>
      <c r="H122" s="14"/>
      <c r="I122" s="14"/>
    </row>
    <row r="123" spans="1:27">
      <c r="A123" s="1" t="s">
        <v>122</v>
      </c>
      <c r="B123" t="str">
        <f t="shared" si="21"/>
        <v>¬</v>
      </c>
      <c r="D123" s="16" t="s">
        <v>927</v>
      </c>
      <c r="E123" s="17"/>
      <c r="F123" s="17"/>
      <c r="G123" s="17"/>
      <c r="H123" s="17"/>
      <c r="I123" s="17"/>
      <c r="Y123" s="15" t="s">
        <v>1476</v>
      </c>
      <c r="Z123" s="19"/>
      <c r="AA123" s="61" t="str">
        <f t="shared" ref="AA123:AA132" si="22">_xlfn.LET(_xlpm.name,VLOOKUP(Y123,$E$2:$F$362,2,FALSE),_xlpm.paid,_xlfn.IFNA(VLOOKUP(_xlpm.name,$F$121:$Q$215,11,FALSE)&gt;=VLOOKUP(_xlpm.name,$F$121:$Q$215,12,FALSE),FALSE),IF(AND(_xlpm.name&lt;&gt;"",_xlpm.paid),_xlpm.name,""))</f>
        <v/>
      </c>
    </row>
    <row r="124" spans="1:27">
      <c r="A124" s="1" t="s">
        <v>123</v>
      </c>
      <c r="B124" t="str">
        <f t="shared" si="21"/>
        <v>¬</v>
      </c>
      <c r="D124" s="19"/>
      <c r="E124" s="15" t="s">
        <v>83</v>
      </c>
      <c r="F124" s="19"/>
      <c r="G124" s="19"/>
      <c r="H124" s="19"/>
      <c r="I124" s="19"/>
      <c r="L124" s="4">
        <v>1</v>
      </c>
      <c r="M124" s="61">
        <f>IFERROR(VLOOKUP(G13,tblEffectiveStatus[#Data],2,FALSE),0)</f>
        <v>0</v>
      </c>
      <c r="P124" s="60">
        <f>MIN(L124+M124,R124)</f>
        <v>1</v>
      </c>
      <c r="R124" s="61">
        <v>10</v>
      </c>
      <c r="Y124" s="15" t="s">
        <v>1477</v>
      </c>
      <c r="Z124" s="19"/>
      <c r="AA124" s="61" t="str">
        <f t="shared" si="22"/>
        <v/>
      </c>
    </row>
    <row r="125" spans="1:27">
      <c r="A125" s="1" t="s">
        <v>124</v>
      </c>
      <c r="B125" t="str">
        <f t="shared" si="21"/>
        <v>¬</v>
      </c>
      <c r="D125" s="19"/>
      <c r="E125" s="15" t="str">
        <f>IF(F7="","Clan Status",F7&amp;" Status")</f>
        <v>Ventrue Status</v>
      </c>
      <c r="F125" s="19"/>
      <c r="G125" s="19"/>
      <c r="H125" s="19"/>
      <c r="I125" s="19"/>
      <c r="L125" s="4">
        <v>1</v>
      </c>
      <c r="P125" s="60">
        <f>IF(L125="",0,MIN(L125,R125))</f>
        <v>1</v>
      </c>
      <c r="R125" s="61">
        <v>5</v>
      </c>
      <c r="Y125" s="15" t="s">
        <v>1478</v>
      </c>
      <c r="Z125" s="19"/>
      <c r="AA125" s="61" t="str">
        <f t="shared" si="22"/>
        <v/>
      </c>
    </row>
    <row r="126" spans="1:27">
      <c r="A126" s="1" t="s">
        <v>125</v>
      </c>
      <c r="B126" t="str">
        <f t="shared" si="21"/>
        <v>¬</v>
      </c>
      <c r="D126" s="19"/>
      <c r="E126" s="15" t="str">
        <f>IF(F9="","",F9&amp;" Status")</f>
        <v>Carthian Movement Status</v>
      </c>
      <c r="F126" s="19" t="str">
        <f>IF(F9="","",VLOOKUP(F9,tblCovenantShortName[#Data],2,FALSE))</f>
        <v>Carthian</v>
      </c>
      <c r="G126" s="19"/>
      <c r="H126" s="19"/>
      <c r="I126" s="19"/>
      <c r="L126" s="4">
        <v>1</v>
      </c>
      <c r="P126" s="60">
        <f>L126</f>
        <v>1</v>
      </c>
      <c r="R126" s="61">
        <f>5-SUM(L127:L129)</f>
        <v>5</v>
      </c>
      <c r="Y126" s="15" t="s">
        <v>1479</v>
      </c>
      <c r="Z126" s="19"/>
      <c r="AA126" s="61" t="str">
        <f t="shared" si="22"/>
        <v/>
      </c>
    </row>
    <row r="127" spans="1:27">
      <c r="A127" s="1" t="s">
        <v>126</v>
      </c>
      <c r="B127" t="str">
        <f t="shared" si="21"/>
        <v>¬</v>
      </c>
      <c r="D127" s="19"/>
      <c r="E127" s="15" t="str" cm="1">
        <f t="array" ref="E127">IF(F9="","",IFERROR(INDEX(Lists!$F$2:$F$5,SMALL(IF(Lists!$F$2:$F$5&lt;&gt;$F$9,ROW(Lists!$F$2:$F$5)-ROW(Lists!$F$2)+1),1))&amp;" Status",""))</f>
        <v>Circle of the Crone Status</v>
      </c>
      <c r="F127" s="19" t="str" cm="1">
        <f t="array" ref="F127">IF(F9="","",IFERROR(VLOOKUP(INDEX(Lists!$F$2:$F$5,SMALL(IF(Lists!$F$2:$F$5&lt;&gt;$F$9,ROW(Lists!$F$2:$F$5)-ROW(Lists!$F$2)+1),1)),tblCovenantShortName[],2,FALSE),""))</f>
        <v>Crone</v>
      </c>
      <c r="G127" s="19"/>
      <c r="H127" s="19"/>
      <c r="I127" s="19"/>
      <c r="L127" s="4"/>
      <c r="P127" s="60">
        <f>L127</f>
        <v>0</v>
      </c>
      <c r="R127" s="61">
        <f>MAX(0,MIN(P126-1,5-L126-L128-L129))</f>
        <v>0</v>
      </c>
      <c r="Y127" s="15" t="s">
        <v>1480</v>
      </c>
      <c r="Z127" s="19"/>
      <c r="AA127" s="61" t="str">
        <f t="shared" si="22"/>
        <v/>
      </c>
    </row>
    <row r="128" spans="1:27">
      <c r="A128" s="1" t="s">
        <v>127</v>
      </c>
      <c r="B128" t="str">
        <f t="shared" si="21"/>
        <v>¬</v>
      </c>
      <c r="D128" s="19"/>
      <c r="E128" s="15" t="str" cm="1">
        <f t="array" ref="E128">IF(F9="","",IFERROR(INDEX(Lists!$F$2:$F$5,SMALL(IF(Lists!$F$2:$F$5&lt;&gt;$F$9,ROW(Lists!$F$2:$F$5)-ROW(Lists!$F$2)+1),2))&amp;" Status",""))</f>
        <v>Invictus Status</v>
      </c>
      <c r="F128" s="19" t="str" cm="1">
        <f t="array" ref="F128">IF(F9="","",IFERROR(VLOOKUP(INDEX(Lists!$F$2:$F$5,SMALL(IF(Lists!$F$2:$F$5&lt;&gt;$F$9,ROW(Lists!$F$2:$F$5)-ROW(Lists!$F$2)+1),2)),tblCovenantShortName[],2,FALSE),""))</f>
        <v>Invictus</v>
      </c>
      <c r="G128" s="19"/>
      <c r="H128" s="19"/>
      <c r="I128" s="19"/>
      <c r="L128" s="4"/>
      <c r="P128" s="60">
        <f>L128</f>
        <v>0</v>
      </c>
      <c r="R128" s="61">
        <f>MAX(0,MIN(P126-1,5-L126-L127-L129))</f>
        <v>0</v>
      </c>
      <c r="Y128" s="15" t="s">
        <v>1481</v>
      </c>
      <c r="Z128" s="19"/>
      <c r="AA128" s="61" t="str">
        <f t="shared" si="22"/>
        <v/>
      </c>
    </row>
    <row r="129" spans="1:32">
      <c r="A129" s="1" t="s">
        <v>128</v>
      </c>
      <c r="B129" t="str">
        <f t="shared" si="21"/>
        <v>¬</v>
      </c>
      <c r="D129" s="19"/>
      <c r="E129" s="15" t="str" cm="1">
        <f t="array" ref="E129">IF(F9="","",IFERROR(INDEX(Lists!$F$2:$F$5,SMALL(IF(Lists!$F$2:$F$5&lt;&gt;$F$9,ROW(Lists!$F$2:$F$5)-ROW(Lists!$F$2)+1),3))&amp;" Status",""))</f>
        <v>Lancea et Sanctum Status</v>
      </c>
      <c r="F129" s="19" t="str" cm="1">
        <f t="array" ref="F129">IF(F9="","",IFERROR(VLOOKUP(INDEX(Lists!$F$2:$F$5,SMALL(IF(Lists!$F$2:$F$5&lt;&gt;$F$9,ROW(Lists!$F$2:$F$5)-ROW(Lists!$F$2)+1),3)),tblCovenantShortName[],2,FALSE),""))</f>
        <v>Lance</v>
      </c>
      <c r="G129" s="19"/>
      <c r="H129" s="19"/>
      <c r="I129" s="19"/>
      <c r="L129" s="4"/>
      <c r="P129" s="60">
        <f>L129</f>
        <v>0</v>
      </c>
      <c r="R129" s="61">
        <f>MAX(0,MIN(P126-1,5-L126-L127-L128))</f>
        <v>0</v>
      </c>
      <c r="Y129" s="15" t="s">
        <v>1482</v>
      </c>
      <c r="Z129" s="19"/>
      <c r="AA129" s="61" t="str">
        <f t="shared" si="22"/>
        <v/>
      </c>
    </row>
    <row r="130" spans="1:32">
      <c r="A130" s="1" t="s">
        <v>129</v>
      </c>
      <c r="B130" t="str">
        <f t="shared" si="21"/>
        <v>¬</v>
      </c>
      <c r="Y130" s="15" t="s">
        <v>1483</v>
      </c>
      <c r="Z130" s="19"/>
      <c r="AA130" s="61" t="str">
        <f t="shared" si="22"/>
        <v/>
      </c>
    </row>
    <row r="131" spans="1:32">
      <c r="A131" s="1" t="s">
        <v>130</v>
      </c>
      <c r="B131" t="str">
        <f t="shared" si="21"/>
        <v>¬</v>
      </c>
      <c r="D131" s="16" t="s">
        <v>1475</v>
      </c>
      <c r="E131" s="17"/>
      <c r="F131" s="16" t="s">
        <v>1446</v>
      </c>
      <c r="G131" s="17"/>
      <c r="H131" s="17"/>
      <c r="I131" s="17"/>
      <c r="Y131" s="15" t="s">
        <v>1484</v>
      </c>
      <c r="Z131" s="19"/>
      <c r="AA131" s="61" t="str">
        <f t="shared" si="22"/>
        <v/>
      </c>
    </row>
    <row r="132" spans="1:32">
      <c r="A132" s="1" t="s">
        <v>131</v>
      </c>
      <c r="B132" t="str">
        <f t="shared" si="21"/>
        <v>¬</v>
      </c>
      <c r="D132" s="19"/>
      <c r="E132" s="15" t="s">
        <v>94</v>
      </c>
      <c r="F132" s="3" t="str">
        <f>IFERROR(VLOOKUP(E132,tblManoeuvre[#Data],2,FALSE)&amp;" "&amp;VLOOKUP(E132,tblManoeuvre[#Data],3,FALSE),"")</f>
        <v/>
      </c>
      <c r="G132" s="19"/>
      <c r="H132" s="19"/>
      <c r="I132" s="19"/>
      <c r="L132" s="4">
        <v>1</v>
      </c>
      <c r="M132" s="4"/>
      <c r="N132" s="4"/>
      <c r="O132" s="61">
        <f>N132</f>
        <v>0</v>
      </c>
      <c r="P132" s="60">
        <f>MIN(SUM(L132,M132,O132),R132)</f>
        <v>1</v>
      </c>
      <c r="Q132" s="61">
        <f>_xlfn.IFNA(VLOOKUP($E132,tblDomain[],3,FALSE),"")</f>
        <v>1</v>
      </c>
      <c r="R132" s="61">
        <f>_xlfn.IFNA(VLOOKUP($E132,tblDomain[],4,FALSE),"")</f>
        <v>5</v>
      </c>
      <c r="Y132" s="15" t="s">
        <v>1485</v>
      </c>
      <c r="Z132" s="19"/>
      <c r="AA132" s="61" t="str">
        <f t="shared" si="22"/>
        <v/>
      </c>
    </row>
    <row r="133" spans="1:32">
      <c r="A133" s="1" t="s">
        <v>132</v>
      </c>
      <c r="B133" t="str">
        <f t="shared" si="21"/>
        <v>¬</v>
      </c>
      <c r="D133" s="19"/>
      <c r="E133" s="15" t="s">
        <v>95</v>
      </c>
      <c r="F133" s="3" t="str">
        <f>IFERROR(VLOOKUP(E133,tblManoeuvre[#Data],2,FALSE)&amp;" "&amp;VLOOKUP(E133,tblManoeuvre[#Data],3,FALSE),"")</f>
        <v/>
      </c>
      <c r="G133" s="19"/>
      <c r="H133" s="19"/>
      <c r="I133" s="19"/>
      <c r="L133" s="4"/>
      <c r="M133" s="4"/>
      <c r="N133" s="4"/>
      <c r="O133" s="61">
        <f>N133</f>
        <v>0</v>
      </c>
      <c r="P133" s="60">
        <f>MIN(SUM(L133,M133,O133),R133)</f>
        <v>0</v>
      </c>
      <c r="Q133" s="61">
        <f>_xlfn.IFNA(VLOOKUP($E133,tblDomain[],3,FALSE),"")</f>
        <v>1</v>
      </c>
      <c r="R133" s="61">
        <f>_xlfn.IFNA(VLOOKUP($E133,tblDomain[],4,FALSE),"")</f>
        <v>5</v>
      </c>
    </row>
    <row r="134" spans="1:32">
      <c r="A134" s="1" t="s">
        <v>133</v>
      </c>
      <c r="B134" t="str">
        <f t="shared" si="21"/>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3">_xlfn.LET(_xlpm.name,VLOOKUP(Y134,$E$2:$F$362,2,FALSE),_xlpm.note,VLOOKUP(Y134,$E$2:$G$362,3,FALSE),_xlpm.row,MATCH(Y134,$E$138:$E$157,0),_xlpm.dots,INDEX($P$138:$P$157,_xlpm.row),_xlpm.max,INDEX($Q$138:$Q$157,_xlpm.row),_xlpm.paid,_xlfn.IFNA(_xlpm.dots&gt;=_xlpm.max,FALSE),IF(AND(_xlpm.name&lt;&gt;"",_xlpm.paid),IF(_xlpm.note="",_xlpm.name,_xlpm.name&amp;" ("&amp;_xlpm.note&amp;")"),""))</f>
        <v/>
      </c>
      <c r="AC134" s="60" t="str" cm="1">
        <f t="array" ref="AC134">_xlfn.LET(_xlpm.raw,IFERROR(_xlfn.VSTACK(IFERROR(_xlfn._xlws.SORT(_xlfn._xlws.FILTER(AA134:AA211,AA134:AA211&lt;&gt;"")),""),IFERROR(_xlfn._xlws.SORT(_xlfn._xlws.FILTER(AA213:AA222,AA213:AA222&lt;&gt;"")),"")),""),_xlpm.sorted,IFERROR(_xlfn._xlws.FILTER(_xlpm.raw,_xlpm.raw&lt;&gt;""),""),IFERROR(LEFT(_xlpm.sorted,FIND(" (",_xlpm.sorted)-1),_xlpm.sorted))</f>
        <v/>
      </c>
      <c r="AD134" s="20" t="str" cm="1">
        <f t="array" ref="AD134">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
      </c>
      <c r="AE134" s="20" t="str">
        <f t="shared" ref="AE134:AE153" si="24">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
      </c>
      <c r="AF134" s="61" t="str" cm="1">
        <f t="array" ref="AF134">IF(AC134="","",SUMPRODUCT(($F$138:$F$157=AC134)*($G$138:$G$157=IF(AD134="","",AD134))*$P$138:$P$157))</f>
        <v/>
      </c>
    </row>
    <row r="135" spans="1:32">
      <c r="A135" s="1" t="s">
        <v>134</v>
      </c>
      <c r="B135" t="str">
        <f t="shared" si="21"/>
        <v>¬</v>
      </c>
      <c r="D135" s="19"/>
      <c r="E135" s="15" t="s">
        <v>97</v>
      </c>
      <c r="F135" s="19"/>
      <c r="G135" s="19"/>
      <c r="H135" s="19"/>
      <c r="I135" s="19"/>
      <c r="L135" s="4"/>
      <c r="M135" s="4"/>
      <c r="N135" s="4">
        <v>1</v>
      </c>
      <c r="O135" s="61">
        <f>N135</f>
        <v>1</v>
      </c>
      <c r="P135" s="60">
        <f>MIN(SUM(L135,M135,O135),R135)</f>
        <v>1</v>
      </c>
      <c r="Q135" s="61">
        <f>_xlfn.IFNA(VLOOKUP($E135,tblDomain[],3,FALSE),"")</f>
        <v>1</v>
      </c>
      <c r="R135" s="61">
        <f>_xlfn.IFNA(VLOOKUP($E135,tblDomain[],4,FALSE),"")</f>
        <v>5</v>
      </c>
      <c r="Y135" s="15" t="s">
        <v>177</v>
      </c>
      <c r="Z135" s="19"/>
      <c r="AA135" s="61" t="str">
        <f t="shared" si="23"/>
        <v/>
      </c>
      <c r="AC135" s="60"/>
      <c r="AD135" s="20"/>
      <c r="AE135" s="20" t="str">
        <f t="shared" si="24"/>
        <v/>
      </c>
      <c r="AF135" s="61" t="str" cm="1">
        <f t="array" ref="AF135">IF(AC135="","",SUMPRODUCT(($F$138:$F$157=AC135)*($G$138:$G$157=IF(AD135="","",AD135))*$P$138:$P$157))</f>
        <v/>
      </c>
    </row>
    <row r="136" spans="1:32">
      <c r="A136" s="1" t="s">
        <v>135</v>
      </c>
      <c r="B136" t="str">
        <f t="shared" si="21"/>
        <v>¬</v>
      </c>
      <c r="Y136" s="15" t="s">
        <v>178</v>
      </c>
      <c r="Z136" s="19"/>
      <c r="AA136" s="61" t="str">
        <f t="shared" si="23"/>
        <v/>
      </c>
      <c r="AC136" s="60"/>
      <c r="AD136" s="20"/>
      <c r="AE136" s="20" t="str">
        <f t="shared" si="24"/>
        <v/>
      </c>
      <c r="AF136" s="61" t="str" cm="1">
        <f t="array" ref="AF136">IF(AC136="","",SUMPRODUCT(($F$138:$F$157=AC136)*($G$138:$G$157=IF(AD136="","",AD136))*$P$138:$P$157))</f>
        <v/>
      </c>
    </row>
    <row r="137" spans="1:32">
      <c r="A137" s="1" t="s">
        <v>136</v>
      </c>
      <c r="B137" t="str">
        <f t="shared" si="21"/>
        <v>¬</v>
      </c>
      <c r="D137" s="16" t="s">
        <v>174</v>
      </c>
      <c r="E137" s="17"/>
      <c r="F137" s="17"/>
      <c r="G137" s="17"/>
      <c r="H137" s="61">
        <f>L225</f>
        <v>2</v>
      </c>
      <c r="I137" s="61">
        <f>SUM(AE134:AE155)+SUM(P125:P129)</f>
        <v>2</v>
      </c>
      <c r="Y137" s="15" t="s">
        <v>179</v>
      </c>
      <c r="Z137" s="19"/>
      <c r="AA137" s="61" t="str">
        <f t="shared" si="23"/>
        <v/>
      </c>
      <c r="AC137" s="60"/>
      <c r="AD137" s="20"/>
      <c r="AE137" s="20" t="str">
        <f t="shared" si="24"/>
        <v/>
      </c>
      <c r="AF137" s="61" t="str" cm="1">
        <f t="array" ref="AF137">IF(AC137="","",SUMPRODUCT(($F$138:$F$157=AC137)*($G$138:$G$157=IF(AD137="","",AD137))*$P$138:$P$157))</f>
        <v/>
      </c>
    </row>
    <row r="138" spans="1:32">
      <c r="A138" s="1" t="s">
        <v>137</v>
      </c>
      <c r="B138" t="str">
        <f t="shared" si="21"/>
        <v>¬</v>
      </c>
      <c r="D138" s="19"/>
      <c r="E138" s="15" t="s">
        <v>176</v>
      </c>
      <c r="F138" s="3"/>
      <c r="G138" s="3"/>
      <c r="H138" s="67" t="str">
        <f>IFERROR(IF(VLOOKUP(F138,tblManoeuvre[#Data],8,FALSE)=0,"None",VLOOKUP(F138,tblManoeuvre[#Data],8,FALSE)),"None")</f>
        <v>None</v>
      </c>
      <c r="I138" s="67"/>
      <c r="L138" s="4"/>
      <c r="M138" s="4"/>
      <c r="N138" s="4"/>
      <c r="O138" s="61">
        <f t="shared" ref="O138:O157" si="25">N138</f>
        <v>0</v>
      </c>
      <c r="P138" s="60">
        <f t="shared" ref="P138:P157" si="26">MIN(SUM(L138,M138,O138),R138)</f>
        <v>0</v>
      </c>
      <c r="Q138" s="61" t="str">
        <f>_xlfn.IFNA(VLOOKUP($F138,tblInfluence[],3,FALSE),"")</f>
        <v/>
      </c>
      <c r="R138" s="61" t="str">
        <f>_xlfn.IFNA(VLOOKUP($F138,tblInfluence[],4,FALSE),"")</f>
        <v/>
      </c>
      <c r="Y138" s="15" t="s">
        <v>180</v>
      </c>
      <c r="Z138" s="19"/>
      <c r="AA138" s="61" t="str">
        <f t="shared" si="23"/>
        <v/>
      </c>
      <c r="AC138" s="60"/>
      <c r="AD138" s="20"/>
      <c r="AE138" s="20" t="str">
        <f t="shared" si="24"/>
        <v/>
      </c>
      <c r="AF138" s="61" t="str" cm="1">
        <f t="array" ref="AF138">IF(AC138="","",SUMPRODUCT(($F$138:$F$157=AC138)*($G$138:$G$157=IF(AD138="","",AD138))*$P$138:$P$157))</f>
        <v/>
      </c>
    </row>
    <row r="139" spans="1:32">
      <c r="A139" s="1" t="s">
        <v>138</v>
      </c>
      <c r="B139" t="str">
        <f t="shared" si="21"/>
        <v>¬</v>
      </c>
      <c r="D139" s="19"/>
      <c r="E139" s="15" t="s">
        <v>177</v>
      </c>
      <c r="F139" s="3"/>
      <c r="G139" s="3"/>
      <c r="H139" s="67" t="str">
        <f>IFERROR(IF(VLOOKUP(F139,tblManoeuvre[#Data],8,FALSE)=0,"None",VLOOKUP(F139,tblManoeuvre[#Data],8,FALSE)),"None")</f>
        <v>None</v>
      </c>
      <c r="I139" s="67"/>
      <c r="L139" s="4"/>
      <c r="M139" s="4"/>
      <c r="N139" s="4"/>
      <c r="O139" s="61">
        <f t="shared" si="25"/>
        <v>0</v>
      </c>
      <c r="P139" s="60">
        <f t="shared" si="26"/>
        <v>0</v>
      </c>
      <c r="Q139" s="61" t="str">
        <f>_xlfn.IFNA(VLOOKUP($F139,tblInfluence[],3,FALSE),"")</f>
        <v/>
      </c>
      <c r="R139" s="61" t="str">
        <f>_xlfn.IFNA(VLOOKUP($F139,tblInfluence[],4,FALSE),"")</f>
        <v/>
      </c>
      <c r="Y139" s="15" t="s">
        <v>181</v>
      </c>
      <c r="Z139" s="19"/>
      <c r="AA139" s="61" t="str">
        <f t="shared" si="23"/>
        <v/>
      </c>
      <c r="AC139" s="60"/>
      <c r="AD139" s="20"/>
      <c r="AE139" s="20" t="str">
        <f t="shared" si="24"/>
        <v/>
      </c>
      <c r="AF139" s="61" t="str" cm="1">
        <f t="array" ref="AF139">IF(AC139="","",SUMPRODUCT(($F$138:$F$157=AC139)*($G$138:$G$157=IF(AD139="","",AD139))*$P$138:$P$157))</f>
        <v/>
      </c>
    </row>
    <row r="140" spans="1:32">
      <c r="A140" s="1" t="s">
        <v>139</v>
      </c>
      <c r="B140" t="str">
        <f t="shared" si="21"/>
        <v>¬</v>
      </c>
      <c r="D140" s="19"/>
      <c r="E140" s="15" t="s">
        <v>178</v>
      </c>
      <c r="F140" s="3"/>
      <c r="G140" s="3"/>
      <c r="H140" s="67" t="str">
        <f>IFERROR(IF(VLOOKUP(F140,tblManoeuvre[#Data],8,FALSE)=0,"None",VLOOKUP(F140,tblManoeuvre[#Data],8,FALSE)),"None")</f>
        <v>None</v>
      </c>
      <c r="I140" s="67"/>
      <c r="L140" s="4"/>
      <c r="M140" s="4"/>
      <c r="N140" s="4"/>
      <c r="O140" s="61">
        <f t="shared" si="25"/>
        <v>0</v>
      </c>
      <c r="P140" s="60">
        <f t="shared" si="26"/>
        <v>0</v>
      </c>
      <c r="Q140" s="61" t="str">
        <f>_xlfn.IFNA(VLOOKUP($F140,tblInfluence[],3,FALSE),"")</f>
        <v/>
      </c>
      <c r="R140" s="61" t="str">
        <f>_xlfn.IFNA(VLOOKUP($F140,tblInfluence[],4,FALSE),"")</f>
        <v/>
      </c>
      <c r="Y140" s="15" t="s">
        <v>182</v>
      </c>
      <c r="Z140" s="19"/>
      <c r="AA140" s="61" t="str">
        <f t="shared" si="23"/>
        <v/>
      </c>
      <c r="AC140" s="60"/>
      <c r="AD140" s="20"/>
      <c r="AE140" s="20" t="str">
        <f t="shared" si="24"/>
        <v/>
      </c>
      <c r="AF140" s="61" t="str" cm="1">
        <f t="array" ref="AF140">IF(AC140="","",SUMPRODUCT(($F$138:$F$157=AC140)*($G$138:$G$157=IF(AD140="","",AD140))*$P$138:$P$157))</f>
        <v/>
      </c>
    </row>
    <row r="141" spans="1:32">
      <c r="A141" s="1" t="s">
        <v>140</v>
      </c>
      <c r="B141" t="str">
        <f t="shared" si="21"/>
        <v>¬</v>
      </c>
      <c r="D141" s="19"/>
      <c r="E141" s="15" t="s">
        <v>179</v>
      </c>
      <c r="F141" s="3"/>
      <c r="G141" s="3"/>
      <c r="H141" s="67" t="str">
        <f>IFERROR(IF(VLOOKUP(F141,tblManoeuvre[#Data],8,FALSE)=0,"None",VLOOKUP(F141,tblManoeuvre[#Data],8,FALSE)),"None")</f>
        <v>None</v>
      </c>
      <c r="I141" s="67"/>
      <c r="L141" s="4"/>
      <c r="M141" s="4"/>
      <c r="N141" s="4"/>
      <c r="O141" s="61">
        <f t="shared" si="25"/>
        <v>0</v>
      </c>
      <c r="P141" s="60">
        <f t="shared" si="26"/>
        <v>0</v>
      </c>
      <c r="Q141" s="61" t="str">
        <f>_xlfn.IFNA(VLOOKUP($F141,tblInfluence[],3,FALSE),"")</f>
        <v/>
      </c>
      <c r="R141" s="61" t="str">
        <f>_xlfn.IFNA(VLOOKUP($F141,tblInfluence[],4,FALSE),"")</f>
        <v/>
      </c>
      <c r="Y141" s="15" t="s">
        <v>183</v>
      </c>
      <c r="Z141" s="19"/>
      <c r="AA141" s="61" t="str">
        <f t="shared" si="23"/>
        <v/>
      </c>
      <c r="AC141" s="60"/>
      <c r="AD141" s="20"/>
      <c r="AE141" s="20" t="str">
        <f t="shared" si="24"/>
        <v/>
      </c>
      <c r="AF141" s="61" t="str" cm="1">
        <f t="array" ref="AF141">IF(AC141="","",SUMPRODUCT(($F$138:$F$157=AC141)*($G$138:$G$157=IF(AD141="","",AD141))*$P$138:$P$157))</f>
        <v/>
      </c>
    </row>
    <row r="142" spans="1:32">
      <c r="A142" s="1" t="s">
        <v>141</v>
      </c>
      <c r="B142" t="str">
        <f t="shared" si="21"/>
        <v>¬</v>
      </c>
      <c r="D142" s="19"/>
      <c r="E142" s="15" t="s">
        <v>180</v>
      </c>
      <c r="F142" s="3"/>
      <c r="G142" s="3"/>
      <c r="H142" s="67" t="str">
        <f>IFERROR(IF(VLOOKUP(F142,tblManoeuvre[#Data],8,FALSE)=0,"None",VLOOKUP(F142,tblManoeuvre[#Data],8,FALSE)),"None")</f>
        <v>None</v>
      </c>
      <c r="I142" s="67"/>
      <c r="L142" s="4"/>
      <c r="M142" s="4"/>
      <c r="N142" s="4"/>
      <c r="O142" s="61">
        <f t="shared" si="25"/>
        <v>0</v>
      </c>
      <c r="P142" s="60">
        <f t="shared" si="26"/>
        <v>0</v>
      </c>
      <c r="Q142" s="61" t="str">
        <f>_xlfn.IFNA(VLOOKUP($F142,tblInfluence[],3,FALSE),"")</f>
        <v/>
      </c>
      <c r="R142" s="61" t="str">
        <f>_xlfn.IFNA(VLOOKUP($F142,tblInfluence[],4,FALSE),"")</f>
        <v/>
      </c>
      <c r="Y142" s="15" t="s">
        <v>184</v>
      </c>
      <c r="Z142" s="19"/>
      <c r="AA142" s="61" t="str">
        <f t="shared" si="23"/>
        <v/>
      </c>
      <c r="AC142" s="60"/>
      <c r="AD142" s="20"/>
      <c r="AE142" s="20" t="str">
        <f t="shared" si="24"/>
        <v/>
      </c>
      <c r="AF142" s="61" t="str" cm="1">
        <f t="array" ref="AF142">IF(AC142="","",SUMPRODUCT(($F$138:$F$157=AC142)*($G$138:$G$157=IF(AD142="","",AD142))*$P$138:$P$157))</f>
        <v/>
      </c>
    </row>
    <row r="143" spans="1:32">
      <c r="A143" s="1" t="s">
        <v>142</v>
      </c>
      <c r="B143" t="str">
        <f t="shared" si="21"/>
        <v>¬</v>
      </c>
      <c r="D143" s="19"/>
      <c r="E143" s="15" t="s">
        <v>181</v>
      </c>
      <c r="F143" s="3"/>
      <c r="G143" s="3" t="str">
        <f>IFERROR(VLOOKUP(F143,tblManoeuvre[#Data],2,FALSE)&amp;" "&amp;VLOOKUP(F143,tblManoeuvre[#Data],3,FALSE),"")</f>
        <v/>
      </c>
      <c r="H143" s="67" t="str">
        <f>IFERROR(IF(VLOOKUP(F143,tblManoeuvre[#Data],8,FALSE)=0,"None",VLOOKUP(F143,tblManoeuvre[#Data],8,FALSE)),"None")</f>
        <v>None</v>
      </c>
      <c r="I143" s="67"/>
      <c r="L143" s="4"/>
      <c r="M143" s="4"/>
      <c r="N143" s="4"/>
      <c r="O143" s="61">
        <f t="shared" si="25"/>
        <v>0</v>
      </c>
      <c r="P143" s="60">
        <f t="shared" si="26"/>
        <v>0</v>
      </c>
      <c r="Q143" s="61" t="str">
        <f>_xlfn.IFNA(VLOOKUP($F143,tblInfluence[],3,FALSE),"")</f>
        <v/>
      </c>
      <c r="R143" s="61" t="str">
        <f>_xlfn.IFNA(VLOOKUP($F143,tblInfluence[],4,FALSE),"")</f>
        <v/>
      </c>
      <c r="Y143" s="15" t="s">
        <v>185</v>
      </c>
      <c r="Z143" s="19"/>
      <c r="AA143" s="61" t="str">
        <f t="shared" si="23"/>
        <v/>
      </c>
      <c r="AC143" s="60"/>
      <c r="AD143" s="20"/>
      <c r="AE143" s="20" t="str">
        <f t="shared" si="24"/>
        <v/>
      </c>
      <c r="AF143" s="61" t="str" cm="1">
        <f t="array" ref="AF143">IF(AC143="","",SUMPRODUCT(($F$138:$F$157=AC143)*($G$138:$G$157=IF(AD143="","",AD143))*$P$138:$P$157))</f>
        <v/>
      </c>
    </row>
    <row r="144" spans="1:32">
      <c r="A144" s="1" t="s">
        <v>143</v>
      </c>
      <c r="B144" t="str">
        <f t="shared" si="21"/>
        <v>¬</v>
      </c>
      <c r="D144" s="19"/>
      <c r="E144" s="15" t="s">
        <v>182</v>
      </c>
      <c r="F144" s="3"/>
      <c r="G144" s="3" t="str">
        <f>IFERROR(VLOOKUP(F144,tblManoeuvre[#Data],2,FALSE)&amp;" "&amp;VLOOKUP(F144,tblManoeuvre[#Data],3,FALSE),"")</f>
        <v/>
      </c>
      <c r="H144" s="67" t="str">
        <f>IFERROR(IF(VLOOKUP(F144,tblManoeuvre[#Data],8,FALSE)=0,"None",VLOOKUP(F144,tblManoeuvre[#Data],8,FALSE)),"None")</f>
        <v>None</v>
      </c>
      <c r="I144" s="67"/>
      <c r="L144" s="4"/>
      <c r="M144" s="4"/>
      <c r="N144" s="4"/>
      <c r="O144" s="61">
        <f t="shared" si="25"/>
        <v>0</v>
      </c>
      <c r="P144" s="60">
        <f t="shared" si="26"/>
        <v>0</v>
      </c>
      <c r="Q144" s="61" t="str">
        <f>_xlfn.IFNA(VLOOKUP($F144,tblInfluence[],3,FALSE),"")</f>
        <v/>
      </c>
      <c r="R144" s="61" t="str">
        <f>_xlfn.IFNA(VLOOKUP($F144,tblInfluence[],4,FALSE),"")</f>
        <v/>
      </c>
      <c r="Y144" s="15" t="s">
        <v>186</v>
      </c>
      <c r="Z144" s="19"/>
      <c r="AA144" s="61" t="str">
        <f t="shared" si="23"/>
        <v/>
      </c>
      <c r="AC144" s="60"/>
      <c r="AD144" s="20"/>
      <c r="AE144" s="20" t="str">
        <f t="shared" si="24"/>
        <v/>
      </c>
      <c r="AF144" s="61" t="str" cm="1">
        <f t="array" ref="AF144">IF(AC144="","",SUMPRODUCT(($F$138:$F$157=AC144)*($G$138:$G$157=IF(AD144="","",AD144))*$P$138:$P$157))</f>
        <v/>
      </c>
    </row>
    <row r="145" spans="1:32">
      <c r="A145" s="1" t="s">
        <v>144</v>
      </c>
      <c r="B145" t="str">
        <f t="shared" ref="B145:B174" si="27">IF(AF2="","¬",AF2)</f>
        <v>Draw a weapon from a chosen Specialty reflexively while Defence is available. Initiative bonuses only apply if using the weapon.</v>
      </c>
      <c r="D145" s="19"/>
      <c r="E145" s="15" t="s">
        <v>183</v>
      </c>
      <c r="F145" s="3"/>
      <c r="G145" s="3" t="str">
        <f>IFERROR(VLOOKUP(F145,tblManoeuvre[#Data],2,FALSE)&amp;" "&amp;VLOOKUP(F145,tblManoeuvre[#Data],3,FALSE),"")</f>
        <v/>
      </c>
      <c r="H145" s="67" t="str">
        <f>IFERROR(IF(VLOOKUP(F145,tblManoeuvre[#Data],8,FALSE)=0,"None",VLOOKUP(F145,tblManoeuvre[#Data],8,FALSE)),"None")</f>
        <v>None</v>
      </c>
      <c r="I145" s="67"/>
      <c r="L145" s="4"/>
      <c r="M145" s="4"/>
      <c r="N145" s="4"/>
      <c r="O145" s="61">
        <f t="shared" si="25"/>
        <v>0</v>
      </c>
      <c r="P145" s="60">
        <f t="shared" si="26"/>
        <v>0</v>
      </c>
      <c r="Q145" s="61" t="str">
        <f>_xlfn.IFNA(VLOOKUP($F145,tblInfluence[],3,FALSE),"")</f>
        <v/>
      </c>
      <c r="R145" s="61" t="str">
        <f>_xlfn.IFNA(VLOOKUP($F145,tblInfluence[],4,FALSE),"")</f>
        <v/>
      </c>
      <c r="Y145" s="15" t="s">
        <v>187</v>
      </c>
      <c r="Z145" s="19"/>
      <c r="AA145" s="61" t="str">
        <f t="shared" si="23"/>
        <v/>
      </c>
      <c r="AC145" s="60"/>
      <c r="AD145" s="20"/>
      <c r="AE145" s="20" t="str">
        <f t="shared" si="24"/>
        <v/>
      </c>
      <c r="AF145" s="61" t="str" cm="1">
        <f t="array" ref="AF145">IF(AC145="","",SUMPRODUCT(($F$138:$F$157=AC145)*($G$138:$G$157=IF(AD145="","",AD145))*$P$138:$P$157))</f>
        <v/>
      </c>
    </row>
    <row r="146" spans="1:32">
      <c r="A146" s="1" t="s">
        <v>145</v>
      </c>
      <c r="B146" t="str">
        <f t="shared" si="27"/>
        <v>Ignore bow Initiative penalties. String arrows reflexively.</v>
      </c>
      <c r="D146" s="19"/>
      <c r="E146" s="15" t="s">
        <v>184</v>
      </c>
      <c r="F146" s="3"/>
      <c r="G146" s="3" t="str">
        <f>IFERROR(VLOOKUP(F146,tblManoeuvre[#Data],2,FALSE)&amp;" "&amp;VLOOKUP(F146,tblManoeuvre[#Data],3,FALSE),"")</f>
        <v/>
      </c>
      <c r="H146" s="67" t="str">
        <f>IFERROR(IF(VLOOKUP(F146,tblManoeuvre[#Data],8,FALSE)=0,"None",VLOOKUP(F146,tblManoeuvre[#Data],8,FALSE)),"None")</f>
        <v>None</v>
      </c>
      <c r="I146" s="67"/>
      <c r="L146" s="4"/>
      <c r="M146" s="4"/>
      <c r="N146" s="4"/>
      <c r="O146" s="61">
        <f t="shared" si="25"/>
        <v>0</v>
      </c>
      <c r="P146" s="60">
        <f t="shared" si="26"/>
        <v>0</v>
      </c>
      <c r="Q146" s="61" t="str">
        <f>_xlfn.IFNA(VLOOKUP($F146,tblInfluence[],3,FALSE),"")</f>
        <v/>
      </c>
      <c r="R146" s="61" t="str">
        <f>_xlfn.IFNA(VLOOKUP($F146,tblInfluence[],4,FALSE),"")</f>
        <v/>
      </c>
      <c r="Y146" s="15" t="s">
        <v>188</v>
      </c>
      <c r="Z146" s="19"/>
      <c r="AA146" s="61" t="str">
        <f t="shared" si="23"/>
        <v/>
      </c>
      <c r="AC146" s="60"/>
      <c r="AD146" s="20"/>
      <c r="AE146" s="20" t="str">
        <f t="shared" si="24"/>
        <v/>
      </c>
      <c r="AF146" s="61" t="str" cm="1">
        <f t="array" ref="AF146">IF(AC146="","",SUMPRODUCT(($F$138:$F$157=AC146)*($G$138:$G$157=IF(AD146="","",AD146))*$P$138:$P$157))</f>
        <v/>
      </c>
    </row>
    <row r="147" spans="1:32">
      <c r="A147" s="1" t="s">
        <v>146</v>
      </c>
      <c r="B147" t="str">
        <f t="shared" si="27"/>
        <v>Ignore penalties for firing into close combat.</v>
      </c>
      <c r="D147" s="19"/>
      <c r="E147" s="15" t="s">
        <v>185</v>
      </c>
      <c r="F147" s="3"/>
      <c r="G147" s="3" t="str">
        <f>IFERROR(VLOOKUP(F147,tblManoeuvre[#Data],2,FALSE)&amp;" "&amp;VLOOKUP(F147,tblManoeuvre[#Data],3,FALSE),"")</f>
        <v/>
      </c>
      <c r="H147" s="67" t="str">
        <f>IFERROR(IF(VLOOKUP(F147,tblManoeuvre[#Data],8,FALSE)=0,"None",VLOOKUP(F147,tblManoeuvre[#Data],8,FALSE)),"None")</f>
        <v>None</v>
      </c>
      <c r="I147" s="67"/>
      <c r="L147" s="4"/>
      <c r="M147" s="4"/>
      <c r="N147" s="4"/>
      <c r="O147" s="61">
        <f t="shared" si="25"/>
        <v>0</v>
      </c>
      <c r="P147" s="60">
        <f t="shared" si="26"/>
        <v>0</v>
      </c>
      <c r="Q147" s="61" t="str">
        <f>_xlfn.IFNA(VLOOKUP($F147,tblInfluence[],3,FALSE),"")</f>
        <v/>
      </c>
      <c r="R147" s="61" t="str">
        <f>_xlfn.IFNA(VLOOKUP($F147,tblInfluence[],4,FALSE),"")</f>
        <v/>
      </c>
      <c r="Y147" s="15" t="s">
        <v>189</v>
      </c>
      <c r="Z147" s="19"/>
      <c r="AA147" s="61" t="str">
        <f t="shared" si="23"/>
        <v/>
      </c>
      <c r="AC147" s="60"/>
      <c r="AD147" s="20"/>
      <c r="AE147" s="20" t="str">
        <f t="shared" si="24"/>
        <v/>
      </c>
      <c r="AF147" s="61" t="str" cm="1">
        <f t="array" ref="AF147">IF(AC147="","",SUMPRODUCT(($F$138:$F$157=AC147)*($G$138:$G$157=IF(AD147="","",AD147))*$P$138:$P$157))</f>
        <v/>
      </c>
    </row>
    <row r="148" spans="1:32">
      <c r="A148" s="1" t="s">
        <v>147</v>
      </c>
      <c r="B148" t="str">
        <f t="shared" si="27"/>
        <v>When you Dodge, inflict threshold successes as attack damage against the first close attack you beat each turn.</v>
      </c>
      <c r="D148" s="19"/>
      <c r="E148" s="15" t="s">
        <v>186</v>
      </c>
      <c r="F148" s="3"/>
      <c r="G148" s="3" t="str">
        <f>IFERROR(VLOOKUP(F148,tblManoeuvre[#Data],2,FALSE)&amp;" "&amp;VLOOKUP(F148,tblManoeuvre[#Data],3,FALSE),"")</f>
        <v/>
      </c>
      <c r="H148" s="67" t="str">
        <f>IFERROR(IF(VLOOKUP(F148,tblManoeuvre[#Data],8,FALSE)=0,"None",VLOOKUP(F148,tblManoeuvre[#Data],8,FALSE)),"None")</f>
        <v>None</v>
      </c>
      <c r="I148" s="67"/>
      <c r="L148" s="4"/>
      <c r="M148" s="4"/>
      <c r="N148" s="4"/>
      <c r="O148" s="61">
        <f t="shared" si="25"/>
        <v>0</v>
      </c>
      <c r="P148" s="60">
        <f t="shared" si="26"/>
        <v>0</v>
      </c>
      <c r="Q148" s="61" t="str">
        <f>_xlfn.IFNA(VLOOKUP($F148,tblInfluence[],3,FALSE),"")</f>
        <v/>
      </c>
      <c r="R148" s="61" t="str">
        <f>_xlfn.IFNA(VLOOKUP($F148,tblInfluence[],4,FALSE),"")</f>
        <v/>
      </c>
      <c r="Y148" s="15" t="s">
        <v>190</v>
      </c>
      <c r="Z148" s="19"/>
      <c r="AA148" s="61" t="str">
        <f t="shared" si="23"/>
        <v/>
      </c>
      <c r="AC148" s="60"/>
      <c r="AD148" s="20"/>
      <c r="AE148" s="20" t="str">
        <f t="shared" si="24"/>
        <v/>
      </c>
      <c r="AF148" s="61" t="str" cm="1">
        <f t="array" ref="AF148">IF(AC148="","",SUMPRODUCT(($F$138:$F$157=AC148)*($G$138:$G$157=IF(AD148="","",AD148))*$P$138:$P$157))</f>
        <v/>
      </c>
    </row>
    <row r="149" spans="1:32">
      <c r="A149" s="1" t="s">
        <v>148</v>
      </c>
      <c r="B149" t="str">
        <f t="shared" si="27"/>
        <v>Make medium autofire attacks at triple range penalties.</v>
      </c>
      <c r="D149" s="19"/>
      <c r="E149" s="15" t="s">
        <v>187</v>
      </c>
      <c r="F149" s="3"/>
      <c r="G149" s="3" t="str">
        <f>IFERROR(VLOOKUP(F149,tblManoeuvre[#Data],2,FALSE)&amp;" "&amp;VLOOKUP(F149,tblManoeuvre[#Data],3,FALSE),"")</f>
        <v/>
      </c>
      <c r="H149" s="67" t="str">
        <f>IFERROR(IF(VLOOKUP(F149,tblManoeuvre[#Data],8,FALSE)=0,"None",VLOOKUP(F149,tblManoeuvre[#Data],8,FALSE)),"None")</f>
        <v>None</v>
      </c>
      <c r="I149" s="67"/>
      <c r="L149" s="4"/>
      <c r="M149" s="4"/>
      <c r="N149" s="4"/>
      <c r="O149" s="61">
        <f t="shared" si="25"/>
        <v>0</v>
      </c>
      <c r="P149" s="60">
        <f t="shared" si="26"/>
        <v>0</v>
      </c>
      <c r="Q149" s="61" t="str">
        <f>_xlfn.IFNA(VLOOKUP($F149,tblInfluence[],3,FALSE),"")</f>
        <v/>
      </c>
      <c r="R149" s="61" t="str">
        <f>_xlfn.IFNA(VLOOKUP($F149,tblInfluence[],4,FALSE),"")</f>
        <v/>
      </c>
      <c r="Y149" s="15" t="s">
        <v>191</v>
      </c>
      <c r="Z149" s="19"/>
      <c r="AA149" s="61" t="str">
        <f t="shared" si="23"/>
        <v/>
      </c>
      <c r="AC149" s="60"/>
      <c r="AD149" s="20"/>
      <c r="AE149" s="20" t="str">
        <f t="shared" si="24"/>
        <v/>
      </c>
      <c r="AF149" s="61" t="str" cm="1">
        <f t="array" ref="AF149">IF(AC149="","",SUMPRODUCT(($F$138:$F$157=AC149)*($G$138:$G$157=IF(AD149="","",AD149))*$P$138:$P$157))</f>
        <v/>
      </c>
    </row>
    <row r="150" spans="1:32">
      <c r="A150" s="1" t="s">
        <v>149</v>
      </c>
      <c r="B150" t="str">
        <f t="shared" si="27"/>
        <v>Simultaneously perform a Combat Archery attack and an Athletics action, both at -2.</v>
      </c>
      <c r="D150" s="19"/>
      <c r="E150" s="15" t="s">
        <v>188</v>
      </c>
      <c r="F150" s="3"/>
      <c r="G150" s="3" t="str">
        <f>IFERROR(VLOOKUP(F150,tblManoeuvre[#Data],2,FALSE)&amp;" "&amp;VLOOKUP(F150,tblManoeuvre[#Data],3,FALSE),"")</f>
        <v/>
      </c>
      <c r="H150" s="67" t="str">
        <f>IFERROR(IF(VLOOKUP(F150,tblManoeuvre[#Data],8,FALSE)=0,"None",VLOOKUP(F150,tblManoeuvre[#Data],8,FALSE)),"None")</f>
        <v>None</v>
      </c>
      <c r="I150" s="67"/>
      <c r="L150" s="4"/>
      <c r="M150" s="4"/>
      <c r="N150" s="4"/>
      <c r="O150" s="61">
        <f t="shared" si="25"/>
        <v>0</v>
      </c>
      <c r="P150" s="60">
        <f t="shared" si="26"/>
        <v>0</v>
      </c>
      <c r="Q150" s="61" t="str">
        <f>_xlfn.IFNA(VLOOKUP($F150,tblInfluence[],3,FALSE),"")</f>
        <v/>
      </c>
      <c r="R150" s="61" t="str">
        <f>_xlfn.IFNA(VLOOKUP($F150,tblInfluence[],4,FALSE),"")</f>
        <v/>
      </c>
      <c r="Y150" s="15" t="s">
        <v>192</v>
      </c>
      <c r="Z150" s="19"/>
      <c r="AA150" s="61" t="str">
        <f t="shared" si="23"/>
        <v/>
      </c>
      <c r="AC150" s="60"/>
      <c r="AD150" s="20"/>
      <c r="AE150" s="20" t="str">
        <f t="shared" si="24"/>
        <v/>
      </c>
      <c r="AF150" s="61" t="str" cm="1">
        <f t="array" ref="AF150">IF(AC150="","",SUMPRODUCT(($F$138:$F$157=AC150)*($G$138:$G$157=IF(AD150="","",AD150))*$P$138:$P$157))</f>
        <v/>
      </c>
    </row>
    <row r="151" spans="1:32">
      <c r="A151" s="1" t="s">
        <v>150</v>
      </c>
      <c r="B151" t="str">
        <f t="shared" si="27"/>
        <v>¬</v>
      </c>
      <c r="D151" s="19"/>
      <c r="E151" s="15" t="s">
        <v>189</v>
      </c>
      <c r="F151" s="3"/>
      <c r="G151" s="3" t="str">
        <f>IFERROR(VLOOKUP(F151,tblManoeuvre[#Data],2,FALSE)&amp;" "&amp;VLOOKUP(F151,tblManoeuvre[#Data],3,FALSE),"")</f>
        <v/>
      </c>
      <c r="H151" s="67" t="str">
        <f>IFERROR(IF(VLOOKUP(F151,tblManoeuvre[#Data],8,FALSE)=0,"None",VLOOKUP(F151,tblManoeuvre[#Data],8,FALSE)),"None")</f>
        <v>None</v>
      </c>
      <c r="I151" s="67"/>
      <c r="L151" s="4"/>
      <c r="M151" s="4"/>
      <c r="N151" s="4"/>
      <c r="O151" s="61">
        <f t="shared" si="25"/>
        <v>0</v>
      </c>
      <c r="P151" s="60">
        <f t="shared" si="26"/>
        <v>0</v>
      </c>
      <c r="Q151" s="61" t="str">
        <f>_xlfn.IFNA(VLOOKUP($F151,tblInfluence[],3,FALSE),"")</f>
        <v/>
      </c>
      <c r="R151" s="61" t="str">
        <f>_xlfn.IFNA(VLOOKUP($F151,tblInfluence[],4,FALSE),"")</f>
        <v/>
      </c>
      <c r="Y151" s="15" t="s">
        <v>193</v>
      </c>
      <c r="Z151" s="19"/>
      <c r="AA151" s="61" t="str">
        <f t="shared" si="23"/>
        <v/>
      </c>
      <c r="AC151" s="60"/>
      <c r="AD151" s="20"/>
      <c r="AE151" s="20" t="str">
        <f t="shared" si="24"/>
        <v/>
      </c>
      <c r="AF151" s="61" t="str" cm="1">
        <f t="array" ref="AF151">IF(AC151="","",SUMPRODUCT(($F$138:$F$157=AC151)*($G$138:$G$157=IF(AD151="","",AD151))*$P$138:$P$157))</f>
        <v/>
      </c>
    </row>
    <row r="152" spans="1:32">
      <c r="A152" s="1" t="s">
        <v>151</v>
      </c>
      <c r="B152" t="str">
        <f t="shared" si="27"/>
        <v>¬</v>
      </c>
      <c r="D152" s="19"/>
      <c r="E152" s="15" t="s">
        <v>190</v>
      </c>
      <c r="F152" s="3"/>
      <c r="G152" s="3" t="str">
        <f>IFERROR(VLOOKUP(F152,tblManoeuvre[#Data],2,FALSE)&amp;" "&amp;VLOOKUP(F152,tblManoeuvre[#Data],3,FALSE),"")</f>
        <v/>
      </c>
      <c r="H152" s="67" t="str">
        <f>IFERROR(IF(VLOOKUP(F152,tblManoeuvre[#Data],8,FALSE)=0,"None",VLOOKUP(F152,tblManoeuvre[#Data],8,FALSE)),"None")</f>
        <v>None</v>
      </c>
      <c r="I152" s="67"/>
      <c r="L152" s="4"/>
      <c r="M152" s="4"/>
      <c r="N152" s="4"/>
      <c r="O152" s="61">
        <f t="shared" si="25"/>
        <v>0</v>
      </c>
      <c r="P152" s="60">
        <f t="shared" si="26"/>
        <v>0</v>
      </c>
      <c r="Q152" s="61" t="str">
        <f>_xlfn.IFNA(VLOOKUP($F152,tblInfluence[],3,FALSE),"")</f>
        <v/>
      </c>
      <c r="R152" s="61" t="str">
        <f>_xlfn.IFNA(VLOOKUP($F152,tblInfluence[],4,FALSE),"")</f>
        <v/>
      </c>
      <c r="Y152" s="15" t="s">
        <v>194</v>
      </c>
      <c r="Z152" s="19"/>
      <c r="AA152" s="61" t="str">
        <f t="shared" si="23"/>
        <v/>
      </c>
      <c r="AC152" s="60"/>
      <c r="AD152" s="20"/>
      <c r="AE152" s="20" t="str">
        <f t="shared" si="24"/>
        <v/>
      </c>
      <c r="AF152" s="61" t="str" cm="1">
        <f t="array" ref="AF152">IF(AC152="","",SUMPRODUCT(($F$138:$F$157=AC152)*($G$138:$G$157=IF(AD152="","",AD152))*$P$138:$P$157))</f>
        <v/>
      </c>
    </row>
    <row r="153" spans="1:32">
      <c r="A153" s="1" t="s">
        <v>152</v>
      </c>
      <c r="B153" t="str">
        <f t="shared" si="27"/>
        <v>¬</v>
      </c>
      <c r="D153" s="19"/>
      <c r="E153" s="15" t="s">
        <v>191</v>
      </c>
      <c r="F153" s="3"/>
      <c r="G153" s="3" t="str">
        <f>IFERROR(VLOOKUP(F153,tblManoeuvre[#Data],2,FALSE)&amp;" "&amp;VLOOKUP(F153,tblManoeuvre[#Data],3,FALSE),"")</f>
        <v/>
      </c>
      <c r="H153" s="67" t="str">
        <f>IFERROR(IF(VLOOKUP(F153,tblManoeuvre[#Data],8,FALSE)=0,"None",VLOOKUP(F153,tblManoeuvre[#Data],8,FALSE)),"None")</f>
        <v>None</v>
      </c>
      <c r="I153" s="67"/>
      <c r="L153" s="4"/>
      <c r="M153" s="4"/>
      <c r="N153" s="4"/>
      <c r="O153" s="61">
        <f t="shared" si="25"/>
        <v>0</v>
      </c>
      <c r="P153" s="60">
        <f t="shared" si="26"/>
        <v>0</v>
      </c>
      <c r="Q153" s="61" t="str">
        <f>_xlfn.IFNA(VLOOKUP($F153,tblInfluence[],3,FALSE),"")</f>
        <v/>
      </c>
      <c r="R153" s="61" t="str">
        <f>_xlfn.IFNA(VLOOKUP($F153,tblInfluence[],4,FALSE),"")</f>
        <v/>
      </c>
      <c r="Y153" s="15" t="s">
        <v>195</v>
      </c>
      <c r="Z153" s="19"/>
      <c r="AA153" s="61" t="str">
        <f t="shared" si="23"/>
        <v/>
      </c>
      <c r="AC153" s="60"/>
      <c r="AD153" s="20"/>
      <c r="AE153" s="20" t="str">
        <f t="shared" si="24"/>
        <v/>
      </c>
      <c r="AF153" s="61" t="str" cm="1">
        <f t="array" ref="AF153">IF(AC153="","",SUMPRODUCT(($F$138:$F$157=AC153)*($G$138:$G$157=IF(AD153="","",AD153))*$P$138:$P$157))</f>
        <v/>
      </c>
    </row>
    <row r="154" spans="1:32">
      <c r="A154" s="1" t="s">
        <v>153</v>
      </c>
      <c r="B154" t="str">
        <f t="shared" si="27"/>
        <v>¬</v>
      </c>
      <c r="D154" s="19"/>
      <c r="E154" s="15" t="s">
        <v>192</v>
      </c>
      <c r="F154" s="3"/>
      <c r="G154" s="3" t="str">
        <f>IFERROR(VLOOKUP(F154,tblManoeuvre[#Data],2,FALSE)&amp;" "&amp;VLOOKUP(F154,tblManoeuvre[#Data],3,FALSE),"")</f>
        <v/>
      </c>
      <c r="H154" s="67" t="str">
        <f>IFERROR(IF(VLOOKUP(F154,tblManoeuvre[#Data],8,FALSE)=0,"None",VLOOKUP(F154,tblManoeuvre[#Data],8,FALSE)),"None")</f>
        <v>None</v>
      </c>
      <c r="I154" s="67"/>
      <c r="L154" s="4"/>
      <c r="M154" s="4"/>
      <c r="N154" s="4"/>
      <c r="O154" s="61">
        <f t="shared" si="25"/>
        <v>0</v>
      </c>
      <c r="P154" s="60">
        <f t="shared" si="26"/>
        <v>0</v>
      </c>
      <c r="Q154" s="61" t="str">
        <f>_xlfn.IFNA(VLOOKUP($F154,tblInfluence[],3,FALSE),"")</f>
        <v/>
      </c>
      <c r="R154" s="61" t="str">
        <f>_xlfn.IFNA(VLOOKUP($F154,tblInfluence[],4,FALSE),"")</f>
        <v/>
      </c>
    </row>
    <row r="155" spans="1:32">
      <c r="A155" s="1" t="s">
        <v>154</v>
      </c>
      <c r="B155" t="str">
        <f t="shared" si="27"/>
        <v>¬</v>
      </c>
      <c r="D155" s="19"/>
      <c r="E155" s="15" t="s">
        <v>193</v>
      </c>
      <c r="F155" s="3"/>
      <c r="G155" s="3" t="str">
        <f>IFERROR(VLOOKUP(F155,tblManoeuvre[#Data],2,FALSE)&amp;" "&amp;VLOOKUP(F155,tblManoeuvre[#Data],3,FALSE),"")</f>
        <v/>
      </c>
      <c r="H155" s="67" t="str">
        <f>IFERROR(IF(VLOOKUP(F155,tblManoeuvre[#Data],8,FALSE)=0,"None",VLOOKUP(F155,tblManoeuvre[#Data],8,FALSE)),"None")</f>
        <v>None</v>
      </c>
      <c r="I155" s="67"/>
      <c r="L155" s="4"/>
      <c r="M155" s="4"/>
      <c r="N155" s="4"/>
      <c r="O155" s="61">
        <f t="shared" si="25"/>
        <v>0</v>
      </c>
      <c r="P155" s="60">
        <f t="shared" si="26"/>
        <v>0</v>
      </c>
      <c r="Q155" s="61" t="str">
        <f>_xlfn.IFNA(VLOOKUP($F155,tblInfluence[],3,FALSE),"")</f>
        <v/>
      </c>
      <c r="R155" s="61" t="str">
        <f>_xlfn.IFNA(VLOOKUP($F155,tblInfluence[],4,FALSE),"")</f>
        <v/>
      </c>
      <c r="AE155" s="61">
        <f>IF(P160=5,1,0)</f>
        <v>0</v>
      </c>
    </row>
    <row r="156" spans="1:32">
      <c r="A156" s="1" t="s">
        <v>155</v>
      </c>
      <c r="B156" t="str">
        <f t="shared" si="27"/>
        <v>¬</v>
      </c>
      <c r="D156" s="19"/>
      <c r="E156" s="15" t="s">
        <v>194</v>
      </c>
      <c r="F156" s="3"/>
      <c r="G156" s="3" t="str">
        <f>IFERROR(VLOOKUP(F156,tblManoeuvre[#Data],2,FALSE)&amp;" "&amp;VLOOKUP(F156,tblManoeuvre[#Data],3,FALSE),"")</f>
        <v/>
      </c>
      <c r="H156" s="67" t="str">
        <f>IFERROR(IF(VLOOKUP(F156,tblManoeuvre[#Data],8,FALSE)=0,"None",VLOOKUP(F156,tblManoeuvre[#Data],8,FALSE)),"None")</f>
        <v>None</v>
      </c>
      <c r="I156" s="67"/>
      <c r="L156" s="4"/>
      <c r="M156" s="4"/>
      <c r="N156" s="4"/>
      <c r="O156" s="61">
        <f t="shared" si="25"/>
        <v>0</v>
      </c>
      <c r="P156" s="60">
        <f t="shared" si="26"/>
        <v>0</v>
      </c>
      <c r="Q156" s="61" t="str">
        <f>_xlfn.IFNA(VLOOKUP($F156,tblInfluence[],3,FALSE),"")</f>
        <v/>
      </c>
      <c r="R156" s="61" t="str">
        <f>_xlfn.IFNA(VLOOKUP($F156,tblInfluence[],4,FALSE),"")</f>
        <v/>
      </c>
      <c r="AE156" s="61" t="b">
        <f>COUNTIF(AA2:AA21,"*Honey With Vinegar*")&gt;0</f>
        <v>0</v>
      </c>
    </row>
    <row r="157" spans="1:32">
      <c r="A157" s="1" t="s">
        <v>156</v>
      </c>
      <c r="B157" t="str">
        <f t="shared" si="27"/>
        <v>¬</v>
      </c>
      <c r="D157" s="19"/>
      <c r="E157" s="15" t="s">
        <v>195</v>
      </c>
      <c r="F157" s="3"/>
      <c r="G157" s="3" t="str">
        <f>IFERROR(VLOOKUP(F157,tblManoeuvre[#Data],2,FALSE)&amp;" "&amp;VLOOKUP(F157,tblManoeuvre[#Data],3,FALSE),"")</f>
        <v/>
      </c>
      <c r="H157" s="67" t="str">
        <f>IFERROR(IF(VLOOKUP(F157,tblManoeuvre[#Data],8,FALSE)=0,"None",VLOOKUP(F157,tblManoeuvre[#Data],8,FALSE)),"None")</f>
        <v>None</v>
      </c>
      <c r="I157" s="67"/>
      <c r="L157" s="4"/>
      <c r="M157" s="4"/>
      <c r="N157" s="4"/>
      <c r="O157" s="61">
        <f t="shared" si="25"/>
        <v>0</v>
      </c>
      <c r="P157" s="60">
        <f t="shared" si="26"/>
        <v>0</v>
      </c>
      <c r="Q157" s="61" t="str">
        <f>_xlfn.IFNA(VLOOKUP($F157,tblInfluence[],3,FALSE),"")</f>
        <v/>
      </c>
      <c r="R157" s="61" t="str">
        <f>_xlfn.IFNA(VLOOKUP($F157,tblInfluence[],4,FALSE),"")</f>
        <v/>
      </c>
    </row>
    <row r="158" spans="1:32">
      <c r="A158" s="1" t="s">
        <v>157</v>
      </c>
      <c r="B158" t="str">
        <f t="shared" si="27"/>
        <v>¬</v>
      </c>
    </row>
    <row r="159" spans="1:32">
      <c r="A159" s="1" t="s">
        <v>158</v>
      </c>
      <c r="B159" t="str">
        <f t="shared" si="27"/>
        <v>¬</v>
      </c>
      <c r="D159" s="16" t="s">
        <v>1486</v>
      </c>
      <c r="E159" s="17"/>
      <c r="F159" s="17" t="s">
        <v>1487</v>
      </c>
      <c r="G159" s="17"/>
      <c r="H159" s="17"/>
      <c r="I159" s="17"/>
    </row>
    <row r="160" spans="1:32">
      <c r="A160" s="1" t="s">
        <v>159</v>
      </c>
      <c r="B160" t="str">
        <f t="shared" si="27"/>
        <v>¬</v>
      </c>
      <c r="D160" s="19"/>
      <c r="E160" s="15" t="s">
        <v>98</v>
      </c>
      <c r="F160" s="3"/>
      <c r="G160" s="60"/>
      <c r="H160" s="60"/>
      <c r="I160" s="60"/>
      <c r="L160" s="4"/>
      <c r="M160" s="4"/>
      <c r="N160" s="4"/>
      <c r="O160" s="61">
        <f>N160</f>
        <v>0</v>
      </c>
      <c r="P160" s="60">
        <f>MIN(SUM(L160,M160,O160),R160)</f>
        <v>0</v>
      </c>
      <c r="Q160" s="61">
        <v>1</v>
      </c>
      <c r="R160" s="61">
        <v>5</v>
      </c>
    </row>
    <row r="161" spans="1:18">
      <c r="A161" s="1" t="s">
        <v>160</v>
      </c>
      <c r="B161" t="str">
        <f t="shared" si="27"/>
        <v>¬</v>
      </c>
      <c r="D161" s="19"/>
      <c r="E161" s="15" t="s">
        <v>100</v>
      </c>
      <c r="F161" s="3"/>
      <c r="G161" s="60"/>
      <c r="H161" s="60"/>
      <c r="I161" s="60"/>
      <c r="L161" s="4"/>
      <c r="M161" s="4"/>
      <c r="N161" s="4"/>
      <c r="O161" s="61">
        <f>N161</f>
        <v>0</v>
      </c>
      <c r="P161" s="60">
        <f>MIN(SUM(L161,M161,O161),R161)</f>
        <v>0</v>
      </c>
      <c r="Q161" s="61">
        <v>1</v>
      </c>
      <c r="R161" s="61">
        <v>5</v>
      </c>
    </row>
    <row r="162" spans="1:18">
      <c r="A162" s="1" t="s">
        <v>161</v>
      </c>
      <c r="B162" t="str">
        <f t="shared" si="27"/>
        <v>¬</v>
      </c>
    </row>
    <row r="163" spans="1:18" ht="15.75" thickBot="1">
      <c r="A163" s="1" t="s">
        <v>162</v>
      </c>
      <c r="B163" t="str">
        <f t="shared" si="27"/>
        <v>¬</v>
      </c>
      <c r="D163" s="14" t="s">
        <v>1488</v>
      </c>
      <c r="E163" s="14"/>
      <c r="F163" s="14"/>
      <c r="G163" s="14"/>
      <c r="H163" s="14"/>
      <c r="I163" s="14"/>
      <c r="N163" s="60">
        <f>SUM(N165:N174)+SUM(N177:N181)+SUM(N184:N185)+SUM(N187:N191)+SUM(N194:N203)</f>
        <v>3</v>
      </c>
    </row>
    <row r="164" spans="1:18">
      <c r="A164" s="1" t="s">
        <v>163</v>
      </c>
      <c r="B164" t="str">
        <f t="shared" si="27"/>
        <v>¬</v>
      </c>
      <c r="D164" s="16" t="s">
        <v>1489</v>
      </c>
      <c r="E164" s="15" t="s">
        <v>1490</v>
      </c>
      <c r="F164" s="61" t="str">
        <f>IFERROR(IF($F$8="",VLOOKUP($F$7,tblClans[#Data],5,FALSE),VLOOKUP($F$8,tblBloodlines[#Data],5,FALSE)),"")</f>
        <v>Auspex</v>
      </c>
      <c r="G164" s="61" t="str">
        <f>IFERROR(IF($F$8="",VLOOKUP($F$7,tblClans[#Data],6,FALSE),VLOOKUP($F$8,tblBloodlines[#Data],6,FALSE)),"")</f>
        <v>Dominate</v>
      </c>
      <c r="H164" s="61" t="str">
        <f>IFERROR(IF($F$8="",VLOOKUP($F$7,tblClans[#Data],7,FALSE),VLOOKUP($F$8,tblBloodlines[#Data],7,FALSE)),"")</f>
        <v>Obfuscate</v>
      </c>
      <c r="I164" s="61" t="str">
        <f>IFERROR(IF($F$8="",VLOOKUP($F$7,tblClans[#Data],8,FALSE),VLOOKUP($F$8,tblBloodlines[#Data],8,FALSE)),"")</f>
        <v>Resilience</v>
      </c>
      <c r="L164" s="60">
        <f>3-SUM(L165:L174)-SUM(L184:L185)</f>
        <v>0</v>
      </c>
    </row>
    <row r="165" spans="1:18">
      <c r="A165" s="1" t="s">
        <v>164</v>
      </c>
      <c r="B165" t="str">
        <f t="shared" si="27"/>
        <v>¬</v>
      </c>
      <c r="D165" s="19"/>
      <c r="E165" s="15" t="s">
        <v>236</v>
      </c>
      <c r="F165" s="19"/>
      <c r="G165" s="19"/>
      <c r="H165" s="19"/>
      <c r="I165" s="19"/>
      <c r="L165" s="4"/>
      <c r="N165" s="4"/>
      <c r="O165" s="61">
        <f t="shared" ref="O165:O174" si="28">ROUNDDOWN(IF(COUNTIF($F$164:$I$164,$E165)&gt;0,N165/3,N165/4),0)</f>
        <v>0</v>
      </c>
      <c r="P165" s="60">
        <f>MIN(SUM(L165,O165),R165)</f>
        <v>0</v>
      </c>
      <c r="Q165" s="61">
        <v>0</v>
      </c>
      <c r="R165" s="61">
        <v>5</v>
      </c>
    </row>
    <row r="166" spans="1:18">
      <c r="A166" s="1" t="s">
        <v>165</v>
      </c>
      <c r="B166" t="str">
        <f t="shared" si="27"/>
        <v>¬</v>
      </c>
      <c r="D166" s="19"/>
      <c r="E166" s="15" t="s">
        <v>237</v>
      </c>
      <c r="F166" s="19"/>
      <c r="G166" s="19"/>
      <c r="H166" s="19"/>
      <c r="I166" s="19"/>
      <c r="L166" s="4"/>
      <c r="N166" s="4">
        <v>3</v>
      </c>
      <c r="O166" s="61">
        <f t="shared" si="28"/>
        <v>1</v>
      </c>
      <c r="P166" s="60">
        <f t="shared" ref="P166:P174" si="29">MIN(SUM(L166,O166),R166)</f>
        <v>1</v>
      </c>
      <c r="Q166" s="61">
        <v>0</v>
      </c>
      <c r="R166" s="61">
        <v>5</v>
      </c>
    </row>
    <row r="167" spans="1:18">
      <c r="A167" s="1" t="s">
        <v>166</v>
      </c>
      <c r="B167" t="str">
        <f t="shared" si="27"/>
        <v>¬</v>
      </c>
      <c r="D167" s="19"/>
      <c r="E167" s="15" t="s">
        <v>238</v>
      </c>
      <c r="F167" s="19"/>
      <c r="G167" s="19"/>
      <c r="H167" s="19"/>
      <c r="I167" s="19"/>
      <c r="L167" s="4">
        <v>1</v>
      </c>
      <c r="N167" s="4"/>
      <c r="O167" s="61">
        <f t="shared" si="28"/>
        <v>0</v>
      </c>
      <c r="P167" s="60">
        <f t="shared" si="29"/>
        <v>1</v>
      </c>
      <c r="Q167" s="61">
        <v>0</v>
      </c>
      <c r="R167" s="61">
        <v>5</v>
      </c>
    </row>
    <row r="168" spans="1:18">
      <c r="A168" s="1" t="s">
        <v>167</v>
      </c>
      <c r="B168" t="str">
        <f t="shared" si="27"/>
        <v>¬</v>
      </c>
      <c r="D168" s="19"/>
      <c r="E168" s="15" t="s">
        <v>239</v>
      </c>
      <c r="F168" s="19"/>
      <c r="G168" s="19"/>
      <c r="H168" s="19"/>
      <c r="I168" s="19"/>
      <c r="L168" s="4"/>
      <c r="N168" s="4"/>
      <c r="O168" s="61">
        <f t="shared" si="28"/>
        <v>0</v>
      </c>
      <c r="P168" s="60">
        <f t="shared" si="29"/>
        <v>0</v>
      </c>
      <c r="Q168" s="61">
        <v>0</v>
      </c>
      <c r="R168" s="61">
        <v>5</v>
      </c>
    </row>
    <row r="169" spans="1:18">
      <c r="A169" s="1" t="s">
        <v>168</v>
      </c>
      <c r="B169" t="str">
        <f t="shared" si="27"/>
        <v>¬</v>
      </c>
      <c r="D169" s="19"/>
      <c r="E169" s="15" t="s">
        <v>240</v>
      </c>
      <c r="F169" s="19"/>
      <c r="G169" s="19"/>
      <c r="H169" s="19"/>
      <c r="I169" s="19"/>
      <c r="L169" s="4"/>
      <c r="N169" s="4"/>
      <c r="O169" s="61">
        <f t="shared" si="28"/>
        <v>0</v>
      </c>
      <c r="P169" s="60">
        <f t="shared" si="29"/>
        <v>0</v>
      </c>
      <c r="Q169" s="61">
        <v>0</v>
      </c>
      <c r="R169" s="61">
        <v>5</v>
      </c>
    </row>
    <row r="170" spans="1:18">
      <c r="A170" s="1" t="s">
        <v>169</v>
      </c>
      <c r="B170" t="str">
        <f t="shared" si="27"/>
        <v>¬</v>
      </c>
      <c r="D170" s="19"/>
      <c r="E170" s="15" t="s">
        <v>241</v>
      </c>
      <c r="F170" s="19"/>
      <c r="G170" s="19"/>
      <c r="H170" s="19"/>
      <c r="I170" s="19"/>
      <c r="L170" s="4"/>
      <c r="N170" s="4"/>
      <c r="O170" s="61">
        <f t="shared" si="28"/>
        <v>0</v>
      </c>
      <c r="P170" s="60">
        <f t="shared" si="29"/>
        <v>0</v>
      </c>
      <c r="Q170" s="61">
        <v>0</v>
      </c>
      <c r="R170" s="61">
        <v>5</v>
      </c>
    </row>
    <row r="171" spans="1:18">
      <c r="A171" s="1" t="s">
        <v>170</v>
      </c>
      <c r="B171" t="str">
        <f t="shared" si="27"/>
        <v>¬</v>
      </c>
      <c r="D171" s="19"/>
      <c r="E171" s="15" t="s">
        <v>242</v>
      </c>
      <c r="F171" s="19"/>
      <c r="G171" s="19"/>
      <c r="H171" s="19"/>
      <c r="I171" s="19"/>
      <c r="L171" s="4">
        <v>1</v>
      </c>
      <c r="N171" s="4"/>
      <c r="O171" s="61">
        <f t="shared" si="28"/>
        <v>0</v>
      </c>
      <c r="P171" s="60">
        <f t="shared" si="29"/>
        <v>1</v>
      </c>
      <c r="Q171" s="61">
        <v>0</v>
      </c>
      <c r="R171" s="61">
        <v>5</v>
      </c>
    </row>
    <row r="172" spans="1:18">
      <c r="A172" s="1" t="s">
        <v>171</v>
      </c>
      <c r="B172" t="str">
        <f t="shared" si="27"/>
        <v>¬</v>
      </c>
      <c r="D172" s="19"/>
      <c r="E172" s="15" t="s">
        <v>243</v>
      </c>
      <c r="F172" s="19"/>
      <c r="G172" s="19"/>
      <c r="H172" s="19"/>
      <c r="I172" s="19"/>
      <c r="L172" s="4"/>
      <c r="N172" s="4"/>
      <c r="O172" s="61">
        <f t="shared" si="28"/>
        <v>0</v>
      </c>
      <c r="P172" s="60">
        <f t="shared" si="29"/>
        <v>0</v>
      </c>
      <c r="Q172" s="61">
        <v>0</v>
      </c>
      <c r="R172" s="61">
        <v>5</v>
      </c>
    </row>
    <row r="173" spans="1:18">
      <c r="A173" s="1" t="s">
        <v>172</v>
      </c>
      <c r="B173" t="str">
        <f t="shared" si="27"/>
        <v>¬</v>
      </c>
      <c r="D173" s="19"/>
      <c r="E173" s="15" t="s">
        <v>244</v>
      </c>
      <c r="F173" s="19"/>
      <c r="G173" s="19"/>
      <c r="H173" s="19"/>
      <c r="I173" s="19"/>
      <c r="L173" s="4">
        <v>1</v>
      </c>
      <c r="N173" s="4"/>
      <c r="O173" s="61">
        <f t="shared" si="28"/>
        <v>0</v>
      </c>
      <c r="P173" s="60">
        <f t="shared" si="29"/>
        <v>1</v>
      </c>
      <c r="Q173" s="61">
        <v>0</v>
      </c>
      <c r="R173" s="61">
        <v>5</v>
      </c>
    </row>
    <row r="174" spans="1:18">
      <c r="A174" s="1" t="s">
        <v>173</v>
      </c>
      <c r="B174" t="str">
        <f t="shared" si="27"/>
        <v>¬</v>
      </c>
      <c r="D174" s="19"/>
      <c r="E174" s="15" t="s">
        <v>245</v>
      </c>
      <c r="F174" s="19"/>
      <c r="G174" s="19"/>
      <c r="H174" s="19"/>
      <c r="I174" s="19"/>
      <c r="L174" s="4"/>
      <c r="N174" s="4"/>
      <c r="O174" s="61">
        <f t="shared" si="28"/>
        <v>0</v>
      </c>
      <c r="P174" s="60">
        <f t="shared" si="29"/>
        <v>0</v>
      </c>
      <c r="Q174" s="61">
        <v>0</v>
      </c>
      <c r="R174" s="61">
        <v>5</v>
      </c>
    </row>
    <row r="175" spans="1:18">
      <c r="A175" s="1" t="s">
        <v>174</v>
      </c>
      <c r="B175" t="str">
        <f>_xlfn.CONCAT(I137-H137," / ",I137)</f>
        <v>0 / 2</v>
      </c>
    </row>
    <row r="176" spans="1:18">
      <c r="A176" s="1" t="s">
        <v>175</v>
      </c>
      <c r="B176" t="str">
        <f>REPT("□",I137-H137) &amp; REPT("■",H137)</f>
        <v>■■</v>
      </c>
      <c r="D176" s="16" t="s">
        <v>1491</v>
      </c>
      <c r="E176" s="16"/>
      <c r="F176" s="16"/>
      <c r="G176" s="16"/>
      <c r="H176" s="16"/>
      <c r="I176" s="16"/>
    </row>
    <row r="177" spans="1:18">
      <c r="A177" s="1" t="s">
        <v>176</v>
      </c>
      <c r="B177" t="str">
        <f t="shared" ref="B177:B196" si="30">IF(AC134="","¬",AC134)</f>
        <v>¬</v>
      </c>
      <c r="D177" s="19"/>
      <c r="E177" s="15" t="s">
        <v>1492</v>
      </c>
      <c r="F177" s="3"/>
      <c r="G177" s="19"/>
      <c r="H177" s="72" t="str">
        <f>IFERROR(IF(VLOOKUP(F177,tblDisciplines[#Data],14,FALSE)=0,"None",VLOOKUP(F177,tblDisciplines[#Data],14,FALSE)),"None")</f>
        <v>None</v>
      </c>
      <c r="I177" s="73"/>
      <c r="N177" s="4"/>
      <c r="O177" s="61">
        <f>N177</f>
        <v>0</v>
      </c>
      <c r="P177" s="60" t="str">
        <f>IF(O177=R177,O177,"")</f>
        <v/>
      </c>
      <c r="R177" s="61" t="str">
        <f>_xlfn.IFNA(VLOOKUP(F177,tblDisciplines[],15,FALSE),"")</f>
        <v/>
      </c>
    </row>
    <row r="178" spans="1:18">
      <c r="A178" s="1" t="s">
        <v>177</v>
      </c>
      <c r="B178" t="str">
        <f t="shared" si="30"/>
        <v>¬</v>
      </c>
      <c r="D178" s="19"/>
      <c r="E178" s="15" t="s">
        <v>1493</v>
      </c>
      <c r="F178" s="3"/>
      <c r="G178" s="19"/>
      <c r="H178" s="72" t="str">
        <f>IFERROR(IF(VLOOKUP(F178,tblDisciplines[#Data],14,FALSE)=0,"None",VLOOKUP(F178,tblDisciplines[#Data],14,FALSE)),"None")</f>
        <v>None</v>
      </c>
      <c r="I178" s="73"/>
      <c r="N178" s="4"/>
      <c r="O178" s="61">
        <f>N178</f>
        <v>0</v>
      </c>
      <c r="P178" s="60" t="str">
        <f>IF(O178=R178,O178,"")</f>
        <v/>
      </c>
      <c r="R178" s="61" t="str">
        <f>_xlfn.IFNA(VLOOKUP(F178,tblDisciplines[],15,FALSE),"")</f>
        <v/>
      </c>
    </row>
    <row r="179" spans="1:18">
      <c r="A179" s="1" t="s">
        <v>178</v>
      </c>
      <c r="B179" t="str">
        <f t="shared" si="30"/>
        <v>¬</v>
      </c>
      <c r="D179" s="19"/>
      <c r="E179" s="15" t="s">
        <v>1494</v>
      </c>
      <c r="F179" s="3"/>
      <c r="G179" s="19"/>
      <c r="H179" s="72" t="str">
        <f>IFERROR(IF(VLOOKUP(F179,tblDisciplines[#Data],14,FALSE)=0,"None",VLOOKUP(F179,tblDisciplines[#Data],14,FALSE)),"None")</f>
        <v>None</v>
      </c>
      <c r="I179" s="73"/>
      <c r="N179" s="4"/>
      <c r="O179" s="61">
        <f>N179</f>
        <v>0</v>
      </c>
      <c r="P179" s="60" t="str">
        <f>IF(O179=R179,O179,"")</f>
        <v/>
      </c>
      <c r="R179" s="61" t="str">
        <f>_xlfn.IFNA(VLOOKUP(F179,tblDisciplines[],15,FALSE),"")</f>
        <v/>
      </c>
    </row>
    <row r="180" spans="1:18">
      <c r="A180" s="1" t="s">
        <v>179</v>
      </c>
      <c r="B180" t="str">
        <f t="shared" si="30"/>
        <v>¬</v>
      </c>
      <c r="D180" s="19"/>
      <c r="E180" s="15" t="s">
        <v>1495</v>
      </c>
      <c r="F180" s="3"/>
      <c r="G180" s="19"/>
      <c r="H180" s="72" t="str">
        <f>IFERROR(IF(VLOOKUP(F180,tblDisciplines[#Data],14,FALSE)=0,"None",VLOOKUP(F180,tblDisciplines[#Data],14,FALSE)),"None")</f>
        <v>None</v>
      </c>
      <c r="I180" s="73"/>
      <c r="N180" s="4"/>
      <c r="O180" s="61">
        <f>N180</f>
        <v>0</v>
      </c>
      <c r="P180" s="60" t="str">
        <f>IF(O180=R180,O180,"")</f>
        <v/>
      </c>
      <c r="R180" s="61" t="str">
        <f>_xlfn.IFNA(VLOOKUP(F180,tblDisciplines[],15,FALSE),"")</f>
        <v/>
      </c>
    </row>
    <row r="181" spans="1:18">
      <c r="A181" s="1" t="s">
        <v>180</v>
      </c>
      <c r="B181" t="str">
        <f t="shared" si="30"/>
        <v>¬</v>
      </c>
      <c r="D181" s="19"/>
      <c r="E181" s="15" t="s">
        <v>1496</v>
      </c>
      <c r="F181" s="3"/>
      <c r="G181" s="19"/>
      <c r="H181" s="72" t="str">
        <f>IFERROR(IF(VLOOKUP(F181,tblDisciplines[#Data],14,FALSE)=0,"None",VLOOKUP(F181,tblDisciplines[#Data],14,FALSE)),"None")</f>
        <v>None</v>
      </c>
      <c r="I181" s="73"/>
      <c r="N181" s="4"/>
      <c r="O181" s="61">
        <f>N181</f>
        <v>0</v>
      </c>
      <c r="P181" s="60" t="str">
        <f>IF(O181=R181,O181,"")</f>
        <v/>
      </c>
      <c r="R181" s="61" t="str">
        <f>_xlfn.IFNA(VLOOKUP(F181,tblDisciplines[],15,FALSE),"")</f>
        <v/>
      </c>
    </row>
    <row r="182" spans="1:18">
      <c r="A182" s="1" t="s">
        <v>181</v>
      </c>
      <c r="B182" t="str">
        <f t="shared" si="30"/>
        <v>¬</v>
      </c>
    </row>
    <row r="183" spans="1:18">
      <c r="A183" s="1" t="s">
        <v>182</v>
      </c>
      <c r="B183" t="str">
        <f t="shared" si="30"/>
        <v>¬</v>
      </c>
      <c r="D183" s="16" t="s">
        <v>1497</v>
      </c>
      <c r="E183" s="16"/>
      <c r="F183" s="16"/>
      <c r="G183" s="16"/>
      <c r="H183" s="16"/>
      <c r="I183" s="16"/>
    </row>
    <row r="184" spans="1:18">
      <c r="A184" s="1" t="s">
        <v>183</v>
      </c>
      <c r="B184" t="str">
        <f t="shared" si="30"/>
        <v>¬</v>
      </c>
      <c r="D184" s="19"/>
      <c r="E184" s="15" t="s">
        <v>246</v>
      </c>
      <c r="F184" s="19"/>
      <c r="G184" s="19"/>
      <c r="H184" s="19"/>
      <c r="I184" s="60" t="b">
        <f>IF(OR(F$9="Circle of the Crone",COUNTIF(F$78:F$92,"Chorister")&gt;0),TRUE,FALSE)</f>
        <v>0</v>
      </c>
      <c r="L184" s="4"/>
      <c r="N184" s="4"/>
      <c r="O184" s="61">
        <f>ROUNDDOWN(N184/4,0)</f>
        <v>0</v>
      </c>
      <c r="P184" s="60">
        <f>SUM(L184,O184)</f>
        <v>0</v>
      </c>
      <c r="Q184" s="61">
        <v>0</v>
      </c>
      <c r="R184" s="61">
        <v>5</v>
      </c>
    </row>
    <row r="185" spans="1:18">
      <c r="A185" s="1" t="s">
        <v>184</v>
      </c>
      <c r="B185" t="str">
        <f t="shared" si="30"/>
        <v>¬</v>
      </c>
      <c r="D185" s="19"/>
      <c r="E185" s="15" t="s">
        <v>247</v>
      </c>
      <c r="F185" s="19"/>
      <c r="G185" s="19"/>
      <c r="H185" s="19"/>
      <c r="I185" s="60" t="b">
        <f>IF(OR(F$9="Lancea et Sanctum",COUNTIF(F$78:F$92,"Laity")&gt;0),TRUE,FALSE)</f>
        <v>0</v>
      </c>
      <c r="L185" s="4"/>
      <c r="N185" s="4"/>
      <c r="O185" s="61">
        <f>ROUNDDOWN(N185/4,0)</f>
        <v>0</v>
      </c>
      <c r="P185" s="60">
        <f>SUM(L185,O185)</f>
        <v>0</v>
      </c>
      <c r="Q185" s="61">
        <v>0</v>
      </c>
      <c r="R185" s="61">
        <v>5</v>
      </c>
    </row>
    <row r="186" spans="1:18">
      <c r="A186" s="1" t="s">
        <v>185</v>
      </c>
      <c r="B186" t="str">
        <f t="shared" si="30"/>
        <v>¬</v>
      </c>
      <c r="D186" s="19"/>
      <c r="E186" s="19"/>
      <c r="F186" s="19"/>
      <c r="G186" s="19"/>
      <c r="H186" s="19"/>
      <c r="I186" s="19"/>
      <c r="L186" s="60">
        <f>SUM(P184:P185)-SUM(L187:L191)</f>
        <v>0</v>
      </c>
    </row>
    <row r="187" spans="1:18">
      <c r="A187" s="1" t="s">
        <v>186</v>
      </c>
      <c r="B187" t="str">
        <f t="shared" si="30"/>
        <v>¬</v>
      </c>
      <c r="D187" s="19"/>
      <c r="E187" s="15" t="s">
        <v>248</v>
      </c>
      <c r="F187" s="19"/>
      <c r="G187" s="19"/>
      <c r="H187" s="19"/>
      <c r="I187" s="19"/>
      <c r="L187" s="4"/>
      <c r="M187" s="61">
        <f>IF(AND(I184,L184&gt;=1),1,0)</f>
        <v>0</v>
      </c>
      <c r="N187" s="4"/>
      <c r="O187" s="61">
        <f>ROUNDDOWN(N187/2,0)</f>
        <v>0</v>
      </c>
      <c r="P187" s="60">
        <f>MIN(SUM(L187,M187,O187),R187)</f>
        <v>0</v>
      </c>
      <c r="Q187" s="61">
        <v>0</v>
      </c>
      <c r="R187" s="61">
        <f>MAX(P$184,P$185)</f>
        <v>0</v>
      </c>
    </row>
    <row r="188" spans="1:18">
      <c r="A188" s="1" t="s">
        <v>187</v>
      </c>
      <c r="B188" t="str">
        <f t="shared" si="30"/>
        <v>¬</v>
      </c>
      <c r="D188" s="19"/>
      <c r="E188" s="15" t="s">
        <v>249</v>
      </c>
      <c r="F188" s="19"/>
      <c r="G188" s="19"/>
      <c r="H188" s="19"/>
      <c r="I188" s="19"/>
      <c r="L188" s="4"/>
      <c r="M188" s="61"/>
      <c r="N188" s="4"/>
      <c r="O188" s="61">
        <f>ROUNDDOWN(N188/2,0)</f>
        <v>0</v>
      </c>
      <c r="P188" s="60">
        <f>MIN(SUM(L188,M188,O188),R188)</f>
        <v>0</v>
      </c>
      <c r="Q188" s="61">
        <v>0</v>
      </c>
      <c r="R188" s="61">
        <f>MAX(P$184,P$185)</f>
        <v>0</v>
      </c>
    </row>
    <row r="189" spans="1:18">
      <c r="A189" s="1" t="s">
        <v>188</v>
      </c>
      <c r="B189" t="str">
        <f t="shared" si="30"/>
        <v>¬</v>
      </c>
      <c r="D189" s="19"/>
      <c r="E189" s="15" t="s">
        <v>250</v>
      </c>
      <c r="F189" s="19"/>
      <c r="G189" s="19"/>
      <c r="H189" s="19"/>
      <c r="I189" s="19"/>
      <c r="L189" s="4"/>
      <c r="M189" s="61">
        <f>IF(AND(I185,L185&gt;=1),1,0)</f>
        <v>0</v>
      </c>
      <c r="N189" s="4"/>
      <c r="O189" s="61">
        <f>ROUNDDOWN(N189/2,0)</f>
        <v>0</v>
      </c>
      <c r="P189" s="60">
        <f>MIN(SUM(L189,M189,O189),R189)</f>
        <v>0</v>
      </c>
      <c r="Q189" s="61">
        <v>0</v>
      </c>
      <c r="R189" s="61">
        <f>MAX(P$184,P$185)</f>
        <v>0</v>
      </c>
    </row>
    <row r="190" spans="1:18">
      <c r="A190" s="1" t="s">
        <v>189</v>
      </c>
      <c r="B190" t="str">
        <f t="shared" si="30"/>
        <v>¬</v>
      </c>
      <c r="D190" s="19"/>
      <c r="E190" s="15" t="s">
        <v>251</v>
      </c>
      <c r="F190" s="19"/>
      <c r="G190" s="19"/>
      <c r="H190" s="19"/>
      <c r="I190" s="19"/>
      <c r="L190" s="4"/>
      <c r="M190" s="61">
        <f>IF(AND(I184,L184&gt;=1),1,0)</f>
        <v>0</v>
      </c>
      <c r="N190" s="4"/>
      <c r="O190" s="61">
        <f>ROUNDDOWN(N190/2,0)</f>
        <v>0</v>
      </c>
      <c r="P190" s="60">
        <f>MIN(SUM(L190,M190,O190),R190)</f>
        <v>0</v>
      </c>
      <c r="Q190" s="61">
        <v>0</v>
      </c>
      <c r="R190" s="61">
        <f>MAX(P$184,P$185)</f>
        <v>0</v>
      </c>
    </row>
    <row r="191" spans="1:18">
      <c r="A191" s="1" t="s">
        <v>190</v>
      </c>
      <c r="B191" t="str">
        <f t="shared" si="30"/>
        <v>¬</v>
      </c>
      <c r="D191" s="19"/>
      <c r="E191" s="15" t="s">
        <v>252</v>
      </c>
      <c r="F191" s="19"/>
      <c r="G191" s="19"/>
      <c r="H191" s="19"/>
      <c r="I191" s="19"/>
      <c r="L191" s="4"/>
      <c r="M191" s="61">
        <f>IF(AND(I185,L185&gt;=1),1,0)</f>
        <v>0</v>
      </c>
      <c r="N191" s="4"/>
      <c r="O191" s="61">
        <f>ROUNDDOWN(N191/2,0)</f>
        <v>0</v>
      </c>
      <c r="P191" s="60">
        <f>MIN(SUM(L191,M191,O191),R191)</f>
        <v>0</v>
      </c>
      <c r="Q191" s="61">
        <v>0</v>
      </c>
      <c r="R191" s="61">
        <f>MAX(P$184,P$185)</f>
        <v>0</v>
      </c>
    </row>
    <row r="192" spans="1:18">
      <c r="A192" s="1" t="s">
        <v>191</v>
      </c>
      <c r="B192" t="str">
        <f t="shared" si="30"/>
        <v>¬</v>
      </c>
    </row>
    <row r="193" spans="1:18">
      <c r="A193" s="1" t="s">
        <v>192</v>
      </c>
      <c r="B193" t="str">
        <f t="shared" si="30"/>
        <v>¬</v>
      </c>
      <c r="D193" s="16" t="s">
        <v>1474</v>
      </c>
      <c r="E193" s="16"/>
      <c r="F193" s="16"/>
      <c r="G193" s="16"/>
      <c r="H193" s="16"/>
      <c r="I193" s="16"/>
      <c r="L193" s="60">
        <f>SUM(P184:P185)+SUM(O187:O191)-SUM(L194:L203)</f>
        <v>0</v>
      </c>
    </row>
    <row r="194" spans="1:18">
      <c r="A194" s="1" t="s">
        <v>193</v>
      </c>
      <c r="B194" t="str">
        <f t="shared" si="30"/>
        <v>¬</v>
      </c>
      <c r="D194" s="19"/>
      <c r="E194" s="15" t="s">
        <v>1498</v>
      </c>
      <c r="F194" s="3"/>
      <c r="G194" s="61" t="str">
        <f>_xlfn.IFNA(VLOOKUP(F194,tblDisciplines[#Data],2,FALSE),"")</f>
        <v/>
      </c>
      <c r="H194" s="19"/>
      <c r="I194" s="19"/>
      <c r="L194" s="4"/>
      <c r="N194" s="4"/>
      <c r="O194" s="61">
        <f>N194</f>
        <v>0</v>
      </c>
      <c r="P194" s="60" t="str">
        <f>IF(OR(L194=R194,O194=R194),R194,MIN(SUM(L194,O194),R194))</f>
        <v/>
      </c>
      <c r="R194" s="61" t="str">
        <f>_xlfn.IFNA(VLOOKUP(F194,tblDisciplines[],3,FALSE),"")</f>
        <v/>
      </c>
    </row>
    <row r="195" spans="1:18">
      <c r="A195" s="1" t="s">
        <v>194</v>
      </c>
      <c r="B195" t="str">
        <f t="shared" si="30"/>
        <v>¬</v>
      </c>
      <c r="D195" s="19"/>
      <c r="E195" s="15" t="s">
        <v>1499</v>
      </c>
      <c r="F195" s="3"/>
      <c r="G195" s="61" t="str">
        <f>_xlfn.IFNA(VLOOKUP(F195,tblDisciplines[#Data],2,FALSE),"")</f>
        <v/>
      </c>
      <c r="H195" s="19"/>
      <c r="I195" s="19"/>
      <c r="L195" s="4"/>
      <c r="N195" s="4"/>
      <c r="O195" s="61">
        <f t="shared" ref="O195:O203" si="31">N195</f>
        <v>0</v>
      </c>
      <c r="P195" s="60" t="str">
        <f t="shared" ref="P195:P203" si="32">IF(OR(L195=R195,O195=R195),R195,MIN(SUM(L195,O195),R195))</f>
        <v/>
      </c>
      <c r="R195" s="61" t="str">
        <f>_xlfn.IFNA(VLOOKUP(F195,tblDisciplines[],3,FALSE),"")</f>
        <v/>
      </c>
    </row>
    <row r="196" spans="1:18">
      <c r="A196" s="1" t="s">
        <v>195</v>
      </c>
      <c r="B196" t="str">
        <f t="shared" si="30"/>
        <v>¬</v>
      </c>
      <c r="D196" s="19"/>
      <c r="E196" s="15" t="s">
        <v>1500</v>
      </c>
      <c r="F196" s="3"/>
      <c r="G196" s="61" t="str">
        <f>_xlfn.IFNA(VLOOKUP(F196,tblDisciplines[#Data],2,FALSE),"")</f>
        <v/>
      </c>
      <c r="H196" s="19"/>
      <c r="I196" s="19"/>
      <c r="L196" s="4"/>
      <c r="N196" s="4"/>
      <c r="O196" s="61">
        <f t="shared" si="31"/>
        <v>0</v>
      </c>
      <c r="P196" s="60" t="str">
        <f t="shared" si="32"/>
        <v/>
      </c>
      <c r="R196" s="61" t="str">
        <f>_xlfn.IFNA(VLOOKUP(F196,tblDisciplines[],3,FALSE),"")</f>
        <v/>
      </c>
    </row>
    <row r="197" spans="1:18">
      <c r="A197" s="1" t="s">
        <v>196</v>
      </c>
      <c r="B197" t="str">
        <f>IF(AD134="","¬",AD134)</f>
        <v>¬</v>
      </c>
      <c r="D197" s="19"/>
      <c r="E197" s="15" t="s">
        <v>1501</v>
      </c>
      <c r="F197" s="3"/>
      <c r="G197" s="61" t="str">
        <f>_xlfn.IFNA(VLOOKUP(F197,tblDisciplines[#Data],2,FALSE),"")</f>
        <v/>
      </c>
      <c r="H197" s="19"/>
      <c r="I197" s="19"/>
      <c r="L197" s="4"/>
      <c r="N197" s="4"/>
      <c r="O197" s="61">
        <f t="shared" si="31"/>
        <v>0</v>
      </c>
      <c r="P197" s="60" t="str">
        <f t="shared" si="32"/>
        <v/>
      </c>
      <c r="R197" s="61" t="str">
        <f>_xlfn.IFNA(VLOOKUP(F197,tblDisciplines[],3,FALSE),"")</f>
        <v/>
      </c>
    </row>
    <row r="198" spans="1:18">
      <c r="A198" s="1" t="s">
        <v>197</v>
      </c>
      <c r="B198" t="str">
        <f t="shared" ref="B198:B216" si="33">IF(AD135="","¬",AD135)</f>
        <v>¬</v>
      </c>
      <c r="D198" s="19"/>
      <c r="E198" s="15" t="s">
        <v>1502</v>
      </c>
      <c r="F198" s="3"/>
      <c r="G198" s="61" t="str">
        <f>_xlfn.IFNA(VLOOKUP(F198,tblDisciplines[#Data],2,FALSE),"")</f>
        <v/>
      </c>
      <c r="H198" s="19"/>
      <c r="I198" s="19"/>
      <c r="L198" s="4"/>
      <c r="N198" s="4"/>
      <c r="O198" s="61">
        <f t="shared" si="31"/>
        <v>0</v>
      </c>
      <c r="P198" s="60" t="str">
        <f t="shared" si="32"/>
        <v/>
      </c>
      <c r="R198" s="61" t="str">
        <f>_xlfn.IFNA(VLOOKUP(F198,tblDisciplines[],3,FALSE),"")</f>
        <v/>
      </c>
    </row>
    <row r="199" spans="1:18">
      <c r="A199" s="1" t="s">
        <v>198</v>
      </c>
      <c r="B199" t="str">
        <f t="shared" si="33"/>
        <v>¬</v>
      </c>
      <c r="D199" s="19"/>
      <c r="E199" s="15" t="s">
        <v>1503</v>
      </c>
      <c r="F199" s="3"/>
      <c r="G199" s="61" t="str">
        <f>_xlfn.IFNA(VLOOKUP(F199,tblDisciplines[#Data],2,FALSE),"")</f>
        <v/>
      </c>
      <c r="H199" s="19"/>
      <c r="I199" s="19"/>
      <c r="L199" s="4"/>
      <c r="N199" s="4"/>
      <c r="O199" s="61">
        <f t="shared" si="31"/>
        <v>0</v>
      </c>
      <c r="P199" s="60" t="str">
        <f t="shared" si="32"/>
        <v/>
      </c>
      <c r="R199" s="61" t="str">
        <f>_xlfn.IFNA(VLOOKUP(F199,tblDisciplines[],3,FALSE),"")</f>
        <v/>
      </c>
    </row>
    <row r="200" spans="1:18">
      <c r="A200" s="1" t="s">
        <v>199</v>
      </c>
      <c r="B200" t="str">
        <f t="shared" si="33"/>
        <v>¬</v>
      </c>
      <c r="D200" s="19"/>
      <c r="E200" s="15" t="s">
        <v>1504</v>
      </c>
      <c r="F200" s="3"/>
      <c r="G200" s="61" t="str">
        <f>_xlfn.IFNA(VLOOKUP(F200,tblDisciplines[#Data],2,FALSE),"")</f>
        <v/>
      </c>
      <c r="H200" s="19"/>
      <c r="I200" s="19"/>
      <c r="L200" s="4"/>
      <c r="N200" s="4"/>
      <c r="O200" s="61">
        <f t="shared" si="31"/>
        <v>0</v>
      </c>
      <c r="P200" s="60" t="str">
        <f t="shared" si="32"/>
        <v/>
      </c>
      <c r="R200" s="61" t="str">
        <f>_xlfn.IFNA(VLOOKUP(F200,tblDisciplines[],3,FALSE),"")</f>
        <v/>
      </c>
    </row>
    <row r="201" spans="1:18">
      <c r="A201" s="1" t="s">
        <v>200</v>
      </c>
      <c r="B201" t="str">
        <f t="shared" si="33"/>
        <v>¬</v>
      </c>
      <c r="D201" s="19"/>
      <c r="E201" s="15" t="s">
        <v>1505</v>
      </c>
      <c r="F201" s="3"/>
      <c r="G201" s="61" t="str">
        <f>_xlfn.IFNA(VLOOKUP(F201,tblDisciplines[#Data],2,FALSE),"")</f>
        <v/>
      </c>
      <c r="H201" s="19"/>
      <c r="I201" s="19"/>
      <c r="L201" s="4"/>
      <c r="N201" s="4"/>
      <c r="O201" s="61">
        <f t="shared" si="31"/>
        <v>0</v>
      </c>
      <c r="P201" s="60" t="str">
        <f t="shared" si="32"/>
        <v/>
      </c>
      <c r="R201" s="61" t="str">
        <f>_xlfn.IFNA(VLOOKUP(F201,tblDisciplines[],3,FALSE),"")</f>
        <v/>
      </c>
    </row>
    <row r="202" spans="1:18">
      <c r="A202" s="1" t="s">
        <v>201</v>
      </c>
      <c r="B202" t="str">
        <f t="shared" si="33"/>
        <v>¬</v>
      </c>
      <c r="D202" s="19"/>
      <c r="E202" s="15" t="s">
        <v>1506</v>
      </c>
      <c r="F202" s="3"/>
      <c r="G202" s="61" t="str">
        <f>_xlfn.IFNA(VLOOKUP(F202,tblDisciplines[#Data],2,FALSE),"")</f>
        <v/>
      </c>
      <c r="H202" s="19"/>
      <c r="I202" s="19"/>
      <c r="L202" s="4"/>
      <c r="N202" s="4"/>
      <c r="O202" s="61">
        <f t="shared" si="31"/>
        <v>0</v>
      </c>
      <c r="P202" s="60" t="str">
        <f t="shared" si="32"/>
        <v/>
      </c>
      <c r="R202" s="61" t="str">
        <f>_xlfn.IFNA(VLOOKUP(F202,tblDisciplines[],3,FALSE),"")</f>
        <v/>
      </c>
    </row>
    <row r="203" spans="1:18">
      <c r="A203" s="1" t="s">
        <v>202</v>
      </c>
      <c r="B203" t="str">
        <f t="shared" si="33"/>
        <v>¬</v>
      </c>
      <c r="D203" s="19"/>
      <c r="E203" s="15" t="s">
        <v>1507</v>
      </c>
      <c r="F203" s="3"/>
      <c r="G203" s="61" t="str">
        <f>_xlfn.IFNA(VLOOKUP(F203,tblDisciplines[#Data],2,FALSE),"")</f>
        <v/>
      </c>
      <c r="H203" s="19"/>
      <c r="I203" s="19"/>
      <c r="L203" s="4"/>
      <c r="N203" s="4"/>
      <c r="O203" s="61">
        <f t="shared" si="31"/>
        <v>0</v>
      </c>
      <c r="P203" s="60" t="str">
        <f t="shared" si="32"/>
        <v/>
      </c>
      <c r="R203" s="61" t="str">
        <f>_xlfn.IFNA(VLOOKUP(F203,tblDisciplines[],3,FALSE),"")</f>
        <v/>
      </c>
    </row>
    <row r="204" spans="1:18">
      <c r="A204" s="1" t="s">
        <v>203</v>
      </c>
      <c r="B204" t="str">
        <f t="shared" si="33"/>
        <v>¬</v>
      </c>
    </row>
    <row r="205" spans="1:18">
      <c r="A205" s="1" t="s">
        <v>204</v>
      </c>
      <c r="B205" t="str">
        <f t="shared" si="33"/>
        <v>¬</v>
      </c>
      <c r="D205" s="16" t="s">
        <v>1508</v>
      </c>
      <c r="E205" s="17"/>
      <c r="F205" s="17"/>
      <c r="G205" s="17"/>
      <c r="H205" s="17"/>
      <c r="I205" s="17"/>
    </row>
    <row r="206" spans="1:18">
      <c r="A206" s="1" t="s">
        <v>205</v>
      </c>
      <c r="B206" t="str">
        <f t="shared" si="33"/>
        <v>¬</v>
      </c>
      <c r="D206" s="19"/>
      <c r="E206" s="15" t="s">
        <v>1476</v>
      </c>
      <c r="F206" s="3"/>
      <c r="G206" s="19" t="str">
        <f>IFERROR(VLOOKUP(F206,tblManoeuvre[#Data],2,FALSE)&amp;" "&amp;VLOOKUP(F206,tblManoeuvre[#Data],3,FALSE),"")</f>
        <v/>
      </c>
      <c r="H206" s="68" t="str">
        <f>_xlfn.IFNA(IF(VLOOKUP(F206,tblMerits[#Data],6,FALSE)=0,"None",VLOOKUP(F206,tblMerits[#Data],6,FALSE)),"None")</f>
        <v>None</v>
      </c>
      <c r="I206" s="69"/>
      <c r="L206" s="4"/>
      <c r="M206" s="4"/>
      <c r="N206" s="4"/>
      <c r="O206" s="61">
        <f t="shared" ref="O206:O215" si="34">N206</f>
        <v>0</v>
      </c>
      <c r="P206" s="60">
        <f t="shared" ref="P206:P215" si="35">MIN(SUM(L206,M206,O206),R206)</f>
        <v>0</v>
      </c>
      <c r="Q206" s="61" t="str">
        <f>_xlfn.IFNA(VLOOKUP($F206,tblPacts[],3,FALSE),"")</f>
        <v/>
      </c>
      <c r="R206" s="61" t="str">
        <f>_xlfn.IFNA(VLOOKUP($F206,tblPacts[],4,FALSE),"")</f>
        <v/>
      </c>
    </row>
    <row r="207" spans="1:18">
      <c r="A207" s="1" t="s">
        <v>206</v>
      </c>
      <c r="B207" t="str">
        <f t="shared" si="33"/>
        <v>¬</v>
      </c>
      <c r="D207" s="19"/>
      <c r="E207" s="15" t="s">
        <v>1477</v>
      </c>
      <c r="F207" s="3"/>
      <c r="G207" s="19" t="str">
        <f>IFERROR(VLOOKUP(F207,tblManoeuvre[#Data],2,FALSE)&amp;" "&amp;VLOOKUP(F207,tblManoeuvre[#Data],3,FALSE),"")</f>
        <v/>
      </c>
      <c r="H207" s="68" t="str">
        <f>_xlfn.IFNA(IF(VLOOKUP(F207,tblMerits[#Data],6,FALSE)=0,"None",VLOOKUP(F207,tblMerits[#Data],6,FALSE)),"None")</f>
        <v>None</v>
      </c>
      <c r="I207" s="69"/>
      <c r="L207" s="4"/>
      <c r="M207" s="4"/>
      <c r="N207" s="4"/>
      <c r="O207" s="61">
        <f t="shared" si="34"/>
        <v>0</v>
      </c>
      <c r="P207" s="60">
        <f t="shared" si="35"/>
        <v>0</v>
      </c>
      <c r="Q207" s="61" t="str">
        <f>_xlfn.IFNA(VLOOKUP($F207,tblPacts[],3,FALSE),"")</f>
        <v/>
      </c>
      <c r="R207" s="61" t="str">
        <f>_xlfn.IFNA(VLOOKUP($F207,tblPacts[],4,FALSE),"")</f>
        <v/>
      </c>
    </row>
    <row r="208" spans="1:18">
      <c r="A208" s="1" t="s">
        <v>207</v>
      </c>
      <c r="B208" t="str">
        <f t="shared" si="33"/>
        <v>¬</v>
      </c>
      <c r="D208" s="19"/>
      <c r="E208" s="15" t="s">
        <v>1478</v>
      </c>
      <c r="F208" s="3"/>
      <c r="G208" s="19" t="str">
        <f>IFERROR(VLOOKUP(F208,tblManoeuvre[#Data],2,FALSE)&amp;" "&amp;VLOOKUP(F208,tblManoeuvre[#Data],3,FALSE),"")</f>
        <v/>
      </c>
      <c r="H208" s="68" t="str">
        <f>_xlfn.IFNA(IF(VLOOKUP(F208,tblMerits[#Data],6,FALSE)=0,"None",VLOOKUP(F208,tblMerits[#Data],6,FALSE)),"None")</f>
        <v>None</v>
      </c>
      <c r="I208" s="69"/>
      <c r="L208" s="4"/>
      <c r="M208" s="4"/>
      <c r="N208" s="4"/>
      <c r="O208" s="61">
        <f t="shared" si="34"/>
        <v>0</v>
      </c>
      <c r="P208" s="60">
        <f t="shared" si="35"/>
        <v>0</v>
      </c>
      <c r="Q208" s="61" t="str">
        <f>_xlfn.IFNA(VLOOKUP($F208,tblPacts[],3,FALSE),"")</f>
        <v/>
      </c>
      <c r="R208" s="61" t="str">
        <f>_xlfn.IFNA(VLOOKUP($F208,tblPacts[],4,FALSE),"")</f>
        <v/>
      </c>
    </row>
    <row r="209" spans="1:18">
      <c r="A209" s="1" t="s">
        <v>208</v>
      </c>
      <c r="B209" t="str">
        <f t="shared" si="33"/>
        <v>¬</v>
      </c>
      <c r="D209" s="19"/>
      <c r="E209" s="15" t="s">
        <v>1479</v>
      </c>
      <c r="F209" s="3"/>
      <c r="G209" s="19" t="str">
        <f>IFERROR(VLOOKUP(F209,tblManoeuvre[#Data],2,FALSE)&amp;" "&amp;VLOOKUP(F209,tblManoeuvre[#Data],3,FALSE),"")</f>
        <v/>
      </c>
      <c r="H209" s="68" t="str">
        <f>_xlfn.IFNA(IF(VLOOKUP(F209,tblMerits[#Data],6,FALSE)=0,"None",VLOOKUP(F209,tblMerits[#Data],6,FALSE)),"None")</f>
        <v>None</v>
      </c>
      <c r="I209" s="69"/>
      <c r="L209" s="4"/>
      <c r="M209" s="4"/>
      <c r="N209" s="4"/>
      <c r="O209" s="61">
        <f t="shared" si="34"/>
        <v>0</v>
      </c>
      <c r="P209" s="60">
        <f t="shared" si="35"/>
        <v>0</v>
      </c>
      <c r="Q209" s="61" t="str">
        <f>_xlfn.IFNA(VLOOKUP($F209,tblPacts[],3,FALSE),"")</f>
        <v/>
      </c>
      <c r="R209" s="61" t="str">
        <f>_xlfn.IFNA(VLOOKUP($F209,tblPacts[],4,FALSE),"")</f>
        <v/>
      </c>
    </row>
    <row r="210" spans="1:18">
      <c r="A210" s="1" t="s">
        <v>209</v>
      </c>
      <c r="B210" t="str">
        <f t="shared" si="33"/>
        <v>¬</v>
      </c>
      <c r="D210" s="19"/>
      <c r="E210" s="15" t="s">
        <v>1480</v>
      </c>
      <c r="F210" s="3"/>
      <c r="G210" s="19" t="str">
        <f>IFERROR(VLOOKUP(F210,tblManoeuvre[#Data],2,FALSE)&amp;" "&amp;VLOOKUP(F210,tblManoeuvre[#Data],3,FALSE),"")</f>
        <v/>
      </c>
      <c r="H210" s="68" t="str">
        <f>_xlfn.IFNA(IF(VLOOKUP(F210,tblMerits[#Data],6,FALSE)=0,"None",VLOOKUP(F210,tblMerits[#Data],6,FALSE)),"None")</f>
        <v>None</v>
      </c>
      <c r="I210" s="69"/>
      <c r="L210" s="4"/>
      <c r="M210" s="4"/>
      <c r="N210" s="4"/>
      <c r="O210" s="61">
        <f t="shared" si="34"/>
        <v>0</v>
      </c>
      <c r="P210" s="60">
        <f t="shared" si="35"/>
        <v>0</v>
      </c>
      <c r="Q210" s="61" t="str">
        <f>_xlfn.IFNA(VLOOKUP($F210,tblPacts[],3,FALSE),"")</f>
        <v/>
      </c>
      <c r="R210" s="61" t="str">
        <f>_xlfn.IFNA(VLOOKUP($F210,tblPacts[],4,FALSE),"")</f>
        <v/>
      </c>
    </row>
    <row r="211" spans="1:18">
      <c r="A211" s="1" t="s">
        <v>210</v>
      </c>
      <c r="B211" t="str">
        <f t="shared" si="33"/>
        <v>¬</v>
      </c>
      <c r="D211" s="19"/>
      <c r="E211" s="15" t="s">
        <v>1481</v>
      </c>
      <c r="F211" s="3"/>
      <c r="G211" s="19" t="str">
        <f>IFERROR(VLOOKUP(F211,tblManoeuvre[#Data],2,FALSE)&amp;" "&amp;VLOOKUP(F211,tblManoeuvre[#Data],3,FALSE),"")</f>
        <v/>
      </c>
      <c r="H211" s="68" t="str">
        <f>_xlfn.IFNA(IF(VLOOKUP(F211,tblMerits[#Data],6,FALSE)=0,"None",VLOOKUP(F211,tblMerits[#Data],6,FALSE)),"None")</f>
        <v>None</v>
      </c>
      <c r="I211" s="69"/>
      <c r="L211" s="4"/>
      <c r="M211" s="4"/>
      <c r="N211" s="4"/>
      <c r="O211" s="61">
        <f t="shared" si="34"/>
        <v>0</v>
      </c>
      <c r="P211" s="60">
        <f t="shared" si="35"/>
        <v>0</v>
      </c>
      <c r="Q211" s="61" t="str">
        <f>_xlfn.IFNA(VLOOKUP($F211,tblPacts[],3,FALSE),"")</f>
        <v/>
      </c>
      <c r="R211" s="61" t="str">
        <f>_xlfn.IFNA(VLOOKUP($F211,tblPacts[],4,FALSE),"")</f>
        <v/>
      </c>
    </row>
    <row r="212" spans="1:18">
      <c r="A212" s="1" t="s">
        <v>211</v>
      </c>
      <c r="B212" t="str">
        <f t="shared" si="33"/>
        <v>¬</v>
      </c>
      <c r="D212" s="19"/>
      <c r="E212" s="15" t="s">
        <v>1482</v>
      </c>
      <c r="F212" s="3"/>
      <c r="G212" s="19" t="str">
        <f>IFERROR(VLOOKUP(F212,tblManoeuvre[#Data],2,FALSE)&amp;" "&amp;VLOOKUP(F212,tblManoeuvre[#Data],3,FALSE),"")</f>
        <v/>
      </c>
      <c r="H212" s="68" t="str">
        <f>_xlfn.IFNA(IF(VLOOKUP(F212,tblMerits[#Data],6,FALSE)=0,"None",VLOOKUP(F212,tblMerits[#Data],6,FALSE)),"None")</f>
        <v>None</v>
      </c>
      <c r="I212" s="69"/>
      <c r="L212" s="4"/>
      <c r="M212" s="4"/>
      <c r="N212" s="4"/>
      <c r="O212" s="61">
        <f t="shared" si="34"/>
        <v>0</v>
      </c>
      <c r="P212" s="60">
        <f t="shared" si="35"/>
        <v>0</v>
      </c>
      <c r="Q212" s="61" t="str">
        <f>_xlfn.IFNA(VLOOKUP($F212,tblPacts[],3,FALSE),"")</f>
        <v/>
      </c>
      <c r="R212" s="61" t="str">
        <f>_xlfn.IFNA(VLOOKUP($F212,tblPacts[],4,FALSE),"")</f>
        <v/>
      </c>
    </row>
    <row r="213" spans="1:18">
      <c r="A213" s="1" t="s">
        <v>212</v>
      </c>
      <c r="B213" t="str">
        <f t="shared" si="33"/>
        <v>¬</v>
      </c>
      <c r="D213" s="19"/>
      <c r="E213" s="15" t="s">
        <v>1483</v>
      </c>
      <c r="F213" s="3"/>
      <c r="G213" s="19" t="str">
        <f>IFERROR(VLOOKUP(F213,tblManoeuvre[#Data],2,FALSE)&amp;" "&amp;VLOOKUP(F213,tblManoeuvre[#Data],3,FALSE),"")</f>
        <v/>
      </c>
      <c r="H213" s="68" t="str">
        <f>_xlfn.IFNA(IF(VLOOKUP(F213,tblMerits[#Data],6,FALSE)=0,"None",VLOOKUP(F213,tblMerits[#Data],6,FALSE)),"None")</f>
        <v>None</v>
      </c>
      <c r="I213" s="69"/>
      <c r="L213" s="4"/>
      <c r="M213" s="4"/>
      <c r="N213" s="4"/>
      <c r="O213" s="61">
        <f t="shared" si="34"/>
        <v>0</v>
      </c>
      <c r="P213" s="60">
        <f t="shared" si="35"/>
        <v>0</v>
      </c>
      <c r="Q213" s="61" t="str">
        <f>_xlfn.IFNA(VLOOKUP($F213,tblPacts[],3,FALSE),"")</f>
        <v/>
      </c>
      <c r="R213" s="61" t="str">
        <f>_xlfn.IFNA(VLOOKUP($F213,tblPacts[],4,FALSE),"")</f>
        <v/>
      </c>
    </row>
    <row r="214" spans="1:18">
      <c r="A214" s="1" t="s">
        <v>213</v>
      </c>
      <c r="B214" t="str">
        <f t="shared" si="33"/>
        <v>¬</v>
      </c>
      <c r="D214" s="19"/>
      <c r="E214" s="15" t="s">
        <v>1484</v>
      </c>
      <c r="F214" s="3"/>
      <c r="G214" s="19" t="str">
        <f>IFERROR(VLOOKUP(F214,tblManoeuvre[#Data],2,FALSE)&amp;" "&amp;VLOOKUP(F214,tblManoeuvre[#Data],3,FALSE),"")</f>
        <v/>
      </c>
      <c r="H214" s="68" t="str">
        <f>_xlfn.IFNA(IF(VLOOKUP(F214,tblMerits[#Data],6,FALSE)=0,"None",VLOOKUP(F214,tblMerits[#Data],6,FALSE)),"None")</f>
        <v>None</v>
      </c>
      <c r="I214" s="69"/>
      <c r="L214" s="4"/>
      <c r="M214" s="4"/>
      <c r="N214" s="4"/>
      <c r="O214" s="61">
        <f t="shared" si="34"/>
        <v>0</v>
      </c>
      <c r="P214" s="60">
        <f t="shared" si="35"/>
        <v>0</v>
      </c>
      <c r="Q214" s="61" t="str">
        <f>_xlfn.IFNA(VLOOKUP($F214,tblPacts[],3,FALSE),"")</f>
        <v/>
      </c>
      <c r="R214" s="61" t="str">
        <f>_xlfn.IFNA(VLOOKUP($F214,tblPacts[],4,FALSE),"")</f>
        <v/>
      </c>
    </row>
    <row r="215" spans="1:18">
      <c r="A215" s="1" t="s">
        <v>214</v>
      </c>
      <c r="B215" t="str">
        <f t="shared" si="33"/>
        <v>¬</v>
      </c>
      <c r="D215" s="19"/>
      <c r="E215" s="15" t="s">
        <v>1485</v>
      </c>
      <c r="F215" s="3"/>
      <c r="G215" s="19" t="str">
        <f>IFERROR(VLOOKUP(F215,tblManoeuvre[#Data],2,FALSE)&amp;" "&amp;VLOOKUP(F215,tblManoeuvre[#Data],3,FALSE),"")</f>
        <v/>
      </c>
      <c r="H215" s="68" t="str">
        <f>_xlfn.IFNA(IF(VLOOKUP(F215,tblMerits[#Data],6,FALSE)=0,"None",VLOOKUP(F215,tblMerits[#Data],6,FALSE)),"None")</f>
        <v>None</v>
      </c>
      <c r="I215" s="69"/>
      <c r="L215" s="4"/>
      <c r="M215" s="4"/>
      <c r="N215" s="4"/>
      <c r="O215" s="61">
        <f t="shared" si="34"/>
        <v>0</v>
      </c>
      <c r="P215" s="60">
        <f t="shared" si="35"/>
        <v>0</v>
      </c>
      <c r="Q215" s="61" t="str">
        <f>_xlfn.IFNA(VLOOKUP($F215,tblPacts[],3,FALSE),"")</f>
        <v/>
      </c>
      <c r="R215" s="61" t="str">
        <f>_xlfn.IFNA(VLOOKUP($F215,tblPacts[],4,FALSE),"")</f>
        <v/>
      </c>
    </row>
    <row r="216" spans="1:18">
      <c r="A216" s="1" t="s">
        <v>215</v>
      </c>
      <c r="B216" t="str">
        <f t="shared" si="33"/>
        <v>¬</v>
      </c>
    </row>
    <row r="217" spans="1:18">
      <c r="A217" s="1" t="s">
        <v>216</v>
      </c>
      <c r="B217" t="str">
        <f>IF(OR(AF134=0,AF134=""),"",REPT("●",AF134))</f>
        <v/>
      </c>
      <c r="D217" s="16" t="s">
        <v>1509</v>
      </c>
      <c r="E217" s="16"/>
      <c r="F217" s="16"/>
      <c r="G217" s="16"/>
      <c r="H217" s="16"/>
      <c r="I217" s="16"/>
    </row>
    <row r="218" spans="1:18">
      <c r="A218" s="1" t="s">
        <v>217</v>
      </c>
      <c r="B218" t="str">
        <f t="shared" ref="B218:B236" si="36">IF(OR(AF135=0,AF135=""),"",REPT("●",AF135))</f>
        <v/>
      </c>
      <c r="D218" s="19"/>
      <c r="E218" s="15" t="s">
        <v>353</v>
      </c>
      <c r="F218" s="19"/>
      <c r="G218" s="19"/>
      <c r="H218" s="19"/>
      <c r="I218" s="19"/>
      <c r="M218" s="61">
        <f>IF(COUNTIF(F79:F93,"Giant")&gt;0,1,0)+IF(COUNTIF(F79:F93,"Small-Framed")&gt;0,-1,0)</f>
        <v>0</v>
      </c>
      <c r="P218" s="60">
        <f>5+M218</f>
        <v>5</v>
      </c>
    </row>
    <row r="219" spans="1:18">
      <c r="A219" s="1" t="s">
        <v>218</v>
      </c>
      <c r="B219" t="str">
        <f t="shared" si="36"/>
        <v/>
      </c>
      <c r="D219" s="19"/>
      <c r="E219" s="15" t="s">
        <v>354</v>
      </c>
      <c r="F219" s="19"/>
      <c r="G219" s="19"/>
      <c r="H219" s="19"/>
      <c r="I219" s="19"/>
      <c r="P219" s="60">
        <f ca="1">VLOOKUP("Size",INDIRECT($AH$1),2,FALSE)+VLOOKUP("Strength",INDIRECT($AH$1),2,FALSE)+VLOOKUP("Dexterity",INDIRECT($AH$1),2,FALSE)+VLOOKUP("Vigour",INDIRECT($AH$1),2,FALSE)</f>
        <v>11</v>
      </c>
    </row>
    <row r="220" spans="1:18">
      <c r="A220" s="1" t="s">
        <v>219</v>
      </c>
      <c r="B220" t="str">
        <f t="shared" si="36"/>
        <v/>
      </c>
      <c r="D220" s="19"/>
      <c r="E220" s="15" t="s">
        <v>355</v>
      </c>
      <c r="F220" s="19"/>
      <c r="G220" s="19"/>
      <c r="H220" s="19"/>
      <c r="I220" s="19"/>
      <c r="P220" s="60">
        <f ca="1">MIN(VLOOKUP("Dexterity",INDIRECT($AH$1),2,FALSE),VLOOKUP("Wits",INDIRECT($AH$1),2,FALSE))+VLOOKUP("Athletics",INDIRECT($AH$1),2,FALSE)</f>
        <v>8</v>
      </c>
    </row>
    <row r="221" spans="1:18">
      <c r="A221" s="1" t="s">
        <v>220</v>
      </c>
      <c r="B221" t="str">
        <f t="shared" si="36"/>
        <v/>
      </c>
      <c r="D221" s="19"/>
      <c r="E221" s="15" t="s">
        <v>52</v>
      </c>
      <c r="F221" s="19"/>
      <c r="G221" s="19"/>
      <c r="H221" s="19"/>
      <c r="I221" s="19"/>
      <c r="P221" s="60">
        <f ca="1">VLOOKUP("Size",INDIRECT($AH$1),2,FALSE)+VLOOKUP("Stamina",INDIRECT($AH$1),2,FALSE)+VLOOKUP("Resilience",INDIRECT($AH$1),2,FALSE)</f>
        <v>9</v>
      </c>
    </row>
    <row r="222" spans="1:18">
      <c r="A222" s="1" t="s">
        <v>221</v>
      </c>
      <c r="B222" t="str">
        <f t="shared" si="36"/>
        <v/>
      </c>
      <c r="D222" s="19"/>
      <c r="E222" s="19"/>
      <c r="F222" s="19"/>
      <c r="G222" s="19"/>
      <c r="H222" s="15" t="s">
        <v>1510</v>
      </c>
      <c r="I222" s="19"/>
      <c r="L222" s="4"/>
    </row>
    <row r="223" spans="1:18">
      <c r="A223" s="1" t="s">
        <v>222</v>
      </c>
      <c r="B223" t="str">
        <f t="shared" si="36"/>
        <v/>
      </c>
      <c r="D223" s="19"/>
      <c r="E223" s="15" t="s">
        <v>1511</v>
      </c>
      <c r="F223" s="7"/>
      <c r="G223" s="19"/>
      <c r="H223" s="15" t="s">
        <v>1512</v>
      </c>
      <c r="I223" s="19"/>
      <c r="L223" s="4"/>
    </row>
    <row r="224" spans="1:18">
      <c r="A224" s="1" t="s">
        <v>223</v>
      </c>
      <c r="B224" t="str">
        <f t="shared" si="36"/>
        <v/>
      </c>
      <c r="D224" s="19"/>
      <c r="E224" s="15" t="s">
        <v>1513</v>
      </c>
      <c r="F224" s="7"/>
      <c r="G224" s="19"/>
      <c r="H224" s="15" t="s">
        <v>1514</v>
      </c>
      <c r="I224" s="19"/>
      <c r="L224" s="4"/>
    </row>
    <row r="225" spans="1:12">
      <c r="A225" s="1" t="s">
        <v>224</v>
      </c>
      <c r="B225" t="str">
        <f t="shared" si="36"/>
        <v/>
      </c>
      <c r="D225" s="19"/>
      <c r="E225" s="15" t="s">
        <v>1515</v>
      </c>
      <c r="F225" s="7"/>
      <c r="G225" s="19"/>
      <c r="H225" s="15" t="s">
        <v>1516</v>
      </c>
      <c r="I225" s="19"/>
      <c r="L225" s="4">
        <v>2</v>
      </c>
    </row>
    <row r="226" spans="1:12">
      <c r="A226" s="1" t="s">
        <v>225</v>
      </c>
      <c r="B226" t="str">
        <f t="shared" si="36"/>
        <v/>
      </c>
      <c r="D226" s="19"/>
      <c r="E226" s="15" t="s">
        <v>1517</v>
      </c>
      <c r="F226" s="7" t="s">
        <v>1617</v>
      </c>
      <c r="G226" s="19"/>
      <c r="H226" s="19"/>
      <c r="I226" s="19"/>
    </row>
    <row r="227" spans="1:12">
      <c r="A227" s="1" t="s">
        <v>226</v>
      </c>
      <c r="B227" t="str">
        <f t="shared" si="36"/>
        <v/>
      </c>
      <c r="D227" s="19"/>
      <c r="E227" s="15" t="s">
        <v>1518</v>
      </c>
      <c r="F227" s="7"/>
      <c r="G227" s="19"/>
      <c r="H227" s="19"/>
      <c r="I227" s="19"/>
    </row>
    <row r="228" spans="1:12">
      <c r="A228" s="1" t="s">
        <v>227</v>
      </c>
      <c r="B228" t="str">
        <f t="shared" si="36"/>
        <v/>
      </c>
      <c r="D228" s="19"/>
      <c r="E228" s="15" t="s">
        <v>1519</v>
      </c>
      <c r="F228" s="7"/>
      <c r="G228" s="19"/>
      <c r="H228" s="19"/>
      <c r="I228" s="19"/>
    </row>
    <row r="229" spans="1:12">
      <c r="A229" s="1" t="s">
        <v>228</v>
      </c>
      <c r="B229" t="str">
        <f t="shared" si="36"/>
        <v/>
      </c>
      <c r="D229" s="19"/>
      <c r="E229" s="15" t="s">
        <v>1520</v>
      </c>
      <c r="F229" s="7"/>
      <c r="G229" s="19"/>
      <c r="H229" s="19"/>
      <c r="I229" s="19"/>
    </row>
    <row r="230" spans="1:12">
      <c r="A230" s="1" t="s">
        <v>229</v>
      </c>
      <c r="B230" t="str">
        <f t="shared" si="36"/>
        <v/>
      </c>
      <c r="D230" s="19"/>
      <c r="E230" s="15" t="s">
        <v>1521</v>
      </c>
      <c r="F230" s="7"/>
      <c r="G230" s="19"/>
      <c r="H230" s="19"/>
      <c r="I230" s="19"/>
    </row>
    <row r="231" spans="1:12">
      <c r="A231" s="1" t="s">
        <v>230</v>
      </c>
      <c r="B231" t="str">
        <f t="shared" si="36"/>
        <v/>
      </c>
      <c r="D231" s="19"/>
      <c r="E231" s="15" t="s">
        <v>1522</v>
      </c>
      <c r="F231" s="7"/>
      <c r="G231" s="19"/>
      <c r="H231" s="19"/>
      <c r="I231" s="19"/>
    </row>
    <row r="232" spans="1:12">
      <c r="A232" s="1" t="s">
        <v>231</v>
      </c>
      <c r="B232" t="str">
        <f t="shared" si="36"/>
        <v/>
      </c>
      <c r="D232" s="19"/>
      <c r="E232" s="15" t="s">
        <v>1523</v>
      </c>
      <c r="F232" s="7"/>
      <c r="G232" s="19"/>
      <c r="H232" s="19"/>
      <c r="I232" s="19"/>
    </row>
    <row r="233" spans="1:12">
      <c r="A233" s="1" t="s">
        <v>232</v>
      </c>
      <c r="B233" t="str">
        <f t="shared" si="36"/>
        <v/>
      </c>
      <c r="D233" s="19"/>
      <c r="E233" s="19"/>
      <c r="F233" s="19"/>
      <c r="G233" s="19"/>
      <c r="H233" s="19"/>
      <c r="I233" s="19"/>
    </row>
    <row r="234" spans="1:12">
      <c r="A234" s="1" t="s">
        <v>233</v>
      </c>
      <c r="B234" t="str">
        <f t="shared" si="36"/>
        <v/>
      </c>
      <c r="D234" s="19"/>
      <c r="E234" s="15" t="s">
        <v>343</v>
      </c>
      <c r="F234" s="61" t="str">
        <f>_xlfn.IFNA(VLOOKUP(F7,tblClans[],4,FALSE),"")</f>
        <v>Aloof Curse</v>
      </c>
      <c r="G234" s="19"/>
      <c r="H234" s="74" t="str">
        <f>_xlfn.IFNA(VLOOKUP(F234,tblBanes[],2,FALSE),"")</f>
        <v>First Touchstone attaches to Humanity 7; losing it detaches on first Humanity loss. Breaking points always treated as one step lower.</v>
      </c>
      <c r="I234" s="74"/>
    </row>
    <row r="235" spans="1:12">
      <c r="A235" s="1" t="s">
        <v>234</v>
      </c>
      <c r="B235" t="str">
        <f t="shared" si="36"/>
        <v/>
      </c>
      <c r="D235" s="19"/>
      <c r="E235" s="15" t="s">
        <v>344</v>
      </c>
      <c r="F235" s="19"/>
      <c r="G235" s="19"/>
      <c r="H235" s="19"/>
      <c r="I235" s="19"/>
    </row>
    <row r="236" spans="1:12">
      <c r="A236" s="1" t="s">
        <v>235</v>
      </c>
      <c r="B236" t="str">
        <f t="shared" si="36"/>
        <v/>
      </c>
      <c r="D236" s="19"/>
      <c r="E236" s="15" t="s">
        <v>345</v>
      </c>
      <c r="F236" s="3"/>
      <c r="G236" s="19"/>
      <c r="H236" s="70" t="str">
        <f>_xlfn.IFNA(VLOOKUP(F236,tblBanes[],2,FALSE),"")</f>
        <v/>
      </c>
      <c r="I236" s="71"/>
    </row>
    <row r="237" spans="1:12">
      <c r="A237" s="1" t="s">
        <v>236</v>
      </c>
      <c r="B237" t="str">
        <f ca="1">_xlfn.LET(_xlpm.v,VLOOKUP(tblCharDataCazz[[#This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_xlfn.LET(_xlpm.v,VLOOKUP(tblCharDataCazz[[#This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_xlfn.LET(_xlpm.v,VLOOKUP(tblCharDataCazz[[#This Row],[Field]],INDIRECT($AH$1),2,FALSE),IF(OR(_xlpm.v=0,_xlpm.v=""),"-",REPT("●",_xlpm.v)))</f>
        <v>●</v>
      </c>
      <c r="D239" s="19"/>
      <c r="E239" s="19"/>
      <c r="F239" s="19"/>
      <c r="G239" s="19"/>
      <c r="H239" s="19"/>
      <c r="I239" s="19"/>
    </row>
    <row r="240" spans="1:12">
      <c r="A240" s="1" t="s">
        <v>239</v>
      </c>
      <c r="B240" t="str">
        <f ca="1">_xlfn.LET(_xlpm.v,VLOOKUP(tblCharDataCazz[[#This Row],[Field]],INDIRECT($AH$1),2,FALSE),IF(OR(_xlpm.v=0,_xlpm.v=""),"-",REPT("●",_xlpm.v)))</f>
        <v>-</v>
      </c>
      <c r="D240" s="19"/>
      <c r="E240" s="15" t="s">
        <v>360</v>
      </c>
      <c r="F240" s="62"/>
      <c r="G240" s="63"/>
      <c r="H240" s="63"/>
      <c r="I240" s="64"/>
    </row>
    <row r="241" spans="1:9">
      <c r="A241" s="1" t="s">
        <v>240</v>
      </c>
      <c r="B241" t="str">
        <f ca="1">_xlfn.LET(_xlpm.v,VLOOKUP(tblCharDataCazz[[#This Row],[Field]],INDIRECT($AH$1),2,FALSE),IF(OR(_xlpm.v=0,_xlpm.v=""),"-",REPT("●",_xlpm.v)))</f>
        <v>-</v>
      </c>
      <c r="D241" s="19"/>
      <c r="E241" s="15" t="s">
        <v>361</v>
      </c>
      <c r="F241" s="62"/>
      <c r="G241" s="63"/>
      <c r="H241" s="63"/>
      <c r="I241" s="64"/>
    </row>
    <row r="242" spans="1:9">
      <c r="A242" s="1" t="s">
        <v>241</v>
      </c>
      <c r="B242" t="str">
        <f ca="1">_xlfn.LET(_xlpm.v,VLOOKUP(tblCharDataCazz[[#This Row],[Field]],INDIRECT($AH$1),2,FALSE),IF(OR(_xlpm.v=0,_xlpm.v=""),"-",REPT("●",_xlpm.v)))</f>
        <v>-</v>
      </c>
      <c r="D242" s="19"/>
      <c r="E242" s="15" t="s">
        <v>362</v>
      </c>
      <c r="F242" s="62"/>
      <c r="G242" s="63"/>
      <c r="H242" s="63"/>
      <c r="I242" s="64"/>
    </row>
    <row r="243" spans="1:9">
      <c r="A243" s="1" t="s">
        <v>242</v>
      </c>
      <c r="B243" t="str">
        <f ca="1">_xlfn.LET(_xlpm.v,VLOOKUP(tblCharDataCazz[[#This Row],[Field]],INDIRECT($AH$1),2,FALSE),IF(OR(_xlpm.v=0,_xlpm.v=""),"-",REPT("●",_xlpm.v)))</f>
        <v>●</v>
      </c>
      <c r="D243" s="19"/>
      <c r="E243" s="19"/>
      <c r="F243" s="19"/>
      <c r="G243" s="19"/>
      <c r="H243" s="19"/>
      <c r="I243" s="19"/>
    </row>
    <row r="244" spans="1:9">
      <c r="A244" s="1" t="s">
        <v>243</v>
      </c>
      <c r="B244" t="str">
        <f ca="1">_xlfn.LET(_xlpm.v,VLOOKUP(tblCharDataCazz[[#This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_xlfn.LET(_xlpm.v,VLOOKUP(tblCharDataCazz[[#This Row],[Field]],INDIRECT($AH$1),2,FALSE),IF(OR(_xlpm.v=0,_xlpm.v=""),"-",REPT("●",_xlpm.v)))</f>
        <v>●</v>
      </c>
      <c r="D245" s="19"/>
      <c r="E245" s="15" t="s">
        <v>1524</v>
      </c>
      <c r="F245" s="62"/>
      <c r="G245" s="63"/>
      <c r="H245" s="63"/>
      <c r="I245" s="64"/>
    </row>
    <row r="246" spans="1:9">
      <c r="A246" s="1" t="s">
        <v>245</v>
      </c>
      <c r="B246" t="str">
        <f ca="1">_xlfn.LET(_xlpm.v,VLOOKUP(tblCharDataCazz[[#This Row],[Field]],INDIRECT($AH$1),2,FALSE),IF(OR(_xlpm.v=0,_xlpm.v=""),"-",REPT("●",_xlpm.v)))</f>
        <v>-</v>
      </c>
    </row>
    <row r="247" spans="1:9">
      <c r="A247" s="1" t="s">
        <v>246</v>
      </c>
      <c r="B247" t="str">
        <f ca="1">_xlfn.LET(_xlpm.v,VLOOKUP(tblCharDataCazz[[#This Row],[Field]],INDIRECT($AH$1),2,FALSE),IF(OR(_xlpm.v=0,_xlpm.v=""),"-",REPT("●",_xlpm.v)))</f>
        <v>-</v>
      </c>
      <c r="D247" s="16" t="s">
        <v>1525</v>
      </c>
      <c r="E247" s="16"/>
      <c r="F247" s="16" t="s">
        <v>1526</v>
      </c>
      <c r="G247" s="16" t="s">
        <v>1527</v>
      </c>
      <c r="H247" s="16"/>
      <c r="I247" s="16"/>
    </row>
    <row r="248" spans="1:9">
      <c r="A248" s="1" t="s">
        <v>247</v>
      </c>
      <c r="B248" t="str">
        <f ca="1">_xlfn.LET(_xlpm.v,VLOOKUP(tblCharDataCazz[[#This Row],[Field]],INDIRECT($AH$1),2,FALSE),IF(OR(_xlpm.v=0,_xlpm.v=""),"-",REPT("●",_xlpm.v)))</f>
        <v>-</v>
      </c>
      <c r="D248" s="19"/>
      <c r="E248" s="15" t="s">
        <v>1528</v>
      </c>
      <c r="F248" s="7"/>
      <c r="G248" s="7"/>
      <c r="H248" s="19"/>
      <c r="I248" s="19" t="s">
        <v>1529</v>
      </c>
    </row>
    <row r="249" spans="1:9">
      <c r="A249" s="1" t="s">
        <v>248</v>
      </c>
      <c r="B249" t="str">
        <f ca="1">_xlfn.LET(_xlpm.v,VLOOKUP(tblCharDataCazz[[#This Row],[Field]],INDIRECT($AH$1),2,FALSE),IF(OR(_xlpm.v=0,_xlpm.v=""),"-",REPT("●",_xlpm.v)))</f>
        <v>-</v>
      </c>
      <c r="D249" s="19"/>
      <c r="E249" s="15" t="s">
        <v>1530</v>
      </c>
      <c r="F249" s="7"/>
      <c r="G249" s="7"/>
      <c r="H249" s="19"/>
      <c r="I249" s="19" t="s">
        <v>1531</v>
      </c>
    </row>
    <row r="250" spans="1:9">
      <c r="A250" s="1" t="s">
        <v>249</v>
      </c>
      <c r="B250" t="str">
        <f ca="1">_xlfn.LET(_xlpm.v,VLOOKUP(tblCharDataCazz[[#This Row],[Field]],INDIRECT($AH$1),2,FALSE),IF(OR(_xlpm.v=0,_xlpm.v=""),"-",REPT("●",_xlpm.v)))</f>
        <v>-</v>
      </c>
      <c r="D250" s="19" t="s">
        <v>1532</v>
      </c>
      <c r="E250" s="15" t="s">
        <v>1533</v>
      </c>
      <c r="F250" s="7"/>
      <c r="G250" s="7"/>
      <c r="H250" s="19"/>
      <c r="I250" s="19"/>
    </row>
    <row r="251" spans="1:9">
      <c r="A251" s="1" t="s">
        <v>250</v>
      </c>
      <c r="B251" t="str">
        <f ca="1">_xlfn.LET(_xlpm.v,VLOOKUP(tblCharDataCazz[[#This Row],[Field]],INDIRECT($AH$1),2,FALSE),IF(OR(_xlpm.v=0,_xlpm.v=""),"-",REPT("●",_xlpm.v)))</f>
        <v>-</v>
      </c>
      <c r="D251" s="19" t="s">
        <v>1532</v>
      </c>
      <c r="E251" s="15" t="s">
        <v>1534</v>
      </c>
      <c r="F251" s="7"/>
      <c r="G251" s="7"/>
      <c r="H251" s="19"/>
      <c r="I251" s="19"/>
    </row>
    <row r="252" spans="1:9">
      <c r="A252" s="1" t="s">
        <v>251</v>
      </c>
      <c r="B252" t="str">
        <f ca="1">_xlfn.LET(_xlpm.v,VLOOKUP(tblCharDataCazz[[#This Row],[Field]],INDIRECT($AH$1),2,FALSE),IF(OR(_xlpm.v=0,_xlpm.v=""),"-",REPT("●",_xlpm.v)))</f>
        <v>-</v>
      </c>
      <c r="D252" s="19" t="s">
        <v>1532</v>
      </c>
      <c r="E252" s="15" t="s">
        <v>1535</v>
      </c>
      <c r="F252" s="7"/>
      <c r="G252" s="7"/>
      <c r="H252" s="19"/>
      <c r="I252" s="19"/>
    </row>
    <row r="253" spans="1:9">
      <c r="A253" s="1" t="s">
        <v>252</v>
      </c>
      <c r="B253" t="str">
        <f ca="1">_xlfn.LET(_xlpm.v,VLOOKUP(tblCharDataCazz[[#This Row],[Field]],INDIRECT($AH$1),2,FALSE),IF(OR(_xlpm.v=0,_xlpm.v=""),"-",REPT("●",_xlpm.v)))</f>
        <v>-</v>
      </c>
      <c r="D253" s="19" t="s">
        <v>1532</v>
      </c>
      <c r="E253" s="15" t="s">
        <v>1536</v>
      </c>
      <c r="F253" s="7"/>
      <c r="G253" s="7"/>
      <c r="H253" s="19"/>
      <c r="I253" s="19"/>
    </row>
    <row r="254" spans="1:9">
      <c r="A254" s="1" t="s">
        <v>253</v>
      </c>
      <c r="B254" t="str">
        <f t="shared" ref="B254:B283" si="37">IF(AD44="","¬",AD44)</f>
        <v>Auspex ● | Beast's Hackles</v>
      </c>
      <c r="D254" s="19" t="s">
        <v>1532</v>
      </c>
      <c r="E254" s="15" t="s">
        <v>1537</v>
      </c>
      <c r="F254" s="7"/>
      <c r="G254" s="7"/>
      <c r="H254" s="19"/>
      <c r="I254" s="19"/>
    </row>
    <row r="255" spans="1:9">
      <c r="A255" s="1" t="s">
        <v>254</v>
      </c>
      <c r="B255" t="str">
        <f t="shared" si="37"/>
        <v>Celerity ●</v>
      </c>
      <c r="D255" s="19" t="s">
        <v>1532</v>
      </c>
      <c r="E255" s="15" t="s">
        <v>1538</v>
      </c>
      <c r="F255" s="7"/>
      <c r="G255" s="7"/>
      <c r="H255" s="19"/>
      <c r="I255" s="19"/>
    </row>
    <row r="256" spans="1:9">
      <c r="A256" s="1" t="s">
        <v>255</v>
      </c>
      <c r="B256" t="str">
        <f t="shared" si="37"/>
        <v>Obfuscate ● | Face in the Crowd</v>
      </c>
      <c r="D256" s="19" t="s">
        <v>1532</v>
      </c>
      <c r="E256" s="15" t="s">
        <v>1539</v>
      </c>
      <c r="F256" s="7"/>
      <c r="G256" s="7"/>
      <c r="H256" s="19"/>
      <c r="I256" s="19"/>
    </row>
    <row r="257" spans="1:9">
      <c r="A257" s="1" t="s">
        <v>256</v>
      </c>
      <c r="B257" t="str">
        <f t="shared" si="37"/>
        <v>Resilience ●</v>
      </c>
      <c r="D257" s="19" t="s">
        <v>1532</v>
      </c>
      <c r="E257" s="15" t="s">
        <v>1540</v>
      </c>
      <c r="F257" s="7"/>
      <c r="G257" s="7"/>
      <c r="H257" s="19"/>
      <c r="I257" s="19"/>
    </row>
    <row r="258" spans="1:9">
      <c r="A258" s="1" t="s">
        <v>257</v>
      </c>
      <c r="B258" t="str">
        <f t="shared" si="37"/>
        <v>¬</v>
      </c>
      <c r="D258" s="19" t="s">
        <v>1532</v>
      </c>
      <c r="E258" s="15" t="s">
        <v>1541</v>
      </c>
      <c r="F258" s="7"/>
      <c r="G258" s="7"/>
      <c r="H258" s="19"/>
      <c r="I258" s="19"/>
    </row>
    <row r="259" spans="1:9">
      <c r="A259" s="1" t="s">
        <v>258</v>
      </c>
      <c r="B259" t="str">
        <f t="shared" si="37"/>
        <v>¬</v>
      </c>
      <c r="D259" s="19" t="s">
        <v>1532</v>
      </c>
      <c r="E259" s="15" t="s">
        <v>1542</v>
      </c>
      <c r="F259" s="7"/>
      <c r="G259" s="7"/>
      <c r="H259" s="19"/>
      <c r="I259" s="19"/>
    </row>
    <row r="260" spans="1:9">
      <c r="A260" s="1" t="s">
        <v>259</v>
      </c>
      <c r="B260" t="str">
        <f t="shared" si="37"/>
        <v>¬</v>
      </c>
      <c r="D260" s="19" t="s">
        <v>1532</v>
      </c>
      <c r="E260" s="15" t="s">
        <v>1543</v>
      </c>
      <c r="F260" s="7"/>
      <c r="G260" s="7"/>
      <c r="H260" s="19"/>
      <c r="I260" s="19"/>
    </row>
    <row r="261" spans="1:9">
      <c r="A261" s="1" t="s">
        <v>260</v>
      </c>
      <c r="B261" t="str">
        <f t="shared" si="37"/>
        <v>¬</v>
      </c>
      <c r="D261" s="19" t="s">
        <v>1532</v>
      </c>
      <c r="E261" s="15" t="s">
        <v>1544</v>
      </c>
      <c r="F261" s="7"/>
      <c r="G261" s="7"/>
      <c r="H261" s="19"/>
      <c r="I261" s="19"/>
    </row>
    <row r="262" spans="1:9">
      <c r="A262" s="1" t="s">
        <v>261</v>
      </c>
      <c r="B262" t="str">
        <f t="shared" si="37"/>
        <v>¬</v>
      </c>
      <c r="D262" s="19" t="s">
        <v>1532</v>
      </c>
      <c r="E262" s="15" t="s">
        <v>1545</v>
      </c>
      <c r="F262" s="7"/>
      <c r="G262" s="7"/>
      <c r="H262" s="19"/>
      <c r="I262" s="19"/>
    </row>
    <row r="263" spans="1:9">
      <c r="A263" s="1" t="s">
        <v>262</v>
      </c>
      <c r="B263" t="str">
        <f t="shared" si="37"/>
        <v>¬</v>
      </c>
      <c r="D263" s="19" t="s">
        <v>1532</v>
      </c>
      <c r="E263" s="15" t="s">
        <v>1546</v>
      </c>
      <c r="F263" s="7"/>
      <c r="G263" s="7"/>
      <c r="H263" s="19"/>
      <c r="I263" s="19"/>
    </row>
    <row r="264" spans="1:9">
      <c r="A264" s="1" t="s">
        <v>263</v>
      </c>
      <c r="B264" t="str">
        <f t="shared" si="37"/>
        <v>¬</v>
      </c>
      <c r="D264" s="19" t="s">
        <v>1532</v>
      </c>
      <c r="E264" s="15" t="s">
        <v>1547</v>
      </c>
      <c r="F264" s="7"/>
      <c r="G264" s="7"/>
      <c r="H264" s="19"/>
      <c r="I264" s="19"/>
    </row>
    <row r="265" spans="1:9">
      <c r="A265" s="1" t="s">
        <v>264</v>
      </c>
      <c r="B265" t="str">
        <f t="shared" si="37"/>
        <v>¬</v>
      </c>
      <c r="D265" s="19" t="s">
        <v>1532</v>
      </c>
      <c r="E265" s="15" t="s">
        <v>1548</v>
      </c>
      <c r="F265" s="7"/>
      <c r="G265" s="7"/>
      <c r="H265" s="19"/>
      <c r="I265" s="19"/>
    </row>
    <row r="266" spans="1:9">
      <c r="A266" s="1" t="s">
        <v>265</v>
      </c>
      <c r="B266" t="str">
        <f t="shared" si="37"/>
        <v>¬</v>
      </c>
      <c r="D266" s="19" t="s">
        <v>1532</v>
      </c>
      <c r="E266" s="15" t="s">
        <v>1549</v>
      </c>
      <c r="F266" s="7"/>
      <c r="G266" s="7"/>
      <c r="H266" s="19"/>
      <c r="I266" s="19"/>
    </row>
    <row r="267" spans="1:9">
      <c r="A267" s="1" t="s">
        <v>266</v>
      </c>
      <c r="B267" t="str">
        <f t="shared" si="37"/>
        <v>¬</v>
      </c>
      <c r="D267" s="19" t="s">
        <v>1532</v>
      </c>
      <c r="E267" s="15" t="s">
        <v>1550</v>
      </c>
      <c r="F267" s="7"/>
      <c r="G267" s="7"/>
      <c r="H267" s="19"/>
      <c r="I267" s="19"/>
    </row>
    <row r="268" spans="1:9">
      <c r="A268" s="1" t="s">
        <v>267</v>
      </c>
      <c r="B268" t="str">
        <f t="shared" si="37"/>
        <v>¬</v>
      </c>
      <c r="D268" s="19" t="s">
        <v>1532</v>
      </c>
      <c r="E268" s="15" t="s">
        <v>1551</v>
      </c>
      <c r="F268" s="7"/>
      <c r="G268" s="7"/>
      <c r="H268" s="19"/>
      <c r="I268" s="19"/>
    </row>
    <row r="269" spans="1:9">
      <c r="A269" s="1" t="s">
        <v>268</v>
      </c>
      <c r="B269" t="str">
        <f t="shared" si="37"/>
        <v>¬</v>
      </c>
      <c r="D269" s="19" t="s">
        <v>1532</v>
      </c>
      <c r="E269" s="15" t="s">
        <v>1552</v>
      </c>
      <c r="F269" s="7"/>
      <c r="G269" s="7"/>
      <c r="H269" s="19"/>
      <c r="I269" s="19"/>
    </row>
    <row r="270" spans="1:9">
      <c r="A270" s="1" t="s">
        <v>269</v>
      </c>
      <c r="B270" t="str">
        <f t="shared" si="37"/>
        <v>¬</v>
      </c>
      <c r="D270" s="19" t="s">
        <v>1532</v>
      </c>
      <c r="E270" s="15" t="s">
        <v>1553</v>
      </c>
      <c r="F270" s="7"/>
      <c r="G270" s="7"/>
      <c r="H270" s="19"/>
      <c r="I270" s="19"/>
    </row>
    <row r="271" spans="1:9">
      <c r="A271" s="1" t="s">
        <v>270</v>
      </c>
      <c r="B271" t="str">
        <f t="shared" si="37"/>
        <v>¬</v>
      </c>
      <c r="D271" s="19" t="s">
        <v>1532</v>
      </c>
      <c r="E271" s="15" t="s">
        <v>1554</v>
      </c>
      <c r="F271" s="7"/>
      <c r="G271" s="7"/>
      <c r="H271" s="19"/>
      <c r="I271" s="19"/>
    </row>
    <row r="272" spans="1:9">
      <c r="A272" s="1" t="s">
        <v>271</v>
      </c>
      <c r="B272" t="str">
        <f t="shared" si="37"/>
        <v>¬</v>
      </c>
      <c r="D272" s="19" t="s">
        <v>1532</v>
      </c>
      <c r="E272" s="15" t="s">
        <v>1555</v>
      </c>
      <c r="F272" s="7"/>
      <c r="G272" s="7"/>
      <c r="H272" s="19"/>
      <c r="I272" s="19"/>
    </row>
    <row r="273" spans="1:14">
      <c r="A273" s="1" t="s">
        <v>272</v>
      </c>
      <c r="B273" t="str">
        <f t="shared" si="37"/>
        <v>¬</v>
      </c>
      <c r="D273" s="19" t="s">
        <v>1532</v>
      </c>
      <c r="E273" s="15" t="s">
        <v>1556</v>
      </c>
      <c r="F273" s="7"/>
      <c r="G273" s="7"/>
      <c r="H273" s="19"/>
      <c r="I273" s="19"/>
    </row>
    <row r="274" spans="1:14">
      <c r="A274" s="1" t="s">
        <v>273</v>
      </c>
      <c r="B274" t="str">
        <f t="shared" si="37"/>
        <v>¬</v>
      </c>
      <c r="D274" s="19" t="s">
        <v>1532</v>
      </c>
      <c r="E274" s="15" t="s">
        <v>1557</v>
      </c>
      <c r="F274" s="7"/>
      <c r="G274" s="7"/>
      <c r="H274" s="19"/>
      <c r="I274" s="19"/>
    </row>
    <row r="275" spans="1:14">
      <c r="A275" s="1" t="s">
        <v>274</v>
      </c>
      <c r="B275" t="str">
        <f t="shared" si="37"/>
        <v>¬</v>
      </c>
      <c r="D275" s="19" t="s">
        <v>1532</v>
      </c>
      <c r="E275" s="15" t="s">
        <v>1558</v>
      </c>
      <c r="F275" s="7"/>
      <c r="G275" s="7"/>
      <c r="H275" s="19"/>
      <c r="I275" s="19"/>
    </row>
    <row r="276" spans="1:14">
      <c r="A276" s="1" t="s">
        <v>275</v>
      </c>
      <c r="B276" t="str">
        <f t="shared" si="37"/>
        <v>¬</v>
      </c>
      <c r="D276" s="19" t="s">
        <v>1532</v>
      </c>
      <c r="E276" s="15" t="s">
        <v>1559</v>
      </c>
      <c r="F276" s="7"/>
      <c r="G276" s="7"/>
      <c r="H276" s="19"/>
      <c r="I276" s="19"/>
    </row>
    <row r="277" spans="1:14">
      <c r="A277" s="1" t="s">
        <v>276</v>
      </c>
      <c r="B277" t="str">
        <f t="shared" si="37"/>
        <v>¬</v>
      </c>
      <c r="D277" s="19" t="s">
        <v>1532</v>
      </c>
      <c r="E277" s="15" t="s">
        <v>1560</v>
      </c>
      <c r="F277" s="7"/>
      <c r="G277" s="7"/>
      <c r="H277" s="19"/>
      <c r="I277" s="19"/>
    </row>
    <row r="278" spans="1:14">
      <c r="A278" s="1" t="s">
        <v>277</v>
      </c>
      <c r="B278" t="str">
        <f t="shared" si="37"/>
        <v>¬</v>
      </c>
    </row>
    <row r="279" spans="1:14">
      <c r="A279" s="1" t="s">
        <v>278</v>
      </c>
      <c r="B279" t="str">
        <f t="shared" si="37"/>
        <v>¬</v>
      </c>
      <c r="D279" s="16" t="s">
        <v>1561</v>
      </c>
      <c r="E279" s="16"/>
      <c r="F279" s="16" t="s">
        <v>1347</v>
      </c>
      <c r="G279" s="16" t="s">
        <v>1348</v>
      </c>
      <c r="H279" s="16" t="s">
        <v>1349</v>
      </c>
      <c r="I279" s="16" t="s">
        <v>1350</v>
      </c>
      <c r="N279" s="60">
        <f ca="1">SUM(N280:N282)</f>
        <v>3</v>
      </c>
    </row>
    <row r="280" spans="1:14">
      <c r="A280" s="1" t="s">
        <v>279</v>
      </c>
      <c r="B280" t="str">
        <f t="shared" si="37"/>
        <v>¬</v>
      </c>
      <c r="D280" s="61" t="str" cm="1">
        <f t="array" aca="1" ref="D280" ca="1">INDEX(Attendance!$C$14:$GP$44,
       MATCH($F$4, Attendance!$C$14:$C$44, 0),
       MATCH(1, (Attendance!$C$12:$GP$12=$E280) * (Attendance!$C$13:$GP$13="Paid"), 0)
)</f>
        <v>Cash</v>
      </c>
      <c r="E280" s="41">
        <v>46054</v>
      </c>
      <c r="F280" s="61" cm="1">
        <f t="array" aca="1" ref="F280" ca="1">N(INDEX(Attendance!$C$14:$GP$104,
       MATCH($F$4, Attendance!$C$14:$C$104, 0),
       MATCH(1, (Attendance!$C$12:$GP$12=$E280) * (Attendance!$C$13:$GP$13=$F$279), 0)
))</f>
        <v>3</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0</v>
      </c>
      <c r="I280" s="61" t="str" cm="1">
        <f t="array" aca="1" ref="I280" ca="1">INDEX(Attendance!$C$14:$GP$44,
       MATCH($F$4, Attendance!$C$14:$C$44, 0),
       MATCH(1, (Attendance!$C$12:$GP$12=$E280) * (Attendance!$C$13:$GP$13=$I$279), 0)
)</f>
        <v>Quiet</v>
      </c>
      <c r="K280" s="18"/>
      <c r="L280" s="18"/>
      <c r="M280" s="18" t="s">
        <v>1562</v>
      </c>
      <c r="N280" s="61">
        <f ca="1">SUM(F$280:F$316)</f>
        <v>3</v>
      </c>
    </row>
    <row r="281" spans="1:14">
      <c r="A281" s="1" t="s">
        <v>280</v>
      </c>
      <c r="B281" t="str">
        <f t="shared" si="37"/>
        <v>¬</v>
      </c>
      <c r="D281" s="61" t="str" cm="1">
        <f t="array" aca="1" ref="D281" ca="1">INDEX(Attendance!$C$14:$GP$44,
       MATCH($F$4, Attendance!$C$14:$C$44, 0),
       MATCH(1, (Attendance!$C$12:$GP$12=$E281) * (Attendance!$C$13:$GP$13="Paid"), 0)
)</f>
        <v> </v>
      </c>
      <c r="E281" s="42">
        <f t="shared" ref="E281:E316" si="38">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7"/>
        <v>¬</v>
      </c>
      <c r="D282" s="61" t="str" cm="1">
        <f t="array" aca="1" ref="D282" ca="1">INDEX(Attendance!$C$14:$GP$44,
       MATCH($F$4, Attendance!$C$14:$C$44, 0),
       MATCH(1, (Attendance!$C$12:$GP$12=$E282) * (Attendance!$C$13:$GP$13="Paid"), 0)
)</f>
        <v> </v>
      </c>
      <c r="E282" s="42">
        <f t="shared" si="38"/>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0</v>
      </c>
    </row>
    <row r="283" spans="1:14">
      <c r="A283" s="1" t="s">
        <v>282</v>
      </c>
      <c r="B283" t="str">
        <f t="shared" si="37"/>
        <v>¬</v>
      </c>
      <c r="D283" s="61" t="str" cm="1">
        <f t="array" aca="1" ref="D283" ca="1">INDEX(Attendance!$C$14:$GP$44,
       MATCH($F$4, Attendance!$C$14:$C$44, 0),
       MATCH(1, (Attendance!$C$12:$GP$12=$E283) * (Attendance!$C$13:$GP$13="Paid"), 0)
)</f>
        <v> </v>
      </c>
      <c r="E283" s="42">
        <f t="shared" si="38"/>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9">IF(AE44="","¬",AE44)</f>
        <v>Cost: Free (1 V for Insight)  •  Pool: - - Composure &amp; Closed Book  •  Instant  •  Scene</v>
      </c>
      <c r="D284" s="61" t="str" cm="1">
        <f t="array" aca="1" ref="D284" ca="1">INDEX(Attendance!$C$14:$GP$44,
       MATCH($F$4, Attendance!$C$14:$C$44, 0),
       MATCH(1, (Attendance!$C$12:$GP$12=$E284) * (Attendance!$C$13:$GP$13="Paid"), 0)
)</f>
        <v> </v>
      </c>
      <c r="E284" s="42">
        <f t="shared" si="38"/>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9"/>
        <v>Cost: 1 V per effect  •  Pool: -  •  Reflexive  •  1 turn</v>
      </c>
      <c r="D285" s="61" t="str" cm="1">
        <f t="array" aca="1" ref="D285" ca="1">INDEX(Attendance!$C$14:$GP$44,
       MATCH($F$4, Attendance!$C$14:$C$44, 0),
       MATCH(1, (Attendance!$C$12:$GP$12=$E285) * (Attendance!$C$13:$GP$13="Paid"), 0)
)</f>
        <v> </v>
      </c>
      <c r="E285" s="42">
        <f t="shared" si="38"/>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9"/>
        <v>Cost: -  •  Pool: -  •  Instant  •  Scene</v>
      </c>
      <c r="D286" s="61" t="str" cm="1">
        <f t="array" aca="1" ref="D286" ca="1">INDEX(Attendance!$C$14:$GP$44,
       MATCH($F$4, Attendance!$C$14:$C$44, 0),
       MATCH(1, (Attendance!$C$12:$GP$12=$E286) * (Attendance!$C$13:$GP$13="Paid"), 0)
)</f>
        <v> </v>
      </c>
      <c r="E286" s="42">
        <f t="shared" si="38"/>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9"/>
        <v>Cost: 1 V per effect  •  Pool: -  •  Reflexive  •  1 turn</v>
      </c>
      <c r="D287" s="61" t="str" cm="1">
        <f t="array" aca="1" ref="D287" ca="1">INDEX(Attendance!$C$14:$GP$44,
       MATCH($F$4, Attendance!$C$14:$C$44, 0),
       MATCH(1, (Attendance!$C$12:$GP$12=$E287) * (Attendance!$C$13:$GP$13="Paid"), 0)
)</f>
        <v> </v>
      </c>
      <c r="E287" s="42">
        <f t="shared" si="38"/>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9"/>
        <v>¬</v>
      </c>
      <c r="D288" s="61" t="str" cm="1">
        <f t="array" aca="1" ref="D288" ca="1">INDEX(Attendance!$C$14:$GP$44,
       MATCH($F$4, Attendance!$C$14:$C$44, 0),
       MATCH(1, (Attendance!$C$12:$GP$12=$E288) * (Attendance!$C$13:$GP$13="Paid"), 0)
)</f>
        <v> </v>
      </c>
      <c r="E288" s="42">
        <f t="shared" si="38"/>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9"/>
        <v>¬</v>
      </c>
      <c r="D289" s="61" t="str" cm="1">
        <f t="array" aca="1" ref="D289" ca="1">INDEX(Attendance!$C$14:$GP$44,
       MATCH($F$4, Attendance!$C$14:$C$44, 0),
       MATCH(1, (Attendance!$C$12:$GP$12=$E289) * (Attendance!$C$13:$GP$13="Paid"), 0)
)</f>
        <v> </v>
      </c>
      <c r="E289" s="42">
        <f t="shared" si="38"/>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9"/>
        <v>¬</v>
      </c>
      <c r="D290" s="61" t="str" cm="1">
        <f t="array" aca="1" ref="D290" ca="1">INDEX(Attendance!$C$14:$GP$44,
       MATCH($F$4, Attendance!$C$14:$C$44, 0),
       MATCH(1, (Attendance!$C$12:$GP$12=$E290) * (Attendance!$C$13:$GP$13="Paid"), 0)
)</f>
        <v> </v>
      </c>
      <c r="E290" s="42">
        <f t="shared" si="38"/>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9"/>
        <v>¬</v>
      </c>
      <c r="D291" s="61" t="str" cm="1">
        <f t="array" aca="1" ref="D291" ca="1">INDEX(Attendance!$C$14:$GP$44,
       MATCH($F$4, Attendance!$C$14:$C$44, 0),
       MATCH(1, (Attendance!$C$12:$GP$12=$E291) * (Attendance!$C$13:$GP$13="Paid"), 0)
)</f>
        <v> </v>
      </c>
      <c r="E291" s="42">
        <f t="shared" si="38"/>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9"/>
        <v>¬</v>
      </c>
      <c r="D292" s="61" t="str" cm="1">
        <f t="array" aca="1" ref="D292" ca="1">INDEX(Attendance!$C$14:$GP$44,
       MATCH($F$4, Attendance!$C$14:$C$44, 0),
       MATCH(1, (Attendance!$C$12:$GP$12=$E292) * (Attendance!$C$13:$GP$13="Paid"), 0)
)</f>
        <v> </v>
      </c>
      <c r="E292" s="42">
        <f t="shared" si="38"/>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9"/>
        <v>¬</v>
      </c>
      <c r="D293" s="61" t="str" cm="1">
        <f t="array" aca="1" ref="D293" ca="1">INDEX(Attendance!$C$14:$GP$44,
       MATCH($F$4, Attendance!$C$14:$C$44, 0),
       MATCH(1, (Attendance!$C$12:$GP$12=$E293) * (Attendance!$C$13:$GP$13="Paid"), 0)
)</f>
        <v> </v>
      </c>
      <c r="E293" s="42">
        <f t="shared" si="38"/>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9"/>
        <v>¬</v>
      </c>
      <c r="D294" s="61" t="str" cm="1">
        <f t="array" aca="1" ref="D294" ca="1">INDEX(Attendance!$C$14:$GP$44,
       MATCH($F$4, Attendance!$C$14:$C$44, 0),
       MATCH(1, (Attendance!$C$12:$GP$12=$E294) * (Attendance!$C$13:$GP$13="Paid"), 0)
)</f>
        <v> </v>
      </c>
      <c r="E294" s="42">
        <f t="shared" si="38"/>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9"/>
        <v>¬</v>
      </c>
      <c r="D295" s="61" t="str" cm="1">
        <f t="array" aca="1" ref="D295" ca="1">INDEX(Attendance!$C$14:$GP$44,
       MATCH($F$4, Attendance!$C$14:$C$44, 0),
       MATCH(1, (Attendance!$C$12:$GP$12=$E295) * (Attendance!$C$13:$GP$13="Paid"), 0)
)</f>
        <v> </v>
      </c>
      <c r="E295" s="42">
        <f t="shared" si="38"/>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9"/>
        <v>¬</v>
      </c>
      <c r="D296" s="61" t="str" cm="1">
        <f t="array" aca="1" ref="D296" ca="1">INDEX(Attendance!$C$14:$GP$44,
       MATCH($F$4, Attendance!$C$14:$C$44, 0),
       MATCH(1, (Attendance!$C$12:$GP$12=$E296) * (Attendance!$C$13:$GP$13="Paid"), 0)
)</f>
        <v> </v>
      </c>
      <c r="E296" s="42">
        <f t="shared" si="38"/>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9"/>
        <v>¬</v>
      </c>
      <c r="D297" s="61" t="str" cm="1">
        <f t="array" aca="1" ref="D297" ca="1">INDEX(Attendance!$C$14:$GP$44,
       MATCH($F$4, Attendance!$C$14:$C$44, 0),
       MATCH(1, (Attendance!$C$12:$GP$12=$E297) * (Attendance!$C$13:$GP$13="Paid"), 0)
)</f>
        <v> </v>
      </c>
      <c r="E297" s="42">
        <f t="shared" si="38"/>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9"/>
        <v>¬</v>
      </c>
      <c r="D298" s="61" t="str" cm="1">
        <f t="array" aca="1" ref="D298" ca="1">INDEX(Attendance!$C$14:$GP$44,
       MATCH($F$4, Attendance!$C$14:$C$44, 0),
       MATCH(1, (Attendance!$C$12:$GP$12=$E298) * (Attendance!$C$13:$GP$13="Paid"), 0)
)</f>
        <v> </v>
      </c>
      <c r="E298" s="42">
        <f t="shared" si="38"/>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9"/>
        <v>¬</v>
      </c>
      <c r="D299" s="61" t="str" cm="1">
        <f t="array" aca="1" ref="D299" ca="1">INDEX(Attendance!$C$14:$GP$44,
       MATCH($F$4, Attendance!$C$14:$C$44, 0),
       MATCH(1, (Attendance!$C$12:$GP$12=$E299) * (Attendance!$C$13:$GP$13="Paid"), 0)
)</f>
        <v> </v>
      </c>
      <c r="E299" s="42">
        <f t="shared" si="38"/>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9"/>
        <v>¬</v>
      </c>
      <c r="D300" s="61" t="str" cm="1">
        <f t="array" aca="1" ref="D300" ca="1">INDEX(Attendance!$C$14:$GP$44,
       MATCH($F$4, Attendance!$C$14:$C$44, 0),
       MATCH(1, (Attendance!$C$12:$GP$12=$E300) * (Attendance!$C$13:$GP$13="Paid"), 0)
)</f>
        <v> </v>
      </c>
      <c r="E300" s="42">
        <f t="shared" si="38"/>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9"/>
        <v>¬</v>
      </c>
      <c r="D301" s="61" t="str" cm="1">
        <f t="array" aca="1" ref="D301" ca="1">INDEX(Attendance!$C$14:$GP$44,
       MATCH($F$4, Attendance!$C$14:$C$44, 0),
       MATCH(1, (Attendance!$C$12:$GP$12=$E301) * (Attendance!$C$13:$GP$13="Paid"), 0)
)</f>
        <v> </v>
      </c>
      <c r="E301" s="42">
        <f t="shared" si="38"/>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9"/>
        <v>¬</v>
      </c>
      <c r="D302" s="61" t="str" cm="1">
        <f t="array" aca="1" ref="D302" ca="1">INDEX(Attendance!$C$14:$GP$44,
       MATCH($F$4, Attendance!$C$14:$C$44, 0),
       MATCH(1, (Attendance!$C$12:$GP$12=$E302) * (Attendance!$C$13:$GP$13="Paid"), 0)
)</f>
        <v> </v>
      </c>
      <c r="E302" s="42">
        <f t="shared" si="38"/>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9"/>
        <v>¬</v>
      </c>
      <c r="D303" s="61" t="str" cm="1">
        <f t="array" aca="1" ref="D303" ca="1">INDEX(Attendance!$C$14:$GP$44,
       MATCH($F$4, Attendance!$C$14:$C$44, 0),
       MATCH(1, (Attendance!$C$12:$GP$12=$E303) * (Attendance!$C$13:$GP$13="Paid"), 0)
)</f>
        <v> </v>
      </c>
      <c r="E303" s="42">
        <f t="shared" si="38"/>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9"/>
        <v>¬</v>
      </c>
      <c r="D304" s="61" t="str" cm="1">
        <f t="array" aca="1" ref="D304" ca="1">INDEX(Attendance!$C$14:$GP$44,
       MATCH($F$4, Attendance!$C$14:$C$44, 0),
       MATCH(1, (Attendance!$C$12:$GP$12=$E304) * (Attendance!$C$13:$GP$13="Paid"), 0)
)</f>
        <v> </v>
      </c>
      <c r="E304" s="42">
        <f t="shared" si="38"/>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9"/>
        <v>¬</v>
      </c>
      <c r="D305" s="61" t="str" cm="1">
        <f t="array" aca="1" ref="D305" ca="1">INDEX(Attendance!$C$14:$GP$44,
       MATCH($F$4, Attendance!$C$14:$C$44, 0),
       MATCH(1, (Attendance!$C$12:$GP$12=$E305) * (Attendance!$C$13:$GP$13="Paid"), 0)
)</f>
        <v> </v>
      </c>
      <c r="E305" s="42">
        <f t="shared" si="38"/>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9"/>
        <v>¬</v>
      </c>
      <c r="D306" s="61" t="str" cm="1">
        <f t="array" aca="1" ref="D306" ca="1">INDEX(Attendance!$C$14:$GP$44,
       MATCH($F$4, Attendance!$C$14:$C$44, 0),
       MATCH(1, (Attendance!$C$12:$GP$12=$E306) * (Attendance!$C$13:$GP$13="Paid"), 0)
)</f>
        <v> </v>
      </c>
      <c r="E306" s="42">
        <f t="shared" si="38"/>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9"/>
        <v>¬</v>
      </c>
      <c r="D307" s="61" t="str" cm="1">
        <f t="array" aca="1" ref="D307" ca="1">INDEX(Attendance!$C$14:$GP$44,
       MATCH($F$4, Attendance!$C$14:$C$44, 0),
       MATCH(1, (Attendance!$C$12:$GP$12=$E307) * (Attendance!$C$13:$GP$13="Paid"), 0)
)</f>
        <v> </v>
      </c>
      <c r="E307" s="42">
        <f t="shared" si="38"/>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9"/>
        <v>¬</v>
      </c>
      <c r="D308" s="61" t="str" cm="1">
        <f t="array" aca="1" ref="D308" ca="1">INDEX(Attendance!$C$14:$GP$44,
       MATCH($F$4, Attendance!$C$14:$C$44, 0),
       MATCH(1, (Attendance!$C$12:$GP$12=$E308) * (Attendance!$C$13:$GP$13="Paid"), 0)
)</f>
        <v> </v>
      </c>
      <c r="E308" s="42">
        <f t="shared" si="38"/>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9"/>
        <v>¬</v>
      </c>
      <c r="D309" s="61" t="str" cm="1">
        <f t="array" aca="1" ref="D309" ca="1">INDEX(Attendance!$C$14:$GP$44,
       MATCH($F$4, Attendance!$C$14:$C$44, 0),
       MATCH(1, (Attendance!$C$12:$GP$12=$E309) * (Attendance!$C$13:$GP$13="Paid"), 0)
)</f>
        <v> </v>
      </c>
      <c r="E309" s="42">
        <f t="shared" si="38"/>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9"/>
        <v>¬</v>
      </c>
      <c r="D310" s="61" t="str" cm="1">
        <f t="array" aca="1" ref="D310" ca="1">INDEX(Attendance!$C$14:$GP$44,
       MATCH($F$4, Attendance!$C$14:$C$44, 0),
       MATCH(1, (Attendance!$C$12:$GP$12=$E310) * (Attendance!$C$13:$GP$13="Paid"), 0)
)</f>
        <v> </v>
      </c>
      <c r="E310" s="42">
        <f t="shared" si="38"/>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9"/>
        <v>¬</v>
      </c>
      <c r="D311" s="61" t="str" cm="1">
        <f t="array" aca="1" ref="D311" ca="1">INDEX(Attendance!$C$14:$GP$44,
       MATCH($F$4, Attendance!$C$14:$C$44, 0),
       MATCH(1, (Attendance!$C$12:$GP$12=$E311) * (Attendance!$C$13:$GP$13="Paid"), 0)
)</f>
        <v> </v>
      </c>
      <c r="E311" s="42">
        <f t="shared" si="38"/>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9"/>
        <v>¬</v>
      </c>
      <c r="D312" s="61" t="str" cm="1">
        <f t="array" aca="1" ref="D312" ca="1">INDEX(Attendance!$C$14:$GP$44,
       MATCH($F$4, Attendance!$C$14:$C$44, 0),
       MATCH(1, (Attendance!$C$12:$GP$12=$E312) * (Attendance!$C$13:$GP$13="Paid"), 0)
)</f>
        <v> </v>
      </c>
      <c r="E312" s="42">
        <f t="shared" si="38"/>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9"/>
        <v>¬</v>
      </c>
      <c r="D313" s="61" t="str" cm="1">
        <f t="array" aca="1" ref="D313" ca="1">INDEX(Attendance!$C$14:$GP$44,
       MATCH($F$4, Attendance!$C$14:$C$44, 0),
       MATCH(1, (Attendance!$C$12:$GP$12=$E313) * (Attendance!$C$13:$GP$13="Paid"), 0)
)</f>
        <v> </v>
      </c>
      <c r="E313" s="42">
        <f t="shared" si="38"/>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40">IF(AF44="","¬",AF44)</f>
        <v>Add Auspex dots to any rolls to resist surprise. Access to Tier 1 Auspex Insight questions.</v>
      </c>
      <c r="D314" s="61" t="str" cm="1">
        <f t="array" aca="1" ref="D314" ca="1">INDEX(Attendance!$C$14:$GP$44,
       MATCH($F$4, Attendance!$C$14:$C$44, 0),
       MATCH(1, (Attendance!$C$12:$GP$12=$E314) * (Attendance!$C$13:$GP$13="Paid"), 0)
)</f>
        <v> </v>
      </c>
      <c r="E314" s="42">
        <f t="shared" si="38"/>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40"/>
        <v>Persistent improved Defence or Dodge. Activate for supernatural speed benefits. Unnatural Grace: add Celerity dots as bonus dice to non-combat speed-based pools.</v>
      </c>
      <c r="D315" s="61" t="str" cm="1">
        <f t="array" aca="1" ref="D315" ca="1">INDEX(Attendance!$C$14:$GP$44,
       MATCH($F$4, Attendance!$C$14:$C$44, 0),
       MATCH(1, (Attendance!$C$12:$GP$12=$E315) * (Attendance!$C$13:$GP$13="Paid"), 0)
)</f>
        <v> </v>
      </c>
      <c r="E315" s="42">
        <f t="shared" si="38"/>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40"/>
        <v>Blend into surroundings, visible but unnoticeable. Predatory aura fully on or off. Leaving combat: Wits + Composure - Obfuscate to notice; auto Clash of Wills vs Auspex.</v>
      </c>
      <c r="D316" s="61" t="str" cm="1">
        <f t="array" aca="1" ref="D316" ca="1">INDEX(Attendance!$C$14:$GP$44,
       MATCH($F$4, Attendance!$C$14:$C$44, 0),
       MATCH(1, (Attendance!$C$12:$GP$12=$E316) * (Attendance!$C$13:$GP$13="Paid"), 0)
)</f>
        <v> </v>
      </c>
      <c r="E316" s="42">
        <f t="shared" si="38"/>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40"/>
        <v>Downgrade damage and increase Stamina. Improve Armour and Defences. Unnatural Fortitude: add Resilience dots as bonus dice to non-combat Stamina pools.</v>
      </c>
    </row>
    <row r="318" spans="1:9">
      <c r="A318" s="1" t="s">
        <v>317</v>
      </c>
      <c r="B318" t="str">
        <f t="shared" si="40"/>
        <v>¬</v>
      </c>
    </row>
    <row r="319" spans="1:9">
      <c r="A319" s="1" t="s">
        <v>318</v>
      </c>
      <c r="B319" t="str">
        <f t="shared" si="40"/>
        <v>¬</v>
      </c>
    </row>
    <row r="320" spans="1:9">
      <c r="A320" s="1" t="s">
        <v>319</v>
      </c>
      <c r="B320" t="str">
        <f t="shared" si="40"/>
        <v>¬</v>
      </c>
    </row>
    <row r="321" spans="1:2">
      <c r="A321" s="1" t="s">
        <v>320</v>
      </c>
      <c r="B321" t="str">
        <f t="shared" si="40"/>
        <v>¬</v>
      </c>
    </row>
    <row r="322" spans="1:2">
      <c r="A322" s="1" t="s">
        <v>321</v>
      </c>
      <c r="B322" t="str">
        <f t="shared" si="40"/>
        <v>¬</v>
      </c>
    </row>
    <row r="323" spans="1:2">
      <c r="A323" s="1" t="s">
        <v>322</v>
      </c>
      <c r="B323" t="str">
        <f t="shared" si="40"/>
        <v>¬</v>
      </c>
    </row>
    <row r="324" spans="1:2">
      <c r="A324" s="1" t="s">
        <v>323</v>
      </c>
      <c r="B324" t="str">
        <f t="shared" si="40"/>
        <v>¬</v>
      </c>
    </row>
    <row r="325" spans="1:2">
      <c r="A325" s="1" t="s">
        <v>324</v>
      </c>
      <c r="B325" t="str">
        <f t="shared" si="40"/>
        <v>¬</v>
      </c>
    </row>
    <row r="326" spans="1:2">
      <c r="A326" s="1" t="s">
        <v>325</v>
      </c>
      <c r="B326" t="str">
        <f t="shared" si="40"/>
        <v>¬</v>
      </c>
    </row>
    <row r="327" spans="1:2">
      <c r="A327" s="1" t="s">
        <v>326</v>
      </c>
      <c r="B327" t="str">
        <f t="shared" si="40"/>
        <v>¬</v>
      </c>
    </row>
    <row r="328" spans="1:2">
      <c r="A328" s="1" t="s">
        <v>327</v>
      </c>
      <c r="B328" t="str">
        <f t="shared" si="40"/>
        <v>¬</v>
      </c>
    </row>
    <row r="329" spans="1:2">
      <c r="A329" s="1" t="s">
        <v>328</v>
      </c>
      <c r="B329" t="str">
        <f t="shared" si="40"/>
        <v>¬</v>
      </c>
    </row>
    <row r="330" spans="1:2">
      <c r="A330" s="1" t="s">
        <v>329</v>
      </c>
      <c r="B330" t="str">
        <f t="shared" si="40"/>
        <v>¬</v>
      </c>
    </row>
    <row r="331" spans="1:2">
      <c r="A331" s="1" t="s">
        <v>330</v>
      </c>
      <c r="B331" t="str">
        <f t="shared" si="40"/>
        <v>¬</v>
      </c>
    </row>
    <row r="332" spans="1:2">
      <c r="A332" s="1" t="s">
        <v>331</v>
      </c>
      <c r="B332" t="str">
        <f t="shared" si="40"/>
        <v>¬</v>
      </c>
    </row>
    <row r="333" spans="1:2">
      <c r="A333" s="1" t="s">
        <v>332</v>
      </c>
      <c r="B333" t="str">
        <f t="shared" si="40"/>
        <v>¬</v>
      </c>
    </row>
    <row r="334" spans="1:2">
      <c r="A334" s="1" t="s">
        <v>333</v>
      </c>
      <c r="B334" t="str">
        <f t="shared" si="40"/>
        <v>¬</v>
      </c>
    </row>
    <row r="335" spans="1:2">
      <c r="A335" s="1" t="s">
        <v>334</v>
      </c>
      <c r="B335" t="str">
        <f t="shared" si="40"/>
        <v>¬</v>
      </c>
    </row>
    <row r="336" spans="1:2">
      <c r="A336" s="1" t="s">
        <v>335</v>
      </c>
      <c r="B336" t="str">
        <f t="shared" si="40"/>
        <v>¬</v>
      </c>
    </row>
    <row r="337" spans="1:2">
      <c r="A337" s="1" t="s">
        <v>336</v>
      </c>
      <c r="B337" t="str">
        <f t="shared" si="40"/>
        <v>¬</v>
      </c>
    </row>
    <row r="338" spans="1:2">
      <c r="A338" s="1" t="s">
        <v>337</v>
      </c>
      <c r="B338" t="str">
        <f t="shared" si="40"/>
        <v>¬</v>
      </c>
    </row>
    <row r="339" spans="1:2">
      <c r="A339" s="1" t="s">
        <v>338</v>
      </c>
      <c r="B339" t="str">
        <f t="shared" si="40"/>
        <v>¬</v>
      </c>
    </row>
    <row r="340" spans="1:2">
      <c r="A340" s="1" t="s">
        <v>339</v>
      </c>
      <c r="B340" t="str">
        <f t="shared" si="40"/>
        <v>¬</v>
      </c>
    </row>
    <row r="341" spans="1:2">
      <c r="A341" s="1" t="s">
        <v>340</v>
      </c>
      <c r="B341" t="str">
        <f t="shared" si="40"/>
        <v>¬</v>
      </c>
    </row>
    <row r="342" spans="1:2">
      <c r="A342" s="1" t="s">
        <v>341</v>
      </c>
      <c r="B342" t="str">
        <f t="shared" si="40"/>
        <v>¬</v>
      </c>
    </row>
    <row r="343" spans="1:2">
      <c r="A343" s="1" t="s">
        <v>342</v>
      </c>
      <c r="B343" t="str">
        <f t="shared" si="40"/>
        <v>¬</v>
      </c>
    </row>
    <row r="344" spans="1:2">
      <c r="A344" s="1" t="s">
        <v>343</v>
      </c>
      <c r="B344" s="8" t="str">
        <f>IF(VLOOKUP(tblCharDataCazz[[#This Row],[Field]],$E$2:$F$361,2,FALSE)="","¬",VLOOKUP(tblCharDataCazz[[#This Row],[Field]],$E$2:$F$361,2,FALSE))</f>
        <v>Aloof Curse</v>
      </c>
    </row>
    <row r="345" spans="1:2">
      <c r="A345" s="1" t="s">
        <v>344</v>
      </c>
      <c r="B345" s="8" t="str">
        <f>IF(VLOOKUP(tblCharDataCazz[[#This Row],[Field]],$E$2:$F$361,2,FALSE)="","¬",VLOOKUP(tblCharDataCazz[[#This Row],[Field]],$E$2:$F$361,2,FALSE))</f>
        <v>¬</v>
      </c>
    </row>
    <row r="346" spans="1:2">
      <c r="A346" s="1" t="s">
        <v>345</v>
      </c>
      <c r="B346" s="8" t="str">
        <f>IF(VLOOKUP(tblCharDataCazz[[#This Row],[Field]],$E$2:$F$361,2,FALSE)="","¬",VLOOKUP(tblCharDataCazz[[#This Row],[Field]],$E$2:$F$361,2,FALSE))</f>
        <v>¬</v>
      </c>
    </row>
    <row r="347" spans="1:2">
      <c r="A347" s="1" t="s">
        <v>346</v>
      </c>
      <c r="B347" s="8" t="str">
        <f>IF(VLOOKUP(tblCharDataCazz[[#This Row],[Field]],$E$2:$F$361,2,FALSE)="","¬",VLOOKUP(tblCharDataCazz[[#This Row],[Field]],$E$2:$F$361,2,FALSE))</f>
        <v>¬</v>
      </c>
    </row>
    <row r="348" spans="1:2">
      <c r="A348" s="1" t="s">
        <v>347</v>
      </c>
      <c r="B348" s="8" t="str">
        <f>IF(VLOOKUP(tblCharDataCazz[[#This Row],[Field]],$E$2:$F$361,2,FALSE)="","¬",VLOOKUP(tblCharDataCazz[[#This Row],[Field]],$E$2:$F$361,2,FALSE))</f>
        <v>¬</v>
      </c>
    </row>
    <row r="349" spans="1:2">
      <c r="A349" s="1" t="s">
        <v>348</v>
      </c>
      <c r="B349" t="str">
        <f>_xlfn.IFNA(VLOOKUP(B344,$F$234:$I$238,3,FALSE),"")</f>
        <v>First Touchstone attaches to Humanity 7; losing it detaches on first Humanity loss. Breaking points always treated as one step lower.</v>
      </c>
    </row>
    <row r="350" spans="1:2">
      <c r="A350" s="1" t="s">
        <v>349</v>
      </c>
      <c r="B350" t="str">
        <f>_xlfn.IFNA(VLOOKUP(B345,$F$234:$I$238,3,FALSE),"¬")</f>
        <v>¬</v>
      </c>
    </row>
    <row r="351" spans="1:2">
      <c r="A351" s="1" t="s">
        <v>350</v>
      </c>
      <c r="B351" t="str">
        <f>_xlfn.IFNA(VLOOKUP(B346,$F$234:$I$238,3,FALSE),"")</f>
        <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11</v>
      </c>
    </row>
    <row r="356" spans="1:2">
      <c r="A356" s="1" t="s">
        <v>355</v>
      </c>
      <c r="B356">
        <f ca="1">P220</f>
        <v>8</v>
      </c>
    </row>
    <row r="357" spans="1:2">
      <c r="A357" s="1" t="s">
        <v>356</v>
      </c>
      <c r="B357" t="str">
        <f>IF(F10="","¬",VLOOKUP(F10,tblAnchors[],2,FALSE))</f>
        <v>Uncover a lost piece of information.</v>
      </c>
    </row>
    <row r="358" spans="1:2">
      <c r="A358" s="1" t="s">
        <v>357</v>
      </c>
      <c r="B358" t="str">
        <f>IF(F10="","¬",VLOOKUP(F10,tblAnchors[],3,FALSE))</f>
        <v>Uncover forbidden knowledge.</v>
      </c>
    </row>
    <row r="359" spans="1:2">
      <c r="A359" s="1" t="s">
        <v>358</v>
      </c>
      <c r="B359" t="str">
        <f>IF(F11="","¬",VLOOKUP(F11,tblAnchors[],2,FALSE))</f>
        <v>Point out an absurdity in the current state of affairs to lighten the tone.</v>
      </c>
    </row>
    <row r="360" spans="1:2">
      <c r="A360" s="1" t="s">
        <v>359</v>
      </c>
      <c r="B360" t="str">
        <f>IF(F11="","¬",VLOOKUP(F11,tblAnchors[],3,FALSE))</f>
        <v>Favour wit and cunning over direct self-defence in a situation of serious danger.</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mid 30s</v>
      </c>
    </row>
    <row r="365" spans="1:2">
      <c r="A365" s="1" t="s">
        <v>364</v>
      </c>
      <c r="B365" t="str">
        <f>_xlfn.LET(_xlpm.a,IF(F244="","",F244),_xlpm.b,IF(F245="","",F245),IF(AND(_xlpm.a&lt;&gt;"",_xlpm.b&lt;&gt;""),_xlpm.a&amp;", "&amp;_xlpm.b,IF(_xlpm.a&lt;&gt;"",_xlpm.a,IF(_xlpm.b&lt;&gt;"",_xlpm.b,""))))</f>
        <v/>
      </c>
    </row>
  </sheetData>
  <mergeCells count="89">
    <mergeCell ref="H85:I85"/>
    <mergeCell ref="O8:P8"/>
    <mergeCell ref="O9:P9"/>
    <mergeCell ref="O10:P10"/>
    <mergeCell ref="O11:P11"/>
    <mergeCell ref="O12:P12"/>
    <mergeCell ref="H79:I79"/>
    <mergeCell ref="H80:I80"/>
    <mergeCell ref="H81:I81"/>
    <mergeCell ref="H82:I82"/>
    <mergeCell ref="H83:I83"/>
    <mergeCell ref="H84:I84"/>
    <mergeCell ref="H97:I97"/>
    <mergeCell ref="H86:I86"/>
    <mergeCell ref="H87:I87"/>
    <mergeCell ref="H88:I88"/>
    <mergeCell ref="H89:I89"/>
    <mergeCell ref="H90:I90"/>
    <mergeCell ref="H91:I91"/>
    <mergeCell ref="H92:I92"/>
    <mergeCell ref="H93:I93"/>
    <mergeCell ref="H94:I94"/>
    <mergeCell ref="H95:I95"/>
    <mergeCell ref="H96:I96"/>
    <mergeCell ref="H111:I111"/>
    <mergeCell ref="H98:I98"/>
    <mergeCell ref="H101:I101"/>
    <mergeCell ref="H102:I102"/>
    <mergeCell ref="H103:I103"/>
    <mergeCell ref="H104:I104"/>
    <mergeCell ref="H105:I105"/>
    <mergeCell ref="H106:I106"/>
    <mergeCell ref="H107:I107"/>
    <mergeCell ref="H108:I108"/>
    <mergeCell ref="H109:I109"/>
    <mergeCell ref="H110:I110"/>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52:I152"/>
    <mergeCell ref="H141:I141"/>
    <mergeCell ref="H142:I142"/>
    <mergeCell ref="H143:I143"/>
    <mergeCell ref="H144:I144"/>
    <mergeCell ref="H145:I145"/>
    <mergeCell ref="H146:I146"/>
    <mergeCell ref="H147:I147"/>
    <mergeCell ref="H148:I148"/>
    <mergeCell ref="H149:I149"/>
    <mergeCell ref="H150:I150"/>
    <mergeCell ref="H151:I151"/>
    <mergeCell ref="H207:I207"/>
    <mergeCell ref="H153:I153"/>
    <mergeCell ref="H154:I154"/>
    <mergeCell ref="H155:I155"/>
    <mergeCell ref="H156:I156"/>
    <mergeCell ref="H157:I157"/>
    <mergeCell ref="H177:I177"/>
    <mergeCell ref="H178:I178"/>
    <mergeCell ref="H179:I179"/>
    <mergeCell ref="H180:I180"/>
    <mergeCell ref="H181:I181"/>
    <mergeCell ref="H206:I206"/>
    <mergeCell ref="H238:I238"/>
    <mergeCell ref="H208:I208"/>
    <mergeCell ref="H209:I209"/>
    <mergeCell ref="H210:I210"/>
    <mergeCell ref="H211:I211"/>
    <mergeCell ref="H212:I212"/>
    <mergeCell ref="H213:I213"/>
    <mergeCell ref="H214:I214"/>
    <mergeCell ref="H215:I215"/>
    <mergeCell ref="H234:I234"/>
    <mergeCell ref="H236:I236"/>
    <mergeCell ref="H237:I237"/>
    <mergeCell ref="F240:I240"/>
    <mergeCell ref="F241:I241"/>
    <mergeCell ref="F242:I242"/>
    <mergeCell ref="F244:I244"/>
    <mergeCell ref="F245:I245"/>
  </mergeCells>
  <dataValidations count="14">
    <dataValidation type="list" allowBlank="1" showInputMessage="1" showErrorMessage="1" sqref="G248:G277" xr:uid="{C3D61F06-3111-4BDA-950D-54728EA70C9B}">
      <formula1>$I$248:$I$249</formula1>
    </dataValidation>
    <dataValidation type="list" allowBlank="1" showInputMessage="1" showErrorMessage="1" sqref="F79:F98" xr:uid="{5644897B-A27E-4952-99A2-A6AD76558C42}">
      <formula1>lstMerits</formula1>
    </dataValidation>
    <dataValidation type="list" allowBlank="1" showInputMessage="1" showErrorMessage="1" sqref="F236:F238" xr:uid="{AFB3C7A4-DE47-4014-930F-F69BAA33F62D}">
      <formula1>lstBanes</formula1>
    </dataValidation>
    <dataValidation type="list" allowBlank="1" showInputMessage="1" showErrorMessage="1" sqref="F206:F215" xr:uid="{D43B45C6-48BC-48EE-AEBD-6B78299185DE}">
      <formula1>lstPacts</formula1>
    </dataValidation>
    <dataValidation type="list" allowBlank="1" showInputMessage="1" showErrorMessage="1" sqref="G12:G13" xr:uid="{AA74647E-4AC9-4E90-A1B7-E96B95969EAE}">
      <formula1>lstStatus</formula1>
    </dataValidation>
    <dataValidation type="list" allowBlank="1" showInputMessage="1" showErrorMessage="1" sqref="F194:F205 F207:F215" xr:uid="{C1DB4383-BFFF-4C65-9CD6-A62F9838D922}">
      <formula1>lstRites</formula1>
    </dataValidation>
    <dataValidation type="list" allowBlank="1" showInputMessage="1" showErrorMessage="1" sqref="F177:F181" xr:uid="{3A094061-5F3B-4339-AF87-319043F21CD8}">
      <formula1>lstDevotions</formula1>
    </dataValidation>
    <dataValidation type="list" allowBlank="1" showInputMessage="1" showErrorMessage="1" sqref="F17:F21" xr:uid="{B1B79799-208D-4E08-B373-056DC9521CE2}">
      <formula1>"TRUE,FALSE"</formula1>
    </dataValidation>
    <dataValidation type="list" allowBlank="1" showInputMessage="1" showErrorMessage="1" sqref="F24" xr:uid="{9424CC1B-F90B-46EF-8CC2-4FF15C8B6FCC}">
      <formula1>$D$7:$D$8</formula1>
    </dataValidation>
    <dataValidation type="list" allowBlank="1" showInputMessage="1" showErrorMessage="1" sqref="I25 I30 I35 I41 I51 I61" xr:uid="{0BC5F1A2-EEAB-4202-86E1-9BE8E0029C84}">
      <formula1>lstPriority</formula1>
    </dataValidation>
    <dataValidation type="list" allowBlank="1" showInputMessage="1" showErrorMessage="1" sqref="F10:F11" xr:uid="{87A569A9-4593-4B11-9FE3-4D5FFE324A30}">
      <formula1>lstNature</formula1>
    </dataValidation>
    <dataValidation type="list" allowBlank="1" showInputMessage="1" showErrorMessage="1" sqref="F8" xr:uid="{4B33B854-FAE4-4F3F-BF4D-B452508CF28A}">
      <formula1>lstBloodlines</formula1>
    </dataValidation>
    <dataValidation type="list" allowBlank="1" showInputMessage="1" showErrorMessage="1" sqref="F9" xr:uid="{6D7690A0-2543-4B23-B1DC-6B008C9E7D6E}">
      <formula1>lstCovenant</formula1>
    </dataValidation>
    <dataValidation type="list" allowBlank="1" showInputMessage="1" showErrorMessage="1" sqref="F7" xr:uid="{F2359EA7-BF1D-4F84-A0BE-18C4A37D326D}">
      <formula1>lstClan</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70E56-328A-4C60-957E-55EC86E7FD31}">
  <dimension ref="A1:AK365"/>
  <sheetViews>
    <sheetView zoomScale="70" zoomScaleNormal="70" workbookViewId="0">
      <pane ySplit="1" topLeftCell="A2" activePane="bottomLeft" state="frozen"/>
      <selection pane="bottomLeft" activeCell="L85" sqref="L85"/>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Secret Society Junkie</v>
      </c>
      <c r="AC2" s="60" t="str" cm="1">
        <f t="array" ref="AC2:AC5">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Closed Book</v>
      </c>
      <c r="AD2" s="20" t="str">
        <f>IF(AC2="","¬",_xlfn.LET(_xlpm.base,IFERROR(LEFT(AC2,FIND(" (",AC2)-1),AC2),IFERROR(VLOOKUP(_xlpm.base,tblManoeuvre[],2,FALSE) &amp; " " &amp; REPT("●",VLOOKUP(_xlpm.base,tblManoeuvre[],3,FALSE)) &amp; " | " &amp; AC2,AC2 &amp; " " &amp; REPT("●",VLOOKUP(_xlpm.base,$F$79:$P$120,11,FALSE)))))</f>
        <v>Closed Book ●</v>
      </c>
      <c r="AE2" s="20"/>
      <c r="AF2" s="20" t="str">
        <f>IF(LEN(AC2)=0,"¬",_xlfn.LET(_xlpm.base,IFERROR(LEFT(AC2,FIND(" (",AC2)-1),AC2),IFERROR(VLOOKUP(_xlpm.base,tblMerits[],5,FALSE),IFERROR(VLOOKUP(_xlpm.base,tblManoeuvre[],9,FALSE),"¬"))))</f>
        <v>Add dots to Doors and as bonus to contest Social assessments.</v>
      </c>
      <c r="AI2" s="15" t="s">
        <v>25</v>
      </c>
      <c r="AJ2" s="61">
        <f t="shared" ref="AJ2:AJ33" si="1">VLOOKUP(AI2,$E$3:$P$221,12,FALSE)</f>
        <v>0</v>
      </c>
      <c r="AK2" s="61">
        <f>IF(AJ2=0,IF(COUNTIF($E$42:$E$49,AI2)&gt;0,-3,-1),AJ2)</f>
        <v>-3</v>
      </c>
    </row>
    <row r="3" spans="1:37">
      <c r="A3" s="1" t="s">
        <v>2</v>
      </c>
      <c r="B3">
        <f ca="1">N3</f>
        <v>3</v>
      </c>
      <c r="D3" s="19"/>
      <c r="E3" s="15" t="s">
        <v>4</v>
      </c>
      <c r="F3" s="3" t="s">
        <v>636</v>
      </c>
      <c r="G3" s="18"/>
      <c r="H3" s="18"/>
      <c r="I3" s="18" t="s">
        <v>1425</v>
      </c>
      <c r="N3" s="60">
        <f ca="1">10+SUM(N4:N6)-SUM(N7)</f>
        <v>3</v>
      </c>
      <c r="Y3" s="15" t="s">
        <v>115</v>
      </c>
      <c r="Z3" s="19"/>
      <c r="AA3" s="61" t="str">
        <f t="shared" si="0"/>
        <v>Viral Mythology</v>
      </c>
      <c r="AC3" s="60" t="str">
        <v>Inspiring</v>
      </c>
      <c r="AD3" s="20" t="str">
        <f>IF(AC3="","¬",_xlfn.LET(_xlpm.base,IFERROR(LEFT(AC3,FIND(" (",AC3)-1),AC3),IFERROR(VLOOKUP(_xlpm.base,tblManoeuvre[],2,FALSE) &amp; " " &amp; REPT("●",VLOOKUP(_xlpm.base,tblManoeuvre[],3,FALSE)) &amp; " | " &amp; AC3,AC3 &amp; " " &amp; REPT("●",VLOOKUP(_xlpm.base,$F$79:$P$120,11,FALSE)))))</f>
        <v>Inspiring ●●●</v>
      </c>
      <c r="AE3" s="20"/>
      <c r="AF3" s="20" t="str">
        <f>IF(LEN(AC3)=0,"¬",_xlfn.LET(_xlpm.base,IFERROR(LEFT(AC3,FIND(" (",AC3)-1),AC3),IFERROR(VLOOKUP(_xlpm.base,tblMerits[],5,FALSE),IFERROR(VLOOKUP(_xlpm.base,tblManoeuvre[],9,FALSE),"¬"))))</f>
        <v>Roll Presence + Expression to confer the Inspired Condition.</v>
      </c>
      <c r="AI3" s="15" t="s">
        <v>41</v>
      </c>
      <c r="AJ3" s="61">
        <f t="shared" si="1"/>
        <v>1</v>
      </c>
      <c r="AK3" s="61">
        <f>IF(AJ3=0,IF(COUNTIF($E$42:$E$49,AI3)&gt;0,-3,-1),AJ3)</f>
        <v>1</v>
      </c>
    </row>
    <row r="4" spans="1:37">
      <c r="A4" s="1" t="s">
        <v>3</v>
      </c>
      <c r="B4">
        <f ca="1">SUM(N3:N9)</f>
        <v>30</v>
      </c>
      <c r="D4" s="19"/>
      <c r="E4" s="15" t="s">
        <v>5</v>
      </c>
      <c r="F4" s="3" t="s">
        <v>637</v>
      </c>
      <c r="G4" s="18"/>
      <c r="H4" s="18"/>
      <c r="I4" s="18" t="s">
        <v>1426</v>
      </c>
      <c r="N4" s="61">
        <f>K73*2</f>
        <v>4</v>
      </c>
      <c r="Y4" s="15" t="s">
        <v>116</v>
      </c>
      <c r="Z4" s="19"/>
      <c r="AA4" s="61" t="str">
        <f t="shared" si="0"/>
        <v>Inspiring</v>
      </c>
      <c r="AC4" s="60" t="str">
        <v>Secret Society Junkie</v>
      </c>
      <c r="AD4" s="20" t="str">
        <f>IF(AC4="","¬",_xlfn.LET(_xlpm.base,IFERROR(LEFT(AC4,FIND(" (",AC4)-1),AC4),IFERROR(VLOOKUP(_xlpm.base,tblManoeuvre[],2,FALSE) &amp; " " &amp; REPT("●",VLOOKUP(_xlpm.base,tblManoeuvre[],3,FALSE)) &amp; " | " &amp; AC4,AC4 &amp; " " &amp; REPT("●",VLOOKUP(_xlpm.base,$F$79:$P$120,11,FALSE)))))</f>
        <v>Secret Society Junkie ●</v>
      </c>
      <c r="AE4" s="20"/>
      <c r="AF4" s="20" t="str">
        <f>IF(LEN(AC4)=0,"¬",_xlfn.LET(_xlpm.base,IFERROR(LEFT(AC4,FIND(" (",AC4)-1),AC4),IFERROR(VLOOKUP(_xlpm.base,tblMerits[],5,FALSE),IFERROR(VLOOKUP(_xlpm.base,tblManoeuvre[],9,FALSE),"¬"))))</f>
        <v>Dots in Status or Mystery Cult Initiation representing human secret societies also count as dots of Herd.</v>
      </c>
      <c r="AI4" s="15" t="s">
        <v>236</v>
      </c>
      <c r="AJ4" s="61">
        <f t="shared" si="1"/>
        <v>1</v>
      </c>
      <c r="AK4" s="61">
        <f>AJ4</f>
        <v>1</v>
      </c>
    </row>
    <row r="5" spans="1:37">
      <c r="A5" s="1" t="s">
        <v>4</v>
      </c>
      <c r="B5" t="str">
        <f>IF(VLOOKUP(tblCharDataCharles[[#This Row],[Field]],$E$2:$F$362,2,FALSE)="","¬",VLOOKUP(tblCharDataCharles[[#This Row],[Field]],$E$2:$F$362,2,FALSE))</f>
        <v>Leo T</v>
      </c>
      <c r="D5" s="19"/>
      <c r="E5" s="15" t="s">
        <v>6</v>
      </c>
      <c r="F5" s="3" t="s">
        <v>638</v>
      </c>
      <c r="G5" s="18"/>
      <c r="H5" s="18"/>
      <c r="I5" s="18" t="s">
        <v>1427</v>
      </c>
      <c r="N5" s="61">
        <f>N16</f>
        <v>3</v>
      </c>
      <c r="Y5" s="15" t="s">
        <v>117</v>
      </c>
      <c r="Z5" s="19"/>
      <c r="AA5" s="61" t="str">
        <f t="shared" si="0"/>
        <v>Closed Book</v>
      </c>
      <c r="AC5" s="60" t="str">
        <v>Viral Mythology</v>
      </c>
      <c r="AD5" s="20" t="str">
        <f>IF(AC5="","¬",_xlfn.LET(_xlpm.base,IFERROR(LEFT(AC5,FIND(" (",AC5)-1),AC5),IFERROR(VLOOKUP(_xlpm.base,tblManoeuvre[],2,FALSE) &amp; " " &amp; REPT("●",VLOOKUP(_xlpm.base,tblManoeuvre[],3,FALSE)) &amp; " | " &amp; AC5,AC5 &amp; " " &amp; REPT("●",VLOOKUP(_xlpm.base,$F$79:$P$120,11,FALSE)))))</f>
        <v>Viral Mythology ●●●</v>
      </c>
      <c r="AE5" s="20"/>
      <c r="AF5" s="20" t="str">
        <f>IF(LEN(AC5)=0,"¬",_xlfn.LET(_xlpm.base,IFERROR(LEFT(AC5,FIND(" (",AC5)-1),AC5),IFERROR(VLOOKUP(_xlpm.base,tblMerits[],5,FALSE),IFERROR(VLOOKUP(_xlpm.base,tblManoeuvre[],9,FALSE),"¬"))))</f>
        <v>Presence + Expression vs Wits + Composure to inflict contagious awe. Allies and Herd double their yield.</v>
      </c>
      <c r="AI5" s="15" t="s">
        <v>33</v>
      </c>
      <c r="AJ5" s="61">
        <f t="shared" si="1"/>
        <v>1</v>
      </c>
      <c r="AK5" s="61">
        <f>IF(AJ5=0,IF(COUNTIF($E$42:$E$49,AI5)&gt;0,-3,-1),AJ5)</f>
        <v>1</v>
      </c>
    </row>
    <row r="6" spans="1:37">
      <c r="A6" s="1" t="s">
        <v>5</v>
      </c>
      <c r="B6" t="str">
        <f>IF(VLOOKUP(tblCharDataCharles[[#This Row],[Field]],$E$2:$F$362,2,FALSE)="","¬",VLOOKUP(tblCharDataCharles[[#This Row],[Field]],$E$2:$F$362,2,FALSE))</f>
        <v>Charles Mercer-Willows</v>
      </c>
      <c r="D6" s="19"/>
      <c r="E6" s="15" t="s">
        <v>7</v>
      </c>
      <c r="F6" s="3" t="s">
        <v>552</v>
      </c>
      <c r="G6" s="18"/>
      <c r="H6" s="18"/>
      <c r="I6" s="18" t="s">
        <v>1347</v>
      </c>
      <c r="N6" s="61">
        <f ca="1">N279</f>
        <v>3</v>
      </c>
      <c r="Y6" s="15" t="s">
        <v>118</v>
      </c>
      <c r="Z6" s="19"/>
      <c r="AA6" s="61" t="str">
        <f t="shared" si="0"/>
        <v/>
      </c>
      <c r="AC6" s="60"/>
      <c r="AD6" s="20" t="str">
        <f>IF(AC6="","¬",_xlfn.LET(_xlpm.base,IFERROR(LEFT(AC6,FIND(" (",AC6)-1),AC6),IFERROR(VLOOKUP(_xlpm.base,tblManoeuvre[],2,FALSE) &amp; " " &amp; REPT("●",VLOOKUP(_xlpm.base,tblManoeuvre[],3,FALSE)) &amp; " | " &amp; AC6,AC6 &amp; " " &amp; REPT("●",VLOOKUP(_xlpm.base,$F$79:$P$120,11,FALSE)))))</f>
        <v>¬</v>
      </c>
      <c r="AE6" s="20"/>
      <c r="AF6" s="20" t="str">
        <f>IF(LEN(AC6)=0,"¬",_xlfn.LET(_xlpm.base,IFERROR(LEFT(AC6,FIND(" (",AC6)-1),AC6),IFERROR(VLOOKUP(_xlpm.base,tblMerits[],5,FALSE),IFERROR(VLOOKUP(_xlpm.base,tblManoeuvre[],9,FALSE),"¬"))))</f>
        <v>¬</v>
      </c>
      <c r="AI6" s="15" t="s">
        <v>237</v>
      </c>
      <c r="AJ6" s="61">
        <f t="shared" si="1"/>
        <v>0</v>
      </c>
      <c r="AK6" s="61">
        <f>AJ6</f>
        <v>0</v>
      </c>
    </row>
    <row r="7" spans="1:37">
      <c r="A7" s="1" t="s">
        <v>6</v>
      </c>
      <c r="B7" t="str">
        <f>IF(VLOOKUP(tblCharDataCharles[[#This Row],[Field]],$E$2:$F$362,2,FALSE)="","¬",VLOOKUP(tblCharDataCharles[[#This Row],[Field]],$E$2:$F$362,2,FALSE))</f>
        <v>Cult Leader</v>
      </c>
      <c r="D7" s="19" t="str">
        <f>VLOOKUP(F7,tblClans[],3,FALSE)</f>
        <v>Resolve</v>
      </c>
      <c r="E7" s="15" t="s">
        <v>8</v>
      </c>
      <c r="F7" s="3" t="s">
        <v>553</v>
      </c>
      <c r="G7" s="18"/>
      <c r="H7" s="18"/>
      <c r="I7" s="18"/>
      <c r="N7" s="60">
        <f>SUM(N8:N12)</f>
        <v>17</v>
      </c>
      <c r="Y7" s="15" t="s">
        <v>119</v>
      </c>
      <c r="Z7" s="19"/>
      <c r="AA7" s="61" t="str">
        <f t="shared" si="0"/>
        <v/>
      </c>
      <c r="AC7" s="60"/>
      <c r="AD7" s="20" t="str">
        <f>IF(AC7="","¬",_xlfn.LET(_xlpm.base,IFERROR(LEFT(AC7,FIND(" (",AC7)-1),AC7),IFERROR(VLOOKUP(_xlpm.base,tblManoeuvre[],2,FALSE) &amp; " " &amp; REPT("●",VLOOKUP(_xlpm.base,tblManoeuvre[],3,FALSE)) &amp; " | " &amp; AC7,AC7 &amp; " " &amp; REPT("●",VLOOKUP(_xlpm.base,$F$79:$P$120,11,FALSE)))))</f>
        <v>¬</v>
      </c>
      <c r="AE7" s="20"/>
      <c r="AF7" s="20" t="str">
        <f>IF(LEN(AC7)=0,"¬",_xlfn.LET(_xlpm.base,IFERROR(LEFT(AC7,FIND(" (",AC7)-1),AC7),IFERROR(VLOOKUP(_xlpm.base,tblMerits[],5,FALSE),IFERROR(VLOOKUP(_xlpm.base,tblManoeuvre[],9,FALSE),"¬"))))</f>
        <v>¬</v>
      </c>
      <c r="AI7" s="15" t="s">
        <v>49</v>
      </c>
      <c r="AJ7" s="61">
        <f t="shared" si="1"/>
        <v>1</v>
      </c>
      <c r="AK7" s="61">
        <f>AJ7</f>
        <v>1</v>
      </c>
    </row>
    <row r="8" spans="1:37">
      <c r="A8" s="1" t="s">
        <v>7</v>
      </c>
      <c r="B8" t="str">
        <f>IF(VLOOKUP(tblCharDataCharles[[#This Row],[Field]],$E$2:$F$362,2,FALSE)="","¬",LOWER(VLOOKUP(tblCharDataCharles[[#This Row],[Field]],$E$2:$F$362,2,FALSE)))</f>
        <v>he/him</v>
      </c>
      <c r="D8" s="19" t="str">
        <f>VLOOKUP(F7,tblClans[],2,FALSE)</f>
        <v>Presence</v>
      </c>
      <c r="E8" s="15" t="s">
        <v>10</v>
      </c>
      <c r="F8" s="3" t="s">
        <v>639</v>
      </c>
      <c r="G8" s="61" t="b">
        <f>IFERROR(IF(OR(AND(VLOOKUP(F8,tblBloodlines[],2,FALSE)="",VLOOKUP(F8,tblBloodlines[],3,FALSE)="",VLOOKUP(F8,tblBloodlines[],4,FALSE)=""),AND(VLOOKUP(F8,tblBloodlines[],2,FALSE)="",VLOOKUP(F8,tblBloodlines[],3,FALSE)="",F9=VLOOKUP(F8,tblBloodlines[],4,FALSE)),F7=VLOOKUP(F8,tblBloodlines[],2,FALSE),F7=VLOOKUP(F8,tblBloodlines[],3,FALSE)),TRUE,FALSE),"")</f>
        <v>1</v>
      </c>
      <c r="H8" s="18"/>
      <c r="I8" s="18" t="s">
        <v>1428</v>
      </c>
      <c r="N8" s="61">
        <f>N23</f>
        <v>0</v>
      </c>
      <c r="O8" s="65">
        <f>N8/SUM(N$7:N$12)</f>
        <v>0</v>
      </c>
      <c r="P8" s="66"/>
      <c r="Y8" s="15" t="s">
        <v>120</v>
      </c>
      <c r="Z8" s="19"/>
      <c r="AA8" s="61" t="str">
        <f t="shared" si="0"/>
        <v/>
      </c>
      <c r="AC8" s="60"/>
      <c r="AD8" s="20" t="str">
        <f>IF(AC8="","¬",_xlfn.LET(_xlpm.base,IFERROR(LEFT(AC8,FIND(" (",AC8)-1),AC8),IFERROR(VLOOKUP(_xlpm.base,tblManoeuvre[],2,FALSE) &amp; " " &amp; REPT("●",VLOOKUP(_xlpm.base,tblManoeuvre[],3,FALSE)) &amp; " | " &amp; AC8,AC8 &amp; " " &amp; REPT("●",VLOOKUP(_xlpm.base,$F$79:$P$120,11,FALSE)))))</f>
        <v>¬</v>
      </c>
      <c r="AE8" s="20"/>
      <c r="AF8" s="20" t="str">
        <f>IF(LEN(AC8)=0,"¬",_xlfn.LET(_xlpm.base,IFERROR(LEFT(AC8,FIND(" (",AC8)-1),AC8),IFERROR(VLOOKUP(_xlpm.base,tblMerits[],5,FALSE),IFERROR(VLOOKUP(_xlpm.base,tblManoeuvre[],9,FALSE),"¬"))))</f>
        <v>¬</v>
      </c>
      <c r="AI8" s="15" t="s">
        <v>34</v>
      </c>
      <c r="AJ8" s="61">
        <f t="shared" si="1"/>
        <v>0</v>
      </c>
      <c r="AK8" s="61">
        <f>IF(AJ8=0,IF(COUNTIF($E$42:$E$49,AI8)&gt;0,-3,-1),AJ8)</f>
        <v>-1</v>
      </c>
    </row>
    <row r="9" spans="1:37">
      <c r="A9" s="1" t="s">
        <v>8</v>
      </c>
      <c r="B9" t="str">
        <f>IF(VLOOKUP(tblCharDataCharles[[#This Row],[Field]],$E$2:$F$362,2,FALSE)="","¬",VLOOKUP(tblCharDataCharles[[#This Row],[Field]],$E$2:$F$362,2,FALSE))</f>
        <v>Ventrue</v>
      </c>
      <c r="D9" s="19"/>
      <c r="E9" s="15" t="s">
        <v>11</v>
      </c>
      <c r="F9" s="3" t="s">
        <v>373</v>
      </c>
      <c r="G9" s="18"/>
      <c r="H9" s="18"/>
      <c r="I9" s="18" t="s">
        <v>1429</v>
      </c>
      <c r="N9" s="61">
        <f>N40+T40</f>
        <v>0</v>
      </c>
      <c r="O9" s="65">
        <f>N9/SUM(N$7:N$12)</f>
        <v>0</v>
      </c>
      <c r="P9" s="66"/>
      <c r="Y9" s="15" t="s">
        <v>121</v>
      </c>
      <c r="Z9" s="19"/>
      <c r="AA9" s="61" t="str">
        <f t="shared" si="0"/>
        <v/>
      </c>
      <c r="AC9" s="60"/>
      <c r="AD9" s="20" t="str">
        <f>IF(AC9="","¬",_xlfn.LET(_xlpm.base,IFERROR(LEFT(AC9,FIND(" (",AC9)-1),AC9),IFERROR(VLOOKUP(_xlpm.base,tblManoeuvre[],2,FALSE) &amp; " " &amp; REPT("●",VLOOKUP(_xlpm.base,tblManoeuvre[],3,FALSE)) &amp; " | " &amp; AC9,AC9 &amp; " " &amp; REPT("●",VLOOKUP(_xlpm.base,$F$79:$P$120,11,FALSE)))))</f>
        <v>¬</v>
      </c>
      <c r="AE9" s="20"/>
      <c r="AF9" s="20" t="str">
        <f>IF(LEN(AC9)=0,"¬",_xlfn.LET(_xlpm.base,IFERROR(LEFT(AC9,FIND(" (",AC9)-1),AC9),IFERROR(VLOOKUP(_xlpm.base,tblMerits[],5,FALSE),IFERROR(VLOOKUP(_xlpm.base,tblManoeuvre[],9,FALSE),"¬"))))</f>
        <v>¬</v>
      </c>
      <c r="AI9" s="15" t="s">
        <v>238</v>
      </c>
      <c r="AJ9" s="61">
        <f t="shared" si="1"/>
        <v>0</v>
      </c>
      <c r="AK9" s="61">
        <f>AJ9</f>
        <v>0</v>
      </c>
    </row>
    <row r="10" spans="1:37">
      <c r="A10" s="1" t="s">
        <v>9</v>
      </c>
      <c r="B10" t="str">
        <f>CONCATENATE(Elements,B9," icon.svg")</f>
        <v>D:\Terra Mortis\Character Sheets\Sheet Elements\Ventrue icon.svg</v>
      </c>
      <c r="D10" s="19"/>
      <c r="E10" s="15" t="s">
        <v>13</v>
      </c>
      <c r="F10" s="3" t="s">
        <v>640</v>
      </c>
      <c r="G10" s="18"/>
      <c r="H10" s="18"/>
      <c r="I10" s="18" t="s">
        <v>1430</v>
      </c>
      <c r="N10" s="61">
        <f>N77</f>
        <v>2</v>
      </c>
      <c r="O10" s="65">
        <f>N10/SUM(N$7:N$12)</f>
        <v>5.8823529411764705E-2</v>
      </c>
      <c r="P10" s="66"/>
      <c r="Y10" s="15" t="s">
        <v>122</v>
      </c>
      <c r="Z10" s="19"/>
      <c r="AA10" s="61" t="str">
        <f t="shared" si="0"/>
        <v/>
      </c>
      <c r="AC10" s="60"/>
      <c r="AD10" s="20" t="str">
        <f>IF(AC10="","¬",_xlfn.LET(_xlpm.base,IFERROR(LEFT(AC10,FIND(" (",AC10)-1),AC10),IFERROR(VLOOKUP(_xlpm.base,tblManoeuvre[],2,FALSE) &amp; " " &amp; REPT("●",VLOOKUP(_xlpm.base,tblManoeuvre[],3,FALSE)) &amp; " | " &amp; AC10,AC10 &amp; " " &amp; REPT("●",VLOOKUP(_xlpm.base,$F$79:$P$120,11,FALSE)))))</f>
        <v>¬</v>
      </c>
      <c r="AE10" s="20"/>
      <c r="AF10" s="20" t="str">
        <f>IF(LEN(AC10)=0,"¬",_xlfn.LET(_xlpm.base,IFERROR(LEFT(AC10,FIND(" (",AC10)-1),AC10),IFERROR(VLOOKUP(_xlpm.base,tblMerits[],5,FALSE),IFERROR(VLOOKUP(_xlpm.base,tblManoeuvre[],9,FALSE),"¬"))))</f>
        <v>¬</v>
      </c>
      <c r="AI10" s="15" t="s">
        <v>24</v>
      </c>
      <c r="AJ10" s="61">
        <f t="shared" si="1"/>
        <v>2</v>
      </c>
      <c r="AK10" s="61">
        <f>AJ10+IFERROR(INDEX($V$26:$V$38,MATCH(AI10,$E$26:$E$38,0)),0)</f>
        <v>2</v>
      </c>
    </row>
    <row r="11" spans="1:37">
      <c r="A11" s="1" t="s">
        <v>10</v>
      </c>
      <c r="B11" t="str">
        <f>IF(VLOOKUP(tblCharDataCharles[[#This Row],[Field]],$E$2:$F$362,2,FALSE)="","¬",VLOOKUP(tblCharDataCharles[[#This Row],[Field]],$E$2:$F$362,2,FALSE))</f>
        <v>Gorgons</v>
      </c>
      <c r="D11" s="19"/>
      <c r="E11" s="15" t="s">
        <v>14</v>
      </c>
      <c r="F11" s="3" t="s">
        <v>638</v>
      </c>
      <c r="G11" s="18"/>
      <c r="H11" s="18"/>
      <c r="I11" s="18" t="s">
        <v>1431</v>
      </c>
      <c r="N11" s="61">
        <f>N163</f>
        <v>15</v>
      </c>
      <c r="O11" s="65">
        <f>N11/SUM(N$7:N$12)</f>
        <v>0.44117647058823528</v>
      </c>
      <c r="P11" s="66"/>
      <c r="Y11" s="15" t="s">
        <v>123</v>
      </c>
      <c r="Z11" s="19"/>
      <c r="AA11" s="61" t="str">
        <f t="shared" si="0"/>
        <v/>
      </c>
      <c r="AC11" s="60"/>
      <c r="AD11" s="20" t="str">
        <f>IF(AC11="","¬",_xlfn.LET(_xlpm.base,IFERROR(LEFT(AC11,FIND(" (",AC11)-1),AC11),IFERROR(VLOOKUP(_xlpm.base,tblManoeuvre[],2,FALSE) &amp; " " &amp; REPT("●",VLOOKUP(_xlpm.base,tblManoeuvre[],3,FALSE)) &amp; " | " &amp; AC11,AC11 &amp; " " &amp; REPT("●",VLOOKUP(_xlpm.base,$F$79:$P$120,11,FALSE)))))</f>
        <v>¬</v>
      </c>
      <c r="AE11" s="20"/>
      <c r="AF11" s="20" t="str">
        <f>IF(LEN(AC11)=0,"¬",_xlfn.LET(_xlpm.base,IFERROR(LEFT(AC11,FIND(" (",AC11)-1),AC11),IFERROR(VLOOKUP(_xlpm.base,tblMerits[],5,FALSE),IFERROR(VLOOKUP(_xlpm.base,tblManoeuvre[],9,FALSE),"¬"))))</f>
        <v>¬</v>
      </c>
      <c r="AI11" s="15" t="s">
        <v>26</v>
      </c>
      <c r="AJ11" s="61">
        <f t="shared" si="1"/>
        <v>1</v>
      </c>
      <c r="AK11" s="61">
        <f>IF(AJ11=0,IF(COUNTIF($E$42:$E$49,AI11)&gt;0,-3,-1),AJ11)</f>
        <v>1</v>
      </c>
    </row>
    <row r="12" spans="1:37">
      <c r="A12" s="1" t="s">
        <v>11</v>
      </c>
      <c r="B12" t="str">
        <f>IF(VLOOKUP(tblCharDataCharles[[#This Row],[Field]],$E$2:$F$362,2,FALSE)="","¬",VLOOKUP(tblCharDataCharles[[#This Row],[Field]],$E$2:$F$362,2,FALSE))</f>
        <v>Circle of the Crone</v>
      </c>
      <c r="D12" s="19"/>
      <c r="E12" s="15" t="s">
        <v>15</v>
      </c>
      <c r="F12" s="3"/>
      <c r="G12" s="3"/>
      <c r="H12" s="18"/>
      <c r="I12" s="18" t="s">
        <v>1432</v>
      </c>
      <c r="N12" s="61">
        <f>N71</f>
        <v>0</v>
      </c>
      <c r="O12" s="65">
        <f>N12/SUM(N$7:N$12)</f>
        <v>0</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3</v>
      </c>
      <c r="AK12" s="61">
        <f>IF(AJ12=0,IF(COUNTIF($E$42:$E$49,AI12)&gt;0,-3,-1),AJ12)</f>
        <v>3</v>
      </c>
    </row>
    <row r="13" spans="1:37">
      <c r="A13" s="1" t="s">
        <v>12</v>
      </c>
      <c r="B13" t="str">
        <f>_xlfn.IFNA(CONCATENATE(Elements,VLOOKUP(B12,tblCovenantShortName[#Data],2,FALSE)," icon.svg"),"")</f>
        <v>D:\Terra Mortis\Character Sheets\Sheet Elements\Crone icon.svg</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2</v>
      </c>
      <c r="AK13" s="61">
        <f t="shared" ref="AK13:AK19" si="2">AJ13</f>
        <v>2</v>
      </c>
    </row>
    <row r="14" spans="1:37">
      <c r="A14" s="1" t="s">
        <v>13</v>
      </c>
      <c r="B14" t="str">
        <f>IF(VLOOKUP(tblCharDataCharles[[#This Row],[Field]],$E$2:$F$362,2,FALSE)="","¬",VLOOKUP(tblCharDataCharles[[#This Row],[Field]],$E$2:$F$362,2,FALSE))</f>
        <v>Nurturer</v>
      </c>
      <c r="D14" s="19"/>
      <c r="E14" s="15" t="s">
        <v>1433</v>
      </c>
      <c r="F14" s="28">
        <v>40384</v>
      </c>
      <c r="G14" s="3" t="s">
        <v>634</v>
      </c>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2</v>
      </c>
      <c r="AK14" s="61">
        <f t="shared" si="2"/>
        <v>2</v>
      </c>
    </row>
    <row r="15" spans="1:37">
      <c r="A15" s="1" t="s">
        <v>14</v>
      </c>
      <c r="B15" t="str">
        <f>IF(VLOOKUP(tblCharDataCharles[[#This Row],[Field]],$E$2:$F$362,2,FALSE)="","¬",VLOOKUP(tblCharDataCharles[[#This Row],[Field]],$E$2:$F$362,2,FALSE))</f>
        <v>Cult Leader</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3</v>
      </c>
      <c r="AK15" s="61">
        <f t="shared" ca="1" si="2"/>
        <v>3</v>
      </c>
    </row>
    <row r="16" spans="1:37" ht="15.75" thickBot="1">
      <c r="A16" s="1" t="s">
        <v>15</v>
      </c>
      <c r="B16" t="str">
        <f ca="1">_xlfn.LET(_xlpm.a,VLOOKUP(tblCharDataCharles[[#This Row],[Field]],$E$2:$F$362,2,FALSE),_xlpm.b,VLOOKUP(OFFSET(tblCharDataCharles[[#This Row],[Field]],1,0),$E$2:$F$362,2,FALSE),IF(AND(_xlpm.a&lt;&gt;"",_xlpm.b&lt;&gt;""),_xlpm.a&amp;" &amp; "&amp;_xlpm.b,IF(_xlpm.a&lt;&gt;"",_xlpm.a,IF(_xlpm.b&lt;&gt;"",_xlpm.b,"¬"))))</f>
        <v>¬</v>
      </c>
      <c r="D16" s="14" t="s">
        <v>1427</v>
      </c>
      <c r="E16" s="14"/>
      <c r="F16" s="14"/>
      <c r="G16" s="14"/>
      <c r="H16" s="14"/>
      <c r="I16" s="14"/>
      <c r="N16" s="60">
        <f>SUM(N17:N21)</f>
        <v>3</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REPT("●",IFERROR(INDEX($P$26:$P$38,MATCH(tblCharDataCharles[[#This Row],[Field]],$E$26:$E$38,0)),0))&amp;REPT("○",IFERROR(INDEX($V$26:$V$38,MATCH(tblCharDataCharles[[#This Row],[Field]],$E$26:$E$38,0)),0))</f>
        <v>●●</v>
      </c>
      <c r="D17" s="19"/>
      <c r="E17" s="15" t="s">
        <v>1435</v>
      </c>
      <c r="F17" s="3" t="b">
        <v>1</v>
      </c>
      <c r="G17" s="19"/>
      <c r="H17" s="19"/>
      <c r="I17" s="19"/>
      <c r="N17" s="61">
        <f>IF(F17=TRUE,3,0)</f>
        <v>3</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2</v>
      </c>
      <c r="AK17" s="61">
        <f>AJ17+IFERROR(INDEX($V$26:$V$38,MATCH(AI17,$E$26:$E$38,0)),0)</f>
        <v>2</v>
      </c>
    </row>
    <row r="18" spans="1:37">
      <c r="A18" s="1" t="s">
        <v>17</v>
      </c>
      <c r="B18" t="str">
        <f>REPT("●",IFERROR(INDEX($P$26:$P$38,MATCH(tblCharDataCharles[[#This Row],[Field]],$E$26:$E$38,0)),0))&amp;REPT("○",IFERROR(INDEX($V$26:$V$38,MATCH(tblCharDataCharles[[#This Row],[Field]],$E$26:$E$38,0)),0))</f>
        <v>●●●</v>
      </c>
      <c r="D18" s="19"/>
      <c r="E18" s="15" t="s">
        <v>1436</v>
      </c>
      <c r="F18" s="3"/>
      <c r="G18" s="19"/>
      <c r="H18" s="19"/>
      <c r="I18" s="19"/>
      <c r="N18" s="61">
        <f>IF(F18=TRUE,3,0)</f>
        <v>0</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0</v>
      </c>
      <c r="AK18" s="61">
        <f t="shared" si="2"/>
        <v>0</v>
      </c>
    </row>
    <row r="19" spans="1:37">
      <c r="A19" s="1" t="s">
        <v>18</v>
      </c>
      <c r="B19" t="str">
        <f>REPT("●",IFERROR(INDEX($P$26:$P$38,MATCH(tblCharDataCharles[[#This Row],[Field]],$E$26:$E$38,0)),0))&amp;REPT("○",IFERROR(INDEX($V$26:$V$38,MATCH(tblCharDataCharles[[#This Row],[Field]],$E$26:$E$38,0)),0))</f>
        <v>●●●</v>
      </c>
      <c r="D19" s="19"/>
      <c r="E19" s="15" t="s">
        <v>1437</v>
      </c>
      <c r="F19" s="3"/>
      <c r="G19" s="19"/>
      <c r="H19" s="19"/>
      <c r="I19" s="19"/>
      <c r="N19" s="61">
        <f>IF(F19=TRUE,3,0)</f>
        <v>0</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2</v>
      </c>
      <c r="AK19" s="61">
        <f t="shared" si="2"/>
        <v>2</v>
      </c>
    </row>
    <row r="20" spans="1:37">
      <c r="A20" s="1" t="s">
        <v>19</v>
      </c>
      <c r="B20" t="str">
        <f>REPT("●",IFERROR(INDEX($P$26:$P$38,MATCH(tblCharDataCharles[[#This Row],[Field]],$E$26:$E$38,0)),0))&amp;REPT("○",IFERROR(INDEX($V$26:$V$38,MATCH(tblCharDataCharles[[#This Row],[Field]],$E$26:$E$38,0)),0))</f>
        <v>●●</v>
      </c>
      <c r="D20" s="19"/>
      <c r="E20" s="15" t="s">
        <v>1438</v>
      </c>
      <c r="F20" s="3"/>
      <c r="G20" s="19"/>
      <c r="H20" s="19"/>
      <c r="I20" s="19"/>
      <c r="N20" s="61">
        <f>IF(F20=TRUE,3,0)</f>
        <v>0</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REPT("●",IFERROR(INDEX($P$26:$P$38,MATCH(tblCharDataCharles[[#This Row],[Field]],$E$26:$E$38,0)),0))&amp;REPT("○",IFERROR(INDEX($V$26:$V$38,MATCH(tblCharDataCharles[[#This Row],[Field]],$E$26:$E$38,0)),0))</f>
        <v>●●</v>
      </c>
      <c r="D21" s="19"/>
      <c r="E21" s="15" t="s">
        <v>11</v>
      </c>
      <c r="F21" s="3"/>
      <c r="G21" s="19"/>
      <c r="H21" s="19"/>
      <c r="I21" s="19"/>
      <c r="N21" s="61">
        <f>IF(F21=TRUE,3,0)</f>
        <v>0</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1</v>
      </c>
      <c r="AK21" s="61">
        <f>IF(AJ21=0,IF(COUNTIF($E$42:$E$49,AI21)&gt;0,-3,-1),AJ21)</f>
        <v>1</v>
      </c>
    </row>
    <row r="22" spans="1:37">
      <c r="A22" s="1" t="s">
        <v>21</v>
      </c>
      <c r="B22" t="str">
        <f>REPT("●",IFERROR(INDEX($P$26:$P$38,MATCH(tblCharDataCharles[[#This Row],[Field]],$E$26:$E$38,0)),0))&amp;REPT("○",IFERROR(INDEX($V$26:$V$38,MATCH(tblCharDataCharles[[#This Row],[Field]],$E$26:$E$38,0)),0))</f>
        <v>●●</v>
      </c>
      <c r="Y22" s="15" t="s">
        <v>1439</v>
      </c>
      <c r="Z22" s="61" t="str">
        <f>IFERROR(VLOOKUP(AA22,tblManoeuvre[],2,FALSE),"")</f>
        <v/>
      </c>
      <c r="AA22" s="61" t="str">
        <f t="shared" ref="AA22:AA41" si="3">_xlfn.LET(_xlpm.name,VLOOKUP(Y22,$E$2:$F$362,2,FALSE),_xlpm.paid,_xlfn.IFNA(VLOOKUP(_xlpm.name,$F$79:$Q$120,11,FALSE)&gt;=VLOOKUP(_xlpm.name,$F$79:$Q$120,12,FALSE),FALSE),IF(AND(_xlpm.name&lt;&gt;"",_xlpm.paid),_xlpm.name,""))</f>
        <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4</v>
      </c>
      <c r="AK22" s="61">
        <f>IF(AJ22=0,IF(COUNTIF($E$42:$E$49,AI22)&gt;0,-3,-1),AJ22)</f>
        <v>4</v>
      </c>
    </row>
    <row r="23" spans="1:37" ht="15.75" thickBot="1">
      <c r="A23" s="1" t="s">
        <v>22</v>
      </c>
      <c r="B23" t="str">
        <f>REPT("●",IFERROR(INDEX($P$26:$P$38,MATCH(tblCharDataCharles[[#This Row],[Field]],$E$26:$E$38,0)),0))&amp;REPT("○",IFERROR(INDEX($V$26:$V$38,MATCH(tblCharDataCharles[[#This Row],[Field]],$E$26:$E$38,0)),0))</f>
        <v>●●●</v>
      </c>
      <c r="D23" s="14" t="s">
        <v>1440</v>
      </c>
      <c r="E23" s="14"/>
      <c r="F23" s="14"/>
      <c r="G23" s="14"/>
      <c r="H23" s="14"/>
      <c r="I23" s="14"/>
      <c r="N23" s="60">
        <f>SUM(N26:N28,N31:N33,N36:N38)</f>
        <v>0</v>
      </c>
      <c r="Y23" s="15" t="s">
        <v>1441</v>
      </c>
      <c r="Z23" s="61" t="str">
        <f>IFERROR(VLOOKUP(AA23,tblManoeuvre[],2,FALSE),"")</f>
        <v/>
      </c>
      <c r="AA23" s="61" t="str">
        <f t="shared" si="3"/>
        <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2</v>
      </c>
      <c r="AK23" s="61">
        <f>IF(AJ23=0,VLOOKUP(AI23,$E$42:$Q$69,13,FALSE),AJ23)</f>
        <v>2</v>
      </c>
    </row>
    <row r="24" spans="1:37">
      <c r="A24" s="1" t="s">
        <v>23</v>
      </c>
      <c r="B24" t="str">
        <f>REPT("●",IFERROR(INDEX($P$26:$P$38,MATCH(tblCharDataCharles[[#This Row],[Field]],$E$26:$E$38,0)),0))&amp;REPT("○",IFERROR(INDEX($V$26:$V$38,MATCH(tblCharDataCharles[[#This Row],[Field]],$E$26:$E$38,0)),0))</f>
        <v>●●●</v>
      </c>
      <c r="E24" s="15" t="s">
        <v>1442</v>
      </c>
      <c r="F24" s="3" t="s">
        <v>18</v>
      </c>
      <c r="Y24" s="15" t="s">
        <v>1443</v>
      </c>
      <c r="Z24" s="61" t="str">
        <f>IFERROR(VLOOKUP(AA24,tblManoeuvre[],2,FALSE),"")</f>
        <v/>
      </c>
      <c r="AA24" s="61" t="str">
        <f t="shared" si="3"/>
        <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7</v>
      </c>
      <c r="AK24" s="61">
        <f ca="1">AJ24</f>
        <v>7</v>
      </c>
    </row>
    <row r="25" spans="1:37">
      <c r="A25" s="1" t="s">
        <v>24</v>
      </c>
      <c r="B25" t="str">
        <f>REPT("●",IFERROR(INDEX($P$26:$P$38,MATCH(tblCharDataCharles[[#This Row],[Field]],$E$26:$E$38,0)),0))&amp;REPT("○",IFERROR(INDEX($V$26:$V$38,MATCH(tblCharDataCharles[[#This Row],[Field]],$E$26:$E$38,0)),0))</f>
        <v>●●</v>
      </c>
      <c r="D25" s="16" t="s">
        <v>1444</v>
      </c>
      <c r="E25" s="17"/>
      <c r="F25" s="17"/>
      <c r="G25" s="17" t="s">
        <v>1445</v>
      </c>
      <c r="H25" s="16" t="s">
        <v>1446</v>
      </c>
      <c r="I25" s="3" t="s">
        <v>1567</v>
      </c>
      <c r="L25" s="60">
        <f>IF(I25="",0,VLOOKUP(I25,tblPriority[#Data],2,FALSE))-SUM(L26:L28)</f>
        <v>0</v>
      </c>
      <c r="Y25" s="15" t="s">
        <v>1447</v>
      </c>
      <c r="Z25" s="61" t="str">
        <f>IFERROR(VLOOKUP(AA25,tblManoeuvre[],2,FALSE),"")</f>
        <v/>
      </c>
      <c r="AA25" s="61" t="str">
        <f t="shared" si="3"/>
        <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5</v>
      </c>
      <c r="AK25" s="61">
        <f>AJ25</f>
        <v>5</v>
      </c>
    </row>
    <row r="26" spans="1:37">
      <c r="A26" s="1" t="s">
        <v>25</v>
      </c>
      <c r="B26" t="str">
        <f>REPT("●",IFERROR(INDEX($P$42:$P$69,MATCH(tblCharDataCharles[[#This Row],[Field]],$E$42:$E$69,0)),0))&amp;REPT("○",IFERROR(INDEX($V$42:$V$69,MATCH(tblCharDataCharles[[#This Row],[Field]],$E$42:$E$69,0)),0))&amp;IF(IFERROR(INDEX($W$42:$W$69,MATCH(tblCharDataCharles[[#This Row],[Field]],$E$42:$E$69,0)),0)=1,"†","")</f>
        <v/>
      </c>
      <c r="D26" s="18"/>
      <c r="E26" s="15" t="s">
        <v>16</v>
      </c>
      <c r="F26" s="18"/>
      <c r="G26" s="3"/>
      <c r="H26" s="18"/>
      <c r="I26" s="18"/>
      <c r="L26" s="3">
        <v>1</v>
      </c>
      <c r="M26" s="60">
        <f>IF(E26=$F$24,2,1)</f>
        <v>1</v>
      </c>
      <c r="N26" s="3"/>
      <c r="O26" s="61">
        <f>ROUNDDOWN(N26/4,0)</f>
        <v>0</v>
      </c>
      <c r="P26" s="60">
        <f>MIN(SUM(L26,M26,O26),R26)</f>
        <v>2</v>
      </c>
      <c r="R26" s="61">
        <v>5</v>
      </c>
      <c r="U26" s="4"/>
      <c r="V26" s="61">
        <f>U26</f>
        <v>0</v>
      </c>
      <c r="Y26" s="15" t="s">
        <v>1449</v>
      </c>
      <c r="Z26" s="61" t="str">
        <f>IFERROR(VLOOKUP(AA26,tblManoeuvre[],2,FALSE),"")</f>
        <v/>
      </c>
      <c r="AA26" s="61" t="str">
        <f t="shared" si="3"/>
        <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2</v>
      </c>
      <c r="AK26" s="61">
        <f>AJ26+IFERROR(INDEX($V$26:$V$38,MATCH(AI26,$E$26:$E$38,0)),0)</f>
        <v>2</v>
      </c>
    </row>
    <row r="27" spans="1:37">
      <c r="A27" s="1" t="s">
        <v>26</v>
      </c>
      <c r="B27" t="str">
        <f>REPT("●",IFERROR(INDEX($P$42:$P$69,MATCH(tblCharDataCharles[[#This Row],[Field]],$E$42:$E$69,0)),0))&amp;REPT("○",IFERROR(INDEX($V$42:$V$69,MATCH(tblCharDataCharles[[#This Row],[Field]],$E$42:$E$69,0)),0))&amp;IF(IFERROR(INDEX($W$42:$W$69,MATCH(tblCharDataCharles[[#This Row],[Field]],$E$42:$E$69,0)),0)=1,"†","")</f>
        <v>●</v>
      </c>
      <c r="D27" s="18"/>
      <c r="E27" s="15" t="s">
        <v>17</v>
      </c>
      <c r="F27" s="18"/>
      <c r="G27" s="3"/>
      <c r="H27" s="18"/>
      <c r="I27" s="18"/>
      <c r="L27" s="3">
        <v>2</v>
      </c>
      <c r="M27" s="60">
        <f>IF(E27=$F$24,2,1)</f>
        <v>1</v>
      </c>
      <c r="N27" s="3"/>
      <c r="O27" s="61">
        <f>ROUNDDOWN(N27/4,0)</f>
        <v>0</v>
      </c>
      <c r="P27" s="60">
        <f>MIN(SUM(L27,M27,O27),R27)</f>
        <v>3</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0</v>
      </c>
      <c r="AK27" s="61">
        <f>IF(AJ27=0,IF(COUNTIF($E$42:$E$49,AI27)&gt;0,-3,-1),AJ27)</f>
        <v>-1</v>
      </c>
    </row>
    <row r="28" spans="1:37">
      <c r="A28" s="1" t="s">
        <v>27</v>
      </c>
      <c r="B28" t="str">
        <f>REPT("●",IFERROR(INDEX($P$42:$P$69,MATCH(tblCharDataCharles[[#This Row],[Field]],$E$42:$E$69,0)),0))&amp;REPT("○",IFERROR(INDEX($V$42:$V$69,MATCH(tblCharDataCharles[[#This Row],[Field]],$E$42:$E$69,0)),0))&amp;IF(IFERROR(INDEX($W$42:$W$69,MATCH(tblCharDataCharles[[#This Row],[Field]],$E$42:$E$69,0)),0)=1,"†","")</f>
        <v>●●●</v>
      </c>
      <c r="D28" s="18"/>
      <c r="E28" s="15" t="s">
        <v>18</v>
      </c>
      <c r="F28" s="18"/>
      <c r="G28" s="3"/>
      <c r="H28" s="18"/>
      <c r="I28" s="18"/>
      <c r="L28" s="3">
        <v>1</v>
      </c>
      <c r="M28" s="60">
        <f>IF(E28=$F$24,2,1)</f>
        <v>2</v>
      </c>
      <c r="N28" s="3"/>
      <c r="O28" s="61">
        <f>ROUNDDOWN(N28/4,0)</f>
        <v>0</v>
      </c>
      <c r="P28" s="60">
        <f>MIN(SUM(L28,M28,O28),R28)</f>
        <v>3</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0</v>
      </c>
      <c r="AK28" s="61">
        <f>IF(AJ28=0,IF(COUNTIF($E$42:$E$49,AI28)&gt;0,-3,-1),AJ28)</f>
        <v>-3</v>
      </c>
    </row>
    <row r="29" spans="1:37">
      <c r="A29" s="1" t="s">
        <v>28</v>
      </c>
      <c r="B29" t="str">
        <f>REPT("●",IFERROR(INDEX($P$42:$P$69,MATCH(tblCharDataCharles[[#This Row],[Field]],$E$42:$E$69,0)),0))&amp;REPT("○",IFERROR(INDEX($V$42:$V$69,MATCH(tblCharDataCharles[[#This Row],[Field]],$E$42:$E$69,0)),0))&amp;IF(IFERROR(INDEX($W$42:$W$69,MATCH(tblCharDataCharles[[#This Row],[Field]],$E$42:$E$69,0)),0)=1,"†","")</f>
        <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1</v>
      </c>
      <c r="AK29" s="61">
        <f>IF(AJ29=0,IF(COUNTIF($E$42:$E$49,AI29)&gt;0,-3,-1),AJ29)</f>
        <v>1</v>
      </c>
    </row>
    <row r="30" spans="1:37">
      <c r="A30" s="1" t="s">
        <v>29</v>
      </c>
      <c r="B30" t="str">
        <f>REPT("●",IFERROR(INDEX($P$42:$P$69,MATCH(tblCharDataCharles[[#This Row],[Field]],$E$42:$E$69,0)),0))&amp;REPT("○",IFERROR(INDEX($V$42:$V$69,MATCH(tblCharDataCharles[[#This Row],[Field]],$E$42:$E$69,0)),0))&amp;IF(IFERROR(INDEX($W$42:$W$69,MATCH(tblCharDataCharles[[#This Row],[Field]],$E$42:$E$69,0)),0)=1,"†","")</f>
        <v/>
      </c>
      <c r="D30" s="16" t="s">
        <v>1453</v>
      </c>
      <c r="E30" s="17"/>
      <c r="F30" s="17"/>
      <c r="G30" s="17" t="s">
        <v>1445</v>
      </c>
      <c r="H30" s="16" t="s">
        <v>1446</v>
      </c>
      <c r="I30" s="3" t="s">
        <v>1566</v>
      </c>
      <c r="L30" s="60">
        <f>IF(I30="",0,VLOOKUP(I30,tblPriority[#Data],2,FALSE))-SUM(L31:L33)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0</v>
      </c>
      <c r="AK30" s="61">
        <f>AJ30</f>
        <v>0</v>
      </c>
    </row>
    <row r="31" spans="1:37">
      <c r="A31" s="1" t="s">
        <v>30</v>
      </c>
      <c r="B31" t="str">
        <f>REPT("●",IFERROR(INDEX($P$42:$P$69,MATCH(tblCharDataCharles[[#This Row],[Field]],$E$42:$E$69,0)),0))&amp;REPT("○",IFERROR(INDEX($V$42:$V$69,MATCH(tblCharDataCharles[[#This Row],[Field]],$E$42:$E$69,0)),0))&amp;IF(IFERROR(INDEX($W$42:$W$69,MATCH(tblCharDataCharles[[#This Row],[Field]],$E$42:$E$69,0)),0)=1,"†","")</f>
        <v>●●●</v>
      </c>
      <c r="D31" s="18"/>
      <c r="E31" s="15" t="s">
        <v>19</v>
      </c>
      <c r="F31" s="18"/>
      <c r="G31" s="3"/>
      <c r="H31" s="18"/>
      <c r="I31" s="18"/>
      <c r="L31" s="3">
        <v>1</v>
      </c>
      <c r="M31" s="60">
        <f>IF(E31=$F$24,2,1)</f>
        <v>1</v>
      </c>
      <c r="N31" s="3"/>
      <c r="O31" s="61">
        <f>ROUNDDOWN(N31/4,0)</f>
        <v>0</v>
      </c>
      <c r="P31" s="60">
        <f>MIN(SUM(L31,M31,O31),R31)</f>
        <v>2</v>
      </c>
      <c r="R31" s="61">
        <v>5</v>
      </c>
      <c r="U31" s="4"/>
      <c r="V31" s="61">
        <f>$P$174+U31</f>
        <v>0</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3</v>
      </c>
      <c r="AK31" s="61">
        <f>AJ31+IFERROR(INDEX($V$26:$V$38,MATCH(AI31,$E$26:$E$38,0)),0)</f>
        <v>3</v>
      </c>
    </row>
    <row r="32" spans="1:37">
      <c r="A32" s="1" t="s">
        <v>31</v>
      </c>
      <c r="B32" t="str">
        <f>REPT("●",IFERROR(INDEX($P$42:$P$69,MATCH(tblCharDataCharles[[#This Row],[Field]],$E$42:$E$69,0)),0))&amp;REPT("○",IFERROR(INDEX($V$42:$V$69,MATCH(tblCharDataCharles[[#This Row],[Field]],$E$42:$E$69,0)),0))&amp;IF(IFERROR(INDEX($W$42:$W$69,MATCH(tblCharDataCharles[[#This Row],[Field]],$E$42:$E$69,0)),0)=1,"†","")</f>
        <v/>
      </c>
      <c r="D32" s="18"/>
      <c r="E32" s="15" t="s">
        <v>20</v>
      </c>
      <c r="F32" s="18"/>
      <c r="G32" s="3"/>
      <c r="H32" s="18"/>
      <c r="I32" s="18"/>
      <c r="L32" s="3">
        <v>1</v>
      </c>
      <c r="M32" s="60">
        <f>IF(E32=$F$24,2,1)</f>
        <v>1</v>
      </c>
      <c r="N32" s="3"/>
      <c r="O32" s="61">
        <f>ROUNDDOWN(N32/4,0)</f>
        <v>0</v>
      </c>
      <c r="P32" s="60">
        <f>MIN(SUM(L32,M32,O32),R32)</f>
        <v>2</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REPT("●",IFERROR(INDEX($P$42:$P$69,MATCH(tblCharDataCharles[[#This Row],[Field]],$E$42:$E$69,0)),0))&amp;REPT("○",IFERROR(INDEX($V$42:$V$69,MATCH(tblCharDataCharles[[#This Row],[Field]],$E$42:$E$69,0)),0))&amp;IF(IFERROR(INDEX($W$42:$W$69,MATCH(tblCharDataCharles[[#This Row],[Field]],$E$42:$E$69,0)),0)=1,"†","")</f>
        <v/>
      </c>
      <c r="D33" s="18"/>
      <c r="E33" s="15" t="s">
        <v>21</v>
      </c>
      <c r="F33" s="18"/>
      <c r="G33" s="3"/>
      <c r="H33" s="18"/>
      <c r="I33" s="18"/>
      <c r="L33" s="3">
        <v>1</v>
      </c>
      <c r="M33" s="60">
        <f>IF(E33=$F$24,2,1)</f>
        <v>1</v>
      </c>
      <c r="N33" s="3"/>
      <c r="O33" s="61">
        <f>ROUNDDOWN(N33/4,0)</f>
        <v>0</v>
      </c>
      <c r="P33" s="60">
        <f>MIN(SUM(L33,M33,O33),R33)</f>
        <v>2</v>
      </c>
      <c r="R33" s="61">
        <v>5</v>
      </c>
      <c r="U33" s="4"/>
      <c r="V33" s="61">
        <f>$P$173+U33</f>
        <v>0</v>
      </c>
      <c r="Y33" s="15" t="s">
        <v>1457</v>
      </c>
      <c r="Z33" s="61" t="str">
        <f>IFERROR(VLOOKUP(AA33,tblManoeuvre[],2,FALSE),"")</f>
        <v/>
      </c>
      <c r="AA33" s="61" t="str">
        <f t="shared" si="3"/>
        <v/>
      </c>
      <c r="AI33" s="15" t="s">
        <v>241</v>
      </c>
      <c r="AJ33" s="61">
        <f t="shared" si="1"/>
        <v>0</v>
      </c>
      <c r="AK33" s="61">
        <f>AJ33</f>
        <v>0</v>
      </c>
    </row>
    <row r="34" spans="1:37">
      <c r="A34" s="1" t="s">
        <v>33</v>
      </c>
      <c r="B34" t="str">
        <f>REPT("●",IFERROR(INDEX($P$42:$P$69,MATCH(tblCharDataCharles[[#This Row],[Field]],$E$42:$E$69,0)),0))&amp;REPT("○",IFERROR(INDEX($V$42:$V$69,MATCH(tblCharDataCharles[[#This Row],[Field]],$E$42:$E$69,0)),0))&amp;IF(IFERROR(INDEX($W$42:$W$69,MATCH(tblCharDataCharles[[#This Row],[Field]],$E$42:$E$69,0)),0)=1,"†","")</f>
        <v>●</v>
      </c>
      <c r="Y34" s="15" t="s">
        <v>1458</v>
      </c>
      <c r="Z34" s="61" t="str">
        <f>IFERROR(VLOOKUP(AA34,tblManoeuvre[],2,FALSE),"")</f>
        <v/>
      </c>
      <c r="AA34" s="61" t="str">
        <f t="shared" si="3"/>
        <v/>
      </c>
      <c r="AI34" s="15" t="s">
        <v>242</v>
      </c>
      <c r="AJ34" s="61">
        <f t="shared" ref="AJ34:AJ58" si="4">VLOOKUP(AI34,$E$3:$P$221,12,FALSE)</f>
        <v>0</v>
      </c>
      <c r="AK34" s="61">
        <f>AJ34</f>
        <v>0</v>
      </c>
    </row>
    <row r="35" spans="1:37">
      <c r="A35" s="1" t="s">
        <v>34</v>
      </c>
      <c r="B35" t="str">
        <f>REPT("●",IFERROR(INDEX($P$42:$P$69,MATCH(tblCharDataCharles[[#This Row],[Field]],$E$42:$E$69,0)),0))&amp;REPT("○",IFERROR(INDEX($V$42:$V$69,MATCH(tblCharDataCharles[[#This Row],[Field]],$E$42:$E$69,0)),0))&amp;IF(IFERROR(INDEX($W$42:$W$69,MATCH(tblCharDataCharles[[#This Row],[Field]],$E$42:$E$69,0)),0)=1,"†","")</f>
        <v/>
      </c>
      <c r="D35" s="16" t="s">
        <v>1459</v>
      </c>
      <c r="E35" s="17"/>
      <c r="F35" s="17"/>
      <c r="G35" s="17" t="s">
        <v>1445</v>
      </c>
      <c r="H35" s="16" t="s">
        <v>1446</v>
      </c>
      <c r="I35" s="3" t="s">
        <v>1565</v>
      </c>
      <c r="L35" s="60">
        <f>IF(I35="",0,VLOOKUP(I35,tblPriority[#Data],2,FALSE))-SUM(L36:L38)</f>
        <v>0</v>
      </c>
      <c r="Y35" s="15" t="s">
        <v>1460</v>
      </c>
      <c r="Z35" s="61" t="str">
        <f>IFERROR(VLOOKUP(AA35,tblManoeuvre[],2,FALSE),"")</f>
        <v/>
      </c>
      <c r="AA35" s="61" t="str">
        <f t="shared" si="3"/>
        <v/>
      </c>
      <c r="AI35" s="15" t="s">
        <v>30</v>
      </c>
      <c r="AJ35" s="61">
        <f t="shared" si="4"/>
        <v>3</v>
      </c>
      <c r="AK35" s="61">
        <f>IF(AJ35=0,IF(COUNTIF($E$42:$E$49,AI35)&gt;0,-3,-1),AJ35)</f>
        <v>3</v>
      </c>
    </row>
    <row r="36" spans="1:37">
      <c r="A36" s="1" t="s">
        <v>35</v>
      </c>
      <c r="B36" t="str">
        <f>REPT("●",IFERROR(INDEX($P$42:$P$69,MATCH(tblCharDataCharles[[#This Row],[Field]],$E$42:$E$69,0)),0))&amp;REPT("○",IFERROR(INDEX($V$42:$V$69,MATCH(tblCharDataCharles[[#This Row],[Field]],$E$42:$E$69,0)),0))&amp;IF(IFERROR(INDEX($W$42:$W$69,MATCH(tblCharDataCharles[[#This Row],[Field]],$E$42:$E$69,0)),0)=1,"†","")</f>
        <v/>
      </c>
      <c r="D36" s="18"/>
      <c r="E36" s="15" t="s">
        <v>22</v>
      </c>
      <c r="F36" s="18"/>
      <c r="G36" s="3"/>
      <c r="H36" s="18"/>
      <c r="I36" s="18"/>
      <c r="L36" s="3">
        <v>2</v>
      </c>
      <c r="M36" s="60">
        <f>IF(E36=$F$24,2,1)</f>
        <v>1</v>
      </c>
      <c r="N36" s="3"/>
      <c r="O36" s="61">
        <f>ROUNDDOWN(N36/4,0)</f>
        <v>0</v>
      </c>
      <c r="P36" s="60">
        <f>MIN(SUM(L36,M36,O36),R36)</f>
        <v>3</v>
      </c>
      <c r="R36" s="61">
        <v>5</v>
      </c>
      <c r="U36" s="4"/>
      <c r="V36" s="61">
        <f>U36</f>
        <v>0</v>
      </c>
      <c r="Y36" s="15" t="s">
        <v>1461</v>
      </c>
      <c r="Z36" s="61" t="str">
        <f>IFERROR(VLOOKUP(AA36,tblManoeuvre[],2,FALSE),"")</f>
        <v/>
      </c>
      <c r="AA36" s="61" t="str">
        <f t="shared" si="3"/>
        <v/>
      </c>
      <c r="AI36" s="15" t="s">
        <v>45</v>
      </c>
      <c r="AJ36" s="61">
        <f t="shared" si="4"/>
        <v>3</v>
      </c>
      <c r="AK36" s="61">
        <f>IF(AJ36=0,IF(COUNTIF($E$42:$E$49,AI36)&gt;0,-3,-1),AJ36)</f>
        <v>3</v>
      </c>
    </row>
    <row r="37" spans="1:37">
      <c r="A37" s="1" t="s">
        <v>36</v>
      </c>
      <c r="B37" t="str">
        <f>REPT("●",IFERROR(INDEX($P$42:$P$69,MATCH(tblCharDataCharles[[#This Row],[Field]],$E$42:$E$69,0)),0))&amp;REPT("○",IFERROR(INDEX($V$42:$V$69,MATCH(tblCharDataCharles[[#This Row],[Field]],$E$42:$E$69,0)),0))&amp;IF(IFERROR(INDEX($W$42:$W$69,MATCH(tblCharDataCharles[[#This Row],[Field]],$E$42:$E$69,0)),0)=1,"†","")</f>
        <v>●●</v>
      </c>
      <c r="D37" s="18"/>
      <c r="E37" s="15" t="s">
        <v>23</v>
      </c>
      <c r="F37" s="18"/>
      <c r="G37" s="3"/>
      <c r="H37" s="18"/>
      <c r="I37" s="18"/>
      <c r="L37" s="3">
        <v>2</v>
      </c>
      <c r="M37" s="60">
        <f>IF(E37=$F$24,2,1)</f>
        <v>1</v>
      </c>
      <c r="N37" s="3"/>
      <c r="O37" s="61">
        <f>ROUNDDOWN(N37/4,0)</f>
        <v>0</v>
      </c>
      <c r="P37" s="60">
        <f>MIN(SUM(L37,M37,O37),R37)</f>
        <v>3</v>
      </c>
      <c r="R37" s="61">
        <v>5</v>
      </c>
      <c r="U37" s="4"/>
      <c r="V37" s="61">
        <f>U37</f>
        <v>0</v>
      </c>
      <c r="Y37" s="15" t="s">
        <v>1462</v>
      </c>
      <c r="Z37" s="61" t="str">
        <f>IFERROR(VLOOKUP(AA37,tblManoeuvre[],2,FALSE),"")</f>
        <v/>
      </c>
      <c r="AA37" s="61" t="str">
        <f t="shared" si="3"/>
        <v/>
      </c>
      <c r="AI37" s="15" t="s">
        <v>31</v>
      </c>
      <c r="AJ37" s="61">
        <f t="shared" si="4"/>
        <v>0</v>
      </c>
      <c r="AK37" s="61">
        <f>IF(AJ37=0,IF(COUNTIF($E$42:$E$49,AI37)&gt;0,-3,-1),AJ37)</f>
        <v>-3</v>
      </c>
    </row>
    <row r="38" spans="1:37">
      <c r="A38" s="1" t="s">
        <v>37</v>
      </c>
      <c r="B38" t="str">
        <f>REPT("●",IFERROR(INDEX($P$42:$P$69,MATCH(tblCharDataCharles[[#This Row],[Field]],$E$42:$E$69,0)),0))&amp;REPT("○",IFERROR(INDEX($V$42:$V$69,MATCH(tblCharDataCharles[[#This Row],[Field]],$E$42:$E$69,0)),0))&amp;IF(IFERROR(INDEX($W$42:$W$69,MATCH(tblCharDataCharles[[#This Row],[Field]],$E$42:$E$69,0)),0)=1,"†","")</f>
        <v>●</v>
      </c>
      <c r="D38" s="18"/>
      <c r="E38" s="15" t="s">
        <v>24</v>
      </c>
      <c r="F38" s="18"/>
      <c r="G38" s="3"/>
      <c r="H38" s="18"/>
      <c r="I38" s="18"/>
      <c r="L38" s="3">
        <v>1</v>
      </c>
      <c r="M38" s="60">
        <f>IF(E38=$F$24,2,1)</f>
        <v>1</v>
      </c>
      <c r="N38" s="3"/>
      <c r="O38" s="61">
        <f>ROUNDDOWN(N38/4,0)</f>
        <v>0</v>
      </c>
      <c r="P38" s="60">
        <f>MIN(SUM(L38,M38,O38),R38)</f>
        <v>2</v>
      </c>
      <c r="R38" s="61">
        <v>5</v>
      </c>
      <c r="U38" s="4"/>
      <c r="V38" s="61">
        <f>U38</f>
        <v>0</v>
      </c>
      <c r="Y38" s="15" t="s">
        <v>1463</v>
      </c>
      <c r="Z38" s="61" t="str">
        <f>IFERROR(VLOOKUP(AA38,tblManoeuvre[],2,FALSE),"")</f>
        <v/>
      </c>
      <c r="AA38" s="61" t="str">
        <f t="shared" si="3"/>
        <v/>
      </c>
      <c r="AI38" s="15" t="s">
        <v>22</v>
      </c>
      <c r="AJ38" s="61">
        <f t="shared" si="4"/>
        <v>3</v>
      </c>
      <c r="AK38" s="61">
        <f>AJ38+IFERROR(INDEX($V$26:$V$38,MATCH(AI38,$E$26:$E$38,0)),0)</f>
        <v>3</v>
      </c>
    </row>
    <row r="39" spans="1:37">
      <c r="A39" s="1" t="s">
        <v>38</v>
      </c>
      <c r="B39" t="str">
        <f>REPT("●",IFERROR(INDEX($P$42:$P$69,MATCH(tblCharDataCharles[[#This Row],[Field]],$E$42:$E$69,0)),0))&amp;REPT("○",IFERROR(INDEX($V$42:$V$69,MATCH(tblCharDataCharles[[#This Row],[Field]],$E$42:$E$69,0)),0))&amp;IF(IFERROR(INDEX($W$42:$W$69,MATCH(tblCharDataCharles[[#This Row],[Field]],$E$42:$E$69,0)),0)=1,"†","")</f>
        <v/>
      </c>
      <c r="Y39" s="15" t="s">
        <v>1464</v>
      </c>
      <c r="Z39" s="61" t="str">
        <f>IFERROR(VLOOKUP(AA39,tblManoeuvre[],2,FALSE),"")</f>
        <v/>
      </c>
      <c r="AA39" s="61" t="str">
        <f t="shared" si="3"/>
        <v/>
      </c>
      <c r="AI39" s="15" t="s">
        <v>243</v>
      </c>
      <c r="AJ39" s="61">
        <f t="shared" si="4"/>
        <v>2</v>
      </c>
      <c r="AK39" s="61">
        <f>AJ39</f>
        <v>2</v>
      </c>
    </row>
    <row r="40" spans="1:37" ht="15.75" thickBot="1">
      <c r="A40" s="1" t="s">
        <v>39</v>
      </c>
      <c r="B40" t="str">
        <f>REPT("●",IFERROR(INDEX($P$42:$P$69,MATCH(tblCharDataCharles[[#This Row],[Field]],$E$42:$E$69,0)),0))&amp;REPT("○",IFERROR(INDEX($V$42:$V$69,MATCH(tblCharDataCharles[[#This Row],[Field]],$E$42:$E$69,0)),0))&amp;IF(IFERROR(INDEX($W$42:$W$69,MATCH(tblCharDataCharles[[#This Row],[Field]],$E$42:$E$69,0)),0)=1,"†","")</f>
        <v/>
      </c>
      <c r="D40" s="14" t="s">
        <v>1465</v>
      </c>
      <c r="E40" s="14"/>
      <c r="F40" s="14"/>
      <c r="G40" s="14"/>
      <c r="H40" s="14"/>
      <c r="I40" s="14"/>
      <c r="N40" s="60">
        <f>SUM(N42:N49,N52:N59,N62:N69)</f>
        <v>0</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4"/>
        <v>1</v>
      </c>
      <c r="AK40" s="61">
        <f>AJ40</f>
        <v>1</v>
      </c>
    </row>
    <row r="41" spans="1:37">
      <c r="A41" s="1" t="s">
        <v>40</v>
      </c>
      <c r="B41" t="str">
        <f>REPT("●",IFERROR(INDEX($P$42:$P$69,MATCH(tblCharDataCharles[[#This Row],[Field]],$E$42:$E$69,0)),0))&amp;REPT("○",IFERROR(INDEX($V$42:$V$69,MATCH(tblCharDataCharles[[#This Row],[Field]],$E$42:$E$69,0)),0))&amp;IF(IFERROR(INDEX($W$42:$W$69,MATCH(tblCharDataCharles[[#This Row],[Field]],$E$42:$E$69,0)),0)=1,"†","")</f>
        <v/>
      </c>
      <c r="D41" s="16" t="s">
        <v>1444</v>
      </c>
      <c r="E41" s="17"/>
      <c r="F41" s="17"/>
      <c r="G41" s="17" t="s">
        <v>1467</v>
      </c>
      <c r="H41" s="16" t="s">
        <v>1446</v>
      </c>
      <c r="I41" s="3" t="s">
        <v>1567</v>
      </c>
      <c r="L41" s="60">
        <f>IF(I41="",0,VLOOKUP(I41,tblPriority[#Data],3,FALSE))-SUM(L42:L49)</f>
        <v>0</v>
      </c>
      <c r="T41" s="60">
        <f>MAX(3+IF(P161&gt;=3,2,0)-SUM(T42:T49,T52:T59,T62:T69),0)</f>
        <v>0</v>
      </c>
      <c r="Y41" s="15" t="s">
        <v>1468</v>
      </c>
      <c r="Z41" s="61" t="str">
        <f>IFERROR(VLOOKUP(AA41,tblManoeuvre[],2,FALSE),"")</f>
        <v/>
      </c>
      <c r="AA41" s="61" t="str">
        <f t="shared" si="3"/>
        <v/>
      </c>
      <c r="AI41" s="15" t="s">
        <v>244</v>
      </c>
      <c r="AJ41" s="61">
        <f t="shared" si="4"/>
        <v>0</v>
      </c>
      <c r="AK41" s="61">
        <f>AJ41</f>
        <v>0</v>
      </c>
    </row>
    <row r="42" spans="1:37">
      <c r="A42" s="1" t="s">
        <v>41</v>
      </c>
      <c r="B42" t="str">
        <f>REPT("●",IFERROR(INDEX($P$42:$P$69,MATCH(tblCharDataCharles[[#This Row],[Field]],$E$42:$E$69,0)),0))&amp;REPT("○",IFERROR(INDEX($V$42:$V$69,MATCH(tblCharDataCharles[[#This Row],[Field]],$E$42:$E$69,0)),0))&amp;IF(IFERROR(INDEX($W$42:$W$69,MATCH(tblCharDataCharles[[#This Row],[Field]],$E$42:$E$69,0)),0)=1,"†","")</f>
        <v>●</v>
      </c>
      <c r="D42" s="18"/>
      <c r="E42" s="15" t="s">
        <v>25</v>
      </c>
      <c r="F42" s="18"/>
      <c r="G42" s="3"/>
      <c r="H42" s="18"/>
      <c r="I42" s="18"/>
      <c r="L42" s="4"/>
      <c r="M42" s="60"/>
      <c r="N42" s="4"/>
      <c r="O42" s="61">
        <f>ROUNDDOWN(N42/2,0)</f>
        <v>0</v>
      </c>
      <c r="P42" s="60">
        <f t="shared" ref="P42:P49" si="5">MIN(SUM(L42,M42,O42),R42)</f>
        <v>0</v>
      </c>
      <c r="R42" s="61">
        <v>5</v>
      </c>
      <c r="T42" s="4"/>
      <c r="U42" s="4"/>
      <c r="V42" s="61">
        <f t="shared" ref="V42:V49" si="6">U42</f>
        <v>0</v>
      </c>
      <c r="W42" s="4"/>
      <c r="AI42" s="15" t="s">
        <v>18</v>
      </c>
      <c r="AJ42" s="61">
        <f t="shared" si="4"/>
        <v>3</v>
      </c>
      <c r="AK42" s="61">
        <f>AJ42+IFERROR(INDEX($V$26:$V$38,MATCH(AI42,$E$26:$E$38,0)),0)</f>
        <v>3</v>
      </c>
    </row>
    <row r="43" spans="1:37">
      <c r="A43" s="1" t="s">
        <v>42</v>
      </c>
      <c r="B43" t="str">
        <f>REPT("●",IFERROR(INDEX($P$42:$P$69,MATCH(tblCharDataCharles[[#This Row],[Field]],$E$42:$E$69,0)),0))&amp;REPT("○",IFERROR(INDEX($V$42:$V$69,MATCH(tblCharDataCharles[[#This Row],[Field]],$E$42:$E$69,0)),0))&amp;IF(IFERROR(INDEX($W$42:$W$69,MATCH(tblCharDataCharles[[#This Row],[Field]],$E$42:$E$69,0)),0)=1,"†","")</f>
        <v>●</v>
      </c>
      <c r="D43" s="18"/>
      <c r="E43" s="15" t="s">
        <v>26</v>
      </c>
      <c r="F43" s="18"/>
      <c r="G43" s="3"/>
      <c r="H43" s="18"/>
      <c r="I43" s="18"/>
      <c r="L43" s="4">
        <v>1</v>
      </c>
      <c r="M43" s="60"/>
      <c r="N43" s="4"/>
      <c r="O43" s="61">
        <f t="shared" ref="O43:O49" si="7">ROUNDDOWN(N43/2,0)</f>
        <v>0</v>
      </c>
      <c r="P43" s="60">
        <f t="shared" si="5"/>
        <v>1</v>
      </c>
      <c r="R43" s="61">
        <v>5</v>
      </c>
      <c r="T43" s="4"/>
      <c r="U43" s="4"/>
      <c r="V43" s="61">
        <f t="shared" si="6"/>
        <v>0</v>
      </c>
      <c r="W43" s="4"/>
      <c r="AI43" s="15" t="s">
        <v>32</v>
      </c>
      <c r="AJ43" s="61">
        <f t="shared" si="4"/>
        <v>0</v>
      </c>
      <c r="AK43" s="61">
        <f>IF(AJ43=0,IF(COUNTIF($E$42:$E$49,AI43)&gt;0,-3,-1),AJ43)</f>
        <v>-3</v>
      </c>
    </row>
    <row r="44" spans="1:37">
      <c r="A44" s="1" t="s">
        <v>43</v>
      </c>
      <c r="B44" t="str">
        <f>REPT("●",IFERROR(INDEX($P$42:$P$69,MATCH(tblCharDataCharles[[#This Row],[Field]],$E$42:$E$69,0)),0))&amp;REPT("○",IFERROR(INDEX($V$42:$V$69,MATCH(tblCharDataCharles[[#This Row],[Field]],$E$42:$E$69,0)),0))&amp;IF(IFERROR(INDEX($W$42:$W$69,MATCH(tblCharDataCharles[[#This Row],[Field]],$E$42:$E$69,0)),0)=1,"†","")</f>
        <v>●●●●</v>
      </c>
      <c r="D44" s="18"/>
      <c r="E44" s="15" t="s">
        <v>27</v>
      </c>
      <c r="F44" s="18"/>
      <c r="G44" s="3" t="s">
        <v>641</v>
      </c>
      <c r="H44" s="18"/>
      <c r="I44" s="18"/>
      <c r="L44" s="4">
        <v>3</v>
      </c>
      <c r="M44" s="60"/>
      <c r="N44" s="4"/>
      <c r="O44" s="61">
        <f t="shared" si="7"/>
        <v>0</v>
      </c>
      <c r="P44" s="60">
        <f t="shared" si="5"/>
        <v>3</v>
      </c>
      <c r="R44" s="61">
        <v>5</v>
      </c>
      <c r="T44" s="4">
        <v>1</v>
      </c>
      <c r="U44" s="4"/>
      <c r="V44" s="61">
        <f t="shared" si="6"/>
        <v>0</v>
      </c>
      <c r="W44" s="4"/>
      <c r="Y44" s="15">
        <v>1</v>
      </c>
      <c r="Z44" s="61" t="s">
        <v>236</v>
      </c>
      <c r="AA44" s="60" t="str" cm="1">
        <f t="array" ref="AA44">IF(OR(Y44=0,Y44=""),"",IF(VLOOKUP(Z44,$AI$1:$AJ$58,2,FALSE)&gt;=Y44,INDEX(tblDisciplines[Name],MATCH(1,(tblDisciplines[Discipline]=Z44)*(tblDisciplines[Rank]=Y44),0)),""))</f>
        <v>Feral Whispers</v>
      </c>
      <c r="AC44" s="60" t="str" cm="1">
        <f t="array" ref="AC44:AC55">IFERROR(_xlfn.VSTACK(IFERROR(_xlfn._xlws.FILTER(AA44:AA121,AA44:AA121&lt;&gt;""),""),IFERROR(_xlfn._xlws.SORT(_xlfn._xlws.FILTER(AA123:AA132,AA123:AA132&lt;&gt;"")),"")),"")</f>
        <v>Feral Whispers</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Animalism ● | Feral Whispers</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  •  Pool: 5  •  Instant  •  Scene (may persist)</v>
      </c>
      <c r="AF44" s="20" t="str">
        <f>IF(AC44="","",IFERROR(VLOOKUP(AC44,tblDisciplines[],12,FALSE),VLOOKUP(AC44,tblPacts[],5,FALSE)))</f>
        <v>Speak with and command animals.</v>
      </c>
      <c r="AI44" s="15" t="s">
        <v>353</v>
      </c>
      <c r="AJ44" s="61">
        <f t="shared" si="4"/>
        <v>5</v>
      </c>
      <c r="AK44" s="61">
        <f>AJ44</f>
        <v>5</v>
      </c>
    </row>
    <row r="45" spans="1:37">
      <c r="A45" s="1" t="s">
        <v>44</v>
      </c>
      <c r="B45" t="str">
        <f>REPT("●",IFERROR(INDEX($P$42:$P$69,MATCH(tblCharDataCharles[[#This Row],[Field]],$E$42:$E$69,0)),0))&amp;REPT("○",IFERROR(INDEX($V$42:$V$69,MATCH(tblCharDataCharles[[#This Row],[Field]],$E$42:$E$69,0)),0))&amp;IF(IFERROR(INDEX($W$42:$W$69,MATCH(tblCharDataCharles[[#This Row],[Field]],$E$42:$E$69,0)),0)=1,"†","")</f>
        <v/>
      </c>
      <c r="D45" s="18"/>
      <c r="E45" s="15" t="s">
        <v>28</v>
      </c>
      <c r="F45" s="18"/>
      <c r="G45" s="3"/>
      <c r="H45" s="18"/>
      <c r="I45" s="18"/>
      <c r="L45" s="4"/>
      <c r="M45" s="60"/>
      <c r="N45" s="4"/>
      <c r="O45" s="61">
        <f t="shared" si="7"/>
        <v>0</v>
      </c>
      <c r="P45" s="60">
        <f t="shared" si="5"/>
        <v>0</v>
      </c>
      <c r="R45" s="61">
        <v>5</v>
      </c>
      <c r="T45" s="4"/>
      <c r="U45" s="4"/>
      <c r="V45" s="61">
        <f t="shared" si="6"/>
        <v>0</v>
      </c>
      <c r="W45" s="4"/>
      <c r="Y45" s="15">
        <v>2</v>
      </c>
      <c r="Z45" s="61" t="s">
        <v>236</v>
      </c>
      <c r="AA45" s="60" t="str" cm="1">
        <f t="array" ref="AA45">IF(OR(Y45=0,Y45=""),"",IF(VLOOKUP(Z45,$AI$1:$AJ$58,2,FALSE)&gt;=Y45,INDEX(tblDisciplines[Name],MATCH(1,(tblDisciplines[Discipline]=Z45)*(tblDisciplines[Rank]=Y45),0)),""))</f>
        <v/>
      </c>
      <c r="AC45" s="60" t="str">
        <v>Mesmerise</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Dominate ● | Mesmerise</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 -3 in combat unless Blinded  •  Pool: 8  v Resolve + BP  •  Instant  •  Instant</v>
      </c>
      <c r="AF45" s="20" t="str">
        <f>IF(AC45="","",IFERROR(VLOOKUP(AC45,tblDisciplines[],12,FALSE),VLOOKUP(AC45,tblPacts[],5,FALSE)))</f>
        <v>Impose Mesmerised Condition. Control with short commands.</v>
      </c>
      <c r="AI45" s="15" t="s">
        <v>46</v>
      </c>
      <c r="AJ45" s="61">
        <f t="shared" si="4"/>
        <v>1</v>
      </c>
      <c r="AK45" s="61">
        <f>IF(AJ45=0,IF(COUNTIF($E$42:$E$49,AI45)&gt;0,-3,-1),AJ45)</f>
        <v>1</v>
      </c>
    </row>
    <row r="46" spans="1:37">
      <c r="A46" s="1" t="s">
        <v>45</v>
      </c>
      <c r="B46" t="str">
        <f>REPT("●",IFERROR(INDEX($P$42:$P$69,MATCH(tblCharDataCharles[[#This Row],[Field]],$E$42:$E$69,0)),0))&amp;REPT("○",IFERROR(INDEX($V$42:$V$69,MATCH(tblCharDataCharles[[#This Row],[Field]],$E$42:$E$69,0)),0))&amp;IF(IFERROR(INDEX($W$42:$W$69,MATCH(tblCharDataCharles[[#This Row],[Field]],$E$42:$E$69,0)),0)=1,"†","")</f>
        <v>●●●</v>
      </c>
      <c r="D46" s="18"/>
      <c r="E46" s="15" t="s">
        <v>29</v>
      </c>
      <c r="F46" s="18"/>
      <c r="G46" s="3"/>
      <c r="H46" s="18"/>
      <c r="I46" s="18"/>
      <c r="L46" s="4"/>
      <c r="M46" s="60"/>
      <c r="N46" s="4"/>
      <c r="O46" s="61">
        <f t="shared" si="7"/>
        <v>0</v>
      </c>
      <c r="P46" s="60">
        <f t="shared" si="5"/>
        <v>0</v>
      </c>
      <c r="R46" s="61">
        <v>5</v>
      </c>
      <c r="T46" s="4"/>
      <c r="U46" s="4"/>
      <c r="V46" s="61">
        <f t="shared" si="6"/>
        <v>0</v>
      </c>
      <c r="W46" s="4"/>
      <c r="Y46" s="15">
        <v>3</v>
      </c>
      <c r="Z46" s="61" t="s">
        <v>236</v>
      </c>
      <c r="AA46" s="60" t="str" cm="1">
        <f t="array" ref="AA46">IF(OR(Y46=0,Y46=""),"",IF(VLOOKUP(Z46,$AI$1:$AJ$58,2,FALSE)&gt;=Y46,INDEX(tblDisciplines[Name],MATCH(1,(tblDisciplines[Discipline]=Z46)*(tblDisciplines[Rank]=Y46),0)),""))</f>
        <v/>
      </c>
      <c r="AC46" s="60" t="str">
        <v>Iron Edict</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Dominate ●● | Iron Edict</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1 V (0 in bond) (req: Mesmerised); -3 in combat unless Blinded  •  Pool: -  •  Instant  •  Instant</v>
      </c>
      <c r="AF46" s="20" t="str">
        <f>IF(AC46="","",IFERROR(VLOOKUP(AC46,tblDisciplines[],12,FALSE),VLOOKUP(AC46,tblPacts[],5,FALSE)))</f>
        <v>Impose Dominated Condition. Give long, detailed commands.</v>
      </c>
      <c r="AI46" s="15" t="s">
        <v>354</v>
      </c>
      <c r="AJ46" s="61">
        <f t="shared" ca="1" si="4"/>
        <v>9</v>
      </c>
      <c r="AK46" s="61">
        <f ca="1">AJ46</f>
        <v>9</v>
      </c>
    </row>
    <row r="47" spans="1:37">
      <c r="A47" s="1" t="s">
        <v>46</v>
      </c>
      <c r="B47" t="str">
        <f>REPT("●",IFERROR(INDEX($P$42:$P$69,MATCH(tblCharDataCharles[[#This Row],[Field]],$E$42:$E$69,0)),0))&amp;REPT("○",IFERROR(INDEX($V$42:$V$69,MATCH(tblCharDataCharles[[#This Row],[Field]],$E$42:$E$69,0)),0))&amp;IF(IFERROR(INDEX($W$42:$W$69,MATCH(tblCharDataCharles[[#This Row],[Field]],$E$42:$E$69,0)),0)=1,"†","")</f>
        <v>●</v>
      </c>
      <c r="D47" s="18"/>
      <c r="E47" s="15" t="s">
        <v>30</v>
      </c>
      <c r="F47" s="18"/>
      <c r="G47" s="3" t="s">
        <v>642</v>
      </c>
      <c r="H47" s="18"/>
      <c r="I47" s="18"/>
      <c r="L47" s="4">
        <v>3</v>
      </c>
      <c r="M47" s="60"/>
      <c r="N47" s="4"/>
      <c r="O47" s="61">
        <f t="shared" si="7"/>
        <v>0</v>
      </c>
      <c r="P47" s="60">
        <f t="shared" si="5"/>
        <v>3</v>
      </c>
      <c r="R47" s="61">
        <v>5</v>
      </c>
      <c r="T47" s="4"/>
      <c r="U47" s="4"/>
      <c r="V47" s="61">
        <f t="shared" si="6"/>
        <v>0</v>
      </c>
      <c r="W47" s="4"/>
      <c r="Y47" s="15">
        <v>4</v>
      </c>
      <c r="Z47" s="61" t="s">
        <v>236</v>
      </c>
      <c r="AA47" s="60" t="str" cm="1">
        <f t="array" ref="AA47">IF(OR(Y47=0,Y47=""),"",IF(VLOOKUP(Z47,$AI$1:$AJ$58,2,FALSE)&gt;=Y47,INDEX(tblDisciplines[Name],MATCH(1,(tblDisciplines[Discipline]=Z47)*(tblDisciplines[Rank]=Y47),0)),""))</f>
        <v/>
      </c>
      <c r="AC47" s="60" t="str">
        <v>Unmarked Grave</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Protean ● | Unmarked Grave</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Cost: Varies  •  Pool: -  •  Instant  •  Indefinite</v>
      </c>
      <c r="AF47" s="20" t="str">
        <f>IF(AC47="","",IFERROR(VLOOKUP(AC47,tblDisciplines[],12,FALSE),VLOOKUP(AC47,tblPacts[],5,FALSE)))</f>
        <v>Merge with soil.</v>
      </c>
      <c r="AI47" s="15" t="s">
        <v>21</v>
      </c>
      <c r="AJ47" s="61">
        <f t="shared" si="4"/>
        <v>2</v>
      </c>
      <c r="AK47" s="61">
        <f>AJ47+IFERROR(INDEX($V$26:$V$38,MATCH(AI47,$E$26:$E$38,0)),0)</f>
        <v>2</v>
      </c>
    </row>
    <row r="48" spans="1:37">
      <c r="A48" s="1" t="s">
        <v>47</v>
      </c>
      <c r="B48" t="str">
        <f>REPT("●",IFERROR(INDEX($P$42:$P$69,MATCH(tblCharDataCharles[[#This Row],[Field]],$E$42:$E$69,0)),0))&amp;REPT("○",IFERROR(INDEX($V$42:$V$69,MATCH(tblCharDataCharles[[#This Row],[Field]],$E$42:$E$69,0)),0))&amp;IF(IFERROR(INDEX($W$42:$W$69,MATCH(tblCharDataCharles[[#This Row],[Field]],$E$42:$E$69,0)),0)=1,"†","")</f>
        <v/>
      </c>
      <c r="D48" s="18"/>
      <c r="E48" s="15" t="s">
        <v>31</v>
      </c>
      <c r="F48" s="18"/>
      <c r="G48" s="3"/>
      <c r="H48" s="18"/>
      <c r="I48" s="18"/>
      <c r="L48" s="4"/>
      <c r="M48" s="60"/>
      <c r="N48" s="4"/>
      <c r="O48" s="61">
        <f t="shared" si="7"/>
        <v>0</v>
      </c>
      <c r="P48" s="60">
        <f t="shared" si="5"/>
        <v>0</v>
      </c>
      <c r="R48" s="61">
        <v>5</v>
      </c>
      <c r="T48" s="4"/>
      <c r="U48" s="4"/>
      <c r="V48" s="61">
        <f t="shared" si="6"/>
        <v>0</v>
      </c>
      <c r="W48" s="4"/>
      <c r="Y48" s="15">
        <v>5</v>
      </c>
      <c r="Z48" s="61" t="s">
        <v>236</v>
      </c>
      <c r="AA48" s="60" t="str" cm="1">
        <f t="array" ref="AA48">IF(OR(Y48=0,Y48=""),"",IF(VLOOKUP(Z48,$AI$1:$AJ$58,2,FALSE)&gt;=Y48,INDEX(tblDisciplines[Name],MATCH(1,(tblDisciplines[Discipline]=Z48)*(tblDisciplines[Rank]=Y48),0)),""))</f>
        <v/>
      </c>
      <c r="AC48" s="60" t="str">
        <v>Predatory Aspect</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Protean ●● | Predatory Aspect</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Cost: 1 V  •  Pool: -  •  Instant  •  Scene</v>
      </c>
      <c r="AF48" s="20" t="str">
        <f>IF(AC48="","",IFERROR(VLOOKUP(AC48,tblDisciplines[],12,FALSE),VLOOKUP(AC48,tblPacts[],5,FALSE)))</f>
        <v>Take on animal traits.</v>
      </c>
      <c r="AI48" s="15" t="s">
        <v>38</v>
      </c>
      <c r="AJ48" s="61">
        <f t="shared" si="4"/>
        <v>0</v>
      </c>
      <c r="AK48" s="61">
        <f>IF(AJ48=0,IF(COUNTIF($E$42:$E$49,AI48)&gt;0,-3,-1),AJ48)</f>
        <v>-1</v>
      </c>
    </row>
    <row r="49" spans="1:37">
      <c r="A49" s="1" t="s">
        <v>48</v>
      </c>
      <c r="B49" t="str">
        <f>REPT("●",IFERROR(INDEX($P$42:$P$69,MATCH(tblCharDataCharles[[#This Row],[Field]],$E$42:$E$69,0)),0))&amp;REPT("○",IFERROR(INDEX($V$42:$V$69,MATCH(tblCharDataCharles[[#This Row],[Field]],$E$42:$E$69,0)),0))&amp;IF(IFERROR(INDEX($W$42:$W$69,MATCH(tblCharDataCharles[[#This Row],[Field]],$E$42:$E$69,0)),0)=1,"†","")</f>
        <v>●●</v>
      </c>
      <c r="D49" s="18"/>
      <c r="E49" s="15" t="s">
        <v>32</v>
      </c>
      <c r="F49" s="18"/>
      <c r="G49" s="3"/>
      <c r="H49" s="18"/>
      <c r="I49" s="18"/>
      <c r="L49" s="4"/>
      <c r="M49" s="60"/>
      <c r="N49" s="4"/>
      <c r="O49" s="61">
        <f t="shared" si="7"/>
        <v>0</v>
      </c>
      <c r="P49" s="60">
        <f t="shared" si="5"/>
        <v>0</v>
      </c>
      <c r="R49" s="61">
        <v>5</v>
      </c>
      <c r="T49" s="4"/>
      <c r="U49" s="4"/>
      <c r="V49" s="61">
        <f t="shared" si="6"/>
        <v>0</v>
      </c>
      <c r="W49" s="4"/>
      <c r="Y49" s="15">
        <v>1</v>
      </c>
      <c r="Z49" s="61" t="s">
        <v>237</v>
      </c>
      <c r="AA49" s="60" t="str" cm="1">
        <f t="array" ref="AA49">IF(OR(Y49=0,Y49=""),"",IF(VLOOKUP(Z49,$AI$1:$AJ$58,2,FALSE)&gt;=Y49,INDEX(tblDisciplines[Name],MATCH(1,(tblDisciplines[Discipline]=Z49)*(tblDisciplines[Rank]=Y49),0)),""))</f>
        <v/>
      </c>
      <c r="AC49" s="60" t="str">
        <v>Creation 1</v>
      </c>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Blood Sorcery | Creation ●</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v>
      </c>
      <c r="AF49" s="20" t="str">
        <f>IF(AC49="","",IFERROR(VLOOKUP(AC49,tblDisciplines[],12,FALSE),VLOOKUP(AC49,tblPacts[],5,FALSE)))</f>
        <v>Summon liquids, dead organic matter, sensory phenomena. Bonus/penalty = Potency.</v>
      </c>
      <c r="AI49" s="15" t="s">
        <v>47</v>
      </c>
      <c r="AJ49" s="61">
        <f t="shared" si="4"/>
        <v>0</v>
      </c>
      <c r="AK49" s="61">
        <f>IF(AJ49=0,IF(COUNTIF($E$42:$E$49,AI49)&gt;0,-3,-1),AJ49)</f>
        <v>-1</v>
      </c>
    </row>
    <row r="50" spans="1:37">
      <c r="A50" s="1" t="s">
        <v>49</v>
      </c>
      <c r="B50" t="str">
        <f ca="1">REPT("●",VLOOKUP(tblCharDataCharles[[#This Row],[Field]],INDIRECT($AH$1),2,FALSE)) &amp; REPT("○",10-VLOOKUP(tblCharDataCharles[[#This Row],[Field]],INDIRECT($AH$1),2,FALSE))</f>
        <v>●○○○○○○○○○</v>
      </c>
      <c r="Y50" s="15">
        <v>2</v>
      </c>
      <c r="Z50" s="61" t="s">
        <v>237</v>
      </c>
      <c r="AA50" s="60" t="str" cm="1">
        <f t="array" ref="AA50">IF(OR(Y50=0,Y50=""),"",IF(VLOOKUP(Z50,$AI$1:$AJ$58,2,FALSE)&gt;=Y50,INDEX(tblDisciplines[Name],MATCH(1,(tblDisciplines[Discipline]=Z50)*(tblDisciplines[Rank]=Y50),0)),""))</f>
        <v/>
      </c>
      <c r="AC50" s="60" t="str">
        <v>Creation 2</v>
      </c>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Blood Sorcery | Creation ●●</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v>
      </c>
      <c r="AF50" s="20" t="str">
        <f>IF(AC50="","",IFERROR(VLOOKUP(AC50,tblDisciplines[],12,FALSE),VLOOKUP(AC50,tblPacts[],5,FALSE)))</f>
        <v>Summon living insects, vermin, amphibians, fungi, plants, drugs, gases. Under mental command while concentrating.</v>
      </c>
      <c r="AI50" s="15" t="s">
        <v>19</v>
      </c>
      <c r="AJ50" s="61">
        <f t="shared" si="4"/>
        <v>2</v>
      </c>
      <c r="AK50" s="61">
        <f>AJ50+IFERROR(INDEX($V$26:$V$38,MATCH(AI50,$E$26:$E$38,0)),0)</f>
        <v>2</v>
      </c>
    </row>
    <row r="51" spans="1:37">
      <c r="A51" s="1" t="s">
        <v>50</v>
      </c>
      <c r="B51">
        <f>P72</f>
        <v>1</v>
      </c>
      <c r="D51" s="16" t="s">
        <v>1453</v>
      </c>
      <c r="E51" s="17"/>
      <c r="F51" s="17"/>
      <c r="G51" s="17" t="s">
        <v>1467</v>
      </c>
      <c r="H51" s="16" t="s">
        <v>1446</v>
      </c>
      <c r="I51" s="3" t="s">
        <v>1566</v>
      </c>
      <c r="L51" s="60">
        <f>IF(I51="",0,VLOOKUP(I51,tblPriority[#Data],3,FALSE))-SUM(L52:L59)</f>
        <v>0</v>
      </c>
      <c r="Y51" s="15">
        <v>3</v>
      </c>
      <c r="Z51" s="61" t="s">
        <v>237</v>
      </c>
      <c r="AA51" s="60" t="str" cm="1">
        <f t="array" ref="AA51">IF(OR(Y51=0,Y51=""),"",IF(VLOOKUP(Z51,$AI$1:$AJ$58,2,FALSE)&gt;=Y51,INDEX(tblDisciplines[Name],MATCH(1,(tblDisciplines[Discipline]=Z51)*(tblDisciplines[Rank]=Y51),0)),""))</f>
        <v/>
      </c>
      <c r="AC51" s="60" t="str">
        <v>Protection 1</v>
      </c>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Blood Sorcery | Protection ●</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v>
      </c>
      <c r="AF51" s="20" t="str">
        <f>IF(AC51="","",IFERROR(VLOOKUP(AC51,tblDisciplines[],12,FALSE),VLOOKUP(AC51,tblPacts[],5,FALSE)))</f>
        <v>Subtract Potency from ritual rolls targeting subject. Heal bashing in vampires. Protect from the Kiss (add Potency to resistance).</v>
      </c>
      <c r="AI51" s="15" t="s">
        <v>48</v>
      </c>
      <c r="AJ51" s="61">
        <f t="shared" si="4"/>
        <v>2</v>
      </c>
      <c r="AK51" s="61">
        <f>IF(AJ51=0,IF(COUNTIF($E$42:$E$49,AI51)&gt;0,-3,-1),AJ51)</f>
        <v>2</v>
      </c>
    </row>
    <row r="52" spans="1:37">
      <c r="A52" s="1" t="s">
        <v>51</v>
      </c>
      <c r="B52" t="str">
        <f>_xlfn.IFNA(VLOOKUP(P72,tblBloodPotency[#Data],5,FALSE),"")</f>
        <v/>
      </c>
      <c r="D52" s="18"/>
      <c r="E52" s="15" t="s">
        <v>33</v>
      </c>
      <c r="F52" s="18"/>
      <c r="G52" s="3"/>
      <c r="H52" s="18"/>
      <c r="I52" s="18"/>
      <c r="L52" s="4">
        <v>1</v>
      </c>
      <c r="M52" s="60"/>
      <c r="N52" s="4"/>
      <c r="O52" s="61">
        <f>ROUNDDOWN(N52/2,0)</f>
        <v>0</v>
      </c>
      <c r="P52" s="60">
        <f t="shared" ref="P52:P59" si="8">MIN(SUM(L52,M52,O52),R52)</f>
        <v>1</v>
      </c>
      <c r="R52" s="61">
        <v>5</v>
      </c>
      <c r="T52" s="4"/>
      <c r="U52" s="4"/>
      <c r="V52" s="61">
        <f t="shared" ref="V52:V59" si="9">U52</f>
        <v>0</v>
      </c>
      <c r="W52" s="4"/>
      <c r="Y52" s="15">
        <v>4</v>
      </c>
      <c r="Z52" s="61" t="s">
        <v>237</v>
      </c>
      <c r="AA52" s="60" t="str" cm="1">
        <f t="array" ref="AA52">IF(OR(Y52=0,Y52=""),"",IF(VLOOKUP(Z52,$AI$1:$AJ$58,2,FALSE)&gt;=Y52,INDEX(tblDisciplines[Name],MATCH(1,(tblDisciplines[Discipline]=Z52)*(tblDisciplines[Rank]=Y52),0)),""))</f>
        <v/>
      </c>
      <c r="AC52" s="60" t="str">
        <v>Transmutation 1</v>
      </c>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Blood Sorcery | Transmutation ●</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v>
      </c>
      <c r="AF52" s="20" t="str">
        <f>IF(AC52="","",IFERROR(VLOOKUP(AC52,tblDisciplines[],12,FALSE),VLOOKUP(AC52,tblPacts[],5,FALSE)))</f>
        <v>Minor cosmetic changes to living subjects. Warp dead matter. Animate liquids.</v>
      </c>
      <c r="AI52" s="15" t="s">
        <v>39</v>
      </c>
      <c r="AJ52" s="61">
        <f t="shared" si="4"/>
        <v>0</v>
      </c>
      <c r="AK52" s="61">
        <f>IF(AJ52=0,IF(COUNTIF($E$42:$E$49,AI52)&gt;0,-3,-1),AJ52)</f>
        <v>-1</v>
      </c>
    </row>
    <row r="53" spans="1:37">
      <c r="A53" s="1" t="s">
        <v>52</v>
      </c>
      <c r="B53" t="str">
        <f ca="1">REPT("□",P221) &amp; REPT("■",15-P221)</f>
        <v>□□□□□□□■■■■■■■■</v>
      </c>
      <c r="D53" s="18"/>
      <c r="E53" s="15" t="s">
        <v>34</v>
      </c>
      <c r="F53" s="18"/>
      <c r="G53" s="3"/>
      <c r="H53" s="18"/>
      <c r="I53" s="18"/>
      <c r="L53" s="4"/>
      <c r="M53" s="60"/>
      <c r="N53" s="4"/>
      <c r="O53" s="61">
        <f t="shared" ref="O53:O59" si="10">ROUNDDOWN(N53/2,0)</f>
        <v>0</v>
      </c>
      <c r="P53" s="60">
        <f t="shared" si="8"/>
        <v>0</v>
      </c>
      <c r="R53" s="61">
        <v>5</v>
      </c>
      <c r="T53" s="4"/>
      <c r="U53" s="4"/>
      <c r="V53" s="61">
        <f t="shared" si="9"/>
        <v>0</v>
      </c>
      <c r="W53" s="4"/>
      <c r="Y53" s="15">
        <v>5</v>
      </c>
      <c r="Z53" s="61" t="s">
        <v>237</v>
      </c>
      <c r="AA53" s="60" t="str" cm="1">
        <f t="array" ref="AA53">IF(OR(Y53=0,Y53=""),"",IF(VLOOKUP(Z53,$AI$1:$AJ$58,2,FALSE)&gt;=Y53,INDEX(tblDisciplines[Name],MATCH(1,(tblDisciplines[Discipline]=Z53)*(tblDisciplines[Rank]=Y53),0)),""))</f>
        <v/>
      </c>
      <c r="AC53" s="60" t="str">
        <v>Fires of Inspiration</v>
      </c>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Cruac ● | Fires of Inspiration</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Cost: 1 V 1 Successes  •  Pool: 8  •  Ritual  •  1 night</v>
      </c>
      <c r="AF53" s="20" t="str">
        <f>IF(AC53="","",IFERROR(VLOOKUP(AC53,tblDisciplines[],12,FALSE),VLOOKUP(AC53,tblPacts[],5,FALSE)))</f>
        <v>Gain dots in Cruac to Craft or Expression to create a specific work of art, but penalises all other such actions outside that.</v>
      </c>
      <c r="AI53" s="15" t="s">
        <v>247</v>
      </c>
      <c r="AJ53" s="61">
        <f t="shared" si="4"/>
        <v>0</v>
      </c>
      <c r="AK53" s="61">
        <f>AJ53</f>
        <v>0</v>
      </c>
    </row>
    <row r="54" spans="1:37">
      <c r="A54" s="1" t="s">
        <v>53</v>
      </c>
      <c r="B54" t="str">
        <f>_xlfn.CONCAT(P74-L224," / ",P74)</f>
        <v>5 / 5</v>
      </c>
      <c r="D54" s="18"/>
      <c r="E54" s="15" t="s">
        <v>35</v>
      </c>
      <c r="F54" s="18"/>
      <c r="G54" s="3"/>
      <c r="H54" s="18"/>
      <c r="I54" s="18"/>
      <c r="L54" s="4"/>
      <c r="M54" s="60"/>
      <c r="N54" s="4"/>
      <c r="O54" s="61">
        <f t="shared" si="10"/>
        <v>0</v>
      </c>
      <c r="P54" s="60">
        <f t="shared" si="8"/>
        <v>0</v>
      </c>
      <c r="R54" s="61">
        <v>5</v>
      </c>
      <c r="T54" s="4"/>
      <c r="U54" s="4"/>
      <c r="V54" s="61">
        <f t="shared" si="9"/>
        <v>0</v>
      </c>
      <c r="W54" s="4"/>
      <c r="Y54" s="15">
        <f>P167</f>
        <v>0</v>
      </c>
      <c r="Z54" s="61" t="s">
        <v>238</v>
      </c>
      <c r="AA54" s="60" t="str" cm="1">
        <f t="array" ref="AA54">IF(OR(Y54=0,Y54=""),"",IF(VLOOKUP(Z54,$AI$1:$AJ$58,2,FALSE)&gt;=Y54,INDEX(tblDisciplines[Name],MATCH(1,(tblDisciplines[Discipline]=Z54)*(tblDisciplines[Rank]=Y54),0)),""))</f>
        <v/>
      </c>
      <c r="AC54" s="60" t="str">
        <v>Wisdom of the Soul</v>
      </c>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Cruac ●● | Wisdom of the Soul</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Cost: 1 V 2 Successes  •  Pool: 8  •  Ritual  •  Instant</v>
      </c>
      <c r="AF54" s="20" t="str">
        <f>IF(AC54="","",IFERROR(VLOOKUP(AC54,tblDisciplines[],12,FALSE),VLOOKUP(AC54,tblPacts[],5,FALSE)))</f>
        <v>Reveal if mortal/vampire/ghoul; Humanity rating; diablerie</v>
      </c>
      <c r="AI54" s="15" t="s">
        <v>252</v>
      </c>
      <c r="AJ54" s="61">
        <f t="shared" si="4"/>
        <v>1</v>
      </c>
      <c r="AK54" s="61">
        <f>AJ54</f>
        <v>1</v>
      </c>
    </row>
    <row r="55" spans="1:37">
      <c r="A55" s="1" t="s">
        <v>54</v>
      </c>
      <c r="B55" t="str">
        <f>REPT("□",P74) &amp; REPT("■",10-P74)</f>
        <v>□□□□□■■■■■</v>
      </c>
      <c r="D55" s="18"/>
      <c r="E55" s="15" t="s">
        <v>36</v>
      </c>
      <c r="F55" s="18"/>
      <c r="G55" s="3" t="s">
        <v>643</v>
      </c>
      <c r="H55" s="18"/>
      <c r="I55" s="18"/>
      <c r="L55" s="4">
        <v>2</v>
      </c>
      <c r="M55" s="60"/>
      <c r="N55" s="4"/>
      <c r="O55" s="61">
        <f t="shared" si="10"/>
        <v>0</v>
      </c>
      <c r="P55" s="60">
        <f t="shared" si="8"/>
        <v>2</v>
      </c>
      <c r="R55" s="61">
        <v>5</v>
      </c>
      <c r="T55" s="4">
        <v>1</v>
      </c>
      <c r="U55" s="4"/>
      <c r="V55" s="61">
        <f t="shared" si="9"/>
        <v>0</v>
      </c>
      <c r="W55" s="4"/>
      <c r="Y55" s="15">
        <v>1</v>
      </c>
      <c r="Z55" s="61" t="s">
        <v>239</v>
      </c>
      <c r="AA55" s="60" t="str" cm="1">
        <f t="array" ref="AA55">IF(OR(Y55=0,Y55=""),"",IF(VLOOKUP(Z55,$AI$1:$AJ$58,2,FALSE)&gt;=Y55,INDEX(tblDisciplines[Name],MATCH(1,(tblDisciplines[Discipline]=Z55)*(tblDisciplines[Rank]=Y55),0)),""))</f>
        <v>Mesmerise</v>
      </c>
      <c r="AC55" s="60" t="str">
        <v/>
      </c>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
      </c>
      <c r="AF55" s="20" t="str">
        <f>IF(AC55="","",IFERROR(VLOOKUP(AC55,tblDisciplines[],12,FALSE),VLOOKUP(AC55,tblPacts[],5,FALSE)))</f>
        <v/>
      </c>
      <c r="AI55" s="15" t="s">
        <v>245</v>
      </c>
      <c r="AJ55" s="61">
        <f t="shared" si="4"/>
        <v>0</v>
      </c>
      <c r="AK55" s="61">
        <f>AJ55+IFERROR(INDEX($V$26:$V$38,MATCH(AI55,$E$26:$E$38,0)),0)</f>
        <v>0</v>
      </c>
    </row>
    <row r="56" spans="1:37">
      <c r="A56" s="1" t="s">
        <v>55</v>
      </c>
      <c r="B56" t="str">
        <f ca="1">_xlfn.CONCAT(P75-L223," / ",P75)</f>
        <v>9 / 10</v>
      </c>
      <c r="D56" s="19"/>
      <c r="E56" s="15" t="s">
        <v>37</v>
      </c>
      <c r="F56" s="18"/>
      <c r="G56" s="3"/>
      <c r="H56" s="18"/>
      <c r="I56" s="18"/>
      <c r="L56" s="4">
        <v>1</v>
      </c>
      <c r="M56" s="60"/>
      <c r="N56" s="4"/>
      <c r="O56" s="61">
        <f t="shared" si="10"/>
        <v>0</v>
      </c>
      <c r="P56" s="60">
        <f t="shared" si="8"/>
        <v>1</v>
      </c>
      <c r="R56" s="61">
        <v>5</v>
      </c>
      <c r="T56" s="4"/>
      <c r="U56" s="4"/>
      <c r="V56" s="61">
        <f t="shared" si="9"/>
        <v>0</v>
      </c>
      <c r="W56" s="4"/>
      <c r="Y56" s="15">
        <v>2</v>
      </c>
      <c r="Z56" s="61" t="s">
        <v>239</v>
      </c>
      <c r="AA56" s="60" t="str" cm="1">
        <f t="array" ref="AA56">IF(OR(Y56=0,Y56=""),"",IF(VLOOKUP(Z56,$AI$1:$AJ$58,2,FALSE)&gt;=Y56,INDEX(tblDisciplines[Name],MATCH(1,(tblDisciplines[Discipline]=Z56)*(tblDisciplines[Rank]=Y56),0)),""))</f>
        <v>Iron Edict</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4"/>
        <v>0</v>
      </c>
      <c r="AK56" s="61">
        <f>IF(AJ56=0,IF(COUNTIF($E$42:$E$49,AI56)&gt;0,-3,-1),AJ56)</f>
        <v>-1</v>
      </c>
    </row>
    <row r="57" spans="1:37">
      <c r="A57" s="1" t="s">
        <v>56</v>
      </c>
      <c r="B57" t="str">
        <f ca="1">REPT("□",P75-L223) &amp; REPT("■",20-P75+L223)</f>
        <v>□□□□□□□□□■■■■■■■■■■■</v>
      </c>
      <c r="D57" s="19"/>
      <c r="E57" s="15" t="s">
        <v>38</v>
      </c>
      <c r="F57" s="18"/>
      <c r="G57" s="3"/>
      <c r="H57" s="18"/>
      <c r="I57" s="18"/>
      <c r="L57" s="4"/>
      <c r="M57" s="60"/>
      <c r="N57" s="4"/>
      <c r="O57" s="61">
        <f t="shared" si="10"/>
        <v>0</v>
      </c>
      <c r="P57" s="60">
        <f t="shared" si="8"/>
        <v>0</v>
      </c>
      <c r="R57" s="61">
        <v>5</v>
      </c>
      <c r="T57" s="4"/>
      <c r="U57" s="4"/>
      <c r="V57" s="61">
        <f t="shared" si="9"/>
        <v>0</v>
      </c>
      <c r="W57" s="4"/>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4"/>
        <v>5</v>
      </c>
      <c r="AK57" s="61">
        <f>AJ57</f>
        <v>5</v>
      </c>
    </row>
    <row r="58" spans="1:37">
      <c r="A58" s="1" t="s">
        <v>57</v>
      </c>
      <c r="B58">
        <f ca="1">VLOOKUP(VLOOKUP("Blood Potency", INDIRECT($AH$1),2,FALSE),tblBloodPotency[#Data],3,FALSE)</f>
        <v>1</v>
      </c>
      <c r="D58" s="19"/>
      <c r="E58" s="15" t="s">
        <v>39</v>
      </c>
      <c r="F58" s="18"/>
      <c r="G58" s="3"/>
      <c r="H58" s="18"/>
      <c r="I58" s="18"/>
      <c r="L58" s="4"/>
      <c r="M58" s="60"/>
      <c r="N58" s="4"/>
      <c r="O58" s="61">
        <f t="shared" si="10"/>
        <v>0</v>
      </c>
      <c r="P58" s="60">
        <f t="shared" si="8"/>
        <v>0</v>
      </c>
      <c r="R58" s="61">
        <v>5</v>
      </c>
      <c r="T58" s="4"/>
      <c r="U58" s="4"/>
      <c r="V58" s="61">
        <f t="shared" si="9"/>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4"/>
        <v>3</v>
      </c>
      <c r="AK58" s="61">
        <f>AJ58+IFERROR(INDEX($V$26:$V$38,MATCH(AI58,$E$26:$E$38,0)),0)</f>
        <v>3</v>
      </c>
    </row>
    <row r="59" spans="1:37">
      <c r="A59" s="1" t="s">
        <v>58</v>
      </c>
      <c r="B59" t="str">
        <f ca="1">VLOOKUP(VLOOKUP("Blood Potency", INDIRECT($AH$1),2,FALSE),tblBloodPotency[#Data],4,FALSE)</f>
        <v>Animals</v>
      </c>
      <c r="D59" s="19"/>
      <c r="E59" s="15" t="s">
        <v>40</v>
      </c>
      <c r="F59" s="18"/>
      <c r="G59" s="3"/>
      <c r="H59" s="18"/>
      <c r="I59" s="18"/>
      <c r="L59" s="4"/>
      <c r="M59" s="60"/>
      <c r="N59" s="4"/>
      <c r="O59" s="61">
        <f t="shared" si="10"/>
        <v>0</v>
      </c>
      <c r="P59" s="60">
        <f t="shared" si="8"/>
        <v>0</v>
      </c>
      <c r="R59" s="61">
        <v>5</v>
      </c>
      <c r="T59" s="4"/>
      <c r="U59" s="4"/>
      <c r="V59" s="61">
        <f t="shared" si="9"/>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1">IFERROR(IF(VLOOKUP(SUBSTITUTE(A60," Spec",""),$E$42:$G$69,3,FALSE)=0,"",VLOOKUP(SUBSTITUTE(A60," Spec",""),$E$42:$G$69,3,FALSE)),"")</f>
        <v/>
      </c>
      <c r="Y60" s="15">
        <v>1</v>
      </c>
      <c r="Z60" s="61" t="s">
        <v>240</v>
      </c>
      <c r="AA60" s="60" t="str" cm="1">
        <f t="array" ref="AA60">IF(OR(Y60=0,Y60=""),"",IF(VLOOKUP(Z60,$AI$1:$AJ$58,2,FALSE)&gt;=Y60,INDEX(tblDisciplines[Name],MATCH(1,(tblDisciplines[Discipline]=Z60)*(tblDisciplines[Rank]=Y60),0)),""))</f>
        <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1"/>
        <v/>
      </c>
      <c r="D61" s="16" t="s">
        <v>1459</v>
      </c>
      <c r="E61" s="17"/>
      <c r="F61" s="17"/>
      <c r="G61" s="17" t="s">
        <v>1467</v>
      </c>
      <c r="H61" s="16" t="s">
        <v>1446</v>
      </c>
      <c r="I61" s="3" t="s">
        <v>1565</v>
      </c>
      <c r="L61" s="60">
        <f>IF(I61="",0,VLOOKUP(I61,tblPriority[#Data],3,FALSE))-SUM(L62:L69)</f>
        <v>0</v>
      </c>
      <c r="Y61" s="15">
        <v>2</v>
      </c>
      <c r="Z61" s="61" t="s">
        <v>240</v>
      </c>
      <c r="AA61" s="60" t="str" cm="1">
        <f t="array" ref="AA61">IF(OR(Y61=0,Y61=""),"",IF(VLOOKUP(Z61,$AI$1:$AJ$58,2,FALSE)&gt;=Y61,INDEX(tblDisciplines[Name],MATCH(1,(tblDisciplines[Discipline]=Z61)*(tblDisciplines[Rank]=Y61),0)),""))</f>
        <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1"/>
        <v>sculpting</v>
      </c>
      <c r="D62" s="18"/>
      <c r="E62" s="15" t="s">
        <v>41</v>
      </c>
      <c r="F62" s="18"/>
      <c r="G62" s="3"/>
      <c r="H62" s="18"/>
      <c r="I62" s="18"/>
      <c r="L62" s="4"/>
      <c r="M62" s="60">
        <v>1</v>
      </c>
      <c r="N62" s="4"/>
      <c r="O62" s="61">
        <f>ROUNDDOWN(N62/2,0)</f>
        <v>0</v>
      </c>
      <c r="P62" s="60">
        <f t="shared" ref="P62:P69" si="12">MIN(SUM(L62,M62,O62),R62)</f>
        <v>1</v>
      </c>
      <c r="R62" s="61">
        <v>5</v>
      </c>
      <c r="T62" s="4"/>
      <c r="U62" s="4"/>
      <c r="V62" s="61">
        <f t="shared" ref="V62:V69" si="13">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1"/>
        <v/>
      </c>
      <c r="D63" s="19"/>
      <c r="E63" s="15" t="s">
        <v>42</v>
      </c>
      <c r="F63" s="18"/>
      <c r="G63" s="3"/>
      <c r="H63" s="18"/>
      <c r="I63" s="18"/>
      <c r="L63" s="4">
        <v>1</v>
      </c>
      <c r="M63" s="60"/>
      <c r="N63" s="4"/>
      <c r="O63" s="61">
        <f t="shared" ref="O63:O69" si="14">ROUNDDOWN(N63/2,0)</f>
        <v>0</v>
      </c>
      <c r="P63" s="60">
        <f t="shared" si="12"/>
        <v>1</v>
      </c>
      <c r="R63" s="61">
        <v>5</v>
      </c>
      <c r="T63" s="4"/>
      <c r="U63" s="4"/>
      <c r="V63" s="61">
        <f t="shared" si="13"/>
        <v>0</v>
      </c>
      <c r="W63" s="4"/>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1"/>
        <v/>
      </c>
      <c r="D64" s="19"/>
      <c r="E64" s="15" t="s">
        <v>43</v>
      </c>
      <c r="F64" s="18"/>
      <c r="G64" s="3" t="s">
        <v>644</v>
      </c>
      <c r="H64" s="18"/>
      <c r="I64" s="18"/>
      <c r="L64" s="4">
        <v>4</v>
      </c>
      <c r="M64" s="60"/>
      <c r="N64" s="4"/>
      <c r="O64" s="61">
        <f t="shared" si="14"/>
        <v>0</v>
      </c>
      <c r="P64" s="60">
        <f t="shared" si="12"/>
        <v>4</v>
      </c>
      <c r="R64" s="61">
        <v>5</v>
      </c>
      <c r="T64" s="4">
        <v>1</v>
      </c>
      <c r="U64" s="4"/>
      <c r="V64" s="61">
        <f t="shared" si="13"/>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1"/>
        <v>Judeo-Christian Lore</v>
      </c>
      <c r="D65" s="19"/>
      <c r="E65" s="15" t="s">
        <v>44</v>
      </c>
      <c r="F65" s="18"/>
      <c r="G65" s="3"/>
      <c r="H65" s="18"/>
      <c r="I65" s="18"/>
      <c r="L65" s="4"/>
      <c r="M65" s="60"/>
      <c r="N65" s="4"/>
      <c r="O65" s="61">
        <f t="shared" si="14"/>
        <v>0</v>
      </c>
      <c r="P65" s="60">
        <f t="shared" si="12"/>
        <v>0</v>
      </c>
      <c r="R65" s="61">
        <v>5</v>
      </c>
      <c r="T65" s="4"/>
      <c r="U65" s="4"/>
      <c r="V65" s="61">
        <f t="shared" si="13"/>
        <v>0</v>
      </c>
      <c r="W65" s="4"/>
      <c r="Y65" s="15">
        <v>1</v>
      </c>
      <c r="Z65" s="61" t="s">
        <v>241</v>
      </c>
      <c r="AA65" s="60" t="str" cm="1">
        <f t="array" ref="AA65">IF(OR(Y65=0,Y65=""),"",IF(VLOOKUP(Z65,$AI$1:$AJ$58,2,FALSE)&gt;=Y65,INDEX(tblDisciplines[Name],MATCH(1,(tblDisciplines[Discipline]=Z65)*(tblDisciplines[Rank]=Y65),0)),""))</f>
        <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1"/>
        <v/>
      </c>
      <c r="D66" s="19"/>
      <c r="E66" s="15" t="s">
        <v>45</v>
      </c>
      <c r="F66" s="18"/>
      <c r="G66" s="3"/>
      <c r="H66" s="18"/>
      <c r="I66" s="18"/>
      <c r="L66" s="4">
        <v>3</v>
      </c>
      <c r="M66" s="60"/>
      <c r="N66" s="4"/>
      <c r="O66" s="61">
        <f t="shared" si="14"/>
        <v>0</v>
      </c>
      <c r="P66" s="60">
        <f t="shared" si="12"/>
        <v>3</v>
      </c>
      <c r="R66" s="61">
        <v>5</v>
      </c>
      <c r="T66" s="4"/>
      <c r="U66" s="4"/>
      <c r="V66" s="61">
        <f t="shared" si="13"/>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1"/>
        <v/>
      </c>
      <c r="D67" s="19"/>
      <c r="E67" s="15" t="s">
        <v>46</v>
      </c>
      <c r="F67" s="18"/>
      <c r="G67" s="3"/>
      <c r="H67" s="18"/>
      <c r="I67" s="18"/>
      <c r="L67" s="4">
        <v>1</v>
      </c>
      <c r="M67" s="60"/>
      <c r="N67" s="4"/>
      <c r="O67" s="61">
        <f t="shared" si="14"/>
        <v>0</v>
      </c>
      <c r="P67" s="60">
        <f t="shared" si="12"/>
        <v>1</v>
      </c>
      <c r="R67" s="61">
        <v>5</v>
      </c>
      <c r="T67" s="4"/>
      <c r="U67" s="4"/>
      <c r="V67" s="61">
        <f t="shared" si="13"/>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1"/>
        <v/>
      </c>
      <c r="D68" s="18"/>
      <c r="E68" s="15" t="s">
        <v>47</v>
      </c>
      <c r="F68" s="18"/>
      <c r="G68" s="3"/>
      <c r="H68" s="18"/>
      <c r="I68" s="18"/>
      <c r="L68" s="4"/>
      <c r="M68" s="60"/>
      <c r="N68" s="4"/>
      <c r="O68" s="61">
        <f t="shared" si="14"/>
        <v>0</v>
      </c>
      <c r="P68" s="60">
        <f t="shared" si="12"/>
        <v>0</v>
      </c>
      <c r="R68" s="61">
        <v>5</v>
      </c>
      <c r="T68" s="4"/>
      <c r="U68" s="4"/>
      <c r="V68" s="61">
        <f t="shared" si="13"/>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1"/>
        <v/>
      </c>
      <c r="D69" s="18"/>
      <c r="E69" s="15" t="s">
        <v>48</v>
      </c>
      <c r="F69" s="18"/>
      <c r="G69" s="3"/>
      <c r="H69" s="18"/>
      <c r="I69" s="18"/>
      <c r="L69" s="4">
        <v>2</v>
      </c>
      <c r="M69" s="60"/>
      <c r="N69" s="4"/>
      <c r="O69" s="61">
        <f t="shared" si="14"/>
        <v>0</v>
      </c>
      <c r="P69" s="60">
        <f t="shared" si="12"/>
        <v>2</v>
      </c>
      <c r="R69" s="61">
        <v>5</v>
      </c>
      <c r="T69" s="4"/>
      <c r="U69" s="4"/>
      <c r="V69" s="61">
        <f t="shared" si="13"/>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1"/>
        <v/>
      </c>
      <c r="Y70" s="15">
        <v>1</v>
      </c>
      <c r="Z70" s="61" t="s">
        <v>242</v>
      </c>
      <c r="AA70" s="60" t="str" cm="1">
        <f t="array" ref="AA70">IF(OR(Y70=0,Y70=""),"",IF(VLOOKUP(Z70,$AI$1:$AJ$58,2,FALSE)&gt;=Y70,INDEX(tblDisciplines[Name],MATCH(1,(tblDisciplines[Discipline]=Z70)*(tblDisciplines[Rank]=Y70),0)),""))</f>
        <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1"/>
        <v>rifles</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1"/>
        <v/>
      </c>
      <c r="D72" s="19"/>
      <c r="E72" s="15" t="s">
        <v>49</v>
      </c>
      <c r="F72" s="19"/>
      <c r="G72" s="19"/>
      <c r="H72" s="19"/>
      <c r="I72" s="19"/>
      <c r="K72" s="4"/>
      <c r="L72" s="4"/>
      <c r="M72" s="60">
        <v>1</v>
      </c>
      <c r="N72" s="4"/>
      <c r="O72" s="61">
        <f>ROUNDDOWN(N72/5,0)</f>
        <v>0</v>
      </c>
      <c r="P72" s="60">
        <f>MIN(SUM(K72*-1,ROUNDDOWN(L72/5,0),M72,O72),R72)</f>
        <v>1</v>
      </c>
      <c r="R72" s="61">
        <v>2</v>
      </c>
      <c r="Y72" s="15">
        <v>3</v>
      </c>
      <c r="Z72" s="61" t="s">
        <v>242</v>
      </c>
      <c r="AA72" s="60" t="str" cm="1">
        <f t="array" ref="AA72">IF(OR(Y72=0,Y72=""),"",IF(VLOOKUP(Z72,$AI$1:$AJ$58,2,FALSE)&gt;=Y72,INDEX(tblDisciplines[Name],MATCH(1,(tblDisciplines[Discipline]=Z72)*(tblDisciplines[Rank]=Y72),0)),""))</f>
        <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1"/>
        <v/>
      </c>
      <c r="D73" s="19"/>
      <c r="E73" s="15" t="s">
        <v>1448</v>
      </c>
      <c r="F73" s="19"/>
      <c r="G73" s="19"/>
      <c r="H73" s="19"/>
      <c r="I73" s="19"/>
      <c r="K73" s="4">
        <v>2</v>
      </c>
      <c r="M73" s="60">
        <v>7</v>
      </c>
      <c r="N73" s="4"/>
      <c r="O73" s="61">
        <f>ROUNDDOWN(N73/2,0)</f>
        <v>0</v>
      </c>
      <c r="P73" s="60">
        <f>MIN(SUM(K73*-1,M73,O73),R73)</f>
        <v>5</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1"/>
        <v/>
      </c>
      <c r="D74" s="19"/>
      <c r="E74" s="15" t="s">
        <v>53</v>
      </c>
      <c r="F74" s="19"/>
      <c r="G74" s="19"/>
      <c r="H74" s="19"/>
      <c r="I74" s="19"/>
      <c r="K74" s="4"/>
      <c r="M74" s="60">
        <f>P28+P38</f>
        <v>5</v>
      </c>
      <c r="N74" s="4"/>
      <c r="O74" s="61">
        <f>N74</f>
        <v>0</v>
      </c>
      <c r="P74" s="60">
        <f>MIN(SUM(K74*-1,M74,O74),R74)</f>
        <v>5</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1"/>
        <v/>
      </c>
      <c r="D75" s="19"/>
      <c r="E75" s="15" t="s">
        <v>55</v>
      </c>
      <c r="F75" s="19"/>
      <c r="G75" s="19"/>
      <c r="H75" s="19"/>
      <c r="I75" s="19"/>
      <c r="P75" s="60">
        <f ca="1">VLOOKUP(VLOOKUP("Blood Potency",INDIRECT($AH$1),2,FALSE),tblBloodPotency[],2,FALSE)</f>
        <v>10</v>
      </c>
      <c r="Y75" s="15">
        <v>1</v>
      </c>
      <c r="Z75" s="61" t="s">
        <v>243</v>
      </c>
      <c r="AA75" s="60" t="str" cm="1">
        <f t="array" ref="AA75">IF(OR(Y75=0,Y75=""),"",IF(VLOOKUP(Z75,$AI$1:$AJ$58,2,FALSE)&gt;=Y75,INDEX(tblDisciplines[Name],MATCH(1,(tblDisciplines[Discipline]=Z75)*(tblDisciplines[Rank]=Y75),0)),""))</f>
        <v>Unmarked Grave</v>
      </c>
    </row>
    <row r="76" spans="1:32">
      <c r="A76" s="1" t="s">
        <v>75</v>
      </c>
      <c r="B76" t="str">
        <f t="shared" si="11"/>
        <v/>
      </c>
      <c r="Y76" s="15">
        <v>2</v>
      </c>
      <c r="Z76" s="61" t="s">
        <v>243</v>
      </c>
      <c r="AA76" s="60" t="str" cm="1">
        <f t="array" ref="AA76">IF(OR(Y76=0,Y76=""),"",IF(VLOOKUP(Z76,$AI$1:$AJ$58,2,FALSE)&gt;=Y76,INDEX(tblDisciplines[Name],MATCH(1,(tblDisciplines[Discipline]=Z76)*(tblDisciplines[Rank]=Y76),0)),""))</f>
        <v>Predatory Aspect</v>
      </c>
    </row>
    <row r="77" spans="1:32" ht="15.75" thickBot="1">
      <c r="A77" s="1" t="s">
        <v>76</v>
      </c>
      <c r="B77" t="str">
        <f t="shared" si="11"/>
        <v/>
      </c>
      <c r="D77" s="14" t="s">
        <v>1470</v>
      </c>
      <c r="E77" s="14"/>
      <c r="F77" s="14"/>
      <c r="G77" s="14"/>
      <c r="H77" s="14"/>
      <c r="I77" s="14"/>
      <c r="N77" s="60">
        <f>SUM(N79:N98,N101:N120,N206:N215,N132:N135,N138:N157,N160:N161)</f>
        <v>2</v>
      </c>
      <c r="Y77" s="15">
        <v>3</v>
      </c>
      <c r="Z77" s="61" t="s">
        <v>243</v>
      </c>
      <c r="AA77" s="60" t="str" cm="1">
        <f t="array" ref="AA77">IF(OR(Y77=0,Y77=""),"",IF(VLOOKUP(Z77,$AI$1:$AJ$58,2,FALSE)&gt;=Y77,INDEX(tblDisciplines[Name],MATCH(1,(tblDisciplines[Discipline]=Z77)*(tblDisciplines[Rank]=Y77),0)),""))</f>
        <v/>
      </c>
    </row>
    <row r="78" spans="1:32">
      <c r="A78" s="1" t="s">
        <v>77</v>
      </c>
      <c r="B78" t="str">
        <f t="shared" si="11"/>
        <v>oratory</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1"/>
        <v/>
      </c>
      <c r="D79" s="19"/>
      <c r="E79" s="15" t="s">
        <v>114</v>
      </c>
      <c r="F79" s="3" t="s">
        <v>1569</v>
      </c>
      <c r="G79" s="3"/>
      <c r="H79" s="67" t="str">
        <f>_xlfn.IFNA(IF(VLOOKUP(F79,tblMerits[#Data],6,FALSE)=0,"None",VLOOKUP(F79,tblMerits[#Data],6,FALSE)),"None")</f>
        <v>Crone Status 2 or Invictus Status 2</v>
      </c>
      <c r="I79" s="67"/>
      <c r="L79" s="4"/>
      <c r="M79" s="4"/>
      <c r="N79" s="4">
        <v>1</v>
      </c>
      <c r="O79" s="61">
        <f>N79</f>
        <v>1</v>
      </c>
      <c r="P79" s="60">
        <f t="shared" ref="P79:P98" si="15">MIN(SUM(L79,M79,O79),R79)</f>
        <v>1</v>
      </c>
      <c r="Q79" s="61">
        <f>_xlfn.IFNA(VLOOKUP($F79,tblMerits[],3,FALSE),"")</f>
        <v>1</v>
      </c>
      <c r="R79" s="61">
        <f>_xlfn.IFNA(VLOOKUP($F79,tblMerits[],4,FALSE),"")</f>
        <v>1</v>
      </c>
      <c r="Y79" s="15">
        <v>5</v>
      </c>
      <c r="Z79" s="61" t="s">
        <v>243</v>
      </c>
      <c r="AA79" s="60" t="str" cm="1">
        <f t="array" ref="AA79">IF(OR(Y79=0,Y79=""),"",IF(VLOOKUP(Z79,$AI$1:$AJ$58,2,FALSE)&gt;=Y79,INDEX(tblDisciplines[Name],MATCH(1,(tblDisciplines[Discipline]=Z79)*(tblDisciplines[Rank]=Y79),0)),""))</f>
        <v/>
      </c>
    </row>
    <row r="80" spans="1:32">
      <c r="A80" s="1" t="s">
        <v>79</v>
      </c>
      <c r="B80" t="str">
        <f t="shared" si="11"/>
        <v/>
      </c>
      <c r="D80" s="19"/>
      <c r="E80" s="15" t="s">
        <v>115</v>
      </c>
      <c r="F80" s="3" t="s">
        <v>1568</v>
      </c>
      <c r="G80" s="3"/>
      <c r="H80" s="67" t="str">
        <f>_xlfn.IFNA(IF(VLOOKUP(F80,tblMerits[#Data],6,FALSE)=0,"None",VLOOKUP(F80,tblMerits[#Data],6,FALSE)),"None")</f>
        <v>Presence 3, Expression 3, Crúac 1</v>
      </c>
      <c r="I80" s="67"/>
      <c r="L80" s="4">
        <v>3</v>
      </c>
      <c r="M80" s="4"/>
      <c r="N80" s="4"/>
      <c r="O80" s="61">
        <f t="shared" ref="O80:O98" si="16">N80</f>
        <v>0</v>
      </c>
      <c r="P80" s="60">
        <f t="shared" si="15"/>
        <v>3</v>
      </c>
      <c r="Q80" s="61">
        <f>_xlfn.IFNA(VLOOKUP($F80,tblMerits[],3,FALSE),"")</f>
        <v>3</v>
      </c>
      <c r="R80" s="61">
        <f>_xlfn.IFNA(VLOOKUP($F80,tblMerits[],4,FALSE),"")</f>
        <v>3</v>
      </c>
      <c r="Y80" s="15">
        <f>P173</f>
        <v>0</v>
      </c>
      <c r="Z80" s="61" t="s">
        <v>244</v>
      </c>
      <c r="AA80" s="60" t="str" cm="1">
        <f t="array" ref="AA80">IF(OR(Y80=0,Y80=""),"",IF(VLOOKUP(Z80,$AI$1:$AJ$58,2,FALSE)&gt;=Y80,INDEX(tblDisciplines[Name],MATCH(1,(tblDisciplines[Discipline]=Z80)*(tblDisciplines[Rank]=Y80),0)),""))</f>
        <v/>
      </c>
    </row>
    <row r="81" spans="1:27">
      <c r="A81" s="1" t="s">
        <v>80</v>
      </c>
      <c r="B81" t="str">
        <f t="shared" si="11"/>
        <v/>
      </c>
      <c r="D81" s="61" t="s">
        <v>1576</v>
      </c>
      <c r="E81" s="15" t="s">
        <v>116</v>
      </c>
      <c r="F81" s="3" t="s">
        <v>1144</v>
      </c>
      <c r="G81" s="3"/>
      <c r="H81" s="67" t="str">
        <f>_xlfn.IFNA(IF(VLOOKUP(F81,tblMerits[#Data],6,FALSE)=0,"None",VLOOKUP(F81,tblMerits[#Data],6,FALSE)),"None")</f>
        <v>Presence 3</v>
      </c>
      <c r="I81" s="67"/>
      <c r="L81" s="4"/>
      <c r="M81" s="4">
        <v>3</v>
      </c>
      <c r="N81" s="4"/>
      <c r="O81" s="61">
        <f t="shared" si="16"/>
        <v>0</v>
      </c>
      <c r="P81" s="60">
        <f t="shared" si="15"/>
        <v>3</v>
      </c>
      <c r="Q81" s="61">
        <f>_xlfn.IFNA(VLOOKUP($F81,tblMerits[],3,FALSE),"")</f>
        <v>3</v>
      </c>
      <c r="R81" s="61">
        <f>_xlfn.IFNA(VLOOKUP($F81,tblMerits[],4,FALSE),"")</f>
        <v>3</v>
      </c>
      <c r="Y81" s="15">
        <f>P174</f>
        <v>0</v>
      </c>
      <c r="Z81" s="61" t="s">
        <v>245</v>
      </c>
      <c r="AA81" s="60" t="str" cm="1">
        <f t="array" ref="AA81">IF(OR(Y81=0,Y81=""),"",IF(VLOOKUP(Z81,$AI$1:$AJ$58,2,FALSE)&gt;=Y81,INDEX(tblDisciplines[Name],MATCH(1,(tblDisciplines[Discipline]=Z81)*(tblDisciplines[Rank]=Y81),0)),""))</f>
        <v/>
      </c>
    </row>
    <row r="82" spans="1:27">
      <c r="A82" s="1" t="s">
        <v>81</v>
      </c>
      <c r="B82" t="str">
        <f t="shared" si="11"/>
        <v/>
      </c>
      <c r="D82" s="61" t="s">
        <v>1571</v>
      </c>
      <c r="E82" s="15" t="s">
        <v>117</v>
      </c>
      <c r="F82" s="3" t="s">
        <v>1618</v>
      </c>
      <c r="G82" s="3"/>
      <c r="H82" s="67" t="str">
        <f>_xlfn.IFNA(IF(VLOOKUP(F82,tblMerits[#Data],6,FALSE)=0,"None",VLOOKUP(F82,tblMerits[#Data],6,FALSE)),"None")</f>
        <v>Manipulation 3, Resolve 3</v>
      </c>
      <c r="I82" s="67"/>
      <c r="L82" s="4"/>
      <c r="M82" s="4">
        <v>1</v>
      </c>
      <c r="N82" s="4"/>
      <c r="O82" s="61">
        <f t="shared" si="16"/>
        <v>0</v>
      </c>
      <c r="P82" s="60">
        <f t="shared" si="15"/>
        <v>1</v>
      </c>
      <c r="Q82" s="61">
        <f>_xlfn.IFNA(VLOOKUP($F82,tblMerits[],3,FALSE),"")</f>
        <v>1</v>
      </c>
      <c r="R82" s="61">
        <f>_xlfn.IFNA(VLOOKUP($F82,tblMerits[],4,FALSE),"")</f>
        <v>5</v>
      </c>
      <c r="Y82" s="61" t="s">
        <v>1472</v>
      </c>
      <c r="Z82" s="19"/>
      <c r="AA82" s="60" t="str">
        <f>IF(P177="","",F177)</f>
        <v/>
      </c>
    </row>
    <row r="83" spans="1:27">
      <c r="A83" s="1" t="s">
        <v>82</v>
      </c>
      <c r="B83" t="str">
        <f t="shared" si="11"/>
        <v/>
      </c>
      <c r="D83" s="19"/>
      <c r="E83" s="15" t="s">
        <v>118</v>
      </c>
      <c r="F83" s="3"/>
      <c r="G83" s="3"/>
      <c r="H83" s="67" t="str">
        <f>_xlfn.IFNA(IF(VLOOKUP(F83,tblMerits[#Data],6,FALSE)=0,"None",VLOOKUP(F83,tblMerits[#Data],6,FALSE)),"None")</f>
        <v>None</v>
      </c>
      <c r="I83" s="67"/>
      <c r="L83" s="4"/>
      <c r="M83" s="4"/>
      <c r="N83" s="4"/>
      <c r="O83" s="61">
        <f t="shared" si="16"/>
        <v>0</v>
      </c>
      <c r="P83" s="60">
        <f t="shared" si="15"/>
        <v>0</v>
      </c>
      <c r="Q83" s="61" t="str">
        <f>_xlfn.IFNA(VLOOKUP($F83,tblMerits[],3,FALSE),"")</f>
        <v/>
      </c>
      <c r="R83" s="61" t="str">
        <f>_xlfn.IFNA(VLOOKUP($F83,tblMerits[],4,FALSE),"")</f>
        <v/>
      </c>
      <c r="Y83" s="61" t="s">
        <v>1472</v>
      </c>
      <c r="Z83" s="19"/>
      <c r="AA83" s="60" t="str">
        <f>IF(P178="","",F178)</f>
        <v/>
      </c>
    </row>
    <row r="84" spans="1:27">
      <c r="A84" s="1" t="s">
        <v>83</v>
      </c>
      <c r="B84">
        <f>P124</f>
        <v>2</v>
      </c>
      <c r="D84" s="19"/>
      <c r="E84" s="15" t="s">
        <v>119</v>
      </c>
      <c r="F84" s="3"/>
      <c r="G84" s="3"/>
      <c r="H84" s="67" t="str">
        <f>_xlfn.IFNA(IF(VLOOKUP(F84,tblMerits[#Data],6,FALSE)=0,"None",VLOOKUP(F84,tblMerits[#Data],6,FALSE)),"None")</f>
        <v>None</v>
      </c>
      <c r="I84" s="67"/>
      <c r="L84" s="4"/>
      <c r="M84" s="4"/>
      <c r="N84" s="4"/>
      <c r="O84" s="61">
        <f t="shared" si="16"/>
        <v>0</v>
      </c>
      <c r="P84" s="60">
        <f t="shared" si="15"/>
        <v>0</v>
      </c>
      <c r="Q84" s="61" t="str">
        <f>_xlfn.IFNA(VLOOKUP($F84,tblMerits[],3,FALSE),"")</f>
        <v/>
      </c>
      <c r="R84" s="61" t="str">
        <f>_xlfn.IFNA(VLOOKUP($F84,tblMerits[],4,FALSE),"")</f>
        <v/>
      </c>
      <c r="Y84" s="61" t="s">
        <v>1472</v>
      </c>
      <c r="Z84" s="19"/>
      <c r="AA84" s="60" t="str">
        <f>IF(P179="","",F179)</f>
        <v/>
      </c>
    </row>
    <row r="85" spans="1:27">
      <c r="A85" s="1" t="s">
        <v>84</v>
      </c>
      <c r="B85">
        <f>P125</f>
        <v>2</v>
      </c>
      <c r="D85" s="19"/>
      <c r="E85" s="15" t="s">
        <v>120</v>
      </c>
      <c r="F85" s="3"/>
      <c r="G85" s="3"/>
      <c r="H85" s="67" t="str">
        <f>_xlfn.IFNA(IF(VLOOKUP(F85,tblMerits[#Data],6,FALSE)=0,"None",VLOOKUP(F85,tblMerits[#Data],6,FALSE)),"None")</f>
        <v>None</v>
      </c>
      <c r="I85" s="67"/>
      <c r="L85" s="4"/>
      <c r="M85" s="4"/>
      <c r="N85" s="4"/>
      <c r="O85" s="61">
        <f t="shared" si="16"/>
        <v>0</v>
      </c>
      <c r="P85" s="60">
        <f t="shared" si="15"/>
        <v>0</v>
      </c>
      <c r="Q85" s="61" t="str">
        <f>_xlfn.IFNA(VLOOKUP($F85,tblMerits[],3,FALSE),"")</f>
        <v/>
      </c>
      <c r="R85" s="61" t="str">
        <f>_xlfn.IFNA(VLOOKUP($F85,tblMerits[],4,FALSE),"")</f>
        <v/>
      </c>
      <c r="Y85" s="61" t="s">
        <v>1472</v>
      </c>
      <c r="Z85" s="19"/>
      <c r="AA85" s="60" t="str">
        <f>IF(P180="","",F180)</f>
        <v/>
      </c>
    </row>
    <row r="86" spans="1:27">
      <c r="A86" s="1" t="s">
        <v>85</v>
      </c>
      <c r="B86">
        <f>P126</f>
        <v>3</v>
      </c>
      <c r="D86" s="19"/>
      <c r="E86" s="15" t="s">
        <v>121</v>
      </c>
      <c r="F86" s="3"/>
      <c r="G86" s="3"/>
      <c r="H86" s="67" t="str">
        <f>_xlfn.IFNA(IF(VLOOKUP(F86,tblMerits[#Data],6,FALSE)=0,"None",VLOOKUP(F86,tblMerits[#Data],6,FALSE)),"None")</f>
        <v>None</v>
      </c>
      <c r="I86" s="67"/>
      <c r="L86" s="4"/>
      <c r="M86" s="4"/>
      <c r="N86" s="4"/>
      <c r="O86" s="61">
        <f t="shared" si="16"/>
        <v>0</v>
      </c>
      <c r="P86" s="60">
        <f t="shared" si="15"/>
        <v>0</v>
      </c>
      <c r="Q86" s="61" t="str">
        <f>_xlfn.IFNA(VLOOKUP($F86,tblMerits[],3,FALSE),"")</f>
        <v/>
      </c>
      <c r="R86" s="61" t="str">
        <f>_xlfn.IFNA(VLOOKUP($F86,tblMerits[],4,FALSE),"")</f>
        <v/>
      </c>
      <c r="Y86" s="61" t="s">
        <v>1472</v>
      </c>
      <c r="Z86" s="19"/>
      <c r="AA86" s="60" t="str">
        <f>IF(P181="","",F181)</f>
        <v/>
      </c>
    </row>
    <row r="87" spans="1:27">
      <c r="A87" s="1" t="s">
        <v>86</v>
      </c>
      <c r="B87" t="str">
        <f>IF(F126="","¬",F126)</f>
        <v>Crone</v>
      </c>
      <c r="D87" s="19"/>
      <c r="E87" s="15" t="s">
        <v>122</v>
      </c>
      <c r="F87" s="3"/>
      <c r="G87" s="3"/>
      <c r="H87" s="67" t="str">
        <f>_xlfn.IFNA(IF(VLOOKUP(F87,tblMerits[#Data],6,FALSE)=0,"None",VLOOKUP(F87,tblMerits[#Data],6,FALSE)),"None")</f>
        <v>None</v>
      </c>
      <c r="I87" s="67"/>
      <c r="L87" s="4"/>
      <c r="M87" s="4"/>
      <c r="N87" s="4"/>
      <c r="O87" s="61">
        <f t="shared" si="16"/>
        <v>0</v>
      </c>
      <c r="P87" s="60">
        <f t="shared" si="15"/>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Creation 1</v>
      </c>
    </row>
    <row r="88" spans="1:27">
      <c r="A88" s="1" t="s">
        <v>87</v>
      </c>
      <c r="B88" t="str">
        <f>REPT("●",P126)</f>
        <v>●●●</v>
      </c>
      <c r="D88" s="19"/>
      <c r="E88" s="15" t="s">
        <v>123</v>
      </c>
      <c r="F88" s="3"/>
      <c r="G88" s="3"/>
      <c r="H88" s="67" t="str">
        <f>_xlfn.IFNA(IF(VLOOKUP(F88,tblMerits[#Data],6,FALSE)=0,"None",VLOOKUP(F88,tblMerits[#Data],6,FALSE)),"None")</f>
        <v>None</v>
      </c>
      <c r="I88" s="67"/>
      <c r="L88" s="4"/>
      <c r="M88" s="4"/>
      <c r="N88" s="4"/>
      <c r="O88" s="61">
        <f t="shared" si="16"/>
        <v>0</v>
      </c>
      <c r="P88" s="60">
        <f t="shared" si="15"/>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Creation 2</v>
      </c>
    </row>
    <row r="89" spans="1:27">
      <c r="A89" s="1" t="s">
        <v>88</v>
      </c>
      <c r="B89" t="str">
        <f>IF(F127="","¬",F127)</f>
        <v>Carthian</v>
      </c>
      <c r="D89" s="19"/>
      <c r="E89" s="15" t="s">
        <v>124</v>
      </c>
      <c r="F89" s="3"/>
      <c r="G89" s="3"/>
      <c r="H89" s="67" t="str">
        <f>_xlfn.IFNA(IF(VLOOKUP(F89,tblMerits[#Data],6,FALSE)=0,"None",VLOOKUP(F89,tblMerits[#Data],6,FALSE)),"None")</f>
        <v>None</v>
      </c>
      <c r="I89" s="67"/>
      <c r="L89" s="4"/>
      <c r="M89" s="4"/>
      <c r="N89" s="4"/>
      <c r="O89" s="61">
        <f t="shared" si="16"/>
        <v>0</v>
      </c>
      <c r="P89" s="60">
        <f t="shared" si="15"/>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_xlfn.IFNA(IF(VLOOKUP(F90,tblMerits[#Data],6,FALSE)=0,"None",VLOOKUP(F90,tblMerits[#Data],6,FALSE)),"None")</f>
        <v>None</v>
      </c>
      <c r="I90" s="67"/>
      <c r="L90" s="4"/>
      <c r="M90" s="4"/>
      <c r="N90" s="4"/>
      <c r="O90" s="61">
        <f t="shared" si="16"/>
        <v>0</v>
      </c>
      <c r="P90" s="60">
        <f t="shared" si="15"/>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Invictus</v>
      </c>
      <c r="D91" s="19"/>
      <c r="E91" s="15" t="s">
        <v>126</v>
      </c>
      <c r="F91" s="3"/>
      <c r="G91" s="3"/>
      <c r="H91" s="67" t="str">
        <f>_xlfn.IFNA(IF(VLOOKUP(F91,tblMerits[#Data],6,FALSE)=0,"None",VLOOKUP(F91,tblMerits[#Data],6,FALSE)),"None")</f>
        <v>None</v>
      </c>
      <c r="I91" s="67"/>
      <c r="L91" s="4"/>
      <c r="M91" s="4"/>
      <c r="N91" s="4"/>
      <c r="O91" s="61">
        <f t="shared" si="16"/>
        <v>0</v>
      </c>
      <c r="P91" s="60">
        <f t="shared" si="15"/>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_xlfn.IFNA(IF(VLOOKUP(F92,tblMerits[#Data],6,FALSE)=0,"None",VLOOKUP(F92,tblMerits[#Data],6,FALSE)),"None")</f>
        <v>None</v>
      </c>
      <c r="I92" s="67"/>
      <c r="L92" s="4"/>
      <c r="M92" s="4"/>
      <c r="N92" s="4"/>
      <c r="O92" s="61">
        <f t="shared" si="16"/>
        <v>0</v>
      </c>
      <c r="P92" s="60">
        <f t="shared" si="15"/>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Lance</v>
      </c>
      <c r="D93" s="19"/>
      <c r="E93" s="15" t="s">
        <v>128</v>
      </c>
      <c r="F93" s="3"/>
      <c r="G93" s="3"/>
      <c r="H93" s="67" t="str">
        <f>_xlfn.IFNA(IF(VLOOKUP(F93,tblMerits[#Data],6,FALSE)=0,"None",VLOOKUP(F93,tblMerits[#Data],6,FALSE)),"None")</f>
        <v>None</v>
      </c>
      <c r="I93" s="67"/>
      <c r="L93" s="4"/>
      <c r="M93" s="4"/>
      <c r="N93" s="4"/>
      <c r="O93" s="61">
        <f t="shared" si="16"/>
        <v>0</v>
      </c>
      <c r="P93" s="60">
        <f t="shared" si="15"/>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_xlfn.IFNA(IF(VLOOKUP(F94,tblMerits[#Data],6,FALSE)=0,"None",VLOOKUP(F94,tblMerits[#Data],6,FALSE)),"None")</f>
        <v>None</v>
      </c>
      <c r="I94" s="67"/>
      <c r="L94" s="4"/>
      <c r="M94" s="4"/>
      <c r="N94" s="4"/>
      <c r="O94" s="61">
        <f t="shared" si="16"/>
        <v>0</v>
      </c>
      <c r="P94" s="60">
        <f t="shared" si="15"/>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_xlfn.IFNA(IF(VLOOKUP(F95,tblMerits[#Data],6,FALSE)=0,"None",VLOOKUP(F95,tblMerits[#Data],6,FALSE)),"None")</f>
        <v>None</v>
      </c>
      <c r="I95" s="67"/>
      <c r="L95" s="4"/>
      <c r="M95" s="4"/>
      <c r="N95" s="4"/>
      <c r="O95" s="61">
        <f t="shared" si="16"/>
        <v>0</v>
      </c>
      <c r="P95" s="60">
        <f t="shared" si="15"/>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_xlfn.IFNA(IF(VLOOKUP(F96,tblMerits[#Data],6,FALSE)=0,"None",VLOOKUP(F96,tblMerits[#Data],6,FALSE)),"None")</f>
        <v>None</v>
      </c>
      <c r="I96" s="67"/>
      <c r="L96" s="4"/>
      <c r="M96" s="4"/>
      <c r="N96" s="4"/>
      <c r="O96" s="61">
        <f t="shared" si="16"/>
        <v>0</v>
      </c>
      <c r="P96" s="60">
        <f t="shared" si="15"/>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_xlfn.IFNA(IF(VLOOKUP(F97,tblMerits[#Data],6,FALSE)=0,"None",VLOOKUP(F97,tblMerits[#Data],6,FALSE)),"None")</f>
        <v>None</v>
      </c>
      <c r="I97" s="67"/>
      <c r="L97" s="4"/>
      <c r="M97" s="4"/>
      <c r="N97" s="4"/>
      <c r="O97" s="61">
        <f t="shared" si="16"/>
        <v>0</v>
      </c>
      <c r="P97" s="60">
        <f t="shared" si="15"/>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
      </c>
    </row>
    <row r="98" spans="1:27">
      <c r="A98" s="1" t="s">
        <v>97</v>
      </c>
      <c r="B98" t="str">
        <f>IF(OR(P135=0,P135=""),"-",REPT("●",P135))</f>
        <v>●●●●●</v>
      </c>
      <c r="D98" s="19"/>
      <c r="E98" s="15" t="s">
        <v>133</v>
      </c>
      <c r="F98" s="3"/>
      <c r="G98" s="3"/>
      <c r="H98" s="67" t="str">
        <f>_xlfn.IFNA(IF(VLOOKUP(F98,tblMerits[#Data],6,FALSE)=0,"None",VLOOKUP(F98,tblMerits[#Data],6,FALSE)),"None")</f>
        <v>None</v>
      </c>
      <c r="I98" s="67"/>
      <c r="L98" s="4"/>
      <c r="M98" s="4"/>
      <c r="N98" s="4"/>
      <c r="O98" s="61">
        <f t="shared" si="16"/>
        <v>0</v>
      </c>
      <c r="P98" s="60">
        <f t="shared" si="15"/>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&lt;NAME REQUIRED&gt;</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c r="G101" s="60" t="str">
        <f>IFERROR(VLOOKUP(F101,tblManoeuvre[],2,FALSE)&amp;" "&amp;VLOOKUP(F101,tblManoeuvre[],3,FALSE),"")</f>
        <v/>
      </c>
      <c r="H101" s="72" t="str">
        <f>IFERROR(IF(VLOOKUP(F101,tblManoeuvre[],8,FALSE)=0,"None",VLOOKUP(F101,tblManoeuvre[],8,FALSE)),"None")</f>
        <v>None</v>
      </c>
      <c r="I101" s="73"/>
      <c r="L101" s="4"/>
      <c r="M101" s="4"/>
      <c r="N101" s="4"/>
      <c r="O101" s="61">
        <f t="shared" ref="O101:O120" si="17">N101</f>
        <v>0</v>
      </c>
      <c r="P101" s="60">
        <f t="shared" ref="P101:P120" si="18">MIN(SUM(L101,M101,O101),R101)</f>
        <v>0</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
      </c>
      <c r="D102" s="19"/>
      <c r="E102" s="15" t="s">
        <v>1441</v>
      </c>
      <c r="F102" s="3"/>
      <c r="G102" s="60" t="str">
        <f>IFERROR(VLOOKUP(F102,tblManoeuvre[],2,FALSE)&amp;" "&amp;VLOOKUP(F102,tblManoeuvre[],3,FALSE),"")</f>
        <v/>
      </c>
      <c r="H102" s="75" t="str">
        <f>IFERROR(IF(VLOOKUP(F102,tblManoeuvre[],8,FALSE)=0,"None",VLOOKUP(F102,tblManoeuvre[],8,FALSE)),"None")</f>
        <v>None</v>
      </c>
      <c r="I102" s="76"/>
      <c r="L102" s="4"/>
      <c r="M102" s="4"/>
      <c r="N102" s="4"/>
      <c r="O102" s="61">
        <f t="shared" si="17"/>
        <v>0</v>
      </c>
      <c r="P102" s="60">
        <f t="shared" si="18"/>
        <v>0</v>
      </c>
      <c r="Q102" s="61">
        <v>1</v>
      </c>
      <c r="R102" s="61">
        <v>1</v>
      </c>
      <c r="Y102" s="15">
        <v>1</v>
      </c>
      <c r="Z102" s="61" t="s">
        <v>251</v>
      </c>
      <c r="AA102" s="60" t="str" cm="1">
        <f t="array" ref="AA102">IF(VLOOKUP(Z102,$AI$1:$AJ$58,2,FALSE)&gt;=Y102,INDEX(tblDisciplines[Name],MATCH(1,(tblDisciplines[Discipline]=Z102)*(tblDisciplines[Rank]=Y102),0)),"")</f>
        <v>Protection 1</v>
      </c>
    </row>
    <row r="103" spans="1:27">
      <c r="A103" s="1" t="s">
        <v>102</v>
      </c>
      <c r="B103">
        <f>P73</f>
        <v>5</v>
      </c>
      <c r="D103" s="19"/>
      <c r="E103" s="15" t="s">
        <v>1443</v>
      </c>
      <c r="F103" s="3"/>
      <c r="G103" s="60" t="str">
        <f>IFERROR(VLOOKUP(F103,tblManoeuvre[],2,FALSE)&amp;" "&amp;VLOOKUP(F103,tblManoeuvre[],3,FALSE),"")</f>
        <v/>
      </c>
      <c r="H103" s="75" t="str">
        <f>IFERROR(IF(VLOOKUP(F103,tblManoeuvre[],8,FALSE)=0,"None",VLOOKUP(F103,tblManoeuvre[],8,FALSE)),"None")</f>
        <v>None</v>
      </c>
      <c r="I103" s="76"/>
      <c r="L103" s="4"/>
      <c r="M103" s="4"/>
      <c r="N103" s="4"/>
      <c r="O103" s="61">
        <f t="shared" si="17"/>
        <v>0</v>
      </c>
      <c r="P103" s="60">
        <f t="shared" si="18"/>
        <v>0</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c r="G104" s="60" t="str">
        <f>IFERROR(VLOOKUP(F104,tblManoeuvre[],2,FALSE)&amp;" "&amp;VLOOKUP(F104,tblManoeuvre[],3,FALSE),"")</f>
        <v/>
      </c>
      <c r="H104" s="75" t="str">
        <f>IFERROR(IF(VLOOKUP(F104,tblManoeuvre[],8,FALSE)=0,"None",VLOOKUP(F104,tblManoeuvre[],8,FALSE)),"None")</f>
        <v>None</v>
      </c>
      <c r="I104" s="76"/>
      <c r="L104" s="4"/>
      <c r="M104" s="4"/>
      <c r="N104" s="4"/>
      <c r="O104" s="61">
        <f t="shared" si="17"/>
        <v>0</v>
      </c>
      <c r="P104" s="60">
        <f t="shared" si="18"/>
        <v>0</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c r="G105" s="60" t="str">
        <f>IFERROR(VLOOKUP(F105,tblManoeuvre[],2,FALSE)&amp;" "&amp;VLOOKUP(F105,tblManoeuvre[],3,FALSE),"")</f>
        <v/>
      </c>
      <c r="H105" s="75" t="str">
        <f>IFERROR(IF(VLOOKUP(F105,tblManoeuvre[],8,FALSE)=0,"None",VLOOKUP(F105,tblManoeuvre[],8,FALSE)),"None")</f>
        <v>None</v>
      </c>
      <c r="I105" s="76"/>
      <c r="L105" s="4"/>
      <c r="M105" s="4"/>
      <c r="N105" s="4"/>
      <c r="O105" s="61">
        <f t="shared" si="17"/>
        <v>0</v>
      </c>
      <c r="P105" s="60">
        <f t="shared" si="18"/>
        <v>0</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IFERROR(VLOOKUP(F106,tblManoeuvre[],2,FALSE)&amp;" "&amp;VLOOKUP(F106,tblManoeuvre[],3,FALSE),"")</f>
        <v/>
      </c>
      <c r="H106" s="75" t="str">
        <f>IFERROR(IF(VLOOKUP(F106,tblManoeuvre[],8,FALSE)=0,"None",VLOOKUP(F106,tblManoeuvre[],8,FALSE)),"None")</f>
        <v>None</v>
      </c>
      <c r="I106" s="76"/>
      <c r="L106" s="4"/>
      <c r="M106" s="4"/>
      <c r="N106" s="4"/>
      <c r="O106" s="61">
        <f t="shared" si="17"/>
        <v>0</v>
      </c>
      <c r="P106" s="60">
        <f t="shared" si="18"/>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IFERROR(VLOOKUP(F107,tblManoeuvre[],2,FALSE)&amp;" "&amp;VLOOKUP(F107,tblManoeuvre[],3,FALSE),"")</f>
        <v/>
      </c>
      <c r="H107" s="75" t="str">
        <f>IFERROR(IF(VLOOKUP(F107,tblManoeuvre[],8,FALSE)=0,"None",VLOOKUP(F107,tblManoeuvre[],8,FALSE)),"None")</f>
        <v>None</v>
      </c>
      <c r="I107" s="76"/>
      <c r="L107" s="4"/>
      <c r="M107" s="4"/>
      <c r="N107" s="4"/>
      <c r="O107" s="61">
        <f t="shared" si="17"/>
        <v>0</v>
      </c>
      <c r="P107" s="60">
        <f t="shared" si="18"/>
        <v>0</v>
      </c>
      <c r="Q107" s="61">
        <v>1</v>
      </c>
      <c r="R107" s="61">
        <v>1</v>
      </c>
      <c r="Y107" s="15">
        <v>1</v>
      </c>
      <c r="Z107" s="61" t="s">
        <v>252</v>
      </c>
      <c r="AA107" s="60" t="str" cm="1">
        <f t="array" ref="AA107">IF(VLOOKUP(Z107,$AI$1:$AJ$58,2,FALSE)&gt;=Y107,INDEX(tblDisciplines[Name],MATCH(1,(tblDisciplines[Discipline]=Z107)*(tblDisciplines[Rank]=Y107),0)),"")</f>
        <v>Transmutation 1</v>
      </c>
    </row>
    <row r="108" spans="1:27">
      <c r="A108" s="1" t="s">
        <v>107</v>
      </c>
      <c r="B108" t="str">
        <f>IF($P$73&gt;=7,"●","○") &amp; IF(F226&lt;&gt;""," (" &amp; F226 &amp; ")","")</f>
        <v>○ (Ezekiel (Son))</v>
      </c>
      <c r="D108" s="19"/>
      <c r="E108" s="15" t="s">
        <v>1452</v>
      </c>
      <c r="F108" s="3"/>
      <c r="G108" s="60" t="str">
        <f>IFERROR(VLOOKUP(F108,tblManoeuvre[],2,FALSE)&amp;" "&amp;VLOOKUP(F108,tblManoeuvre[],3,FALSE),"")</f>
        <v/>
      </c>
      <c r="H108" s="75" t="str">
        <f>IFERROR(IF(VLOOKUP(F108,tblManoeuvre[],8,FALSE)=0,"None",VLOOKUP(F108,tblManoeuvre[],8,FALSE)),"None")</f>
        <v>None</v>
      </c>
      <c r="I108" s="76"/>
      <c r="L108" s="4"/>
      <c r="M108" s="4"/>
      <c r="N108" s="4"/>
      <c r="O108" s="61">
        <f t="shared" si="17"/>
        <v>0</v>
      </c>
      <c r="P108" s="60">
        <f t="shared" si="18"/>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 (Unnamed congregant)</v>
      </c>
      <c r="D109" s="19"/>
      <c r="E109" s="15" t="s">
        <v>1454</v>
      </c>
      <c r="F109" s="3"/>
      <c r="G109" s="60" t="str">
        <f>IFERROR(VLOOKUP(F109,tblManoeuvre[],2,FALSE)&amp;" "&amp;VLOOKUP(F109,tblManoeuvre[],3,FALSE),"")</f>
        <v/>
      </c>
      <c r="H109" s="75" t="str">
        <f>IFERROR(IF(VLOOKUP(F109,tblManoeuvre[],8,FALSE)=0,"None",VLOOKUP(F109,tblManoeuvre[],8,FALSE)),"None")</f>
        <v>None</v>
      </c>
      <c r="I109" s="76"/>
      <c r="L109" s="4"/>
      <c r="M109" s="4"/>
      <c r="N109" s="4"/>
      <c r="O109" s="61">
        <f t="shared" si="17"/>
        <v>0</v>
      </c>
      <c r="P109" s="60">
        <f t="shared" si="18"/>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v>
      </c>
      <c r="D110" s="19"/>
      <c r="E110" s="15" t="s">
        <v>1455</v>
      </c>
      <c r="F110" s="3"/>
      <c r="G110" s="60" t="str">
        <f>IFERROR(VLOOKUP(F110,tblManoeuvre[],2,FALSE)&amp;" "&amp;VLOOKUP(F110,tblManoeuvre[],3,FALSE),"")</f>
        <v/>
      </c>
      <c r="H110" s="75" t="str">
        <f>IFERROR(IF(VLOOKUP(F110,tblManoeuvre[],8,FALSE)=0,"None",VLOOKUP(F110,tblManoeuvre[],8,FALSE)),"None")</f>
        <v>None</v>
      </c>
      <c r="I110" s="76"/>
      <c r="L110" s="4"/>
      <c r="M110" s="4"/>
      <c r="N110" s="4"/>
      <c r="O110" s="61">
        <f t="shared" si="17"/>
        <v>0</v>
      </c>
      <c r="P110" s="60">
        <f t="shared" si="18"/>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t="str">
        <f>IFERROR(VLOOKUP(F111,tblManoeuvre[],2,FALSE)&amp;" "&amp;VLOOKUP(F111,tblManoeuvre[],3,FALSE),"")</f>
        <v/>
      </c>
      <c r="H111" s="75" t="str">
        <f>IFERROR(IF(VLOOKUP(F111,tblManoeuvre[],8,FALSE)=0,"None",VLOOKUP(F111,tblManoeuvre[],8,FALSE)),"None")</f>
        <v>None</v>
      </c>
      <c r="I111" s="76"/>
      <c r="L111" s="4"/>
      <c r="M111" s="4"/>
      <c r="N111" s="4"/>
      <c r="O111" s="61">
        <f t="shared" si="17"/>
        <v>0</v>
      </c>
      <c r="P111" s="60">
        <f t="shared" si="18"/>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t="str">
        <f>IFERROR(VLOOKUP(F112,tblManoeuvre[],2,FALSE)&amp;" "&amp;VLOOKUP(F112,tblManoeuvre[],3,FALSE),"")</f>
        <v/>
      </c>
      <c r="H112" s="75" t="str">
        <f>IFERROR(IF(VLOOKUP(F112,tblManoeuvre[],8,FALSE)=0,"None",VLOOKUP(F112,tblManoeuvre[],8,FALSE)),"None")</f>
        <v>None</v>
      </c>
      <c r="I112" s="76"/>
      <c r="L112" s="4"/>
      <c r="M112" s="4"/>
      <c r="N112" s="4"/>
      <c r="O112" s="61">
        <f t="shared" si="17"/>
        <v>0</v>
      </c>
      <c r="P112" s="60">
        <f t="shared" si="18"/>
        <v>0</v>
      </c>
      <c r="Q112" s="61">
        <v>1</v>
      </c>
      <c r="R112" s="61">
        <v>1</v>
      </c>
      <c r="Y112" s="61" t="s">
        <v>1474</v>
      </c>
      <c r="Z112" s="61" t="str">
        <f t="shared" ref="Z112:Z121" si="19">G194</f>
        <v>Cruac</v>
      </c>
      <c r="AA112" s="60" t="str">
        <f t="shared" ref="AA112:AA121" si="20">IF(P194="","",F194)</f>
        <v>Fires of Inspiration</v>
      </c>
    </row>
    <row r="113" spans="1:27">
      <c r="A113" s="1" t="s">
        <v>112</v>
      </c>
      <c r="B113" t="str">
        <f>IF($P$73&gt;=2,"●","○") &amp; IF(F231&lt;&gt;""," (" &amp; F231 &amp; ")","")</f>
        <v>●</v>
      </c>
      <c r="D113" s="19"/>
      <c r="E113" s="15" t="s">
        <v>1458</v>
      </c>
      <c r="F113" s="3"/>
      <c r="G113" s="60" t="str">
        <f>IFERROR(VLOOKUP(F113,tblManoeuvre[],2,FALSE)&amp;" "&amp;VLOOKUP(F113,tblManoeuvre[],3,FALSE),"")</f>
        <v/>
      </c>
      <c r="H113" s="75" t="str">
        <f>IFERROR(IF(VLOOKUP(F113,tblManoeuvre[],8,FALSE)=0,"None",VLOOKUP(F113,tblManoeuvre[],8,FALSE)),"None")</f>
        <v>None</v>
      </c>
      <c r="I113" s="76"/>
      <c r="L113" s="4"/>
      <c r="M113" s="4"/>
      <c r="N113" s="4"/>
      <c r="O113" s="61">
        <f t="shared" si="17"/>
        <v>0</v>
      </c>
      <c r="P113" s="60">
        <f t="shared" si="18"/>
        <v>0</v>
      </c>
      <c r="Q113" s="61">
        <v>1</v>
      </c>
      <c r="R113" s="61">
        <v>1</v>
      </c>
      <c r="Y113" s="61" t="s">
        <v>1474</v>
      </c>
      <c r="Z113" s="61" t="str">
        <f t="shared" si="19"/>
        <v>Cruac</v>
      </c>
      <c r="AA113" s="60" t="str">
        <f t="shared" si="20"/>
        <v>Wisdom of the Soul</v>
      </c>
    </row>
    <row r="114" spans="1:27">
      <c r="A114" s="1" t="s">
        <v>113</v>
      </c>
      <c r="B114" t="str">
        <f>IF($P$73&gt;=1,"●","○") &amp; IF(F232&lt;&gt;""," (" &amp; F232 &amp; ")","")</f>
        <v>●</v>
      </c>
      <c r="D114" s="19"/>
      <c r="E114" s="15" t="s">
        <v>1460</v>
      </c>
      <c r="F114" s="3"/>
      <c r="G114" s="60" t="str">
        <f>IFERROR(VLOOKUP(F114,tblManoeuvre[],2,FALSE)&amp;" "&amp;VLOOKUP(F114,tblManoeuvre[],3,FALSE),"")</f>
        <v/>
      </c>
      <c r="H114" s="75" t="str">
        <f>IFERROR(IF(VLOOKUP(F114,tblManoeuvre[],8,FALSE)=0,"None",VLOOKUP(F114,tblManoeuvre[],8,FALSE)),"None")</f>
        <v>None</v>
      </c>
      <c r="I114" s="76"/>
      <c r="L114" s="4"/>
      <c r="M114" s="4"/>
      <c r="N114" s="4"/>
      <c r="O114" s="61">
        <f t="shared" si="17"/>
        <v>0</v>
      </c>
      <c r="P114" s="60">
        <f t="shared" si="18"/>
        <v>0</v>
      </c>
      <c r="Q114" s="61">
        <v>1</v>
      </c>
      <c r="R114" s="61">
        <v>1</v>
      </c>
      <c r="Y114" s="61" t="s">
        <v>1474</v>
      </c>
      <c r="Z114" s="61" t="str">
        <f t="shared" si="19"/>
        <v/>
      </c>
      <c r="AA114" s="60" t="str">
        <f t="shared" si="20"/>
        <v/>
      </c>
    </row>
    <row r="115" spans="1:27">
      <c r="A115" s="1" t="s">
        <v>114</v>
      </c>
      <c r="B115" t="str">
        <f t="shared" ref="B115:B144" si="21">IF(AD2="","¬",AD2)</f>
        <v>Closed Book ●</v>
      </c>
      <c r="D115" s="19"/>
      <c r="E115" s="15" t="s">
        <v>1461</v>
      </c>
      <c r="F115" s="3"/>
      <c r="G115" s="60" t="str">
        <f>IFERROR(VLOOKUP(F115,tblManoeuvre[],2,FALSE)&amp;" "&amp;VLOOKUP(F115,tblManoeuvre[],3,FALSE),"")</f>
        <v/>
      </c>
      <c r="H115" s="75" t="str">
        <f>IFERROR(IF(VLOOKUP(F115,tblManoeuvre[],8,FALSE)=0,"None",VLOOKUP(F115,tblManoeuvre[],8,FALSE)),"None")</f>
        <v>None</v>
      </c>
      <c r="I115" s="76"/>
      <c r="L115" s="4"/>
      <c r="M115" s="4"/>
      <c r="N115" s="4"/>
      <c r="O115" s="61">
        <f t="shared" si="17"/>
        <v>0</v>
      </c>
      <c r="P115" s="60">
        <f t="shared" si="18"/>
        <v>0</v>
      </c>
      <c r="Q115" s="61">
        <v>1</v>
      </c>
      <c r="R115" s="61">
        <v>1</v>
      </c>
      <c r="Y115" s="61" t="s">
        <v>1474</v>
      </c>
      <c r="Z115" s="61" t="str">
        <f t="shared" si="19"/>
        <v/>
      </c>
      <c r="AA115" s="60" t="str">
        <f t="shared" si="20"/>
        <v/>
      </c>
    </row>
    <row r="116" spans="1:27">
      <c r="A116" s="1" t="s">
        <v>115</v>
      </c>
      <c r="B116" t="str">
        <f t="shared" si="21"/>
        <v>Inspiring ●●●</v>
      </c>
      <c r="D116" s="19"/>
      <c r="E116" s="15" t="s">
        <v>1462</v>
      </c>
      <c r="F116" s="3"/>
      <c r="G116" s="60" t="str">
        <f>IFERROR(VLOOKUP(F116,tblManoeuvre[],2,FALSE)&amp;" "&amp;VLOOKUP(F116,tblManoeuvre[],3,FALSE),"")</f>
        <v/>
      </c>
      <c r="H116" s="75" t="str">
        <f>IFERROR(IF(VLOOKUP(F116,tblManoeuvre[],8,FALSE)=0,"None",VLOOKUP(F116,tblManoeuvre[],8,FALSE)),"None")</f>
        <v>None</v>
      </c>
      <c r="I116" s="76"/>
      <c r="L116" s="4"/>
      <c r="M116" s="4"/>
      <c r="N116" s="4"/>
      <c r="O116" s="61">
        <f t="shared" si="17"/>
        <v>0</v>
      </c>
      <c r="P116" s="60">
        <f t="shared" si="18"/>
        <v>0</v>
      </c>
      <c r="Q116" s="61">
        <v>1</v>
      </c>
      <c r="R116" s="61">
        <v>1</v>
      </c>
      <c r="Y116" s="61" t="s">
        <v>1474</v>
      </c>
      <c r="Z116" s="61" t="str">
        <f t="shared" si="19"/>
        <v/>
      </c>
      <c r="AA116" s="60" t="str">
        <f t="shared" si="20"/>
        <v/>
      </c>
    </row>
    <row r="117" spans="1:27">
      <c r="A117" s="1" t="s">
        <v>116</v>
      </c>
      <c r="B117" t="str">
        <f t="shared" si="21"/>
        <v>Secret Society Junkie ●</v>
      </c>
      <c r="D117" s="19"/>
      <c r="E117" s="15" t="s">
        <v>1463</v>
      </c>
      <c r="F117" s="3"/>
      <c r="G117" s="60" t="str">
        <f>IFERROR(VLOOKUP(F117,tblManoeuvre[],2,FALSE)&amp;" "&amp;VLOOKUP(F117,tblManoeuvre[],3,FALSE),"")</f>
        <v/>
      </c>
      <c r="H117" s="75" t="str">
        <f>IFERROR(IF(VLOOKUP(F117,tblManoeuvre[],8,FALSE)=0,"None",VLOOKUP(F117,tblManoeuvre[],8,FALSE)),"None")</f>
        <v>None</v>
      </c>
      <c r="I117" s="76"/>
      <c r="L117" s="4"/>
      <c r="M117" s="4"/>
      <c r="N117" s="4"/>
      <c r="O117" s="61">
        <f t="shared" si="17"/>
        <v>0</v>
      </c>
      <c r="P117" s="60">
        <f t="shared" si="18"/>
        <v>0</v>
      </c>
      <c r="Q117" s="61">
        <v>1</v>
      </c>
      <c r="R117" s="61">
        <v>1</v>
      </c>
      <c r="Y117" s="61" t="s">
        <v>1474</v>
      </c>
      <c r="Z117" s="61" t="str">
        <f t="shared" si="19"/>
        <v/>
      </c>
      <c r="AA117" s="60" t="str">
        <f t="shared" si="20"/>
        <v/>
      </c>
    </row>
    <row r="118" spans="1:27">
      <c r="A118" s="1" t="s">
        <v>117</v>
      </c>
      <c r="B118" t="str">
        <f t="shared" si="21"/>
        <v>Viral Mythology ●●●</v>
      </c>
      <c r="D118" s="19"/>
      <c r="E118" s="15" t="s">
        <v>1464</v>
      </c>
      <c r="F118" s="3"/>
      <c r="G118" s="60" t="str">
        <f>IFERROR(VLOOKUP(F118,tblManoeuvre[],2,FALSE)&amp;" "&amp;VLOOKUP(F118,tblManoeuvre[],3,FALSE),"")</f>
        <v/>
      </c>
      <c r="H118" s="75" t="str">
        <f>IFERROR(IF(VLOOKUP(F118,tblManoeuvre[],8,FALSE)=0,"None",VLOOKUP(F118,tblManoeuvre[],8,FALSE)),"None")</f>
        <v>None</v>
      </c>
      <c r="I118" s="76"/>
      <c r="L118" s="4"/>
      <c r="M118" s="4"/>
      <c r="N118" s="4"/>
      <c r="O118" s="61">
        <f t="shared" si="17"/>
        <v>0</v>
      </c>
      <c r="P118" s="60">
        <f t="shared" si="18"/>
        <v>0</v>
      </c>
      <c r="Q118" s="61">
        <v>1</v>
      </c>
      <c r="R118" s="61">
        <v>1</v>
      </c>
      <c r="Y118" s="61" t="s">
        <v>1474</v>
      </c>
      <c r="Z118" s="61" t="str">
        <f t="shared" si="19"/>
        <v/>
      </c>
      <c r="AA118" s="60" t="str">
        <f t="shared" si="20"/>
        <v/>
      </c>
    </row>
    <row r="119" spans="1:27">
      <c r="A119" s="1" t="s">
        <v>118</v>
      </c>
      <c r="B119" t="str">
        <f t="shared" si="21"/>
        <v>¬</v>
      </c>
      <c r="D119" s="19"/>
      <c r="E119" s="15" t="s">
        <v>1466</v>
      </c>
      <c r="F119" s="3"/>
      <c r="G119" s="60" t="str">
        <f>IFERROR(VLOOKUP(F119,tblManoeuvre[],2,FALSE)&amp;" "&amp;VLOOKUP(F119,tblManoeuvre[],3,FALSE),"")</f>
        <v/>
      </c>
      <c r="H119" s="75" t="str">
        <f>IFERROR(IF(VLOOKUP(F119,tblManoeuvre[],8,FALSE)=0,"None",VLOOKUP(F119,tblManoeuvre[],8,FALSE)),"None")</f>
        <v>None</v>
      </c>
      <c r="I119" s="76"/>
      <c r="L119" s="4"/>
      <c r="M119" s="4"/>
      <c r="N119" s="4"/>
      <c r="O119" s="61">
        <f t="shared" si="17"/>
        <v>0</v>
      </c>
      <c r="P119" s="60">
        <f t="shared" si="18"/>
        <v>0</v>
      </c>
      <c r="Q119" s="61">
        <v>1</v>
      </c>
      <c r="R119" s="61">
        <v>1</v>
      </c>
      <c r="Y119" s="61" t="s">
        <v>1474</v>
      </c>
      <c r="Z119" s="61" t="str">
        <f t="shared" si="19"/>
        <v/>
      </c>
      <c r="AA119" s="60" t="str">
        <f t="shared" si="20"/>
        <v/>
      </c>
    </row>
    <row r="120" spans="1:27">
      <c r="A120" s="1" t="s">
        <v>119</v>
      </c>
      <c r="B120" t="str">
        <f t="shared" si="21"/>
        <v>¬</v>
      </c>
      <c r="D120" s="19"/>
      <c r="E120" s="15" t="s">
        <v>1468</v>
      </c>
      <c r="F120" s="3"/>
      <c r="G120" s="60" t="str">
        <f>IFERROR(VLOOKUP(F120,tblManoeuvre[],2,FALSE)&amp;" "&amp;VLOOKUP(F120,tblManoeuvre[],3,FALSE),"")</f>
        <v/>
      </c>
      <c r="H120" s="75" t="str">
        <f>IFERROR(IF(VLOOKUP(F120,tblManoeuvre[],8,FALSE)=0,"None",VLOOKUP(F120,tblManoeuvre[],8,FALSE)),"None")</f>
        <v>None</v>
      </c>
      <c r="I120" s="76"/>
      <c r="L120" s="4"/>
      <c r="M120" s="4"/>
      <c r="N120" s="4"/>
      <c r="O120" s="61">
        <f t="shared" si="17"/>
        <v>0</v>
      </c>
      <c r="P120" s="60">
        <f t="shared" si="18"/>
        <v>0</v>
      </c>
      <c r="Q120" s="61">
        <v>1</v>
      </c>
      <c r="R120" s="61">
        <v>1</v>
      </c>
      <c r="Y120" s="61" t="s">
        <v>1474</v>
      </c>
      <c r="Z120" s="61" t="str">
        <f t="shared" si="19"/>
        <v/>
      </c>
      <c r="AA120" s="60" t="str">
        <f t="shared" si="20"/>
        <v/>
      </c>
    </row>
    <row r="121" spans="1:27">
      <c r="A121" s="1" t="s">
        <v>120</v>
      </c>
      <c r="B121" t="str">
        <f t="shared" si="21"/>
        <v>¬</v>
      </c>
      <c r="Y121" s="61" t="s">
        <v>1474</v>
      </c>
      <c r="Z121" s="61" t="str">
        <f t="shared" si="19"/>
        <v/>
      </c>
      <c r="AA121" s="60" t="str">
        <f t="shared" si="20"/>
        <v/>
      </c>
    </row>
    <row r="122" spans="1:27" ht="15.75" thickBot="1">
      <c r="A122" s="1" t="s">
        <v>121</v>
      </c>
      <c r="B122" t="str">
        <f t="shared" si="21"/>
        <v>¬</v>
      </c>
      <c r="D122" s="14" t="s">
        <v>1475</v>
      </c>
      <c r="E122" s="14"/>
      <c r="F122" s="14"/>
      <c r="G122" s="14"/>
      <c r="H122" s="14"/>
      <c r="I122" s="14"/>
    </row>
    <row r="123" spans="1:27">
      <c r="A123" s="1" t="s">
        <v>122</v>
      </c>
      <c r="B123" t="str">
        <f t="shared" si="21"/>
        <v>¬</v>
      </c>
      <c r="D123" s="16" t="s">
        <v>927</v>
      </c>
      <c r="E123" s="17"/>
      <c r="F123" s="17"/>
      <c r="G123" s="17"/>
      <c r="H123" s="17"/>
      <c r="I123" s="17"/>
      <c r="Y123" s="15" t="s">
        <v>1476</v>
      </c>
      <c r="Z123" s="19"/>
      <c r="AA123" s="61" t="str">
        <f t="shared" ref="AA123:AA132" si="22">_xlfn.LET(_xlpm.name,VLOOKUP(Y123,$E$2:$F$362,2,FALSE),_xlpm.paid,_xlfn.IFNA(VLOOKUP(_xlpm.name,$F$121:$Q$215,11,FALSE)&gt;=VLOOKUP(_xlpm.name,$F$121:$Q$215,12,FALSE),FALSE),IF(AND(_xlpm.name&lt;&gt;"",_xlpm.paid),_xlpm.name,""))</f>
        <v/>
      </c>
    </row>
    <row r="124" spans="1:27">
      <c r="A124" s="1" t="s">
        <v>123</v>
      </c>
      <c r="B124" t="str">
        <f t="shared" si="21"/>
        <v>¬</v>
      </c>
      <c r="D124" s="19"/>
      <c r="E124" s="15" t="s">
        <v>83</v>
      </c>
      <c r="F124" s="19"/>
      <c r="G124" s="19"/>
      <c r="H124" s="19"/>
      <c r="I124" s="19"/>
      <c r="L124" s="4">
        <v>2</v>
      </c>
      <c r="M124" s="61">
        <f>IFERROR(VLOOKUP(G13,tblEffectiveStatus[#Data],2,FALSE),0)</f>
        <v>0</v>
      </c>
      <c r="P124" s="60">
        <f>MIN(L124+M124,R124)</f>
        <v>2</v>
      </c>
      <c r="R124" s="61">
        <v>10</v>
      </c>
      <c r="Y124" s="15" t="s">
        <v>1477</v>
      </c>
      <c r="Z124" s="19"/>
      <c r="AA124" s="61" t="str">
        <f t="shared" si="22"/>
        <v/>
      </c>
    </row>
    <row r="125" spans="1:27">
      <c r="A125" s="1" t="s">
        <v>124</v>
      </c>
      <c r="B125" t="str">
        <f t="shared" si="21"/>
        <v>¬</v>
      </c>
      <c r="D125" s="19"/>
      <c r="E125" s="15" t="str">
        <f>IF(F7="","Clan Status",F7&amp;" Status")</f>
        <v>Ventrue Status</v>
      </c>
      <c r="F125" s="19"/>
      <c r="G125" s="19"/>
      <c r="H125" s="19"/>
      <c r="I125" s="19"/>
      <c r="L125" s="4">
        <v>2</v>
      </c>
      <c r="P125" s="60">
        <f>IF(L125="",0,MIN(L125,R125))</f>
        <v>2</v>
      </c>
      <c r="R125" s="61">
        <v>5</v>
      </c>
      <c r="Y125" s="15" t="s">
        <v>1478</v>
      </c>
      <c r="Z125" s="19"/>
      <c r="AA125" s="61" t="str">
        <f t="shared" si="22"/>
        <v/>
      </c>
    </row>
    <row r="126" spans="1:27">
      <c r="A126" s="1" t="s">
        <v>125</v>
      </c>
      <c r="B126" t="str">
        <f t="shared" si="21"/>
        <v>¬</v>
      </c>
      <c r="D126" s="19"/>
      <c r="E126" s="15" t="str">
        <f>IF(F9="","",F9&amp;" Status")</f>
        <v>Circle of the Crone Status</v>
      </c>
      <c r="F126" s="19" t="str">
        <f>IF(F9="","",VLOOKUP(F9,tblCovenantShortName[#Data],2,FALSE))</f>
        <v>Crone</v>
      </c>
      <c r="G126" s="19"/>
      <c r="H126" s="19"/>
      <c r="I126" s="19"/>
      <c r="L126" s="4">
        <v>3</v>
      </c>
      <c r="P126" s="60">
        <f>L126</f>
        <v>3</v>
      </c>
      <c r="R126" s="61">
        <f>5-SUM(L127:L129)</f>
        <v>5</v>
      </c>
      <c r="Y126" s="15" t="s">
        <v>1479</v>
      </c>
      <c r="Z126" s="19"/>
      <c r="AA126" s="61" t="str">
        <f t="shared" si="22"/>
        <v/>
      </c>
    </row>
    <row r="127" spans="1:27">
      <c r="A127" s="1" t="s">
        <v>126</v>
      </c>
      <c r="B127" t="str">
        <f t="shared" si="21"/>
        <v>¬</v>
      </c>
      <c r="D127" s="19"/>
      <c r="E127" s="15" t="str" cm="1">
        <f t="array" ref="E127">IF(F9="","",IFERROR(INDEX(Lists!$F$2:$F$5,SMALL(IF(Lists!$F$2:$F$5&lt;&gt;$F$9,ROW(Lists!$F$2:$F$5)-ROW(Lists!$F$2)+1),1))&amp;" Status",""))</f>
        <v>Carthian Movement Status</v>
      </c>
      <c r="F127" s="19" t="str" cm="1">
        <f t="array" ref="F127">IF(F9="","",IFERROR(VLOOKUP(INDEX(Lists!$F$2:$F$5,SMALL(IF(Lists!$F$2:$F$5&lt;&gt;$F$9,ROW(Lists!$F$2:$F$5)-ROW(Lists!$F$2)+1),1)),tblCovenantShortName[],2,FALSE),""))</f>
        <v>Carthian</v>
      </c>
      <c r="G127" s="19"/>
      <c r="H127" s="19"/>
      <c r="I127" s="19"/>
      <c r="L127" s="4"/>
      <c r="P127" s="60">
        <f>L127</f>
        <v>0</v>
      </c>
      <c r="R127" s="61">
        <f>MAX(0,MIN(P126-1,5-L126-L128-L129))</f>
        <v>2</v>
      </c>
      <c r="Y127" s="15" t="s">
        <v>1480</v>
      </c>
      <c r="Z127" s="19"/>
      <c r="AA127" s="61" t="str">
        <f t="shared" si="22"/>
        <v/>
      </c>
    </row>
    <row r="128" spans="1:27">
      <c r="A128" s="1" t="s">
        <v>127</v>
      </c>
      <c r="B128" t="str">
        <f t="shared" si="21"/>
        <v>¬</v>
      </c>
      <c r="D128" s="19"/>
      <c r="E128" s="15" t="str" cm="1">
        <f t="array" ref="E128">IF(F9="","",IFERROR(INDEX(Lists!$F$2:$F$5,SMALL(IF(Lists!$F$2:$F$5&lt;&gt;$F$9,ROW(Lists!$F$2:$F$5)-ROW(Lists!$F$2)+1),2))&amp;" Status",""))</f>
        <v>Invictus Status</v>
      </c>
      <c r="F128" s="19" t="str" cm="1">
        <f t="array" ref="F128">IF(F9="","",IFERROR(VLOOKUP(INDEX(Lists!$F$2:$F$5,SMALL(IF(Lists!$F$2:$F$5&lt;&gt;$F$9,ROW(Lists!$F$2:$F$5)-ROW(Lists!$F$2)+1),2)),tblCovenantShortName[],2,FALSE),""))</f>
        <v>Invictus</v>
      </c>
      <c r="G128" s="19"/>
      <c r="H128" s="19"/>
      <c r="I128" s="19"/>
      <c r="L128" s="4"/>
      <c r="P128" s="60">
        <f>L128</f>
        <v>0</v>
      </c>
      <c r="R128" s="61">
        <f>MAX(0,MIN(P126-1,5-L126-L127-L129))</f>
        <v>2</v>
      </c>
      <c r="Y128" s="15" t="s">
        <v>1481</v>
      </c>
      <c r="Z128" s="19"/>
      <c r="AA128" s="61" t="str">
        <f t="shared" si="22"/>
        <v/>
      </c>
    </row>
    <row r="129" spans="1:32">
      <c r="A129" s="1" t="s">
        <v>128</v>
      </c>
      <c r="B129" t="str">
        <f t="shared" si="21"/>
        <v>¬</v>
      </c>
      <c r="D129" s="19"/>
      <c r="E129" s="15" t="str" cm="1">
        <f t="array" ref="E129">IF(F9="","",IFERROR(INDEX(Lists!$F$2:$F$5,SMALL(IF(Lists!$F$2:$F$5&lt;&gt;$F$9,ROW(Lists!$F$2:$F$5)-ROW(Lists!$F$2)+1),3))&amp;" Status",""))</f>
        <v>Lancea et Sanctum Status</v>
      </c>
      <c r="F129" s="19" t="str" cm="1">
        <f t="array" ref="F129">IF(F9="","",IFERROR(VLOOKUP(INDEX(Lists!$F$2:$F$5,SMALL(IF(Lists!$F$2:$F$5&lt;&gt;$F$9,ROW(Lists!$F$2:$F$5)-ROW(Lists!$F$2)+1),3)),tblCovenantShortName[],2,FALSE),""))</f>
        <v>Lance</v>
      </c>
      <c r="G129" s="19"/>
      <c r="H129" s="19"/>
      <c r="I129" s="19"/>
      <c r="L129" s="4"/>
      <c r="P129" s="60">
        <f>L129</f>
        <v>0</v>
      </c>
      <c r="R129" s="61">
        <f>MAX(0,MIN(P126-1,5-L126-L127-L128))</f>
        <v>2</v>
      </c>
      <c r="Y129" s="15" t="s">
        <v>1482</v>
      </c>
      <c r="Z129" s="19"/>
      <c r="AA129" s="61" t="str">
        <f t="shared" si="22"/>
        <v/>
      </c>
    </row>
    <row r="130" spans="1:32">
      <c r="A130" s="1" t="s">
        <v>129</v>
      </c>
      <c r="B130" t="str">
        <f t="shared" si="21"/>
        <v>¬</v>
      </c>
      <c r="Y130" s="15" t="s">
        <v>1483</v>
      </c>
      <c r="Z130" s="19"/>
      <c r="AA130" s="61" t="str">
        <f t="shared" si="22"/>
        <v/>
      </c>
    </row>
    <row r="131" spans="1:32">
      <c r="A131" s="1" t="s">
        <v>130</v>
      </c>
      <c r="B131" t="str">
        <f t="shared" si="21"/>
        <v>¬</v>
      </c>
      <c r="D131" s="16" t="s">
        <v>1475</v>
      </c>
      <c r="E131" s="17"/>
      <c r="F131" s="16" t="s">
        <v>1446</v>
      </c>
      <c r="G131" s="17"/>
      <c r="H131" s="17"/>
      <c r="I131" s="17"/>
      <c r="Y131" s="15" t="s">
        <v>1484</v>
      </c>
      <c r="Z131" s="19"/>
      <c r="AA131" s="61" t="str">
        <f t="shared" si="22"/>
        <v/>
      </c>
    </row>
    <row r="132" spans="1:32">
      <c r="A132" s="1" t="s">
        <v>131</v>
      </c>
      <c r="B132" t="str">
        <f t="shared" si="21"/>
        <v>¬</v>
      </c>
      <c r="D132" s="19"/>
      <c r="E132" s="15" t="s">
        <v>94</v>
      </c>
      <c r="F132" s="3" t="str">
        <f>IFERROR(VLOOKUP(E132,tblManoeuvre[#Data],2,FALSE)&amp;" "&amp;VLOOKUP(E132,tblManoeuvre[#Data],3,FALSE),"")</f>
        <v/>
      </c>
      <c r="G132" s="19"/>
      <c r="H132" s="19"/>
      <c r="I132" s="19"/>
      <c r="L132" s="4">
        <v>1</v>
      </c>
      <c r="M132" s="4"/>
      <c r="N132" s="4"/>
      <c r="O132" s="61">
        <f>N132</f>
        <v>0</v>
      </c>
      <c r="P132" s="60">
        <f>MIN(SUM(L132,M132,O132),R132)</f>
        <v>1</v>
      </c>
      <c r="Q132" s="61">
        <f>_xlfn.IFNA(VLOOKUP($E132,tblDomain[],3,FALSE),"")</f>
        <v>1</v>
      </c>
      <c r="R132" s="61">
        <f>_xlfn.IFNA(VLOOKUP($E132,tblDomain[],4,FALSE),"")</f>
        <v>5</v>
      </c>
      <c r="Y132" s="15" t="s">
        <v>1485</v>
      </c>
      <c r="Z132" s="19"/>
      <c r="AA132" s="61" t="str">
        <f t="shared" si="22"/>
        <v/>
      </c>
    </row>
    <row r="133" spans="1:32">
      <c r="A133" s="1" t="s">
        <v>132</v>
      </c>
      <c r="B133" t="str">
        <f t="shared" si="21"/>
        <v>¬</v>
      </c>
      <c r="D133" s="19"/>
      <c r="E133" s="15" t="s">
        <v>95</v>
      </c>
      <c r="F133" s="3" t="str">
        <f>IFERROR(VLOOKUP(E133,tblManoeuvre[#Data],2,FALSE)&amp;" "&amp;VLOOKUP(E133,tblManoeuvre[#Data],3,FALSE),"")</f>
        <v/>
      </c>
      <c r="G133" s="19"/>
      <c r="H133" s="19"/>
      <c r="I133" s="19"/>
      <c r="L133" s="4">
        <v>1</v>
      </c>
      <c r="M133" s="4"/>
      <c r="N133" s="4"/>
      <c r="O133" s="61">
        <f>N133</f>
        <v>0</v>
      </c>
      <c r="P133" s="60">
        <f>MIN(SUM(L133,M133,O133),R133)</f>
        <v>1</v>
      </c>
      <c r="Q133" s="61">
        <f>_xlfn.IFNA(VLOOKUP($E133,tblDomain[],3,FALSE),"")</f>
        <v>1</v>
      </c>
      <c r="R133" s="61">
        <f>_xlfn.IFNA(VLOOKUP($E133,tblDomain[],4,FALSE),"")</f>
        <v>5</v>
      </c>
    </row>
    <row r="134" spans="1:32">
      <c r="A134" s="1" t="s">
        <v>133</v>
      </c>
      <c r="B134" t="str">
        <f t="shared" si="21"/>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3">_xlfn.LET(_xlpm.name,VLOOKUP(Y134,$E$2:$F$362,2,FALSE),_xlpm.note,VLOOKUP(Y134,$E$2:$G$362,3,FALSE),_xlpm.row,MATCH(Y134,$E$138:$E$157,0),_xlpm.dots,INDEX($P$138:$P$157,_xlpm.row),_xlpm.max,INDEX($Q$138:$Q$157,_xlpm.row),_xlpm.paid,_xlfn.IFNA(_xlpm.dots&gt;=_xlpm.max,FALSE),IF(AND(_xlpm.name&lt;&gt;"",_xlpm.paid),IF(_xlpm.note="",_xlpm.name,_xlpm.name&amp;" ("&amp;_xlpm.note&amp;")"),""))</f>
        <v>Allies (Media)</v>
      </c>
      <c r="AC134" s="60" t="str" cm="1">
        <f t="array" ref="AC134:AC138">_xlfn.LET(_xlpm.raw,IFERROR(_xlfn.VSTACK(IFERROR(_xlfn._xlws.SORT(_xlfn._xlws.FILTER(AA134:AA211,AA134:AA211&lt;&gt;"")),""),IFERROR(_xlfn._xlws.SORT(_xlfn._xlws.FILTER(AA213:AA222,AA213:AA222&lt;&gt;"")),"")),""),_xlpm.sorted,IFERROR(_xlfn._xlws.FILTER(_xlpm.raw,_xlpm.raw&lt;&gt;""),""),IFERROR(LEFT(_xlpm.sorted,FIND(" (",_xlpm.sorted)-1),_xlpm.sorted))</f>
        <v>Allies</v>
      </c>
      <c r="AD134" s="20" t="str" cm="1">
        <f t="array" ref="AD134:AD138">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Legal</v>
      </c>
      <c r="AE134" s="20">
        <f t="shared" ref="AE134:AE153" si="24">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1</v>
      </c>
      <c r="AF134" s="61" cm="1">
        <f t="array" ref="AF134">IF(AC134="","",SUMPRODUCT(($F$138:$F$157=AC134)*($G$138:$G$157=IF(AD134="","",AD134))*$P$138:$P$157))</f>
        <v>3</v>
      </c>
    </row>
    <row r="135" spans="1:32">
      <c r="A135" s="1" t="s">
        <v>134</v>
      </c>
      <c r="B135" t="str">
        <f t="shared" si="21"/>
        <v>¬</v>
      </c>
      <c r="D135" s="58" t="s">
        <v>1575</v>
      </c>
      <c r="E135" s="15" t="s">
        <v>97</v>
      </c>
      <c r="F135" s="19"/>
      <c r="G135" s="19"/>
      <c r="H135" s="19"/>
      <c r="I135" s="19"/>
      <c r="L135" s="4"/>
      <c r="M135" s="4">
        <v>5</v>
      </c>
      <c r="N135" s="4"/>
      <c r="O135" s="61">
        <f>N135</f>
        <v>0</v>
      </c>
      <c r="P135" s="60">
        <f>MIN(SUM(L135,M135,O135),R135)</f>
        <v>5</v>
      </c>
      <c r="Q135" s="61">
        <f>_xlfn.IFNA(VLOOKUP($E135,tblDomain[],3,FALSE),"")</f>
        <v>1</v>
      </c>
      <c r="R135" s="61">
        <f>_xlfn.IFNA(VLOOKUP($E135,tblDomain[],4,FALSE),"")</f>
        <v>5</v>
      </c>
      <c r="Y135" s="15" t="s">
        <v>177</v>
      </c>
      <c r="Z135" s="19"/>
      <c r="AA135" s="61" t="str">
        <f t="shared" si="23"/>
        <v>Allies (Underworld)</v>
      </c>
      <c r="AC135" s="60" t="str">
        <v>Allies</v>
      </c>
      <c r="AD135" s="20" t="str">
        <v>Media</v>
      </c>
      <c r="AE135" s="20">
        <f t="shared" si="24"/>
        <v>1</v>
      </c>
      <c r="AF135" s="61" cm="1">
        <f t="array" ref="AF135">IF(AC135="","",SUMPRODUCT(($F$138:$F$157=AC135)*($G$138:$G$157=IF(AD135="","",AD135))*$P$138:$P$157))</f>
        <v>3</v>
      </c>
    </row>
    <row r="136" spans="1:32">
      <c r="A136" s="1" t="s">
        <v>135</v>
      </c>
      <c r="B136" t="str">
        <f t="shared" si="21"/>
        <v>¬</v>
      </c>
      <c r="Y136" s="15" t="s">
        <v>178</v>
      </c>
      <c r="Z136" s="19"/>
      <c r="AA136" s="61" t="str">
        <f t="shared" si="23"/>
        <v>Allies (Occult)</v>
      </c>
      <c r="AC136" s="60" t="str">
        <v>Allies</v>
      </c>
      <c r="AD136" s="20" t="str">
        <v>Occult</v>
      </c>
      <c r="AE136" s="20">
        <f t="shared" si="24"/>
        <v>1</v>
      </c>
      <c r="AF136" s="61" cm="1">
        <f t="array" ref="AF136">IF(AC136="","",SUMPRODUCT(($F$138:$F$157=AC136)*($G$138:$G$157=IF(AD136="","",AD136))*$P$138:$P$157))</f>
        <v>3</v>
      </c>
    </row>
    <row r="137" spans="1:32">
      <c r="A137" s="1" t="s">
        <v>136</v>
      </c>
      <c r="B137" t="str">
        <f t="shared" si="21"/>
        <v>¬</v>
      </c>
      <c r="D137" s="16" t="s">
        <v>174</v>
      </c>
      <c r="E137" s="17"/>
      <c r="F137" s="17"/>
      <c r="G137" s="17"/>
      <c r="H137" s="17"/>
      <c r="I137" s="61">
        <f>SUM(AC135:AC156)+SUM(P125:P129)</f>
        <v>5</v>
      </c>
      <c r="Y137" s="15" t="s">
        <v>179</v>
      </c>
      <c r="Z137" s="19"/>
      <c r="AA137" s="61" t="str">
        <f t="shared" si="23"/>
        <v>Allies (Legal)</v>
      </c>
      <c r="AC137" s="60" t="str">
        <v>Allies</v>
      </c>
      <c r="AD137" s="20" t="str">
        <v>Underworld</v>
      </c>
      <c r="AE137" s="20">
        <f t="shared" si="24"/>
        <v>1</v>
      </c>
      <c r="AF137" s="61" cm="1">
        <f t="array" ref="AF137">IF(AC137="","",SUMPRODUCT(($F$138:$F$157=AC137)*($G$138:$G$157=IF(AD137="","",AD137))*$P$138:$P$157))</f>
        <v>3</v>
      </c>
    </row>
    <row r="138" spans="1:32">
      <c r="A138" s="1" t="s">
        <v>137</v>
      </c>
      <c r="B138" t="str">
        <f t="shared" si="21"/>
        <v>¬</v>
      </c>
      <c r="D138" s="58" t="s">
        <v>1577</v>
      </c>
      <c r="E138" s="15" t="s">
        <v>176</v>
      </c>
      <c r="F138" s="3" t="s">
        <v>412</v>
      </c>
      <c r="G138" s="3" t="s">
        <v>527</v>
      </c>
      <c r="H138" s="67" t="str">
        <f>IFERROR(IF(VLOOKUP(F138,tblManoeuvre[#Data],8,FALSE)=0,"None",VLOOKUP(F138,tblManoeuvre[#Data],8,FALSE)),"None")</f>
        <v>None</v>
      </c>
      <c r="I138" s="67"/>
      <c r="L138" s="4"/>
      <c r="M138" s="4">
        <v>3</v>
      </c>
      <c r="N138" s="4"/>
      <c r="O138" s="61">
        <f t="shared" ref="O138:O157" si="25">N138</f>
        <v>0</v>
      </c>
      <c r="P138" s="60">
        <f t="shared" ref="P138:P157" si="26">MIN(SUM(L138,M138,O138),R138)</f>
        <v>3</v>
      </c>
      <c r="Q138" s="61">
        <f>_xlfn.IFNA(VLOOKUP($F138,tblInfluence[],3,FALSE),"")</f>
        <v>1</v>
      </c>
      <c r="R138" s="61">
        <f>_xlfn.IFNA(VLOOKUP($F138,tblInfluence[],4,FALSE),"")</f>
        <v>5</v>
      </c>
      <c r="Y138" s="15" t="s">
        <v>180</v>
      </c>
      <c r="Z138" s="19"/>
      <c r="AA138" s="61" t="str">
        <f t="shared" si="23"/>
        <v>Resources</v>
      </c>
      <c r="AC138" s="60" t="str">
        <v>Resources</v>
      </c>
      <c r="AD138" s="20" t="str">
        <v/>
      </c>
      <c r="AE138" s="20">
        <f t="shared" si="24"/>
        <v>0</v>
      </c>
      <c r="AF138" s="61" cm="1">
        <f t="array" ref="AF138">IF(AC138="","",SUMPRODUCT(($F$138:$F$157=AC138)*($G$138:$G$157=IF(AD138="","",AD138))*$P$138:$P$157))</f>
        <v>1</v>
      </c>
    </row>
    <row r="139" spans="1:32">
      <c r="A139" s="1" t="s">
        <v>138</v>
      </c>
      <c r="B139" t="str">
        <f t="shared" si="21"/>
        <v>¬</v>
      </c>
      <c r="D139" s="58" t="s">
        <v>1579</v>
      </c>
      <c r="E139" s="15" t="s">
        <v>177</v>
      </c>
      <c r="F139" s="3" t="s">
        <v>412</v>
      </c>
      <c r="G139" s="3" t="s">
        <v>415</v>
      </c>
      <c r="H139" s="67" t="str">
        <f>IFERROR(IF(VLOOKUP(F139,tblManoeuvre[#Data],8,FALSE)=0,"None",VLOOKUP(F139,tblManoeuvre[#Data],8,FALSE)),"None")</f>
        <v>None</v>
      </c>
      <c r="I139" s="67"/>
      <c r="L139" s="4"/>
      <c r="M139" s="4">
        <v>3</v>
      </c>
      <c r="N139" s="4"/>
      <c r="O139" s="61">
        <f t="shared" si="25"/>
        <v>0</v>
      </c>
      <c r="P139" s="60">
        <f t="shared" si="26"/>
        <v>3</v>
      </c>
      <c r="Q139" s="61">
        <f>_xlfn.IFNA(VLOOKUP($F139,tblInfluence[],3,FALSE),"")</f>
        <v>1</v>
      </c>
      <c r="R139" s="61">
        <f>_xlfn.IFNA(VLOOKUP($F139,tblInfluence[],4,FALSE),"")</f>
        <v>5</v>
      </c>
      <c r="Y139" s="15" t="s">
        <v>181</v>
      </c>
      <c r="Z139" s="19"/>
      <c r="AA139" s="61" t="str">
        <f t="shared" si="23"/>
        <v/>
      </c>
      <c r="AC139" s="60"/>
      <c r="AD139" s="20"/>
      <c r="AE139" s="20" t="str">
        <f t="shared" si="24"/>
        <v/>
      </c>
      <c r="AF139" s="61" t="str" cm="1">
        <f t="array" ref="AF139">IF(AC139="","",SUMPRODUCT(($F$138:$F$157=AC139)*($G$138:$G$157=IF(AD139="","",AD139))*$P$138:$P$157))</f>
        <v/>
      </c>
    </row>
    <row r="140" spans="1:32">
      <c r="A140" s="1" t="s">
        <v>139</v>
      </c>
      <c r="B140" t="str">
        <f t="shared" si="21"/>
        <v>¬</v>
      </c>
      <c r="D140" s="58" t="s">
        <v>1619</v>
      </c>
      <c r="E140" s="15" t="s">
        <v>178</v>
      </c>
      <c r="F140" s="3" t="s">
        <v>412</v>
      </c>
      <c r="G140" s="3" t="s">
        <v>30</v>
      </c>
      <c r="H140" s="67" t="str">
        <f>IFERROR(IF(VLOOKUP(F140,tblManoeuvre[#Data],8,FALSE)=0,"None",VLOOKUP(F140,tblManoeuvre[#Data],8,FALSE)),"None")</f>
        <v>None</v>
      </c>
      <c r="I140" s="67"/>
      <c r="L140" s="4"/>
      <c r="M140" s="4">
        <v>3</v>
      </c>
      <c r="N140" s="4"/>
      <c r="O140" s="61">
        <f t="shared" si="25"/>
        <v>0</v>
      </c>
      <c r="P140" s="60">
        <f t="shared" si="26"/>
        <v>3</v>
      </c>
      <c r="Q140" s="61">
        <f>_xlfn.IFNA(VLOOKUP($F140,tblInfluence[],3,FALSE),"")</f>
        <v>1</v>
      </c>
      <c r="R140" s="61">
        <f>_xlfn.IFNA(VLOOKUP($F140,tblInfluence[],4,FALSE),"")</f>
        <v>5</v>
      </c>
      <c r="Y140" s="15" t="s">
        <v>182</v>
      </c>
      <c r="Z140" s="19"/>
      <c r="AA140" s="61" t="str">
        <f t="shared" si="23"/>
        <v/>
      </c>
      <c r="AC140" s="60"/>
      <c r="AD140" s="20"/>
      <c r="AE140" s="20" t="str">
        <f t="shared" si="24"/>
        <v/>
      </c>
      <c r="AF140" s="61" t="str" cm="1">
        <f t="array" ref="AF140">IF(AC140="","",SUMPRODUCT(($F$138:$F$157=AC140)*($G$138:$G$157=IF(AD140="","",AD140))*$P$138:$P$157))</f>
        <v/>
      </c>
    </row>
    <row r="141" spans="1:32">
      <c r="A141" s="1" t="s">
        <v>140</v>
      </c>
      <c r="B141" t="str">
        <f t="shared" si="21"/>
        <v>¬</v>
      </c>
      <c r="D141" s="58" t="s">
        <v>1579</v>
      </c>
      <c r="E141" s="15" t="s">
        <v>179</v>
      </c>
      <c r="F141" s="3" t="s">
        <v>412</v>
      </c>
      <c r="G141" s="3" t="s">
        <v>651</v>
      </c>
      <c r="H141" s="67" t="str">
        <f>IFERROR(IF(VLOOKUP(F141,tblManoeuvre[#Data],8,FALSE)=0,"None",VLOOKUP(F141,tblManoeuvre[#Data],8,FALSE)),"None")</f>
        <v>None</v>
      </c>
      <c r="I141" s="67"/>
      <c r="L141" s="4"/>
      <c r="M141" s="4">
        <v>3</v>
      </c>
      <c r="N141" s="4"/>
      <c r="O141" s="61">
        <f t="shared" si="25"/>
        <v>0</v>
      </c>
      <c r="P141" s="60">
        <f t="shared" si="26"/>
        <v>3</v>
      </c>
      <c r="Q141" s="61">
        <f>_xlfn.IFNA(VLOOKUP($F141,tblInfluence[],3,FALSE),"")</f>
        <v>1</v>
      </c>
      <c r="R141" s="61">
        <f>_xlfn.IFNA(VLOOKUP($F141,tblInfluence[],4,FALSE),"")</f>
        <v>5</v>
      </c>
      <c r="Y141" s="15" t="s">
        <v>183</v>
      </c>
      <c r="Z141" s="19"/>
      <c r="AA141" s="61" t="str">
        <f t="shared" si="23"/>
        <v/>
      </c>
      <c r="AC141" s="60"/>
      <c r="AD141" s="20"/>
      <c r="AE141" s="20" t="str">
        <f t="shared" si="24"/>
        <v/>
      </c>
      <c r="AF141" s="61" t="str" cm="1">
        <f t="array" ref="AF141">IF(AC141="","",SUMPRODUCT(($F$138:$F$157=AC141)*($G$138:$G$157=IF(AD141="","",AD141))*$P$138:$P$157))</f>
        <v/>
      </c>
    </row>
    <row r="142" spans="1:32">
      <c r="A142" s="1" t="s">
        <v>141</v>
      </c>
      <c r="B142" t="str">
        <f t="shared" si="21"/>
        <v>¬</v>
      </c>
      <c r="D142" s="58"/>
      <c r="E142" s="15" t="s">
        <v>180</v>
      </c>
      <c r="F142" s="3" t="s">
        <v>525</v>
      </c>
      <c r="G142" s="3"/>
      <c r="H142" s="67" t="str">
        <f>IFERROR(IF(VLOOKUP(F142,tblManoeuvre[#Data],8,FALSE)=0,"None",VLOOKUP(F142,tblManoeuvre[#Data],8,FALSE)),"None")</f>
        <v>None</v>
      </c>
      <c r="I142" s="67"/>
      <c r="L142" s="4"/>
      <c r="M142" s="4"/>
      <c r="N142" s="4">
        <v>1</v>
      </c>
      <c r="O142" s="61">
        <f t="shared" si="25"/>
        <v>1</v>
      </c>
      <c r="P142" s="60">
        <f t="shared" si="26"/>
        <v>1</v>
      </c>
      <c r="Q142" s="61">
        <f>_xlfn.IFNA(VLOOKUP($F142,tblInfluence[],3,FALSE),"")</f>
        <v>1</v>
      </c>
      <c r="R142" s="61">
        <f>_xlfn.IFNA(VLOOKUP($F142,tblInfluence[],4,FALSE),"")</f>
        <v>5</v>
      </c>
      <c r="Y142" s="15" t="s">
        <v>184</v>
      </c>
      <c r="Z142" s="19"/>
      <c r="AA142" s="61" t="str">
        <f t="shared" si="23"/>
        <v/>
      </c>
      <c r="AC142" s="60"/>
      <c r="AD142" s="20"/>
      <c r="AE142" s="20" t="str">
        <f t="shared" si="24"/>
        <v/>
      </c>
      <c r="AF142" s="61" t="str" cm="1">
        <f t="array" ref="AF142">IF(AC142="","",SUMPRODUCT(($F$138:$F$157=AC142)*($G$138:$G$157=IF(AD142="","",AD142))*$P$138:$P$157))</f>
        <v/>
      </c>
    </row>
    <row r="143" spans="1:32">
      <c r="A143" s="1" t="s">
        <v>142</v>
      </c>
      <c r="B143" t="str">
        <f t="shared" si="21"/>
        <v>¬</v>
      </c>
      <c r="D143" s="19"/>
      <c r="E143" s="15" t="s">
        <v>181</v>
      </c>
      <c r="F143" s="3"/>
      <c r="G143" s="3" t="str">
        <f>IFERROR(VLOOKUP(F143,tblManoeuvre[#Data],2,FALSE)&amp;" "&amp;VLOOKUP(F143,tblManoeuvre[#Data],3,FALSE),"")</f>
        <v/>
      </c>
      <c r="H143" s="67" t="str">
        <f>IFERROR(IF(VLOOKUP(F143,tblManoeuvre[#Data],8,FALSE)=0,"None",VLOOKUP(F143,tblManoeuvre[#Data],8,FALSE)),"None")</f>
        <v>None</v>
      </c>
      <c r="I143" s="67"/>
      <c r="L143" s="4"/>
      <c r="M143" s="4"/>
      <c r="N143" s="4"/>
      <c r="O143" s="61">
        <f t="shared" si="25"/>
        <v>0</v>
      </c>
      <c r="P143" s="60">
        <f t="shared" si="26"/>
        <v>0</v>
      </c>
      <c r="Q143" s="61" t="str">
        <f>_xlfn.IFNA(VLOOKUP($F143,tblInfluence[],3,FALSE),"")</f>
        <v/>
      </c>
      <c r="R143" s="61" t="str">
        <f>_xlfn.IFNA(VLOOKUP($F143,tblInfluence[],4,FALSE),"")</f>
        <v/>
      </c>
      <c r="Y143" s="15" t="s">
        <v>185</v>
      </c>
      <c r="Z143" s="19"/>
      <c r="AA143" s="61" t="str">
        <f t="shared" si="23"/>
        <v/>
      </c>
      <c r="AC143" s="60"/>
      <c r="AD143" s="20"/>
      <c r="AE143" s="20" t="str">
        <f t="shared" si="24"/>
        <v/>
      </c>
      <c r="AF143" s="61" t="str" cm="1">
        <f t="array" ref="AF143">IF(AC143="","",SUMPRODUCT(($F$138:$F$157=AC143)*($G$138:$G$157=IF(AD143="","",AD143))*$P$138:$P$157))</f>
        <v/>
      </c>
    </row>
    <row r="144" spans="1:32">
      <c r="A144" s="1" t="s">
        <v>143</v>
      </c>
      <c r="B144" t="str">
        <f t="shared" si="21"/>
        <v>¬</v>
      </c>
      <c r="D144" s="19"/>
      <c r="E144" s="15" t="s">
        <v>182</v>
      </c>
      <c r="F144" s="3"/>
      <c r="G144" s="3" t="str">
        <f>IFERROR(VLOOKUP(F144,tblManoeuvre[#Data],2,FALSE)&amp;" "&amp;VLOOKUP(F144,tblManoeuvre[#Data],3,FALSE),"")</f>
        <v/>
      </c>
      <c r="H144" s="67" t="str">
        <f>IFERROR(IF(VLOOKUP(F144,tblManoeuvre[#Data],8,FALSE)=0,"None",VLOOKUP(F144,tblManoeuvre[#Data],8,FALSE)),"None")</f>
        <v>None</v>
      </c>
      <c r="I144" s="67"/>
      <c r="L144" s="4"/>
      <c r="M144" s="4"/>
      <c r="N144" s="4"/>
      <c r="O144" s="61">
        <f t="shared" si="25"/>
        <v>0</v>
      </c>
      <c r="P144" s="60">
        <f t="shared" si="26"/>
        <v>0</v>
      </c>
      <c r="Q144" s="61" t="str">
        <f>_xlfn.IFNA(VLOOKUP($F144,tblInfluence[],3,FALSE),"")</f>
        <v/>
      </c>
      <c r="R144" s="61" t="str">
        <f>_xlfn.IFNA(VLOOKUP($F144,tblInfluence[],4,FALSE),"")</f>
        <v/>
      </c>
      <c r="Y144" s="15" t="s">
        <v>186</v>
      </c>
      <c r="Z144" s="19"/>
      <c r="AA144" s="61" t="str">
        <f t="shared" si="23"/>
        <v/>
      </c>
      <c r="AC144" s="60"/>
      <c r="AD144" s="20"/>
      <c r="AE144" s="20" t="str">
        <f t="shared" si="24"/>
        <v/>
      </c>
      <c r="AF144" s="61" t="str" cm="1">
        <f t="array" ref="AF144">IF(AC144="","",SUMPRODUCT(($F$138:$F$157=AC144)*($G$138:$G$157=IF(AD144="","",AD144))*$P$138:$P$157))</f>
        <v/>
      </c>
    </row>
    <row r="145" spans="1:32">
      <c r="A145" s="1" t="s">
        <v>144</v>
      </c>
      <c r="B145" t="str">
        <f t="shared" ref="B145:B174" si="27">IF(AF2="","¬",AF2)</f>
        <v>Add dots to Doors and as bonus to contest Social assessments.</v>
      </c>
      <c r="D145" s="19"/>
      <c r="E145" s="15" t="s">
        <v>183</v>
      </c>
      <c r="F145" s="3"/>
      <c r="G145" s="3" t="str">
        <f>IFERROR(VLOOKUP(F145,tblManoeuvre[#Data],2,FALSE)&amp;" "&amp;VLOOKUP(F145,tblManoeuvre[#Data],3,FALSE),"")</f>
        <v/>
      </c>
      <c r="H145" s="67" t="str">
        <f>IFERROR(IF(VLOOKUP(F145,tblManoeuvre[#Data],8,FALSE)=0,"None",VLOOKUP(F145,tblManoeuvre[#Data],8,FALSE)),"None")</f>
        <v>None</v>
      </c>
      <c r="I145" s="67"/>
      <c r="L145" s="4"/>
      <c r="M145" s="4"/>
      <c r="N145" s="4"/>
      <c r="O145" s="61">
        <f t="shared" si="25"/>
        <v>0</v>
      </c>
      <c r="P145" s="60">
        <f t="shared" si="26"/>
        <v>0</v>
      </c>
      <c r="Q145" s="61" t="str">
        <f>_xlfn.IFNA(VLOOKUP($F145,tblInfluence[],3,FALSE),"")</f>
        <v/>
      </c>
      <c r="R145" s="61" t="str">
        <f>_xlfn.IFNA(VLOOKUP($F145,tblInfluence[],4,FALSE),"")</f>
        <v/>
      </c>
      <c r="Y145" s="15" t="s">
        <v>187</v>
      </c>
      <c r="Z145" s="19"/>
      <c r="AA145" s="61" t="str">
        <f t="shared" si="23"/>
        <v/>
      </c>
      <c r="AC145" s="60"/>
      <c r="AD145" s="20"/>
      <c r="AE145" s="20" t="str">
        <f t="shared" si="24"/>
        <v/>
      </c>
      <c r="AF145" s="61" t="str" cm="1">
        <f t="array" ref="AF145">IF(AC145="","",SUMPRODUCT(($F$138:$F$157=AC145)*($G$138:$G$157=IF(AD145="","",AD145))*$P$138:$P$157))</f>
        <v/>
      </c>
    </row>
    <row r="146" spans="1:32">
      <c r="A146" s="1" t="s">
        <v>145</v>
      </c>
      <c r="B146" t="str">
        <f t="shared" si="27"/>
        <v>Roll Presence + Expression to confer the Inspired Condition.</v>
      </c>
      <c r="D146" s="19"/>
      <c r="E146" s="15" t="s">
        <v>184</v>
      </c>
      <c r="F146" s="3"/>
      <c r="G146" s="3" t="str">
        <f>IFERROR(VLOOKUP(F146,tblManoeuvre[#Data],2,FALSE)&amp;" "&amp;VLOOKUP(F146,tblManoeuvre[#Data],3,FALSE),"")</f>
        <v/>
      </c>
      <c r="H146" s="67" t="str">
        <f>IFERROR(IF(VLOOKUP(F146,tblManoeuvre[#Data],8,FALSE)=0,"None",VLOOKUP(F146,tblManoeuvre[#Data],8,FALSE)),"None")</f>
        <v>None</v>
      </c>
      <c r="I146" s="67"/>
      <c r="L146" s="4"/>
      <c r="M146" s="4"/>
      <c r="N146" s="4"/>
      <c r="O146" s="61">
        <f t="shared" si="25"/>
        <v>0</v>
      </c>
      <c r="P146" s="60">
        <f t="shared" si="26"/>
        <v>0</v>
      </c>
      <c r="Q146" s="61" t="str">
        <f>_xlfn.IFNA(VLOOKUP($F146,tblInfluence[],3,FALSE),"")</f>
        <v/>
      </c>
      <c r="R146" s="61" t="str">
        <f>_xlfn.IFNA(VLOOKUP($F146,tblInfluence[],4,FALSE),"")</f>
        <v/>
      </c>
      <c r="Y146" s="15" t="s">
        <v>188</v>
      </c>
      <c r="Z146" s="19"/>
      <c r="AA146" s="61" t="str">
        <f t="shared" si="23"/>
        <v/>
      </c>
      <c r="AC146" s="60"/>
      <c r="AD146" s="20"/>
      <c r="AE146" s="20" t="str">
        <f t="shared" si="24"/>
        <v/>
      </c>
      <c r="AF146" s="61" t="str" cm="1">
        <f t="array" ref="AF146">IF(AC146="","",SUMPRODUCT(($F$138:$F$157=AC146)*($G$138:$G$157=IF(AD146="","",AD146))*$P$138:$P$157))</f>
        <v/>
      </c>
    </row>
    <row r="147" spans="1:32">
      <c r="A147" s="1" t="s">
        <v>146</v>
      </c>
      <c r="B147" t="str">
        <f t="shared" si="27"/>
        <v>Dots in Status or Mystery Cult Initiation representing human secret societies also count as dots of Herd.</v>
      </c>
      <c r="D147" s="19"/>
      <c r="E147" s="15" t="s">
        <v>185</v>
      </c>
      <c r="F147" s="3"/>
      <c r="G147" s="3" t="str">
        <f>IFERROR(VLOOKUP(F147,tblManoeuvre[#Data],2,FALSE)&amp;" "&amp;VLOOKUP(F147,tblManoeuvre[#Data],3,FALSE),"")</f>
        <v/>
      </c>
      <c r="H147" s="67" t="str">
        <f>IFERROR(IF(VLOOKUP(F147,tblManoeuvre[#Data],8,FALSE)=0,"None",VLOOKUP(F147,tblManoeuvre[#Data],8,FALSE)),"None")</f>
        <v>None</v>
      </c>
      <c r="I147" s="67"/>
      <c r="L147" s="4"/>
      <c r="M147" s="4"/>
      <c r="N147" s="4"/>
      <c r="O147" s="61">
        <f t="shared" si="25"/>
        <v>0</v>
      </c>
      <c r="P147" s="60">
        <f t="shared" si="26"/>
        <v>0</v>
      </c>
      <c r="Q147" s="61" t="str">
        <f>_xlfn.IFNA(VLOOKUP($F147,tblInfluence[],3,FALSE),"")</f>
        <v/>
      </c>
      <c r="R147" s="61" t="str">
        <f>_xlfn.IFNA(VLOOKUP($F147,tblInfluence[],4,FALSE),"")</f>
        <v/>
      </c>
      <c r="Y147" s="15" t="s">
        <v>189</v>
      </c>
      <c r="Z147" s="19"/>
      <c r="AA147" s="61" t="str">
        <f t="shared" si="23"/>
        <v/>
      </c>
      <c r="AC147" s="60"/>
      <c r="AD147" s="20"/>
      <c r="AE147" s="20" t="str">
        <f t="shared" si="24"/>
        <v/>
      </c>
      <c r="AF147" s="61" t="str" cm="1">
        <f t="array" ref="AF147">IF(AC147="","",SUMPRODUCT(($F$138:$F$157=AC147)*($G$138:$G$157=IF(AD147="","",AD147))*$P$138:$P$157))</f>
        <v/>
      </c>
    </row>
    <row r="148" spans="1:32">
      <c r="A148" s="1" t="s">
        <v>147</v>
      </c>
      <c r="B148" t="str">
        <f t="shared" si="27"/>
        <v>Presence + Expression vs Wits + Composure to inflict contagious awe. Allies and Herd double their yield.</v>
      </c>
      <c r="D148" s="19"/>
      <c r="E148" s="15" t="s">
        <v>186</v>
      </c>
      <c r="F148" s="3"/>
      <c r="G148" s="3" t="str">
        <f>IFERROR(VLOOKUP(F148,tblManoeuvre[#Data],2,FALSE)&amp;" "&amp;VLOOKUP(F148,tblManoeuvre[#Data],3,FALSE),"")</f>
        <v/>
      </c>
      <c r="H148" s="67" t="str">
        <f>IFERROR(IF(VLOOKUP(F148,tblManoeuvre[#Data],8,FALSE)=0,"None",VLOOKUP(F148,tblManoeuvre[#Data],8,FALSE)),"None")</f>
        <v>None</v>
      </c>
      <c r="I148" s="67"/>
      <c r="L148" s="4"/>
      <c r="M148" s="4"/>
      <c r="N148" s="4"/>
      <c r="O148" s="61">
        <f t="shared" si="25"/>
        <v>0</v>
      </c>
      <c r="P148" s="60">
        <f t="shared" si="26"/>
        <v>0</v>
      </c>
      <c r="Q148" s="61" t="str">
        <f>_xlfn.IFNA(VLOOKUP($F148,tblInfluence[],3,FALSE),"")</f>
        <v/>
      </c>
      <c r="R148" s="61" t="str">
        <f>_xlfn.IFNA(VLOOKUP($F148,tblInfluence[],4,FALSE),"")</f>
        <v/>
      </c>
      <c r="Y148" s="15" t="s">
        <v>190</v>
      </c>
      <c r="Z148" s="19"/>
      <c r="AA148" s="61" t="str">
        <f t="shared" si="23"/>
        <v/>
      </c>
      <c r="AC148" s="60"/>
      <c r="AD148" s="20"/>
      <c r="AE148" s="20" t="str">
        <f t="shared" si="24"/>
        <v/>
      </c>
      <c r="AF148" s="61" t="str" cm="1">
        <f t="array" ref="AF148">IF(AC148="","",SUMPRODUCT(($F$138:$F$157=AC148)*($G$138:$G$157=IF(AD148="","",AD148))*$P$138:$P$157))</f>
        <v/>
      </c>
    </row>
    <row r="149" spans="1:32">
      <c r="A149" s="1" t="s">
        <v>148</v>
      </c>
      <c r="B149" t="str">
        <f t="shared" si="27"/>
        <v>¬</v>
      </c>
      <c r="D149" s="19"/>
      <c r="E149" s="15" t="s">
        <v>187</v>
      </c>
      <c r="F149" s="3"/>
      <c r="G149" s="3" t="str">
        <f>IFERROR(VLOOKUP(F149,tblManoeuvre[#Data],2,FALSE)&amp;" "&amp;VLOOKUP(F149,tblManoeuvre[#Data],3,FALSE),"")</f>
        <v/>
      </c>
      <c r="H149" s="67" t="str">
        <f>IFERROR(IF(VLOOKUP(F149,tblManoeuvre[#Data],8,FALSE)=0,"None",VLOOKUP(F149,tblManoeuvre[#Data],8,FALSE)),"None")</f>
        <v>None</v>
      </c>
      <c r="I149" s="67"/>
      <c r="L149" s="4"/>
      <c r="M149" s="4"/>
      <c r="N149" s="4"/>
      <c r="O149" s="61">
        <f t="shared" si="25"/>
        <v>0</v>
      </c>
      <c r="P149" s="60">
        <f t="shared" si="26"/>
        <v>0</v>
      </c>
      <c r="Q149" s="61" t="str">
        <f>_xlfn.IFNA(VLOOKUP($F149,tblInfluence[],3,FALSE),"")</f>
        <v/>
      </c>
      <c r="R149" s="61" t="str">
        <f>_xlfn.IFNA(VLOOKUP($F149,tblInfluence[],4,FALSE),"")</f>
        <v/>
      </c>
      <c r="Y149" s="15" t="s">
        <v>191</v>
      </c>
      <c r="Z149" s="19"/>
      <c r="AA149" s="61" t="str">
        <f t="shared" si="23"/>
        <v/>
      </c>
      <c r="AC149" s="60"/>
      <c r="AD149" s="20"/>
      <c r="AE149" s="20" t="str">
        <f t="shared" si="24"/>
        <v/>
      </c>
      <c r="AF149" s="61" t="str" cm="1">
        <f t="array" ref="AF149">IF(AC149="","",SUMPRODUCT(($F$138:$F$157=AC149)*($G$138:$G$157=IF(AD149="","",AD149))*$P$138:$P$157))</f>
        <v/>
      </c>
    </row>
    <row r="150" spans="1:32">
      <c r="A150" s="1" t="s">
        <v>149</v>
      </c>
      <c r="B150" t="str">
        <f t="shared" si="27"/>
        <v>¬</v>
      </c>
      <c r="D150" s="19"/>
      <c r="E150" s="15" t="s">
        <v>188</v>
      </c>
      <c r="F150" s="3"/>
      <c r="G150" s="3" t="str">
        <f>IFERROR(VLOOKUP(F150,tblManoeuvre[#Data],2,FALSE)&amp;" "&amp;VLOOKUP(F150,tblManoeuvre[#Data],3,FALSE),"")</f>
        <v/>
      </c>
      <c r="H150" s="67" t="str">
        <f>IFERROR(IF(VLOOKUP(F150,tblManoeuvre[#Data],8,FALSE)=0,"None",VLOOKUP(F150,tblManoeuvre[#Data],8,FALSE)),"None")</f>
        <v>None</v>
      </c>
      <c r="I150" s="67"/>
      <c r="L150" s="4"/>
      <c r="M150" s="4"/>
      <c r="N150" s="4"/>
      <c r="O150" s="61">
        <f t="shared" si="25"/>
        <v>0</v>
      </c>
      <c r="P150" s="60">
        <f t="shared" si="26"/>
        <v>0</v>
      </c>
      <c r="Q150" s="61" t="str">
        <f>_xlfn.IFNA(VLOOKUP($F150,tblInfluence[],3,FALSE),"")</f>
        <v/>
      </c>
      <c r="R150" s="61" t="str">
        <f>_xlfn.IFNA(VLOOKUP($F150,tblInfluence[],4,FALSE),"")</f>
        <v/>
      </c>
      <c r="Y150" s="15" t="s">
        <v>192</v>
      </c>
      <c r="Z150" s="19"/>
      <c r="AA150" s="61" t="str">
        <f t="shared" si="23"/>
        <v/>
      </c>
      <c r="AC150" s="60"/>
      <c r="AD150" s="20"/>
      <c r="AE150" s="20" t="str">
        <f t="shared" si="24"/>
        <v/>
      </c>
      <c r="AF150" s="61" t="str" cm="1">
        <f t="array" ref="AF150">IF(AC150="","",SUMPRODUCT(($F$138:$F$157=AC150)*($G$138:$G$157=IF(AD150="","",AD150))*$P$138:$P$157))</f>
        <v/>
      </c>
    </row>
    <row r="151" spans="1:32">
      <c r="A151" s="1" t="s">
        <v>150</v>
      </c>
      <c r="B151" t="str">
        <f t="shared" si="27"/>
        <v>¬</v>
      </c>
      <c r="D151" s="19"/>
      <c r="E151" s="15" t="s">
        <v>189</v>
      </c>
      <c r="F151" s="3"/>
      <c r="G151" s="3" t="str">
        <f>IFERROR(VLOOKUP(F151,tblManoeuvre[#Data],2,FALSE)&amp;" "&amp;VLOOKUP(F151,tblManoeuvre[#Data],3,FALSE),"")</f>
        <v/>
      </c>
      <c r="H151" s="67" t="str">
        <f>IFERROR(IF(VLOOKUP(F151,tblManoeuvre[#Data],8,FALSE)=0,"None",VLOOKUP(F151,tblManoeuvre[#Data],8,FALSE)),"None")</f>
        <v>None</v>
      </c>
      <c r="I151" s="67"/>
      <c r="L151" s="4"/>
      <c r="M151" s="4"/>
      <c r="N151" s="4"/>
      <c r="O151" s="61">
        <f t="shared" si="25"/>
        <v>0</v>
      </c>
      <c r="P151" s="60">
        <f t="shared" si="26"/>
        <v>0</v>
      </c>
      <c r="Q151" s="61" t="str">
        <f>_xlfn.IFNA(VLOOKUP($F151,tblInfluence[],3,FALSE),"")</f>
        <v/>
      </c>
      <c r="R151" s="61" t="str">
        <f>_xlfn.IFNA(VLOOKUP($F151,tblInfluence[],4,FALSE),"")</f>
        <v/>
      </c>
      <c r="Y151" s="15" t="s">
        <v>193</v>
      </c>
      <c r="Z151" s="19"/>
      <c r="AA151" s="61" t="str">
        <f t="shared" si="23"/>
        <v/>
      </c>
      <c r="AC151" s="60"/>
      <c r="AD151" s="20"/>
      <c r="AE151" s="20" t="str">
        <f t="shared" si="24"/>
        <v/>
      </c>
      <c r="AF151" s="61" t="str" cm="1">
        <f t="array" ref="AF151">IF(AC151="","",SUMPRODUCT(($F$138:$F$157=AC151)*($G$138:$G$157=IF(AD151="","",AD151))*$P$138:$P$157))</f>
        <v/>
      </c>
    </row>
    <row r="152" spans="1:32">
      <c r="A152" s="1" t="s">
        <v>151</v>
      </c>
      <c r="B152" t="str">
        <f t="shared" si="27"/>
        <v>¬</v>
      </c>
      <c r="D152" s="19"/>
      <c r="E152" s="15" t="s">
        <v>190</v>
      </c>
      <c r="F152" s="3"/>
      <c r="G152" s="3" t="str">
        <f>IFERROR(VLOOKUP(F152,tblManoeuvre[#Data],2,FALSE)&amp;" "&amp;VLOOKUP(F152,tblManoeuvre[#Data],3,FALSE),"")</f>
        <v/>
      </c>
      <c r="H152" s="67" t="str">
        <f>IFERROR(IF(VLOOKUP(F152,tblManoeuvre[#Data],8,FALSE)=0,"None",VLOOKUP(F152,tblManoeuvre[#Data],8,FALSE)),"None")</f>
        <v>None</v>
      </c>
      <c r="I152" s="67"/>
      <c r="L152" s="4"/>
      <c r="M152" s="4"/>
      <c r="N152" s="4"/>
      <c r="O152" s="61">
        <f t="shared" si="25"/>
        <v>0</v>
      </c>
      <c r="P152" s="60">
        <f t="shared" si="26"/>
        <v>0</v>
      </c>
      <c r="Q152" s="61" t="str">
        <f>_xlfn.IFNA(VLOOKUP($F152,tblInfluence[],3,FALSE),"")</f>
        <v/>
      </c>
      <c r="R152" s="61" t="str">
        <f>_xlfn.IFNA(VLOOKUP($F152,tblInfluence[],4,FALSE),"")</f>
        <v/>
      </c>
      <c r="Y152" s="15" t="s">
        <v>194</v>
      </c>
      <c r="Z152" s="19"/>
      <c r="AA152" s="61" t="str">
        <f t="shared" si="23"/>
        <v/>
      </c>
      <c r="AC152" s="60"/>
      <c r="AD152" s="20"/>
      <c r="AE152" s="20" t="str">
        <f t="shared" si="24"/>
        <v/>
      </c>
      <c r="AF152" s="61" t="str" cm="1">
        <f t="array" ref="AF152">IF(AC152="","",SUMPRODUCT(($F$138:$F$157=AC152)*($G$138:$G$157=IF(AD152="","",AD152))*$P$138:$P$157))</f>
        <v/>
      </c>
    </row>
    <row r="153" spans="1:32">
      <c r="A153" s="1" t="s">
        <v>152</v>
      </c>
      <c r="B153" t="str">
        <f t="shared" si="27"/>
        <v>¬</v>
      </c>
      <c r="D153" s="19"/>
      <c r="E153" s="15" t="s">
        <v>191</v>
      </c>
      <c r="F153" s="3"/>
      <c r="G153" s="3" t="str">
        <f>IFERROR(VLOOKUP(F153,tblManoeuvre[#Data],2,FALSE)&amp;" "&amp;VLOOKUP(F153,tblManoeuvre[#Data],3,FALSE),"")</f>
        <v/>
      </c>
      <c r="H153" s="67" t="str">
        <f>IFERROR(IF(VLOOKUP(F153,tblManoeuvre[#Data],8,FALSE)=0,"None",VLOOKUP(F153,tblManoeuvre[#Data],8,FALSE)),"None")</f>
        <v>None</v>
      </c>
      <c r="I153" s="67"/>
      <c r="L153" s="4"/>
      <c r="M153" s="4"/>
      <c r="N153" s="4"/>
      <c r="O153" s="61">
        <f t="shared" si="25"/>
        <v>0</v>
      </c>
      <c r="P153" s="60">
        <f t="shared" si="26"/>
        <v>0</v>
      </c>
      <c r="Q153" s="61" t="str">
        <f>_xlfn.IFNA(VLOOKUP($F153,tblInfluence[],3,FALSE),"")</f>
        <v/>
      </c>
      <c r="R153" s="61" t="str">
        <f>_xlfn.IFNA(VLOOKUP($F153,tblInfluence[],4,FALSE),"")</f>
        <v/>
      </c>
      <c r="Y153" s="15" t="s">
        <v>195</v>
      </c>
      <c r="Z153" s="19"/>
      <c r="AA153" s="61" t="str">
        <f t="shared" si="23"/>
        <v/>
      </c>
      <c r="AC153" s="60"/>
      <c r="AD153" s="20"/>
      <c r="AE153" s="20" t="str">
        <f t="shared" si="24"/>
        <v/>
      </c>
      <c r="AF153" s="61" t="str" cm="1">
        <f t="array" ref="AF153">IF(AC153="","",SUMPRODUCT(($F$138:$F$157=AC153)*($G$138:$G$157=IF(AD153="","",AD153))*$P$138:$P$157))</f>
        <v/>
      </c>
    </row>
    <row r="154" spans="1:32">
      <c r="A154" s="1" t="s">
        <v>153</v>
      </c>
      <c r="B154" t="str">
        <f t="shared" si="27"/>
        <v>¬</v>
      </c>
      <c r="D154" s="19"/>
      <c r="E154" s="15" t="s">
        <v>192</v>
      </c>
      <c r="F154" s="3"/>
      <c r="G154" s="3" t="str">
        <f>IFERROR(VLOOKUP(F154,tblManoeuvre[#Data],2,FALSE)&amp;" "&amp;VLOOKUP(F154,tblManoeuvre[#Data],3,FALSE),"")</f>
        <v/>
      </c>
      <c r="H154" s="67" t="str">
        <f>IFERROR(IF(VLOOKUP(F154,tblManoeuvre[#Data],8,FALSE)=0,"None",VLOOKUP(F154,tblManoeuvre[#Data],8,FALSE)),"None")</f>
        <v>None</v>
      </c>
      <c r="I154" s="67"/>
      <c r="L154" s="4"/>
      <c r="M154" s="4"/>
      <c r="N154" s="4"/>
      <c r="O154" s="61">
        <f t="shared" si="25"/>
        <v>0</v>
      </c>
      <c r="P154" s="60">
        <f t="shared" si="26"/>
        <v>0</v>
      </c>
      <c r="Q154" s="61" t="str">
        <f>_xlfn.IFNA(VLOOKUP($F154,tblInfluence[],3,FALSE),"")</f>
        <v/>
      </c>
      <c r="R154" s="61" t="str">
        <f>_xlfn.IFNA(VLOOKUP($F154,tblInfluence[],4,FALSE),"")</f>
        <v/>
      </c>
    </row>
    <row r="155" spans="1:32">
      <c r="A155" s="1" t="s">
        <v>154</v>
      </c>
      <c r="B155" t="str">
        <f t="shared" si="27"/>
        <v>¬</v>
      </c>
      <c r="D155" s="19"/>
      <c r="E155" s="15" t="s">
        <v>193</v>
      </c>
      <c r="F155" s="3"/>
      <c r="G155" s="3" t="str">
        <f>IFERROR(VLOOKUP(F155,tblManoeuvre[#Data],2,FALSE)&amp;" "&amp;VLOOKUP(F155,tblManoeuvre[#Data],3,FALSE),"")</f>
        <v/>
      </c>
      <c r="H155" s="67" t="str">
        <f>IFERROR(IF(VLOOKUP(F155,tblManoeuvre[#Data],8,FALSE)=0,"None",VLOOKUP(F155,tblManoeuvre[#Data],8,FALSE)),"None")</f>
        <v>None</v>
      </c>
      <c r="I155" s="67"/>
      <c r="L155" s="4"/>
      <c r="M155" s="4"/>
      <c r="N155" s="4"/>
      <c r="O155" s="61">
        <f t="shared" si="25"/>
        <v>0</v>
      </c>
      <c r="P155" s="60">
        <f t="shared" si="26"/>
        <v>0</v>
      </c>
      <c r="Q155" s="61" t="str">
        <f>_xlfn.IFNA(VLOOKUP($F155,tblInfluence[],3,FALSE),"")</f>
        <v/>
      </c>
      <c r="R155" s="61" t="str">
        <f>_xlfn.IFNA(VLOOKUP($F155,tblInfluence[],4,FALSE),"")</f>
        <v/>
      </c>
      <c r="AE155" s="61">
        <f>IF(P160=5,1,0)</f>
        <v>1</v>
      </c>
    </row>
    <row r="156" spans="1:32">
      <c r="A156" s="1" t="s">
        <v>155</v>
      </c>
      <c r="B156" t="str">
        <f t="shared" si="27"/>
        <v>¬</v>
      </c>
      <c r="D156" s="19"/>
      <c r="E156" s="15" t="s">
        <v>194</v>
      </c>
      <c r="F156" s="3"/>
      <c r="G156" s="3" t="str">
        <f>IFERROR(VLOOKUP(F156,tblManoeuvre[#Data],2,FALSE)&amp;" "&amp;VLOOKUP(F156,tblManoeuvre[#Data],3,FALSE),"")</f>
        <v/>
      </c>
      <c r="H156" s="67" t="str">
        <f>IFERROR(IF(VLOOKUP(F156,tblManoeuvre[#Data],8,FALSE)=0,"None",VLOOKUP(F156,tblManoeuvre[#Data],8,FALSE)),"None")</f>
        <v>None</v>
      </c>
      <c r="I156" s="67"/>
      <c r="L156" s="4"/>
      <c r="M156" s="4"/>
      <c r="N156" s="4"/>
      <c r="O156" s="61">
        <f t="shared" si="25"/>
        <v>0</v>
      </c>
      <c r="P156" s="60">
        <f t="shared" si="26"/>
        <v>0</v>
      </c>
      <c r="Q156" s="61" t="str">
        <f>_xlfn.IFNA(VLOOKUP($F156,tblInfluence[],3,FALSE),"")</f>
        <v/>
      </c>
      <c r="R156" s="61" t="str">
        <f>_xlfn.IFNA(VLOOKUP($F156,tblInfluence[],4,FALSE),"")</f>
        <v/>
      </c>
      <c r="AE156" s="61" t="b">
        <f>COUNTIF(AA2:AA21,"*Honey With Vinegar*")&gt;0</f>
        <v>0</v>
      </c>
    </row>
    <row r="157" spans="1:32">
      <c r="A157" s="1" t="s">
        <v>156</v>
      </c>
      <c r="B157" t="str">
        <f t="shared" si="27"/>
        <v>¬</v>
      </c>
      <c r="D157" s="19"/>
      <c r="E157" s="15" t="s">
        <v>195</v>
      </c>
      <c r="F157" s="3"/>
      <c r="G157" s="3" t="str">
        <f>IFERROR(VLOOKUP(F157,tblManoeuvre[#Data],2,FALSE)&amp;" "&amp;VLOOKUP(F157,tblManoeuvre[#Data],3,FALSE),"")</f>
        <v/>
      </c>
      <c r="H157" s="67" t="str">
        <f>IFERROR(IF(VLOOKUP(F157,tblManoeuvre[#Data],8,FALSE)=0,"None",VLOOKUP(F157,tblManoeuvre[#Data],8,FALSE)),"None")</f>
        <v>None</v>
      </c>
      <c r="I157" s="67"/>
      <c r="L157" s="4"/>
      <c r="M157" s="4"/>
      <c r="N157" s="4"/>
      <c r="O157" s="61">
        <f t="shared" si="25"/>
        <v>0</v>
      </c>
      <c r="P157" s="60">
        <f t="shared" si="26"/>
        <v>0</v>
      </c>
      <c r="Q157" s="61" t="str">
        <f>_xlfn.IFNA(VLOOKUP($F157,tblInfluence[],3,FALSE),"")</f>
        <v/>
      </c>
      <c r="R157" s="61" t="str">
        <f>_xlfn.IFNA(VLOOKUP($F157,tblInfluence[],4,FALSE),"")</f>
        <v/>
      </c>
    </row>
    <row r="158" spans="1:32">
      <c r="A158" s="1" t="s">
        <v>157</v>
      </c>
      <c r="B158" t="str">
        <f t="shared" si="27"/>
        <v>¬</v>
      </c>
    </row>
    <row r="159" spans="1:32">
      <c r="A159" s="1" t="s">
        <v>158</v>
      </c>
      <c r="B159" t="str">
        <f t="shared" si="27"/>
        <v>¬</v>
      </c>
      <c r="D159" s="16" t="s">
        <v>1486</v>
      </c>
      <c r="E159" s="17"/>
      <c r="F159" s="17" t="s">
        <v>1487</v>
      </c>
      <c r="G159" s="17"/>
      <c r="H159" s="17"/>
      <c r="I159" s="17"/>
    </row>
    <row r="160" spans="1:32">
      <c r="A160" s="1" t="s">
        <v>159</v>
      </c>
      <c r="B160" t="str">
        <f t="shared" si="27"/>
        <v>¬</v>
      </c>
      <c r="D160" s="19"/>
      <c r="E160" s="15" t="s">
        <v>98</v>
      </c>
      <c r="F160" s="7" t="s">
        <v>645</v>
      </c>
      <c r="G160" s="60"/>
      <c r="H160" s="60"/>
      <c r="I160" s="60"/>
      <c r="L160" s="4">
        <v>5</v>
      </c>
      <c r="M160" s="4"/>
      <c r="N160" s="4"/>
      <c r="O160" s="61">
        <f>N160</f>
        <v>0</v>
      </c>
      <c r="P160" s="60">
        <f>MIN(SUM(L160,M160,O160),R160)</f>
        <v>5</v>
      </c>
      <c r="Q160" s="61">
        <v>1</v>
      </c>
      <c r="R160" s="61">
        <v>5</v>
      </c>
    </row>
    <row r="161" spans="1:18">
      <c r="A161" s="1" t="s">
        <v>160</v>
      </c>
      <c r="B161" t="str">
        <f t="shared" si="27"/>
        <v>¬</v>
      </c>
      <c r="D161" s="19"/>
      <c r="E161" s="15" t="s">
        <v>100</v>
      </c>
      <c r="F161" s="7"/>
      <c r="G161" s="60"/>
      <c r="H161" s="60"/>
      <c r="I161" s="60"/>
      <c r="L161" s="4"/>
      <c r="M161" s="4"/>
      <c r="N161" s="4"/>
      <c r="O161" s="61">
        <f>N161</f>
        <v>0</v>
      </c>
      <c r="P161" s="60">
        <f>MIN(SUM(L161,M161,O161),R161)</f>
        <v>0</v>
      </c>
      <c r="Q161" s="61">
        <v>1</v>
      </c>
      <c r="R161" s="61">
        <v>5</v>
      </c>
    </row>
    <row r="162" spans="1:18">
      <c r="A162" s="1" t="s">
        <v>161</v>
      </c>
      <c r="B162" t="str">
        <f t="shared" si="27"/>
        <v>¬</v>
      </c>
    </row>
    <row r="163" spans="1:18" ht="15.75" thickBot="1">
      <c r="A163" s="1" t="s">
        <v>162</v>
      </c>
      <c r="B163" t="str">
        <f t="shared" si="27"/>
        <v>¬</v>
      </c>
      <c r="D163" s="14" t="s">
        <v>1488</v>
      </c>
      <c r="E163" s="14"/>
      <c r="F163" s="14"/>
      <c r="G163" s="14"/>
      <c r="H163" s="14"/>
      <c r="I163" s="14"/>
      <c r="N163" s="60">
        <f>SUM(N165:N174)+SUM(N177:N181)+SUM(N184:N185)+SUM(N187:N191)+SUM(N194:N203)</f>
        <v>15</v>
      </c>
    </row>
    <row r="164" spans="1:18">
      <c r="A164" s="1" t="s">
        <v>163</v>
      </c>
      <c r="B164" t="str">
        <f t="shared" si="27"/>
        <v>¬</v>
      </c>
      <c r="D164" s="16" t="s">
        <v>1489</v>
      </c>
      <c r="E164" s="15" t="s">
        <v>1490</v>
      </c>
      <c r="F164" s="61" t="str">
        <f>IFERROR(IF($F$8="",VLOOKUP($F$7,tblClans[#Data],5,FALSE),VLOOKUP($F$8,tblBloodlines[#Data],5,FALSE)),"")</f>
        <v>Animalism</v>
      </c>
      <c r="G164" s="61" t="str">
        <f>IFERROR(IF($F$8="",VLOOKUP($F$7,tblClans[#Data],6,FALSE),VLOOKUP($F$8,tblBloodlines[#Data],6,FALSE)),"")</f>
        <v>Dominate</v>
      </c>
      <c r="H164" s="61" t="str">
        <f>IFERROR(IF($F$8="",VLOOKUP($F$7,tblClans[#Data],7,FALSE),VLOOKUP($F$8,tblBloodlines[#Data],7,FALSE)),"")</f>
        <v>Nightmare</v>
      </c>
      <c r="I164" s="61" t="str">
        <f>IFERROR(IF($F$8="",VLOOKUP($F$7,tblClans[#Data],8,FALSE),VLOOKUP($F$8,tblBloodlines[#Data],8,FALSE)),"")</f>
        <v>Resilience</v>
      </c>
      <c r="L164" s="60">
        <f>3-SUM(L165:L174)-SUM(L184:L185)</f>
        <v>0</v>
      </c>
    </row>
    <row r="165" spans="1:18">
      <c r="A165" s="1" t="s">
        <v>164</v>
      </c>
      <c r="B165" t="str">
        <f t="shared" si="27"/>
        <v>¬</v>
      </c>
      <c r="D165" s="19"/>
      <c r="E165" s="15" t="s">
        <v>236</v>
      </c>
      <c r="F165" s="19"/>
      <c r="G165" s="19"/>
      <c r="H165" s="19"/>
      <c r="I165" s="19"/>
      <c r="L165" s="4"/>
      <c r="N165" s="4">
        <v>3</v>
      </c>
      <c r="O165" s="61">
        <f t="shared" ref="O165:O174" si="28">ROUNDDOWN(IF(COUNTIF($F$164:$I$164,$E165)&gt;0,N165/3,N165/4),0)</f>
        <v>1</v>
      </c>
      <c r="P165" s="60">
        <f>MIN(SUM(L165,O165),R165)</f>
        <v>1</v>
      </c>
      <c r="Q165" s="61">
        <v>0</v>
      </c>
      <c r="R165" s="61">
        <v>5</v>
      </c>
    </row>
    <row r="166" spans="1:18">
      <c r="A166" s="1" t="s">
        <v>165</v>
      </c>
      <c r="B166" t="str">
        <f t="shared" si="27"/>
        <v>¬</v>
      </c>
      <c r="D166" s="19"/>
      <c r="E166" s="15" t="s">
        <v>237</v>
      </c>
      <c r="F166" s="19"/>
      <c r="G166" s="19"/>
      <c r="H166" s="19"/>
      <c r="I166" s="19"/>
      <c r="L166" s="4"/>
      <c r="N166" s="4"/>
      <c r="O166" s="61">
        <f t="shared" si="28"/>
        <v>0</v>
      </c>
      <c r="P166" s="60">
        <f t="shared" ref="P166:P174" si="29">MIN(SUM(L166,O166),R166)</f>
        <v>0</v>
      </c>
      <c r="Q166" s="61">
        <v>0</v>
      </c>
      <c r="R166" s="61">
        <v>5</v>
      </c>
    </row>
    <row r="167" spans="1:18">
      <c r="A167" s="1" t="s">
        <v>166</v>
      </c>
      <c r="B167" t="str">
        <f t="shared" si="27"/>
        <v>¬</v>
      </c>
      <c r="D167" s="19"/>
      <c r="E167" s="15" t="s">
        <v>238</v>
      </c>
      <c r="F167" s="19"/>
      <c r="G167" s="19"/>
      <c r="H167" s="19"/>
      <c r="I167" s="19"/>
      <c r="L167" s="4"/>
      <c r="N167" s="4"/>
      <c r="O167" s="61">
        <f t="shared" si="28"/>
        <v>0</v>
      </c>
      <c r="P167" s="60">
        <f t="shared" si="29"/>
        <v>0</v>
      </c>
      <c r="Q167" s="61">
        <v>0</v>
      </c>
      <c r="R167" s="61">
        <v>5</v>
      </c>
    </row>
    <row r="168" spans="1:18">
      <c r="A168" s="1" t="s">
        <v>167</v>
      </c>
      <c r="B168" t="str">
        <f t="shared" si="27"/>
        <v>¬</v>
      </c>
      <c r="D168" s="19"/>
      <c r="E168" s="15" t="s">
        <v>239</v>
      </c>
      <c r="F168" s="19"/>
      <c r="G168" s="19"/>
      <c r="H168" s="19"/>
      <c r="I168" s="19"/>
      <c r="L168" s="4"/>
      <c r="N168" s="4">
        <v>6</v>
      </c>
      <c r="O168" s="61">
        <f t="shared" si="28"/>
        <v>2</v>
      </c>
      <c r="P168" s="60">
        <f t="shared" si="29"/>
        <v>2</v>
      </c>
      <c r="Q168" s="61">
        <v>0</v>
      </c>
      <c r="R168" s="61">
        <v>5</v>
      </c>
    </row>
    <row r="169" spans="1:18">
      <c r="A169" s="1" t="s">
        <v>168</v>
      </c>
      <c r="B169" t="str">
        <f t="shared" si="27"/>
        <v>¬</v>
      </c>
      <c r="D169" s="19"/>
      <c r="E169" s="15" t="s">
        <v>240</v>
      </c>
      <c r="F169" s="19"/>
      <c r="G169" s="19"/>
      <c r="H169" s="19"/>
      <c r="I169" s="19"/>
      <c r="L169" s="4"/>
      <c r="N169" s="4"/>
      <c r="O169" s="61">
        <f t="shared" si="28"/>
        <v>0</v>
      </c>
      <c r="P169" s="60">
        <f t="shared" si="29"/>
        <v>0</v>
      </c>
      <c r="Q169" s="61">
        <v>0</v>
      </c>
      <c r="R169" s="61">
        <v>5</v>
      </c>
    </row>
    <row r="170" spans="1:18">
      <c r="A170" s="1" t="s">
        <v>169</v>
      </c>
      <c r="B170" t="str">
        <f t="shared" si="27"/>
        <v>¬</v>
      </c>
      <c r="D170" s="19"/>
      <c r="E170" s="15" t="s">
        <v>241</v>
      </c>
      <c r="F170" s="19"/>
      <c r="G170" s="19"/>
      <c r="H170" s="19"/>
      <c r="I170" s="19"/>
      <c r="L170" s="4"/>
      <c r="N170" s="4"/>
      <c r="O170" s="61">
        <f t="shared" si="28"/>
        <v>0</v>
      </c>
      <c r="P170" s="60">
        <f t="shared" si="29"/>
        <v>0</v>
      </c>
      <c r="Q170" s="61">
        <v>0</v>
      </c>
      <c r="R170" s="61">
        <v>5</v>
      </c>
    </row>
    <row r="171" spans="1:18">
      <c r="A171" s="1" t="s">
        <v>170</v>
      </c>
      <c r="B171" t="str">
        <f t="shared" si="27"/>
        <v>¬</v>
      </c>
      <c r="D171" s="19"/>
      <c r="E171" s="15" t="s">
        <v>242</v>
      </c>
      <c r="F171" s="19"/>
      <c r="G171" s="19"/>
      <c r="H171" s="19"/>
      <c r="I171" s="19"/>
      <c r="L171" s="4"/>
      <c r="N171" s="4"/>
      <c r="O171" s="61">
        <f t="shared" si="28"/>
        <v>0</v>
      </c>
      <c r="P171" s="60">
        <f t="shared" si="29"/>
        <v>0</v>
      </c>
      <c r="Q171" s="61">
        <v>0</v>
      </c>
      <c r="R171" s="61">
        <v>5</v>
      </c>
    </row>
    <row r="172" spans="1:18">
      <c r="A172" s="1" t="s">
        <v>171</v>
      </c>
      <c r="B172" t="str">
        <f t="shared" si="27"/>
        <v>¬</v>
      </c>
      <c r="D172" s="19"/>
      <c r="E172" s="15" t="s">
        <v>243</v>
      </c>
      <c r="F172" s="19"/>
      <c r="G172" s="19"/>
      <c r="H172" s="19"/>
      <c r="I172" s="19"/>
      <c r="L172" s="4">
        <v>2</v>
      </c>
      <c r="N172" s="4"/>
      <c r="O172" s="61">
        <f t="shared" si="28"/>
        <v>0</v>
      </c>
      <c r="P172" s="60">
        <f t="shared" si="29"/>
        <v>2</v>
      </c>
      <c r="Q172" s="61">
        <v>0</v>
      </c>
      <c r="R172" s="61">
        <v>5</v>
      </c>
    </row>
    <row r="173" spans="1:18">
      <c r="A173" s="1" t="s">
        <v>172</v>
      </c>
      <c r="B173" t="str">
        <f t="shared" si="27"/>
        <v>¬</v>
      </c>
      <c r="D173" s="19"/>
      <c r="E173" s="15" t="s">
        <v>244</v>
      </c>
      <c r="F173" s="19"/>
      <c r="G173" s="19"/>
      <c r="H173" s="19"/>
      <c r="I173" s="19"/>
      <c r="L173" s="4"/>
      <c r="N173" s="4"/>
      <c r="O173" s="61">
        <f t="shared" si="28"/>
        <v>0</v>
      </c>
      <c r="P173" s="60">
        <f t="shared" si="29"/>
        <v>0</v>
      </c>
      <c r="Q173" s="61">
        <v>0</v>
      </c>
      <c r="R173" s="61">
        <v>5</v>
      </c>
    </row>
    <row r="174" spans="1:18">
      <c r="A174" s="1" t="s">
        <v>173</v>
      </c>
      <c r="B174" t="str">
        <f t="shared" si="27"/>
        <v>¬</v>
      </c>
      <c r="D174" s="19"/>
      <c r="E174" s="15" t="s">
        <v>245</v>
      </c>
      <c r="F174" s="19"/>
      <c r="G174" s="19"/>
      <c r="H174" s="19"/>
      <c r="I174" s="19"/>
      <c r="L174" s="4"/>
      <c r="N174" s="4"/>
      <c r="O174" s="61">
        <f t="shared" si="28"/>
        <v>0</v>
      </c>
      <c r="P174" s="60">
        <f t="shared" si="29"/>
        <v>0</v>
      </c>
      <c r="Q174" s="61">
        <v>0</v>
      </c>
      <c r="R174" s="61">
        <v>5</v>
      </c>
    </row>
    <row r="175" spans="1:18">
      <c r="A175" s="1" t="s">
        <v>174</v>
      </c>
      <c r="B175" t="str">
        <f>_xlfn.CONCAT(I137-H137," / ",I137)</f>
        <v>5 / 5</v>
      </c>
    </row>
    <row r="176" spans="1:18">
      <c r="A176" s="1" t="s">
        <v>175</v>
      </c>
      <c r="B176" t="str">
        <f>REPT("□",I137-H137) &amp; REPT("■",H137)</f>
        <v>□□□□□</v>
      </c>
      <c r="D176" s="16" t="s">
        <v>1491</v>
      </c>
      <c r="E176" s="16"/>
      <c r="F176" s="16"/>
      <c r="G176" s="16"/>
      <c r="H176" s="16"/>
      <c r="I176" s="16"/>
    </row>
    <row r="177" spans="1:18">
      <c r="A177" s="1" t="s">
        <v>176</v>
      </c>
      <c r="B177" t="str">
        <f t="shared" ref="B177:B196" si="30">IF(AC134="","¬",AC134)</f>
        <v>Allies</v>
      </c>
      <c r="D177" s="19"/>
      <c r="E177" s="15" t="s">
        <v>1492</v>
      </c>
      <c r="F177" s="3"/>
      <c r="G177" s="19"/>
      <c r="H177" s="72" t="str">
        <f>IFERROR(IF(VLOOKUP(F177,tblDisciplines[#Data],14,FALSE)=0,"None",VLOOKUP(F177,tblDisciplines[#Data],14,FALSE)),"None")</f>
        <v>None</v>
      </c>
      <c r="I177" s="73"/>
      <c r="N177" s="4">
        <v>2</v>
      </c>
      <c r="O177" s="61">
        <f>N177</f>
        <v>2</v>
      </c>
      <c r="P177" s="60" t="str">
        <f>IF(O177=R177,O177,"")</f>
        <v/>
      </c>
      <c r="R177" s="61" t="str">
        <f>_xlfn.IFNA(VLOOKUP(F177,tblDisciplines[],15,FALSE),"")</f>
        <v/>
      </c>
    </row>
    <row r="178" spans="1:18">
      <c r="A178" s="1" t="s">
        <v>177</v>
      </c>
      <c r="B178" t="str">
        <f t="shared" si="30"/>
        <v>Allies</v>
      </c>
      <c r="D178" s="19"/>
      <c r="E178" s="15" t="s">
        <v>1493</v>
      </c>
      <c r="F178" s="3"/>
      <c r="G178" s="19"/>
      <c r="H178" s="72" t="str">
        <f>IFERROR(IF(VLOOKUP(F178,tblDisciplines[#Data],14,FALSE)=0,"None",VLOOKUP(F178,tblDisciplines[#Data],14,FALSE)),"None")</f>
        <v>None</v>
      </c>
      <c r="I178" s="73"/>
      <c r="N178" s="4"/>
      <c r="O178" s="61">
        <f>N178</f>
        <v>0</v>
      </c>
      <c r="P178" s="60" t="str">
        <f>IF(O178=R178,O178,"")</f>
        <v/>
      </c>
      <c r="R178" s="61" t="str">
        <f>_xlfn.IFNA(VLOOKUP(F178,tblDisciplines[],15,FALSE),"")</f>
        <v/>
      </c>
    </row>
    <row r="179" spans="1:18">
      <c r="A179" s="1" t="s">
        <v>178</v>
      </c>
      <c r="B179" t="str">
        <f t="shared" si="30"/>
        <v>Allies</v>
      </c>
      <c r="D179" s="19"/>
      <c r="E179" s="15" t="s">
        <v>1494</v>
      </c>
      <c r="F179" s="3"/>
      <c r="G179" s="19"/>
      <c r="H179" s="72" t="str">
        <f>IFERROR(IF(VLOOKUP(F179,tblDisciplines[#Data],14,FALSE)=0,"None",VLOOKUP(F179,tblDisciplines[#Data],14,FALSE)),"None")</f>
        <v>None</v>
      </c>
      <c r="I179" s="73"/>
      <c r="N179" s="4"/>
      <c r="O179" s="61">
        <f>N179</f>
        <v>0</v>
      </c>
      <c r="P179" s="60" t="str">
        <f>IF(O179=R179,O179,"")</f>
        <v/>
      </c>
      <c r="R179" s="61" t="str">
        <f>_xlfn.IFNA(VLOOKUP(F179,tblDisciplines[],15,FALSE),"")</f>
        <v/>
      </c>
    </row>
    <row r="180" spans="1:18">
      <c r="A180" s="1" t="s">
        <v>179</v>
      </c>
      <c r="B180" t="str">
        <f t="shared" si="30"/>
        <v>Allies</v>
      </c>
      <c r="D180" s="19"/>
      <c r="E180" s="15" t="s">
        <v>1495</v>
      </c>
      <c r="F180" s="3"/>
      <c r="G180" s="19"/>
      <c r="H180" s="72" t="str">
        <f>IFERROR(IF(VLOOKUP(F180,tblDisciplines[#Data],14,FALSE)=0,"None",VLOOKUP(F180,tblDisciplines[#Data],14,FALSE)),"None")</f>
        <v>None</v>
      </c>
      <c r="I180" s="73"/>
      <c r="N180" s="4"/>
      <c r="O180" s="61">
        <f>N180</f>
        <v>0</v>
      </c>
      <c r="P180" s="60" t="str">
        <f>IF(O180=R180,O180,"")</f>
        <v/>
      </c>
      <c r="R180" s="61" t="str">
        <f>_xlfn.IFNA(VLOOKUP(F180,tblDisciplines[],15,FALSE),"")</f>
        <v/>
      </c>
    </row>
    <row r="181" spans="1:18">
      <c r="A181" s="1" t="s">
        <v>180</v>
      </c>
      <c r="B181" t="str">
        <f t="shared" si="30"/>
        <v>Resources</v>
      </c>
      <c r="D181" s="19"/>
      <c r="E181" s="15" t="s">
        <v>1496</v>
      </c>
      <c r="F181" s="3"/>
      <c r="G181" s="19"/>
      <c r="H181" s="72" t="str">
        <f>IFERROR(IF(VLOOKUP(F181,tblDisciplines[#Data],14,FALSE)=0,"None",VLOOKUP(F181,tblDisciplines[#Data],14,FALSE)),"None")</f>
        <v>None</v>
      </c>
      <c r="I181" s="73"/>
      <c r="N181" s="4"/>
      <c r="O181" s="61">
        <f>N181</f>
        <v>0</v>
      </c>
      <c r="P181" s="60" t="str">
        <f>IF(O181=R181,O181,"")</f>
        <v/>
      </c>
      <c r="R181" s="61" t="str">
        <f>_xlfn.IFNA(VLOOKUP(F181,tblDisciplines[],15,FALSE),"")</f>
        <v/>
      </c>
    </row>
    <row r="182" spans="1:18">
      <c r="A182" s="1" t="s">
        <v>181</v>
      </c>
      <c r="B182" t="str">
        <f t="shared" si="30"/>
        <v>¬</v>
      </c>
    </row>
    <row r="183" spans="1:18">
      <c r="A183" s="1" t="s">
        <v>182</v>
      </c>
      <c r="B183" t="str">
        <f t="shared" si="30"/>
        <v>¬</v>
      </c>
      <c r="D183" s="16" t="s">
        <v>1497</v>
      </c>
      <c r="E183" s="16"/>
      <c r="F183" s="16"/>
      <c r="G183" s="16"/>
      <c r="H183" s="16"/>
      <c r="I183" s="16"/>
    </row>
    <row r="184" spans="1:18">
      <c r="A184" s="1" t="s">
        <v>183</v>
      </c>
      <c r="B184" t="str">
        <f t="shared" si="30"/>
        <v>¬</v>
      </c>
      <c r="D184" s="19"/>
      <c r="E184" s="15" t="s">
        <v>246</v>
      </c>
      <c r="F184" s="19"/>
      <c r="G184" s="19"/>
      <c r="H184" s="19"/>
      <c r="I184" s="60" t="b">
        <f>IF(OR(F$9="Circle of the Crone",COUNTIF(F$78:F$92,"Chorister")&gt;0),TRUE,FALSE)</f>
        <v>1</v>
      </c>
      <c r="L184" s="4">
        <v>1</v>
      </c>
      <c r="N184" s="4">
        <v>4</v>
      </c>
      <c r="O184" s="61">
        <f>ROUNDDOWN(N184/4,0)</f>
        <v>1</v>
      </c>
      <c r="P184" s="60">
        <f>SUM(L184,O184)</f>
        <v>2</v>
      </c>
      <c r="Q184" s="61">
        <v>0</v>
      </c>
      <c r="R184" s="61">
        <v>5</v>
      </c>
    </row>
    <row r="185" spans="1:18">
      <c r="A185" s="1" t="s">
        <v>184</v>
      </c>
      <c r="B185" t="str">
        <f t="shared" si="30"/>
        <v>¬</v>
      </c>
      <c r="D185" s="19"/>
      <c r="E185" s="15" t="s">
        <v>247</v>
      </c>
      <c r="F185" s="19"/>
      <c r="G185" s="19"/>
      <c r="H185" s="19"/>
      <c r="I185" s="60" t="b">
        <f>IF(OR(F$9="Lancea et Sanctum",COUNTIF(F$78:F$92,"Laity")&gt;0),TRUE,FALSE)</f>
        <v>0</v>
      </c>
      <c r="L185" s="4"/>
      <c r="N185" s="4"/>
      <c r="O185" s="61">
        <f>ROUNDDOWN(N185/4,0)</f>
        <v>0</v>
      </c>
      <c r="P185" s="60">
        <f>SUM(L185,O185)</f>
        <v>0</v>
      </c>
      <c r="Q185" s="61">
        <v>0</v>
      </c>
      <c r="R185" s="61">
        <v>5</v>
      </c>
    </row>
    <row r="186" spans="1:18">
      <c r="A186" s="1" t="s">
        <v>185</v>
      </c>
      <c r="B186" t="str">
        <f t="shared" si="30"/>
        <v>¬</v>
      </c>
      <c r="D186" s="19"/>
      <c r="E186" s="19"/>
      <c r="F186" s="19"/>
      <c r="G186" s="19"/>
      <c r="H186" s="19"/>
      <c r="I186" s="19"/>
      <c r="L186" s="60">
        <f>SUM(P184:P185)-SUM(L187:L191)</f>
        <v>0</v>
      </c>
    </row>
    <row r="187" spans="1:18">
      <c r="A187" s="1" t="s">
        <v>186</v>
      </c>
      <c r="B187" t="str">
        <f t="shared" si="30"/>
        <v>¬</v>
      </c>
      <c r="D187" s="19"/>
      <c r="E187" s="15" t="s">
        <v>248</v>
      </c>
      <c r="F187" s="19"/>
      <c r="G187" s="19"/>
      <c r="H187" s="19"/>
      <c r="I187" s="19"/>
      <c r="L187" s="4">
        <v>1</v>
      </c>
      <c r="M187" s="61">
        <f>IF(AND(I184,L184&gt;=1),1,0)</f>
        <v>1</v>
      </c>
      <c r="N187" s="4"/>
      <c r="O187" s="61">
        <f>ROUNDDOWN(N187/2,0)</f>
        <v>0</v>
      </c>
      <c r="P187" s="60">
        <f>MIN(SUM(L187,M187,O187),R187)</f>
        <v>2</v>
      </c>
      <c r="Q187" s="61">
        <v>0</v>
      </c>
      <c r="R187" s="61">
        <f>MAX(P$184,P$185)</f>
        <v>2</v>
      </c>
    </row>
    <row r="188" spans="1:18">
      <c r="A188" s="1" t="s">
        <v>187</v>
      </c>
      <c r="B188" t="str">
        <f t="shared" si="30"/>
        <v>¬</v>
      </c>
      <c r="D188" s="19"/>
      <c r="E188" s="15" t="s">
        <v>249</v>
      </c>
      <c r="F188" s="19"/>
      <c r="G188" s="19"/>
      <c r="H188" s="19"/>
      <c r="I188" s="19"/>
      <c r="L188" s="4"/>
      <c r="M188" s="61"/>
      <c r="N188" s="4"/>
      <c r="O188" s="61">
        <f>ROUNDDOWN(N188/2,0)</f>
        <v>0</v>
      </c>
      <c r="P188" s="60">
        <f>MIN(SUM(L188,M188,O188),R188)</f>
        <v>0</v>
      </c>
      <c r="Q188" s="61">
        <v>0</v>
      </c>
      <c r="R188" s="61">
        <f>MAX(P$184,P$185)</f>
        <v>2</v>
      </c>
    </row>
    <row r="189" spans="1:18">
      <c r="A189" s="1" t="s">
        <v>188</v>
      </c>
      <c r="B189" t="str">
        <f t="shared" si="30"/>
        <v>¬</v>
      </c>
      <c r="D189" s="19"/>
      <c r="E189" s="15" t="s">
        <v>250</v>
      </c>
      <c r="F189" s="19"/>
      <c r="G189" s="19"/>
      <c r="H189" s="19"/>
      <c r="I189" s="19"/>
      <c r="L189" s="4"/>
      <c r="M189" s="61">
        <f>IF(AND(I185,L185&gt;=1),1,0)</f>
        <v>0</v>
      </c>
      <c r="N189" s="4"/>
      <c r="O189" s="61">
        <f>ROUNDDOWN(N189/2,0)</f>
        <v>0</v>
      </c>
      <c r="P189" s="60">
        <f>MIN(SUM(L189,M189,O189),R189)</f>
        <v>0</v>
      </c>
      <c r="Q189" s="61">
        <v>0</v>
      </c>
      <c r="R189" s="61">
        <f>MAX(P$184,P$185)</f>
        <v>2</v>
      </c>
    </row>
    <row r="190" spans="1:18">
      <c r="A190" s="1" t="s">
        <v>189</v>
      </c>
      <c r="B190" t="str">
        <f t="shared" si="30"/>
        <v>¬</v>
      </c>
      <c r="D190" s="19"/>
      <c r="E190" s="15" t="s">
        <v>251</v>
      </c>
      <c r="F190" s="19"/>
      <c r="G190" s="19"/>
      <c r="H190" s="19"/>
      <c r="I190" s="19"/>
      <c r="L190" s="4"/>
      <c r="M190" s="61">
        <f>IF(AND(I184,L184&gt;=1),1,0)</f>
        <v>1</v>
      </c>
      <c r="N190" s="4"/>
      <c r="O190" s="61">
        <f>ROUNDDOWN(N190/2,0)</f>
        <v>0</v>
      </c>
      <c r="P190" s="60">
        <f>MIN(SUM(L190,M190,O190),R190)</f>
        <v>1</v>
      </c>
      <c r="Q190" s="61">
        <v>0</v>
      </c>
      <c r="R190" s="61">
        <f>MAX(P$184,P$185)</f>
        <v>2</v>
      </c>
    </row>
    <row r="191" spans="1:18">
      <c r="A191" s="1" t="s">
        <v>190</v>
      </c>
      <c r="B191" t="str">
        <f t="shared" si="30"/>
        <v>¬</v>
      </c>
      <c r="D191" s="19"/>
      <c r="E191" s="15" t="s">
        <v>252</v>
      </c>
      <c r="F191" s="19"/>
      <c r="G191" s="19"/>
      <c r="H191" s="19"/>
      <c r="I191" s="19"/>
      <c r="L191" s="4">
        <v>1</v>
      </c>
      <c r="M191" s="61">
        <f>IF(AND(I185,L185&gt;=1),1,0)</f>
        <v>0</v>
      </c>
      <c r="N191" s="4"/>
      <c r="O191" s="61">
        <f>ROUNDDOWN(N191/2,0)</f>
        <v>0</v>
      </c>
      <c r="P191" s="60">
        <f>MIN(SUM(L191,M191,O191),R191)</f>
        <v>1</v>
      </c>
      <c r="Q191" s="61">
        <v>0</v>
      </c>
      <c r="R191" s="61">
        <f>MAX(P$184,P$185)</f>
        <v>2</v>
      </c>
    </row>
    <row r="192" spans="1:18">
      <c r="A192" s="1" t="s">
        <v>191</v>
      </c>
      <c r="B192" t="str">
        <f t="shared" si="30"/>
        <v>¬</v>
      </c>
    </row>
    <row r="193" spans="1:18">
      <c r="A193" s="1" t="s">
        <v>192</v>
      </c>
      <c r="B193" t="str">
        <f t="shared" si="30"/>
        <v>¬</v>
      </c>
      <c r="D193" s="16" t="s">
        <v>1474</v>
      </c>
      <c r="E193" s="16"/>
      <c r="F193" s="16"/>
      <c r="G193" s="16"/>
      <c r="H193" s="16"/>
      <c r="I193" s="16"/>
      <c r="L193" s="60">
        <f>SUM(P184:P185)+SUM(O187:O191)-SUM(L194:L203)</f>
        <v>0</v>
      </c>
    </row>
    <row r="194" spans="1:18">
      <c r="A194" s="1" t="s">
        <v>193</v>
      </c>
      <c r="B194" t="str">
        <f t="shared" si="30"/>
        <v>¬</v>
      </c>
      <c r="D194" s="19"/>
      <c r="E194" s="15" t="s">
        <v>1498</v>
      </c>
      <c r="F194" s="3" t="s">
        <v>1620</v>
      </c>
      <c r="G194" s="61" t="str">
        <f>_xlfn.IFNA(VLOOKUP(F194,tblDisciplines[#Data],2,FALSE),"")</f>
        <v>Cruac</v>
      </c>
      <c r="H194" s="19"/>
      <c r="I194" s="19"/>
      <c r="L194" s="4">
        <v>1</v>
      </c>
      <c r="N194" s="4"/>
      <c r="O194" s="61">
        <f>N194</f>
        <v>0</v>
      </c>
      <c r="P194" s="60">
        <f>IF(OR(L194=R194,O194=R194),R194,MIN(SUM(L194,O194),R194))</f>
        <v>1</v>
      </c>
      <c r="R194" s="61">
        <f>_xlfn.IFNA(VLOOKUP(F194,tblDisciplines[],3,FALSE),"")</f>
        <v>1</v>
      </c>
    </row>
    <row r="195" spans="1:18">
      <c r="A195" s="1" t="s">
        <v>194</v>
      </c>
      <c r="B195" t="str">
        <f t="shared" si="30"/>
        <v>¬</v>
      </c>
      <c r="D195" s="19"/>
      <c r="E195" s="15" t="s">
        <v>1499</v>
      </c>
      <c r="F195" s="3" t="s">
        <v>1621</v>
      </c>
      <c r="G195" s="61" t="str">
        <f>_xlfn.IFNA(VLOOKUP(F195,tblDisciplines[#Data],2,FALSE),"")</f>
        <v>Cruac</v>
      </c>
      <c r="H195" s="19"/>
      <c r="I195" s="19"/>
      <c r="L195" s="4">
        <v>1</v>
      </c>
      <c r="N195" s="4"/>
      <c r="O195" s="61">
        <f t="shared" ref="O195:O203" si="31">N195</f>
        <v>0</v>
      </c>
      <c r="P195" s="60">
        <f t="shared" ref="P195:P203" si="32">IF(OR(L195=R195,O195=R195),R195,MIN(SUM(L195,O195),R195))</f>
        <v>1</v>
      </c>
      <c r="R195" s="61">
        <f>_xlfn.IFNA(VLOOKUP(F195,tblDisciplines[],3,FALSE),"")</f>
        <v>2</v>
      </c>
    </row>
    <row r="196" spans="1:18">
      <c r="A196" s="1" t="s">
        <v>195</v>
      </c>
      <c r="B196" t="str">
        <f t="shared" si="30"/>
        <v>¬</v>
      </c>
      <c r="D196" s="19"/>
      <c r="E196" s="15" t="s">
        <v>1500</v>
      </c>
      <c r="F196" s="3"/>
      <c r="G196" s="61" t="str">
        <f>_xlfn.IFNA(VLOOKUP(F196,tblDisciplines[#Data],2,FALSE),"")</f>
        <v/>
      </c>
      <c r="H196" s="19"/>
      <c r="I196" s="19"/>
      <c r="L196" s="4"/>
      <c r="N196" s="4"/>
      <c r="O196" s="61">
        <f t="shared" si="31"/>
        <v>0</v>
      </c>
      <c r="P196" s="60" t="str">
        <f t="shared" si="32"/>
        <v/>
      </c>
      <c r="R196" s="61" t="str">
        <f>_xlfn.IFNA(VLOOKUP(F196,tblDisciplines[],3,FALSE),"")</f>
        <v/>
      </c>
    </row>
    <row r="197" spans="1:18">
      <c r="A197" s="1" t="s">
        <v>196</v>
      </c>
      <c r="B197" t="str">
        <f>IF(AD134="","¬",AD134)</f>
        <v>Legal</v>
      </c>
      <c r="D197" s="19"/>
      <c r="E197" s="15" t="s">
        <v>1501</v>
      </c>
      <c r="F197" s="3"/>
      <c r="G197" s="61" t="str">
        <f>_xlfn.IFNA(VLOOKUP(F197,tblDisciplines[#Data],2,FALSE),"")</f>
        <v/>
      </c>
      <c r="H197" s="19"/>
      <c r="I197" s="19"/>
      <c r="L197" s="4"/>
      <c r="N197" s="4"/>
      <c r="O197" s="61">
        <f t="shared" si="31"/>
        <v>0</v>
      </c>
      <c r="P197" s="60" t="str">
        <f t="shared" si="32"/>
        <v/>
      </c>
      <c r="R197" s="61" t="str">
        <f>_xlfn.IFNA(VLOOKUP(F197,tblDisciplines[],3,FALSE),"")</f>
        <v/>
      </c>
    </row>
    <row r="198" spans="1:18">
      <c r="A198" s="1" t="s">
        <v>197</v>
      </c>
      <c r="B198" t="str">
        <f t="shared" ref="B198:B216" si="33">IF(AD135="","¬",AD135)</f>
        <v>Media</v>
      </c>
      <c r="D198" s="19"/>
      <c r="E198" s="15" t="s">
        <v>1502</v>
      </c>
      <c r="F198" s="3"/>
      <c r="G198" s="61" t="str">
        <f>_xlfn.IFNA(VLOOKUP(F198,tblDisciplines[#Data],2,FALSE),"")</f>
        <v/>
      </c>
      <c r="H198" s="19"/>
      <c r="I198" s="19"/>
      <c r="L198" s="4"/>
      <c r="N198" s="4"/>
      <c r="O198" s="61">
        <f t="shared" si="31"/>
        <v>0</v>
      </c>
      <c r="P198" s="60" t="str">
        <f t="shared" si="32"/>
        <v/>
      </c>
      <c r="R198" s="61" t="str">
        <f>_xlfn.IFNA(VLOOKUP(F198,tblDisciplines[],3,FALSE),"")</f>
        <v/>
      </c>
    </row>
    <row r="199" spans="1:18">
      <c r="A199" s="1" t="s">
        <v>198</v>
      </c>
      <c r="B199" t="str">
        <f t="shared" si="33"/>
        <v>Occult</v>
      </c>
      <c r="D199" s="19"/>
      <c r="E199" s="15" t="s">
        <v>1503</v>
      </c>
      <c r="F199" s="3"/>
      <c r="G199" s="61" t="str">
        <f>_xlfn.IFNA(VLOOKUP(F199,tblDisciplines[#Data],2,FALSE),"")</f>
        <v/>
      </c>
      <c r="H199" s="19"/>
      <c r="I199" s="19"/>
      <c r="L199" s="4"/>
      <c r="N199" s="4"/>
      <c r="O199" s="61">
        <f t="shared" si="31"/>
        <v>0</v>
      </c>
      <c r="P199" s="60" t="str">
        <f t="shared" si="32"/>
        <v/>
      </c>
      <c r="R199" s="61" t="str">
        <f>_xlfn.IFNA(VLOOKUP(F199,tblDisciplines[],3,FALSE),"")</f>
        <v/>
      </c>
    </row>
    <row r="200" spans="1:18">
      <c r="A200" s="1" t="s">
        <v>199</v>
      </c>
      <c r="B200" t="str">
        <f t="shared" si="33"/>
        <v>Underworld</v>
      </c>
      <c r="D200" s="19"/>
      <c r="E200" s="15" t="s">
        <v>1504</v>
      </c>
      <c r="F200" s="3"/>
      <c r="G200" s="61" t="str">
        <f>_xlfn.IFNA(VLOOKUP(F200,tblDisciplines[#Data],2,FALSE),"")</f>
        <v/>
      </c>
      <c r="H200" s="19"/>
      <c r="I200" s="19"/>
      <c r="L200" s="4"/>
      <c r="N200" s="4"/>
      <c r="O200" s="61">
        <f t="shared" si="31"/>
        <v>0</v>
      </c>
      <c r="P200" s="60" t="str">
        <f t="shared" si="32"/>
        <v/>
      </c>
      <c r="R200" s="61" t="str">
        <f>_xlfn.IFNA(VLOOKUP(F200,tblDisciplines[],3,FALSE),"")</f>
        <v/>
      </c>
    </row>
    <row r="201" spans="1:18">
      <c r="A201" s="1" t="s">
        <v>200</v>
      </c>
      <c r="B201" t="str">
        <f t="shared" si="33"/>
        <v>¬</v>
      </c>
      <c r="D201" s="19"/>
      <c r="E201" s="15" t="s">
        <v>1505</v>
      </c>
      <c r="F201" s="3"/>
      <c r="G201" s="61" t="str">
        <f>_xlfn.IFNA(VLOOKUP(F201,tblDisciplines[#Data],2,FALSE),"")</f>
        <v/>
      </c>
      <c r="H201" s="19"/>
      <c r="I201" s="19"/>
      <c r="L201" s="4"/>
      <c r="N201" s="4"/>
      <c r="O201" s="61">
        <f t="shared" si="31"/>
        <v>0</v>
      </c>
      <c r="P201" s="60" t="str">
        <f t="shared" si="32"/>
        <v/>
      </c>
      <c r="R201" s="61" t="str">
        <f>_xlfn.IFNA(VLOOKUP(F201,tblDisciplines[],3,FALSE),"")</f>
        <v/>
      </c>
    </row>
    <row r="202" spans="1:18">
      <c r="A202" s="1" t="s">
        <v>201</v>
      </c>
      <c r="B202" t="str">
        <f t="shared" si="33"/>
        <v>¬</v>
      </c>
      <c r="D202" s="19"/>
      <c r="E202" s="15" t="s">
        <v>1506</v>
      </c>
      <c r="F202" s="3"/>
      <c r="G202" s="61" t="str">
        <f>_xlfn.IFNA(VLOOKUP(F202,tblDisciplines[#Data],2,FALSE),"")</f>
        <v/>
      </c>
      <c r="H202" s="19"/>
      <c r="I202" s="19"/>
      <c r="L202" s="4"/>
      <c r="N202" s="4"/>
      <c r="O202" s="61">
        <f t="shared" si="31"/>
        <v>0</v>
      </c>
      <c r="P202" s="60" t="str">
        <f t="shared" si="32"/>
        <v/>
      </c>
      <c r="R202" s="61" t="str">
        <f>_xlfn.IFNA(VLOOKUP(F202,tblDisciplines[],3,FALSE),"")</f>
        <v/>
      </c>
    </row>
    <row r="203" spans="1:18">
      <c r="A203" s="1" t="s">
        <v>202</v>
      </c>
      <c r="B203" t="str">
        <f t="shared" si="33"/>
        <v>¬</v>
      </c>
      <c r="D203" s="19"/>
      <c r="E203" s="15" t="s">
        <v>1507</v>
      </c>
      <c r="F203" s="3"/>
      <c r="G203" s="61" t="str">
        <f>_xlfn.IFNA(VLOOKUP(F203,tblDisciplines[#Data],2,FALSE),"")</f>
        <v/>
      </c>
      <c r="H203" s="19"/>
      <c r="I203" s="19"/>
      <c r="L203" s="4"/>
      <c r="N203" s="4"/>
      <c r="O203" s="61">
        <f t="shared" si="31"/>
        <v>0</v>
      </c>
      <c r="P203" s="60" t="str">
        <f t="shared" si="32"/>
        <v/>
      </c>
      <c r="R203" s="61" t="str">
        <f>_xlfn.IFNA(VLOOKUP(F203,tblDisciplines[],3,FALSE),"")</f>
        <v/>
      </c>
    </row>
    <row r="204" spans="1:18">
      <c r="A204" s="1" t="s">
        <v>203</v>
      </c>
      <c r="B204" t="str">
        <f t="shared" si="33"/>
        <v>¬</v>
      </c>
    </row>
    <row r="205" spans="1:18">
      <c r="A205" s="1" t="s">
        <v>204</v>
      </c>
      <c r="B205" t="str">
        <f t="shared" si="33"/>
        <v>¬</v>
      </c>
      <c r="D205" s="16" t="s">
        <v>1508</v>
      </c>
      <c r="E205" s="17"/>
      <c r="F205" s="17"/>
      <c r="G205" s="17"/>
      <c r="H205" s="17"/>
      <c r="I205" s="17"/>
    </row>
    <row r="206" spans="1:18">
      <c r="A206" s="1" t="s">
        <v>205</v>
      </c>
      <c r="B206" t="str">
        <f t="shared" si="33"/>
        <v>¬</v>
      </c>
      <c r="D206" s="19"/>
      <c r="E206" s="15" t="s">
        <v>1476</v>
      </c>
      <c r="F206" s="3"/>
      <c r="G206" s="19" t="str">
        <f>IFERROR(VLOOKUP(F206,tblManoeuvre[#Data],2,FALSE)&amp;" "&amp;VLOOKUP(F206,tblManoeuvre[#Data],3,FALSE),"")</f>
        <v/>
      </c>
      <c r="H206" s="68" t="str">
        <f>_xlfn.IFNA(IF(VLOOKUP(F206,tblMerits[#Data],6,FALSE)=0,"None",VLOOKUP(F206,tblMerits[#Data],6,FALSE)),"None")</f>
        <v>None</v>
      </c>
      <c r="I206" s="69"/>
      <c r="L206" s="4"/>
      <c r="M206" s="4"/>
      <c r="N206" s="4"/>
      <c r="O206" s="61">
        <f t="shared" ref="O206:O215" si="34">N206</f>
        <v>0</v>
      </c>
      <c r="P206" s="60">
        <f t="shared" ref="P206:P215" si="35">MIN(SUM(L206,M206,O206),R206)</f>
        <v>0</v>
      </c>
      <c r="Q206" s="61" t="str">
        <f>_xlfn.IFNA(VLOOKUP($F206,tblPacts[],3,FALSE),"")</f>
        <v/>
      </c>
      <c r="R206" s="61" t="str">
        <f>_xlfn.IFNA(VLOOKUP($F206,tblPacts[],4,FALSE),"")</f>
        <v/>
      </c>
    </row>
    <row r="207" spans="1:18">
      <c r="A207" s="1" t="s">
        <v>206</v>
      </c>
      <c r="B207" t="str">
        <f t="shared" si="33"/>
        <v>¬</v>
      </c>
      <c r="D207" s="19"/>
      <c r="E207" s="15" t="s">
        <v>1477</v>
      </c>
      <c r="F207" s="3"/>
      <c r="G207" s="19" t="str">
        <f>IFERROR(VLOOKUP(F207,tblManoeuvre[#Data],2,FALSE)&amp;" "&amp;VLOOKUP(F207,tblManoeuvre[#Data],3,FALSE),"")</f>
        <v/>
      </c>
      <c r="H207" s="68" t="str">
        <f>_xlfn.IFNA(IF(VLOOKUP(F207,tblMerits[#Data],6,FALSE)=0,"None",VLOOKUP(F207,tblMerits[#Data],6,FALSE)),"None")</f>
        <v>None</v>
      </c>
      <c r="I207" s="69"/>
      <c r="L207" s="4"/>
      <c r="M207" s="4"/>
      <c r="N207" s="4"/>
      <c r="O207" s="61">
        <f t="shared" si="34"/>
        <v>0</v>
      </c>
      <c r="P207" s="60">
        <f t="shared" si="35"/>
        <v>0</v>
      </c>
      <c r="Q207" s="61" t="str">
        <f>_xlfn.IFNA(VLOOKUP($F207,tblPacts[],3,FALSE),"")</f>
        <v/>
      </c>
      <c r="R207" s="61" t="str">
        <f>_xlfn.IFNA(VLOOKUP($F207,tblPacts[],4,FALSE),"")</f>
        <v/>
      </c>
    </row>
    <row r="208" spans="1:18">
      <c r="A208" s="1" t="s">
        <v>207</v>
      </c>
      <c r="B208" t="str">
        <f t="shared" si="33"/>
        <v>¬</v>
      </c>
      <c r="D208" s="19"/>
      <c r="E208" s="15" t="s">
        <v>1478</v>
      </c>
      <c r="F208" s="3"/>
      <c r="G208" s="19" t="str">
        <f>IFERROR(VLOOKUP(F208,tblManoeuvre[#Data],2,FALSE)&amp;" "&amp;VLOOKUP(F208,tblManoeuvre[#Data],3,FALSE),"")</f>
        <v/>
      </c>
      <c r="H208" s="68" t="str">
        <f>_xlfn.IFNA(IF(VLOOKUP(F208,tblMerits[#Data],6,FALSE)=0,"None",VLOOKUP(F208,tblMerits[#Data],6,FALSE)),"None")</f>
        <v>None</v>
      </c>
      <c r="I208" s="69"/>
      <c r="L208" s="4"/>
      <c r="M208" s="4"/>
      <c r="N208" s="4"/>
      <c r="O208" s="61">
        <f t="shared" si="34"/>
        <v>0</v>
      </c>
      <c r="P208" s="60">
        <f t="shared" si="35"/>
        <v>0</v>
      </c>
      <c r="Q208" s="61" t="str">
        <f>_xlfn.IFNA(VLOOKUP($F208,tblPacts[],3,FALSE),"")</f>
        <v/>
      </c>
      <c r="R208" s="61" t="str">
        <f>_xlfn.IFNA(VLOOKUP($F208,tblPacts[],4,FALSE),"")</f>
        <v/>
      </c>
    </row>
    <row r="209" spans="1:18">
      <c r="A209" s="1" t="s">
        <v>208</v>
      </c>
      <c r="B209" t="str">
        <f t="shared" si="33"/>
        <v>¬</v>
      </c>
      <c r="D209" s="19"/>
      <c r="E209" s="15" t="s">
        <v>1479</v>
      </c>
      <c r="F209" s="3"/>
      <c r="G209" s="19" t="str">
        <f>IFERROR(VLOOKUP(F209,tblManoeuvre[#Data],2,FALSE)&amp;" "&amp;VLOOKUP(F209,tblManoeuvre[#Data],3,FALSE),"")</f>
        <v/>
      </c>
      <c r="H209" s="68" t="str">
        <f>_xlfn.IFNA(IF(VLOOKUP(F209,tblMerits[#Data],6,FALSE)=0,"None",VLOOKUP(F209,tblMerits[#Data],6,FALSE)),"None")</f>
        <v>None</v>
      </c>
      <c r="I209" s="69"/>
      <c r="L209" s="4"/>
      <c r="M209" s="4"/>
      <c r="N209" s="4"/>
      <c r="O209" s="61">
        <f t="shared" si="34"/>
        <v>0</v>
      </c>
      <c r="P209" s="60">
        <f t="shared" si="35"/>
        <v>0</v>
      </c>
      <c r="Q209" s="61" t="str">
        <f>_xlfn.IFNA(VLOOKUP($F209,tblPacts[],3,FALSE),"")</f>
        <v/>
      </c>
      <c r="R209" s="61" t="str">
        <f>_xlfn.IFNA(VLOOKUP($F209,tblPacts[],4,FALSE),"")</f>
        <v/>
      </c>
    </row>
    <row r="210" spans="1:18">
      <c r="A210" s="1" t="s">
        <v>209</v>
      </c>
      <c r="B210" t="str">
        <f t="shared" si="33"/>
        <v>¬</v>
      </c>
      <c r="D210" s="19"/>
      <c r="E210" s="15" t="s">
        <v>1480</v>
      </c>
      <c r="F210" s="3"/>
      <c r="G210" s="19" t="str">
        <f>IFERROR(VLOOKUP(F210,tblManoeuvre[#Data],2,FALSE)&amp;" "&amp;VLOOKUP(F210,tblManoeuvre[#Data],3,FALSE),"")</f>
        <v/>
      </c>
      <c r="H210" s="68" t="str">
        <f>_xlfn.IFNA(IF(VLOOKUP(F210,tblMerits[#Data],6,FALSE)=0,"None",VLOOKUP(F210,tblMerits[#Data],6,FALSE)),"None")</f>
        <v>None</v>
      </c>
      <c r="I210" s="69"/>
      <c r="L210" s="4"/>
      <c r="M210" s="4"/>
      <c r="N210" s="4"/>
      <c r="O210" s="61">
        <f t="shared" si="34"/>
        <v>0</v>
      </c>
      <c r="P210" s="60">
        <f t="shared" si="35"/>
        <v>0</v>
      </c>
      <c r="Q210" s="61" t="str">
        <f>_xlfn.IFNA(VLOOKUP($F210,tblPacts[],3,FALSE),"")</f>
        <v/>
      </c>
      <c r="R210" s="61" t="str">
        <f>_xlfn.IFNA(VLOOKUP($F210,tblPacts[],4,FALSE),"")</f>
        <v/>
      </c>
    </row>
    <row r="211" spans="1:18">
      <c r="A211" s="1" t="s">
        <v>210</v>
      </c>
      <c r="B211" t="str">
        <f t="shared" si="33"/>
        <v>¬</v>
      </c>
      <c r="D211" s="19"/>
      <c r="E211" s="15" t="s">
        <v>1481</v>
      </c>
      <c r="F211" s="3"/>
      <c r="G211" s="19" t="str">
        <f>IFERROR(VLOOKUP(F211,tblManoeuvre[#Data],2,FALSE)&amp;" "&amp;VLOOKUP(F211,tblManoeuvre[#Data],3,FALSE),"")</f>
        <v/>
      </c>
      <c r="H211" s="68" t="str">
        <f>_xlfn.IFNA(IF(VLOOKUP(F211,tblMerits[#Data],6,FALSE)=0,"None",VLOOKUP(F211,tblMerits[#Data],6,FALSE)),"None")</f>
        <v>None</v>
      </c>
      <c r="I211" s="69"/>
      <c r="L211" s="4"/>
      <c r="M211" s="4"/>
      <c r="N211" s="4"/>
      <c r="O211" s="61">
        <f t="shared" si="34"/>
        <v>0</v>
      </c>
      <c r="P211" s="60">
        <f t="shared" si="35"/>
        <v>0</v>
      </c>
      <c r="Q211" s="61" t="str">
        <f>_xlfn.IFNA(VLOOKUP($F211,tblPacts[],3,FALSE),"")</f>
        <v/>
      </c>
      <c r="R211" s="61" t="str">
        <f>_xlfn.IFNA(VLOOKUP($F211,tblPacts[],4,FALSE),"")</f>
        <v/>
      </c>
    </row>
    <row r="212" spans="1:18">
      <c r="A212" s="1" t="s">
        <v>211</v>
      </c>
      <c r="B212" t="str">
        <f t="shared" si="33"/>
        <v>¬</v>
      </c>
      <c r="D212" s="19"/>
      <c r="E212" s="15" t="s">
        <v>1482</v>
      </c>
      <c r="F212" s="3"/>
      <c r="G212" s="19" t="str">
        <f>IFERROR(VLOOKUP(F212,tblManoeuvre[#Data],2,FALSE)&amp;" "&amp;VLOOKUP(F212,tblManoeuvre[#Data],3,FALSE),"")</f>
        <v/>
      </c>
      <c r="H212" s="68" t="str">
        <f>_xlfn.IFNA(IF(VLOOKUP(F212,tblMerits[#Data],6,FALSE)=0,"None",VLOOKUP(F212,tblMerits[#Data],6,FALSE)),"None")</f>
        <v>None</v>
      </c>
      <c r="I212" s="69"/>
      <c r="L212" s="4"/>
      <c r="M212" s="4"/>
      <c r="N212" s="4"/>
      <c r="O212" s="61">
        <f t="shared" si="34"/>
        <v>0</v>
      </c>
      <c r="P212" s="60">
        <f t="shared" si="35"/>
        <v>0</v>
      </c>
      <c r="Q212" s="61" t="str">
        <f>_xlfn.IFNA(VLOOKUP($F212,tblPacts[],3,FALSE),"")</f>
        <v/>
      </c>
      <c r="R212" s="61" t="str">
        <f>_xlfn.IFNA(VLOOKUP($F212,tblPacts[],4,FALSE),"")</f>
        <v/>
      </c>
    </row>
    <row r="213" spans="1:18">
      <c r="A213" s="1" t="s">
        <v>212</v>
      </c>
      <c r="B213" t="str">
        <f t="shared" si="33"/>
        <v>¬</v>
      </c>
      <c r="D213" s="19"/>
      <c r="E213" s="15" t="s">
        <v>1483</v>
      </c>
      <c r="F213" s="3"/>
      <c r="G213" s="19" t="str">
        <f>IFERROR(VLOOKUP(F213,tblManoeuvre[#Data],2,FALSE)&amp;" "&amp;VLOOKUP(F213,tblManoeuvre[#Data],3,FALSE),"")</f>
        <v/>
      </c>
      <c r="H213" s="68" t="str">
        <f>_xlfn.IFNA(IF(VLOOKUP(F213,tblMerits[#Data],6,FALSE)=0,"None",VLOOKUP(F213,tblMerits[#Data],6,FALSE)),"None")</f>
        <v>None</v>
      </c>
      <c r="I213" s="69"/>
      <c r="L213" s="4"/>
      <c r="M213" s="4"/>
      <c r="N213" s="4"/>
      <c r="O213" s="61">
        <f t="shared" si="34"/>
        <v>0</v>
      </c>
      <c r="P213" s="60">
        <f t="shared" si="35"/>
        <v>0</v>
      </c>
      <c r="Q213" s="61" t="str">
        <f>_xlfn.IFNA(VLOOKUP($F213,tblPacts[],3,FALSE),"")</f>
        <v/>
      </c>
      <c r="R213" s="61" t="str">
        <f>_xlfn.IFNA(VLOOKUP($F213,tblPacts[],4,FALSE),"")</f>
        <v/>
      </c>
    </row>
    <row r="214" spans="1:18">
      <c r="A214" s="1" t="s">
        <v>213</v>
      </c>
      <c r="B214" t="str">
        <f t="shared" si="33"/>
        <v>¬</v>
      </c>
      <c r="D214" s="19"/>
      <c r="E214" s="15" t="s">
        <v>1484</v>
      </c>
      <c r="F214" s="3"/>
      <c r="G214" s="19" t="str">
        <f>IFERROR(VLOOKUP(F214,tblManoeuvre[#Data],2,FALSE)&amp;" "&amp;VLOOKUP(F214,tblManoeuvre[#Data],3,FALSE),"")</f>
        <v/>
      </c>
      <c r="H214" s="68" t="str">
        <f>_xlfn.IFNA(IF(VLOOKUP(F214,tblMerits[#Data],6,FALSE)=0,"None",VLOOKUP(F214,tblMerits[#Data],6,FALSE)),"None")</f>
        <v>None</v>
      </c>
      <c r="I214" s="69"/>
      <c r="L214" s="4"/>
      <c r="M214" s="4"/>
      <c r="N214" s="4"/>
      <c r="O214" s="61">
        <f t="shared" si="34"/>
        <v>0</v>
      </c>
      <c r="P214" s="60">
        <f t="shared" si="35"/>
        <v>0</v>
      </c>
      <c r="Q214" s="61" t="str">
        <f>_xlfn.IFNA(VLOOKUP($F214,tblPacts[],3,FALSE),"")</f>
        <v/>
      </c>
      <c r="R214" s="61" t="str">
        <f>_xlfn.IFNA(VLOOKUP($F214,tblPacts[],4,FALSE),"")</f>
        <v/>
      </c>
    </row>
    <row r="215" spans="1:18">
      <c r="A215" s="1" t="s">
        <v>214</v>
      </c>
      <c r="B215" t="str">
        <f t="shared" si="33"/>
        <v>¬</v>
      </c>
      <c r="D215" s="19"/>
      <c r="E215" s="15" t="s">
        <v>1485</v>
      </c>
      <c r="F215" s="3"/>
      <c r="G215" s="19" t="str">
        <f>IFERROR(VLOOKUP(F215,tblManoeuvre[#Data],2,FALSE)&amp;" "&amp;VLOOKUP(F215,tblManoeuvre[#Data],3,FALSE),"")</f>
        <v/>
      </c>
      <c r="H215" s="68" t="str">
        <f>_xlfn.IFNA(IF(VLOOKUP(F215,tblMerits[#Data],6,FALSE)=0,"None",VLOOKUP(F215,tblMerits[#Data],6,FALSE)),"None")</f>
        <v>None</v>
      </c>
      <c r="I215" s="69"/>
      <c r="L215" s="4"/>
      <c r="M215" s="4"/>
      <c r="N215" s="4"/>
      <c r="O215" s="61">
        <f t="shared" si="34"/>
        <v>0</v>
      </c>
      <c r="P215" s="60">
        <f t="shared" si="35"/>
        <v>0</v>
      </c>
      <c r="Q215" s="61" t="str">
        <f>_xlfn.IFNA(VLOOKUP($F215,tblPacts[],3,FALSE),"")</f>
        <v/>
      </c>
      <c r="R215" s="61" t="str">
        <f>_xlfn.IFNA(VLOOKUP($F215,tblPacts[],4,FALSE),"")</f>
        <v/>
      </c>
    </row>
    <row r="216" spans="1:18">
      <c r="A216" s="1" t="s">
        <v>215</v>
      </c>
      <c r="B216" t="str">
        <f t="shared" si="33"/>
        <v>¬</v>
      </c>
    </row>
    <row r="217" spans="1:18">
      <c r="A217" s="1" t="s">
        <v>216</v>
      </c>
      <c r="B217" t="str">
        <f>IF(OR(AF134=0,AF134=""),"",REPT("●",AF134))</f>
        <v>●●●</v>
      </c>
      <c r="D217" s="16" t="s">
        <v>1509</v>
      </c>
      <c r="E217" s="16"/>
      <c r="F217" s="16"/>
      <c r="G217" s="16"/>
      <c r="H217" s="16"/>
      <c r="I217" s="16"/>
    </row>
    <row r="218" spans="1:18">
      <c r="A218" s="1" t="s">
        <v>217</v>
      </c>
      <c r="B218" t="str">
        <f t="shared" ref="B218:B236" si="36">IF(OR(AF135=0,AF135=""),"",REPT("●",AF135))</f>
        <v>●●●</v>
      </c>
      <c r="D218" s="19"/>
      <c r="E218" s="15" t="s">
        <v>353</v>
      </c>
      <c r="F218" s="19"/>
      <c r="G218" s="19"/>
      <c r="H218" s="19"/>
      <c r="I218" s="19"/>
      <c r="M218" s="61">
        <f>IF(COUNTIF(F79:F93,"Giant")&gt;0,1,0)+IF(COUNTIF(F79:F93,"Small-Framed")&gt;0,-1,0)</f>
        <v>0</v>
      </c>
      <c r="P218" s="60">
        <f>5+M218</f>
        <v>5</v>
      </c>
    </row>
    <row r="219" spans="1:18">
      <c r="A219" s="1" t="s">
        <v>218</v>
      </c>
      <c r="B219" t="str">
        <f t="shared" si="36"/>
        <v>●●●</v>
      </c>
      <c r="D219" s="19"/>
      <c r="E219" s="15" t="s">
        <v>354</v>
      </c>
      <c r="F219" s="19"/>
      <c r="G219" s="19"/>
      <c r="H219" s="19"/>
      <c r="I219" s="19"/>
      <c r="P219" s="60">
        <f ca="1">VLOOKUP("Size",INDIRECT($AH$1),2,FALSE)+VLOOKUP("Strength",INDIRECT($AH$1),2,FALSE)+VLOOKUP("Dexterity",INDIRECT($AH$1),2,FALSE)+VLOOKUP("Vigour",INDIRECT($AH$1),2,FALSE)</f>
        <v>9</v>
      </c>
    </row>
    <row r="220" spans="1:18">
      <c r="A220" s="1" t="s">
        <v>219</v>
      </c>
      <c r="B220" t="str">
        <f t="shared" si="36"/>
        <v>●●●</v>
      </c>
      <c r="D220" s="19"/>
      <c r="E220" s="15" t="s">
        <v>355</v>
      </c>
      <c r="F220" s="19"/>
      <c r="G220" s="19"/>
      <c r="H220" s="19"/>
      <c r="I220" s="19"/>
      <c r="P220" s="60">
        <f ca="1">MIN(VLOOKUP("Dexterity",INDIRECT($AH$1),2,FALSE),VLOOKUP("Wits",INDIRECT($AH$1),2,FALSE))+VLOOKUP("Athletics",INDIRECT($AH$1),2,FALSE)</f>
        <v>3</v>
      </c>
    </row>
    <row r="221" spans="1:18">
      <c r="A221" s="1" t="s">
        <v>220</v>
      </c>
      <c r="B221" t="str">
        <f t="shared" si="36"/>
        <v>●</v>
      </c>
      <c r="D221" s="19"/>
      <c r="E221" s="15" t="s">
        <v>52</v>
      </c>
      <c r="F221" s="19"/>
      <c r="G221" s="19"/>
      <c r="H221" s="19"/>
      <c r="I221" s="19"/>
      <c r="P221" s="60">
        <f ca="1">VLOOKUP("Size",INDIRECT($AH$1),2,FALSE)+VLOOKUP("Stamina",INDIRECT($AH$1),2,FALSE)+VLOOKUP("Resilience",INDIRECT($AH$1),2,FALSE)</f>
        <v>7</v>
      </c>
    </row>
    <row r="222" spans="1:18">
      <c r="A222" s="1" t="s">
        <v>221</v>
      </c>
      <c r="B222" t="str">
        <f t="shared" si="36"/>
        <v/>
      </c>
      <c r="D222" s="19"/>
      <c r="E222" s="19"/>
      <c r="F222" s="19"/>
      <c r="G222" s="19"/>
      <c r="H222" s="15" t="s">
        <v>1510</v>
      </c>
      <c r="I222" s="19"/>
      <c r="L222" s="4"/>
    </row>
    <row r="223" spans="1:18">
      <c r="A223" s="1" t="s">
        <v>222</v>
      </c>
      <c r="B223" t="str">
        <f t="shared" si="36"/>
        <v/>
      </c>
      <c r="D223" s="19"/>
      <c r="E223" s="15" t="s">
        <v>1511</v>
      </c>
      <c r="F223" s="7"/>
      <c r="G223" s="19"/>
      <c r="H223" s="15" t="s">
        <v>1512</v>
      </c>
      <c r="I223" s="19"/>
      <c r="L223" s="4">
        <v>1</v>
      </c>
    </row>
    <row r="224" spans="1:18">
      <c r="A224" s="1" t="s">
        <v>223</v>
      </c>
      <c r="B224" t="str">
        <f t="shared" si="36"/>
        <v/>
      </c>
      <c r="D224" s="19"/>
      <c r="E224" s="15" t="s">
        <v>1513</v>
      </c>
      <c r="F224" s="7"/>
      <c r="G224" s="19"/>
      <c r="H224" s="15" t="s">
        <v>1514</v>
      </c>
      <c r="I224" s="19"/>
      <c r="L224" s="4"/>
    </row>
    <row r="225" spans="1:12">
      <c r="A225" s="1" t="s">
        <v>224</v>
      </c>
      <c r="B225" t="str">
        <f t="shared" si="36"/>
        <v/>
      </c>
      <c r="D225" s="19"/>
      <c r="E225" s="15" t="s">
        <v>1515</v>
      </c>
      <c r="F225" s="7"/>
      <c r="G225" s="19"/>
      <c r="H225" s="15" t="s">
        <v>1516</v>
      </c>
      <c r="I225" s="19"/>
      <c r="L225" s="4"/>
    </row>
    <row r="226" spans="1:12">
      <c r="A226" s="1" t="s">
        <v>225</v>
      </c>
      <c r="B226" t="str">
        <f t="shared" si="36"/>
        <v/>
      </c>
      <c r="D226" s="19"/>
      <c r="E226" s="15" t="s">
        <v>1517</v>
      </c>
      <c r="F226" s="7" t="s">
        <v>1622</v>
      </c>
      <c r="G226" s="19"/>
      <c r="H226" s="19"/>
      <c r="I226" s="19"/>
    </row>
    <row r="227" spans="1:12">
      <c r="A227" s="1" t="s">
        <v>226</v>
      </c>
      <c r="B227" t="str">
        <f t="shared" si="36"/>
        <v/>
      </c>
      <c r="D227" s="19"/>
      <c r="E227" s="15" t="s">
        <v>1518</v>
      </c>
      <c r="F227" s="7" t="s">
        <v>1623</v>
      </c>
      <c r="G227" s="19"/>
      <c r="H227" s="19"/>
      <c r="I227" s="19"/>
    </row>
    <row r="228" spans="1:12">
      <c r="A228" s="1" t="s">
        <v>227</v>
      </c>
      <c r="B228" t="str">
        <f t="shared" si="36"/>
        <v/>
      </c>
      <c r="D228" s="19"/>
      <c r="E228" s="15" t="s">
        <v>1519</v>
      </c>
      <c r="F228" s="7"/>
      <c r="G228" s="19"/>
      <c r="H228" s="19"/>
      <c r="I228" s="19"/>
    </row>
    <row r="229" spans="1:12">
      <c r="A229" s="1" t="s">
        <v>228</v>
      </c>
      <c r="B229" t="str">
        <f t="shared" si="36"/>
        <v/>
      </c>
      <c r="D229" s="19"/>
      <c r="E229" s="15" t="s">
        <v>1520</v>
      </c>
      <c r="F229" s="7"/>
      <c r="G229" s="19"/>
      <c r="H229" s="19"/>
      <c r="I229" s="19"/>
    </row>
    <row r="230" spans="1:12">
      <c r="A230" s="1" t="s">
        <v>229</v>
      </c>
      <c r="B230" t="str">
        <f t="shared" si="36"/>
        <v/>
      </c>
      <c r="D230" s="19"/>
      <c r="E230" s="15" t="s">
        <v>1521</v>
      </c>
      <c r="F230" s="7"/>
      <c r="G230" s="19"/>
      <c r="H230" s="19"/>
      <c r="I230" s="19"/>
    </row>
    <row r="231" spans="1:12">
      <c r="A231" s="1" t="s">
        <v>230</v>
      </c>
      <c r="B231" t="str">
        <f t="shared" si="36"/>
        <v/>
      </c>
      <c r="D231" s="19"/>
      <c r="E231" s="15" t="s">
        <v>1522</v>
      </c>
      <c r="F231" s="7"/>
      <c r="G231" s="19"/>
      <c r="H231" s="19"/>
      <c r="I231" s="19"/>
    </row>
    <row r="232" spans="1:12">
      <c r="A232" s="1" t="s">
        <v>231</v>
      </c>
      <c r="B232" t="str">
        <f t="shared" si="36"/>
        <v/>
      </c>
      <c r="D232" s="19"/>
      <c r="E232" s="15" t="s">
        <v>1523</v>
      </c>
      <c r="F232" s="7"/>
      <c r="G232" s="19"/>
      <c r="H232" s="19"/>
      <c r="I232" s="19"/>
    </row>
    <row r="233" spans="1:12">
      <c r="A233" s="1" t="s">
        <v>232</v>
      </c>
      <c r="B233" t="str">
        <f t="shared" si="36"/>
        <v/>
      </c>
      <c r="D233" s="19"/>
      <c r="E233" s="19"/>
      <c r="F233" s="19"/>
      <c r="G233" s="19"/>
      <c r="H233" s="19"/>
      <c r="I233" s="19"/>
    </row>
    <row r="234" spans="1:12">
      <c r="A234" s="1" t="s">
        <v>233</v>
      </c>
      <c r="B234" t="str">
        <f t="shared" si="36"/>
        <v/>
      </c>
      <c r="D234" s="19"/>
      <c r="E234" s="15" t="s">
        <v>343</v>
      </c>
      <c r="F234" s="61" t="str">
        <f>_xlfn.IFNA(VLOOKUP(F7,tblClans[],4,FALSE),"")</f>
        <v>Aloof Curse</v>
      </c>
      <c r="G234" s="19"/>
      <c r="H234" s="74" t="str">
        <f>_xlfn.IFNA(VLOOKUP(F234,tblBanes[],2,FALSE),"")</f>
        <v>First Touchstone attaches to Humanity 7; losing it detaches on first Humanity loss. Breaking points always treated as one step lower.</v>
      </c>
      <c r="I234" s="74"/>
    </row>
    <row r="235" spans="1:12">
      <c r="A235" s="1" t="s">
        <v>234</v>
      </c>
      <c r="B235" t="str">
        <f t="shared" si="36"/>
        <v/>
      </c>
      <c r="D235" s="19"/>
      <c r="E235" s="15" t="s">
        <v>344</v>
      </c>
      <c r="F235" s="19"/>
      <c r="G235" s="19"/>
      <c r="H235" s="19"/>
      <c r="I235" s="19"/>
    </row>
    <row r="236" spans="1:12">
      <c r="A236" s="1" t="s">
        <v>235</v>
      </c>
      <c r="B236" t="str">
        <f t="shared" si="36"/>
        <v/>
      </c>
      <c r="D236" s="19"/>
      <c r="E236" s="15" t="s">
        <v>345</v>
      </c>
      <c r="F236" s="3"/>
      <c r="G236" s="19"/>
      <c r="H236" s="70" t="str">
        <f>_xlfn.IFNA(VLOOKUP(F236,tblBanes[],2,FALSE),"")</f>
        <v/>
      </c>
      <c r="I236" s="71"/>
    </row>
    <row r="237" spans="1:12">
      <c r="A237" s="1" t="s">
        <v>236</v>
      </c>
      <c r="B237" t="str">
        <f ca="1">_xlfn.LET(_xlpm.v,VLOOKUP(tblCharDataCharles[[#This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_xlfn.LET(_xlpm.v,VLOOKUP(tblCharDataCharles[[#This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_xlfn.LET(_xlpm.v,VLOOKUP(tblCharDataCharles[[#This Row],[Field]],INDIRECT($AH$1),2,FALSE),IF(OR(_xlpm.v=0,_xlpm.v=""),"-",REPT("●",_xlpm.v)))</f>
        <v>-</v>
      </c>
      <c r="D239" s="19"/>
      <c r="E239" s="19"/>
      <c r="F239" s="19"/>
      <c r="G239" s="19"/>
      <c r="H239" s="19"/>
      <c r="I239" s="19"/>
    </row>
    <row r="240" spans="1:12">
      <c r="A240" s="1" t="s">
        <v>239</v>
      </c>
      <c r="B240" t="str">
        <f ca="1">_xlfn.LET(_xlpm.v,VLOOKUP(tblCharDataCharles[[#This Row],[Field]],INDIRECT($AH$1),2,FALSE),IF(OR(_xlpm.v=0,_xlpm.v=""),"-",REPT("●",_xlpm.v)))</f>
        <v>●●</v>
      </c>
      <c r="D240" s="19"/>
      <c r="E240" s="15" t="s">
        <v>360</v>
      </c>
      <c r="F240" s="62"/>
      <c r="G240" s="63"/>
      <c r="H240" s="63"/>
      <c r="I240" s="64"/>
    </row>
    <row r="241" spans="1:9">
      <c r="A241" s="1" t="s">
        <v>240</v>
      </c>
      <c r="B241" t="str">
        <f ca="1">_xlfn.LET(_xlpm.v,VLOOKUP(tblCharDataCharles[[#This Row],[Field]],INDIRECT($AH$1),2,FALSE),IF(OR(_xlpm.v=0,_xlpm.v=""),"-",REPT("●",_xlpm.v)))</f>
        <v>-</v>
      </c>
      <c r="D241" s="19"/>
      <c r="E241" s="15" t="s">
        <v>361</v>
      </c>
      <c r="F241" s="62"/>
      <c r="G241" s="63"/>
      <c r="H241" s="63"/>
      <c r="I241" s="64"/>
    </row>
    <row r="242" spans="1:9">
      <c r="A242" s="1" t="s">
        <v>241</v>
      </c>
      <c r="B242" t="str">
        <f ca="1">_xlfn.LET(_xlpm.v,VLOOKUP(tblCharDataCharles[[#This Row],[Field]],INDIRECT($AH$1),2,FALSE),IF(OR(_xlpm.v=0,_xlpm.v=""),"-",REPT("●",_xlpm.v)))</f>
        <v>-</v>
      </c>
      <c r="D242" s="19"/>
      <c r="E242" s="15" t="s">
        <v>362</v>
      </c>
      <c r="F242" s="62"/>
      <c r="G242" s="63"/>
      <c r="H242" s="63"/>
      <c r="I242" s="64"/>
    </row>
    <row r="243" spans="1:9">
      <c r="A243" s="1" t="s">
        <v>242</v>
      </c>
      <c r="B243" t="str">
        <f ca="1">_xlfn.LET(_xlpm.v,VLOOKUP(tblCharDataCharles[[#This Row],[Field]],INDIRECT($AH$1),2,FALSE),IF(OR(_xlpm.v=0,_xlpm.v=""),"-",REPT("●",_xlpm.v)))</f>
        <v>-</v>
      </c>
      <c r="D243" s="19"/>
      <c r="E243" s="19"/>
      <c r="F243" s="19"/>
      <c r="G243" s="19"/>
      <c r="H243" s="19"/>
      <c r="I243" s="19"/>
    </row>
    <row r="244" spans="1:9">
      <c r="A244" s="1" t="s">
        <v>243</v>
      </c>
      <c r="B244" t="str">
        <f ca="1">_xlfn.LET(_xlpm.v,VLOOKUP(tblCharDataCharles[[#This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_xlfn.LET(_xlpm.v,VLOOKUP(tblCharDataCharles[[#This Row],[Field]],INDIRECT($AH$1),2,FALSE),IF(OR(_xlpm.v=0,_xlpm.v=""),"-",REPT("●",_xlpm.v)))</f>
        <v>-</v>
      </c>
      <c r="D245" s="19"/>
      <c r="E245" s="15" t="s">
        <v>1524</v>
      </c>
      <c r="F245" s="62"/>
      <c r="G245" s="63"/>
      <c r="H245" s="63"/>
      <c r="I245" s="64"/>
    </row>
    <row r="246" spans="1:9">
      <c r="A246" s="1" t="s">
        <v>245</v>
      </c>
      <c r="B246" t="str">
        <f ca="1">_xlfn.LET(_xlpm.v,VLOOKUP(tblCharDataCharles[[#This Row],[Field]],INDIRECT($AH$1),2,FALSE),IF(OR(_xlpm.v=0,_xlpm.v=""),"-",REPT("●",_xlpm.v)))</f>
        <v>-</v>
      </c>
    </row>
    <row r="247" spans="1:9">
      <c r="A247" s="1" t="s">
        <v>246</v>
      </c>
      <c r="B247" t="str">
        <f ca="1">_xlfn.LET(_xlpm.v,VLOOKUP(tblCharDataCharles[[#This Row],[Field]],INDIRECT($AH$1),2,FALSE),IF(OR(_xlpm.v=0,_xlpm.v=""),"-",REPT("●",_xlpm.v)))</f>
        <v>●●</v>
      </c>
      <c r="D247" s="16" t="s">
        <v>1525</v>
      </c>
      <c r="E247" s="16"/>
      <c r="F247" s="16" t="s">
        <v>1526</v>
      </c>
      <c r="G247" s="16" t="s">
        <v>1527</v>
      </c>
      <c r="H247" s="16"/>
      <c r="I247" s="16"/>
    </row>
    <row r="248" spans="1:9">
      <c r="A248" s="1" t="s">
        <v>247</v>
      </c>
      <c r="B248" t="str">
        <f ca="1">_xlfn.LET(_xlpm.v,VLOOKUP(tblCharDataCharles[[#This Row],[Field]],INDIRECT($AH$1),2,FALSE),IF(OR(_xlpm.v=0,_xlpm.v=""),"-",REPT("●",_xlpm.v)))</f>
        <v>-</v>
      </c>
      <c r="D248" s="19"/>
      <c r="E248" s="15" t="s">
        <v>1528</v>
      </c>
      <c r="F248" s="7"/>
      <c r="G248" s="7"/>
      <c r="H248" s="19"/>
      <c r="I248" s="19" t="s">
        <v>1529</v>
      </c>
    </row>
    <row r="249" spans="1:9">
      <c r="A249" s="1" t="s">
        <v>248</v>
      </c>
      <c r="B249" t="str">
        <f ca="1">_xlfn.LET(_xlpm.v,VLOOKUP(tblCharDataCharles[[#This Row],[Field]],INDIRECT($AH$1),2,FALSE),IF(OR(_xlpm.v=0,_xlpm.v=""),"-",REPT("●",_xlpm.v)))</f>
        <v>●●</v>
      </c>
      <c r="D249" s="19"/>
      <c r="E249" s="15" t="s">
        <v>1530</v>
      </c>
      <c r="F249" s="7"/>
      <c r="G249" s="7"/>
      <c r="H249" s="19"/>
      <c r="I249" s="19" t="s">
        <v>1531</v>
      </c>
    </row>
    <row r="250" spans="1:9">
      <c r="A250" s="1" t="s">
        <v>249</v>
      </c>
      <c r="B250" t="str">
        <f ca="1">_xlfn.LET(_xlpm.v,VLOOKUP(tblCharDataCharles[[#This Row],[Field]],INDIRECT($AH$1),2,FALSE),IF(OR(_xlpm.v=0,_xlpm.v=""),"-",REPT("●",_xlpm.v)))</f>
        <v>-</v>
      </c>
      <c r="D250" s="19" t="s">
        <v>1532</v>
      </c>
      <c r="E250" s="15" t="s">
        <v>1533</v>
      </c>
      <c r="F250" s="7"/>
      <c r="G250" s="7"/>
      <c r="H250" s="19"/>
      <c r="I250" s="19"/>
    </row>
    <row r="251" spans="1:9">
      <c r="A251" s="1" t="s">
        <v>250</v>
      </c>
      <c r="B251" t="str">
        <f ca="1">_xlfn.LET(_xlpm.v,VLOOKUP(tblCharDataCharles[[#This Row],[Field]],INDIRECT($AH$1),2,FALSE),IF(OR(_xlpm.v=0,_xlpm.v=""),"-",REPT("●",_xlpm.v)))</f>
        <v>-</v>
      </c>
      <c r="D251" s="19" t="s">
        <v>1532</v>
      </c>
      <c r="E251" s="15" t="s">
        <v>1534</v>
      </c>
      <c r="F251" s="7"/>
      <c r="G251" s="7"/>
      <c r="H251" s="19"/>
      <c r="I251" s="19"/>
    </row>
    <row r="252" spans="1:9">
      <c r="A252" s="1" t="s">
        <v>251</v>
      </c>
      <c r="B252" t="str">
        <f ca="1">_xlfn.LET(_xlpm.v,VLOOKUP(tblCharDataCharles[[#This Row],[Field]],INDIRECT($AH$1),2,FALSE),IF(OR(_xlpm.v=0,_xlpm.v=""),"-",REPT("●",_xlpm.v)))</f>
        <v>●</v>
      </c>
      <c r="D252" s="19" t="s">
        <v>1532</v>
      </c>
      <c r="E252" s="15" t="s">
        <v>1535</v>
      </c>
      <c r="F252" s="7"/>
      <c r="G252" s="7"/>
      <c r="H252" s="19"/>
      <c r="I252" s="19"/>
    </row>
    <row r="253" spans="1:9">
      <c r="A253" s="1" t="s">
        <v>252</v>
      </c>
      <c r="B253" t="str">
        <f ca="1">_xlfn.LET(_xlpm.v,VLOOKUP(tblCharDataCharles[[#This Row],[Field]],INDIRECT($AH$1),2,FALSE),IF(OR(_xlpm.v=0,_xlpm.v=""),"-",REPT("●",_xlpm.v)))</f>
        <v>●</v>
      </c>
      <c r="D253" s="19" t="s">
        <v>1532</v>
      </c>
      <c r="E253" s="15" t="s">
        <v>1536</v>
      </c>
      <c r="F253" s="7"/>
      <c r="G253" s="7"/>
      <c r="H253" s="19"/>
      <c r="I253" s="19"/>
    </row>
    <row r="254" spans="1:9">
      <c r="A254" s="1" t="s">
        <v>253</v>
      </c>
      <c r="B254" t="str">
        <f t="shared" ref="B254:B283" si="37">IF(AD44="","¬",AD44)</f>
        <v>Animalism ● | Feral Whispers</v>
      </c>
      <c r="D254" s="19" t="s">
        <v>1532</v>
      </c>
      <c r="E254" s="15" t="s">
        <v>1537</v>
      </c>
      <c r="F254" s="7"/>
      <c r="G254" s="7"/>
      <c r="H254" s="19"/>
      <c r="I254" s="19"/>
    </row>
    <row r="255" spans="1:9">
      <c r="A255" s="1" t="s">
        <v>254</v>
      </c>
      <c r="B255" t="str">
        <f t="shared" si="37"/>
        <v>Dominate ● | Mesmerise</v>
      </c>
      <c r="D255" s="19" t="s">
        <v>1532</v>
      </c>
      <c r="E255" s="15" t="s">
        <v>1538</v>
      </c>
      <c r="F255" s="7"/>
      <c r="G255" s="7"/>
      <c r="H255" s="19"/>
      <c r="I255" s="19"/>
    </row>
    <row r="256" spans="1:9">
      <c r="A256" s="1" t="s">
        <v>255</v>
      </c>
      <c r="B256" t="str">
        <f t="shared" si="37"/>
        <v>Dominate ●● | Iron Edict</v>
      </c>
      <c r="D256" s="19" t="s">
        <v>1532</v>
      </c>
      <c r="E256" s="15" t="s">
        <v>1539</v>
      </c>
      <c r="F256" s="7"/>
      <c r="G256" s="7"/>
      <c r="H256" s="19"/>
      <c r="I256" s="19"/>
    </row>
    <row r="257" spans="1:9">
      <c r="A257" s="1" t="s">
        <v>256</v>
      </c>
      <c r="B257" t="str">
        <f t="shared" si="37"/>
        <v>Protean ● | Unmarked Grave</v>
      </c>
      <c r="D257" s="19" t="s">
        <v>1532</v>
      </c>
      <c r="E257" s="15" t="s">
        <v>1540</v>
      </c>
      <c r="F257" s="7"/>
      <c r="G257" s="7"/>
      <c r="H257" s="19"/>
      <c r="I257" s="19"/>
    </row>
    <row r="258" spans="1:9">
      <c r="A258" s="1" t="s">
        <v>257</v>
      </c>
      <c r="B258" t="str">
        <f t="shared" si="37"/>
        <v>Protean ●● | Predatory Aspect</v>
      </c>
      <c r="D258" s="19" t="s">
        <v>1532</v>
      </c>
      <c r="E258" s="15" t="s">
        <v>1541</v>
      </c>
      <c r="F258" s="7"/>
      <c r="G258" s="7"/>
      <c r="H258" s="19"/>
      <c r="I258" s="19"/>
    </row>
    <row r="259" spans="1:9">
      <c r="A259" s="1" t="s">
        <v>258</v>
      </c>
      <c r="B259" t="str">
        <f t="shared" si="37"/>
        <v>Blood Sorcery | Creation ●</v>
      </c>
      <c r="D259" s="19" t="s">
        <v>1532</v>
      </c>
      <c r="E259" s="15" t="s">
        <v>1542</v>
      </c>
      <c r="F259" s="7"/>
      <c r="G259" s="7"/>
      <c r="H259" s="19"/>
      <c r="I259" s="19"/>
    </row>
    <row r="260" spans="1:9">
      <c r="A260" s="1" t="s">
        <v>259</v>
      </c>
      <c r="B260" t="str">
        <f t="shared" si="37"/>
        <v>Blood Sorcery | Creation ●●</v>
      </c>
      <c r="D260" s="19" t="s">
        <v>1532</v>
      </c>
      <c r="E260" s="15" t="s">
        <v>1543</v>
      </c>
      <c r="F260" s="7"/>
      <c r="G260" s="7"/>
      <c r="H260" s="19"/>
      <c r="I260" s="19"/>
    </row>
    <row r="261" spans="1:9">
      <c r="A261" s="1" t="s">
        <v>260</v>
      </c>
      <c r="B261" t="str">
        <f t="shared" si="37"/>
        <v>Blood Sorcery | Protection ●</v>
      </c>
      <c r="D261" s="19" t="s">
        <v>1532</v>
      </c>
      <c r="E261" s="15" t="s">
        <v>1544</v>
      </c>
      <c r="F261" s="7"/>
      <c r="G261" s="7"/>
      <c r="H261" s="19"/>
      <c r="I261" s="19"/>
    </row>
    <row r="262" spans="1:9">
      <c r="A262" s="1" t="s">
        <v>261</v>
      </c>
      <c r="B262" t="str">
        <f t="shared" si="37"/>
        <v>Blood Sorcery | Transmutation ●</v>
      </c>
      <c r="D262" s="19" t="s">
        <v>1532</v>
      </c>
      <c r="E262" s="15" t="s">
        <v>1545</v>
      </c>
      <c r="F262" s="7"/>
      <c r="G262" s="7"/>
      <c r="H262" s="19"/>
      <c r="I262" s="19"/>
    </row>
    <row r="263" spans="1:9">
      <c r="A263" s="1" t="s">
        <v>262</v>
      </c>
      <c r="B263" t="str">
        <f t="shared" si="37"/>
        <v>Cruac ● | Fires of Inspiration</v>
      </c>
      <c r="D263" s="19" t="s">
        <v>1532</v>
      </c>
      <c r="E263" s="15" t="s">
        <v>1546</v>
      </c>
      <c r="F263" s="7"/>
      <c r="G263" s="7"/>
      <c r="H263" s="19"/>
      <c r="I263" s="19"/>
    </row>
    <row r="264" spans="1:9">
      <c r="A264" s="1" t="s">
        <v>263</v>
      </c>
      <c r="B264" t="str">
        <f t="shared" si="37"/>
        <v>Cruac ●● | Wisdom of the Soul</v>
      </c>
      <c r="D264" s="19" t="s">
        <v>1532</v>
      </c>
      <c r="E264" s="15" t="s">
        <v>1547</v>
      </c>
      <c r="F264" s="7"/>
      <c r="G264" s="7"/>
      <c r="H264" s="19"/>
      <c r="I264" s="19"/>
    </row>
    <row r="265" spans="1:9">
      <c r="A265" s="1" t="s">
        <v>264</v>
      </c>
      <c r="B265" t="str">
        <f t="shared" si="37"/>
        <v>¬</v>
      </c>
      <c r="D265" s="19" t="s">
        <v>1532</v>
      </c>
      <c r="E265" s="15" t="s">
        <v>1548</v>
      </c>
      <c r="F265" s="7"/>
      <c r="G265" s="7"/>
      <c r="H265" s="19"/>
      <c r="I265" s="19"/>
    </row>
    <row r="266" spans="1:9">
      <c r="A266" s="1" t="s">
        <v>265</v>
      </c>
      <c r="B266" t="str">
        <f t="shared" si="37"/>
        <v>¬</v>
      </c>
      <c r="D266" s="19" t="s">
        <v>1532</v>
      </c>
      <c r="E266" s="15" t="s">
        <v>1549</v>
      </c>
      <c r="F266" s="7"/>
      <c r="G266" s="7"/>
      <c r="H266" s="19"/>
      <c r="I266" s="19"/>
    </row>
    <row r="267" spans="1:9">
      <c r="A267" s="1" t="s">
        <v>266</v>
      </c>
      <c r="B267" t="str">
        <f t="shared" si="37"/>
        <v>¬</v>
      </c>
      <c r="D267" s="19" t="s">
        <v>1532</v>
      </c>
      <c r="E267" s="15" t="s">
        <v>1550</v>
      </c>
      <c r="F267" s="7"/>
      <c r="G267" s="7"/>
      <c r="H267" s="19"/>
      <c r="I267" s="19"/>
    </row>
    <row r="268" spans="1:9">
      <c r="A268" s="1" t="s">
        <v>267</v>
      </c>
      <c r="B268" t="str">
        <f t="shared" si="37"/>
        <v>¬</v>
      </c>
      <c r="D268" s="19" t="s">
        <v>1532</v>
      </c>
      <c r="E268" s="15" t="s">
        <v>1551</v>
      </c>
      <c r="F268" s="7"/>
      <c r="G268" s="7"/>
      <c r="H268" s="19"/>
      <c r="I268" s="19"/>
    </row>
    <row r="269" spans="1:9">
      <c r="A269" s="1" t="s">
        <v>268</v>
      </c>
      <c r="B269" t="str">
        <f t="shared" si="37"/>
        <v>¬</v>
      </c>
      <c r="D269" s="19" t="s">
        <v>1532</v>
      </c>
      <c r="E269" s="15" t="s">
        <v>1552</v>
      </c>
      <c r="F269" s="7"/>
      <c r="G269" s="7"/>
      <c r="H269" s="19"/>
      <c r="I269" s="19"/>
    </row>
    <row r="270" spans="1:9">
      <c r="A270" s="1" t="s">
        <v>269</v>
      </c>
      <c r="B270" t="str">
        <f t="shared" si="37"/>
        <v>¬</v>
      </c>
      <c r="D270" s="19" t="s">
        <v>1532</v>
      </c>
      <c r="E270" s="15" t="s">
        <v>1553</v>
      </c>
      <c r="F270" s="7"/>
      <c r="G270" s="7"/>
      <c r="H270" s="19"/>
      <c r="I270" s="19"/>
    </row>
    <row r="271" spans="1:9">
      <c r="A271" s="1" t="s">
        <v>270</v>
      </c>
      <c r="B271" t="str">
        <f t="shared" si="37"/>
        <v>¬</v>
      </c>
      <c r="D271" s="19" t="s">
        <v>1532</v>
      </c>
      <c r="E271" s="15" t="s">
        <v>1554</v>
      </c>
      <c r="F271" s="7"/>
      <c r="G271" s="7"/>
      <c r="H271" s="19"/>
      <c r="I271" s="19"/>
    </row>
    <row r="272" spans="1:9">
      <c r="A272" s="1" t="s">
        <v>271</v>
      </c>
      <c r="B272" t="str">
        <f t="shared" si="37"/>
        <v>¬</v>
      </c>
      <c r="D272" s="19" t="s">
        <v>1532</v>
      </c>
      <c r="E272" s="15" t="s">
        <v>1555</v>
      </c>
      <c r="F272" s="7"/>
      <c r="G272" s="7"/>
      <c r="H272" s="19"/>
      <c r="I272" s="19"/>
    </row>
    <row r="273" spans="1:14">
      <c r="A273" s="1" t="s">
        <v>272</v>
      </c>
      <c r="B273" t="str">
        <f t="shared" si="37"/>
        <v>¬</v>
      </c>
      <c r="D273" s="19" t="s">
        <v>1532</v>
      </c>
      <c r="E273" s="15" t="s">
        <v>1556</v>
      </c>
      <c r="F273" s="7"/>
      <c r="G273" s="7"/>
      <c r="H273" s="19"/>
      <c r="I273" s="19"/>
    </row>
    <row r="274" spans="1:14">
      <c r="A274" s="1" t="s">
        <v>273</v>
      </c>
      <c r="B274" t="str">
        <f t="shared" si="37"/>
        <v>¬</v>
      </c>
      <c r="D274" s="19" t="s">
        <v>1532</v>
      </c>
      <c r="E274" s="15" t="s">
        <v>1557</v>
      </c>
      <c r="F274" s="7"/>
      <c r="G274" s="7"/>
      <c r="H274" s="19"/>
      <c r="I274" s="19"/>
    </row>
    <row r="275" spans="1:14">
      <c r="A275" s="1" t="s">
        <v>274</v>
      </c>
      <c r="B275" t="str">
        <f t="shared" si="37"/>
        <v>¬</v>
      </c>
      <c r="D275" s="19" t="s">
        <v>1532</v>
      </c>
      <c r="E275" s="15" t="s">
        <v>1558</v>
      </c>
      <c r="F275" s="7"/>
      <c r="G275" s="7"/>
      <c r="H275" s="19"/>
      <c r="I275" s="19"/>
    </row>
    <row r="276" spans="1:14">
      <c r="A276" s="1" t="s">
        <v>275</v>
      </c>
      <c r="B276" t="str">
        <f t="shared" si="37"/>
        <v>¬</v>
      </c>
      <c r="D276" s="19" t="s">
        <v>1532</v>
      </c>
      <c r="E276" s="15" t="s">
        <v>1559</v>
      </c>
      <c r="F276" s="7"/>
      <c r="G276" s="7"/>
      <c r="H276" s="19"/>
      <c r="I276" s="19"/>
    </row>
    <row r="277" spans="1:14">
      <c r="A277" s="1" t="s">
        <v>276</v>
      </c>
      <c r="B277" t="str">
        <f t="shared" si="37"/>
        <v>¬</v>
      </c>
      <c r="D277" s="19" t="s">
        <v>1532</v>
      </c>
      <c r="E277" s="15" t="s">
        <v>1560</v>
      </c>
      <c r="F277" s="7"/>
      <c r="G277" s="7"/>
      <c r="H277" s="19"/>
      <c r="I277" s="19"/>
    </row>
    <row r="278" spans="1:14">
      <c r="A278" s="1" t="s">
        <v>277</v>
      </c>
      <c r="B278" t="str">
        <f t="shared" si="37"/>
        <v>¬</v>
      </c>
    </row>
    <row r="279" spans="1:14">
      <c r="A279" s="1" t="s">
        <v>278</v>
      </c>
      <c r="B279" t="str">
        <f t="shared" si="37"/>
        <v>¬</v>
      </c>
      <c r="D279" s="16" t="s">
        <v>1561</v>
      </c>
      <c r="E279" s="16"/>
      <c r="F279" s="16" t="s">
        <v>1347</v>
      </c>
      <c r="G279" s="16" t="s">
        <v>1348</v>
      </c>
      <c r="H279" s="16" t="s">
        <v>1349</v>
      </c>
      <c r="I279" s="16" t="s">
        <v>1350</v>
      </c>
      <c r="N279" s="60">
        <f ca="1">SUM(N280:N282)</f>
        <v>3</v>
      </c>
    </row>
    <row r="280" spans="1:14">
      <c r="A280" s="1" t="s">
        <v>279</v>
      </c>
      <c r="B280" t="str">
        <f t="shared" si="37"/>
        <v>¬</v>
      </c>
      <c r="D280" s="61" t="str" cm="1">
        <f t="array" aca="1" ref="D280" ca="1">INDEX(Attendance!$C$14:$GP$44,
       MATCH($F$4, Attendance!$C$14:$C$44, 0),
       MATCH(1, (Attendance!$C$12:$GP$12=$E280) * (Attendance!$C$13:$GP$13="Paid"), 0)
)</f>
        <v>Cash</v>
      </c>
      <c r="E280" s="41">
        <v>46054</v>
      </c>
      <c r="F280" s="61" cm="1">
        <f t="array" aca="1" ref="F280" ca="1">N(INDEX(Attendance!$C$14:$GP$104,
       MATCH($F$4, Attendance!$C$14:$C$104, 0),
       MATCH(1, (Attendance!$C$12:$GP$12=$E280) * (Attendance!$C$13:$GP$13=$F$279), 0)
))</f>
        <v>3</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0</v>
      </c>
      <c r="I280" s="61" t="str" cm="1">
        <f t="array" aca="1" ref="I280" ca="1">INDEX(Attendance!$C$14:$GP$44,
       MATCH($F$4, Attendance!$C$14:$C$44, 0),
       MATCH(1, (Attendance!$C$12:$GP$12=$E280) * (Attendance!$C$13:$GP$13=$I$279), 0)
)</f>
        <v>Quiet</v>
      </c>
      <c r="K280" s="18"/>
      <c r="L280" s="18"/>
      <c r="M280" s="18" t="s">
        <v>1562</v>
      </c>
      <c r="N280" s="61">
        <f ca="1">SUM(F$280:F$316)</f>
        <v>3</v>
      </c>
    </row>
    <row r="281" spans="1:14">
      <c r="A281" s="1" t="s">
        <v>280</v>
      </c>
      <c r="B281" t="str">
        <f t="shared" si="37"/>
        <v>¬</v>
      </c>
      <c r="D281" s="61" t="str" cm="1">
        <f t="array" aca="1" ref="D281" ca="1">INDEX(Attendance!$C$14:$GP$44,
       MATCH($F$4, Attendance!$C$14:$C$44, 0),
       MATCH(1, (Attendance!$C$12:$GP$12=$E281) * (Attendance!$C$13:$GP$13="Paid"), 0)
)</f>
        <v> </v>
      </c>
      <c r="E281" s="42">
        <f t="shared" ref="E281:E316" si="38">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7"/>
        <v>¬</v>
      </c>
      <c r="D282" s="61" t="str" cm="1">
        <f t="array" aca="1" ref="D282" ca="1">INDEX(Attendance!$C$14:$GP$44,
       MATCH($F$4, Attendance!$C$14:$C$44, 0),
       MATCH(1, (Attendance!$C$12:$GP$12=$E282) * (Attendance!$C$13:$GP$13="Paid"), 0)
)</f>
        <v> </v>
      </c>
      <c r="E282" s="42">
        <f t="shared" si="38"/>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0</v>
      </c>
    </row>
    <row r="283" spans="1:14">
      <c r="A283" s="1" t="s">
        <v>282</v>
      </c>
      <c r="B283" t="str">
        <f t="shared" si="37"/>
        <v>¬</v>
      </c>
      <c r="D283" s="61" t="str" cm="1">
        <f t="array" aca="1" ref="D283" ca="1">INDEX(Attendance!$C$14:$GP$44,
       MATCH($F$4, Attendance!$C$14:$C$44, 0),
       MATCH(1, (Attendance!$C$12:$GP$12=$E283) * (Attendance!$C$13:$GP$13="Paid"), 0)
)</f>
        <v> </v>
      </c>
      <c r="E283" s="42">
        <f t="shared" si="38"/>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9">IF(AE44="","¬",AE44)</f>
        <v>Cost: -  •  Pool: 5  •  Instant  •  Scene (may persist)</v>
      </c>
      <c r="D284" s="61" t="str" cm="1">
        <f t="array" aca="1" ref="D284" ca="1">INDEX(Attendance!$C$14:$GP$44,
       MATCH($F$4, Attendance!$C$14:$C$44, 0),
       MATCH(1, (Attendance!$C$12:$GP$12=$E284) * (Attendance!$C$13:$GP$13="Paid"), 0)
)</f>
        <v> </v>
      </c>
      <c r="E284" s="42">
        <f t="shared" si="38"/>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9"/>
        <v>Cost: - -3 in combat unless Blinded  •  Pool: 8  v Resolve + BP  •  Instant  •  Instant</v>
      </c>
      <c r="D285" s="61" t="str" cm="1">
        <f t="array" aca="1" ref="D285" ca="1">INDEX(Attendance!$C$14:$GP$44,
       MATCH($F$4, Attendance!$C$14:$C$44, 0),
       MATCH(1, (Attendance!$C$12:$GP$12=$E285) * (Attendance!$C$13:$GP$13="Paid"), 0)
)</f>
        <v> </v>
      </c>
      <c r="E285" s="42">
        <f t="shared" si="38"/>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9"/>
        <v>Cost: 1 V (0 in bond) (req: Mesmerised); -3 in combat unless Blinded  •  Pool: -  •  Instant  •  Instant</v>
      </c>
      <c r="D286" s="61" t="str" cm="1">
        <f t="array" aca="1" ref="D286" ca="1">INDEX(Attendance!$C$14:$GP$44,
       MATCH($F$4, Attendance!$C$14:$C$44, 0),
       MATCH(1, (Attendance!$C$12:$GP$12=$E286) * (Attendance!$C$13:$GP$13="Paid"), 0)
)</f>
        <v> </v>
      </c>
      <c r="E286" s="42">
        <f t="shared" si="38"/>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9"/>
        <v>Cost: Varies  •  Pool: -  •  Instant  •  Indefinite</v>
      </c>
      <c r="D287" s="61" t="str" cm="1">
        <f t="array" aca="1" ref="D287" ca="1">INDEX(Attendance!$C$14:$GP$44,
       MATCH($F$4, Attendance!$C$14:$C$44, 0),
       MATCH(1, (Attendance!$C$12:$GP$12=$E287) * (Attendance!$C$13:$GP$13="Paid"), 0)
)</f>
        <v> </v>
      </c>
      <c r="E287" s="42">
        <f t="shared" si="38"/>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9"/>
        <v>Cost: 1 V  •  Pool: -  •  Instant  •  Scene</v>
      </c>
      <c r="D288" s="61" t="str" cm="1">
        <f t="array" aca="1" ref="D288" ca="1">INDEX(Attendance!$C$14:$GP$44,
       MATCH($F$4, Attendance!$C$14:$C$44, 0),
       MATCH(1, (Attendance!$C$12:$GP$12=$E288) * (Attendance!$C$13:$GP$13="Paid"), 0)
)</f>
        <v> </v>
      </c>
      <c r="E288" s="42">
        <f t="shared" si="38"/>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9"/>
        <v>¬</v>
      </c>
      <c r="D289" s="61" t="str" cm="1">
        <f t="array" aca="1" ref="D289" ca="1">INDEX(Attendance!$C$14:$GP$44,
       MATCH($F$4, Attendance!$C$14:$C$44, 0),
       MATCH(1, (Attendance!$C$12:$GP$12=$E289) * (Attendance!$C$13:$GP$13="Paid"), 0)
)</f>
        <v> </v>
      </c>
      <c r="E289" s="42">
        <f t="shared" si="38"/>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9"/>
        <v>¬</v>
      </c>
      <c r="D290" s="61" t="str" cm="1">
        <f t="array" aca="1" ref="D290" ca="1">INDEX(Attendance!$C$14:$GP$44,
       MATCH($F$4, Attendance!$C$14:$C$44, 0),
       MATCH(1, (Attendance!$C$12:$GP$12=$E290) * (Attendance!$C$13:$GP$13="Paid"), 0)
)</f>
        <v> </v>
      </c>
      <c r="E290" s="42">
        <f t="shared" si="38"/>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9"/>
        <v>¬</v>
      </c>
      <c r="D291" s="61" t="str" cm="1">
        <f t="array" aca="1" ref="D291" ca="1">INDEX(Attendance!$C$14:$GP$44,
       MATCH($F$4, Attendance!$C$14:$C$44, 0),
       MATCH(1, (Attendance!$C$12:$GP$12=$E291) * (Attendance!$C$13:$GP$13="Paid"), 0)
)</f>
        <v> </v>
      </c>
      <c r="E291" s="42">
        <f t="shared" si="38"/>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9"/>
        <v>¬</v>
      </c>
      <c r="D292" s="61" t="str" cm="1">
        <f t="array" aca="1" ref="D292" ca="1">INDEX(Attendance!$C$14:$GP$44,
       MATCH($F$4, Attendance!$C$14:$C$44, 0),
       MATCH(1, (Attendance!$C$12:$GP$12=$E292) * (Attendance!$C$13:$GP$13="Paid"), 0)
)</f>
        <v> </v>
      </c>
      <c r="E292" s="42">
        <f t="shared" si="38"/>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9"/>
        <v>Cost: 1 V 1 Successes  •  Pool: 8  •  Ritual  •  1 night</v>
      </c>
      <c r="D293" s="61" t="str" cm="1">
        <f t="array" aca="1" ref="D293" ca="1">INDEX(Attendance!$C$14:$GP$44,
       MATCH($F$4, Attendance!$C$14:$C$44, 0),
       MATCH(1, (Attendance!$C$12:$GP$12=$E293) * (Attendance!$C$13:$GP$13="Paid"), 0)
)</f>
        <v> </v>
      </c>
      <c r="E293" s="42">
        <f t="shared" si="38"/>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9"/>
        <v>Cost: 1 V 2 Successes  •  Pool: 8  •  Ritual  •  Instant</v>
      </c>
      <c r="D294" s="61" t="str" cm="1">
        <f t="array" aca="1" ref="D294" ca="1">INDEX(Attendance!$C$14:$GP$44,
       MATCH($F$4, Attendance!$C$14:$C$44, 0),
       MATCH(1, (Attendance!$C$12:$GP$12=$E294) * (Attendance!$C$13:$GP$13="Paid"), 0)
)</f>
        <v> </v>
      </c>
      <c r="E294" s="42">
        <f t="shared" si="38"/>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9"/>
        <v>¬</v>
      </c>
      <c r="D295" s="61" t="str" cm="1">
        <f t="array" aca="1" ref="D295" ca="1">INDEX(Attendance!$C$14:$GP$44,
       MATCH($F$4, Attendance!$C$14:$C$44, 0),
       MATCH(1, (Attendance!$C$12:$GP$12=$E295) * (Attendance!$C$13:$GP$13="Paid"), 0)
)</f>
        <v> </v>
      </c>
      <c r="E295" s="42">
        <f t="shared" si="38"/>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9"/>
        <v>¬</v>
      </c>
      <c r="D296" s="61" t="str" cm="1">
        <f t="array" aca="1" ref="D296" ca="1">INDEX(Attendance!$C$14:$GP$44,
       MATCH($F$4, Attendance!$C$14:$C$44, 0),
       MATCH(1, (Attendance!$C$12:$GP$12=$E296) * (Attendance!$C$13:$GP$13="Paid"), 0)
)</f>
        <v> </v>
      </c>
      <c r="E296" s="42">
        <f t="shared" si="38"/>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9"/>
        <v>¬</v>
      </c>
      <c r="D297" s="61" t="str" cm="1">
        <f t="array" aca="1" ref="D297" ca="1">INDEX(Attendance!$C$14:$GP$44,
       MATCH($F$4, Attendance!$C$14:$C$44, 0),
       MATCH(1, (Attendance!$C$12:$GP$12=$E297) * (Attendance!$C$13:$GP$13="Paid"), 0)
)</f>
        <v> </v>
      </c>
      <c r="E297" s="42">
        <f t="shared" si="38"/>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9"/>
        <v>¬</v>
      </c>
      <c r="D298" s="61" t="str" cm="1">
        <f t="array" aca="1" ref="D298" ca="1">INDEX(Attendance!$C$14:$GP$44,
       MATCH($F$4, Attendance!$C$14:$C$44, 0),
       MATCH(1, (Attendance!$C$12:$GP$12=$E298) * (Attendance!$C$13:$GP$13="Paid"), 0)
)</f>
        <v> </v>
      </c>
      <c r="E298" s="42">
        <f t="shared" si="38"/>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9"/>
        <v>¬</v>
      </c>
      <c r="D299" s="61" t="str" cm="1">
        <f t="array" aca="1" ref="D299" ca="1">INDEX(Attendance!$C$14:$GP$44,
       MATCH($F$4, Attendance!$C$14:$C$44, 0),
       MATCH(1, (Attendance!$C$12:$GP$12=$E299) * (Attendance!$C$13:$GP$13="Paid"), 0)
)</f>
        <v> </v>
      </c>
      <c r="E299" s="42">
        <f t="shared" si="38"/>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9"/>
        <v>¬</v>
      </c>
      <c r="D300" s="61" t="str" cm="1">
        <f t="array" aca="1" ref="D300" ca="1">INDEX(Attendance!$C$14:$GP$44,
       MATCH($F$4, Attendance!$C$14:$C$44, 0),
       MATCH(1, (Attendance!$C$12:$GP$12=$E300) * (Attendance!$C$13:$GP$13="Paid"), 0)
)</f>
        <v> </v>
      </c>
      <c r="E300" s="42">
        <f t="shared" si="38"/>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9"/>
        <v>¬</v>
      </c>
      <c r="D301" s="61" t="str" cm="1">
        <f t="array" aca="1" ref="D301" ca="1">INDEX(Attendance!$C$14:$GP$44,
       MATCH($F$4, Attendance!$C$14:$C$44, 0),
       MATCH(1, (Attendance!$C$12:$GP$12=$E301) * (Attendance!$C$13:$GP$13="Paid"), 0)
)</f>
        <v> </v>
      </c>
      <c r="E301" s="42">
        <f t="shared" si="38"/>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9"/>
        <v>¬</v>
      </c>
      <c r="D302" s="61" t="str" cm="1">
        <f t="array" aca="1" ref="D302" ca="1">INDEX(Attendance!$C$14:$GP$44,
       MATCH($F$4, Attendance!$C$14:$C$44, 0),
       MATCH(1, (Attendance!$C$12:$GP$12=$E302) * (Attendance!$C$13:$GP$13="Paid"), 0)
)</f>
        <v> </v>
      </c>
      <c r="E302" s="42">
        <f t="shared" si="38"/>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9"/>
        <v>¬</v>
      </c>
      <c r="D303" s="61" t="str" cm="1">
        <f t="array" aca="1" ref="D303" ca="1">INDEX(Attendance!$C$14:$GP$44,
       MATCH($F$4, Attendance!$C$14:$C$44, 0),
       MATCH(1, (Attendance!$C$12:$GP$12=$E303) * (Attendance!$C$13:$GP$13="Paid"), 0)
)</f>
        <v> </v>
      </c>
      <c r="E303" s="42">
        <f t="shared" si="38"/>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9"/>
        <v>¬</v>
      </c>
      <c r="D304" s="61" t="str" cm="1">
        <f t="array" aca="1" ref="D304" ca="1">INDEX(Attendance!$C$14:$GP$44,
       MATCH($F$4, Attendance!$C$14:$C$44, 0),
       MATCH(1, (Attendance!$C$12:$GP$12=$E304) * (Attendance!$C$13:$GP$13="Paid"), 0)
)</f>
        <v> </v>
      </c>
      <c r="E304" s="42">
        <f t="shared" si="38"/>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9"/>
        <v>¬</v>
      </c>
      <c r="D305" s="61" t="str" cm="1">
        <f t="array" aca="1" ref="D305" ca="1">INDEX(Attendance!$C$14:$GP$44,
       MATCH($F$4, Attendance!$C$14:$C$44, 0),
       MATCH(1, (Attendance!$C$12:$GP$12=$E305) * (Attendance!$C$13:$GP$13="Paid"), 0)
)</f>
        <v> </v>
      </c>
      <c r="E305" s="42">
        <f t="shared" si="38"/>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9"/>
        <v>¬</v>
      </c>
      <c r="D306" s="61" t="str" cm="1">
        <f t="array" aca="1" ref="D306" ca="1">INDEX(Attendance!$C$14:$GP$44,
       MATCH($F$4, Attendance!$C$14:$C$44, 0),
       MATCH(1, (Attendance!$C$12:$GP$12=$E306) * (Attendance!$C$13:$GP$13="Paid"), 0)
)</f>
        <v> </v>
      </c>
      <c r="E306" s="42">
        <f t="shared" si="38"/>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9"/>
        <v>¬</v>
      </c>
      <c r="D307" s="61" t="str" cm="1">
        <f t="array" aca="1" ref="D307" ca="1">INDEX(Attendance!$C$14:$GP$44,
       MATCH($F$4, Attendance!$C$14:$C$44, 0),
       MATCH(1, (Attendance!$C$12:$GP$12=$E307) * (Attendance!$C$13:$GP$13="Paid"), 0)
)</f>
        <v> </v>
      </c>
      <c r="E307" s="42">
        <f t="shared" si="38"/>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9"/>
        <v>¬</v>
      </c>
      <c r="D308" s="61" t="str" cm="1">
        <f t="array" aca="1" ref="D308" ca="1">INDEX(Attendance!$C$14:$GP$44,
       MATCH($F$4, Attendance!$C$14:$C$44, 0),
       MATCH(1, (Attendance!$C$12:$GP$12=$E308) * (Attendance!$C$13:$GP$13="Paid"), 0)
)</f>
        <v> </v>
      </c>
      <c r="E308" s="42">
        <f t="shared" si="38"/>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9"/>
        <v>¬</v>
      </c>
      <c r="D309" s="61" t="str" cm="1">
        <f t="array" aca="1" ref="D309" ca="1">INDEX(Attendance!$C$14:$GP$44,
       MATCH($F$4, Attendance!$C$14:$C$44, 0),
       MATCH(1, (Attendance!$C$12:$GP$12=$E309) * (Attendance!$C$13:$GP$13="Paid"), 0)
)</f>
        <v> </v>
      </c>
      <c r="E309" s="42">
        <f t="shared" si="38"/>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9"/>
        <v>¬</v>
      </c>
      <c r="D310" s="61" t="str" cm="1">
        <f t="array" aca="1" ref="D310" ca="1">INDEX(Attendance!$C$14:$GP$44,
       MATCH($F$4, Attendance!$C$14:$C$44, 0),
       MATCH(1, (Attendance!$C$12:$GP$12=$E310) * (Attendance!$C$13:$GP$13="Paid"), 0)
)</f>
        <v> </v>
      </c>
      <c r="E310" s="42">
        <f t="shared" si="38"/>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9"/>
        <v>¬</v>
      </c>
      <c r="D311" s="61" t="str" cm="1">
        <f t="array" aca="1" ref="D311" ca="1">INDEX(Attendance!$C$14:$GP$44,
       MATCH($F$4, Attendance!$C$14:$C$44, 0),
       MATCH(1, (Attendance!$C$12:$GP$12=$E311) * (Attendance!$C$13:$GP$13="Paid"), 0)
)</f>
        <v> </v>
      </c>
      <c r="E311" s="42">
        <f t="shared" si="38"/>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9"/>
        <v>¬</v>
      </c>
      <c r="D312" s="61" t="str" cm="1">
        <f t="array" aca="1" ref="D312" ca="1">INDEX(Attendance!$C$14:$GP$44,
       MATCH($F$4, Attendance!$C$14:$C$44, 0),
       MATCH(1, (Attendance!$C$12:$GP$12=$E312) * (Attendance!$C$13:$GP$13="Paid"), 0)
)</f>
        <v> </v>
      </c>
      <c r="E312" s="42">
        <f t="shared" si="38"/>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9"/>
        <v>¬</v>
      </c>
      <c r="D313" s="61" t="str" cm="1">
        <f t="array" aca="1" ref="D313" ca="1">INDEX(Attendance!$C$14:$GP$44,
       MATCH($F$4, Attendance!$C$14:$C$44, 0),
       MATCH(1, (Attendance!$C$12:$GP$12=$E313) * (Attendance!$C$13:$GP$13="Paid"), 0)
)</f>
        <v> </v>
      </c>
      <c r="E313" s="42">
        <f t="shared" si="38"/>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40">IF(AF44="","¬",AF44)</f>
        <v>Speak with and command animals.</v>
      </c>
      <c r="D314" s="61" t="str" cm="1">
        <f t="array" aca="1" ref="D314" ca="1">INDEX(Attendance!$C$14:$GP$44,
       MATCH($F$4, Attendance!$C$14:$C$44, 0),
       MATCH(1, (Attendance!$C$12:$GP$12=$E314) * (Attendance!$C$13:$GP$13="Paid"), 0)
)</f>
        <v> </v>
      </c>
      <c r="E314" s="42">
        <f t="shared" si="38"/>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40"/>
        <v>Impose Mesmerised Condition. Control with short commands.</v>
      </c>
      <c r="D315" s="61" t="str" cm="1">
        <f t="array" aca="1" ref="D315" ca="1">INDEX(Attendance!$C$14:$GP$44,
       MATCH($F$4, Attendance!$C$14:$C$44, 0),
       MATCH(1, (Attendance!$C$12:$GP$12=$E315) * (Attendance!$C$13:$GP$13="Paid"), 0)
)</f>
        <v> </v>
      </c>
      <c r="E315" s="42">
        <f t="shared" si="38"/>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40"/>
        <v>Impose Dominated Condition. Give long, detailed commands.</v>
      </c>
      <c r="D316" s="61" t="str" cm="1">
        <f t="array" aca="1" ref="D316" ca="1">INDEX(Attendance!$C$14:$GP$44,
       MATCH($F$4, Attendance!$C$14:$C$44, 0),
       MATCH(1, (Attendance!$C$12:$GP$12=$E316) * (Attendance!$C$13:$GP$13="Paid"), 0)
)</f>
        <v> </v>
      </c>
      <c r="E316" s="42">
        <f t="shared" si="38"/>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40"/>
        <v>Merge with soil.</v>
      </c>
    </row>
    <row r="318" spans="1:9">
      <c r="A318" s="1" t="s">
        <v>317</v>
      </c>
      <c r="B318" t="str">
        <f t="shared" si="40"/>
        <v>Take on animal traits.</v>
      </c>
    </row>
    <row r="319" spans="1:9">
      <c r="A319" s="1" t="s">
        <v>318</v>
      </c>
      <c r="B319" t="str">
        <f t="shared" si="40"/>
        <v>Summon liquids, dead organic matter, sensory phenomena. Bonus/penalty = Potency.</v>
      </c>
    </row>
    <row r="320" spans="1:9">
      <c r="A320" s="1" t="s">
        <v>319</v>
      </c>
      <c r="B320" t="str">
        <f t="shared" si="40"/>
        <v>Summon living insects, vermin, amphibians, fungi, plants, drugs, gases. Under mental command while concentrating.</v>
      </c>
    </row>
    <row r="321" spans="1:2">
      <c r="A321" s="1" t="s">
        <v>320</v>
      </c>
      <c r="B321" t="str">
        <f t="shared" si="40"/>
        <v>Subtract Potency from ritual rolls targeting subject. Heal bashing in vampires. Protect from the Kiss (add Potency to resistance).</v>
      </c>
    </row>
    <row r="322" spans="1:2">
      <c r="A322" s="1" t="s">
        <v>321</v>
      </c>
      <c r="B322" t="str">
        <f t="shared" si="40"/>
        <v>Minor cosmetic changes to living subjects. Warp dead matter. Animate liquids.</v>
      </c>
    </row>
    <row r="323" spans="1:2">
      <c r="A323" s="1" t="s">
        <v>322</v>
      </c>
      <c r="B323" t="str">
        <f t="shared" si="40"/>
        <v>Gain dots in Cruac to Craft or Expression to create a specific work of art, but penalises all other such actions outside that.</v>
      </c>
    </row>
    <row r="324" spans="1:2">
      <c r="A324" s="1" t="s">
        <v>323</v>
      </c>
      <c r="B324" t="str">
        <f t="shared" si="40"/>
        <v>Reveal if mortal/vampire/ghoul; Humanity rating; diablerie</v>
      </c>
    </row>
    <row r="325" spans="1:2">
      <c r="A325" s="1" t="s">
        <v>324</v>
      </c>
      <c r="B325" t="str">
        <f t="shared" si="40"/>
        <v>¬</v>
      </c>
    </row>
    <row r="326" spans="1:2">
      <c r="A326" s="1" t="s">
        <v>325</v>
      </c>
      <c r="B326" t="str">
        <f t="shared" si="40"/>
        <v>¬</v>
      </c>
    </row>
    <row r="327" spans="1:2">
      <c r="A327" s="1" t="s">
        <v>326</v>
      </c>
      <c r="B327" t="str">
        <f t="shared" si="40"/>
        <v>¬</v>
      </c>
    </row>
    <row r="328" spans="1:2">
      <c r="A328" s="1" t="s">
        <v>327</v>
      </c>
      <c r="B328" t="str">
        <f t="shared" si="40"/>
        <v>¬</v>
      </c>
    </row>
    <row r="329" spans="1:2">
      <c r="A329" s="1" t="s">
        <v>328</v>
      </c>
      <c r="B329" t="str">
        <f t="shared" si="40"/>
        <v>¬</v>
      </c>
    </row>
    <row r="330" spans="1:2">
      <c r="A330" s="1" t="s">
        <v>329</v>
      </c>
      <c r="B330" t="str">
        <f t="shared" si="40"/>
        <v>¬</v>
      </c>
    </row>
    <row r="331" spans="1:2">
      <c r="A331" s="1" t="s">
        <v>330</v>
      </c>
      <c r="B331" t="str">
        <f t="shared" si="40"/>
        <v>¬</v>
      </c>
    </row>
    <row r="332" spans="1:2">
      <c r="A332" s="1" t="s">
        <v>331</v>
      </c>
      <c r="B332" t="str">
        <f t="shared" si="40"/>
        <v>¬</v>
      </c>
    </row>
    <row r="333" spans="1:2">
      <c r="A333" s="1" t="s">
        <v>332</v>
      </c>
      <c r="B333" t="str">
        <f t="shared" si="40"/>
        <v>¬</v>
      </c>
    </row>
    <row r="334" spans="1:2">
      <c r="A334" s="1" t="s">
        <v>333</v>
      </c>
      <c r="B334" t="str">
        <f t="shared" si="40"/>
        <v>¬</v>
      </c>
    </row>
    <row r="335" spans="1:2">
      <c r="A335" s="1" t="s">
        <v>334</v>
      </c>
      <c r="B335" t="str">
        <f t="shared" si="40"/>
        <v>¬</v>
      </c>
    </row>
    <row r="336" spans="1:2">
      <c r="A336" s="1" t="s">
        <v>335</v>
      </c>
      <c r="B336" t="str">
        <f t="shared" si="40"/>
        <v>¬</v>
      </c>
    </row>
    <row r="337" spans="1:2">
      <c r="A337" s="1" t="s">
        <v>336</v>
      </c>
      <c r="B337" t="str">
        <f t="shared" si="40"/>
        <v>¬</v>
      </c>
    </row>
    <row r="338" spans="1:2">
      <c r="A338" s="1" t="s">
        <v>337</v>
      </c>
      <c r="B338" t="str">
        <f t="shared" si="40"/>
        <v>¬</v>
      </c>
    </row>
    <row r="339" spans="1:2">
      <c r="A339" s="1" t="s">
        <v>338</v>
      </c>
      <c r="B339" t="str">
        <f t="shared" si="40"/>
        <v>¬</v>
      </c>
    </row>
    <row r="340" spans="1:2">
      <c r="A340" s="1" t="s">
        <v>339</v>
      </c>
      <c r="B340" t="str">
        <f t="shared" si="40"/>
        <v>¬</v>
      </c>
    </row>
    <row r="341" spans="1:2">
      <c r="A341" s="1" t="s">
        <v>340</v>
      </c>
      <c r="B341" t="str">
        <f t="shared" si="40"/>
        <v>¬</v>
      </c>
    </row>
    <row r="342" spans="1:2">
      <c r="A342" s="1" t="s">
        <v>341</v>
      </c>
      <c r="B342" t="str">
        <f t="shared" si="40"/>
        <v>¬</v>
      </c>
    </row>
    <row r="343" spans="1:2">
      <c r="A343" s="1" t="s">
        <v>342</v>
      </c>
      <c r="B343" t="str">
        <f t="shared" si="40"/>
        <v>¬</v>
      </c>
    </row>
    <row r="344" spans="1:2">
      <c r="A344" s="1" t="s">
        <v>343</v>
      </c>
      <c r="B344" s="8" t="str">
        <f>IF(VLOOKUP(tblCharDataCharles[[#This Row],[Field]],$E$2:$F$361,2,FALSE)="","¬",VLOOKUP(tblCharDataCharles[[#This Row],[Field]],$E$2:$F$361,2,FALSE))</f>
        <v>Aloof Curse</v>
      </c>
    </row>
    <row r="345" spans="1:2">
      <c r="A345" s="1" t="s">
        <v>344</v>
      </c>
      <c r="B345" s="8" t="str">
        <f>IF(VLOOKUP(tblCharDataCharles[[#This Row],[Field]],$E$2:$F$361,2,FALSE)="","¬",VLOOKUP(tblCharDataCharles[[#This Row],[Field]],$E$2:$F$361,2,FALSE))</f>
        <v>¬</v>
      </c>
    </row>
    <row r="346" spans="1:2">
      <c r="A346" s="1" t="s">
        <v>345</v>
      </c>
      <c r="B346" s="8" t="str">
        <f>IF(VLOOKUP(tblCharDataCharles[[#This Row],[Field]],$E$2:$F$361,2,FALSE)="","¬",VLOOKUP(tblCharDataCharles[[#This Row],[Field]],$E$2:$F$361,2,FALSE))</f>
        <v>¬</v>
      </c>
    </row>
    <row r="347" spans="1:2">
      <c r="A347" s="1" t="s">
        <v>346</v>
      </c>
      <c r="B347" s="8" t="str">
        <f>IF(VLOOKUP(tblCharDataCharles[[#This Row],[Field]],$E$2:$F$361,2,FALSE)="","¬",VLOOKUP(tblCharDataCharles[[#This Row],[Field]],$E$2:$F$361,2,FALSE))</f>
        <v>¬</v>
      </c>
    </row>
    <row r="348" spans="1:2">
      <c r="A348" s="1" t="s">
        <v>347</v>
      </c>
      <c r="B348" s="8" t="str">
        <f>IF(VLOOKUP(tblCharDataCharles[[#This Row],[Field]],$E$2:$F$361,2,FALSE)="","¬",VLOOKUP(tblCharDataCharles[[#This Row],[Field]],$E$2:$F$361,2,FALSE))</f>
        <v>¬</v>
      </c>
    </row>
    <row r="349" spans="1:2">
      <c r="A349" s="1" t="s">
        <v>348</v>
      </c>
      <c r="B349" t="str">
        <f>_xlfn.IFNA(VLOOKUP(B344,$F$234:$I$238,3,FALSE),"")</f>
        <v>First Touchstone attaches to Humanity 7; losing it detaches on first Humanity loss. Breaking points always treated as one step lower.</v>
      </c>
    </row>
    <row r="350" spans="1:2">
      <c r="A350" s="1" t="s">
        <v>349</v>
      </c>
      <c r="B350" t="str">
        <f>_xlfn.IFNA(VLOOKUP(B345,$F$234:$I$238,3,FALSE),"¬")</f>
        <v>¬</v>
      </c>
    </row>
    <row r="351" spans="1:2">
      <c r="A351" s="1" t="s">
        <v>350</v>
      </c>
      <c r="B351" t="str">
        <f>_xlfn.IFNA(VLOOKUP(B346,$F$234:$I$238,3,FALSE),"")</f>
        <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9</v>
      </c>
    </row>
    <row r="356" spans="1:2">
      <c r="A356" s="1" t="s">
        <v>355</v>
      </c>
      <c r="B356">
        <f ca="1">P220</f>
        <v>3</v>
      </c>
    </row>
    <row r="357" spans="1:2">
      <c r="A357" s="1" t="s">
        <v>356</v>
      </c>
      <c r="B357" t="str">
        <f>IF(F10="","¬",VLOOKUP(F10,tblAnchors[],2,FALSE))</f>
        <v>Put yourself out to help another succeed.</v>
      </c>
    </row>
    <row r="358" spans="1:2">
      <c r="A358" s="1" t="s">
        <v>357</v>
      </c>
      <c r="B358" t="str">
        <f>IF(F10="","¬",VLOOKUP(F10,tblAnchors[],3,FALSE))</f>
        <v>Take full responsibility for another's dangerous mistake.</v>
      </c>
    </row>
    <row r="359" spans="1:2">
      <c r="A359" s="1" t="s">
        <v>358</v>
      </c>
      <c r="B359" t="str">
        <f>IF(F11="","¬",VLOOKUP(F11,tblAnchors[],2,FALSE))</f>
        <v>Convince someone to deny logic because of your word.</v>
      </c>
    </row>
    <row r="360" spans="1:2">
      <c r="A360" s="1" t="s">
        <v>359</v>
      </c>
      <c r="B360" t="str">
        <f>IF(F11="","¬",VLOOKUP(F11,tblAnchors[],3,FALSE))</f>
        <v>Risk exile or death to defend your cult's belief system.</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mid 30s</v>
      </c>
    </row>
    <row r="365" spans="1:2">
      <c r="A365" s="1" t="s">
        <v>364</v>
      </c>
      <c r="B365" t="str">
        <f>_xlfn.LET(_xlpm.a,IF(F244="","",F244),_xlpm.b,IF(F245="","",F245),IF(AND(_xlpm.a&lt;&gt;"",_xlpm.b&lt;&gt;""),_xlpm.a&amp;", "&amp;_xlpm.b,IF(_xlpm.a&lt;&gt;"",_xlpm.a,IF(_xlpm.b&lt;&gt;"",_xlpm.b,""))))</f>
        <v/>
      </c>
    </row>
  </sheetData>
  <mergeCells count="89">
    <mergeCell ref="H85:I85"/>
    <mergeCell ref="O8:P8"/>
    <mergeCell ref="O9:P9"/>
    <mergeCell ref="O10:P10"/>
    <mergeCell ref="O11:P11"/>
    <mergeCell ref="O12:P12"/>
    <mergeCell ref="H79:I79"/>
    <mergeCell ref="H80:I80"/>
    <mergeCell ref="H81:I81"/>
    <mergeCell ref="H82:I82"/>
    <mergeCell ref="H83:I83"/>
    <mergeCell ref="H84:I84"/>
    <mergeCell ref="H97:I97"/>
    <mergeCell ref="H86:I86"/>
    <mergeCell ref="H87:I87"/>
    <mergeCell ref="H88:I88"/>
    <mergeCell ref="H89:I89"/>
    <mergeCell ref="H90:I90"/>
    <mergeCell ref="H91:I91"/>
    <mergeCell ref="H92:I92"/>
    <mergeCell ref="H93:I93"/>
    <mergeCell ref="H94:I94"/>
    <mergeCell ref="H95:I95"/>
    <mergeCell ref="H96:I96"/>
    <mergeCell ref="H111:I111"/>
    <mergeCell ref="H98:I98"/>
    <mergeCell ref="H101:I101"/>
    <mergeCell ref="H102:I102"/>
    <mergeCell ref="H103:I103"/>
    <mergeCell ref="H104:I104"/>
    <mergeCell ref="H105:I105"/>
    <mergeCell ref="H106:I106"/>
    <mergeCell ref="H107:I107"/>
    <mergeCell ref="H108:I108"/>
    <mergeCell ref="H109:I109"/>
    <mergeCell ref="H110:I110"/>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52:I152"/>
    <mergeCell ref="H141:I141"/>
    <mergeCell ref="H142:I142"/>
    <mergeCell ref="H143:I143"/>
    <mergeCell ref="H144:I144"/>
    <mergeCell ref="H145:I145"/>
    <mergeCell ref="H146:I146"/>
    <mergeCell ref="H147:I147"/>
    <mergeCell ref="H148:I148"/>
    <mergeCell ref="H149:I149"/>
    <mergeCell ref="H150:I150"/>
    <mergeCell ref="H151:I151"/>
    <mergeCell ref="H207:I207"/>
    <mergeCell ref="H153:I153"/>
    <mergeCell ref="H154:I154"/>
    <mergeCell ref="H155:I155"/>
    <mergeCell ref="H156:I156"/>
    <mergeCell ref="H157:I157"/>
    <mergeCell ref="H177:I177"/>
    <mergeCell ref="H178:I178"/>
    <mergeCell ref="H179:I179"/>
    <mergeCell ref="H180:I180"/>
    <mergeCell ref="H181:I181"/>
    <mergeCell ref="H206:I206"/>
    <mergeCell ref="H238:I238"/>
    <mergeCell ref="H208:I208"/>
    <mergeCell ref="H209:I209"/>
    <mergeCell ref="H210:I210"/>
    <mergeCell ref="H211:I211"/>
    <mergeCell ref="H212:I212"/>
    <mergeCell ref="H213:I213"/>
    <mergeCell ref="H214:I214"/>
    <mergeCell ref="H215:I215"/>
    <mergeCell ref="H234:I234"/>
    <mergeCell ref="H236:I236"/>
    <mergeCell ref="H237:I237"/>
    <mergeCell ref="F240:I240"/>
    <mergeCell ref="F241:I241"/>
    <mergeCell ref="F242:I242"/>
    <mergeCell ref="F244:I244"/>
    <mergeCell ref="F245:I245"/>
  </mergeCells>
  <dataValidations disablePrompts="1" count="15">
    <dataValidation type="list" allowBlank="1" showInputMessage="1" showErrorMessage="1" sqref="G248:G277" xr:uid="{4C635A23-D2C1-48A2-A142-B6691C6F97A0}">
      <formula1>$I$248:$I$249</formula1>
    </dataValidation>
    <dataValidation type="list" allowBlank="1" showInputMessage="1" showErrorMessage="1" sqref="F101:F120" xr:uid="{BA764E65-B02A-4087-9EF7-41BCA4244434}">
      <formula1>lstManoeuvres</formula1>
    </dataValidation>
    <dataValidation type="list" allowBlank="1" showInputMessage="1" showErrorMessage="1" sqref="F79:F98" xr:uid="{580E5305-5A93-47ED-87F4-05C3BC30F918}">
      <formula1>lstMerits</formula1>
    </dataValidation>
    <dataValidation type="list" allowBlank="1" showInputMessage="1" showErrorMessage="1" sqref="F236:F238" xr:uid="{038E497F-6D6D-4355-AB98-141B42617933}">
      <formula1>lstBanes</formula1>
    </dataValidation>
    <dataValidation type="list" allowBlank="1" showInputMessage="1" showErrorMessage="1" sqref="F206:F215" xr:uid="{9F6F6115-C2AC-422E-B578-DF90BB4401A3}">
      <formula1>lstPacts</formula1>
    </dataValidation>
    <dataValidation type="list" allowBlank="1" showInputMessage="1" showErrorMessage="1" sqref="G12:G13" xr:uid="{EDD150E8-9307-4911-B816-E20C351B6B38}">
      <formula1>lstStatus</formula1>
    </dataValidation>
    <dataValidation type="list" allowBlank="1" showInputMessage="1" showErrorMessage="1" sqref="F194:F205 F207:F215" xr:uid="{79DB2F54-BB8E-47D6-B1EC-AC4747E15E87}">
      <formula1>lstRites</formula1>
    </dataValidation>
    <dataValidation type="list" allowBlank="1" showInputMessage="1" showErrorMessage="1" sqref="F177:F181" xr:uid="{E7DD8482-E9CE-4CDF-8C72-2E42E982C630}">
      <formula1>lstDevotions</formula1>
    </dataValidation>
    <dataValidation type="list" allowBlank="1" showInputMessage="1" showErrorMessage="1" sqref="F17:F21" xr:uid="{E88C377F-AE17-4006-86F9-BB2366CD19B7}">
      <formula1>"TRUE,FALSE"</formula1>
    </dataValidation>
    <dataValidation type="list" allowBlank="1" showInputMessage="1" showErrorMessage="1" sqref="F24" xr:uid="{B9FBC358-6EE6-4E6E-B849-8795A1A9F6AE}">
      <formula1>$D$7:$D$8</formula1>
    </dataValidation>
    <dataValidation type="list" allowBlank="1" showInputMessage="1" showErrorMessage="1" sqref="I25 I30 I35 I41 I51 I61" xr:uid="{F2E59BE6-1F4E-4B21-9068-6129E1662FAC}">
      <formula1>lstPriority</formula1>
    </dataValidation>
    <dataValidation type="list" allowBlank="1" showInputMessage="1" showErrorMessage="1" sqref="F10:F11" xr:uid="{6105CB98-111C-450B-AA26-18E1365E3178}">
      <formula1>lstNature</formula1>
    </dataValidation>
    <dataValidation type="list" allowBlank="1" showInputMessage="1" showErrorMessage="1" sqref="F8" xr:uid="{8F0A9907-3E17-47A7-8EAC-1A21BAC2FFF5}">
      <formula1>lstBloodlines</formula1>
    </dataValidation>
    <dataValidation type="list" allowBlank="1" showInputMessage="1" showErrorMessage="1" sqref="F9" xr:uid="{C3E37D0B-108E-4663-B334-20AD9E2B4EB7}">
      <formula1>lstCovenant</formula1>
    </dataValidation>
    <dataValidation type="list" allowBlank="1" showInputMessage="1" showErrorMessage="1" sqref="F7" xr:uid="{2F489697-7EB1-4851-8DD0-E0EC6FC9DE36}">
      <formula1>lstClan</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00BF9-5098-469B-9E36-85A92EC4B97F}">
  <dimension ref="A1:AK365"/>
  <sheetViews>
    <sheetView zoomScale="70" zoomScaleNormal="70" workbookViewId="0">
      <pane ySplit="1" topLeftCell="A2" activePane="bottomLeft" state="frozen"/>
      <selection pane="bottomLeft" activeCell="E132" sqref="E132:E135"/>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Invested</v>
      </c>
      <c r="AC2" s="60" t="str" cm="1">
        <f t="array" ref="AC2:AC21">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Area of Expertise (Coward Punch)</v>
      </c>
      <c r="AD2" s="20" t="str">
        <f>IF(AC2="","¬",_xlfn.LET(_xlpm.base,IFERROR(LEFT(AC2,FIND(" (",AC2)-1),AC2),IFERROR(VLOOKUP(_xlpm.base,tblManoeuvre[],2,FALSE) &amp; " " &amp; REPT("●",VLOOKUP(_xlpm.base,tblManoeuvre[],3,FALSE)) &amp; " | " &amp; AC2,AC2 &amp; " " &amp; REPT("●",VLOOKUP(_xlpm.base,$F$79:$P$120,11,FALSE)))))</f>
        <v>Area of Expertise (Coward Punch) ●</v>
      </c>
      <c r="AE2" s="20"/>
      <c r="AF2" s="20" t="str">
        <f>IF(LEN(AC2)=0,"¬",_xlfn.LET(_xlpm.base,IFERROR(LEFT(AC2,FIND(" (",AC2)-1),AC2),IFERROR(VLOOKUP(_xlpm.base,tblMerits[],5,FALSE),IFERROR(VLOOKUP(_xlpm.base,tblManoeuvre[],9,FALSE),"¬"))))</f>
        <v>Raise one Specialty's die bonus to +2.</v>
      </c>
      <c r="AI2" s="15" t="s">
        <v>25</v>
      </c>
      <c r="AJ2" s="61">
        <f t="shared" ref="AJ2:AJ33" si="1">VLOOKUP(AI2,$E$3:$P$221,12,FALSE)</f>
        <v>0</v>
      </c>
      <c r="AK2" s="61">
        <f>IF(AJ2=0,IF(COUNTIF($E$42:$E$49,AI2)&gt;0,-3,-1),AJ2)</f>
        <v>-3</v>
      </c>
    </row>
    <row r="3" spans="1:37">
      <c r="A3" s="1" t="s">
        <v>2</v>
      </c>
      <c r="B3">
        <f ca="1">N3</f>
        <v>0</v>
      </c>
      <c r="D3" s="19"/>
      <c r="E3" s="15" t="s">
        <v>4</v>
      </c>
      <c r="F3" s="3" t="s">
        <v>676</v>
      </c>
      <c r="G3" s="18"/>
      <c r="H3" s="18"/>
      <c r="I3" s="18" t="s">
        <v>1425</v>
      </c>
      <c r="N3" s="60">
        <f ca="1">10+SUM(N4:N6)-SUM(N7)</f>
        <v>0</v>
      </c>
      <c r="Y3" s="15" t="s">
        <v>115</v>
      </c>
      <c r="Z3" s="19"/>
      <c r="AA3" s="61" t="str">
        <f t="shared" si="0"/>
        <v>Defensive Combat (Weaponry)</v>
      </c>
      <c r="AC3" s="60" t="str">
        <v>Area of Expertise (Light Weapons)</v>
      </c>
      <c r="AD3" s="20" t="str">
        <f>IF(AC3="","¬",_xlfn.LET(_xlpm.base,IFERROR(LEFT(AC3,FIND(" (",AC3)-1),AC3),IFERROR(VLOOKUP(_xlpm.base,tblManoeuvre[],2,FALSE) &amp; " " &amp; REPT("●",VLOOKUP(_xlpm.base,tblManoeuvre[],3,FALSE)) &amp; " | " &amp; AC3,AC3 &amp; " " &amp; REPT("●",VLOOKUP(_xlpm.base,$F$79:$P$120,11,FALSE)))))</f>
        <v>Area of Expertise (Light Weapons) ●</v>
      </c>
      <c r="AE3" s="20"/>
      <c r="AF3" s="20" t="str">
        <f>IF(LEN(AC3)=0,"¬",_xlfn.LET(_xlpm.base,IFERROR(LEFT(AC3,FIND(" (",AC3)-1),AC3),IFERROR(VLOOKUP(_xlpm.base,tblMerits[],5,FALSE),IFERROR(VLOOKUP(_xlpm.base,tblManoeuvre[],9,FALSE),"¬"))))</f>
        <v>Raise one Specialty's die bonus to +2.</v>
      </c>
      <c r="AI3" s="15" t="s">
        <v>41</v>
      </c>
      <c r="AJ3" s="61">
        <f t="shared" si="1"/>
        <v>0</v>
      </c>
      <c r="AK3" s="61">
        <f>IF(AJ3=0,IF(COUNTIF($E$42:$E$49,AI3)&gt;0,-3,-1),AJ3)</f>
        <v>-1</v>
      </c>
    </row>
    <row r="4" spans="1:37">
      <c r="A4" s="1" t="s">
        <v>3</v>
      </c>
      <c r="B4">
        <f ca="1">SUM(N3:N9)</f>
        <v>62</v>
      </c>
      <c r="D4" s="19"/>
      <c r="E4" s="15" t="s">
        <v>5</v>
      </c>
      <c r="F4" s="3" t="s">
        <v>677</v>
      </c>
      <c r="G4" s="18"/>
      <c r="H4" s="18"/>
      <c r="I4" s="18" t="s">
        <v>1426</v>
      </c>
      <c r="N4" s="61">
        <f>K73*2</f>
        <v>6</v>
      </c>
      <c r="Y4" s="15" t="s">
        <v>116</v>
      </c>
      <c r="Z4" s="19"/>
      <c r="AA4" s="61" t="str">
        <f t="shared" si="0"/>
        <v>Area of Expertise (Coward Punch)</v>
      </c>
      <c r="AC4" s="60" t="str">
        <v>Area of Expertise (Weapon &amp; Shield)</v>
      </c>
      <c r="AD4" s="20" t="str">
        <f>IF(AC4="","¬",_xlfn.LET(_xlpm.base,IFERROR(LEFT(AC4,FIND(" (",AC4)-1),AC4),IFERROR(VLOOKUP(_xlpm.base,tblManoeuvre[],2,FALSE) &amp; " " &amp; REPT("●",VLOOKUP(_xlpm.base,tblManoeuvre[],3,FALSE)) &amp; " | " &amp; AC4,AC4 &amp; " " &amp; REPT("●",VLOOKUP(_xlpm.base,$F$79:$P$120,11,FALSE)))))</f>
        <v>Area of Expertise (Weapon &amp; Shield) ●</v>
      </c>
      <c r="AE4" s="20"/>
      <c r="AF4" s="20" t="str">
        <f>IF(LEN(AC4)=0,"¬",_xlfn.LET(_xlpm.base,IFERROR(LEFT(AC4,FIND(" (",AC4)-1),AC4),IFERROR(VLOOKUP(_xlpm.base,tblMerits[],5,FALSE),IFERROR(VLOOKUP(_xlpm.base,tblManoeuvre[],9,FALSE),"¬"))))</f>
        <v>Raise one Specialty's die bonus to +2.</v>
      </c>
      <c r="AI4" s="15" t="s">
        <v>236</v>
      </c>
      <c r="AJ4" s="61">
        <f t="shared" si="1"/>
        <v>0</v>
      </c>
      <c r="AK4" s="61">
        <f>AJ4</f>
        <v>0</v>
      </c>
    </row>
    <row r="5" spans="1:37">
      <c r="A5" s="1" t="s">
        <v>4</v>
      </c>
      <c r="B5" t="str">
        <f>IF(VLOOKUP(tblCharDataCharlie[[#This Row],[Field]],$E$2:$F$362,2,FALSE)="","¬",VLOOKUP(tblCharDataCharlie[[#This Row],[Field]],$E$2:$F$362,2,FALSE))</f>
        <v>Kurtis W</v>
      </c>
      <c r="D5" s="19"/>
      <c r="E5" s="15" t="s">
        <v>6</v>
      </c>
      <c r="F5" s="3" t="s">
        <v>678</v>
      </c>
      <c r="G5" s="18"/>
      <c r="H5" s="18"/>
      <c r="I5" s="18" t="s">
        <v>1427</v>
      </c>
      <c r="N5" s="61">
        <f>N16</f>
        <v>15</v>
      </c>
      <c r="Y5" s="15" t="s">
        <v>117</v>
      </c>
      <c r="Z5" s="19"/>
      <c r="AA5" s="61" t="str">
        <f t="shared" si="0"/>
        <v>Indomitable</v>
      </c>
      <c r="AC5" s="60" t="str">
        <v>Closed Book</v>
      </c>
      <c r="AD5" s="20" t="str">
        <f>IF(AC5="","¬",_xlfn.LET(_xlpm.base,IFERROR(LEFT(AC5,FIND(" (",AC5)-1),AC5),IFERROR(VLOOKUP(_xlpm.base,tblManoeuvre[],2,FALSE) &amp; " " &amp; REPT("●",VLOOKUP(_xlpm.base,tblManoeuvre[],3,FALSE)) &amp; " | " &amp; AC5,AC5 &amp; " " &amp; REPT("●",VLOOKUP(_xlpm.base,$F$79:$P$120,11,FALSE)))))</f>
        <v>Closed Book ●●●</v>
      </c>
      <c r="AE5" s="20"/>
      <c r="AF5" s="20" t="str">
        <f>IF(LEN(AC5)=0,"¬",_xlfn.LET(_xlpm.base,IFERROR(LEFT(AC5,FIND(" (",AC5)-1),AC5),IFERROR(VLOOKUP(_xlpm.base,tblMerits[],5,FALSE),IFERROR(VLOOKUP(_xlpm.base,tblManoeuvre[],9,FALSE),"¬"))))</f>
        <v>Add dots to Doors and as bonus to contest Social assessments.</v>
      </c>
      <c r="AI5" s="15" t="s">
        <v>33</v>
      </c>
      <c r="AJ5" s="61">
        <f t="shared" si="1"/>
        <v>2</v>
      </c>
      <c r="AK5" s="61">
        <f>IF(AJ5=0,IF(COUNTIF($E$42:$E$49,AI5)&gt;0,-3,-1),AJ5)</f>
        <v>2</v>
      </c>
    </row>
    <row r="6" spans="1:37">
      <c r="A6" s="1" t="s">
        <v>5</v>
      </c>
      <c r="B6" t="str">
        <f>IF(VLOOKUP(tblCharDataCharlie[[#This Row],[Field]],$E$2:$F$362,2,FALSE)="","¬",VLOOKUP(tblCharDataCharlie[[#This Row],[Field]],$E$2:$F$362,2,FALSE))</f>
        <v>Charlie Ballsack</v>
      </c>
      <c r="D6" s="19"/>
      <c r="E6" s="15" t="s">
        <v>7</v>
      </c>
      <c r="F6" s="3" t="s">
        <v>679</v>
      </c>
      <c r="G6" s="18"/>
      <c r="H6" s="18"/>
      <c r="I6" s="18" t="s">
        <v>1347</v>
      </c>
      <c r="N6" s="61">
        <f ca="1">N279</f>
        <v>3</v>
      </c>
      <c r="Y6" s="15" t="s">
        <v>118</v>
      </c>
      <c r="Z6" s="19"/>
      <c r="AA6" s="61" t="str">
        <f t="shared" si="0"/>
        <v/>
      </c>
      <c r="AC6" s="60" t="str">
        <v>Defensive Combat (Weaponry)</v>
      </c>
      <c r="AD6" s="20" t="str">
        <f>IF(AC6="","¬",_xlfn.LET(_xlpm.base,IFERROR(LEFT(AC6,FIND(" (",AC6)-1),AC6),IFERROR(VLOOKUP(_xlpm.base,tblManoeuvre[],2,FALSE) &amp; " " &amp; REPT("●",VLOOKUP(_xlpm.base,tblManoeuvre[],3,FALSE)) &amp; " | " &amp; AC6,AC6 &amp; " " &amp; REPT("●",VLOOKUP(_xlpm.base,$F$79:$P$120,11,FALSE)))))</f>
        <v>Defensive Combat (Weaponry) ●</v>
      </c>
      <c r="AE6" s="20"/>
      <c r="AF6" s="20" t="str">
        <f>IF(LEN(AC6)=0,"¬",_xlfn.LET(_xlpm.base,IFERROR(LEFT(AC6,FIND(" (",AC6)-1),AC6),IFERROR(VLOOKUP(_xlpm.base,tblMerits[],5,FALSE),IFERROR(VLOOKUP(_xlpm.base,tblManoeuvre[],9,FALSE),"¬"))))</f>
        <v>Substitute chosen Skill for Athletics in Defence, if equipped for that Skill.</v>
      </c>
      <c r="AI6" s="15" t="s">
        <v>237</v>
      </c>
      <c r="AJ6" s="61">
        <f t="shared" si="1"/>
        <v>0</v>
      </c>
      <c r="AK6" s="61">
        <f>AJ6</f>
        <v>0</v>
      </c>
    </row>
    <row r="7" spans="1:37">
      <c r="A7" s="1" t="s">
        <v>6</v>
      </c>
      <c r="B7" t="str">
        <f>IF(VLOOKUP(tblCharDataCharlie[[#This Row],[Field]],$E$2:$F$362,2,FALSE)="","¬",VLOOKUP(tblCharDataCharlie[[#This Row],[Field]],$E$2:$F$362,2,FALSE))</f>
        <v>Putrescent Invictus secret police</v>
      </c>
      <c r="D7" s="19" t="str">
        <f>VLOOKUP(F7,tblClans[],3,FALSE)</f>
        <v>Strength</v>
      </c>
      <c r="E7" s="15" t="s">
        <v>8</v>
      </c>
      <c r="F7" s="3" t="s">
        <v>680</v>
      </c>
      <c r="G7" s="18"/>
      <c r="H7" s="18"/>
      <c r="I7" s="18"/>
      <c r="N7" s="60">
        <f>SUM(N8:N12)</f>
        <v>34</v>
      </c>
      <c r="Y7" s="15" t="s">
        <v>119</v>
      </c>
      <c r="Z7" s="19"/>
      <c r="AA7" s="61" t="str">
        <f t="shared" si="0"/>
        <v>Friends in High Places</v>
      </c>
      <c r="AC7" s="60" t="str">
        <v>Friends in High Places</v>
      </c>
      <c r="AD7" s="20" t="str">
        <f>IF(AC7="","¬",_xlfn.LET(_xlpm.base,IFERROR(LEFT(AC7,FIND(" (",AC7)-1),AC7),IFERROR(VLOOKUP(_xlpm.base,tblManoeuvre[],2,FALSE) &amp; " " &amp; REPT("●",VLOOKUP(_xlpm.base,tblManoeuvre[],3,FALSE)) &amp; " | " &amp; AC7,AC7 &amp; " " &amp; REPT("●",VLOOKUP(_xlpm.base,$F$79:$P$120,11,FALSE)))))</f>
        <v>Friends in High Places ●</v>
      </c>
      <c r="AE7" s="20"/>
      <c r="AF7" s="20" t="str">
        <f>IF(LEN(AC7)=0,"¬",_xlfn.LET(_xlpm.base,IFERROR(LEFT(AC7,FIND(" (",AC7)-1),AC7),IFERROR(VLOOKUP(_xlpm.base,tblMerits[],5,FALSE),IFERROR(VLOOKUP(_xlpm.base,tblManoeuvre[],9,FALSE),"¬"))))</f>
        <v>Once per chapter, use Invictus Status as Mortal Status in areas you don't possess. Drawback: Other Invictus may be informed.</v>
      </c>
      <c r="AI7" s="15" t="s">
        <v>49</v>
      </c>
      <c r="AJ7" s="61">
        <f t="shared" si="1"/>
        <v>1</v>
      </c>
      <c r="AK7" s="61">
        <f>AJ7</f>
        <v>1</v>
      </c>
    </row>
    <row r="8" spans="1:37">
      <c r="A8" s="1" t="s">
        <v>7</v>
      </c>
      <c r="B8" t="str">
        <f>IF(VLOOKUP(tblCharDataCharlie[[#This Row],[Field]],$E$2:$F$362,2,FALSE)="","¬",LOWER(VLOOKUP(tblCharDataCharlie[[#This Row],[Field]],$E$2:$F$362,2,FALSE)))</f>
        <v>it/it</v>
      </c>
      <c r="D8" s="19" t="str">
        <f>VLOOKUP(F7,tblClans[],2,FALSE)</f>
        <v>Composure</v>
      </c>
      <c r="E8" s="15" t="s">
        <v>10</v>
      </c>
      <c r="F8" s="3" t="s">
        <v>682</v>
      </c>
      <c r="G8" s="61" t="b">
        <f>IFERROR(IF(OR(AND(VLOOKUP(F8,tblBloodlines[],2,FALSE)="",VLOOKUP(F8,tblBloodlines[],3,FALSE)="",VLOOKUP(F8,tblBloodlines[],4,FALSE)=""),AND(VLOOKUP(F8,tblBloodlines[],2,FALSE)="",VLOOKUP(F8,tblBloodlines[],3,FALSE)="",F9=VLOOKUP(F8,tblBloodlines[],4,FALSE)),F7=VLOOKUP(F8,tblBloodlines[],2,FALSE),F7=VLOOKUP(F8,tblBloodlines[],3,FALSE)),TRUE,FALSE),"")</f>
        <v>1</v>
      </c>
      <c r="H8" s="18"/>
      <c r="I8" s="18" t="s">
        <v>1428</v>
      </c>
      <c r="N8" s="61">
        <f>N23</f>
        <v>4</v>
      </c>
      <c r="O8" s="65">
        <f>N8/SUM(N$7:N$12)</f>
        <v>5.8823529411764705E-2</v>
      </c>
      <c r="P8" s="66"/>
      <c r="Y8" s="15" t="s">
        <v>120</v>
      </c>
      <c r="Z8" s="19"/>
      <c r="AA8" s="61" t="str">
        <f t="shared" si="0"/>
        <v>Closed Book</v>
      </c>
      <c r="AC8" s="60" t="str">
        <v>Indomitable</v>
      </c>
      <c r="AD8" s="20" t="str">
        <f>IF(AC8="","¬",_xlfn.LET(_xlpm.base,IFERROR(LEFT(AC8,FIND(" (",AC8)-1),AC8),IFERROR(VLOOKUP(_xlpm.base,tblManoeuvre[],2,FALSE) &amp; " " &amp; REPT("●",VLOOKUP(_xlpm.base,tblManoeuvre[],3,FALSE)) &amp; " | " &amp; AC8,AC8 &amp; " " &amp; REPT("●",VLOOKUP(_xlpm.base,$F$79:$P$120,11,FALSE)))))</f>
        <v>Indomitable ●●</v>
      </c>
      <c r="AE8" s="20"/>
      <c r="AF8" s="20" t="str">
        <f>IF(LEN(AC8)=0,"¬",_xlfn.LET(_xlpm.base,IFERROR(LEFT(AC8,FIND(" (",AC8)-1),AC8),IFERROR(VLOOKUP(_xlpm.base,tblMerits[],5,FALSE),IFERROR(VLOOKUP(_xlpm.base,tblManoeuvre[],9,FALSE),"¬"))))</f>
        <v>+2 to contest or resist supernatural mental influence.</v>
      </c>
      <c r="AI8" s="15" t="s">
        <v>34</v>
      </c>
      <c r="AJ8" s="61">
        <f t="shared" si="1"/>
        <v>0</v>
      </c>
      <c r="AK8" s="61">
        <f>IF(AJ8=0,IF(COUNTIF($E$42:$E$49,AI8)&gt;0,-3,-1),AJ8)</f>
        <v>-1</v>
      </c>
    </row>
    <row r="9" spans="1:37">
      <c r="A9" s="1" t="s">
        <v>8</v>
      </c>
      <c r="B9" t="str">
        <f>IF(VLOOKUP(tblCharDataCharlie[[#This Row],[Field]],$E$2:$F$362,2,FALSE)="","¬",VLOOKUP(tblCharDataCharlie[[#This Row],[Field]],$E$2:$F$362,2,FALSE))</f>
        <v>Nosferatu</v>
      </c>
      <c r="D9" s="19"/>
      <c r="E9" s="15" t="s">
        <v>11</v>
      </c>
      <c r="F9" s="3" t="s">
        <v>396</v>
      </c>
      <c r="G9" s="18"/>
      <c r="H9" s="18"/>
      <c r="I9" s="18" t="s">
        <v>1429</v>
      </c>
      <c r="N9" s="61">
        <f>N40+T40</f>
        <v>0</v>
      </c>
      <c r="O9" s="65">
        <f>N9/SUM(N$7:N$12)</f>
        <v>0</v>
      </c>
      <c r="P9" s="66"/>
      <c r="Y9" s="15" t="s">
        <v>121</v>
      </c>
      <c r="Z9" s="19"/>
      <c r="AA9" s="61" t="str">
        <f t="shared" si="0"/>
        <v>Secret Society Junkie</v>
      </c>
      <c r="AC9" s="60" t="str">
        <v>Interdisciplinary Specialty (Coward Punch)</v>
      </c>
      <c r="AD9" s="20" t="str">
        <f>IF(AC9="","¬",_xlfn.LET(_xlpm.base,IFERROR(LEFT(AC9,FIND(" (",AC9)-1),AC9),IFERROR(VLOOKUP(_xlpm.base,tblManoeuvre[],2,FALSE) &amp; " " &amp; REPT("●",VLOOKUP(_xlpm.base,tblManoeuvre[],3,FALSE)) &amp; " | " &amp; AC9,AC9 &amp; " " &amp; REPT("●",VLOOKUP(_xlpm.base,$F$79:$P$120,11,FALSE)))))</f>
        <v>Interdisciplinary Specialty (Coward Punch) ●</v>
      </c>
      <c r="AE9" s="20"/>
      <c r="AF9" s="20" t="str">
        <f>IF(LEN(AC9)=0,"¬",_xlfn.LET(_xlpm.base,IFERROR(LEFT(AC9,FIND(" (",AC9)-1),AC9),IFERROR(VLOOKUP(_xlpm.base,tblMerits[],5,FALSE),IFERROR(VLOOKUP(_xlpm.base,tblManoeuvre[],9,FALSE),"¬"))))</f>
        <v>Apply one Specialty's bonus to relevant rolls of any Skill (not unskilled).</v>
      </c>
      <c r="AI9" s="15" t="s">
        <v>238</v>
      </c>
      <c r="AJ9" s="61">
        <f t="shared" si="1"/>
        <v>1</v>
      </c>
      <c r="AK9" s="61">
        <f>AJ9</f>
        <v>1</v>
      </c>
    </row>
    <row r="10" spans="1:37">
      <c r="A10" s="1" t="s">
        <v>9</v>
      </c>
      <c r="B10" t="str">
        <f>CONCATENATE(Elements,B9," icon.svg")</f>
        <v>D:\Terra Mortis\Character Sheets\Sheet Elements\Nosferatu icon.svg</v>
      </c>
      <c r="D10" s="19"/>
      <c r="E10" s="15" t="s">
        <v>13</v>
      </c>
      <c r="F10" s="3" t="s">
        <v>684</v>
      </c>
      <c r="G10" s="18"/>
      <c r="H10" s="18"/>
      <c r="I10" s="18" t="s">
        <v>1430</v>
      </c>
      <c r="N10" s="61">
        <f>N77</f>
        <v>16</v>
      </c>
      <c r="O10" s="65">
        <f>N10/SUM(N$7:N$12)</f>
        <v>0.23529411764705882</v>
      </c>
      <c r="P10" s="66"/>
      <c r="Y10" s="15" t="s">
        <v>122</v>
      </c>
      <c r="Z10" s="19"/>
      <c r="AA10" s="61" t="str">
        <f t="shared" si="0"/>
        <v/>
      </c>
      <c r="AC10" s="60" t="str">
        <v>Invested</v>
      </c>
      <c r="AD10" s="20" t="str">
        <f>IF(AC10="","¬",_xlfn.LET(_xlpm.base,IFERROR(LEFT(AC10,FIND(" (",AC10)-1),AC10),IFERROR(VLOOKUP(_xlpm.base,tblManoeuvre[],2,FALSE) &amp; " " &amp; REPT("●",VLOOKUP(_xlpm.base,tblManoeuvre[],3,FALSE)) &amp; " | " &amp; AC10,AC10 &amp; " " &amp; REPT("●",VLOOKUP(_xlpm.base,$F$79:$P$120,11,FALSE)))))</f>
        <v>Invested ●</v>
      </c>
      <c r="AE10" s="20"/>
      <c r="AF10" s="20" t="str">
        <f>IF(LEN(AC10)=0,"¬",_xlfn.LET(_xlpm.base,IFERROR(LEFT(AC10,FIND(" (",AC10)-1),AC10),IFERROR(VLOOKUP(_xlpm.base,tblMerits[],5,FALSE),IFERROR(VLOOKUP(_xlpm.base,tblManoeuvre[],9,FALSE),"¬"))))</f>
        <v>Distribute Invictus Status dots among free Herd, Mentor, Resources and Retainer.</v>
      </c>
      <c r="AI10" s="15" t="s">
        <v>24</v>
      </c>
      <c r="AJ10" s="61">
        <f t="shared" si="1"/>
        <v>3</v>
      </c>
      <c r="AK10" s="61">
        <f>AJ10+IFERROR(INDEX($V$26:$V$38,MATCH(AI10,$E$26:$E$38,0)),0)</f>
        <v>3</v>
      </c>
    </row>
    <row r="11" spans="1:37">
      <c r="A11" s="1" t="s">
        <v>10</v>
      </c>
      <c r="B11" t="str">
        <f>IF(VLOOKUP(tblCharDataCharlie[[#This Row],[Field]],$E$2:$F$362,2,FALSE)="","¬",VLOOKUP(tblCharDataCharlie[[#This Row],[Field]],$E$2:$F$362,2,FALSE))</f>
        <v>Order of Sir Martin</v>
      </c>
      <c r="D11" s="19"/>
      <c r="E11" s="15" t="s">
        <v>14</v>
      </c>
      <c r="F11" s="3" t="s">
        <v>685</v>
      </c>
      <c r="G11" s="18"/>
      <c r="H11" s="18"/>
      <c r="I11" s="18" t="s">
        <v>1431</v>
      </c>
      <c r="N11" s="61">
        <f>N163</f>
        <v>14</v>
      </c>
      <c r="O11" s="65">
        <f>N11/SUM(N$7:N$12)</f>
        <v>0.20588235294117646</v>
      </c>
      <c r="P11" s="66"/>
      <c r="Y11" s="15" t="s">
        <v>123</v>
      </c>
      <c r="Z11" s="19"/>
      <c r="AA11" s="61" t="str">
        <f t="shared" si="0"/>
        <v>Area of Expertise (Light Weapons)</v>
      </c>
      <c r="AC11" s="60" t="str">
        <v>Secret Society Junkie</v>
      </c>
      <c r="AD11" s="20" t="str">
        <f>IF(AC11="","¬",_xlfn.LET(_xlpm.base,IFERROR(LEFT(AC11,FIND(" (",AC11)-1),AC11),IFERROR(VLOOKUP(_xlpm.base,tblManoeuvre[],2,FALSE) &amp; " " &amp; REPT("●",VLOOKUP(_xlpm.base,tblManoeuvre[],3,FALSE)) &amp; " | " &amp; AC11,AC11 &amp; " " &amp; REPT("●",VLOOKUP(_xlpm.base,$F$79:$P$120,11,FALSE)))))</f>
        <v>Secret Society Junkie ●</v>
      </c>
      <c r="AE11" s="20"/>
      <c r="AF11" s="20" t="str">
        <f>IF(LEN(AC11)=0,"¬",_xlfn.LET(_xlpm.base,IFERROR(LEFT(AC11,FIND(" (",AC11)-1),AC11),IFERROR(VLOOKUP(_xlpm.base,tblMerits[],5,FALSE),IFERROR(VLOOKUP(_xlpm.base,tblManoeuvre[],9,FALSE),"¬"))))</f>
        <v>Dots in Status or Mystery Cult Initiation representing human secret societies also count as dots of Herd.</v>
      </c>
      <c r="AI11" s="15" t="s">
        <v>26</v>
      </c>
      <c r="AJ11" s="61">
        <f t="shared" si="1"/>
        <v>0</v>
      </c>
      <c r="AK11" s="61">
        <f>IF(AJ11=0,IF(COUNTIF($E$42:$E$49,AI11)&gt;0,-3,-1),AJ11)</f>
        <v>-3</v>
      </c>
    </row>
    <row r="12" spans="1:37">
      <c r="A12" s="1" t="s">
        <v>11</v>
      </c>
      <c r="B12" t="str">
        <f>IF(VLOOKUP(tblCharDataCharlie[[#This Row],[Field]],$E$2:$F$362,2,FALSE)="","¬",VLOOKUP(tblCharDataCharlie[[#This Row],[Field]],$E$2:$F$362,2,FALSE))</f>
        <v>Invictus</v>
      </c>
      <c r="D12" s="19"/>
      <c r="E12" s="15" t="s">
        <v>15</v>
      </c>
      <c r="F12" s="3"/>
      <c r="G12" s="3"/>
      <c r="H12" s="18"/>
      <c r="I12" s="18" t="s">
        <v>1432</v>
      </c>
      <c r="N12" s="61">
        <f>N71</f>
        <v>0</v>
      </c>
      <c r="O12" s="65">
        <f>N12/SUM(N$7:N$12)</f>
        <v>0</v>
      </c>
      <c r="P12" s="66"/>
      <c r="Y12" s="15" t="s">
        <v>124</v>
      </c>
      <c r="Z12" s="19"/>
      <c r="AA12" s="61" t="str">
        <f t="shared" si="0"/>
        <v>Area of Expertise (Weapon &amp; Shield)</v>
      </c>
      <c r="AC12" s="60" t="str">
        <v>Establish the Duel</v>
      </c>
      <c r="AD12" s="20" t="str">
        <f>IF(AC12="","¬",_xlfn.LET(_xlpm.base,IFERROR(LEFT(AC12,FIND(" (",AC12)-1),AC12),IFERROR(VLOOKUP(_xlpm.base,tblManoeuvre[],2,FALSE) &amp; " " &amp; REPT("●",VLOOKUP(_xlpm.base,tblManoeuvre[],3,FALSE)) &amp; " | " &amp; AC12,AC12 &amp; " " &amp; REPT("●",VLOOKUP(_xlpm.base,$F$79:$P$120,11,FALSE)))))</f>
        <v>Courtoisie ● | Establish the Duel</v>
      </c>
      <c r="AE12" s="20"/>
      <c r="AF12" s="20" t="str">
        <f>IF(LEN(AC12)=0,"¬",_xlfn.LET(_xlpm.base,IFERROR(LEFT(AC12,FIND(" (",AC12)-1),AC12),IFERROR(VLOOKUP(_xlpm.base,tblMerits[],5,FALSE),IFERROR(VLOOKUP(_xlpm.base,tblManoeuvre[],9,FALSE),"¬"))))</f>
        <v>Choose an attacker. So long as you don't attack anyone else, add Weaponry as a Defence bonus against outside parties, and deal a point of lethal damage when an outside party enters range.</v>
      </c>
      <c r="AI12" s="15" t="s">
        <v>27</v>
      </c>
      <c r="AJ12" s="61">
        <f t="shared" si="1"/>
        <v>4</v>
      </c>
      <c r="AK12" s="61">
        <f>IF(AJ12=0,IF(COUNTIF($E$42:$E$49,AI12)&gt;0,-3,-1),AJ12)</f>
        <v>4</v>
      </c>
    </row>
    <row r="13" spans="1:37">
      <c r="A13" s="1" t="s">
        <v>12</v>
      </c>
      <c r="B13" t="str">
        <f>_xlfn.IFNA(CONCATENATE(Elements,VLOOKUP(B12,tblCovenantShortName[#Data],2,FALSE)," icon.svg"),"")</f>
        <v>D:\Terra Mortis\Character Sheets\Sheet Elements\Invictus icon.svg</v>
      </c>
      <c r="D13" s="19"/>
      <c r="E13" s="15" t="s">
        <v>15</v>
      </c>
      <c r="F13" s="3"/>
      <c r="G13" s="3"/>
      <c r="H13" s="18"/>
      <c r="I13" s="27"/>
      <c r="Y13" s="15" t="s">
        <v>125</v>
      </c>
      <c r="Z13" s="19"/>
      <c r="AA13" s="61" t="str">
        <f t="shared" si="0"/>
        <v>Interdisciplinary Specialty (Coward Punch)</v>
      </c>
      <c r="AC13" s="60" t="str">
        <v>Demanding Attention</v>
      </c>
      <c r="AD13" s="20" t="str">
        <f>IF(AC13="","¬",_xlfn.LET(_xlpm.base,IFERROR(LEFT(AC13,FIND(" (",AC13)-1),AC13),IFERROR(VLOOKUP(_xlpm.base,tblManoeuvre[],2,FALSE) &amp; " " &amp; REPT("●",VLOOKUP(_xlpm.base,tblManoeuvre[],3,FALSE)) &amp; " | " &amp; AC13,AC13 &amp; " " &amp; REPT("●",VLOOKUP(_xlpm.base,$F$79:$P$120,11,FALSE)))))</f>
        <v>Courtoisie ●●● | Demanding Attention</v>
      </c>
      <c r="AE13" s="20"/>
      <c r="AF13" s="20" t="str">
        <f>IF(LEN(AC13)=0,"¬",_xlfn.LET(_xlpm.base,IFERROR(LEFT(AC13,FIND(" (",AC13)-1),AC13),IFERROR(VLOOKUP(_xlpm.base,tblMerits[],5,FALSE),IFERROR(VLOOKUP(_xlpm.base,tblManoeuvre[],9,FALSE),"¬"))))</f>
        <v>Once you Establish the Duel, if your opponent tries to disengage or attack someone else, you can deal your Socialise dots in lethal damage and leave him Knocked Down.</v>
      </c>
      <c r="AI13" s="15" t="s">
        <v>248</v>
      </c>
      <c r="AJ13" s="61">
        <f t="shared" si="1"/>
        <v>0</v>
      </c>
      <c r="AK13" s="61">
        <f t="shared" ref="AK13:AK19" si="2">AJ13</f>
        <v>0</v>
      </c>
    </row>
    <row r="14" spans="1:37">
      <c r="A14" s="1" t="s">
        <v>13</v>
      </c>
      <c r="B14" t="str">
        <f>IF(VLOOKUP(tblCharDataCharlie[[#This Row],[Field]],$E$2:$F$362,2,FALSE)="","¬",VLOOKUP(tblCharDataCharlie[[#This Row],[Field]],$E$2:$F$362,2,FALSE))</f>
        <v>Conformist</v>
      </c>
      <c r="D14" s="19"/>
      <c r="E14" s="15" t="s">
        <v>1433</v>
      </c>
      <c r="F14" s="28">
        <v>367</v>
      </c>
      <c r="G14" s="3" t="s">
        <v>754</v>
      </c>
      <c r="H14" s="61" t="s">
        <v>1434</v>
      </c>
      <c r="I14" s="27"/>
      <c r="Y14" s="15" t="s">
        <v>126</v>
      </c>
      <c r="Z14" s="19"/>
      <c r="AA14" s="61" t="str">
        <f t="shared" si="0"/>
        <v/>
      </c>
      <c r="AC14" s="60" t="str">
        <v>Thrust</v>
      </c>
      <c r="AD14" s="20" t="str">
        <f>IF(AC14="","¬",_xlfn.LET(_xlpm.base,IFERROR(LEFT(AC14,FIND(" (",AC14)-1),AC14),IFERROR(VLOOKUP(_xlpm.base,tblManoeuvre[],2,FALSE) &amp; " " &amp; REPT("●",VLOOKUP(_xlpm.base,tblManoeuvre[],3,FALSE)) &amp; " | " &amp; AC14,AC14 &amp; " " &amp; REPT("●",VLOOKUP(_xlpm.base,$F$79:$P$120,11,FALSE)))))</f>
        <v>Light Weapons ●● | Thrust</v>
      </c>
      <c r="AE14" s="20"/>
      <c r="AF14" s="20" t="str">
        <f>IF(LEN(AC14)=0,"¬",_xlfn.LET(_xlpm.base,IFERROR(LEFT(AC14,FIND(" (",AC14)-1),AC14),IFERROR(VLOOKUP(_xlpm.base,tblMerits[],5,FALSE),IFERROR(VLOOKUP(_xlpm.base,tblManoeuvre[],9,FALSE),"¬"))))</f>
        <v>Sacrifice points of Defence for bonus attack dice.</v>
      </c>
      <c r="AI14" s="15" t="s">
        <v>246</v>
      </c>
      <c r="AJ14" s="61">
        <f t="shared" si="1"/>
        <v>0</v>
      </c>
      <c r="AK14" s="61">
        <f t="shared" si="2"/>
        <v>0</v>
      </c>
    </row>
    <row r="15" spans="1:37">
      <c r="A15" s="1" t="s">
        <v>14</v>
      </c>
      <c r="B15" t="str">
        <f>IF(VLOOKUP(tblCharDataCharlie[[#This Row],[Field]],$E$2:$F$362,2,FALSE)="","¬",VLOOKUP(tblCharDataCharlie[[#This Row],[Field]],$E$2:$F$362,2,FALSE))</f>
        <v>Rebel</v>
      </c>
      <c r="Y15" s="15" t="s">
        <v>127</v>
      </c>
      <c r="Z15" s="19"/>
      <c r="AA15" s="61" t="str">
        <f t="shared" si="0"/>
        <v/>
      </c>
      <c r="AC15" s="60" t="str">
        <v>Flurry</v>
      </c>
      <c r="AD15" s="20" t="str">
        <f>IF(AC15="","¬",_xlfn.LET(_xlpm.base,IFERROR(LEFT(AC15,FIND(" (",AC15)-1),AC15),IFERROR(VLOOKUP(_xlpm.base,tblManoeuvre[],2,FALSE) &amp; " " &amp; REPT("●",VLOOKUP(_xlpm.base,tblManoeuvre[],3,FALSE)) &amp; " | " &amp; AC15,AC15 &amp; " " &amp; REPT("●",VLOOKUP(_xlpm.base,$F$79:$P$120,11,FALSE)))))</f>
        <v>Light Weapons ●●●● | Flurry</v>
      </c>
      <c r="AE15" s="20"/>
      <c r="AF15" s="20" t="str">
        <f>IF(LEN(AC15)=0,"¬",_xlfn.LET(_xlpm.base,IFERROR(LEFT(AC15,FIND(" (",AC15)-1),AC15),IFERROR(VLOOKUP(_xlpm.base,tblMerits[],5,FALSE),IFERROR(VLOOKUP(_xlpm.base,tblManoeuvre[],9,FALSE),"¬"))))</f>
        <v>Inflict a point of lethal damage per turn to opponents in range when your Defence is available.</v>
      </c>
      <c r="AI15" s="15" t="s">
        <v>355</v>
      </c>
      <c r="AJ15" s="61">
        <f t="shared" ca="1" si="1"/>
        <v>5</v>
      </c>
      <c r="AK15" s="61">
        <f t="shared" ca="1" si="2"/>
        <v>5</v>
      </c>
    </row>
    <row r="16" spans="1:37" ht="15.75" thickBot="1">
      <c r="A16" s="1" t="s">
        <v>15</v>
      </c>
      <c r="B16" t="str">
        <f ca="1">_xlfn.LET(_xlpm.a,VLOOKUP(tblCharDataCharlie[[#This Row],[Field]],$E$2:$F$362,2,FALSE),_xlpm.b,VLOOKUP(OFFSET(tblCharDataCharlie[[#This Row],[Field]],1,0),$E$2:$F$362,2,FALSE),IF(AND(_xlpm.a&lt;&gt;"",_xlpm.b&lt;&gt;""),_xlpm.a&amp;" &amp; "&amp;_xlpm.b,IF(_xlpm.a&lt;&gt;"",_xlpm.a,IF(_xlpm.b&lt;&gt;"",_xlpm.b,"¬"))))</f>
        <v>¬</v>
      </c>
      <c r="D16" s="14" t="s">
        <v>1427</v>
      </c>
      <c r="E16" s="14"/>
      <c r="F16" s="14"/>
      <c r="G16" s="14"/>
      <c r="H16" s="14"/>
      <c r="I16" s="14"/>
      <c r="N16" s="60">
        <f>SUM(N17:N21)</f>
        <v>15</v>
      </c>
      <c r="Y16" s="15" t="s">
        <v>128</v>
      </c>
      <c r="Z16" s="19"/>
      <c r="AA16" s="61" t="str">
        <f t="shared" si="0"/>
        <v/>
      </c>
      <c r="AC16" s="60" t="str">
        <v>Strength Tricks</v>
      </c>
      <c r="AD16" s="20" t="str">
        <f>IF(AC16="","¬",_xlfn.LET(_xlpm.base,IFERROR(LEFT(AC16,FIND(" (",AC16)-1),AC16),IFERROR(VLOOKUP(_xlpm.base,tblManoeuvre[],2,FALSE) &amp; " " &amp; REPT("●",VLOOKUP(_xlpm.base,tblManoeuvre[],3,FALSE)) &amp; " | " &amp; AC16,AC16 &amp; " " &amp; REPT("●",VLOOKUP(_xlpm.base,$F$79:$P$120,11,FALSE)))))</f>
        <v>Strength Performance ● | Strength Tricks</v>
      </c>
      <c r="AE16" s="20"/>
      <c r="AF16" s="20" t="str">
        <f>IF(LEN(AC16)=0,"¬",_xlfn.LET(_xlpm.base,IFERROR(LEFT(AC16,FIND(" (",AC16)-1),AC16),IFERROR(VLOOKUP(_xlpm.base,tblMerits[],5,FALSE),IFERROR(VLOOKUP(_xlpm.base,tblManoeuvre[],9,FALSE),"¬"))))</f>
        <v>Take +1 to nonviolent feats of strength, +2 when using Expression or Intimidation.</v>
      </c>
      <c r="AI16" s="15" t="s">
        <v>249</v>
      </c>
      <c r="AJ16" s="61">
        <f t="shared" si="1"/>
        <v>0</v>
      </c>
      <c r="AK16" s="61">
        <f t="shared" si="2"/>
        <v>0</v>
      </c>
    </row>
    <row r="17" spans="1:37">
      <c r="A17" s="1" t="s">
        <v>16</v>
      </c>
      <c r="B17" t="str">
        <f>REPT("●",IFERROR(INDEX($P$26:$P$38,MATCH(tblCharDataCharlie[[#This Row],[Field]],$E$26:$E$38,0)),0))&amp;REPT("○",IFERROR(INDEX($V$26:$V$38,MATCH(tblCharDataCharlie[[#This Row],[Field]],$E$26:$E$38,0)),0))</f>
        <v>●</v>
      </c>
      <c r="D17" s="19"/>
      <c r="E17" s="15" t="s">
        <v>1435</v>
      </c>
      <c r="F17" s="3" t="b">
        <v>1</v>
      </c>
      <c r="G17" s="19"/>
      <c r="H17" s="19"/>
      <c r="I17" s="19"/>
      <c r="N17" s="61">
        <f>IF(F17=TRUE,3,0)</f>
        <v>3</v>
      </c>
      <c r="Y17" s="15" t="s">
        <v>129</v>
      </c>
      <c r="Z17" s="19"/>
      <c r="AA17" s="61" t="str">
        <f t="shared" si="0"/>
        <v/>
      </c>
      <c r="AC17" s="60" t="str">
        <v>Lifting</v>
      </c>
      <c r="AD17" s="20" t="str">
        <f>IF(AC17="","¬",_xlfn.LET(_xlpm.base,IFERROR(LEFT(AC17,FIND(" (",AC17)-1),AC17),IFERROR(VLOOKUP(_xlpm.base,tblManoeuvre[],2,FALSE) &amp; " " &amp; REPT("●",VLOOKUP(_xlpm.base,tblManoeuvre[],3,FALSE)) &amp; " | " &amp; AC17,AC17 &amp; " " &amp; REPT("●",VLOOKUP(_xlpm.base,$F$79:$P$120,11,FALSE)))))</f>
        <v>Strength Performance ●● | Lifting</v>
      </c>
      <c r="AE17" s="20"/>
      <c r="AF17" s="20" t="str">
        <f>IF(LEN(AC17)=0,"¬",_xlfn.LET(_xlpm.base,IFERROR(LEFT(AC17,FIND(" (",AC17)-1),AC17),IFERROR(VLOOKUP(_xlpm.base,tblMerits[],5,FALSE),IFERROR(VLOOKUP(_xlpm.base,tblManoeuvre[],9,FALSE),"¬"))))</f>
        <v>Receive the rote quality on Strength + Stamina feats and combat actions to demolish structures.</v>
      </c>
      <c r="AI17" s="15" t="s">
        <v>20</v>
      </c>
      <c r="AJ17" s="61">
        <f t="shared" si="1"/>
        <v>3</v>
      </c>
      <c r="AK17" s="61">
        <f>AJ17+IFERROR(INDEX($V$26:$V$38,MATCH(AI17,$E$26:$E$38,0)),0)</f>
        <v>3</v>
      </c>
    </row>
    <row r="18" spans="1:37">
      <c r="A18" s="1" t="s">
        <v>17</v>
      </c>
      <c r="B18" t="str">
        <f>REPT("●",IFERROR(INDEX($P$26:$P$38,MATCH(tblCharDataCharlie[[#This Row],[Field]],$E$26:$E$38,0)),0))&amp;REPT("○",IFERROR(INDEX($V$26:$V$38,MATCH(tblCharDataCharlie[[#This Row],[Field]],$E$26:$E$38,0)),0))</f>
        <v>●●●</v>
      </c>
      <c r="D18" s="19"/>
      <c r="E18" s="15" t="s">
        <v>1436</v>
      </c>
      <c r="F18" s="3" t="b">
        <v>1</v>
      </c>
      <c r="G18" s="19"/>
      <c r="H18" s="19"/>
      <c r="I18" s="19"/>
      <c r="N18" s="61">
        <f>IF(F18=TRUE,3,0)</f>
        <v>3</v>
      </c>
      <c r="Y18" s="15" t="s">
        <v>130</v>
      </c>
      <c r="Z18" s="19"/>
      <c r="AA18" s="61" t="str">
        <f t="shared" si="0"/>
        <v/>
      </c>
      <c r="AC18" s="60" t="str">
        <v>Push/Pull</v>
      </c>
      <c r="AD18" s="20" t="str">
        <f>IF(AC18="","¬",_xlfn.LET(_xlpm.base,IFERROR(LEFT(AC18,FIND(" (",AC18)-1),AC18),IFERROR(VLOOKUP(_xlpm.base,tblManoeuvre[],2,FALSE) &amp; " " &amp; REPT("●",VLOOKUP(_xlpm.base,tblManoeuvre[],3,FALSE)) &amp; " | " &amp; AC18,AC18 &amp; " " &amp; REPT("●",VLOOKUP(_xlpm.base,$F$79:$P$120,11,FALSE)))))</f>
        <v>Strength Performance ●●● | Push/Pull</v>
      </c>
      <c r="AE18" s="20"/>
      <c r="AF18" s="20" t="str">
        <f>IF(LEN(AC18)=0,"¬",_xlfn.LET(_xlpm.base,IFERROR(LEFT(AC18,FIND(" (",AC18)-1),AC18),IFERROR(VLOOKUP(_xlpm.base,tblMerits[],5,FALSE),IFERROR(VLOOKUP(_xlpm.base,tblManoeuvre[],9,FALSE),"¬"))))</f>
        <v>Double your effective Strength to shift objects across a plane, or quintuple it with wheels or other friction reductions.</v>
      </c>
      <c r="AI18" s="15" t="s">
        <v>250</v>
      </c>
      <c r="AJ18" s="61">
        <f t="shared" si="1"/>
        <v>0</v>
      </c>
      <c r="AK18" s="61">
        <f t="shared" si="2"/>
        <v>0</v>
      </c>
    </row>
    <row r="19" spans="1:37">
      <c r="A19" s="1" t="s">
        <v>18</v>
      </c>
      <c r="B19" t="str">
        <f>REPT("●",IFERROR(INDEX($P$26:$P$38,MATCH(tblCharDataCharlie[[#This Row],[Field]],$E$26:$E$38,0)),0))&amp;REPT("○",IFERROR(INDEX($V$26:$V$38,MATCH(tblCharDataCharlie[[#This Row],[Field]],$E$26:$E$38,0)),0))</f>
        <v>●●●</v>
      </c>
      <c r="D19" s="19"/>
      <c r="E19" s="15" t="s">
        <v>1437</v>
      </c>
      <c r="F19" s="3" t="b">
        <v>1</v>
      </c>
      <c r="G19" s="19"/>
      <c r="H19" s="19"/>
      <c r="I19" s="19"/>
      <c r="N19" s="61">
        <f>IF(F19=TRUE,3,0)</f>
        <v>3</v>
      </c>
      <c r="Y19" s="15" t="s">
        <v>131</v>
      </c>
      <c r="Z19" s="19"/>
      <c r="AA19" s="61" t="str">
        <f t="shared" si="0"/>
        <v/>
      </c>
      <c r="AC19" s="60" t="str">
        <v>Stronger Than You</v>
      </c>
      <c r="AD19" s="20" t="str">
        <f>IF(AC19="","¬",_xlfn.LET(_xlpm.base,IFERROR(LEFT(AC19,FIND(" (",AC19)-1),AC19),IFERROR(VLOOKUP(_xlpm.base,tblManoeuvre[],2,FALSE) &amp; " " &amp; REPT("●",VLOOKUP(_xlpm.base,tblManoeuvre[],3,FALSE)) &amp; " | " &amp; AC19,AC19 &amp; " " &amp; REPT("●",VLOOKUP(_xlpm.base,$F$79:$P$120,11,FALSE)))))</f>
        <v>Strength Performance ●●●● | Stronger Than You</v>
      </c>
      <c r="AE19" s="20"/>
      <c r="AF19" s="20" t="str">
        <f>IF(LEN(AC19)=0,"¬",_xlfn.LET(_xlpm.base,IFERROR(LEFT(AC19,FIND(" (",AC19)-1),AC19),IFERROR(VLOOKUP(_xlpm.base,tblMerits[],5,FALSE),IFERROR(VLOOKUP(_xlpm.base,tblManoeuvre[],9,FALSE),"¬"))))</f>
        <v>Successful Strength rolls add an additional free success.</v>
      </c>
      <c r="AI19" s="15" t="s">
        <v>239</v>
      </c>
      <c r="AJ19" s="61">
        <f t="shared" si="1"/>
        <v>0</v>
      </c>
      <c r="AK19" s="61">
        <f t="shared" si="2"/>
        <v>0</v>
      </c>
    </row>
    <row r="20" spans="1:37">
      <c r="A20" s="1" t="s">
        <v>19</v>
      </c>
      <c r="B20" t="str">
        <f>REPT("●",IFERROR(INDEX($P$26:$P$38,MATCH(tblCharDataCharlie[[#This Row],[Field]],$E$26:$E$38,0)),0))&amp;REPT("○",IFERROR(INDEX($V$26:$V$38,MATCH(tblCharDataCharlie[[#This Row],[Field]],$E$26:$E$38,0)),0))</f>
        <v>●●●</v>
      </c>
      <c r="D20" s="19"/>
      <c r="E20" s="15" t="s">
        <v>1438</v>
      </c>
      <c r="F20" s="3" t="b">
        <v>1</v>
      </c>
      <c r="G20" s="19"/>
      <c r="H20" s="19"/>
      <c r="I20" s="19"/>
      <c r="N20" s="61">
        <f>IF(F20=TRUE,3,0)</f>
        <v>3</v>
      </c>
      <c r="Y20" s="15" t="s">
        <v>132</v>
      </c>
      <c r="Z20" s="19"/>
      <c r="AA20" s="61" t="str">
        <f t="shared" si="0"/>
        <v/>
      </c>
      <c r="AC20" s="60" t="str">
        <v>Shield Bash</v>
      </c>
      <c r="AD20" s="20" t="str">
        <f>IF(AC20="","¬",_xlfn.LET(_xlpm.base,IFERROR(LEFT(AC20,FIND(" (",AC20)-1),AC20),IFERROR(VLOOKUP(_xlpm.base,tblManoeuvre[],2,FALSE) &amp; " " &amp; REPT("●",VLOOKUP(_xlpm.base,tblManoeuvre[],3,FALSE)) &amp; " | " &amp; AC20,AC20 &amp; " " &amp; REPT("●",VLOOKUP(_xlpm.base,$F$79:$P$120,11,FALSE)))))</f>
        <v>Weapon and Shield ● | Shield Bash</v>
      </c>
      <c r="AE20" s="20"/>
      <c r="AF20" s="20" t="str">
        <f>IF(LEN(AC20)=0,"¬",_xlfn.LET(_xlpm.base,IFERROR(LEFT(AC20,FIND(" (",AC20)-1),AC20),IFERROR(VLOOKUP(_xlpm.base,tblMerits[],5,FALSE),IFERROR(VLOOKUP(_xlpm.base,tblManoeuvre[],9,FALSE),"¬"))))</f>
        <v>Add your shield's Size as bonus dice when dodging. Dodge successes in excess of your opponent's inflict bashing damage.</v>
      </c>
      <c r="AI20" s="15" t="s">
        <v>35</v>
      </c>
      <c r="AJ20" s="61">
        <f t="shared" si="1"/>
        <v>0</v>
      </c>
      <c r="AK20" s="61">
        <f>IF(AJ20=0,IF(COUNTIF($E$42:$E$49,AI20)&gt;0,-3,-1),AJ20)</f>
        <v>-1</v>
      </c>
    </row>
    <row r="21" spans="1:37">
      <c r="A21" s="1" t="s">
        <v>20</v>
      </c>
      <c r="B21" t="str">
        <f>REPT("●",IFERROR(INDEX($P$26:$P$38,MATCH(tblCharDataCharlie[[#This Row],[Field]],$E$26:$E$38,0)),0))&amp;REPT("○",IFERROR(INDEX($V$26:$V$38,MATCH(tblCharDataCharlie[[#This Row],[Field]],$E$26:$E$38,0)),0))</f>
        <v>●●●</v>
      </c>
      <c r="D21" s="19"/>
      <c r="E21" s="15" t="s">
        <v>11</v>
      </c>
      <c r="F21" s="3" t="b">
        <v>1</v>
      </c>
      <c r="G21" s="19"/>
      <c r="H21" s="19"/>
      <c r="I21" s="19"/>
      <c r="N21" s="61">
        <f>IF(F21=TRUE,3,0)</f>
        <v>3</v>
      </c>
      <c r="Y21" s="15" t="s">
        <v>133</v>
      </c>
      <c r="Z21" s="19"/>
      <c r="AA21" s="61" t="str">
        <f t="shared" si="0"/>
        <v/>
      </c>
      <c r="AC21" s="60" t="str">
        <v>Pin Weapon</v>
      </c>
      <c r="AD21" s="20" t="str">
        <f>IF(AC21="","¬",_xlfn.LET(_xlpm.base,IFERROR(LEFT(AC21,FIND(" (",AC21)-1),AC21),IFERROR(VLOOKUP(_xlpm.base,tblManoeuvre[],2,FALSE) &amp; " " &amp; REPT("●",VLOOKUP(_xlpm.base,tblManoeuvre[],3,FALSE)) &amp; " | " &amp; AC21,AC21 &amp; " " &amp; REPT("●",VLOOKUP(_xlpm.base,$F$79:$P$120,11,FALSE)))))</f>
        <v>Weapon and Shield ●●● | Pin Weapon</v>
      </c>
      <c r="AE21" s="20"/>
      <c r="AF21" s="20" t="str">
        <f>IF(LEN(AC21)=0,"¬",_xlfn.LET(_xlpm.base,IFERROR(LEFT(AC21,FIND(" (",AC21)-1),AC21),IFERROR(VLOOKUP(_xlpm.base,tblMerits[],5,FALSE),IFERROR(VLOOKUP(_xlpm.base,tblManoeuvre[],9,FALSE),"¬"))))</f>
        <v>Disarm assailants on missed melee attacks.</v>
      </c>
      <c r="AI21" s="15" t="s">
        <v>42</v>
      </c>
      <c r="AJ21" s="61">
        <f t="shared" si="1"/>
        <v>2</v>
      </c>
      <c r="AK21" s="61">
        <f>IF(AJ21=0,IF(COUNTIF($E$42:$E$49,AI21)&gt;0,-3,-1),AJ21)</f>
        <v>2</v>
      </c>
    </row>
    <row r="22" spans="1:37">
      <c r="A22" s="1" t="s">
        <v>21</v>
      </c>
      <c r="B22" t="str">
        <f>REPT("●",IFERROR(INDEX($P$26:$P$38,MATCH(tblCharDataCharlie[[#This Row],[Field]],$E$26:$E$38,0)),0))&amp;REPT("○",IFERROR(INDEX($V$26:$V$38,MATCH(tblCharDataCharlie[[#This Row],[Field]],$E$26:$E$38,0)),0))</f>
        <v>●●●</v>
      </c>
      <c r="Y22" s="15" t="s">
        <v>1439</v>
      </c>
      <c r="Z22" s="61" t="str">
        <f>IFERROR(VLOOKUP(AA22,tblManoeuvre[],2,FALSE),"")</f>
        <v>Courtoisie</v>
      </c>
      <c r="AA22" s="61" t="str">
        <f t="shared" ref="AA22:AA41" si="3">_xlfn.LET(_xlpm.name,VLOOKUP(Y22,$E$2:$F$362,2,FALSE),_xlpm.paid,_xlfn.IFNA(VLOOKUP(_xlpm.name,$F$79:$Q$120,11,FALSE)&gt;=VLOOKUP(_xlpm.name,$F$79:$Q$120,12,FALSE),FALSE),IF(AND(_xlpm.name&lt;&gt;"",_xlpm.paid),_xlpm.name,""))</f>
        <v>Establish the Duel</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0</v>
      </c>
      <c r="AK22" s="61">
        <f>IF(AJ22=0,IF(COUNTIF($E$42:$E$49,AI22)&gt;0,-3,-1),AJ22)</f>
        <v>-1</v>
      </c>
    </row>
    <row r="23" spans="1:37" ht="15.75" thickBot="1">
      <c r="A23" s="1" t="s">
        <v>22</v>
      </c>
      <c r="B23" t="str">
        <f>REPT("●",IFERROR(INDEX($P$26:$P$38,MATCH(tblCharDataCharlie[[#This Row],[Field]],$E$26:$E$38,0)),0))&amp;REPT("○",IFERROR(INDEX($V$26:$V$38,MATCH(tblCharDataCharlie[[#This Row],[Field]],$E$26:$E$38,0)),0))</f>
        <v>●●</v>
      </c>
      <c r="D23" s="14" t="s">
        <v>1440</v>
      </c>
      <c r="E23" s="14"/>
      <c r="F23" s="14"/>
      <c r="G23" s="14"/>
      <c r="H23" s="14"/>
      <c r="I23" s="14"/>
      <c r="N23" s="60">
        <f>SUM(N26:N28,N31:N33,N36:N38)</f>
        <v>4</v>
      </c>
      <c r="Y23" s="15" t="s">
        <v>1441</v>
      </c>
      <c r="Z23" s="61" t="str">
        <f>IFERROR(VLOOKUP(AA23,tblManoeuvre[],2,FALSE),"")</f>
        <v>Courtoisie</v>
      </c>
      <c r="AA23" s="61" t="str">
        <f t="shared" si="3"/>
        <v>Demanding Attention</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0</v>
      </c>
      <c r="AK23" s="61">
        <f>IF(AJ23=0,VLOOKUP(AI23,$E$42:$Q$69,13,FALSE),AJ23)</f>
        <v>0</v>
      </c>
    </row>
    <row r="24" spans="1:37">
      <c r="A24" s="1" t="s">
        <v>23</v>
      </c>
      <c r="B24" t="str">
        <f>REPT("●",IFERROR(INDEX($P$26:$P$38,MATCH(tblCharDataCharlie[[#This Row],[Field]],$E$26:$E$38,0)),0))&amp;REPT("○",IFERROR(INDEX($V$26:$V$38,MATCH(tblCharDataCharlie[[#This Row],[Field]],$E$26:$E$38,0)),0))</f>
        <v>●●</v>
      </c>
      <c r="E24" s="15" t="s">
        <v>1442</v>
      </c>
      <c r="F24" s="3" t="s">
        <v>19</v>
      </c>
      <c r="Y24" s="15" t="s">
        <v>1443</v>
      </c>
      <c r="Z24" s="61" t="str">
        <f>IFERROR(VLOOKUP(AA24,tblManoeuvre[],2,FALSE),"")</f>
        <v>Light Weapons</v>
      </c>
      <c r="AA24" s="61" t="str">
        <f t="shared" si="3"/>
        <v>Thrust</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8</v>
      </c>
      <c r="AK24" s="61">
        <f ca="1">AJ24</f>
        <v>8</v>
      </c>
    </row>
    <row r="25" spans="1:37">
      <c r="A25" s="1" t="s">
        <v>24</v>
      </c>
      <c r="B25" t="str">
        <f>REPT("●",IFERROR(INDEX($P$26:$P$38,MATCH(tblCharDataCharlie[[#This Row],[Field]],$E$26:$E$38,0)),0))&amp;REPT("○",IFERROR(INDEX($V$26:$V$38,MATCH(tblCharDataCharlie[[#This Row],[Field]],$E$26:$E$38,0)),0))</f>
        <v>●●●</v>
      </c>
      <c r="D25" s="16" t="s">
        <v>1444</v>
      </c>
      <c r="E25" s="17"/>
      <c r="F25" s="17"/>
      <c r="G25" s="17" t="s">
        <v>1445</v>
      </c>
      <c r="H25" s="16" t="s">
        <v>1446</v>
      </c>
      <c r="I25" s="3" t="s">
        <v>1567</v>
      </c>
      <c r="L25" s="60">
        <f>IF(I25="",0,VLOOKUP(I25,tblPriority[#Data],2,FALSE))-SUM(L26:L28)</f>
        <v>0</v>
      </c>
      <c r="Y25" s="15" t="s">
        <v>1447</v>
      </c>
      <c r="Z25" s="61" t="str">
        <f>IFERROR(VLOOKUP(AA25,tblManoeuvre[],2,FALSE),"")</f>
        <v>Light Weapons</v>
      </c>
      <c r="AA25" s="61" t="str">
        <f t="shared" si="3"/>
        <v>Flurry</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4</v>
      </c>
      <c r="AK25" s="61">
        <f>AJ25</f>
        <v>4</v>
      </c>
    </row>
    <row r="26" spans="1:37">
      <c r="A26" s="1" t="s">
        <v>25</v>
      </c>
      <c r="B26" t="str">
        <f>REPT("●",IFERROR(INDEX($P$42:$P$69,MATCH(tblCharDataCharlie[[#This Row],[Field]],$E$42:$E$69,0)),0))&amp;REPT("○",IFERROR(INDEX($V$42:$V$69,MATCH(tblCharDataCharlie[[#This Row],[Field]],$E$42:$E$69,0)),0))&amp;IF(IFERROR(INDEX($W$42:$W$69,MATCH(tblCharDataCharlie[[#This Row],[Field]],$E$42:$E$69,0)),0)=1,"†","")</f>
        <v/>
      </c>
      <c r="D26" s="18"/>
      <c r="E26" s="15" t="s">
        <v>16</v>
      </c>
      <c r="F26" s="18"/>
      <c r="G26" s="3"/>
      <c r="H26" s="18"/>
      <c r="I26" s="18"/>
      <c r="L26" s="3">
        <v>0</v>
      </c>
      <c r="M26" s="60">
        <f>IF(E26=$F$24,2,1)</f>
        <v>1</v>
      </c>
      <c r="N26" s="3"/>
      <c r="O26" s="61">
        <f>ROUNDDOWN(N26/4,0)</f>
        <v>0</v>
      </c>
      <c r="P26" s="60">
        <f>MIN(SUM(L26,M26,O26),R26)</f>
        <v>1</v>
      </c>
      <c r="R26" s="61">
        <v>5</v>
      </c>
      <c r="U26" s="4"/>
      <c r="V26" s="61">
        <f>U26</f>
        <v>0</v>
      </c>
      <c r="Y26" s="15" t="s">
        <v>1449</v>
      </c>
      <c r="Z26" s="61" t="str">
        <f>IFERROR(VLOOKUP(AA26,tblManoeuvre[],2,FALSE),"")</f>
        <v>Strength Performance</v>
      </c>
      <c r="AA26" s="61" t="str">
        <f t="shared" si="3"/>
        <v>Strength Tricks</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1</v>
      </c>
      <c r="AK26" s="61">
        <f>AJ26+IFERROR(INDEX($V$26:$V$38,MATCH(AI26,$E$26:$E$38,0)),0)</f>
        <v>1</v>
      </c>
    </row>
    <row r="27" spans="1:37">
      <c r="A27" s="1" t="s">
        <v>26</v>
      </c>
      <c r="B27" t="str">
        <f>REPT("●",IFERROR(INDEX($P$42:$P$69,MATCH(tblCharDataCharlie[[#This Row],[Field]],$E$42:$E$69,0)),0))&amp;REPT("○",IFERROR(INDEX($V$42:$V$69,MATCH(tblCharDataCharlie[[#This Row],[Field]],$E$42:$E$69,0)),0))&amp;IF(IFERROR(INDEX($W$42:$W$69,MATCH(tblCharDataCharlie[[#This Row],[Field]],$E$42:$E$69,0)),0)=1,"†","")</f>
        <v/>
      </c>
      <c r="D27" s="18"/>
      <c r="E27" s="15" t="s">
        <v>17</v>
      </c>
      <c r="F27" s="18"/>
      <c r="G27" s="3"/>
      <c r="H27" s="18"/>
      <c r="I27" s="18"/>
      <c r="L27" s="3">
        <v>2</v>
      </c>
      <c r="M27" s="60">
        <f>IF(E27=$F$24,2,1)</f>
        <v>1</v>
      </c>
      <c r="N27" s="3"/>
      <c r="O27" s="61">
        <f>ROUNDDOWN(N27/4,0)</f>
        <v>0</v>
      </c>
      <c r="P27" s="60">
        <f>MIN(SUM(L27,M27,O27),R27)</f>
        <v>3</v>
      </c>
      <c r="R27" s="61">
        <v>5</v>
      </c>
      <c r="U27" s="4"/>
      <c r="V27" s="61">
        <f>U27</f>
        <v>0</v>
      </c>
      <c r="Y27" s="15" t="s">
        <v>1450</v>
      </c>
      <c r="Z27" s="61" t="str">
        <f>IFERROR(VLOOKUP(AA27,tblManoeuvre[],2,FALSE),"")</f>
        <v>Strength Performance</v>
      </c>
      <c r="AA27" s="61" t="str">
        <f t="shared" si="3"/>
        <v>Lifting</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2</v>
      </c>
      <c r="AK27" s="61">
        <f>IF(AJ27=0,IF(COUNTIF($E$42:$E$49,AI27)&gt;0,-3,-1),AJ27)</f>
        <v>2</v>
      </c>
    </row>
    <row r="28" spans="1:37">
      <c r="A28" s="1" t="s">
        <v>27</v>
      </c>
      <c r="B28" t="str">
        <f>REPT("●",IFERROR(INDEX($P$42:$P$69,MATCH(tblCharDataCharlie[[#This Row],[Field]],$E$42:$E$69,0)),0))&amp;REPT("○",IFERROR(INDEX($V$42:$V$69,MATCH(tblCharDataCharlie[[#This Row],[Field]],$E$42:$E$69,0)),0))&amp;IF(IFERROR(INDEX($W$42:$W$69,MATCH(tblCharDataCharlie[[#This Row],[Field]],$E$42:$E$69,0)),0)=1,"†","")</f>
        <v>●●●●†</v>
      </c>
      <c r="D28" s="18"/>
      <c r="E28" s="15" t="s">
        <v>18</v>
      </c>
      <c r="F28" s="18"/>
      <c r="G28" s="3"/>
      <c r="H28" s="18"/>
      <c r="I28" s="18"/>
      <c r="L28" s="3">
        <v>2</v>
      </c>
      <c r="M28" s="60">
        <f>IF(E28=$F$24,2,1)</f>
        <v>1</v>
      </c>
      <c r="N28" s="3"/>
      <c r="O28" s="61">
        <f>ROUNDDOWN(N28/4,0)</f>
        <v>0</v>
      </c>
      <c r="P28" s="60">
        <f>MIN(SUM(L28,M28,O28),R28)</f>
        <v>3</v>
      </c>
      <c r="R28" s="61">
        <v>5</v>
      </c>
      <c r="U28" s="4"/>
      <c r="V28" s="61">
        <f>U28</f>
        <v>0</v>
      </c>
      <c r="Y28" s="15" t="s">
        <v>1451</v>
      </c>
      <c r="Z28" s="61" t="str">
        <f>IFERROR(VLOOKUP(AA28,tblManoeuvre[],2,FALSE),"")</f>
        <v>Strength Performance</v>
      </c>
      <c r="AA28" s="61" t="str">
        <f t="shared" si="3"/>
        <v>Push/Pull</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0</v>
      </c>
      <c r="AK28" s="61">
        <f>IF(AJ28=0,IF(COUNTIF($E$42:$E$49,AI28)&gt;0,-3,-1),AJ28)</f>
        <v>-3</v>
      </c>
    </row>
    <row r="29" spans="1:37">
      <c r="A29" s="1" t="s">
        <v>28</v>
      </c>
      <c r="B29" t="str">
        <f>REPT("●",IFERROR(INDEX($P$42:$P$69,MATCH(tblCharDataCharlie[[#This Row],[Field]],$E$42:$E$69,0)),0))&amp;REPT("○",IFERROR(INDEX($V$42:$V$69,MATCH(tblCharDataCharlie[[#This Row],[Field]],$E$42:$E$69,0)),0))&amp;IF(IFERROR(INDEX($W$42:$W$69,MATCH(tblCharDataCharlie[[#This Row],[Field]],$E$42:$E$69,0)),0)=1,"†","")</f>
        <v/>
      </c>
      <c r="Y29" s="15" t="s">
        <v>1452</v>
      </c>
      <c r="Z29" s="61" t="str">
        <f>IFERROR(VLOOKUP(AA29,tblManoeuvre[],2,FALSE),"")</f>
        <v>Strength Performance</v>
      </c>
      <c r="AA29" s="61" t="str">
        <f t="shared" si="3"/>
        <v>Stronger Than You</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2</v>
      </c>
      <c r="AK29" s="61">
        <f>IF(AJ29=0,IF(COUNTIF($E$42:$E$49,AI29)&gt;0,-3,-1),AJ29)</f>
        <v>2</v>
      </c>
    </row>
    <row r="30" spans="1:37">
      <c r="A30" s="1" t="s">
        <v>29</v>
      </c>
      <c r="B30" t="str">
        <f>REPT("●",IFERROR(INDEX($P$42:$P$69,MATCH(tblCharDataCharlie[[#This Row],[Field]],$E$42:$E$69,0)),0))&amp;REPT("○",IFERROR(INDEX($V$42:$V$69,MATCH(tblCharDataCharlie[[#This Row],[Field]],$E$42:$E$69,0)),0))&amp;IF(IFERROR(INDEX($W$42:$W$69,MATCH(tblCharDataCharlie[[#This Row],[Field]],$E$42:$E$69,0)),0)=1,"†","")</f>
        <v/>
      </c>
      <c r="D30" s="16" t="s">
        <v>1453</v>
      </c>
      <c r="E30" s="17"/>
      <c r="F30" s="17"/>
      <c r="G30" s="17" t="s">
        <v>1445</v>
      </c>
      <c r="H30" s="16" t="s">
        <v>1446</v>
      </c>
      <c r="I30" s="3" t="s">
        <v>1565</v>
      </c>
      <c r="L30" s="60">
        <f>IF(I30="",0,VLOOKUP(I30,tblPriority[#Data],2,FALSE))-SUM(L31:L33)</f>
        <v>0</v>
      </c>
      <c r="Y30" s="15" t="s">
        <v>1454</v>
      </c>
      <c r="Z30" s="61" t="str">
        <f>IFERROR(VLOOKUP(AA30,tblManoeuvre[],2,FALSE),"")</f>
        <v>Weapon and Shield</v>
      </c>
      <c r="AA30" s="61" t="str">
        <f t="shared" si="3"/>
        <v>Shield Bash</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0</v>
      </c>
      <c r="AK30" s="61">
        <f>AJ30</f>
        <v>0</v>
      </c>
    </row>
    <row r="31" spans="1:37">
      <c r="A31" s="1" t="s">
        <v>30</v>
      </c>
      <c r="B31" t="str">
        <f>REPT("●",IFERROR(INDEX($P$42:$P$69,MATCH(tblCharDataCharlie[[#This Row],[Field]],$E$42:$E$69,0)),0))&amp;REPT("○",IFERROR(INDEX($V$42:$V$69,MATCH(tblCharDataCharlie[[#This Row],[Field]],$E$42:$E$69,0)),0))&amp;IF(IFERROR(INDEX($W$42:$W$69,MATCH(tblCharDataCharlie[[#This Row],[Field]],$E$42:$E$69,0)),0)=1,"†","")</f>
        <v/>
      </c>
      <c r="D31" s="18"/>
      <c r="E31" s="15" t="s">
        <v>19</v>
      </c>
      <c r="F31" s="18"/>
      <c r="G31" s="3"/>
      <c r="H31" s="18"/>
      <c r="I31" s="18"/>
      <c r="L31" s="3">
        <v>1</v>
      </c>
      <c r="M31" s="60">
        <f>IF(E31=$F$24,2,1)</f>
        <v>2</v>
      </c>
      <c r="N31" s="3"/>
      <c r="O31" s="61">
        <f>ROUNDDOWN(N31/4,0)</f>
        <v>0</v>
      </c>
      <c r="P31" s="60">
        <f>MIN(SUM(L31,M31,O31),R31)</f>
        <v>3</v>
      </c>
      <c r="R31" s="61">
        <v>5</v>
      </c>
      <c r="U31" s="4"/>
      <c r="V31" s="61">
        <f>$P$174+U31</f>
        <v>0</v>
      </c>
      <c r="Y31" s="15" t="s">
        <v>1455</v>
      </c>
      <c r="Z31" s="61" t="str">
        <f>IFERROR(VLOOKUP(AA31,tblManoeuvre[],2,FALSE),"")</f>
        <v>Weapon and Shield</v>
      </c>
      <c r="AA31" s="61" t="str">
        <f t="shared" si="3"/>
        <v>Pin Weapon</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2</v>
      </c>
      <c r="AK31" s="61">
        <f>AJ31+IFERROR(INDEX($V$26:$V$38,MATCH(AI31,$E$26:$E$38,0)),0)</f>
        <v>2</v>
      </c>
    </row>
    <row r="32" spans="1:37">
      <c r="A32" s="1" t="s">
        <v>31</v>
      </c>
      <c r="B32" t="str">
        <f>REPT("●",IFERROR(INDEX($P$42:$P$69,MATCH(tblCharDataCharlie[[#This Row],[Field]],$E$42:$E$69,0)),0))&amp;REPT("○",IFERROR(INDEX($V$42:$V$69,MATCH(tblCharDataCharlie[[#This Row],[Field]],$E$42:$E$69,0)),0))&amp;IF(IFERROR(INDEX($W$42:$W$69,MATCH(tblCharDataCharlie[[#This Row],[Field]],$E$42:$E$69,0)),0)=1,"†","")</f>
        <v/>
      </c>
      <c r="D32" s="18"/>
      <c r="E32" s="15" t="s">
        <v>20</v>
      </c>
      <c r="F32" s="18"/>
      <c r="G32" s="3"/>
      <c r="H32" s="18"/>
      <c r="I32" s="18"/>
      <c r="L32" s="3">
        <v>2</v>
      </c>
      <c r="M32" s="60">
        <f>IF(E32=$F$24,2,1)</f>
        <v>1</v>
      </c>
      <c r="N32" s="3"/>
      <c r="O32" s="61">
        <f>ROUNDDOWN(N32/4,0)</f>
        <v>0</v>
      </c>
      <c r="P32" s="60">
        <f>MIN(SUM(L32,M32,O32),R32)</f>
        <v>3</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REPT("●",IFERROR(INDEX($P$42:$P$69,MATCH(tblCharDataCharlie[[#This Row],[Field]],$E$42:$E$69,0)),0))&amp;REPT("○",IFERROR(INDEX($V$42:$V$69,MATCH(tblCharDataCharlie[[#This Row],[Field]],$E$42:$E$69,0)),0))&amp;IF(IFERROR(INDEX($W$42:$W$69,MATCH(tblCharDataCharlie[[#This Row],[Field]],$E$42:$E$69,0)),0)=1,"†","")</f>
        <v/>
      </c>
      <c r="D33" s="18"/>
      <c r="E33" s="15" t="s">
        <v>21</v>
      </c>
      <c r="F33" s="18"/>
      <c r="G33" s="3"/>
      <c r="H33" s="18"/>
      <c r="I33" s="18"/>
      <c r="L33" s="3">
        <v>2</v>
      </c>
      <c r="M33" s="60">
        <f>IF(E33=$F$24,2,1)</f>
        <v>1</v>
      </c>
      <c r="N33" s="3"/>
      <c r="O33" s="61">
        <f>ROUNDDOWN(N33/4,0)</f>
        <v>0</v>
      </c>
      <c r="P33" s="60">
        <f>MIN(SUM(L33,M33,O33),R33)</f>
        <v>3</v>
      </c>
      <c r="R33" s="61">
        <v>5</v>
      </c>
      <c r="U33" s="4"/>
      <c r="V33" s="61">
        <f>$P$173+U33</f>
        <v>0</v>
      </c>
      <c r="Y33" s="15" t="s">
        <v>1457</v>
      </c>
      <c r="Z33" s="61" t="str">
        <f>IFERROR(VLOOKUP(AA33,tblManoeuvre[],2,FALSE),"")</f>
        <v/>
      </c>
      <c r="AA33" s="61" t="str">
        <f t="shared" si="3"/>
        <v/>
      </c>
      <c r="AI33" s="15" t="s">
        <v>241</v>
      </c>
      <c r="AJ33" s="61">
        <f t="shared" si="1"/>
        <v>1</v>
      </c>
      <c r="AK33" s="61">
        <f>AJ33</f>
        <v>1</v>
      </c>
    </row>
    <row r="34" spans="1:37">
      <c r="A34" s="1" t="s">
        <v>33</v>
      </c>
      <c r="B34" t="str">
        <f>REPT("●",IFERROR(INDEX($P$42:$P$69,MATCH(tblCharDataCharlie[[#This Row],[Field]],$E$42:$E$69,0)),0))&amp;REPT("○",IFERROR(INDEX($V$42:$V$69,MATCH(tblCharDataCharlie[[#This Row],[Field]],$E$42:$E$69,0)),0))&amp;IF(IFERROR(INDEX($W$42:$W$69,MATCH(tblCharDataCharlie[[#This Row],[Field]],$E$42:$E$69,0)),0)=1,"†","")</f>
        <v>●●</v>
      </c>
      <c r="Y34" s="15" t="s">
        <v>1458</v>
      </c>
      <c r="Z34" s="61" t="str">
        <f>IFERROR(VLOOKUP(AA34,tblManoeuvre[],2,FALSE),"")</f>
        <v/>
      </c>
      <c r="AA34" s="61" t="str">
        <f t="shared" si="3"/>
        <v/>
      </c>
      <c r="AI34" s="15" t="s">
        <v>242</v>
      </c>
      <c r="AJ34" s="61">
        <f t="shared" ref="AJ34:AJ58" si="4">VLOOKUP(AI34,$E$3:$P$221,12,FALSE)</f>
        <v>5</v>
      </c>
      <c r="AK34" s="61">
        <f>AJ34</f>
        <v>5</v>
      </c>
    </row>
    <row r="35" spans="1:37">
      <c r="A35" s="1" t="s">
        <v>34</v>
      </c>
      <c r="B35" t="str">
        <f>REPT("●",IFERROR(INDEX($P$42:$P$69,MATCH(tblCharDataCharlie[[#This Row],[Field]],$E$42:$E$69,0)),0))&amp;REPT("○",IFERROR(INDEX($V$42:$V$69,MATCH(tblCharDataCharlie[[#This Row],[Field]],$E$42:$E$69,0)),0))&amp;IF(IFERROR(INDEX($W$42:$W$69,MATCH(tblCharDataCharlie[[#This Row],[Field]],$E$42:$E$69,0)),0)=1,"†","")</f>
        <v/>
      </c>
      <c r="D35" s="16" t="s">
        <v>1459</v>
      </c>
      <c r="E35" s="17"/>
      <c r="F35" s="17"/>
      <c r="G35" s="17" t="s">
        <v>1445</v>
      </c>
      <c r="H35" s="16" t="s">
        <v>1446</v>
      </c>
      <c r="I35" s="3" t="s">
        <v>1566</v>
      </c>
      <c r="L35" s="60">
        <f>IF(I35="",0,VLOOKUP(I35,tblPriority[#Data],2,FALSE))-SUM(L36:L38)</f>
        <v>0</v>
      </c>
      <c r="Y35" s="15" t="s">
        <v>1460</v>
      </c>
      <c r="Z35" s="61" t="str">
        <f>IFERROR(VLOOKUP(AA35,tblManoeuvre[],2,FALSE),"")</f>
        <v/>
      </c>
      <c r="AA35" s="61" t="str">
        <f t="shared" si="3"/>
        <v/>
      </c>
      <c r="AI35" s="15" t="s">
        <v>30</v>
      </c>
      <c r="AJ35" s="61">
        <f t="shared" si="4"/>
        <v>0</v>
      </c>
      <c r="AK35" s="61">
        <f>IF(AJ35=0,IF(COUNTIF($E$42:$E$49,AI35)&gt;0,-3,-1),AJ35)</f>
        <v>-3</v>
      </c>
    </row>
    <row r="36" spans="1:37">
      <c r="A36" s="1" t="s">
        <v>35</v>
      </c>
      <c r="B36" t="str">
        <f>REPT("●",IFERROR(INDEX($P$42:$P$69,MATCH(tblCharDataCharlie[[#This Row],[Field]],$E$42:$E$69,0)),0))&amp;REPT("○",IFERROR(INDEX($V$42:$V$69,MATCH(tblCharDataCharlie[[#This Row],[Field]],$E$42:$E$69,0)),0))&amp;IF(IFERROR(INDEX($W$42:$W$69,MATCH(tblCharDataCharlie[[#This Row],[Field]],$E$42:$E$69,0)),0)=1,"†","")</f>
        <v/>
      </c>
      <c r="D36" s="18"/>
      <c r="E36" s="15" t="s">
        <v>22</v>
      </c>
      <c r="F36" s="18"/>
      <c r="G36" s="3"/>
      <c r="H36" s="18"/>
      <c r="I36" s="18"/>
      <c r="L36" s="3">
        <v>1</v>
      </c>
      <c r="M36" s="60">
        <f>IF(E36=$F$24,2,1)</f>
        <v>1</v>
      </c>
      <c r="N36" s="3"/>
      <c r="O36" s="61">
        <f>ROUNDDOWN(N36/4,0)</f>
        <v>0</v>
      </c>
      <c r="P36" s="60">
        <f>MIN(SUM(L36,M36,O36),R36)</f>
        <v>2</v>
      </c>
      <c r="R36" s="61">
        <v>5</v>
      </c>
      <c r="U36" s="4"/>
      <c r="V36" s="61">
        <f>U36</f>
        <v>0</v>
      </c>
      <c r="Y36" s="15" t="s">
        <v>1461</v>
      </c>
      <c r="Z36" s="61" t="str">
        <f>IFERROR(VLOOKUP(AA36,tblManoeuvre[],2,FALSE),"")</f>
        <v/>
      </c>
      <c r="AA36" s="61" t="str">
        <f t="shared" si="3"/>
        <v/>
      </c>
      <c r="AI36" s="15" t="s">
        <v>45</v>
      </c>
      <c r="AJ36" s="61">
        <f t="shared" si="4"/>
        <v>0</v>
      </c>
      <c r="AK36" s="61">
        <f>IF(AJ36=0,IF(COUNTIF($E$42:$E$49,AI36)&gt;0,-3,-1),AJ36)</f>
        <v>-1</v>
      </c>
    </row>
    <row r="37" spans="1:37">
      <c r="A37" s="1" t="s">
        <v>36</v>
      </c>
      <c r="B37" t="str">
        <f>REPT("●",IFERROR(INDEX($P$42:$P$69,MATCH(tblCharDataCharlie[[#This Row],[Field]],$E$42:$E$69,0)),0))&amp;REPT("○",IFERROR(INDEX($V$42:$V$69,MATCH(tblCharDataCharlie[[#This Row],[Field]],$E$42:$E$69,0)),0))&amp;IF(IFERROR(INDEX($W$42:$W$69,MATCH(tblCharDataCharlie[[#This Row],[Field]],$E$42:$E$69,0)),0)=1,"†","")</f>
        <v/>
      </c>
      <c r="D37" s="18"/>
      <c r="E37" s="15" t="s">
        <v>23</v>
      </c>
      <c r="F37" s="18"/>
      <c r="G37" s="3"/>
      <c r="H37" s="18"/>
      <c r="I37" s="18"/>
      <c r="L37" s="3">
        <v>1</v>
      </c>
      <c r="M37" s="60">
        <f>IF(E37=$F$24,2,1)</f>
        <v>1</v>
      </c>
      <c r="N37" s="3"/>
      <c r="O37" s="61">
        <f>ROUNDDOWN(N37/4,0)</f>
        <v>0</v>
      </c>
      <c r="P37" s="60">
        <f>MIN(SUM(L37,M37,O37),R37)</f>
        <v>2</v>
      </c>
      <c r="R37" s="61">
        <v>5</v>
      </c>
      <c r="U37" s="4"/>
      <c r="V37" s="61">
        <f>U37</f>
        <v>0</v>
      </c>
      <c r="Y37" s="15" t="s">
        <v>1462</v>
      </c>
      <c r="Z37" s="61" t="str">
        <f>IFERROR(VLOOKUP(AA37,tblManoeuvre[],2,FALSE),"")</f>
        <v/>
      </c>
      <c r="AA37" s="61" t="str">
        <f t="shared" si="3"/>
        <v/>
      </c>
      <c r="AI37" s="15" t="s">
        <v>31</v>
      </c>
      <c r="AJ37" s="61">
        <f t="shared" si="4"/>
        <v>0</v>
      </c>
      <c r="AK37" s="61">
        <f>IF(AJ37=0,IF(COUNTIF($E$42:$E$49,AI37)&gt;0,-3,-1),AJ37)</f>
        <v>-3</v>
      </c>
    </row>
    <row r="38" spans="1:37">
      <c r="A38" s="1" t="s">
        <v>37</v>
      </c>
      <c r="B38" t="str">
        <f>REPT("●",IFERROR(INDEX($P$42:$P$69,MATCH(tblCharDataCharlie[[#This Row],[Field]],$E$42:$E$69,0)),0))&amp;REPT("○",IFERROR(INDEX($V$42:$V$69,MATCH(tblCharDataCharlie[[#This Row],[Field]],$E$42:$E$69,0)),0))&amp;IF(IFERROR(INDEX($W$42:$W$69,MATCH(tblCharDataCharlie[[#This Row],[Field]],$E$42:$E$69,0)),0)=1,"†","")</f>
        <v>●●</v>
      </c>
      <c r="D38" s="18"/>
      <c r="E38" s="15" t="s">
        <v>24</v>
      </c>
      <c r="F38" s="18"/>
      <c r="G38" s="3"/>
      <c r="H38" s="18"/>
      <c r="I38" s="18"/>
      <c r="L38" s="3">
        <v>1</v>
      </c>
      <c r="M38" s="60">
        <f>IF(E38=$F$24,2,1)</f>
        <v>1</v>
      </c>
      <c r="N38" s="3">
        <v>4</v>
      </c>
      <c r="O38" s="61">
        <f>ROUNDDOWN(N38/4,0)</f>
        <v>1</v>
      </c>
      <c r="P38" s="60">
        <f>MIN(SUM(L38,M38,O38),R38)</f>
        <v>3</v>
      </c>
      <c r="R38" s="61">
        <v>5</v>
      </c>
      <c r="U38" s="4"/>
      <c r="V38" s="61">
        <f>U38</f>
        <v>0</v>
      </c>
      <c r="Y38" s="15" t="s">
        <v>1463</v>
      </c>
      <c r="Z38" s="61" t="str">
        <f>IFERROR(VLOOKUP(AA38,tblManoeuvre[],2,FALSE),"")</f>
        <v/>
      </c>
      <c r="AA38" s="61" t="str">
        <f t="shared" si="3"/>
        <v/>
      </c>
      <c r="AI38" s="15" t="s">
        <v>22</v>
      </c>
      <c r="AJ38" s="61">
        <f t="shared" si="4"/>
        <v>2</v>
      </c>
      <c r="AK38" s="61">
        <f>AJ38+IFERROR(INDEX($V$26:$V$38,MATCH(AI38,$E$26:$E$38,0)),0)</f>
        <v>2</v>
      </c>
    </row>
    <row r="39" spans="1:37">
      <c r="A39" s="1" t="s">
        <v>38</v>
      </c>
      <c r="B39" t="str">
        <f>REPT("●",IFERROR(INDEX($P$42:$P$69,MATCH(tblCharDataCharlie[[#This Row],[Field]],$E$42:$E$69,0)),0))&amp;REPT("○",IFERROR(INDEX($V$42:$V$69,MATCH(tblCharDataCharlie[[#This Row],[Field]],$E$42:$E$69,0)),0))&amp;IF(IFERROR(INDEX($W$42:$W$69,MATCH(tblCharDataCharlie[[#This Row],[Field]],$E$42:$E$69,0)),0)=1,"†","")</f>
        <v>●●●†</v>
      </c>
      <c r="Y39" s="15" t="s">
        <v>1464</v>
      </c>
      <c r="Z39" s="61" t="str">
        <f>IFERROR(VLOOKUP(AA39,tblManoeuvre[],2,FALSE),"")</f>
        <v/>
      </c>
      <c r="AA39" s="61" t="str">
        <f t="shared" si="3"/>
        <v/>
      </c>
      <c r="AI39" s="15" t="s">
        <v>243</v>
      </c>
      <c r="AJ39" s="61">
        <f t="shared" si="4"/>
        <v>0</v>
      </c>
      <c r="AK39" s="61">
        <f>AJ39</f>
        <v>0</v>
      </c>
    </row>
    <row r="40" spans="1:37" ht="15.75" thickBot="1">
      <c r="A40" s="1" t="s">
        <v>39</v>
      </c>
      <c r="B40" t="str">
        <f>REPT("●",IFERROR(INDEX($P$42:$P$69,MATCH(tblCharDataCharlie[[#This Row],[Field]],$E$42:$E$69,0)),0))&amp;REPT("○",IFERROR(INDEX($V$42:$V$69,MATCH(tblCharDataCharlie[[#This Row],[Field]],$E$42:$E$69,0)),0))&amp;IF(IFERROR(INDEX($W$42:$W$69,MATCH(tblCharDataCharlie[[#This Row],[Field]],$E$42:$E$69,0)),0)=1,"†","")</f>
        <v/>
      </c>
      <c r="D40" s="14" t="s">
        <v>1465</v>
      </c>
      <c r="E40" s="14"/>
      <c r="F40" s="14"/>
      <c r="G40" s="14"/>
      <c r="H40" s="14"/>
      <c r="I40" s="14"/>
      <c r="N40" s="60">
        <f>SUM(N42:N49,N52:N59,N62:N69)</f>
        <v>0</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4"/>
        <v>0</v>
      </c>
      <c r="AK40" s="61">
        <f>AJ40</f>
        <v>0</v>
      </c>
    </row>
    <row r="41" spans="1:37">
      <c r="A41" s="1" t="s">
        <v>40</v>
      </c>
      <c r="B41" t="str">
        <f>REPT("●",IFERROR(INDEX($P$42:$P$69,MATCH(tblCharDataCharlie[[#This Row],[Field]],$E$42:$E$69,0)),0))&amp;REPT("○",IFERROR(INDEX($V$42:$V$69,MATCH(tblCharDataCharlie[[#This Row],[Field]],$E$42:$E$69,0)),0))&amp;IF(IFERROR(INDEX($W$42:$W$69,MATCH(tblCharDataCharlie[[#This Row],[Field]],$E$42:$E$69,0)),0)=1,"†","")</f>
        <v>●●●●○†</v>
      </c>
      <c r="D41" s="16" t="s">
        <v>1444</v>
      </c>
      <c r="E41" s="17"/>
      <c r="F41" s="17" t="s">
        <v>1624</v>
      </c>
      <c r="G41" s="17" t="s">
        <v>1467</v>
      </c>
      <c r="H41" s="16" t="s">
        <v>1446</v>
      </c>
      <c r="I41" s="3" t="s">
        <v>1566</v>
      </c>
      <c r="L41" s="60">
        <f>IF(I41="",0,VLOOKUP(I41,tblPriority[#Data],3,FALSE))-SUM(L42:L49)</f>
        <v>0</v>
      </c>
      <c r="T41" s="60">
        <f>MAX(3+IF(P161&gt;=3,2,0)-SUM(T42:T49,T52:T59,T62:T69),0)</f>
        <v>0</v>
      </c>
      <c r="Y41" s="15" t="s">
        <v>1468</v>
      </c>
      <c r="Z41" s="61" t="str">
        <f>IFERROR(VLOOKUP(AA41,tblManoeuvre[],2,FALSE),"")</f>
        <v/>
      </c>
      <c r="AA41" s="61" t="str">
        <f t="shared" si="3"/>
        <v/>
      </c>
      <c r="AI41" s="15" t="s">
        <v>244</v>
      </c>
      <c r="AJ41" s="61">
        <f t="shared" si="4"/>
        <v>0</v>
      </c>
      <c r="AK41" s="61">
        <f>AJ41</f>
        <v>0</v>
      </c>
    </row>
    <row r="42" spans="1:37">
      <c r="A42" s="1" t="s">
        <v>41</v>
      </c>
      <c r="B42" t="str">
        <f>REPT("●",IFERROR(INDEX($P$42:$P$69,MATCH(tblCharDataCharlie[[#This Row],[Field]],$E$42:$E$69,0)),0))&amp;REPT("○",IFERROR(INDEX($V$42:$V$69,MATCH(tblCharDataCharlie[[#This Row],[Field]],$E$42:$E$69,0)),0))&amp;IF(IFERROR(INDEX($W$42:$W$69,MATCH(tblCharDataCharlie[[#This Row],[Field]],$E$42:$E$69,0)),0)=1,"†","")</f>
        <v/>
      </c>
      <c r="D42" s="18"/>
      <c r="E42" s="15" t="s">
        <v>25</v>
      </c>
      <c r="F42" s="3"/>
      <c r="G42" s="3"/>
      <c r="H42" s="18"/>
      <c r="I42" s="18"/>
      <c r="L42" s="4"/>
      <c r="M42" s="60"/>
      <c r="N42" s="4"/>
      <c r="O42" s="61">
        <f>ROUNDDOWN(N42/2,0)</f>
        <v>0</v>
      </c>
      <c r="P42" s="60">
        <f t="shared" ref="P42:P49" si="5">MIN(SUM(L42,M42,O42),R42)</f>
        <v>0</v>
      </c>
      <c r="R42" s="61">
        <v>5</v>
      </c>
      <c r="T42" s="4"/>
      <c r="U42" s="4"/>
      <c r="V42" s="61">
        <f t="shared" ref="V42:V49" si="6">U42</f>
        <v>0</v>
      </c>
      <c r="W42" s="4"/>
      <c r="AI42" s="15" t="s">
        <v>18</v>
      </c>
      <c r="AJ42" s="61">
        <f t="shared" si="4"/>
        <v>3</v>
      </c>
      <c r="AK42" s="61">
        <f>AJ42+IFERROR(INDEX($V$26:$V$38,MATCH(AI42,$E$26:$E$38,0)),0)</f>
        <v>3</v>
      </c>
    </row>
    <row r="43" spans="1:37">
      <c r="A43" s="1" t="s">
        <v>42</v>
      </c>
      <c r="B43" t="str">
        <f>REPT("●",IFERROR(INDEX($P$42:$P$69,MATCH(tblCharDataCharlie[[#This Row],[Field]],$E$42:$E$69,0)),0))&amp;REPT("○",IFERROR(INDEX($V$42:$V$69,MATCH(tblCharDataCharlie[[#This Row],[Field]],$E$42:$E$69,0)),0))&amp;IF(IFERROR(INDEX($W$42:$W$69,MATCH(tblCharDataCharlie[[#This Row],[Field]],$E$42:$E$69,0)),0)=1,"†","")</f>
        <v>●●†</v>
      </c>
      <c r="D43" s="18"/>
      <c r="E43" s="15" t="s">
        <v>26</v>
      </c>
      <c r="F43" s="3"/>
      <c r="G43" s="3"/>
      <c r="H43" s="18"/>
      <c r="I43" s="18"/>
      <c r="L43" s="4"/>
      <c r="M43" s="60"/>
      <c r="N43" s="4"/>
      <c r="O43" s="61">
        <f t="shared" ref="O43:O49" si="7">ROUNDDOWN(N43/2,0)</f>
        <v>0</v>
      </c>
      <c r="P43" s="60">
        <f t="shared" si="5"/>
        <v>0</v>
      </c>
      <c r="R43" s="61">
        <v>5</v>
      </c>
      <c r="T43" s="4"/>
      <c r="U43" s="4"/>
      <c r="V43" s="61">
        <f t="shared" si="6"/>
        <v>0</v>
      </c>
      <c r="W43" s="4"/>
      <c r="AI43" s="15" t="s">
        <v>32</v>
      </c>
      <c r="AJ43" s="61">
        <f t="shared" si="4"/>
        <v>0</v>
      </c>
      <c r="AK43" s="61">
        <f>IF(AJ43=0,IF(COUNTIF($E$42:$E$49,AI43)&gt;0,-3,-1),AJ43)</f>
        <v>-3</v>
      </c>
    </row>
    <row r="44" spans="1:37">
      <c r="A44" s="1" t="s">
        <v>43</v>
      </c>
      <c r="B44" t="str">
        <f>REPT("●",IFERROR(INDEX($P$42:$P$69,MATCH(tblCharDataCharlie[[#This Row],[Field]],$E$42:$E$69,0)),0))&amp;REPT("○",IFERROR(INDEX($V$42:$V$69,MATCH(tblCharDataCharlie[[#This Row],[Field]],$E$42:$E$69,0)),0))&amp;IF(IFERROR(INDEX($W$42:$W$69,MATCH(tblCharDataCharlie[[#This Row],[Field]],$E$42:$E$69,0)),0)=1,"†","")</f>
        <v/>
      </c>
      <c r="D44" s="18"/>
      <c r="E44" s="15" t="s">
        <v>27</v>
      </c>
      <c r="F44" s="3"/>
      <c r="G44" s="3" t="s">
        <v>690</v>
      </c>
      <c r="H44" s="18"/>
      <c r="I44" s="18"/>
      <c r="L44" s="4">
        <v>4</v>
      </c>
      <c r="M44" s="60"/>
      <c r="N44" s="4"/>
      <c r="O44" s="61">
        <f t="shared" si="7"/>
        <v>0</v>
      </c>
      <c r="P44" s="60">
        <f t="shared" si="5"/>
        <v>4</v>
      </c>
      <c r="R44" s="61">
        <v>5</v>
      </c>
      <c r="T44" s="4">
        <v>1</v>
      </c>
      <c r="U44" s="4"/>
      <c r="V44" s="61">
        <f t="shared" si="6"/>
        <v>0</v>
      </c>
      <c r="W44" s="4">
        <v>1</v>
      </c>
      <c r="Y44" s="15">
        <v>1</v>
      </c>
      <c r="Z44" s="61" t="s">
        <v>236</v>
      </c>
      <c r="AA44" s="60" t="str" cm="1">
        <f t="array" ref="AA44">IF(OR(Y44=0,Y44=""),"",IF(VLOOKUP(Z44,$AI$1:$AJ$58,2,FALSE)&gt;=Y44,INDEX(tblDisciplines[Name],MATCH(1,(tblDisciplines[Discipline]=Z44)*(tblDisciplines[Rank]=Y44),0)),""))</f>
        <v/>
      </c>
      <c r="AC44" s="60" t="str" cm="1">
        <f t="array" ref="AC44:AC55">IFERROR(_xlfn.VSTACK(IFERROR(_xlfn._xlws.FILTER(AA44:AA121,AA44:AA121&lt;&gt;""),""),IFERROR(_xlfn._xlws.SORT(_xlfn._xlws.FILTER(AA123:AA132,AA123:AA132&lt;&gt;"")),"")),"")</f>
        <v>Celerity 1</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Celerity ●</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1 V per effect  •  Pool: -  •  Reflexive  •  1 turn</v>
      </c>
      <c r="AF44" s="20" t="str">
        <f>IF(AC44="","",IFERROR(VLOOKUP(AC44,tblDisciplines[],12,FALSE),VLOOKUP(AC44,tblPacts[],5,FALSE)))</f>
        <v>Persistent improved Defence or Dodge. Activate for supernatural speed benefits. Unnatural Grace: add Celerity dots as bonus dice to non-combat speed-based pools.</v>
      </c>
      <c r="AI44" s="15" t="s">
        <v>353</v>
      </c>
      <c r="AJ44" s="61">
        <f t="shared" si="4"/>
        <v>5</v>
      </c>
      <c r="AK44" s="61">
        <f>AJ44</f>
        <v>5</v>
      </c>
    </row>
    <row r="45" spans="1:37">
      <c r="A45" s="1" t="s">
        <v>44</v>
      </c>
      <c r="B45" t="str">
        <f>REPT("●",IFERROR(INDEX($P$42:$P$69,MATCH(tblCharDataCharlie[[#This Row],[Field]],$E$42:$E$69,0)),0))&amp;REPT("○",IFERROR(INDEX($V$42:$V$69,MATCH(tblCharDataCharlie[[#This Row],[Field]],$E$42:$E$69,0)),0))&amp;IF(IFERROR(INDEX($W$42:$W$69,MATCH(tblCharDataCharlie[[#This Row],[Field]],$E$42:$E$69,0)),0)=1,"†","")</f>
        <v>●●†</v>
      </c>
      <c r="D45" s="18"/>
      <c r="E45" s="15" t="s">
        <v>28</v>
      </c>
      <c r="F45" s="3"/>
      <c r="G45" s="3"/>
      <c r="H45" s="18"/>
      <c r="I45" s="18"/>
      <c r="L45" s="4"/>
      <c r="M45" s="60"/>
      <c r="N45" s="4"/>
      <c r="O45" s="61">
        <f t="shared" si="7"/>
        <v>0</v>
      </c>
      <c r="P45" s="60">
        <f t="shared" si="5"/>
        <v>0</v>
      </c>
      <c r="R45" s="61">
        <v>5</v>
      </c>
      <c r="T45" s="4"/>
      <c r="U45" s="4"/>
      <c r="V45" s="61">
        <f t="shared" si="6"/>
        <v>0</v>
      </c>
      <c r="W45" s="4"/>
      <c r="Y45" s="15">
        <v>2</v>
      </c>
      <c r="Z45" s="61" t="s">
        <v>236</v>
      </c>
      <c r="AA45" s="60" t="str" cm="1">
        <f t="array" ref="AA45">IF(OR(Y45=0,Y45=""),"",IF(VLOOKUP(Z45,$AI$1:$AJ$58,2,FALSE)&gt;=Y45,INDEX(tblDisciplines[Name],MATCH(1,(tblDisciplines[Discipline]=Z45)*(tblDisciplines[Rank]=Y45),0)),""))</f>
        <v/>
      </c>
      <c r="AC45" s="60" t="str">
        <v>Dread Presence</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Nightmare ● | Dread Presence</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  •  Pool: -  •  Instant  •  Scene</v>
      </c>
      <c r="AF45" s="20" t="str">
        <f>IF(AC45="","",IFERROR(VLOOKUP(AC45,tblDisciplines[],12,FALSE),VLOOKUP(AC45,tblPacts[],5,FALSE)))</f>
        <v>Conjure brief illusions. Improve Intimidation. Prevent foes spending Willpower.</v>
      </c>
      <c r="AI45" s="15" t="s">
        <v>46</v>
      </c>
      <c r="AJ45" s="61">
        <f t="shared" si="4"/>
        <v>3</v>
      </c>
      <c r="AK45" s="61">
        <f>IF(AJ45=0,IF(COUNTIF($E$42:$E$49,AI45)&gt;0,-3,-1),AJ45)</f>
        <v>3</v>
      </c>
    </row>
    <row r="46" spans="1:37">
      <c r="A46" s="1" t="s">
        <v>45</v>
      </c>
      <c r="B46" t="str">
        <f>REPT("●",IFERROR(INDEX($P$42:$P$69,MATCH(tblCharDataCharlie[[#This Row],[Field]],$E$42:$E$69,0)),0))&amp;REPT("○",IFERROR(INDEX($V$42:$V$69,MATCH(tblCharDataCharlie[[#This Row],[Field]],$E$42:$E$69,0)),0))&amp;IF(IFERROR(INDEX($W$42:$W$69,MATCH(tblCharDataCharlie[[#This Row],[Field]],$E$42:$E$69,0)),0)=1,"†","")</f>
        <v/>
      </c>
      <c r="D46" s="18"/>
      <c r="E46" s="15" t="s">
        <v>29</v>
      </c>
      <c r="F46" s="3"/>
      <c r="G46" s="3"/>
      <c r="H46" s="18"/>
      <c r="I46" s="18"/>
      <c r="L46" s="4"/>
      <c r="M46" s="60"/>
      <c r="N46" s="4"/>
      <c r="O46" s="61">
        <f t="shared" si="7"/>
        <v>0</v>
      </c>
      <c r="P46" s="60">
        <f t="shared" si="5"/>
        <v>0</v>
      </c>
      <c r="R46" s="61">
        <v>5</v>
      </c>
      <c r="T46" s="4"/>
      <c r="U46" s="4"/>
      <c r="V46" s="61">
        <f t="shared" si="6"/>
        <v>0</v>
      </c>
      <c r="W46" s="4"/>
      <c r="Y46" s="15">
        <v>3</v>
      </c>
      <c r="Z46" s="61" t="s">
        <v>236</v>
      </c>
      <c r="AA46" s="60" t="str" cm="1">
        <f t="array" ref="AA46">IF(OR(Y46=0,Y46=""),"",IF(VLOOKUP(Z46,$AI$1:$AJ$58,2,FALSE)&gt;=Y46,INDEX(tblDisciplines[Name],MATCH(1,(tblDisciplines[Discipline]=Z46)*(tblDisciplines[Rank]=Y46),0)),""))</f>
        <v/>
      </c>
      <c r="AC46" s="60" t="str">
        <v>Face in the Crowd</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Obfuscate ● | Face in the Crowd</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  •  Pool: -  •  Instant  •  Scene</v>
      </c>
      <c r="AF46" s="20" t="str">
        <f>IF(AC46="","",IFERROR(VLOOKUP(AC46,tblDisciplines[],12,FALSE),VLOOKUP(AC46,tblPacts[],5,FALSE)))</f>
        <v>Blend into surroundings, visible but unnoticeable. Predatory aura fully on or off. Leaving combat: Wits + Composure - Obfuscate to notice; auto Clash of Wills vs Auspex.</v>
      </c>
      <c r="AI46" s="15" t="s">
        <v>354</v>
      </c>
      <c r="AJ46" s="61">
        <f t="shared" ca="1" si="4"/>
        <v>11</v>
      </c>
      <c r="AK46" s="61">
        <f ca="1">AJ46</f>
        <v>11</v>
      </c>
    </row>
    <row r="47" spans="1:37">
      <c r="A47" s="1" t="s">
        <v>46</v>
      </c>
      <c r="B47" t="str">
        <f>REPT("●",IFERROR(INDEX($P$42:$P$69,MATCH(tblCharDataCharlie[[#This Row],[Field]],$E$42:$E$69,0)),0))&amp;REPT("○",IFERROR(INDEX($V$42:$V$69,MATCH(tblCharDataCharlie[[#This Row],[Field]],$E$42:$E$69,0)),0))&amp;IF(IFERROR(INDEX($W$42:$W$69,MATCH(tblCharDataCharlie[[#This Row],[Field]],$E$42:$E$69,0)),0)=1,"†","")</f>
        <v>●●●</v>
      </c>
      <c r="D47" s="18"/>
      <c r="E47" s="15" t="s">
        <v>30</v>
      </c>
      <c r="F47" s="3"/>
      <c r="G47" s="3"/>
      <c r="H47" s="18"/>
      <c r="I47" s="18"/>
      <c r="L47" s="4"/>
      <c r="M47" s="60"/>
      <c r="N47" s="4"/>
      <c r="O47" s="61">
        <f t="shared" si="7"/>
        <v>0</v>
      </c>
      <c r="P47" s="60">
        <f t="shared" si="5"/>
        <v>0</v>
      </c>
      <c r="R47" s="61">
        <v>5</v>
      </c>
      <c r="T47" s="4"/>
      <c r="U47" s="4"/>
      <c r="V47" s="61">
        <f t="shared" si="6"/>
        <v>0</v>
      </c>
      <c r="W47" s="4"/>
      <c r="Y47" s="15">
        <v>4</v>
      </c>
      <c r="Z47" s="61" t="s">
        <v>236</v>
      </c>
      <c r="AA47" s="60" t="str" cm="1">
        <f t="array" ref="AA47">IF(OR(Y47=0,Y47=""),"",IF(VLOOKUP(Z47,$AI$1:$AJ$58,2,FALSE)&gt;=Y47,INDEX(tblDisciplines[Name],MATCH(1,(tblDisciplines[Discipline]=Z47)*(tblDisciplines[Rank]=Y47),0)),""))</f>
        <v/>
      </c>
      <c r="AC47" s="60" t="str">
        <v>Touch of Shadow</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Obfuscate ●● | Touch of Shadow</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Cost: 1 V  •  Pool: 10  •  Instant  •  Scene</v>
      </c>
      <c r="AF47" s="20" t="str">
        <f>IF(AC47="","",IFERROR(VLOOKUP(AC47,tblDisciplines[],12,FALSE),VLOOKUP(AC47,tblPacts[],5,FALSE)))</f>
        <v>Cast Face in the Crowd on object or person. Free and unlimited duration on carried/worn objects if not drawing attention.</v>
      </c>
      <c r="AI47" s="15" t="s">
        <v>21</v>
      </c>
      <c r="AJ47" s="61">
        <f t="shared" si="4"/>
        <v>3</v>
      </c>
      <c r="AK47" s="61">
        <f>AJ47+IFERROR(INDEX($V$26:$V$38,MATCH(AI47,$E$26:$E$38,0)),0)</f>
        <v>3</v>
      </c>
    </row>
    <row r="48" spans="1:37">
      <c r="A48" s="1" t="s">
        <v>47</v>
      </c>
      <c r="B48" t="str">
        <f>REPT("●",IFERROR(INDEX($P$42:$P$69,MATCH(tblCharDataCharlie[[#This Row],[Field]],$E$42:$E$69,0)),0))&amp;REPT("○",IFERROR(INDEX($V$42:$V$69,MATCH(tblCharDataCharlie[[#This Row],[Field]],$E$42:$E$69,0)),0))&amp;IF(IFERROR(INDEX($W$42:$W$69,MATCH(tblCharDataCharlie[[#This Row],[Field]],$E$42:$E$69,0)),0)=1,"†","")</f>
        <v/>
      </c>
      <c r="D48" s="18"/>
      <c r="E48" s="15" t="s">
        <v>31</v>
      </c>
      <c r="F48" s="3"/>
      <c r="G48" s="3"/>
      <c r="H48" s="18"/>
      <c r="I48" s="18"/>
      <c r="L48" s="4"/>
      <c r="M48" s="60"/>
      <c r="N48" s="4"/>
      <c r="O48" s="61">
        <f t="shared" si="7"/>
        <v>0</v>
      </c>
      <c r="P48" s="60">
        <f t="shared" si="5"/>
        <v>0</v>
      </c>
      <c r="R48" s="61">
        <v>5</v>
      </c>
      <c r="T48" s="4"/>
      <c r="U48" s="4"/>
      <c r="V48" s="61">
        <f t="shared" si="6"/>
        <v>0</v>
      </c>
      <c r="W48" s="4"/>
      <c r="Y48" s="15">
        <v>5</v>
      </c>
      <c r="Z48" s="61" t="s">
        <v>236</v>
      </c>
      <c r="AA48" s="60" t="str" cm="1">
        <f t="array" ref="AA48">IF(OR(Y48=0,Y48=""),"",IF(VLOOKUP(Z48,$AI$1:$AJ$58,2,FALSE)&gt;=Y48,INDEX(tblDisciplines[Name],MATCH(1,(tblDisciplines[Discipline]=Z48)*(tblDisciplines[Rank]=Y48),0)),""))</f>
        <v/>
      </c>
      <c r="AC48" s="60" t="str">
        <v>Cloak of Night</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Obfuscate ●●● | Cloak of Night</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Cost: 1 V  •  Pool: -  •  None</v>
      </c>
      <c r="AF48" s="20" t="str">
        <f>IF(AC48="","",IFERROR(VLOOKUP(AC48,tblDisciplines[],12,FALSE),VLOOKUP(AC48,tblPacts[],5,FALSE)))</f>
        <v>Become invisible. Leaving combat: auto Clash of Wills vs Auspex 2.</v>
      </c>
      <c r="AI48" s="15" t="s">
        <v>38</v>
      </c>
      <c r="AJ48" s="61">
        <f t="shared" si="4"/>
        <v>3</v>
      </c>
      <c r="AK48" s="61">
        <f>IF(AJ48=0,IF(COUNTIF($E$42:$E$49,AI48)&gt;0,-3,-1),AJ48)</f>
        <v>3</v>
      </c>
    </row>
    <row r="49" spans="1:37">
      <c r="A49" s="1" t="s">
        <v>48</v>
      </c>
      <c r="B49" t="str">
        <f>REPT("●",IFERROR(INDEX($P$42:$P$69,MATCH(tblCharDataCharlie[[#This Row],[Field]],$E$42:$E$69,0)),0))&amp;REPT("○",IFERROR(INDEX($V$42:$V$69,MATCH(tblCharDataCharlie[[#This Row],[Field]],$E$42:$E$69,0)),0))&amp;IF(IFERROR(INDEX($W$42:$W$69,MATCH(tblCharDataCharlie[[#This Row],[Field]],$E$42:$E$69,0)),0)=1,"†","")</f>
        <v/>
      </c>
      <c r="D49" s="18"/>
      <c r="E49" s="15" t="s">
        <v>32</v>
      </c>
      <c r="F49" s="3"/>
      <c r="G49" s="3"/>
      <c r="H49" s="18"/>
      <c r="I49" s="18"/>
      <c r="L49" s="4"/>
      <c r="M49" s="60"/>
      <c r="N49" s="4"/>
      <c r="O49" s="61">
        <f t="shared" si="7"/>
        <v>0</v>
      </c>
      <c r="P49" s="60">
        <f t="shared" si="5"/>
        <v>0</v>
      </c>
      <c r="R49" s="61">
        <v>5</v>
      </c>
      <c r="T49" s="4"/>
      <c r="U49" s="4"/>
      <c r="V49" s="61">
        <f t="shared" si="6"/>
        <v>0</v>
      </c>
      <c r="W49" s="4"/>
      <c r="Y49" s="15">
        <v>1</v>
      </c>
      <c r="Z49" s="61" t="s">
        <v>237</v>
      </c>
      <c r="AA49" s="60" t="str" cm="1">
        <f t="array" ref="AA49">IF(OR(Y49=0,Y49=""),"",IF(VLOOKUP(Z49,$AI$1:$AJ$58,2,FALSE)&gt;=Y49,INDEX(tblDisciplines[Name],MATCH(1,(tblDisciplines[Discipline]=Z49)*(tblDisciplines[Rank]=Y49),0)),""))</f>
        <v/>
      </c>
      <c r="AC49" s="60" t="str">
        <v>The Familiar Stranger</v>
      </c>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Obfuscate ●●●● | The Familiar Stranger</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Cost: 2 V  •  Pool: -  •  None</v>
      </c>
      <c r="AF49" s="20" t="str">
        <f>IF(AC49="","",IFERROR(VLOOKUP(AC49,tblDisciplines[],12,FALSE),VLOOKUP(AC49,tblPacts[],5,FALSE)))</f>
        <v>Disguise self or other as a desired person. Free unlimited duration to reskin carried/worn objects, but no equipment bonus without Vitae.</v>
      </c>
      <c r="AI49" s="15" t="s">
        <v>47</v>
      </c>
      <c r="AJ49" s="61">
        <f t="shared" si="4"/>
        <v>0</v>
      </c>
      <c r="AK49" s="61">
        <f>IF(AJ49=0,IF(COUNTIF($E$42:$E$49,AI49)&gt;0,-3,-1),AJ49)</f>
        <v>-1</v>
      </c>
    </row>
    <row r="50" spans="1:37">
      <c r="A50" s="1" t="s">
        <v>49</v>
      </c>
      <c r="B50" t="str">
        <f ca="1">REPT("●",VLOOKUP(tblCharDataCharlie[[#This Row],[Field]],INDIRECT($AH$1),2,FALSE)) &amp; REPT("○",10-VLOOKUP(tblCharDataCharlie[[#This Row],[Field]],INDIRECT($AH$1),2,FALSE))</f>
        <v>●○○○○○○○○○</v>
      </c>
      <c r="Y50" s="15">
        <v>2</v>
      </c>
      <c r="Z50" s="61" t="s">
        <v>237</v>
      </c>
      <c r="AA50" s="60" t="str" cm="1">
        <f t="array" ref="AA50">IF(OR(Y50=0,Y50=""),"",IF(VLOOKUP(Z50,$AI$1:$AJ$58,2,FALSE)&gt;=Y50,INDEX(tblDisciplines[Name],MATCH(1,(tblDisciplines[Discipline]=Z50)*(tblDisciplines[Rank]=Y50),0)),""))</f>
        <v/>
      </c>
      <c r="AC50" s="60" t="str">
        <v>Oubliette</v>
      </c>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Obfuscate ●●●●● | Oubliette</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Cost: Free (Haven) / 3-9 V &amp; 1 WP  •  Pool: -  •  Instant  •  1 week per BP</v>
      </c>
      <c r="AF50" s="20" t="str">
        <f>IF(AC50="","",IFERROR(VLOOKUP(AC50,tblDisciplines[],12,FALSE),VLOOKUP(AC50,tblPacts[],5,FALSE)))</f>
        <v>Always active on Haven/Safe Place at no cost. Further uses at standard cost. Use Obfuscate at distance on anything in area.</v>
      </c>
      <c r="AI50" s="15" t="s">
        <v>19</v>
      </c>
      <c r="AJ50" s="61">
        <f t="shared" si="4"/>
        <v>3</v>
      </c>
      <c r="AK50" s="61">
        <f>AJ50+IFERROR(INDEX($V$26:$V$38,MATCH(AI50,$E$26:$E$38,0)),0)</f>
        <v>3</v>
      </c>
    </row>
    <row r="51" spans="1:37">
      <c r="A51" s="1" t="s">
        <v>50</v>
      </c>
      <c r="B51">
        <f>P72</f>
        <v>1</v>
      </c>
      <c r="D51" s="16" t="s">
        <v>1453</v>
      </c>
      <c r="E51" s="17"/>
      <c r="F51" s="17"/>
      <c r="G51" s="17" t="s">
        <v>1467</v>
      </c>
      <c r="H51" s="16" t="s">
        <v>1446</v>
      </c>
      <c r="I51" s="3" t="s">
        <v>1565</v>
      </c>
      <c r="L51" s="60">
        <f>IF(I51="",0,VLOOKUP(I51,tblPriority[#Data],3,FALSE))-SUM(L52:L59)</f>
        <v>0</v>
      </c>
      <c r="Y51" s="15">
        <v>3</v>
      </c>
      <c r="Z51" s="61" t="s">
        <v>237</v>
      </c>
      <c r="AA51" s="60" t="str" cm="1">
        <f t="array" ref="AA51">IF(OR(Y51=0,Y51=""),"",IF(VLOOKUP(Z51,$AI$1:$AJ$58,2,FALSE)&gt;=Y51,INDEX(tblDisciplines[Name],MATCH(1,(tblDisciplines[Discipline]=Z51)*(tblDisciplines[Rank]=Y51),0)),""))</f>
        <v/>
      </c>
      <c r="AC51" s="60" t="str">
        <v>Repulsive Mien</v>
      </c>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Devotion  | Repulsive Mien</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Cost: 1 V (Order of Sir Martin Only); only affects other Leper Knights with concrete reasons for mistrust  •  Pool: -  •  Reflexive  •  Scene</v>
      </c>
      <c r="AF51" s="20" t="str">
        <f>IF(AC51="","",IFERROR(VLOOKUP(AC51,tblDisciplines[],12,FALSE),VLOOKUP(AC51,tblPacts[],5,FALSE)))</f>
        <v>As Dread Presence but -3 to all actions against the Knight. Targets cannot spend WP to enhance actions against Knight. Victims can lash out with Beast to end the effect. Reflexive brief illusions affecting Knight's person (narrative only).</v>
      </c>
      <c r="AI51" s="15" t="s">
        <v>48</v>
      </c>
      <c r="AJ51" s="61">
        <f t="shared" si="4"/>
        <v>0</v>
      </c>
      <c r="AK51" s="61">
        <f>IF(AJ51=0,IF(COUNTIF($E$42:$E$49,AI51)&gt;0,-3,-1),AJ51)</f>
        <v>-1</v>
      </c>
    </row>
    <row r="52" spans="1:37">
      <c r="A52" s="1" t="s">
        <v>51</v>
      </c>
      <c r="B52" t="str">
        <f>_xlfn.IFNA(VLOOKUP(P72,tblBloodPotency[#Data],5,FALSE),"")</f>
        <v/>
      </c>
      <c r="D52" s="18"/>
      <c r="E52" s="15" t="s">
        <v>33</v>
      </c>
      <c r="F52" s="18"/>
      <c r="G52" s="3"/>
      <c r="H52" s="18"/>
      <c r="I52" s="18"/>
      <c r="L52" s="4">
        <v>2</v>
      </c>
      <c r="M52" s="60"/>
      <c r="N52" s="4"/>
      <c r="O52" s="61">
        <f>ROUNDDOWN(N52/2,0)</f>
        <v>0</v>
      </c>
      <c r="P52" s="60">
        <f t="shared" ref="P52:P59" si="8">MIN(SUM(L52,M52,O52),R52)</f>
        <v>2</v>
      </c>
      <c r="R52" s="61">
        <v>5</v>
      </c>
      <c r="T52" s="4"/>
      <c r="U52" s="4"/>
      <c r="V52" s="61">
        <f t="shared" ref="V52:V59" si="9">U52</f>
        <v>0</v>
      </c>
      <c r="W52" s="4"/>
      <c r="Y52" s="15">
        <v>4</v>
      </c>
      <c r="Z52" s="61" t="s">
        <v>237</v>
      </c>
      <c r="AA52" s="60" t="str" cm="1">
        <f t="array" ref="AA52">IF(OR(Y52=0,Y52=""),"",IF(VLOOKUP(Z52,$AI$1:$AJ$58,2,FALSE)&gt;=Y52,INDEX(tblDisciplines[Name],MATCH(1,(tblDisciplines[Discipline]=Z52)*(tblDisciplines[Rank]=Y52),0)),""))</f>
        <v/>
      </c>
      <c r="AC52" s="60" t="str">
        <v>Oath of Fealty</v>
      </c>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Oath of Fealty ●</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v>
      </c>
      <c r="AF52" s="20" t="str">
        <f>IF(AC52="","",IFERROR(VLOOKUP(AC52,tblDisciplines[],12,FALSE),VLOOKUP(AC52,tblPacts[],5,FALSE)))</f>
        <v>Draw Invictus Status in Vitae weekly from liege without feeding. Liege knows when you lie.</v>
      </c>
      <c r="AI52" s="15" t="s">
        <v>39</v>
      </c>
      <c r="AJ52" s="61">
        <f t="shared" si="4"/>
        <v>0</v>
      </c>
      <c r="AK52" s="61">
        <f>IF(AJ52=0,IF(COUNTIF($E$42:$E$49,AI52)&gt;0,-3,-1),AJ52)</f>
        <v>-1</v>
      </c>
    </row>
    <row r="53" spans="1:37">
      <c r="A53" s="1" t="s">
        <v>52</v>
      </c>
      <c r="B53" t="str">
        <f ca="1">REPT("□",P221) &amp; REPT("■",15-P221)</f>
        <v>□□□□□□□□■■■■■■■</v>
      </c>
      <c r="D53" s="18"/>
      <c r="E53" s="15" t="s">
        <v>34</v>
      </c>
      <c r="F53" s="18"/>
      <c r="G53" s="3"/>
      <c r="H53" s="18"/>
      <c r="I53" s="18"/>
      <c r="L53" s="4"/>
      <c r="M53" s="60"/>
      <c r="N53" s="4"/>
      <c r="O53" s="61">
        <f t="shared" ref="O53:O59" si="10">ROUNDDOWN(N53/2,0)</f>
        <v>0</v>
      </c>
      <c r="P53" s="60">
        <f t="shared" si="8"/>
        <v>0</v>
      </c>
      <c r="R53" s="61">
        <v>5</v>
      </c>
      <c r="T53" s="4">
        <v>1</v>
      </c>
      <c r="U53" s="4"/>
      <c r="V53" s="61">
        <f t="shared" si="9"/>
        <v>0</v>
      </c>
      <c r="W53" s="4"/>
      <c r="Y53" s="15">
        <v>5</v>
      </c>
      <c r="Z53" s="61" t="s">
        <v>237</v>
      </c>
      <c r="AA53" s="60" t="str" cm="1">
        <f t="array" ref="AA53">IF(OR(Y53=0,Y53=""),"",IF(VLOOKUP(Z53,$AI$1:$AJ$58,2,FALSE)&gt;=Y53,INDEX(tblDisciplines[Name],MATCH(1,(tblDisciplines[Discipline]=Z53)*(tblDisciplines[Rank]=Y53),0)),""))</f>
        <v/>
      </c>
      <c r="AC53" s="60" t="str">
        <v>Oath of the Hard Motherfucker</v>
      </c>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Oath of the Hard Motherfucker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v>
      </c>
      <c r="AF53" s="20" t="str">
        <f>IF(AC53="","",IFERROR(VLOOKUP(AC53,tblDisciplines[],12,FALSE),VLOOKUP(AC53,tblPacts[],5,FALSE)))</f>
        <v>Kill a Carthian or oathbreaker for Invictus Status 1, Friends in High Places 1, 9-Again on two Skills, and Allies/Contacts/Resources 1. All stripped if broken.</v>
      </c>
      <c r="AI53" s="15" t="s">
        <v>247</v>
      </c>
      <c r="AJ53" s="61">
        <f t="shared" si="4"/>
        <v>0</v>
      </c>
      <c r="AK53" s="61">
        <f>AJ53</f>
        <v>0</v>
      </c>
    </row>
    <row r="54" spans="1:37">
      <c r="A54" s="1" t="s">
        <v>53</v>
      </c>
      <c r="B54" t="str">
        <f>_xlfn.CONCAT(P74-L224," / ",P74)</f>
        <v>6 / 6</v>
      </c>
      <c r="D54" s="18"/>
      <c r="E54" s="15" t="s">
        <v>35</v>
      </c>
      <c r="F54" s="18"/>
      <c r="G54" s="3"/>
      <c r="H54" s="18"/>
      <c r="I54" s="18"/>
      <c r="L54" s="4"/>
      <c r="M54" s="60"/>
      <c r="N54" s="4"/>
      <c r="O54" s="61">
        <f t="shared" si="10"/>
        <v>0</v>
      </c>
      <c r="P54" s="60">
        <f t="shared" si="8"/>
        <v>0</v>
      </c>
      <c r="R54" s="61">
        <v>5</v>
      </c>
      <c r="T54" s="4"/>
      <c r="U54" s="4"/>
      <c r="V54" s="61">
        <f t="shared" si="9"/>
        <v>0</v>
      </c>
      <c r="W54" s="4"/>
      <c r="Y54" s="15">
        <f>P167</f>
        <v>1</v>
      </c>
      <c r="Z54" s="61" t="s">
        <v>238</v>
      </c>
      <c r="AA54" s="60" t="str" cm="1">
        <f t="array" ref="AA54">IF(OR(Y54=0,Y54=""),"",IF(VLOOKUP(Z54,$AI$1:$AJ$58,2,FALSE)&gt;=Y54,INDEX(tblDisciplines[Name],MATCH(1,(tblDisciplines[Discipline]=Z54)*(tblDisciplines[Rank]=Y54),0)),""))</f>
        <v>Celerity 1</v>
      </c>
      <c r="AC54" s="60" t="str">
        <v>Oath of the Safe Word</v>
      </c>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Oath of the Safe Word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v>
      </c>
      <c r="AF54" s="20" t="str">
        <f>IF(AC54="","",IFERROR(VLOOKUP(AC54,tblDisciplines[],12,FALSE),VLOOKUP(AC54,tblPacts[],5,FALSE)))</f>
        <v>Share Willpower and one Social Merit with oath partner. Either can end to briefly paralyse the other.</v>
      </c>
      <c r="AI54" s="15" t="s">
        <v>252</v>
      </c>
      <c r="AJ54" s="61">
        <f t="shared" si="4"/>
        <v>0</v>
      </c>
      <c r="AK54" s="61">
        <f>AJ54</f>
        <v>0</v>
      </c>
    </row>
    <row r="55" spans="1:37">
      <c r="A55" s="1" t="s">
        <v>54</v>
      </c>
      <c r="B55" t="str">
        <f>REPT("□",P74) &amp; REPT("■",10-P74)</f>
        <v>□□□□□□■■■■</v>
      </c>
      <c r="D55" s="18"/>
      <c r="E55" s="15" t="s">
        <v>36</v>
      </c>
      <c r="F55" s="18"/>
      <c r="G55" s="3"/>
      <c r="H55" s="18"/>
      <c r="I55" s="18"/>
      <c r="L55" s="4"/>
      <c r="M55" s="60"/>
      <c r="N55" s="4"/>
      <c r="O55" s="61">
        <f t="shared" si="10"/>
        <v>0</v>
      </c>
      <c r="P55" s="60">
        <f t="shared" si="8"/>
        <v>0</v>
      </c>
      <c r="R55" s="61">
        <v>5</v>
      </c>
      <c r="T55" s="4"/>
      <c r="U55" s="4"/>
      <c r="V55" s="61">
        <f t="shared" si="9"/>
        <v>0</v>
      </c>
      <c r="W55" s="4"/>
      <c r="Y55" s="15">
        <v>1</v>
      </c>
      <c r="Z55" s="61" t="s">
        <v>239</v>
      </c>
      <c r="AA55" s="60" t="str" cm="1">
        <f t="array" ref="AA55">IF(OR(Y55=0,Y55=""),"",IF(VLOOKUP(Z55,$AI$1:$AJ$58,2,FALSE)&gt;=Y55,INDEX(tblDisciplines[Name],MATCH(1,(tblDisciplines[Discipline]=Z55)*(tblDisciplines[Rank]=Y55),0)),""))</f>
        <v/>
      </c>
      <c r="AC55" s="60" t="str">
        <v>Oath of the True Knight</v>
      </c>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Oath of the True Knight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v>
      </c>
      <c r="AF55" s="20" t="str">
        <f>IF(AC55="","",IFERROR(VLOOKUP(AC55,tblDisciplines[],12,FALSE),VLOOKUP(AC55,tblPacts[],5,FALSE)))</f>
        <v>Impartial covenant defender. Can't consume Vitae from any source; can't be woken from torpor by blood. Invictus Status protects from mental Disciplines and Kindred/ghoul attacks.</v>
      </c>
      <c r="AI55" s="15" t="s">
        <v>245</v>
      </c>
      <c r="AJ55" s="61">
        <f t="shared" si="4"/>
        <v>0</v>
      </c>
      <c r="AK55" s="61">
        <f>AJ55+IFERROR(INDEX($V$26:$V$38,MATCH(AI55,$E$26:$E$38,0)),0)</f>
        <v>0</v>
      </c>
    </row>
    <row r="56" spans="1:37">
      <c r="A56" s="1" t="s">
        <v>55</v>
      </c>
      <c r="B56" t="str">
        <f ca="1">_xlfn.CONCAT(P75-L223," / ",P75)</f>
        <v>10 / 10</v>
      </c>
      <c r="D56" s="18"/>
      <c r="E56" s="15" t="s">
        <v>37</v>
      </c>
      <c r="F56" s="18"/>
      <c r="G56" s="3"/>
      <c r="H56" s="18"/>
      <c r="I56" s="18"/>
      <c r="L56" s="4">
        <v>2</v>
      </c>
      <c r="M56" s="60"/>
      <c r="N56" s="4"/>
      <c r="O56" s="61">
        <f t="shared" si="10"/>
        <v>0</v>
      </c>
      <c r="P56" s="60">
        <f t="shared" si="8"/>
        <v>2</v>
      </c>
      <c r="R56" s="61">
        <v>5</v>
      </c>
      <c r="T56" s="4">
        <v>1</v>
      </c>
      <c r="U56" s="4"/>
      <c r="V56" s="61">
        <f t="shared" si="9"/>
        <v>0</v>
      </c>
      <c r="W56" s="4"/>
      <c r="Y56" s="15">
        <v>2</v>
      </c>
      <c r="Z56" s="61" t="s">
        <v>239</v>
      </c>
      <c r="AA56" s="60" t="str" cm="1">
        <f t="array" ref="AA56">IF(OR(Y56=0,Y56=""),"",IF(VLOOKUP(Z56,$AI$1:$AJ$58,2,FALSE)&gt;=Y56,INDEX(tblDisciplines[Name],MATCH(1,(tblDisciplines[Discipline]=Z56)*(tblDisciplines[Rank]=Y56),0)),""))</f>
        <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4"/>
        <v>4</v>
      </c>
      <c r="AK56" s="61">
        <f>IF(AJ56=0,IF(COUNTIF($E$42:$E$49,AI56)&gt;0,-3,-1),AJ56)</f>
        <v>4</v>
      </c>
    </row>
    <row r="57" spans="1:37">
      <c r="A57" s="1" t="s">
        <v>56</v>
      </c>
      <c r="B57" t="str">
        <f ca="1">REPT("□",P75-L223) &amp; REPT("■",20-P75+L223)</f>
        <v>□□□□□□□□□□■■■■■■■■■■</v>
      </c>
      <c r="D57" s="18"/>
      <c r="E57" s="15" t="s">
        <v>38</v>
      </c>
      <c r="F57" s="18"/>
      <c r="G57" s="3" t="s">
        <v>691</v>
      </c>
      <c r="H57" s="18"/>
      <c r="I57" s="18"/>
      <c r="L57" s="4">
        <v>3</v>
      </c>
      <c r="M57" s="60"/>
      <c r="N57" s="4"/>
      <c r="O57" s="61">
        <f t="shared" si="10"/>
        <v>0</v>
      </c>
      <c r="P57" s="60">
        <f t="shared" si="8"/>
        <v>3</v>
      </c>
      <c r="R57" s="61">
        <v>5</v>
      </c>
      <c r="T57" s="4"/>
      <c r="U57" s="4"/>
      <c r="V57" s="61">
        <f t="shared" si="9"/>
        <v>0</v>
      </c>
      <c r="W57" s="4">
        <v>1</v>
      </c>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4"/>
        <v>6</v>
      </c>
      <c r="AK57" s="61">
        <f>AJ57</f>
        <v>6</v>
      </c>
    </row>
    <row r="58" spans="1:37">
      <c r="A58" s="1" t="s">
        <v>57</v>
      </c>
      <c r="B58">
        <f ca="1">VLOOKUP(VLOOKUP("Blood Potency", INDIRECT($AH$1),2,FALSE),tblBloodPotency[#Data],3,FALSE)</f>
        <v>1</v>
      </c>
      <c r="D58" s="18"/>
      <c r="E58" s="15" t="s">
        <v>39</v>
      </c>
      <c r="F58" s="18"/>
      <c r="G58" s="3"/>
      <c r="H58" s="18"/>
      <c r="I58" s="18"/>
      <c r="L58" s="4"/>
      <c r="M58" s="60"/>
      <c r="N58" s="4"/>
      <c r="O58" s="61">
        <f t="shared" si="10"/>
        <v>0</v>
      </c>
      <c r="P58" s="60">
        <f t="shared" si="8"/>
        <v>0</v>
      </c>
      <c r="R58" s="61">
        <v>5</v>
      </c>
      <c r="T58" s="4"/>
      <c r="U58" s="4"/>
      <c r="V58" s="61">
        <f t="shared" si="9"/>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4"/>
        <v>3</v>
      </c>
      <c r="AK58" s="61">
        <f>AJ58+IFERROR(INDEX($V$26:$V$38,MATCH(AI58,$E$26:$E$38,0)),0)</f>
        <v>3</v>
      </c>
    </row>
    <row r="59" spans="1:37">
      <c r="A59" s="1" t="s">
        <v>58</v>
      </c>
      <c r="B59" t="str">
        <f ca="1">VLOOKUP(VLOOKUP("Blood Potency", INDIRECT($AH$1),2,FALSE),tblBloodPotency[#Data],4,FALSE)</f>
        <v>Animals</v>
      </c>
      <c r="D59" s="61" t="s">
        <v>1625</v>
      </c>
      <c r="E59" s="15" t="s">
        <v>40</v>
      </c>
      <c r="F59" s="18"/>
      <c r="G59" s="3" t="s">
        <v>692</v>
      </c>
      <c r="H59" s="18"/>
      <c r="I59" s="18"/>
      <c r="L59" s="4">
        <v>4</v>
      </c>
      <c r="M59" s="60"/>
      <c r="N59" s="4"/>
      <c r="O59" s="61">
        <f t="shared" si="10"/>
        <v>0</v>
      </c>
      <c r="P59" s="60">
        <f t="shared" si="8"/>
        <v>4</v>
      </c>
      <c r="R59" s="61">
        <v>5</v>
      </c>
      <c r="T59" s="4">
        <v>2</v>
      </c>
      <c r="U59" s="4">
        <v>1</v>
      </c>
      <c r="V59" s="61">
        <f t="shared" si="9"/>
        <v>1</v>
      </c>
      <c r="W59" s="4">
        <v>1</v>
      </c>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1">IFERROR(IF(VLOOKUP(SUBSTITUTE(A60," Spec",""),$E$42:$G$69,3,FALSE)=0,"",VLOOKUP(SUBSTITUTE(A60," Spec",""),$E$42:$G$69,3,FALSE)),"")</f>
        <v/>
      </c>
      <c r="Y60" s="15">
        <v>1</v>
      </c>
      <c r="Z60" s="61" t="s">
        <v>240</v>
      </c>
      <c r="AA60" s="60" t="str" cm="1">
        <f t="array" ref="AA60">IF(OR(Y60=0,Y60=""),"",IF(VLOOKUP(Z60,$AI$1:$AJ$58,2,FALSE)&gt;=Y60,INDEX(tblDisciplines[Name],MATCH(1,(tblDisciplines[Discipline]=Z60)*(tblDisciplines[Rank]=Y60),0)),""))</f>
        <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1"/>
        <v/>
      </c>
      <c r="D61" s="16" t="s">
        <v>1459</v>
      </c>
      <c r="E61" s="17"/>
      <c r="F61" s="17"/>
      <c r="G61" s="17" t="s">
        <v>1467</v>
      </c>
      <c r="H61" s="16" t="s">
        <v>1446</v>
      </c>
      <c r="I61" s="3" t="s">
        <v>1567</v>
      </c>
      <c r="L61" s="60">
        <f>IF(I61="",0,VLOOKUP(I61,tblPriority[#Data],3,FALSE))-SUM(L62:L69)</f>
        <v>0</v>
      </c>
      <c r="Y61" s="15">
        <v>2</v>
      </c>
      <c r="Z61" s="61" t="s">
        <v>240</v>
      </c>
      <c r="AA61" s="60" t="str" cm="1">
        <f t="array" ref="AA61">IF(OR(Y61=0,Y61=""),"",IF(VLOOKUP(Z61,$AI$1:$AJ$58,2,FALSE)&gt;=Y61,INDEX(tblDisciplines[Name],MATCH(1,(tblDisciplines[Discipline]=Z61)*(tblDisciplines[Rank]=Y61),0)),""))</f>
        <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1"/>
        <v>Smithing</v>
      </c>
      <c r="D62" s="18"/>
      <c r="E62" s="15" t="s">
        <v>41</v>
      </c>
      <c r="F62" s="18"/>
      <c r="G62" s="3"/>
      <c r="H62" s="18"/>
      <c r="I62" s="18"/>
      <c r="L62" s="4"/>
      <c r="M62" s="60"/>
      <c r="N62" s="4"/>
      <c r="O62" s="61">
        <f>ROUNDDOWN(N62/2,0)</f>
        <v>0</v>
      </c>
      <c r="P62" s="60">
        <f t="shared" ref="P62:P69" si="12">MIN(SUM(L62,M62,O62),R62)</f>
        <v>0</v>
      </c>
      <c r="R62" s="61">
        <v>5</v>
      </c>
      <c r="T62" s="4"/>
      <c r="U62" s="4"/>
      <c r="V62" s="61">
        <f t="shared" ref="V62:V69" si="13">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1"/>
        <v/>
      </c>
      <c r="D63" s="18"/>
      <c r="E63" s="15" t="s">
        <v>42</v>
      </c>
      <c r="F63" s="18"/>
      <c r="G63" s="3"/>
      <c r="H63" s="18"/>
      <c r="I63" s="18"/>
      <c r="L63" s="4">
        <v>2</v>
      </c>
      <c r="M63" s="60"/>
      <c r="N63" s="4"/>
      <c r="O63" s="61">
        <f t="shared" ref="O63:O69" si="14">ROUNDDOWN(N63/2,0)</f>
        <v>0</v>
      </c>
      <c r="P63" s="60">
        <f t="shared" si="12"/>
        <v>2</v>
      </c>
      <c r="R63" s="61">
        <v>5</v>
      </c>
      <c r="T63" s="4"/>
      <c r="U63" s="4"/>
      <c r="V63" s="61">
        <f t="shared" si="13"/>
        <v>0</v>
      </c>
      <c r="W63" s="4">
        <v>1</v>
      </c>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1"/>
        <v/>
      </c>
      <c r="D64" s="18"/>
      <c r="E64" s="15" t="s">
        <v>43</v>
      </c>
      <c r="F64" s="18"/>
      <c r="G64" s="3"/>
      <c r="H64" s="18"/>
      <c r="I64" s="18"/>
      <c r="L64" s="4"/>
      <c r="M64" s="60"/>
      <c r="N64" s="4"/>
      <c r="O64" s="61">
        <f t="shared" si="14"/>
        <v>0</v>
      </c>
      <c r="P64" s="60">
        <f t="shared" si="12"/>
        <v>0</v>
      </c>
      <c r="R64" s="61">
        <v>5</v>
      </c>
      <c r="T64" s="4"/>
      <c r="U64" s="4"/>
      <c r="V64" s="61">
        <f t="shared" si="13"/>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1"/>
        <v/>
      </c>
      <c r="D65" s="61" t="s">
        <v>1625</v>
      </c>
      <c r="E65" s="15" t="s">
        <v>44</v>
      </c>
      <c r="F65" s="18"/>
      <c r="G65" s="3" t="s">
        <v>693</v>
      </c>
      <c r="H65" s="18"/>
      <c r="I65" s="18"/>
      <c r="L65" s="4">
        <v>2</v>
      </c>
      <c r="M65" s="60"/>
      <c r="N65" s="4"/>
      <c r="O65" s="61">
        <f t="shared" si="14"/>
        <v>0</v>
      </c>
      <c r="P65" s="60">
        <f t="shared" si="12"/>
        <v>2</v>
      </c>
      <c r="R65" s="61">
        <v>5</v>
      </c>
      <c r="T65" s="4"/>
      <c r="U65" s="4"/>
      <c r="V65" s="61">
        <f t="shared" si="13"/>
        <v>0</v>
      </c>
      <c r="W65" s="4">
        <v>1</v>
      </c>
      <c r="Y65" s="15">
        <v>1</v>
      </c>
      <c r="Z65" s="61" t="s">
        <v>241</v>
      </c>
      <c r="AA65" s="60" t="str" cm="1">
        <f t="array" ref="AA65">IF(OR(Y65=0,Y65=""),"",IF(VLOOKUP(Z65,$AI$1:$AJ$58,2,FALSE)&gt;=Y65,INDEX(tblDisciplines[Name],MATCH(1,(tblDisciplines[Discipline]=Z65)*(tblDisciplines[Rank]=Y65),0)),""))</f>
        <v>Dread Presence</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1"/>
        <v/>
      </c>
      <c r="D66" s="18"/>
      <c r="E66" s="15" t="s">
        <v>45</v>
      </c>
      <c r="F66" s="18"/>
      <c r="G66" s="3"/>
      <c r="H66" s="18"/>
      <c r="I66" s="18"/>
      <c r="L66" s="4"/>
      <c r="M66" s="60"/>
      <c r="N66" s="4"/>
      <c r="O66" s="61">
        <f t="shared" si="14"/>
        <v>0</v>
      </c>
      <c r="P66" s="60">
        <f t="shared" si="12"/>
        <v>0</v>
      </c>
      <c r="R66" s="61">
        <v>5</v>
      </c>
      <c r="T66" s="4"/>
      <c r="U66" s="4"/>
      <c r="V66" s="61">
        <f t="shared" si="13"/>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1"/>
        <v/>
      </c>
      <c r="D67" s="18"/>
      <c r="E67" s="15" t="s">
        <v>46</v>
      </c>
      <c r="F67" s="18"/>
      <c r="G67" s="3"/>
      <c r="H67" s="18"/>
      <c r="I67" s="18"/>
      <c r="L67" s="4">
        <v>3</v>
      </c>
      <c r="M67" s="60"/>
      <c r="N67" s="4"/>
      <c r="O67" s="61">
        <f t="shared" si="14"/>
        <v>0</v>
      </c>
      <c r="P67" s="60">
        <f t="shared" si="12"/>
        <v>3</v>
      </c>
      <c r="R67" s="61">
        <v>5</v>
      </c>
      <c r="T67" s="4"/>
      <c r="U67" s="4"/>
      <c r="V67" s="61">
        <f t="shared" si="13"/>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1"/>
        <v/>
      </c>
      <c r="D68" s="18"/>
      <c r="E68" s="15" t="s">
        <v>47</v>
      </c>
      <c r="F68" s="18"/>
      <c r="G68" s="3"/>
      <c r="H68" s="18"/>
      <c r="I68" s="18"/>
      <c r="L68" s="4"/>
      <c r="M68" s="60"/>
      <c r="N68" s="4"/>
      <c r="O68" s="61">
        <f t="shared" si="14"/>
        <v>0</v>
      </c>
      <c r="P68" s="60">
        <f t="shared" si="12"/>
        <v>0</v>
      </c>
      <c r="R68" s="61">
        <v>5</v>
      </c>
      <c r="T68" s="4"/>
      <c r="U68" s="4"/>
      <c r="V68" s="61">
        <f t="shared" si="13"/>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1"/>
        <v/>
      </c>
      <c r="D69" s="18"/>
      <c r="E69" s="15" t="s">
        <v>48</v>
      </c>
      <c r="F69" s="18"/>
      <c r="G69" s="3"/>
      <c r="H69" s="18"/>
      <c r="I69" s="18"/>
      <c r="L69" s="4"/>
      <c r="M69" s="60"/>
      <c r="N69" s="4"/>
      <c r="O69" s="61">
        <f t="shared" si="14"/>
        <v>0</v>
      </c>
      <c r="P69" s="60">
        <f t="shared" si="12"/>
        <v>0</v>
      </c>
      <c r="R69" s="61">
        <v>5</v>
      </c>
      <c r="T69" s="4"/>
      <c r="U69" s="4"/>
      <c r="V69" s="61">
        <f t="shared" si="13"/>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1"/>
        <v/>
      </c>
      <c r="Y70" s="15">
        <v>1</v>
      </c>
      <c r="Z70" s="61" t="s">
        <v>242</v>
      </c>
      <c r="AA70" s="60" t="str" cm="1">
        <f t="array" ref="AA70">IF(OR(Y70=0,Y70=""),"",IF(VLOOKUP(Z70,$AI$1:$AJ$58,2,FALSE)&gt;=Y70,INDEX(tblDisciplines[Name],MATCH(1,(tblDisciplines[Discipline]=Z70)*(tblDisciplines[Rank]=Y70),0)),""))</f>
        <v>Face in the Crowd</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1"/>
        <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Touch of Shadow</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1"/>
        <v/>
      </c>
      <c r="D72" s="19"/>
      <c r="E72" s="15" t="s">
        <v>49</v>
      </c>
      <c r="F72" s="19"/>
      <c r="G72" s="19"/>
      <c r="H72" s="19"/>
      <c r="I72" s="19"/>
      <c r="K72" s="4"/>
      <c r="L72" s="4"/>
      <c r="M72" s="60">
        <v>1</v>
      </c>
      <c r="N72" s="4"/>
      <c r="O72" s="61">
        <f>ROUNDDOWN(N72/5,0)</f>
        <v>0</v>
      </c>
      <c r="P72" s="60">
        <f>MIN(SUM(K72*-1,ROUNDDOWN(L72/5,0),M72,O72),R72)</f>
        <v>1</v>
      </c>
      <c r="R72" s="61">
        <v>2</v>
      </c>
      <c r="Y72" s="15">
        <v>3</v>
      </c>
      <c r="Z72" s="61" t="s">
        <v>242</v>
      </c>
      <c r="AA72" s="60" t="str" cm="1">
        <f t="array" ref="AA72">IF(OR(Y72=0,Y72=""),"",IF(VLOOKUP(Z72,$AI$1:$AJ$58,2,FALSE)&gt;=Y72,INDEX(tblDisciplines[Name],MATCH(1,(tblDisciplines[Discipline]=Z72)*(tblDisciplines[Rank]=Y72),0)),""))</f>
        <v>Cloak of Night</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1"/>
        <v>Coward Punch</v>
      </c>
      <c r="D73" s="19"/>
      <c r="E73" s="15" t="s">
        <v>1448</v>
      </c>
      <c r="F73" s="19"/>
      <c r="G73" s="19"/>
      <c r="H73" s="19"/>
      <c r="I73" s="19"/>
      <c r="K73" s="4">
        <v>3</v>
      </c>
      <c r="M73" s="60">
        <v>7</v>
      </c>
      <c r="N73" s="4"/>
      <c r="O73" s="61">
        <f>ROUNDDOWN(N73/2,0)</f>
        <v>0</v>
      </c>
      <c r="P73" s="60">
        <f>MIN(SUM(K73*-1,M73,O73),R73)</f>
        <v>4</v>
      </c>
      <c r="R73" s="61">
        <v>10</v>
      </c>
      <c r="Y73" s="15">
        <v>4</v>
      </c>
      <c r="Z73" s="61" t="s">
        <v>242</v>
      </c>
      <c r="AA73" s="60" t="str" cm="1">
        <f t="array" ref="AA73">IF(OR(Y73=0,Y73=""),"",IF(VLOOKUP(Z73,$AI$1:$AJ$58,2,FALSE)&gt;=Y73,INDEX(tblDisciplines[Name],MATCH(1,(tblDisciplines[Discipline]=Z73)*(tblDisciplines[Rank]=Y73),0)),""))</f>
        <v>The Familiar Stranger</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1"/>
        <v/>
      </c>
      <c r="D74" s="19"/>
      <c r="E74" s="15" t="s">
        <v>53</v>
      </c>
      <c r="F74" s="19"/>
      <c r="G74" s="19"/>
      <c r="H74" s="19"/>
      <c r="I74" s="19"/>
      <c r="K74" s="4"/>
      <c r="M74" s="60">
        <f>P28+P38</f>
        <v>6</v>
      </c>
      <c r="N74" s="4"/>
      <c r="O74" s="61">
        <f>N74</f>
        <v>0</v>
      </c>
      <c r="P74" s="60">
        <f>MIN(SUM(K74*-1,M74,O74),R74)</f>
        <v>6</v>
      </c>
      <c r="R74" s="61">
        <v>10</v>
      </c>
      <c r="Y74" s="15">
        <v>5</v>
      </c>
      <c r="Z74" s="61" t="s">
        <v>242</v>
      </c>
      <c r="AA74" s="60" t="str" cm="1">
        <f t="array" ref="AA74">IF(OR(Y74=0,Y74=""),"",IF(VLOOKUP(Z74,$AI$1:$AJ$58,2,FALSE)&gt;=Y74,INDEX(tblDisciplines[Name],MATCH(1,(tblDisciplines[Discipline]=Z74)*(tblDisciplines[Rank]=Y74),0)),""))</f>
        <v>Oubliette</v>
      </c>
    </row>
    <row r="75" spans="1:32">
      <c r="A75" s="1" t="s">
        <v>74</v>
      </c>
      <c r="B75" t="str">
        <f t="shared" si="11"/>
        <v>Lgt Weapons +2, Weapon &amp; Shield +2</v>
      </c>
      <c r="D75" s="19"/>
      <c r="E75" s="15" t="s">
        <v>55</v>
      </c>
      <c r="F75" s="19"/>
      <c r="G75" s="19"/>
      <c r="H75" s="19"/>
      <c r="I75" s="19"/>
      <c r="P75" s="60">
        <f ca="1">VLOOKUP(VLOOKUP("Blood Potency",INDIRECT($AH$1),2,FALSE),tblBloodPotency[],2,FALSE)</f>
        <v>10</v>
      </c>
      <c r="Y75" s="15">
        <v>1</v>
      </c>
      <c r="Z75" s="61" t="s">
        <v>243</v>
      </c>
      <c r="AA75" s="60" t="str" cm="1">
        <f t="array" ref="AA75">IF(OR(Y75=0,Y75=""),"",IF(VLOOKUP(Z75,$AI$1:$AJ$58,2,FALSE)&gt;=Y75,INDEX(tblDisciplines[Name],MATCH(1,(tblDisciplines[Discipline]=Z75)*(tblDisciplines[Rank]=Y75),0)),""))</f>
        <v/>
      </c>
    </row>
    <row r="76" spans="1:32">
      <c r="A76" s="1" t="s">
        <v>75</v>
      </c>
      <c r="B76" t="str">
        <f t="shared" si="11"/>
        <v/>
      </c>
      <c r="Y76" s="15">
        <v>2</v>
      </c>
      <c r="Z76" s="61" t="s">
        <v>243</v>
      </c>
      <c r="AA76" s="60" t="str" cm="1">
        <f t="array" ref="AA76">IF(OR(Y76=0,Y76=""),"",IF(VLOOKUP(Z76,$AI$1:$AJ$58,2,FALSE)&gt;=Y76,INDEX(tblDisciplines[Name],MATCH(1,(tblDisciplines[Discipline]=Z76)*(tblDisciplines[Rank]=Y76),0)),""))</f>
        <v/>
      </c>
    </row>
    <row r="77" spans="1:32" ht="15.75" thickBot="1">
      <c r="A77" s="1" t="s">
        <v>76</v>
      </c>
      <c r="B77" t="str">
        <f t="shared" si="11"/>
        <v/>
      </c>
      <c r="D77" s="14" t="s">
        <v>1470</v>
      </c>
      <c r="E77" s="14"/>
      <c r="F77" s="14"/>
      <c r="G77" s="14"/>
      <c r="H77" s="14"/>
      <c r="I77" s="14"/>
      <c r="N77" s="60">
        <f>SUM(N79:N98,N101:N120,N206:N215,N132:N135,N138:N157,N160:N161)</f>
        <v>16</v>
      </c>
      <c r="Y77" s="15">
        <v>3</v>
      </c>
      <c r="Z77" s="61" t="s">
        <v>243</v>
      </c>
      <c r="AA77" s="60" t="str" cm="1">
        <f t="array" ref="AA77">IF(OR(Y77=0,Y77=""),"",IF(VLOOKUP(Z77,$AI$1:$AJ$58,2,FALSE)&gt;=Y77,INDEX(tblDisciplines[Name],MATCH(1,(tblDisciplines[Discipline]=Z77)*(tblDisciplines[Rank]=Y77),0)),""))</f>
        <v/>
      </c>
    </row>
    <row r="78" spans="1:32">
      <c r="A78" s="1" t="s">
        <v>77</v>
      </c>
      <c r="B78" t="str">
        <f t="shared" si="11"/>
        <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1"/>
        <v>Interrogation</v>
      </c>
      <c r="D79" s="61" t="s">
        <v>1626</v>
      </c>
      <c r="E79" s="15" t="s">
        <v>114</v>
      </c>
      <c r="F79" s="3" t="s">
        <v>1627</v>
      </c>
      <c r="G79" s="3"/>
      <c r="H79" s="67" t="str">
        <f>_xlfn.IFNA(IF(VLOOKUP(F79,tblMerits[],6,FALSE)=0,"None",VLOOKUP(F79,tblMerits[],6,FALSE)),"None")</f>
        <v>None</v>
      </c>
      <c r="I79" s="67"/>
      <c r="L79" s="4"/>
      <c r="M79" s="4">
        <v>1</v>
      </c>
      <c r="N79" s="4"/>
      <c r="O79" s="61">
        <f>N79</f>
        <v>0</v>
      </c>
      <c r="P79" s="60">
        <f t="shared" ref="P79:P98" si="15">MIN(SUM(L79,M79,O79),R79)</f>
        <v>1</v>
      </c>
      <c r="Q79" s="61">
        <f>_xlfn.IFNA(VLOOKUP($F79,tblMerits[],3,FALSE),"")</f>
        <v>1</v>
      </c>
      <c r="R79" s="61">
        <f>_xlfn.IFNA(VLOOKUP($F79,tblMerits[],4,FALSE),"")</f>
        <v>1</v>
      </c>
      <c r="Y79" s="15">
        <v>5</v>
      </c>
      <c r="Z79" s="61" t="s">
        <v>243</v>
      </c>
      <c r="AA79" s="60" t="str" cm="1">
        <f t="array" ref="AA79">IF(OR(Y79=0,Y79=""),"",IF(VLOOKUP(Z79,$AI$1:$AJ$58,2,FALSE)&gt;=Y79,INDEX(tblDisciplines[Name],MATCH(1,(tblDisciplines[Discipline]=Z79)*(tblDisciplines[Rank]=Y79),0)),""))</f>
        <v/>
      </c>
    </row>
    <row r="80" spans="1:32">
      <c r="A80" s="1" t="s">
        <v>79</v>
      </c>
      <c r="B80" t="str">
        <f t="shared" si="11"/>
        <v/>
      </c>
      <c r="D80" s="61" t="s">
        <v>1628</v>
      </c>
      <c r="E80" s="15" t="s">
        <v>115</v>
      </c>
      <c r="F80" s="3" t="s">
        <v>1591</v>
      </c>
      <c r="G80" s="3" t="s">
        <v>40</v>
      </c>
      <c r="H80" s="67" t="str">
        <f>_xlfn.IFNA(IF(VLOOKUP(F80,tblMerits[],6,FALSE)=0,"None",VLOOKUP(F80,tblMerits[],6,FALSE)),"None")</f>
        <v>Brawl 1 or Weaponry 1</v>
      </c>
      <c r="I80" s="67"/>
      <c r="L80" s="4"/>
      <c r="M80" s="4">
        <v>1</v>
      </c>
      <c r="N80" s="4"/>
      <c r="O80" s="61">
        <f t="shared" ref="O80:O98" si="16">N80</f>
        <v>0</v>
      </c>
      <c r="P80" s="60">
        <f t="shared" si="15"/>
        <v>1</v>
      </c>
      <c r="Q80" s="61">
        <f>_xlfn.IFNA(VLOOKUP($F80,tblMerits[],3,FALSE),"")</f>
        <v>1</v>
      </c>
      <c r="R80" s="61">
        <f>_xlfn.IFNA(VLOOKUP($F80,tblMerits[],4,FALSE),"")</f>
        <v>1</v>
      </c>
      <c r="Y80" s="15">
        <f>P173</f>
        <v>0</v>
      </c>
      <c r="Z80" s="61" t="s">
        <v>244</v>
      </c>
      <c r="AA80" s="60" t="str" cm="1">
        <f t="array" ref="AA80">IF(OR(Y80=0,Y80=""),"",IF(VLOOKUP(Z80,$AI$1:$AJ$58,2,FALSE)&gt;=Y80,INDEX(tblDisciplines[Name],MATCH(1,(tblDisciplines[Discipline]=Z80)*(tblDisciplines[Rank]=Y80),0)),""))</f>
        <v/>
      </c>
    </row>
    <row r="81" spans="1:27">
      <c r="A81" s="1" t="s">
        <v>80</v>
      </c>
      <c r="B81" t="str">
        <f t="shared" si="11"/>
        <v/>
      </c>
      <c r="D81" s="61" t="s">
        <v>1629</v>
      </c>
      <c r="E81" s="15" t="s">
        <v>116</v>
      </c>
      <c r="F81" s="3" t="s">
        <v>1630</v>
      </c>
      <c r="G81" s="3" t="s">
        <v>691</v>
      </c>
      <c r="H81" s="67" t="str">
        <f>_xlfn.IFNA(IF(VLOOKUP(F81,tblMerits[],6,FALSE)=0,"None",VLOOKUP(F81,tblMerits[],6,FALSE)),"None")</f>
        <v>Resolve 2, Skill Specialty</v>
      </c>
      <c r="I81" s="67"/>
      <c r="L81" s="4"/>
      <c r="M81" s="4">
        <v>1</v>
      </c>
      <c r="N81" s="4"/>
      <c r="O81" s="61">
        <f t="shared" si="16"/>
        <v>0</v>
      </c>
      <c r="P81" s="60">
        <f t="shared" si="15"/>
        <v>1</v>
      </c>
      <c r="Q81" s="61">
        <f>_xlfn.IFNA(VLOOKUP($F81,tblMerits[],3,FALSE),"")</f>
        <v>1</v>
      </c>
      <c r="R81" s="61">
        <f>_xlfn.IFNA(VLOOKUP($F81,tblMerits[],4,FALSE),"")</f>
        <v>1</v>
      </c>
      <c r="Y81" s="15">
        <f>P174</f>
        <v>0</v>
      </c>
      <c r="Z81" s="61" t="s">
        <v>245</v>
      </c>
      <c r="AA81" s="60" t="str" cm="1">
        <f t="array" ref="AA81">IF(OR(Y81=0,Y81=""),"",IF(VLOOKUP(Z81,$AI$1:$AJ$58,2,FALSE)&gt;=Y81,INDEX(tblDisciplines[Name],MATCH(1,(tblDisciplines[Discipline]=Z81)*(tblDisciplines[Rank]=Y81),0)),""))</f>
        <v/>
      </c>
    </row>
    <row r="82" spans="1:27">
      <c r="A82" s="1" t="s">
        <v>81</v>
      </c>
      <c r="B82" t="str">
        <f t="shared" si="11"/>
        <v/>
      </c>
      <c r="D82" s="61" t="s">
        <v>1631</v>
      </c>
      <c r="E82" s="15" t="s">
        <v>117</v>
      </c>
      <c r="F82" s="3" t="s">
        <v>1590</v>
      </c>
      <c r="G82" s="3"/>
      <c r="H82" s="67" t="str">
        <f>_xlfn.IFNA(IF(VLOOKUP(F82,tblMerits[],6,FALSE)=0,"None",VLOOKUP(F82,tblMerits[],6,FALSE)),"None")</f>
        <v>Resolve 3</v>
      </c>
      <c r="I82" s="67"/>
      <c r="L82" s="4"/>
      <c r="M82" s="4">
        <v>2</v>
      </c>
      <c r="N82" s="4"/>
      <c r="O82" s="61">
        <f t="shared" si="16"/>
        <v>0</v>
      </c>
      <c r="P82" s="60">
        <f t="shared" si="15"/>
        <v>2</v>
      </c>
      <c r="Q82" s="61">
        <f>_xlfn.IFNA(VLOOKUP($F82,tblMerits[],3,FALSE),"")</f>
        <v>2</v>
      </c>
      <c r="R82" s="61">
        <f>_xlfn.IFNA(VLOOKUP($F82,tblMerits[],4,FALSE),"")</f>
        <v>2</v>
      </c>
      <c r="Y82" s="61" t="s">
        <v>1472</v>
      </c>
      <c r="Z82" s="19"/>
      <c r="AA82" s="60" t="str">
        <f>IF(P177="","",F177)</f>
        <v>Repulsive Mien</v>
      </c>
    </row>
    <row r="83" spans="1:27">
      <c r="A83" s="1" t="s">
        <v>82</v>
      </c>
      <c r="B83" t="str">
        <f t="shared" si="11"/>
        <v/>
      </c>
      <c r="D83" s="61"/>
      <c r="E83" s="15" t="s">
        <v>118</v>
      </c>
      <c r="F83" s="3" t="s">
        <v>1610</v>
      </c>
      <c r="G83" s="3" t="s">
        <v>1632</v>
      </c>
      <c r="H83" s="67" t="str">
        <f>_xlfn.IFNA(IF(VLOOKUP(F83,tblMerits[],6,FALSE)=0,"None",VLOOKUP(F83,tblMerits[],6,FALSE)),"None")</f>
        <v>Wits 3, relevant Specialty</v>
      </c>
      <c r="I83" s="67"/>
      <c r="L83" s="4"/>
      <c r="M83" s="4"/>
      <c r="N83" s="4"/>
      <c r="O83" s="61">
        <f t="shared" si="16"/>
        <v>0</v>
      </c>
      <c r="P83" s="60">
        <f t="shared" si="15"/>
        <v>0</v>
      </c>
      <c r="Q83" s="61">
        <f>_xlfn.IFNA(VLOOKUP($F83,tblMerits[],3,FALSE),"")</f>
        <v>1</v>
      </c>
      <c r="R83" s="61">
        <f>_xlfn.IFNA(VLOOKUP($F83,tblMerits[],4,FALSE),"")</f>
        <v>1</v>
      </c>
      <c r="Y83" s="61" t="s">
        <v>1472</v>
      </c>
      <c r="Z83" s="19"/>
      <c r="AA83" s="60" t="str">
        <f>IF(P178="","",F178)</f>
        <v/>
      </c>
    </row>
    <row r="84" spans="1:27">
      <c r="A84" s="1" t="s">
        <v>83</v>
      </c>
      <c r="B84">
        <f>P124</f>
        <v>1</v>
      </c>
      <c r="D84" s="61" t="s">
        <v>1633</v>
      </c>
      <c r="E84" s="15" t="s">
        <v>119</v>
      </c>
      <c r="F84" s="3" t="s">
        <v>1634</v>
      </c>
      <c r="G84" s="3"/>
      <c r="H84" s="67" t="str">
        <f>_xlfn.IFNA(IF(VLOOKUP(F84,tblMerits[],6,FALSE)=0,"None",VLOOKUP(F84,tblMerits[],6,FALSE)),"None")</f>
        <v>Invictus Status 1</v>
      </c>
      <c r="I84" s="67"/>
      <c r="L84" s="4"/>
      <c r="M84" s="4">
        <v>1</v>
      </c>
      <c r="N84" s="4"/>
      <c r="O84" s="61">
        <f t="shared" si="16"/>
        <v>0</v>
      </c>
      <c r="P84" s="60">
        <f t="shared" si="15"/>
        <v>1</v>
      </c>
      <c r="Q84" s="61">
        <f>_xlfn.IFNA(VLOOKUP($F84,tblMerits[],3,FALSE),"")</f>
        <v>1</v>
      </c>
      <c r="R84" s="61">
        <f>_xlfn.IFNA(VLOOKUP($F84,tblMerits[],4,FALSE),"")</f>
        <v>1</v>
      </c>
      <c r="Y84" s="61" t="s">
        <v>1472</v>
      </c>
      <c r="Z84" s="19"/>
      <c r="AA84" s="60" t="str">
        <f>IF(P179="","",F179)</f>
        <v/>
      </c>
    </row>
    <row r="85" spans="1:27">
      <c r="A85" s="1" t="s">
        <v>84</v>
      </c>
      <c r="B85">
        <f>P125</f>
        <v>2</v>
      </c>
      <c r="D85" s="61" t="s">
        <v>1635</v>
      </c>
      <c r="E85" s="15" t="s">
        <v>120</v>
      </c>
      <c r="F85" s="3" t="s">
        <v>1618</v>
      </c>
      <c r="G85" s="3"/>
      <c r="H85" s="67" t="str">
        <f>_xlfn.IFNA(IF(VLOOKUP(F85,tblMerits[],6,FALSE)=0,"None",VLOOKUP(F85,tblMerits[],6,FALSE)),"None")</f>
        <v>Manipulation 3, Resolve 3</v>
      </c>
      <c r="I85" s="67"/>
      <c r="L85" s="4"/>
      <c r="M85" s="4">
        <v>3</v>
      </c>
      <c r="N85" s="4"/>
      <c r="O85" s="61">
        <f t="shared" si="16"/>
        <v>0</v>
      </c>
      <c r="P85" s="60">
        <f t="shared" si="15"/>
        <v>3</v>
      </c>
      <c r="Q85" s="61">
        <f>_xlfn.IFNA(VLOOKUP($F85,tblMerits[],3,FALSE),"")</f>
        <v>1</v>
      </c>
      <c r="R85" s="61">
        <f>_xlfn.IFNA(VLOOKUP($F85,tblMerits[],4,FALSE),"")</f>
        <v>5</v>
      </c>
      <c r="Y85" s="61" t="s">
        <v>1472</v>
      </c>
      <c r="Z85" s="19"/>
      <c r="AA85" s="60" t="str">
        <f>IF(P180="","",F180)</f>
        <v/>
      </c>
    </row>
    <row r="86" spans="1:27">
      <c r="A86" s="1" t="s">
        <v>85</v>
      </c>
      <c r="B86">
        <f>P126</f>
        <v>3</v>
      </c>
      <c r="D86" s="61"/>
      <c r="E86" s="15" t="s">
        <v>121</v>
      </c>
      <c r="F86" s="3" t="s">
        <v>1569</v>
      </c>
      <c r="G86" s="3"/>
      <c r="H86" s="67" t="str">
        <f>_xlfn.IFNA(IF(VLOOKUP(F86,tblMerits[],6,FALSE)=0,"None",VLOOKUP(F86,tblMerits[],6,FALSE)),"None")</f>
        <v>Crone Status 2 or Invictus Status 2</v>
      </c>
      <c r="I86" s="67"/>
      <c r="L86" s="4"/>
      <c r="M86" s="4"/>
      <c r="N86" s="4">
        <v>1</v>
      </c>
      <c r="O86" s="61">
        <f t="shared" si="16"/>
        <v>1</v>
      </c>
      <c r="P86" s="60">
        <f t="shared" si="15"/>
        <v>1</v>
      </c>
      <c r="Q86" s="61">
        <f>_xlfn.IFNA(VLOOKUP($F86,tblMerits[],3,FALSE),"")</f>
        <v>1</v>
      </c>
      <c r="R86" s="61">
        <f>_xlfn.IFNA(VLOOKUP($F86,tblMerits[],4,FALSE),"")</f>
        <v>1</v>
      </c>
      <c r="Y86" s="61" t="s">
        <v>1472</v>
      </c>
      <c r="Z86" s="19"/>
      <c r="AA86" s="60" t="str">
        <f>IF(P181="","",F181)</f>
        <v/>
      </c>
    </row>
    <row r="87" spans="1:27">
      <c r="A87" s="1" t="s">
        <v>86</v>
      </c>
      <c r="B87" t="str">
        <f>IF(F126="","¬",F126)</f>
        <v>Invictus</v>
      </c>
      <c r="D87" s="19"/>
      <c r="E87" s="15" t="s">
        <v>122</v>
      </c>
      <c r="F87" s="3" t="s">
        <v>1636</v>
      </c>
      <c r="G87" s="3" t="s">
        <v>1068</v>
      </c>
      <c r="H87" s="67" t="str">
        <f>_xlfn.IFNA(IF(VLOOKUP(F87,tblMerits[],6,FALSE)=0,"None",VLOOKUP(F87,tblMerits[],6,FALSE)),"None")</f>
        <v>Appropriate Social Merit</v>
      </c>
      <c r="I87" s="67"/>
      <c r="L87" s="4"/>
      <c r="M87" s="4"/>
      <c r="N87" s="4"/>
      <c r="O87" s="61">
        <f t="shared" si="16"/>
        <v>0</v>
      </c>
      <c r="P87" s="60">
        <f t="shared" si="15"/>
        <v>0</v>
      </c>
      <c r="Q87" s="61">
        <f>_xlfn.IFNA(VLOOKUP($F87,tblMerits[],3,FALSE),"")</f>
        <v>1</v>
      </c>
      <c r="R87" s="61">
        <f>_xlfn.IFNA(VLOOKUP($F87,tblMerits[],4,FALSE),"")</f>
        <v>5</v>
      </c>
      <c r="Y87" s="15">
        <v>1</v>
      </c>
      <c r="Z87" s="61" t="s">
        <v>248</v>
      </c>
      <c r="AA87" s="60" t="str" cm="1">
        <f t="array" ref="AA87">IF(VLOOKUP(Z87,$AI$1:$AJ$58,2,FALSE)&gt;=Y87,INDEX(tblDisciplines[Name],MATCH(1,(tblDisciplines[Discipline]=Z87)*(tblDisciplines[Rank]=Y87),0)),"")</f>
        <v/>
      </c>
    </row>
    <row r="88" spans="1:27">
      <c r="A88" s="1" t="s">
        <v>87</v>
      </c>
      <c r="B88" t="str">
        <f>REPT("●",P126)</f>
        <v>●●●</v>
      </c>
      <c r="D88" s="19"/>
      <c r="E88" s="15" t="s">
        <v>123</v>
      </c>
      <c r="F88" s="3" t="s">
        <v>1630</v>
      </c>
      <c r="G88" s="3" t="s">
        <v>1632</v>
      </c>
      <c r="H88" s="67" t="str">
        <f>_xlfn.IFNA(IF(VLOOKUP(F88,tblMerits[],6,FALSE)=0,"None",VLOOKUP(F88,tblMerits[],6,FALSE)),"None")</f>
        <v>Resolve 2, Skill Specialty</v>
      </c>
      <c r="I88" s="67"/>
      <c r="L88" s="4"/>
      <c r="M88" s="4"/>
      <c r="N88" s="4">
        <v>1</v>
      </c>
      <c r="O88" s="61">
        <f t="shared" si="16"/>
        <v>1</v>
      </c>
      <c r="P88" s="60">
        <f t="shared" si="15"/>
        <v>1</v>
      </c>
      <c r="Q88" s="61">
        <f>_xlfn.IFNA(VLOOKUP($F88,tblMerits[],3,FALSE),"")</f>
        <v>1</v>
      </c>
      <c r="R88" s="61">
        <f>_xlfn.IFNA(VLOOKUP($F88,tblMerits[],4,FALSE),"")</f>
        <v>1</v>
      </c>
      <c r="Y88" s="15">
        <v>2</v>
      </c>
      <c r="Z88" s="61" t="s">
        <v>248</v>
      </c>
      <c r="AA88" s="60" t="str" cm="1">
        <f t="array" ref="AA88">IF(VLOOKUP(Z88,$AI$1:$AJ$58,2,FALSE)&gt;=Y88,INDEX(tblDisciplines[Name],MATCH(1,(tblDisciplines[Discipline]=Z88)*(tblDisciplines[Rank]=Y88),0)),"")</f>
        <v/>
      </c>
    </row>
    <row r="89" spans="1:27">
      <c r="A89" s="1" t="s">
        <v>88</v>
      </c>
      <c r="B89" t="str">
        <f>IF(F127="","¬",F127)</f>
        <v>Carthian</v>
      </c>
      <c r="D89" s="19"/>
      <c r="E89" s="15" t="s">
        <v>124</v>
      </c>
      <c r="F89" s="3" t="s">
        <v>1630</v>
      </c>
      <c r="G89" s="3" t="s">
        <v>1637</v>
      </c>
      <c r="H89" s="67" t="str">
        <f>_xlfn.IFNA(IF(VLOOKUP(F89,tblMerits[],6,FALSE)=0,"None",VLOOKUP(F89,tblMerits[],6,FALSE)),"None")</f>
        <v>Resolve 2, Skill Specialty</v>
      </c>
      <c r="I89" s="67"/>
      <c r="L89" s="4"/>
      <c r="M89" s="4"/>
      <c r="N89" s="4">
        <v>1</v>
      </c>
      <c r="O89" s="61">
        <f t="shared" si="16"/>
        <v>1</v>
      </c>
      <c r="P89" s="60">
        <f t="shared" si="15"/>
        <v>1</v>
      </c>
      <c r="Q89" s="61">
        <f>_xlfn.IFNA(VLOOKUP($F89,tblMerits[],3,FALSE),"")</f>
        <v>1</v>
      </c>
      <c r="R89" s="61">
        <f>_xlfn.IFNA(VLOOKUP($F89,tblMerits[],4,FALSE),"")</f>
        <v>1</v>
      </c>
      <c r="Y89" s="15">
        <v>3</v>
      </c>
      <c r="Z89" s="61" t="s">
        <v>248</v>
      </c>
      <c r="AA89" s="60" t="str" cm="1">
        <f t="array" ref="AA89">IF(VLOOKUP(Z89,$AI$1:$AJ$58,2,FALSE)&gt;=Y89,INDEX(tblDisciplines[Name],MATCH(1,(tblDisciplines[Discipline]=Z89)*(tblDisciplines[Rank]=Y89),0)),"")</f>
        <v/>
      </c>
    </row>
    <row r="90" spans="1:27">
      <c r="A90" s="1" t="s">
        <v>89</v>
      </c>
      <c r="B90" t="str">
        <f>IF(P127=0,"-",REPT("●",P127))</f>
        <v>-</v>
      </c>
      <c r="D90" s="61" t="s">
        <v>1629</v>
      </c>
      <c r="E90" s="15" t="s">
        <v>125</v>
      </c>
      <c r="F90" s="3" t="s">
        <v>1638</v>
      </c>
      <c r="G90" s="3" t="s">
        <v>691</v>
      </c>
      <c r="H90" s="67" t="str">
        <f>_xlfn.IFNA(IF(VLOOKUP(F90,tblMerits[],6,FALSE)=0,"None",VLOOKUP(F90,tblMerits[],6,FALSE)),"None")</f>
        <v>Specialised Skill 3</v>
      </c>
      <c r="I90" s="67"/>
      <c r="L90" s="4"/>
      <c r="M90" s="4">
        <v>1</v>
      </c>
      <c r="N90" s="4"/>
      <c r="O90" s="61">
        <f t="shared" si="16"/>
        <v>0</v>
      </c>
      <c r="P90" s="60">
        <f t="shared" si="15"/>
        <v>1</v>
      </c>
      <c r="Q90" s="61">
        <f>_xlfn.IFNA(VLOOKUP($F90,tblMerits[],3,FALSE),"")</f>
        <v>1</v>
      </c>
      <c r="R90" s="61">
        <f>_xlfn.IFNA(VLOOKUP($F90,tblMerits[],4,FALSE),"")</f>
        <v>1</v>
      </c>
      <c r="Y90" s="15">
        <v>4</v>
      </c>
      <c r="Z90" s="61" t="s">
        <v>248</v>
      </c>
      <c r="AA90" s="60" t="str" cm="1">
        <f t="array" ref="AA90">IF(VLOOKUP(Z90,$AI$1:$AJ$58,2,FALSE)&gt;=Y90,INDEX(tblDisciplines[Name],MATCH(1,(tblDisciplines[Discipline]=Z90)*(tblDisciplines[Rank]=Y90),0)),"")</f>
        <v/>
      </c>
    </row>
    <row r="91" spans="1:27">
      <c r="A91" s="1" t="s">
        <v>90</v>
      </c>
      <c r="B91" t="str">
        <f>IF(F128="","¬",F128)</f>
        <v>Crone</v>
      </c>
      <c r="D91" s="19"/>
      <c r="E91" s="15" t="s">
        <v>126</v>
      </c>
      <c r="F91" s="3"/>
      <c r="G91" s="3"/>
      <c r="H91" s="67" t="str">
        <f>_xlfn.IFNA(IF(VLOOKUP(F91,tblMerits[],6,FALSE)=0,"None",VLOOKUP(F91,tblMerits[],6,FALSE)),"None")</f>
        <v>None</v>
      </c>
      <c r="I91" s="67"/>
      <c r="L91" s="4"/>
      <c r="M91" s="4"/>
      <c r="N91" s="4"/>
      <c r="O91" s="61">
        <f t="shared" si="16"/>
        <v>0</v>
      </c>
      <c r="P91" s="60">
        <f t="shared" si="15"/>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6"/>
        <v>0</v>
      </c>
      <c r="P92" s="60">
        <f t="shared" si="15"/>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Lance</v>
      </c>
      <c r="D93" s="19"/>
      <c r="E93" s="15" t="s">
        <v>128</v>
      </c>
      <c r="F93" s="3"/>
      <c r="G93" s="3"/>
      <c r="H93" s="67" t="str">
        <f>_xlfn.IFNA(IF(VLOOKUP(F93,tblMerits[],6,FALSE)=0,"None",VLOOKUP(F93,tblMerits[],6,FALSE)),"None")</f>
        <v>None</v>
      </c>
      <c r="I93" s="67"/>
      <c r="L93" s="4"/>
      <c r="M93" s="4"/>
      <c r="N93" s="4"/>
      <c r="O93" s="61">
        <f t="shared" si="16"/>
        <v>0</v>
      </c>
      <c r="P93" s="60">
        <f t="shared" si="15"/>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6"/>
        <v>0</v>
      </c>
      <c r="P94" s="60">
        <f t="shared" si="15"/>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6"/>
        <v>0</v>
      </c>
      <c r="P95" s="60">
        <f t="shared" si="15"/>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6"/>
        <v>0</v>
      </c>
      <c r="P96" s="60">
        <f t="shared" si="15"/>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6"/>
        <v>0</v>
      </c>
      <c r="P97" s="60">
        <f t="shared" si="15"/>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6"/>
        <v>0</v>
      </c>
      <c r="P98" s="60">
        <f t="shared" si="15"/>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The Ashen Path</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61" t="s">
        <v>1639</v>
      </c>
      <c r="E101" s="15" t="s">
        <v>1439</v>
      </c>
      <c r="F101" s="3" t="s">
        <v>1640</v>
      </c>
      <c r="G101" s="60" t="str">
        <f>IFERROR(VLOOKUP(F101,tblManoeuvre[#Data],2,FALSE)&amp;" "&amp;VLOOKUP(F101,tblManoeuvre[#Data],3,FALSE),"")</f>
        <v>Courtoisie 1</v>
      </c>
      <c r="H101" s="67" t="str">
        <f>IFERROR(IF(VLOOKUP(F101,tblManoeuvre[#Data],8,FALSE)=0,"None",VLOOKUP(F101,tblManoeuvre[#Data],8,FALSE)),"None")</f>
        <v>Composure 3, Socialise 2, Weaponry 2, Invictus Status 1</v>
      </c>
      <c r="I101" s="67"/>
      <c r="L101" s="4"/>
      <c r="M101" s="4">
        <v>1</v>
      </c>
      <c r="N101" s="4"/>
      <c r="O101" s="61">
        <f t="shared" ref="O101:O120" si="17">N101</f>
        <v>0</v>
      </c>
      <c r="P101" s="60">
        <f t="shared" ref="P101:P120" si="18">MIN(SUM(L101,M101,O101),R101)</f>
        <v>1</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
      </c>
      <c r="D102" s="61" t="s">
        <v>1639</v>
      </c>
      <c r="E102" s="15" t="s">
        <v>1441</v>
      </c>
      <c r="F102" s="3" t="s">
        <v>1641</v>
      </c>
      <c r="G102" s="60" t="str">
        <f>IFERROR(VLOOKUP(F102,tblManoeuvre[#Data],2,FALSE)&amp;" "&amp;VLOOKUP(F102,tblManoeuvre[#Data],3,FALSE),"")</f>
        <v>Courtoisie 3</v>
      </c>
      <c r="H102" s="67" t="str">
        <f>IFERROR(IF(VLOOKUP(F102,tblManoeuvre[#Data],8,FALSE)=0,"None",VLOOKUP(F102,tblManoeuvre[#Data],8,FALSE)),"None")</f>
        <v>Composure 3, Socialise 2, Weaponry 2, Invictus Status 1</v>
      </c>
      <c r="I102" s="67"/>
      <c r="L102" s="4"/>
      <c r="M102" s="4">
        <v>1</v>
      </c>
      <c r="N102" s="4"/>
      <c r="O102" s="61">
        <f t="shared" si="17"/>
        <v>0</v>
      </c>
      <c r="P102" s="60">
        <f t="shared" si="18"/>
        <v>1</v>
      </c>
      <c r="Q102" s="61">
        <v>1</v>
      </c>
      <c r="R102" s="61">
        <v>1</v>
      </c>
      <c r="Y102" s="15">
        <v>1</v>
      </c>
      <c r="Z102" s="61" t="s">
        <v>251</v>
      </c>
      <c r="AA102" s="60" t="str" cm="1">
        <f t="array" ref="AA102">IF(VLOOKUP(Z102,$AI$1:$AJ$58,2,FALSE)&gt;=Y102,INDEX(tblDisciplines[Name],MATCH(1,(tblDisciplines[Discipline]=Z102)*(tblDisciplines[Rank]=Y102),0)),"")</f>
        <v/>
      </c>
    </row>
    <row r="103" spans="1:27">
      <c r="A103" s="1" t="s">
        <v>102</v>
      </c>
      <c r="B103">
        <f>P73</f>
        <v>4</v>
      </c>
      <c r="D103" s="61" t="s">
        <v>1639</v>
      </c>
      <c r="E103" s="15" t="s">
        <v>1443</v>
      </c>
      <c r="F103" s="3" t="s">
        <v>1642</v>
      </c>
      <c r="G103" s="60" t="str">
        <f>IFERROR(VLOOKUP(F103,tblManoeuvre[#Data],2,FALSE)&amp;" "&amp;VLOOKUP(F103,tblManoeuvre[#Data],3,FALSE),"")</f>
        <v>Light Weapons 2</v>
      </c>
      <c r="H103" s="67" t="str">
        <f>IFERROR(IF(VLOOKUP(F103,tblManoeuvre[#Data],8,FALSE)=0,"None",VLOOKUP(F103,tblManoeuvre[#Data],8,FALSE)),"None")</f>
        <v>Wits 3 or Fighting Finesse, Dex 3, Athletics 2, Weaponry 2</v>
      </c>
      <c r="I103" s="67"/>
      <c r="L103" s="4"/>
      <c r="M103" s="4">
        <v>1</v>
      </c>
      <c r="N103" s="4"/>
      <c r="O103" s="61">
        <f t="shared" si="17"/>
        <v>0</v>
      </c>
      <c r="P103" s="60">
        <f t="shared" si="18"/>
        <v>1</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61" t="s">
        <v>1639</v>
      </c>
      <c r="E104" s="15" t="s">
        <v>1447</v>
      </c>
      <c r="F104" s="3" t="s">
        <v>1643</v>
      </c>
      <c r="G104" s="60" t="str">
        <f>IFERROR(VLOOKUP(F104,tblManoeuvre[#Data],2,FALSE)&amp;" "&amp;VLOOKUP(F104,tblManoeuvre[#Data],3,FALSE),"")</f>
        <v>Light Weapons 4</v>
      </c>
      <c r="H104" s="67" t="str">
        <f>IFERROR(IF(VLOOKUP(F104,tblManoeuvre[#Data],8,FALSE)=0,"None",VLOOKUP(F104,tblManoeuvre[#Data],8,FALSE)),"None")</f>
        <v>Wits 3 or Fighting Finesse, Dex 3, Athletics 2, Weaponry 2</v>
      </c>
      <c r="I104" s="67"/>
      <c r="L104" s="4"/>
      <c r="M104" s="4">
        <v>1</v>
      </c>
      <c r="N104" s="4"/>
      <c r="O104" s="61">
        <f t="shared" si="17"/>
        <v>0</v>
      </c>
      <c r="P104" s="60">
        <f t="shared" si="18"/>
        <v>1</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61" t="s">
        <v>1639</v>
      </c>
      <c r="E105" s="15" t="s">
        <v>1449</v>
      </c>
      <c r="F105" s="3" t="s">
        <v>1644</v>
      </c>
      <c r="G105" s="60" t="str">
        <f>IFERROR(VLOOKUP(F105,tblManoeuvre[#Data],2,FALSE)&amp;" "&amp;VLOOKUP(F105,tblManoeuvre[#Data],3,FALSE),"")</f>
        <v>Strength Performance 1</v>
      </c>
      <c r="H105" s="67" t="str">
        <f>IFERROR(IF(VLOOKUP(F105,tblManoeuvre[#Data],8,FALSE)=0,"None",VLOOKUP(F105,tblManoeuvre[#Data],8,FALSE)),"None")</f>
        <v>Str 3, Sta 2, Athletics 2</v>
      </c>
      <c r="I105" s="67"/>
      <c r="L105" s="4"/>
      <c r="M105" s="4">
        <v>1</v>
      </c>
      <c r="N105" s="4"/>
      <c r="O105" s="61">
        <f t="shared" si="17"/>
        <v>0</v>
      </c>
      <c r="P105" s="60">
        <f t="shared" si="18"/>
        <v>1</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61" t="s">
        <v>1639</v>
      </c>
      <c r="E106" s="15" t="s">
        <v>1450</v>
      </c>
      <c r="F106" s="3" t="s">
        <v>1645</v>
      </c>
      <c r="G106" s="60" t="str">
        <f>IFERROR(VLOOKUP(F106,tblManoeuvre[#Data],2,FALSE)&amp;" "&amp;VLOOKUP(F106,tblManoeuvre[#Data],3,FALSE),"")</f>
        <v>Strength Performance 2</v>
      </c>
      <c r="H106" s="67" t="str">
        <f>IFERROR(IF(VLOOKUP(F106,tblManoeuvre[#Data],8,FALSE)=0,"None",VLOOKUP(F106,tblManoeuvre[#Data],8,FALSE)),"None")</f>
        <v>Str 3, Sta 2, Athletics 2</v>
      </c>
      <c r="I106" s="67"/>
      <c r="L106" s="4"/>
      <c r="M106" s="4">
        <v>1</v>
      </c>
      <c r="N106" s="4"/>
      <c r="O106" s="61">
        <f t="shared" si="17"/>
        <v>0</v>
      </c>
      <c r="P106" s="60">
        <f t="shared" si="18"/>
        <v>1</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61" t="s">
        <v>1576</v>
      </c>
      <c r="E107" s="15" t="s">
        <v>1451</v>
      </c>
      <c r="F107" s="3" t="s">
        <v>1646</v>
      </c>
      <c r="G107" s="60" t="str">
        <f>IFERROR(VLOOKUP(F107,tblManoeuvre[#Data],2,FALSE)&amp;" "&amp;VLOOKUP(F107,tblManoeuvre[#Data],3,FALSE),"")</f>
        <v>Strength Performance 3</v>
      </c>
      <c r="H107" s="67" t="str">
        <f>IFERROR(IF(VLOOKUP(F107,tblManoeuvre[#Data],8,FALSE)=0,"None",VLOOKUP(F107,tblManoeuvre[#Data],8,FALSE)),"None")</f>
        <v>Str 3, Sta 2, Athletics 2</v>
      </c>
      <c r="I107" s="67"/>
      <c r="L107" s="4"/>
      <c r="M107" s="4">
        <v>1</v>
      </c>
      <c r="N107" s="4"/>
      <c r="O107" s="61">
        <f t="shared" si="17"/>
        <v>0</v>
      </c>
      <c r="P107" s="60">
        <f t="shared" si="18"/>
        <v>1</v>
      </c>
      <c r="Q107" s="61">
        <v>1</v>
      </c>
      <c r="R107" s="61">
        <v>1</v>
      </c>
      <c r="Y107" s="15">
        <v>1</v>
      </c>
      <c r="Z107" s="61" t="s">
        <v>252</v>
      </c>
      <c r="AA107" s="60" t="str" cm="1">
        <f t="array" ref="AA107">IF(VLOOKUP(Z107,$AI$1:$AJ$58,2,FALSE)&gt;=Y107,INDEX(tblDisciplines[Name],MATCH(1,(tblDisciplines[Discipline]=Z107)*(tblDisciplines[Rank]=Y107),0)),"")</f>
        <v/>
      </c>
    </row>
    <row r="108" spans="1:27">
      <c r="A108" s="1" t="s">
        <v>107</v>
      </c>
      <c r="B108" t="str">
        <f>IF($P$73&gt;=7,"●","○") &amp; IF(F226&lt;&gt;""," (" &amp; F226 &amp; ")","")</f>
        <v>○</v>
      </c>
      <c r="D108" s="61" t="s">
        <v>1577</v>
      </c>
      <c r="E108" s="15" t="s">
        <v>1452</v>
      </c>
      <c r="F108" s="3" t="s">
        <v>1647</v>
      </c>
      <c r="G108" s="60" t="str">
        <f>IFERROR(VLOOKUP(F108,tblManoeuvre[#Data],2,FALSE)&amp;" "&amp;VLOOKUP(F108,tblManoeuvre[#Data],3,FALSE),"")</f>
        <v>Strength Performance 4</v>
      </c>
      <c r="H108" s="67" t="str">
        <f>IFERROR(IF(VLOOKUP(F108,tblManoeuvre[#Data],8,FALSE)=0,"None",VLOOKUP(F108,tblManoeuvre[#Data],8,FALSE)),"None")</f>
        <v>Str 3, Sta 2, Athletics 2</v>
      </c>
      <c r="I108" s="67"/>
      <c r="L108" s="4"/>
      <c r="M108" s="4">
        <v>1</v>
      </c>
      <c r="N108" s="4"/>
      <c r="O108" s="61">
        <f t="shared" si="17"/>
        <v>0</v>
      </c>
      <c r="P108" s="60">
        <f t="shared" si="18"/>
        <v>1</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 (Priya (saved assailant))</v>
      </c>
      <c r="D109" s="61" t="s">
        <v>1648</v>
      </c>
      <c r="E109" s="15" t="s">
        <v>1454</v>
      </c>
      <c r="F109" s="3" t="s">
        <v>1649</v>
      </c>
      <c r="G109" s="60" t="str">
        <f>IFERROR(VLOOKUP(F109,tblManoeuvre[#Data],2,FALSE)&amp;" "&amp;VLOOKUP(F109,tblManoeuvre[#Data],3,FALSE),"")</f>
        <v>Weapon and Shield 1</v>
      </c>
      <c r="H109" s="67" t="str">
        <f>IFERROR(IF(VLOOKUP(F109,tblManoeuvre[#Data],8,FALSE)=0,"None",VLOOKUP(F109,tblManoeuvre[#Data],8,FALSE)),"None")</f>
        <v>Str 3, Sta 3, Weaponry 2</v>
      </c>
      <c r="I109" s="67"/>
      <c r="L109" s="4"/>
      <c r="M109" s="4">
        <v>1</v>
      </c>
      <c r="N109" s="4"/>
      <c r="O109" s="61">
        <f t="shared" si="17"/>
        <v>0</v>
      </c>
      <c r="P109" s="60">
        <f t="shared" si="18"/>
        <v>1</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v>
      </c>
      <c r="D110" s="61" t="s">
        <v>1650</v>
      </c>
      <c r="E110" s="15" t="s">
        <v>1455</v>
      </c>
      <c r="F110" s="3" t="s">
        <v>1651</v>
      </c>
      <c r="G110" s="60" t="str">
        <f>IFERROR(VLOOKUP(F110,tblManoeuvre[#Data],2,FALSE)&amp;" "&amp;VLOOKUP(F110,tblManoeuvre[#Data],3,FALSE),"")</f>
        <v>Weapon and Shield 3</v>
      </c>
      <c r="H110" s="67" t="str">
        <f>IFERROR(IF(VLOOKUP(F110,tblManoeuvre[#Data],8,FALSE)=0,"None",VLOOKUP(F110,tblManoeuvre[#Data],8,FALSE)),"None")</f>
        <v>Str 3, Sta 3, Weaponry 2</v>
      </c>
      <c r="I110" s="67"/>
      <c r="L110" s="4"/>
      <c r="M110" s="4">
        <v>1</v>
      </c>
      <c r="N110" s="4"/>
      <c r="O110" s="61">
        <f t="shared" si="17"/>
        <v>0</v>
      </c>
      <c r="P110" s="60">
        <f t="shared" si="18"/>
        <v>1</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61"/>
      <c r="E111" s="15" t="s">
        <v>1456</v>
      </c>
      <c r="F111" s="3"/>
      <c r="G111" s="60" t="str">
        <f>IFERROR(VLOOKUP(F111,tblManoeuvre[#Data],2,FALSE)&amp;" "&amp;VLOOKUP(F111,tblManoeuvre[#Data],3,FALSE),"")</f>
        <v/>
      </c>
      <c r="H111" s="67" t="str">
        <f>IFERROR(IF(VLOOKUP(F111,tblManoeuvre[#Data],8,FALSE)=0,"None",VLOOKUP(F111,tblManoeuvre[#Data],8,FALSE)),"None")</f>
        <v>None</v>
      </c>
      <c r="I111" s="67"/>
      <c r="L111" s="4"/>
      <c r="M111" s="4"/>
      <c r="N111" s="4"/>
      <c r="O111" s="61">
        <f t="shared" si="17"/>
        <v>0</v>
      </c>
      <c r="P111" s="60">
        <f t="shared" si="18"/>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61"/>
      <c r="E112" s="15" t="s">
        <v>1457</v>
      </c>
      <c r="F112" s="3"/>
      <c r="G112" s="60" t="str">
        <f>IFERROR(VLOOKUP(F112,tblManoeuvre[#Data],2,FALSE)&amp;" "&amp;VLOOKUP(F112,tblManoeuvre[#Data],3,FALSE),"")</f>
        <v/>
      </c>
      <c r="H112" s="67" t="str">
        <f>IFERROR(IF(VLOOKUP(F112,tblManoeuvre[#Data],8,FALSE)=0,"None",VLOOKUP(F112,tblManoeuvre[#Data],8,FALSE)),"None")</f>
        <v>None</v>
      </c>
      <c r="I112" s="67"/>
      <c r="L112" s="4"/>
      <c r="M112" s="4"/>
      <c r="N112" s="4"/>
      <c r="O112" s="61">
        <f t="shared" si="17"/>
        <v>0</v>
      </c>
      <c r="P112" s="60">
        <f t="shared" si="18"/>
        <v>0</v>
      </c>
      <c r="Q112" s="61">
        <v>1</v>
      </c>
      <c r="R112" s="61">
        <v>1</v>
      </c>
      <c r="Y112" s="61" t="s">
        <v>1474</v>
      </c>
      <c r="Z112" s="61" t="str">
        <f t="shared" ref="Z112:Z121" si="19">G194</f>
        <v/>
      </c>
      <c r="AA112" s="60" t="str">
        <f t="shared" ref="AA112:AA121" si="20">IF(P194="","",F194)</f>
        <v/>
      </c>
    </row>
    <row r="113" spans="1:27">
      <c r="A113" s="1" t="s">
        <v>112</v>
      </c>
      <c r="B113" t="str">
        <f>IF($P$73&gt;=2,"●","○") &amp; IF(F231&lt;&gt;""," (" &amp; F231 &amp; ")","")</f>
        <v>●</v>
      </c>
      <c r="D113" s="61"/>
      <c r="E113" s="15" t="s">
        <v>1458</v>
      </c>
      <c r="F113" s="3"/>
      <c r="G113" s="60" t="str">
        <f>IFERROR(VLOOKUP(F113,tblManoeuvre[#Data],2,FALSE)&amp;" "&amp;VLOOKUP(F113,tblManoeuvre[#Data],3,FALSE),"")</f>
        <v/>
      </c>
      <c r="H113" s="67" t="str">
        <f>IFERROR(IF(VLOOKUP(F113,tblManoeuvre[#Data],8,FALSE)=0,"None",VLOOKUP(F113,tblManoeuvre[#Data],8,FALSE)),"None")</f>
        <v>None</v>
      </c>
      <c r="I113" s="67"/>
      <c r="L113" s="4"/>
      <c r="M113" s="4"/>
      <c r="N113" s="4"/>
      <c r="O113" s="61">
        <f t="shared" si="17"/>
        <v>0</v>
      </c>
      <c r="P113" s="60">
        <f t="shared" si="18"/>
        <v>0</v>
      </c>
      <c r="Q113" s="61">
        <v>1</v>
      </c>
      <c r="R113" s="61">
        <v>1</v>
      </c>
      <c r="Y113" s="61" t="s">
        <v>1474</v>
      </c>
      <c r="Z113" s="61" t="str">
        <f t="shared" si="19"/>
        <v/>
      </c>
      <c r="AA113" s="60" t="str">
        <f t="shared" si="20"/>
        <v/>
      </c>
    </row>
    <row r="114" spans="1:27">
      <c r="A114" s="1" t="s">
        <v>113</v>
      </c>
      <c r="B114" t="str">
        <f>IF($P$73&gt;=1,"●","○") &amp; IF(F232&lt;&gt;""," (" &amp; F232 &amp; ")","")</f>
        <v>●</v>
      </c>
      <c r="D114" s="61"/>
      <c r="E114" s="15" t="s">
        <v>1460</v>
      </c>
      <c r="F114" s="3"/>
      <c r="G114" s="60" t="str">
        <f>IFERROR(VLOOKUP(F114,tblManoeuvre[#Data],2,FALSE)&amp;" "&amp;VLOOKUP(F114,tblManoeuvre[#Data],3,FALSE),"")</f>
        <v/>
      </c>
      <c r="H114" s="67" t="str">
        <f>IFERROR(IF(VLOOKUP(F114,tblManoeuvre[#Data],8,FALSE)=0,"None",VLOOKUP(F114,tblManoeuvre[#Data],8,FALSE)),"None")</f>
        <v>None</v>
      </c>
      <c r="I114" s="67"/>
      <c r="L114" s="4"/>
      <c r="M114" s="4"/>
      <c r="N114" s="4"/>
      <c r="O114" s="61">
        <f t="shared" si="17"/>
        <v>0</v>
      </c>
      <c r="P114" s="60">
        <f t="shared" si="18"/>
        <v>0</v>
      </c>
      <c r="Q114" s="61">
        <v>1</v>
      </c>
      <c r="R114" s="61">
        <v>1</v>
      </c>
      <c r="Y114" s="61" t="s">
        <v>1474</v>
      </c>
      <c r="Z114" s="61" t="str">
        <f t="shared" si="19"/>
        <v/>
      </c>
      <c r="AA114" s="60" t="str">
        <f t="shared" si="20"/>
        <v/>
      </c>
    </row>
    <row r="115" spans="1:27">
      <c r="A115" s="1" t="s">
        <v>114</v>
      </c>
      <c r="B115" t="str">
        <f t="shared" ref="B115:B144" si="21">IF(AD2="","¬",AD2)</f>
        <v>Area of Expertise (Coward Punch) ●</v>
      </c>
      <c r="D115" s="61"/>
      <c r="E115" s="15" t="s">
        <v>1461</v>
      </c>
      <c r="F115" s="3"/>
      <c r="G115" s="60" t="str">
        <f>IFERROR(VLOOKUP(F115,tblManoeuvre[#Data],2,FALSE)&amp;" "&amp;VLOOKUP(F115,tblManoeuvre[#Data],3,FALSE),"")</f>
        <v/>
      </c>
      <c r="H115" s="67" t="str">
        <f>IFERROR(IF(VLOOKUP(F115,tblManoeuvre[#Data],8,FALSE)=0,"None",VLOOKUP(F115,tblManoeuvre[#Data],8,FALSE)),"None")</f>
        <v>None</v>
      </c>
      <c r="I115" s="67"/>
      <c r="L115" s="4"/>
      <c r="M115" s="4"/>
      <c r="N115" s="4"/>
      <c r="O115" s="61">
        <f t="shared" si="17"/>
        <v>0</v>
      </c>
      <c r="P115" s="60">
        <f t="shared" si="18"/>
        <v>0</v>
      </c>
      <c r="Q115" s="61">
        <v>1</v>
      </c>
      <c r="R115" s="61">
        <v>1</v>
      </c>
      <c r="Y115" s="61" t="s">
        <v>1474</v>
      </c>
      <c r="Z115" s="61" t="str">
        <f t="shared" si="19"/>
        <v/>
      </c>
      <c r="AA115" s="60" t="str">
        <f t="shared" si="20"/>
        <v/>
      </c>
    </row>
    <row r="116" spans="1:27">
      <c r="A116" s="1" t="s">
        <v>115</v>
      </c>
      <c r="B116" t="str">
        <f t="shared" si="21"/>
        <v>Area of Expertise (Light Weapons) ●</v>
      </c>
      <c r="D116" s="61"/>
      <c r="E116" s="15" t="s">
        <v>1462</v>
      </c>
      <c r="F116" s="3"/>
      <c r="G116" s="60" t="str">
        <f>IFERROR(VLOOKUP(F116,tblManoeuvre[#Data],2,FALSE)&amp;" "&amp;VLOOKUP(F116,tblManoeuvre[#Data],3,FALSE),"")</f>
        <v/>
      </c>
      <c r="H116" s="67" t="str">
        <f>IFERROR(IF(VLOOKUP(F116,tblManoeuvre[#Data],8,FALSE)=0,"None",VLOOKUP(F116,tblManoeuvre[#Data],8,FALSE)),"None")</f>
        <v>None</v>
      </c>
      <c r="I116" s="67"/>
      <c r="L116" s="4"/>
      <c r="M116" s="4"/>
      <c r="N116" s="4"/>
      <c r="O116" s="61">
        <f t="shared" si="17"/>
        <v>0</v>
      </c>
      <c r="P116" s="60">
        <f t="shared" si="18"/>
        <v>0</v>
      </c>
      <c r="Q116" s="61">
        <v>1</v>
      </c>
      <c r="R116" s="61">
        <v>1</v>
      </c>
      <c r="Y116" s="61" t="s">
        <v>1474</v>
      </c>
      <c r="Z116" s="61" t="str">
        <f t="shared" si="19"/>
        <v/>
      </c>
      <c r="AA116" s="60" t="str">
        <f t="shared" si="20"/>
        <v/>
      </c>
    </row>
    <row r="117" spans="1:27">
      <c r="A117" s="1" t="s">
        <v>116</v>
      </c>
      <c r="B117" t="str">
        <f t="shared" si="21"/>
        <v>Area of Expertise (Weapon &amp; Shield) ●</v>
      </c>
      <c r="D117" s="61"/>
      <c r="E117" s="15" t="s">
        <v>1463</v>
      </c>
      <c r="F117" s="3"/>
      <c r="G117" s="60" t="str">
        <f>IFERROR(VLOOKUP(F117,tblManoeuvre[#Data],2,FALSE)&amp;" "&amp;VLOOKUP(F117,tblManoeuvre[#Data],3,FALSE),"")</f>
        <v/>
      </c>
      <c r="H117" s="67" t="str">
        <f>IFERROR(IF(VLOOKUP(F117,tblManoeuvre[#Data],8,FALSE)=0,"None",VLOOKUP(F117,tblManoeuvre[#Data],8,FALSE)),"None")</f>
        <v>None</v>
      </c>
      <c r="I117" s="67"/>
      <c r="L117" s="4"/>
      <c r="M117" s="4"/>
      <c r="N117" s="4"/>
      <c r="O117" s="61">
        <f t="shared" si="17"/>
        <v>0</v>
      </c>
      <c r="P117" s="60">
        <f t="shared" si="18"/>
        <v>0</v>
      </c>
      <c r="Q117" s="61">
        <v>1</v>
      </c>
      <c r="R117" s="61">
        <v>1</v>
      </c>
      <c r="Y117" s="61" t="s">
        <v>1474</v>
      </c>
      <c r="Z117" s="61" t="str">
        <f t="shared" si="19"/>
        <v/>
      </c>
      <c r="AA117" s="60" t="str">
        <f t="shared" si="20"/>
        <v/>
      </c>
    </row>
    <row r="118" spans="1:27">
      <c r="A118" s="1" t="s">
        <v>117</v>
      </c>
      <c r="B118" t="str">
        <f t="shared" si="21"/>
        <v>Closed Book ●●●</v>
      </c>
      <c r="D118" s="61"/>
      <c r="E118" s="15" t="s">
        <v>1464</v>
      </c>
      <c r="F118" s="3"/>
      <c r="G118" s="60" t="str">
        <f>IFERROR(VLOOKUP(F118,tblManoeuvre[#Data],2,FALSE)&amp;" "&amp;VLOOKUP(F118,tblManoeuvre[#Data],3,FALSE),"")</f>
        <v/>
      </c>
      <c r="H118" s="67" t="str">
        <f>IFERROR(IF(VLOOKUP(F118,tblManoeuvre[#Data],8,FALSE)=0,"None",VLOOKUP(F118,tblManoeuvre[#Data],8,FALSE)),"None")</f>
        <v>None</v>
      </c>
      <c r="I118" s="67"/>
      <c r="L118" s="4"/>
      <c r="M118" s="4"/>
      <c r="N118" s="4"/>
      <c r="O118" s="61">
        <f t="shared" si="17"/>
        <v>0</v>
      </c>
      <c r="P118" s="60">
        <f t="shared" si="18"/>
        <v>0</v>
      </c>
      <c r="Q118" s="61">
        <v>1</v>
      </c>
      <c r="R118" s="61">
        <v>1</v>
      </c>
      <c r="Y118" s="61" t="s">
        <v>1474</v>
      </c>
      <c r="Z118" s="61" t="str">
        <f t="shared" si="19"/>
        <v/>
      </c>
      <c r="AA118" s="60" t="str">
        <f t="shared" si="20"/>
        <v/>
      </c>
    </row>
    <row r="119" spans="1:27">
      <c r="A119" s="1" t="s">
        <v>118</v>
      </c>
      <c r="B119" t="str">
        <f t="shared" si="21"/>
        <v>Defensive Combat (Weaponry) ●</v>
      </c>
      <c r="D119" s="19"/>
      <c r="E119" s="15" t="s">
        <v>1466</v>
      </c>
      <c r="F119" s="3"/>
      <c r="G119" s="60" t="str">
        <f>IFERROR(VLOOKUP(F119,tblManoeuvre[#Data],2,FALSE)&amp;" "&amp;VLOOKUP(F119,tblManoeuvre[#Data],3,FALSE),"")</f>
        <v/>
      </c>
      <c r="H119" s="67" t="str">
        <f>IFERROR(IF(VLOOKUP(F119,tblManoeuvre[#Data],8,FALSE)=0,"None",VLOOKUP(F119,tblManoeuvre[#Data],8,FALSE)),"None")</f>
        <v>None</v>
      </c>
      <c r="I119" s="67"/>
      <c r="L119" s="4"/>
      <c r="M119" s="4"/>
      <c r="N119" s="4"/>
      <c r="O119" s="61">
        <f t="shared" si="17"/>
        <v>0</v>
      </c>
      <c r="P119" s="60">
        <f t="shared" si="18"/>
        <v>0</v>
      </c>
      <c r="Q119" s="61">
        <v>1</v>
      </c>
      <c r="R119" s="61">
        <v>1</v>
      </c>
      <c r="Y119" s="61" t="s">
        <v>1474</v>
      </c>
      <c r="Z119" s="61" t="str">
        <f t="shared" si="19"/>
        <v/>
      </c>
      <c r="AA119" s="60" t="str">
        <f t="shared" si="20"/>
        <v/>
      </c>
    </row>
    <row r="120" spans="1:27">
      <c r="A120" s="1" t="s">
        <v>119</v>
      </c>
      <c r="B120" t="str">
        <f t="shared" si="21"/>
        <v>Friends in High Places ●</v>
      </c>
      <c r="D120" s="19"/>
      <c r="E120" s="15" t="s">
        <v>1468</v>
      </c>
      <c r="F120" s="3"/>
      <c r="G120" s="60" t="str">
        <f>IFERROR(VLOOKUP(F120,tblManoeuvre[#Data],2,FALSE)&amp;" "&amp;VLOOKUP(F120,tblManoeuvre[#Data],3,FALSE),"")</f>
        <v/>
      </c>
      <c r="H120" s="67" t="str">
        <f>IFERROR(IF(VLOOKUP(F120,tblManoeuvre[#Data],8,FALSE)=0,"None",VLOOKUP(F120,tblManoeuvre[#Data],8,FALSE)),"None")</f>
        <v>None</v>
      </c>
      <c r="I120" s="67"/>
      <c r="L120" s="4"/>
      <c r="M120" s="4"/>
      <c r="N120" s="4"/>
      <c r="O120" s="61">
        <f t="shared" si="17"/>
        <v>0</v>
      </c>
      <c r="P120" s="60">
        <f t="shared" si="18"/>
        <v>0</v>
      </c>
      <c r="Q120" s="61">
        <v>1</v>
      </c>
      <c r="R120" s="61">
        <v>1</v>
      </c>
      <c r="Y120" s="61" t="s">
        <v>1474</v>
      </c>
      <c r="Z120" s="61" t="str">
        <f t="shared" si="19"/>
        <v/>
      </c>
      <c r="AA120" s="60" t="str">
        <f t="shared" si="20"/>
        <v/>
      </c>
    </row>
    <row r="121" spans="1:27">
      <c r="A121" s="1" t="s">
        <v>120</v>
      </c>
      <c r="B121" t="str">
        <f t="shared" si="21"/>
        <v>Indomitable ●●</v>
      </c>
      <c r="Y121" s="61" t="s">
        <v>1474</v>
      </c>
      <c r="Z121" s="61" t="str">
        <f t="shared" si="19"/>
        <v/>
      </c>
      <c r="AA121" s="60" t="str">
        <f t="shared" si="20"/>
        <v/>
      </c>
    </row>
    <row r="122" spans="1:27" ht="15.75" thickBot="1">
      <c r="A122" s="1" t="s">
        <v>121</v>
      </c>
      <c r="B122" t="str">
        <f t="shared" si="21"/>
        <v>Interdisciplinary Specialty (Coward Punch) ●</v>
      </c>
      <c r="D122" s="14" t="s">
        <v>1475</v>
      </c>
      <c r="E122" s="14"/>
      <c r="F122" s="14"/>
      <c r="G122" s="14"/>
      <c r="H122" s="14"/>
      <c r="I122" s="14"/>
    </row>
    <row r="123" spans="1:27">
      <c r="A123" s="1" t="s">
        <v>122</v>
      </c>
      <c r="B123" t="str">
        <f t="shared" si="21"/>
        <v>Invested ●</v>
      </c>
      <c r="D123" s="16" t="s">
        <v>927</v>
      </c>
      <c r="E123" s="17"/>
      <c r="F123" s="17"/>
      <c r="G123" s="17"/>
      <c r="H123" s="17"/>
      <c r="I123" s="17"/>
      <c r="Y123" s="15" t="s">
        <v>1476</v>
      </c>
      <c r="Z123" s="19"/>
      <c r="AA123" s="61" t="str">
        <f t="shared" ref="AA123:AA132" si="22">_xlfn.LET(_xlpm.name,VLOOKUP(Y123,$E$2:$F$362,2,FALSE),_xlpm.paid,_xlfn.IFNA(VLOOKUP(_xlpm.name,$F$121:$Q$215,11,FALSE)&gt;=VLOOKUP(_xlpm.name,$F$121:$Q$215,12,FALSE),FALSE),IF(AND(_xlpm.name&lt;&gt;"",_xlpm.paid),_xlpm.name,""))</f>
        <v>Oath of the Hard Motherfucker</v>
      </c>
    </row>
    <row r="124" spans="1:27">
      <c r="A124" s="1" t="s">
        <v>123</v>
      </c>
      <c r="B124" t="str">
        <f t="shared" si="21"/>
        <v>Secret Society Junkie ●</v>
      </c>
      <c r="D124" s="19"/>
      <c r="E124" s="15" t="s">
        <v>83</v>
      </c>
      <c r="F124" s="19"/>
      <c r="G124" s="19"/>
      <c r="H124" s="19"/>
      <c r="I124" s="19"/>
      <c r="L124" s="4">
        <v>1</v>
      </c>
      <c r="M124" s="61">
        <f>IFERROR(VLOOKUP(G13,tblEffectiveStatus[#Data],2,FALSE),0)</f>
        <v>0</v>
      </c>
      <c r="P124" s="60">
        <f>MIN(L124+M124,R124)</f>
        <v>1</v>
      </c>
      <c r="R124" s="61">
        <v>10</v>
      </c>
      <c r="Y124" s="15" t="s">
        <v>1477</v>
      </c>
      <c r="Z124" s="19"/>
      <c r="AA124" s="61" t="str">
        <f t="shared" si="22"/>
        <v>Oath of the Safe Word</v>
      </c>
    </row>
    <row r="125" spans="1:27">
      <c r="A125" s="1" t="s">
        <v>124</v>
      </c>
      <c r="B125" t="str">
        <f t="shared" si="21"/>
        <v>Courtoisie ● | Establish the Duel</v>
      </c>
      <c r="D125" s="19"/>
      <c r="E125" s="15" t="str">
        <f>IF(F7="","Clan Status",F7&amp;" Status")</f>
        <v>Nosferatu Status</v>
      </c>
      <c r="F125" s="19"/>
      <c r="G125" s="19"/>
      <c r="H125" s="19"/>
      <c r="I125" s="19"/>
      <c r="L125" s="4">
        <v>2</v>
      </c>
      <c r="P125" s="60">
        <f>IF(L125="",0,MIN(L125,R125))</f>
        <v>2</v>
      </c>
      <c r="R125" s="61">
        <v>5</v>
      </c>
      <c r="Y125" s="15" t="s">
        <v>1478</v>
      </c>
      <c r="Z125" s="19"/>
      <c r="AA125" s="61" t="str">
        <f t="shared" si="22"/>
        <v>Oath of Fealty</v>
      </c>
    </row>
    <row r="126" spans="1:27">
      <c r="A126" s="1" t="s">
        <v>125</v>
      </c>
      <c r="B126" t="str">
        <f t="shared" si="21"/>
        <v>Courtoisie ●●● | Demanding Attention</v>
      </c>
      <c r="D126" s="19"/>
      <c r="E126" s="15" t="str">
        <f>IF(F9="","",F9&amp;" Status")</f>
        <v>Invictus Status</v>
      </c>
      <c r="F126" s="19" t="str">
        <f>IF(F9="","",VLOOKUP(F9,tblCovenantShortName[#Data],2,FALSE))</f>
        <v>Invictus</v>
      </c>
      <c r="G126" s="19"/>
      <c r="H126" s="19"/>
      <c r="I126" s="19"/>
      <c r="L126" s="4">
        <v>3</v>
      </c>
      <c r="P126" s="60">
        <f>L126</f>
        <v>3</v>
      </c>
      <c r="R126" s="61">
        <f>5-SUM(L127:L129)</f>
        <v>5</v>
      </c>
      <c r="Y126" s="15" t="s">
        <v>1479</v>
      </c>
      <c r="Z126" s="19"/>
      <c r="AA126" s="61" t="str">
        <f t="shared" si="22"/>
        <v>Oath of the True Knight</v>
      </c>
    </row>
    <row r="127" spans="1:27">
      <c r="A127" s="1" t="s">
        <v>126</v>
      </c>
      <c r="B127" t="str">
        <f t="shared" si="21"/>
        <v>Light Weapons ●● | Thrust</v>
      </c>
      <c r="D127" s="19"/>
      <c r="E127" s="15" t="str" cm="1">
        <f t="array" ref="E127">IF(F9="","",IFERROR(INDEX(Lists!$F$2:$F$5,SMALL(IF(Lists!$F$2:$F$5&lt;&gt;$F$9,ROW(Lists!$F$2:$F$5)-ROW(Lists!$F$2)+1),1))&amp;" Status",""))</f>
        <v>Carthian Movement Status</v>
      </c>
      <c r="F127" s="19" t="str" cm="1">
        <f t="array" ref="F127">IF(F9="","",IFERROR(VLOOKUP(INDEX(Lists!$F$2:$F$5,SMALL(IF(Lists!$F$2:$F$5&lt;&gt;$F$9,ROW(Lists!$F$2:$F$5)-ROW(Lists!$F$2)+1),1)),tblCovenantShortName[],2,FALSE),""))</f>
        <v>Carthian</v>
      </c>
      <c r="G127" s="19"/>
      <c r="H127" s="19"/>
      <c r="I127" s="19"/>
      <c r="L127" s="4"/>
      <c r="P127" s="60">
        <f>L127</f>
        <v>0</v>
      </c>
      <c r="R127" s="61">
        <f>MAX(0,MIN(P126-1,5-L126-L128-L129))</f>
        <v>2</v>
      </c>
      <c r="Y127" s="15" t="s">
        <v>1480</v>
      </c>
      <c r="Z127" s="19"/>
      <c r="AA127" s="61" t="str">
        <f t="shared" si="22"/>
        <v/>
      </c>
    </row>
    <row r="128" spans="1:27">
      <c r="A128" s="1" t="s">
        <v>127</v>
      </c>
      <c r="B128" t="str">
        <f t="shared" si="21"/>
        <v>Light Weapons ●●●● | Flurry</v>
      </c>
      <c r="D128" s="19"/>
      <c r="E128" s="15" t="str" cm="1">
        <f t="array" ref="E128">IF(F9="","",IFERROR(INDEX(Lists!$F$2:$F$5,SMALL(IF(Lists!$F$2:$F$5&lt;&gt;$F$9,ROW(Lists!$F$2:$F$5)-ROW(Lists!$F$2)+1),2))&amp;" Status",""))</f>
        <v>Circle of the Crone Status</v>
      </c>
      <c r="F128" s="19" t="str" cm="1">
        <f t="array" ref="F128">IF(F9="","",IFERROR(VLOOKUP(INDEX(Lists!$F$2:$F$5,SMALL(IF(Lists!$F$2:$F$5&lt;&gt;$F$9,ROW(Lists!$F$2:$F$5)-ROW(Lists!$F$2)+1),2)),tblCovenantShortName[],2,FALSE),""))</f>
        <v>Crone</v>
      </c>
      <c r="G128" s="19"/>
      <c r="H128" s="19"/>
      <c r="I128" s="19"/>
      <c r="L128" s="4"/>
      <c r="P128" s="60">
        <f>L128</f>
        <v>0</v>
      </c>
      <c r="R128" s="61">
        <f>MAX(0,MIN(P126-1,5-L126-L127-L129))</f>
        <v>2</v>
      </c>
      <c r="Y128" s="15" t="s">
        <v>1481</v>
      </c>
      <c r="Z128" s="19"/>
      <c r="AA128" s="61" t="str">
        <f t="shared" si="22"/>
        <v/>
      </c>
    </row>
    <row r="129" spans="1:32">
      <c r="A129" s="1" t="s">
        <v>128</v>
      </c>
      <c r="B129" t="str">
        <f t="shared" si="21"/>
        <v>Strength Performance ● | Strength Tricks</v>
      </c>
      <c r="D129" s="19"/>
      <c r="E129" s="15" t="str" cm="1">
        <f t="array" ref="E129">IF(F9="","",IFERROR(INDEX(Lists!$F$2:$F$5,SMALL(IF(Lists!$F$2:$F$5&lt;&gt;$F$9,ROW(Lists!$F$2:$F$5)-ROW(Lists!$F$2)+1),3))&amp;" Status",""))</f>
        <v>Lancea et Sanctum Status</v>
      </c>
      <c r="F129" s="19" t="str" cm="1">
        <f t="array" ref="F129">IF(F9="","",IFERROR(VLOOKUP(INDEX(Lists!$F$2:$F$5,SMALL(IF(Lists!$F$2:$F$5&lt;&gt;$F$9,ROW(Lists!$F$2:$F$5)-ROW(Lists!$F$2)+1),3)),tblCovenantShortName[],2,FALSE),""))</f>
        <v>Lance</v>
      </c>
      <c r="G129" s="19"/>
      <c r="H129" s="19"/>
      <c r="I129" s="19"/>
      <c r="L129" s="4"/>
      <c r="P129" s="60">
        <f>L129</f>
        <v>0</v>
      </c>
      <c r="R129" s="61">
        <f>MAX(0,MIN(P126-1,5-L126-L127-L128))</f>
        <v>2</v>
      </c>
      <c r="Y129" s="15" t="s">
        <v>1482</v>
      </c>
      <c r="Z129" s="19"/>
      <c r="AA129" s="61" t="str">
        <f t="shared" si="22"/>
        <v/>
      </c>
    </row>
    <row r="130" spans="1:32">
      <c r="A130" s="1" t="s">
        <v>129</v>
      </c>
      <c r="B130" t="str">
        <f t="shared" si="21"/>
        <v>Strength Performance ●● | Lifting</v>
      </c>
      <c r="Y130" s="15" t="s">
        <v>1483</v>
      </c>
      <c r="Z130" s="19"/>
      <c r="AA130" s="61" t="str">
        <f t="shared" si="22"/>
        <v/>
      </c>
    </row>
    <row r="131" spans="1:32">
      <c r="A131" s="1" t="s">
        <v>130</v>
      </c>
      <c r="B131" t="str">
        <f t="shared" si="21"/>
        <v>Strength Performance ●●● | Push/Pull</v>
      </c>
      <c r="D131" s="16" t="s">
        <v>1475</v>
      </c>
      <c r="E131" s="17"/>
      <c r="F131" s="16" t="s">
        <v>1446</v>
      </c>
      <c r="G131" s="17"/>
      <c r="H131" s="17"/>
      <c r="I131" s="17"/>
      <c r="Y131" s="15" t="s">
        <v>1484</v>
      </c>
      <c r="Z131" s="19"/>
      <c r="AA131" s="61" t="str">
        <f t="shared" si="22"/>
        <v/>
      </c>
    </row>
    <row r="132" spans="1:32">
      <c r="A132" s="1" t="s">
        <v>131</v>
      </c>
      <c r="B132" t="str">
        <f t="shared" si="21"/>
        <v>Strength Performance ●●●● | Stronger Than You</v>
      </c>
      <c r="D132" s="61" t="s">
        <v>1652</v>
      </c>
      <c r="E132" s="15" t="s">
        <v>94</v>
      </c>
      <c r="F132" s="3" t="s">
        <v>1653</v>
      </c>
      <c r="G132" s="19"/>
      <c r="H132" s="19"/>
      <c r="I132" s="19"/>
      <c r="L132" s="4"/>
      <c r="M132" s="4">
        <v>3</v>
      </c>
      <c r="N132" s="4"/>
      <c r="O132" s="61">
        <f>N132</f>
        <v>0</v>
      </c>
      <c r="P132" s="60">
        <f>MIN(SUM(L132,M132,O132),R132)</f>
        <v>3</v>
      </c>
      <c r="Q132" s="61">
        <f>_xlfn.IFNA(VLOOKUP($E132,tblDomain[],3,FALSE),"")</f>
        <v>1</v>
      </c>
      <c r="R132" s="61">
        <f>_xlfn.IFNA(VLOOKUP($E132,tblDomain[],4,FALSE),"")</f>
        <v>5</v>
      </c>
      <c r="Y132" s="15" t="s">
        <v>1485</v>
      </c>
      <c r="Z132" s="19"/>
      <c r="AA132" s="61" t="str">
        <f t="shared" si="22"/>
        <v/>
      </c>
    </row>
    <row r="133" spans="1:32">
      <c r="A133" s="1" t="s">
        <v>132</v>
      </c>
      <c r="B133" t="str">
        <f t="shared" si="21"/>
        <v>Weapon and Shield ● | Shield Bash</v>
      </c>
      <c r="D133" s="19"/>
      <c r="E133" s="15" t="s">
        <v>95</v>
      </c>
      <c r="F133" s="3" t="s">
        <v>1653</v>
      </c>
      <c r="G133" s="19"/>
      <c r="H133" s="19"/>
      <c r="I133" s="19"/>
      <c r="L133" s="4"/>
      <c r="M133" s="4">
        <v>2</v>
      </c>
      <c r="N133" s="4">
        <v>1</v>
      </c>
      <c r="O133" s="61">
        <f>N133</f>
        <v>1</v>
      </c>
      <c r="P133" s="60">
        <f>MIN(SUM(L133,M133,O133),R133)</f>
        <v>3</v>
      </c>
      <c r="Q133" s="61">
        <f>_xlfn.IFNA(VLOOKUP($E133,tblDomain[],3,FALSE),"")</f>
        <v>1</v>
      </c>
      <c r="R133" s="61">
        <f>_xlfn.IFNA(VLOOKUP($E133,tblDomain[],4,FALSE),"")</f>
        <v>5</v>
      </c>
    </row>
    <row r="134" spans="1:32">
      <c r="A134" s="1" t="s">
        <v>133</v>
      </c>
      <c r="B134" t="str">
        <f t="shared" si="21"/>
        <v>Weapon and Shield ●●● | Pin Weapon</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3">_xlfn.LET(_xlpm.name,VLOOKUP(Y134,$E$2:$F$362,2,FALSE),_xlpm.note,VLOOKUP(Y134,$E$2:$G$362,3,FALSE),_xlpm.row,MATCH(Y134,$E$138:$E$157,0),_xlpm.dots,INDEX($P$138:$P$157,_xlpm.row),_xlpm.max,INDEX($Q$138:$Q$157,_xlpm.row),_xlpm.paid,_xlfn.IFNA(_xlpm.dots&gt;=_xlpm.max,FALSE),IF(AND(_xlpm.name&lt;&gt;"",_xlpm.paid),IF(_xlpm.note="",_xlpm.name,_xlpm.name&amp;" ("&amp;_xlpm.note&amp;")"),""))</f>
        <v>Contacts (Street, Underworld, Police)</v>
      </c>
      <c r="AC134" s="60" t="str" cm="1">
        <f t="array" ref="AC134:AC136">_xlfn.LET(_xlpm.raw,IFERROR(_xlfn.VSTACK(IFERROR(_xlfn._xlws.SORT(_xlfn._xlws.FILTER(AA134:AA211,AA134:AA211&lt;&gt;"")),""),IFERROR(_xlfn._xlws.SORT(_xlfn._xlws.FILTER(AA213:AA222,AA213:AA222&lt;&gt;"")),"")),""),_xlpm.sorted,IFERROR(_xlfn._xlws.FILTER(_xlpm.raw,_xlpm.raw&lt;&gt;""),""),IFERROR(LEFT(_xlpm.sorted,FIND(" (",_xlpm.sorted)-1),_xlpm.sorted))</f>
        <v>Allies</v>
      </c>
      <c r="AD134" s="20" t="str" cm="1">
        <f t="array" ref="AD134:AD136">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Police</v>
      </c>
      <c r="AE134" s="20">
        <f t="shared" ref="AE134:AE153" si="24">IF(AC134="","",_xlfn.LET(_xlpm.sphere,AD134,_xlpm.dots,IF(OR(AF134="",AF134=0),0,AF134),_xlpm.broad,OR(_xlpm.sphere="",ISNUMBER(MATCH(_xlpm.sphere,lstAoI,0))),_xlpm.hwv,AND($AE$156,OR(AC134="Allies",AC134="Contacts",AND(AC134="Status",_xlpm.broad))),IF(_xlpm.hwv,IF(_xlpm.dots&gt;=4,2,IF(_xlpm.dots&gt;=2,1,0)),IF(OR(_xlpm.broad,AC134="Contacts",AC134="Retainer"),IF(_xlpm.dots&gt;=5,2,IF(_xlpm.dots&gt;=3,1,0)),IF(_xlpm.dots&gt;=5,1,0)))))</f>
        <v>0</v>
      </c>
      <c r="AF134" s="61" cm="1">
        <f t="array" ref="AF134">IF(AC134="","",SUMPRODUCT(($F$138:$F$157=AC134)*($G$138:$G$157=IF(AD134="","",AD134))*$P$138:$P$157))</f>
        <v>1</v>
      </c>
    </row>
    <row r="135" spans="1:32">
      <c r="A135" s="1" t="s">
        <v>134</v>
      </c>
      <c r="B135" t="str">
        <f t="shared" si="21"/>
        <v>¬</v>
      </c>
      <c r="D135" s="61" t="s">
        <v>1575</v>
      </c>
      <c r="E135" s="15" t="s">
        <v>97</v>
      </c>
      <c r="F135" s="19"/>
      <c r="G135" s="19"/>
      <c r="H135" s="19"/>
      <c r="I135" s="19"/>
      <c r="L135" s="4"/>
      <c r="M135" s="4">
        <v>5</v>
      </c>
      <c r="N135" s="4"/>
      <c r="O135" s="61">
        <f>N135</f>
        <v>0</v>
      </c>
      <c r="P135" s="60">
        <f>MIN(SUM(L135,M135,O135),R135)</f>
        <v>5</v>
      </c>
      <c r="Q135" s="61">
        <f>_xlfn.IFNA(VLOOKUP($E135,tblDomain[],3,FALSE),"")</f>
        <v>1</v>
      </c>
      <c r="R135" s="61">
        <f>_xlfn.IFNA(VLOOKUP($E135,tblDomain[],4,FALSE),"")</f>
        <v>5</v>
      </c>
      <c r="Y135" s="15" t="s">
        <v>177</v>
      </c>
      <c r="Z135" s="19"/>
      <c r="AA135" s="61" t="str">
        <f t="shared" si="23"/>
        <v>Resources</v>
      </c>
      <c r="AC135" s="60" t="str">
        <v>Contacts</v>
      </c>
      <c r="AD135" s="20" t="str">
        <v>Street, Underworld, Police</v>
      </c>
      <c r="AE135" s="20">
        <f t="shared" si="24"/>
        <v>1</v>
      </c>
      <c r="AF135" s="61" cm="1">
        <f t="array" ref="AF135">IF(AC135="","",SUMPRODUCT(($F$138:$F$157=AC135)*($G$138:$G$157=IF(AD135="","",AD135))*$P$138:$P$157))</f>
        <v>3</v>
      </c>
    </row>
    <row r="136" spans="1:32">
      <c r="A136" s="1" t="s">
        <v>135</v>
      </c>
      <c r="B136" t="str">
        <f t="shared" si="21"/>
        <v>¬</v>
      </c>
      <c r="Y136" s="15" t="s">
        <v>178</v>
      </c>
      <c r="Z136" s="19"/>
      <c r="AA136" s="61" t="str">
        <f t="shared" si="23"/>
        <v>Allies (Police)</v>
      </c>
      <c r="AC136" s="60" t="str">
        <v>Resources</v>
      </c>
      <c r="AD136" s="20" t="str">
        <v/>
      </c>
      <c r="AE136" s="20">
        <f t="shared" si="24"/>
        <v>2</v>
      </c>
      <c r="AF136" s="61" cm="1">
        <f t="array" ref="AF136">IF(AC136="","",SUMPRODUCT(($F$138:$F$157=AC136)*($G$138:$G$157=IF(AD136="","",AD136))*$P$138:$P$157))</f>
        <v>5</v>
      </c>
    </row>
    <row r="137" spans="1:32">
      <c r="A137" s="1" t="s">
        <v>136</v>
      </c>
      <c r="B137" t="str">
        <f t="shared" si="21"/>
        <v>¬</v>
      </c>
      <c r="D137" s="16" t="s">
        <v>174</v>
      </c>
      <c r="E137" s="17"/>
      <c r="F137" s="17"/>
      <c r="G137" s="17"/>
      <c r="H137" s="17"/>
      <c r="I137" s="61">
        <f>SUM(AC135:AC156)+SUM(P125:P129)</f>
        <v>5</v>
      </c>
      <c r="Y137" s="15" t="s">
        <v>179</v>
      </c>
      <c r="Z137" s="19"/>
      <c r="AA137" s="61" t="str">
        <f t="shared" si="23"/>
        <v/>
      </c>
      <c r="AC137" s="60"/>
      <c r="AD137" s="20"/>
      <c r="AE137" s="20" t="str">
        <f t="shared" si="24"/>
        <v/>
      </c>
      <c r="AF137" s="61" t="str" cm="1">
        <f t="array" ref="AF137">IF(AC137="","",SUMPRODUCT(($F$138:$F$157=AC137)*($G$138:$G$157=IF(AD137="","",AD137))*$P$138:$P$157))</f>
        <v/>
      </c>
    </row>
    <row r="138" spans="1:32">
      <c r="A138" s="1" t="s">
        <v>137</v>
      </c>
      <c r="B138" t="str">
        <f t="shared" si="21"/>
        <v>¬</v>
      </c>
      <c r="D138" s="61" t="s">
        <v>1654</v>
      </c>
      <c r="E138" s="15" t="s">
        <v>176</v>
      </c>
      <c r="F138" s="3" t="s">
        <v>413</v>
      </c>
      <c r="G138" s="3" t="s">
        <v>729</v>
      </c>
      <c r="H138" s="67" t="str">
        <f>IFERROR(IF(VLOOKUP(F138,tblManoeuvre[#Data],8,FALSE)=0,"None",VLOOKUP(F138,tblManoeuvre[#Data],8,FALSE)),"None")</f>
        <v>None</v>
      </c>
      <c r="I138" s="67"/>
      <c r="L138" s="4"/>
      <c r="M138" s="4">
        <v>3</v>
      </c>
      <c r="N138" s="4"/>
      <c r="O138" s="61">
        <f t="shared" ref="O138:O157" si="25">N138</f>
        <v>0</v>
      </c>
      <c r="P138" s="60">
        <f t="shared" ref="P138:P157" si="26">MIN(SUM(L138,M138,O138),R138)</f>
        <v>3</v>
      </c>
      <c r="Q138" s="61">
        <f>_xlfn.IFNA(VLOOKUP($F138,tblInfluence[],3,FALSE),"")</f>
        <v>1</v>
      </c>
      <c r="R138" s="61">
        <f>_xlfn.IFNA(VLOOKUP($F138,tblInfluence[],4,FALSE),"")</f>
        <v>5</v>
      </c>
      <c r="Y138" s="15" t="s">
        <v>180</v>
      </c>
      <c r="Z138" s="19"/>
      <c r="AA138" s="61" t="str">
        <f t="shared" si="23"/>
        <v/>
      </c>
      <c r="AC138" s="60"/>
      <c r="AD138" s="20"/>
      <c r="AE138" s="20" t="str">
        <f t="shared" si="24"/>
        <v/>
      </c>
      <c r="AF138" s="61" t="str" cm="1">
        <f t="array" ref="AF138">IF(AC138="","",SUMPRODUCT(($F$138:$F$157=AC138)*($G$138:$G$157=IF(AD138="","",AD138))*$P$138:$P$157))</f>
        <v/>
      </c>
    </row>
    <row r="139" spans="1:32">
      <c r="A139" s="1" t="s">
        <v>138</v>
      </c>
      <c r="B139" t="str">
        <f t="shared" si="21"/>
        <v>¬</v>
      </c>
      <c r="D139" s="61" t="s">
        <v>1655</v>
      </c>
      <c r="E139" s="15" t="s">
        <v>177</v>
      </c>
      <c r="F139" s="3" t="s">
        <v>525</v>
      </c>
      <c r="G139" s="3"/>
      <c r="H139" s="67" t="str">
        <f>IFERROR(IF(VLOOKUP(F139,tblManoeuvre[#Data],8,FALSE)=0,"None",VLOOKUP(F139,tblManoeuvre[#Data],8,FALSE)),"None")</f>
        <v>None</v>
      </c>
      <c r="I139" s="67"/>
      <c r="L139" s="4"/>
      <c r="M139" s="4">
        <v>4</v>
      </c>
      <c r="N139" s="4">
        <v>1</v>
      </c>
      <c r="O139" s="61">
        <f t="shared" si="25"/>
        <v>1</v>
      </c>
      <c r="P139" s="60">
        <f t="shared" si="26"/>
        <v>5</v>
      </c>
      <c r="Q139" s="61">
        <f>_xlfn.IFNA(VLOOKUP($F139,tblInfluence[],3,FALSE),"")</f>
        <v>1</v>
      </c>
      <c r="R139" s="61">
        <f>_xlfn.IFNA(VLOOKUP($F139,tblInfluence[],4,FALSE),"")</f>
        <v>5</v>
      </c>
      <c r="Y139" s="15" t="s">
        <v>181</v>
      </c>
      <c r="Z139" s="19"/>
      <c r="AA139" s="61" t="str">
        <f t="shared" si="23"/>
        <v/>
      </c>
      <c r="AC139" s="60"/>
      <c r="AD139" s="20"/>
      <c r="AE139" s="20" t="str">
        <f t="shared" si="24"/>
        <v/>
      </c>
      <c r="AF139" s="61" t="str" cm="1">
        <f t="array" ref="AF139">IF(AC139="","",SUMPRODUCT(($F$138:$F$157=AC139)*($G$138:$G$157=IF(AD139="","",AD139))*$P$138:$P$157))</f>
        <v/>
      </c>
    </row>
    <row r="140" spans="1:32">
      <c r="A140" s="1" t="s">
        <v>139</v>
      </c>
      <c r="B140" t="str">
        <f t="shared" si="21"/>
        <v>¬</v>
      </c>
      <c r="D140" s="61" t="s">
        <v>1656</v>
      </c>
      <c r="E140" s="15" t="s">
        <v>178</v>
      </c>
      <c r="F140" s="3" t="s">
        <v>412</v>
      </c>
      <c r="G140" s="3" t="s">
        <v>528</v>
      </c>
      <c r="H140" s="67" t="str">
        <f>IFERROR(IF(VLOOKUP(F140,tblManoeuvre[#Data],8,FALSE)=0,"None",VLOOKUP(F140,tblManoeuvre[#Data],8,FALSE)),"None")</f>
        <v>None</v>
      </c>
      <c r="I140" s="67"/>
      <c r="L140" s="4"/>
      <c r="M140" s="4">
        <v>1</v>
      </c>
      <c r="N140" s="4"/>
      <c r="O140" s="61">
        <f t="shared" si="25"/>
        <v>0</v>
      </c>
      <c r="P140" s="60">
        <f t="shared" si="26"/>
        <v>1</v>
      </c>
      <c r="Q140" s="61">
        <f>_xlfn.IFNA(VLOOKUP($F140,tblInfluence[],3,FALSE),"")</f>
        <v>1</v>
      </c>
      <c r="R140" s="61">
        <f>_xlfn.IFNA(VLOOKUP($F140,tblInfluence[],4,FALSE),"")</f>
        <v>5</v>
      </c>
      <c r="Y140" s="15" t="s">
        <v>182</v>
      </c>
      <c r="Z140" s="19"/>
      <c r="AA140" s="61" t="str">
        <f t="shared" si="23"/>
        <v/>
      </c>
      <c r="AC140" s="60"/>
      <c r="AD140" s="20"/>
      <c r="AE140" s="20" t="str">
        <f t="shared" si="24"/>
        <v/>
      </c>
      <c r="AF140" s="61" t="str" cm="1">
        <f t="array" ref="AF140">IF(AC140="","",SUMPRODUCT(($F$138:$F$157=AC140)*($G$138:$G$157=IF(AD140="","",AD140))*$P$138:$P$157))</f>
        <v/>
      </c>
    </row>
    <row r="141" spans="1:32">
      <c r="A141" s="1" t="s">
        <v>140</v>
      </c>
      <c r="B141" t="str">
        <f t="shared" si="21"/>
        <v>¬</v>
      </c>
      <c r="D141" s="19"/>
      <c r="E141" s="15" t="s">
        <v>179</v>
      </c>
      <c r="F141" s="3"/>
      <c r="G141" s="3"/>
      <c r="H141" s="67" t="str">
        <f>IFERROR(IF(VLOOKUP(F141,tblManoeuvre[#Data],8,FALSE)=0,"None",VLOOKUP(F141,tblManoeuvre[#Data],8,FALSE)),"None")</f>
        <v>None</v>
      </c>
      <c r="I141" s="67"/>
      <c r="L141" s="4"/>
      <c r="M141" s="4"/>
      <c r="N141" s="4"/>
      <c r="O141" s="61">
        <f t="shared" si="25"/>
        <v>0</v>
      </c>
      <c r="P141" s="60">
        <f t="shared" si="26"/>
        <v>0</v>
      </c>
      <c r="Q141" s="61" t="str">
        <f>_xlfn.IFNA(VLOOKUP($F141,tblInfluence[],3,FALSE),"")</f>
        <v/>
      </c>
      <c r="R141" s="61" t="str">
        <f>_xlfn.IFNA(VLOOKUP($F141,tblInfluence[],4,FALSE),"")</f>
        <v/>
      </c>
      <c r="Y141" s="15" t="s">
        <v>183</v>
      </c>
      <c r="Z141" s="19"/>
      <c r="AA141" s="61" t="str">
        <f t="shared" si="23"/>
        <v/>
      </c>
      <c r="AC141" s="60"/>
      <c r="AD141" s="20"/>
      <c r="AE141" s="20" t="str">
        <f t="shared" si="24"/>
        <v/>
      </c>
      <c r="AF141" s="61" t="str" cm="1">
        <f t="array" ref="AF141">IF(AC141="","",SUMPRODUCT(($F$138:$F$157=AC141)*($G$138:$G$157=IF(AD141="","",AD141))*$P$138:$P$157))</f>
        <v/>
      </c>
    </row>
    <row r="142" spans="1:32">
      <c r="A142" s="1" t="s">
        <v>141</v>
      </c>
      <c r="B142" t="str">
        <f t="shared" si="21"/>
        <v>¬</v>
      </c>
      <c r="D142" s="19"/>
      <c r="E142" s="15" t="s">
        <v>180</v>
      </c>
      <c r="F142" s="3"/>
      <c r="G142" s="3"/>
      <c r="H142" s="67" t="str">
        <f>IFERROR(IF(VLOOKUP(F142,tblManoeuvre[#Data],8,FALSE)=0,"None",VLOOKUP(F142,tblManoeuvre[#Data],8,FALSE)),"None")</f>
        <v>None</v>
      </c>
      <c r="I142" s="67"/>
      <c r="L142" s="4"/>
      <c r="M142" s="4"/>
      <c r="N142" s="4"/>
      <c r="O142" s="61">
        <f t="shared" si="25"/>
        <v>0</v>
      </c>
      <c r="P142" s="60">
        <f t="shared" si="26"/>
        <v>0</v>
      </c>
      <c r="Q142" s="61" t="str">
        <f>_xlfn.IFNA(VLOOKUP($F142,tblInfluence[],3,FALSE),"")</f>
        <v/>
      </c>
      <c r="R142" s="61" t="str">
        <f>_xlfn.IFNA(VLOOKUP($F142,tblInfluence[],4,FALSE),"")</f>
        <v/>
      </c>
      <c r="Y142" s="15" t="s">
        <v>184</v>
      </c>
      <c r="Z142" s="19"/>
      <c r="AA142" s="61" t="str">
        <f t="shared" si="23"/>
        <v/>
      </c>
      <c r="AC142" s="60"/>
      <c r="AD142" s="20"/>
      <c r="AE142" s="20" t="str">
        <f t="shared" si="24"/>
        <v/>
      </c>
      <c r="AF142" s="61" t="str" cm="1">
        <f t="array" ref="AF142">IF(AC142="","",SUMPRODUCT(($F$138:$F$157=AC142)*($G$138:$G$157=IF(AD142="","",AD142))*$P$138:$P$157))</f>
        <v/>
      </c>
    </row>
    <row r="143" spans="1:32">
      <c r="A143" s="1" t="s">
        <v>142</v>
      </c>
      <c r="B143" t="str">
        <f t="shared" si="21"/>
        <v>¬</v>
      </c>
      <c r="D143" s="61"/>
      <c r="E143" s="15" t="s">
        <v>181</v>
      </c>
      <c r="F143" s="3"/>
      <c r="G143" s="3" t="str">
        <f>IFERROR(VLOOKUP(F143,tblManoeuvre[#Data],2,FALSE)&amp;" "&amp;VLOOKUP(F143,tblManoeuvre[#Data],3,FALSE),"")</f>
        <v/>
      </c>
      <c r="H143" s="67" t="str">
        <f>IFERROR(IF(VLOOKUP(F143,tblManoeuvre[#Data],8,FALSE)=0,"None",VLOOKUP(F143,tblManoeuvre[#Data],8,FALSE)),"None")</f>
        <v>None</v>
      </c>
      <c r="I143" s="67"/>
      <c r="L143" s="4"/>
      <c r="M143" s="4"/>
      <c r="N143" s="4"/>
      <c r="O143" s="61">
        <f t="shared" si="25"/>
        <v>0</v>
      </c>
      <c r="P143" s="60">
        <f t="shared" si="26"/>
        <v>0</v>
      </c>
      <c r="Q143" s="61" t="str">
        <f>_xlfn.IFNA(VLOOKUP($F143,tblInfluence[],3,FALSE),"")</f>
        <v/>
      </c>
      <c r="R143" s="61" t="str">
        <f>_xlfn.IFNA(VLOOKUP($F143,tblInfluence[],4,FALSE),"")</f>
        <v/>
      </c>
      <c r="Y143" s="15" t="s">
        <v>185</v>
      </c>
      <c r="Z143" s="19"/>
      <c r="AA143" s="61" t="str">
        <f t="shared" si="23"/>
        <v/>
      </c>
      <c r="AC143" s="60"/>
      <c r="AD143" s="20"/>
      <c r="AE143" s="20" t="str">
        <f t="shared" si="24"/>
        <v/>
      </c>
      <c r="AF143" s="61" t="str" cm="1">
        <f t="array" ref="AF143">IF(AC143="","",SUMPRODUCT(($F$138:$F$157=AC143)*($G$138:$G$157=IF(AD143="","",AD143))*$P$138:$P$157))</f>
        <v/>
      </c>
    </row>
    <row r="144" spans="1:32">
      <c r="A144" s="1" t="s">
        <v>143</v>
      </c>
      <c r="B144" t="str">
        <f t="shared" si="21"/>
        <v>¬</v>
      </c>
      <c r="D144" s="61"/>
      <c r="E144" s="15" t="s">
        <v>182</v>
      </c>
      <c r="F144" s="3"/>
      <c r="G144" s="3"/>
      <c r="H144" s="67" t="str">
        <f>IFERROR(IF(VLOOKUP(F144,tblManoeuvre[#Data],8,FALSE)=0,"None",VLOOKUP(F144,tblManoeuvre[#Data],8,FALSE)),"None")</f>
        <v>None</v>
      </c>
      <c r="I144" s="67"/>
      <c r="L144" s="4"/>
      <c r="M144" s="4"/>
      <c r="N144" s="4"/>
      <c r="O144" s="61">
        <f t="shared" si="25"/>
        <v>0</v>
      </c>
      <c r="P144" s="60">
        <f t="shared" si="26"/>
        <v>0</v>
      </c>
      <c r="Q144" s="61" t="str">
        <f>_xlfn.IFNA(VLOOKUP($F144,tblInfluence[],3,FALSE),"")</f>
        <v/>
      </c>
      <c r="R144" s="61" t="str">
        <f>_xlfn.IFNA(VLOOKUP($F144,tblInfluence[],4,FALSE),"")</f>
        <v/>
      </c>
      <c r="Y144" s="15" t="s">
        <v>186</v>
      </c>
      <c r="Z144" s="19"/>
      <c r="AA144" s="61" t="str">
        <f t="shared" si="23"/>
        <v/>
      </c>
      <c r="AC144" s="60"/>
      <c r="AD144" s="20"/>
      <c r="AE144" s="20" t="str">
        <f t="shared" si="24"/>
        <v/>
      </c>
      <c r="AF144" s="61" t="str" cm="1">
        <f t="array" ref="AF144">IF(AC144="","",SUMPRODUCT(($F$138:$F$157=AC144)*($G$138:$G$157=IF(AD144="","",AD144))*$P$138:$P$157))</f>
        <v/>
      </c>
    </row>
    <row r="145" spans="1:32">
      <c r="A145" s="1" t="s">
        <v>144</v>
      </c>
      <c r="B145" t="str">
        <f t="shared" ref="B145:B174" si="27">IF(AF2="","¬",AF2)</f>
        <v>Raise one Specialty's die bonus to +2.</v>
      </c>
      <c r="D145" s="19"/>
      <c r="E145" s="15" t="s">
        <v>183</v>
      </c>
      <c r="F145" s="3"/>
      <c r="G145" s="3" t="str">
        <f>IFERROR(VLOOKUP(F145,tblManoeuvre[#Data],2,FALSE)&amp;" "&amp;VLOOKUP(F145,tblManoeuvre[#Data],3,FALSE),"")</f>
        <v/>
      </c>
      <c r="H145" s="67" t="str">
        <f>IFERROR(IF(VLOOKUP(F145,tblManoeuvre[#Data],8,FALSE)=0,"None",VLOOKUP(F145,tblManoeuvre[#Data],8,FALSE)),"None")</f>
        <v>None</v>
      </c>
      <c r="I145" s="67"/>
      <c r="L145" s="4"/>
      <c r="M145" s="4"/>
      <c r="N145" s="4"/>
      <c r="O145" s="61">
        <f t="shared" si="25"/>
        <v>0</v>
      </c>
      <c r="P145" s="60">
        <f t="shared" si="26"/>
        <v>0</v>
      </c>
      <c r="Q145" s="61" t="str">
        <f>_xlfn.IFNA(VLOOKUP($F145,tblInfluence[],3,FALSE),"")</f>
        <v/>
      </c>
      <c r="R145" s="61" t="str">
        <f>_xlfn.IFNA(VLOOKUP($F145,tblInfluence[],4,FALSE),"")</f>
        <v/>
      </c>
      <c r="Y145" s="15" t="s">
        <v>187</v>
      </c>
      <c r="Z145" s="19"/>
      <c r="AA145" s="61" t="str">
        <f t="shared" si="23"/>
        <v/>
      </c>
      <c r="AC145" s="60"/>
      <c r="AD145" s="20"/>
      <c r="AE145" s="20" t="str">
        <f t="shared" si="24"/>
        <v/>
      </c>
      <c r="AF145" s="61" t="str" cm="1">
        <f t="array" ref="AF145">IF(AC145="","",SUMPRODUCT(($F$138:$F$157=AC145)*($G$138:$G$157=IF(AD145="","",AD145))*$P$138:$P$157))</f>
        <v/>
      </c>
    </row>
    <row r="146" spans="1:32">
      <c r="A146" s="1" t="s">
        <v>145</v>
      </c>
      <c r="B146" t="str">
        <f t="shared" si="27"/>
        <v>Raise one Specialty's die bonus to +2.</v>
      </c>
      <c r="D146" s="19"/>
      <c r="E146" s="15" t="s">
        <v>184</v>
      </c>
      <c r="F146" s="3"/>
      <c r="G146" s="3" t="str">
        <f>IFERROR(VLOOKUP(F146,tblManoeuvre[#Data],2,FALSE)&amp;" "&amp;VLOOKUP(F146,tblManoeuvre[#Data],3,FALSE),"")</f>
        <v/>
      </c>
      <c r="H146" s="67" t="str">
        <f>IFERROR(IF(VLOOKUP(F146,tblManoeuvre[#Data],8,FALSE)=0,"None",VLOOKUP(F146,tblManoeuvre[#Data],8,FALSE)),"None")</f>
        <v>None</v>
      </c>
      <c r="I146" s="67"/>
      <c r="L146" s="4"/>
      <c r="M146" s="4"/>
      <c r="N146" s="4"/>
      <c r="O146" s="61">
        <f t="shared" si="25"/>
        <v>0</v>
      </c>
      <c r="P146" s="60">
        <f t="shared" si="26"/>
        <v>0</v>
      </c>
      <c r="Q146" s="61" t="str">
        <f>_xlfn.IFNA(VLOOKUP($F146,tblInfluence[],3,FALSE),"")</f>
        <v/>
      </c>
      <c r="R146" s="61" t="str">
        <f>_xlfn.IFNA(VLOOKUP($F146,tblInfluence[],4,FALSE),"")</f>
        <v/>
      </c>
      <c r="Y146" s="15" t="s">
        <v>188</v>
      </c>
      <c r="Z146" s="19"/>
      <c r="AA146" s="61" t="str">
        <f t="shared" si="23"/>
        <v/>
      </c>
      <c r="AC146" s="60"/>
      <c r="AD146" s="20"/>
      <c r="AE146" s="20" t="str">
        <f t="shared" si="24"/>
        <v/>
      </c>
      <c r="AF146" s="61" t="str" cm="1">
        <f t="array" ref="AF146">IF(AC146="","",SUMPRODUCT(($F$138:$F$157=AC146)*($G$138:$G$157=IF(AD146="","",AD146))*$P$138:$P$157))</f>
        <v/>
      </c>
    </row>
    <row r="147" spans="1:32">
      <c r="A147" s="1" t="s">
        <v>146</v>
      </c>
      <c r="B147" t="str">
        <f t="shared" si="27"/>
        <v>Raise one Specialty's die bonus to +2.</v>
      </c>
      <c r="D147" s="19"/>
      <c r="E147" s="15" t="s">
        <v>185</v>
      </c>
      <c r="F147" s="3"/>
      <c r="G147" s="3" t="str">
        <f>IFERROR(VLOOKUP(F147,tblManoeuvre[#Data],2,FALSE)&amp;" "&amp;VLOOKUP(F147,tblManoeuvre[#Data],3,FALSE),"")</f>
        <v/>
      </c>
      <c r="H147" s="67" t="str">
        <f>IFERROR(IF(VLOOKUP(F147,tblManoeuvre[#Data],8,FALSE)=0,"None",VLOOKUP(F147,tblManoeuvre[#Data],8,FALSE)),"None")</f>
        <v>None</v>
      </c>
      <c r="I147" s="67"/>
      <c r="L147" s="4"/>
      <c r="M147" s="4"/>
      <c r="N147" s="4"/>
      <c r="O147" s="61">
        <f t="shared" si="25"/>
        <v>0</v>
      </c>
      <c r="P147" s="60">
        <f t="shared" si="26"/>
        <v>0</v>
      </c>
      <c r="Q147" s="61" t="str">
        <f>_xlfn.IFNA(VLOOKUP($F147,tblInfluence[],3,FALSE),"")</f>
        <v/>
      </c>
      <c r="R147" s="61" t="str">
        <f>_xlfn.IFNA(VLOOKUP($F147,tblInfluence[],4,FALSE),"")</f>
        <v/>
      </c>
      <c r="Y147" s="15" t="s">
        <v>189</v>
      </c>
      <c r="Z147" s="19"/>
      <c r="AA147" s="61" t="str">
        <f t="shared" si="23"/>
        <v/>
      </c>
      <c r="AC147" s="60"/>
      <c r="AD147" s="20"/>
      <c r="AE147" s="20" t="str">
        <f t="shared" si="24"/>
        <v/>
      </c>
      <c r="AF147" s="61" t="str" cm="1">
        <f t="array" ref="AF147">IF(AC147="","",SUMPRODUCT(($F$138:$F$157=AC147)*($G$138:$G$157=IF(AD147="","",AD147))*$P$138:$P$157))</f>
        <v/>
      </c>
    </row>
    <row r="148" spans="1:32">
      <c r="A148" s="1" t="s">
        <v>147</v>
      </c>
      <c r="B148" t="str">
        <f t="shared" si="27"/>
        <v>Add dots to Doors and as bonus to contest Social assessments.</v>
      </c>
      <c r="D148" s="19"/>
      <c r="E148" s="15" t="s">
        <v>186</v>
      </c>
      <c r="F148" s="3"/>
      <c r="G148" s="3" t="str">
        <f>IFERROR(VLOOKUP(F148,tblManoeuvre[#Data],2,FALSE)&amp;" "&amp;VLOOKUP(F148,tblManoeuvre[#Data],3,FALSE),"")</f>
        <v/>
      </c>
      <c r="H148" s="67" t="str">
        <f>IFERROR(IF(VLOOKUP(F148,tblManoeuvre[#Data],8,FALSE)=0,"None",VLOOKUP(F148,tblManoeuvre[#Data],8,FALSE)),"None")</f>
        <v>None</v>
      </c>
      <c r="I148" s="67"/>
      <c r="L148" s="4"/>
      <c r="M148" s="4"/>
      <c r="N148" s="4"/>
      <c r="O148" s="61">
        <f t="shared" si="25"/>
        <v>0</v>
      </c>
      <c r="P148" s="60">
        <f t="shared" si="26"/>
        <v>0</v>
      </c>
      <c r="Q148" s="61" t="str">
        <f>_xlfn.IFNA(VLOOKUP($F148,tblInfluence[],3,FALSE),"")</f>
        <v/>
      </c>
      <c r="R148" s="61" t="str">
        <f>_xlfn.IFNA(VLOOKUP($F148,tblInfluence[],4,FALSE),"")</f>
        <v/>
      </c>
      <c r="Y148" s="15" t="s">
        <v>190</v>
      </c>
      <c r="Z148" s="19"/>
      <c r="AA148" s="61" t="str">
        <f t="shared" si="23"/>
        <v/>
      </c>
      <c r="AC148" s="60"/>
      <c r="AD148" s="20"/>
      <c r="AE148" s="20" t="str">
        <f t="shared" si="24"/>
        <v/>
      </c>
      <c r="AF148" s="61" t="str" cm="1">
        <f t="array" ref="AF148">IF(AC148="","",SUMPRODUCT(($F$138:$F$157=AC148)*($G$138:$G$157=IF(AD148="","",AD148))*$P$138:$P$157))</f>
        <v/>
      </c>
    </row>
    <row r="149" spans="1:32">
      <c r="A149" s="1" t="s">
        <v>148</v>
      </c>
      <c r="B149" t="str">
        <f t="shared" si="27"/>
        <v>Substitute chosen Skill for Athletics in Defence, if equipped for that Skill.</v>
      </c>
      <c r="D149" s="19"/>
      <c r="E149" s="15" t="s">
        <v>187</v>
      </c>
      <c r="F149" s="3"/>
      <c r="G149" s="3" t="str">
        <f>IFERROR(VLOOKUP(F149,tblManoeuvre[#Data],2,FALSE)&amp;" "&amp;VLOOKUP(F149,tblManoeuvre[#Data],3,FALSE),"")</f>
        <v/>
      </c>
      <c r="H149" s="67" t="str">
        <f>IFERROR(IF(VLOOKUP(F149,tblManoeuvre[#Data],8,FALSE)=0,"None",VLOOKUP(F149,tblManoeuvre[#Data],8,FALSE)),"None")</f>
        <v>None</v>
      </c>
      <c r="I149" s="67"/>
      <c r="L149" s="4"/>
      <c r="M149" s="4"/>
      <c r="N149" s="4"/>
      <c r="O149" s="61">
        <f t="shared" si="25"/>
        <v>0</v>
      </c>
      <c r="P149" s="60">
        <f t="shared" si="26"/>
        <v>0</v>
      </c>
      <c r="Q149" s="61" t="str">
        <f>_xlfn.IFNA(VLOOKUP($F149,tblInfluence[],3,FALSE),"")</f>
        <v/>
      </c>
      <c r="R149" s="61" t="str">
        <f>_xlfn.IFNA(VLOOKUP($F149,tblInfluence[],4,FALSE),"")</f>
        <v/>
      </c>
      <c r="Y149" s="15" t="s">
        <v>191</v>
      </c>
      <c r="Z149" s="19"/>
      <c r="AA149" s="61" t="str">
        <f t="shared" si="23"/>
        <v/>
      </c>
      <c r="AC149" s="60"/>
      <c r="AD149" s="20"/>
      <c r="AE149" s="20" t="str">
        <f t="shared" si="24"/>
        <v/>
      </c>
      <c r="AF149" s="61" t="str" cm="1">
        <f t="array" ref="AF149">IF(AC149="","",SUMPRODUCT(($F$138:$F$157=AC149)*($G$138:$G$157=IF(AD149="","",AD149))*$P$138:$P$157))</f>
        <v/>
      </c>
    </row>
    <row r="150" spans="1:32">
      <c r="A150" s="1" t="s">
        <v>149</v>
      </c>
      <c r="B150" t="str">
        <f t="shared" si="27"/>
        <v>Once per chapter, use Invictus Status as Mortal Status in areas you don't possess. Drawback: Other Invictus may be informed.</v>
      </c>
      <c r="D150" s="19"/>
      <c r="E150" s="15" t="s">
        <v>188</v>
      </c>
      <c r="F150" s="3"/>
      <c r="G150" s="3" t="str">
        <f>IFERROR(VLOOKUP(F150,tblManoeuvre[#Data],2,FALSE)&amp;" "&amp;VLOOKUP(F150,tblManoeuvre[#Data],3,FALSE),"")</f>
        <v/>
      </c>
      <c r="H150" s="67" t="str">
        <f>IFERROR(IF(VLOOKUP(F150,tblManoeuvre[#Data],8,FALSE)=0,"None",VLOOKUP(F150,tblManoeuvre[#Data],8,FALSE)),"None")</f>
        <v>None</v>
      </c>
      <c r="I150" s="67"/>
      <c r="L150" s="4"/>
      <c r="M150" s="4"/>
      <c r="N150" s="4"/>
      <c r="O150" s="61">
        <f t="shared" si="25"/>
        <v>0</v>
      </c>
      <c r="P150" s="60">
        <f t="shared" si="26"/>
        <v>0</v>
      </c>
      <c r="Q150" s="61" t="str">
        <f>_xlfn.IFNA(VLOOKUP($F150,tblInfluence[],3,FALSE),"")</f>
        <v/>
      </c>
      <c r="R150" s="61" t="str">
        <f>_xlfn.IFNA(VLOOKUP($F150,tblInfluence[],4,FALSE),"")</f>
        <v/>
      </c>
      <c r="Y150" s="15" t="s">
        <v>192</v>
      </c>
      <c r="Z150" s="19"/>
      <c r="AA150" s="61" t="str">
        <f t="shared" si="23"/>
        <v/>
      </c>
      <c r="AC150" s="60"/>
      <c r="AD150" s="20"/>
      <c r="AE150" s="20" t="str">
        <f t="shared" si="24"/>
        <v/>
      </c>
      <c r="AF150" s="61" t="str" cm="1">
        <f t="array" ref="AF150">IF(AC150="","",SUMPRODUCT(($F$138:$F$157=AC150)*($G$138:$G$157=IF(AD150="","",AD150))*$P$138:$P$157))</f>
        <v/>
      </c>
    </row>
    <row r="151" spans="1:32">
      <c r="A151" s="1" t="s">
        <v>150</v>
      </c>
      <c r="B151" t="str">
        <f t="shared" si="27"/>
        <v>+2 to contest or resist supernatural mental influence.</v>
      </c>
      <c r="D151" s="19"/>
      <c r="E151" s="15" t="s">
        <v>189</v>
      </c>
      <c r="F151" s="3"/>
      <c r="G151" s="3" t="str">
        <f>IFERROR(VLOOKUP(F151,tblManoeuvre[#Data],2,FALSE)&amp;" "&amp;VLOOKUP(F151,tblManoeuvre[#Data],3,FALSE),"")</f>
        <v/>
      </c>
      <c r="H151" s="67" t="str">
        <f>IFERROR(IF(VLOOKUP(F151,tblManoeuvre[#Data],8,FALSE)=0,"None",VLOOKUP(F151,tblManoeuvre[#Data],8,FALSE)),"None")</f>
        <v>None</v>
      </c>
      <c r="I151" s="67"/>
      <c r="L151" s="4"/>
      <c r="M151" s="4"/>
      <c r="N151" s="4"/>
      <c r="O151" s="61">
        <f t="shared" si="25"/>
        <v>0</v>
      </c>
      <c r="P151" s="60">
        <f t="shared" si="26"/>
        <v>0</v>
      </c>
      <c r="Q151" s="61" t="str">
        <f>_xlfn.IFNA(VLOOKUP($F151,tblInfluence[],3,FALSE),"")</f>
        <v/>
      </c>
      <c r="R151" s="61" t="str">
        <f>_xlfn.IFNA(VLOOKUP($F151,tblInfluence[],4,FALSE),"")</f>
        <v/>
      </c>
      <c r="Y151" s="15" t="s">
        <v>193</v>
      </c>
      <c r="Z151" s="19"/>
      <c r="AA151" s="61" t="str">
        <f t="shared" si="23"/>
        <v/>
      </c>
      <c r="AC151" s="60"/>
      <c r="AD151" s="20"/>
      <c r="AE151" s="20" t="str">
        <f t="shared" si="24"/>
        <v/>
      </c>
      <c r="AF151" s="61" t="str" cm="1">
        <f t="array" ref="AF151">IF(AC151="","",SUMPRODUCT(($F$138:$F$157=AC151)*($G$138:$G$157=IF(AD151="","",AD151))*$P$138:$P$157))</f>
        <v/>
      </c>
    </row>
    <row r="152" spans="1:32">
      <c r="A152" s="1" t="s">
        <v>151</v>
      </c>
      <c r="B152" t="str">
        <f t="shared" si="27"/>
        <v>Apply one Specialty's bonus to relevant rolls of any Skill (not unskilled).</v>
      </c>
      <c r="D152" s="19"/>
      <c r="E152" s="15" t="s">
        <v>190</v>
      </c>
      <c r="F152" s="3"/>
      <c r="G152" s="3" t="str">
        <f>IFERROR(VLOOKUP(F152,tblManoeuvre[#Data],2,FALSE)&amp;" "&amp;VLOOKUP(F152,tblManoeuvre[#Data],3,FALSE),"")</f>
        <v/>
      </c>
      <c r="H152" s="67" t="str">
        <f>IFERROR(IF(VLOOKUP(F152,tblManoeuvre[#Data],8,FALSE)=0,"None",VLOOKUP(F152,tblManoeuvre[#Data],8,FALSE)),"None")</f>
        <v>None</v>
      </c>
      <c r="I152" s="67"/>
      <c r="L152" s="4"/>
      <c r="M152" s="4"/>
      <c r="N152" s="4"/>
      <c r="O152" s="61">
        <f t="shared" si="25"/>
        <v>0</v>
      </c>
      <c r="P152" s="60">
        <f t="shared" si="26"/>
        <v>0</v>
      </c>
      <c r="Q152" s="61" t="str">
        <f>_xlfn.IFNA(VLOOKUP($F152,tblInfluence[],3,FALSE),"")</f>
        <v/>
      </c>
      <c r="R152" s="61" t="str">
        <f>_xlfn.IFNA(VLOOKUP($F152,tblInfluence[],4,FALSE),"")</f>
        <v/>
      </c>
      <c r="Y152" s="15" t="s">
        <v>194</v>
      </c>
      <c r="Z152" s="19"/>
      <c r="AA152" s="61" t="str">
        <f t="shared" si="23"/>
        <v/>
      </c>
      <c r="AC152" s="60"/>
      <c r="AD152" s="20"/>
      <c r="AE152" s="20" t="str">
        <f t="shared" si="24"/>
        <v/>
      </c>
      <c r="AF152" s="61" t="str" cm="1">
        <f t="array" ref="AF152">IF(AC152="","",SUMPRODUCT(($F$138:$F$157=AC152)*($G$138:$G$157=IF(AD152="","",AD152))*$P$138:$P$157))</f>
        <v/>
      </c>
    </row>
    <row r="153" spans="1:32">
      <c r="A153" s="1" t="s">
        <v>152</v>
      </c>
      <c r="B153" t="str">
        <f t="shared" si="27"/>
        <v>Distribute Invictus Status dots among free Herd, Mentor, Resources and Retainer.</v>
      </c>
      <c r="D153" s="19"/>
      <c r="E153" s="15" t="s">
        <v>191</v>
      </c>
      <c r="F153" s="3"/>
      <c r="G153" s="3" t="str">
        <f>IFERROR(VLOOKUP(F153,tblManoeuvre[#Data],2,FALSE)&amp;" "&amp;VLOOKUP(F153,tblManoeuvre[#Data],3,FALSE),"")</f>
        <v/>
      </c>
      <c r="H153" s="67" t="str">
        <f>IFERROR(IF(VLOOKUP(F153,tblManoeuvre[#Data],8,FALSE)=0,"None",VLOOKUP(F153,tblManoeuvre[#Data],8,FALSE)),"None")</f>
        <v>None</v>
      </c>
      <c r="I153" s="67"/>
      <c r="L153" s="4"/>
      <c r="M153" s="4"/>
      <c r="N153" s="4"/>
      <c r="O153" s="61">
        <f t="shared" si="25"/>
        <v>0</v>
      </c>
      <c r="P153" s="60">
        <f t="shared" si="26"/>
        <v>0</v>
      </c>
      <c r="Q153" s="61" t="str">
        <f>_xlfn.IFNA(VLOOKUP($F153,tblInfluence[],3,FALSE),"")</f>
        <v/>
      </c>
      <c r="R153" s="61" t="str">
        <f>_xlfn.IFNA(VLOOKUP($F153,tblInfluence[],4,FALSE),"")</f>
        <v/>
      </c>
      <c r="Y153" s="15" t="s">
        <v>195</v>
      </c>
      <c r="Z153" s="19"/>
      <c r="AA153" s="61" t="str">
        <f t="shared" si="23"/>
        <v/>
      </c>
      <c r="AC153" s="60"/>
      <c r="AD153" s="20"/>
      <c r="AE153" s="20" t="str">
        <f t="shared" si="24"/>
        <v/>
      </c>
      <c r="AF153" s="61" t="str" cm="1">
        <f t="array" ref="AF153">IF(AC153="","",SUMPRODUCT(($F$138:$F$157=AC153)*($G$138:$G$157=IF(AD153="","",AD153))*$P$138:$P$157))</f>
        <v/>
      </c>
    </row>
    <row r="154" spans="1:32">
      <c r="A154" s="1" t="s">
        <v>153</v>
      </c>
      <c r="B154" t="str">
        <f t="shared" si="27"/>
        <v>Dots in Status or Mystery Cult Initiation representing human secret societies also count as dots of Herd.</v>
      </c>
      <c r="D154" s="19"/>
      <c r="E154" s="15" t="s">
        <v>192</v>
      </c>
      <c r="F154" s="3"/>
      <c r="G154" s="3" t="str">
        <f>IFERROR(VLOOKUP(F154,tblManoeuvre[#Data],2,FALSE)&amp;" "&amp;VLOOKUP(F154,tblManoeuvre[#Data],3,FALSE),"")</f>
        <v/>
      </c>
      <c r="H154" s="67" t="str">
        <f>IFERROR(IF(VLOOKUP(F154,tblManoeuvre[#Data],8,FALSE)=0,"None",VLOOKUP(F154,tblManoeuvre[#Data],8,FALSE)),"None")</f>
        <v>None</v>
      </c>
      <c r="I154" s="67"/>
      <c r="L154" s="4"/>
      <c r="M154" s="4"/>
      <c r="N154" s="4"/>
      <c r="O154" s="61">
        <f t="shared" si="25"/>
        <v>0</v>
      </c>
      <c r="P154" s="60">
        <f t="shared" si="26"/>
        <v>0</v>
      </c>
      <c r="Q154" s="61" t="str">
        <f>_xlfn.IFNA(VLOOKUP($F154,tblInfluence[],3,FALSE),"")</f>
        <v/>
      </c>
      <c r="R154" s="61" t="str">
        <f>_xlfn.IFNA(VLOOKUP($F154,tblInfluence[],4,FALSE),"")</f>
        <v/>
      </c>
    </row>
    <row r="155" spans="1:32">
      <c r="A155" s="1" t="s">
        <v>154</v>
      </c>
      <c r="B155" t="str">
        <f t="shared" si="27"/>
        <v>Choose an attacker. So long as you don't attack anyone else, add Weaponry as a Defence bonus against outside parties, and deal a point of lethal damage when an outside party enters range.</v>
      </c>
      <c r="D155" s="19"/>
      <c r="E155" s="15" t="s">
        <v>193</v>
      </c>
      <c r="F155" s="3"/>
      <c r="G155" s="3" t="str">
        <f>IFERROR(VLOOKUP(F155,tblManoeuvre[#Data],2,FALSE)&amp;" "&amp;VLOOKUP(F155,tblManoeuvre[#Data],3,FALSE),"")</f>
        <v/>
      </c>
      <c r="H155" s="67" t="str">
        <f>IFERROR(IF(VLOOKUP(F155,tblManoeuvre[#Data],8,FALSE)=0,"None",VLOOKUP(F155,tblManoeuvre[#Data],8,FALSE)),"None")</f>
        <v>None</v>
      </c>
      <c r="I155" s="67"/>
      <c r="L155" s="4"/>
      <c r="M155" s="4"/>
      <c r="N155" s="4"/>
      <c r="O155" s="61">
        <f t="shared" si="25"/>
        <v>0</v>
      </c>
      <c r="P155" s="60">
        <f t="shared" si="26"/>
        <v>0</v>
      </c>
      <c r="Q155" s="61" t="str">
        <f>_xlfn.IFNA(VLOOKUP($F155,tblInfluence[],3,FALSE),"")</f>
        <v/>
      </c>
      <c r="R155" s="61" t="str">
        <f>_xlfn.IFNA(VLOOKUP($F155,tblInfluence[],4,FALSE),"")</f>
        <v/>
      </c>
      <c r="AE155" s="61">
        <f>IF(P160=5,1,0)</f>
        <v>1</v>
      </c>
    </row>
    <row r="156" spans="1:32">
      <c r="A156" s="1" t="s">
        <v>155</v>
      </c>
      <c r="B156" t="str">
        <f t="shared" si="27"/>
        <v>Once you Establish the Duel, if your opponent tries to disengage or attack someone else, you can deal your Socialise dots in lethal damage and leave him Knocked Down.</v>
      </c>
      <c r="D156" s="19"/>
      <c r="E156" s="15" t="s">
        <v>194</v>
      </c>
      <c r="F156" s="3"/>
      <c r="G156" s="3" t="str">
        <f>IFERROR(VLOOKUP(F156,tblManoeuvre[#Data],2,FALSE)&amp;" "&amp;VLOOKUP(F156,tblManoeuvre[#Data],3,FALSE),"")</f>
        <v/>
      </c>
      <c r="H156" s="67" t="str">
        <f>IFERROR(IF(VLOOKUP(F156,tblManoeuvre[#Data],8,FALSE)=0,"None",VLOOKUP(F156,tblManoeuvre[#Data],8,FALSE)),"None")</f>
        <v>None</v>
      </c>
      <c r="I156" s="67"/>
      <c r="L156" s="4"/>
      <c r="M156" s="4"/>
      <c r="N156" s="4"/>
      <c r="O156" s="61">
        <f t="shared" si="25"/>
        <v>0</v>
      </c>
      <c r="P156" s="60">
        <f t="shared" si="26"/>
        <v>0</v>
      </c>
      <c r="Q156" s="61" t="str">
        <f>_xlfn.IFNA(VLOOKUP($F156,tblInfluence[],3,FALSE),"")</f>
        <v/>
      </c>
      <c r="R156" s="61" t="str">
        <f>_xlfn.IFNA(VLOOKUP($F156,tblInfluence[],4,FALSE),"")</f>
        <v/>
      </c>
      <c r="AE156" s="61" t="b">
        <f>COUNTIF(AA2:AA21,"*Honey With Vinegar*")&gt;0</f>
        <v>0</v>
      </c>
    </row>
    <row r="157" spans="1:32">
      <c r="A157" s="1" t="s">
        <v>156</v>
      </c>
      <c r="B157" t="str">
        <f t="shared" si="27"/>
        <v>Sacrifice points of Defence for bonus attack dice.</v>
      </c>
      <c r="D157" s="19"/>
      <c r="E157" s="15" t="s">
        <v>195</v>
      </c>
      <c r="F157" s="3"/>
      <c r="G157" s="3" t="str">
        <f>IFERROR(VLOOKUP(F157,tblManoeuvre[#Data],2,FALSE)&amp;" "&amp;VLOOKUP(F157,tblManoeuvre[#Data],3,FALSE),"")</f>
        <v/>
      </c>
      <c r="H157" s="67" t="str">
        <f>IFERROR(IF(VLOOKUP(F157,tblManoeuvre[#Data],8,FALSE)=0,"None",VLOOKUP(F157,tblManoeuvre[#Data],8,FALSE)),"None")</f>
        <v>None</v>
      </c>
      <c r="I157" s="67"/>
      <c r="L157" s="4"/>
      <c r="M157" s="4"/>
      <c r="N157" s="4"/>
      <c r="O157" s="61">
        <f t="shared" si="25"/>
        <v>0</v>
      </c>
      <c r="P157" s="60">
        <f t="shared" si="26"/>
        <v>0</v>
      </c>
      <c r="Q157" s="61" t="str">
        <f>_xlfn.IFNA(VLOOKUP($F157,tblInfluence[],3,FALSE),"")</f>
        <v/>
      </c>
      <c r="R157" s="61" t="str">
        <f>_xlfn.IFNA(VLOOKUP($F157,tblInfluence[],4,FALSE),"")</f>
        <v/>
      </c>
    </row>
    <row r="158" spans="1:32">
      <c r="A158" s="1" t="s">
        <v>157</v>
      </c>
      <c r="B158" t="str">
        <f t="shared" si="27"/>
        <v>Inflict a point of lethal damage per turn to opponents in range when your Defence is available.</v>
      </c>
    </row>
    <row r="159" spans="1:32">
      <c r="A159" s="1" t="s">
        <v>158</v>
      </c>
      <c r="B159" t="str">
        <f t="shared" si="27"/>
        <v>Take +1 to nonviolent feats of strength, +2 when using Expression or Intimidation.</v>
      </c>
      <c r="D159" s="16" t="s">
        <v>1486</v>
      </c>
      <c r="E159" s="17"/>
      <c r="F159" s="17" t="s">
        <v>1487</v>
      </c>
      <c r="G159" s="17"/>
      <c r="H159" s="17"/>
      <c r="I159" s="17"/>
    </row>
    <row r="160" spans="1:32">
      <c r="A160" s="1" t="s">
        <v>159</v>
      </c>
      <c r="B160" t="str">
        <f t="shared" si="27"/>
        <v>Receive the rote quality on Strength + Stamina feats and combat actions to demolish structures.</v>
      </c>
      <c r="D160" s="19"/>
      <c r="E160" s="15" t="s">
        <v>98</v>
      </c>
      <c r="F160" s="3" t="s">
        <v>694</v>
      </c>
      <c r="G160" s="60"/>
      <c r="H160" s="60"/>
      <c r="I160" s="60"/>
      <c r="L160" s="4"/>
      <c r="M160" s="4"/>
      <c r="N160" s="4">
        <v>5</v>
      </c>
      <c r="O160" s="61">
        <f>N160</f>
        <v>5</v>
      </c>
      <c r="P160" s="60">
        <f>MIN(SUM(L160,M160,O160),R160)</f>
        <v>5</v>
      </c>
      <c r="Q160" s="61">
        <v>1</v>
      </c>
      <c r="R160" s="61">
        <v>5</v>
      </c>
    </row>
    <row r="161" spans="1:18">
      <c r="A161" s="1" t="s">
        <v>160</v>
      </c>
      <c r="B161" t="str">
        <f t="shared" si="27"/>
        <v>Double your effective Strength to shift objects across a plane, or quintuple it with wheels or other friction reductions.</v>
      </c>
      <c r="D161" s="19"/>
      <c r="E161" s="15" t="s">
        <v>100</v>
      </c>
      <c r="F161" s="3"/>
      <c r="G161" s="60"/>
      <c r="H161" s="60"/>
      <c r="I161" s="60"/>
      <c r="L161" s="4"/>
      <c r="M161" s="4"/>
      <c r="N161" s="4">
        <v>4</v>
      </c>
      <c r="O161" s="61">
        <f>N161</f>
        <v>4</v>
      </c>
      <c r="P161" s="60">
        <f>MIN(SUM(L161,M161,O161),R161)</f>
        <v>4</v>
      </c>
      <c r="Q161" s="61">
        <v>1</v>
      </c>
      <c r="R161" s="61">
        <v>5</v>
      </c>
    </row>
    <row r="162" spans="1:18">
      <c r="A162" s="1" t="s">
        <v>161</v>
      </c>
      <c r="B162" t="str">
        <f t="shared" si="27"/>
        <v>Successful Strength rolls add an additional free success.</v>
      </c>
    </row>
    <row r="163" spans="1:18" ht="15.75" thickBot="1">
      <c r="A163" s="1" t="s">
        <v>162</v>
      </c>
      <c r="B163" t="str">
        <f t="shared" si="27"/>
        <v>Add your shield's Size as bonus dice when dodging. Dodge successes in excess of your opponent's inflict bashing damage.</v>
      </c>
      <c r="D163" s="14" t="s">
        <v>1488</v>
      </c>
      <c r="E163" s="14"/>
      <c r="F163" s="14"/>
      <c r="G163" s="14"/>
      <c r="H163" s="14"/>
      <c r="I163" s="14"/>
      <c r="N163" s="60">
        <f>SUM(N165:N174)+SUM(N177:N181)+SUM(N184:N185)+SUM(N187:N191)+SUM(N194:N203)</f>
        <v>14</v>
      </c>
    </row>
    <row r="164" spans="1:18">
      <c r="A164" s="1" t="s">
        <v>163</v>
      </c>
      <c r="B164" t="str">
        <f t="shared" si="27"/>
        <v>Disarm assailants on missed melee attacks.</v>
      </c>
      <c r="D164" s="16" t="s">
        <v>1489</v>
      </c>
      <c r="E164" s="15" t="s">
        <v>1490</v>
      </c>
      <c r="F164" s="61" t="str">
        <f>IFERROR(IF($F$8="",VLOOKUP($F$7,tblClans[],5,FALSE),VLOOKUP($F$8,tblBloodlines[],5,FALSE)),"")</f>
        <v>Nightmare</v>
      </c>
      <c r="G164" s="61" t="str">
        <f>IFERROR(IF($F$8="",VLOOKUP($F$7,tblClans[],6,FALSE),VLOOKUP($F$8,tblBloodlines[],6,FALSE)),"")</f>
        <v>Obfuscate</v>
      </c>
      <c r="H164" s="61" t="str">
        <f>IFERROR(IF($F$8="",VLOOKUP($F$7,tblClans[],7,FALSE),VLOOKUP($F$8,tblBloodlines[],7,FALSE)),"")</f>
        <v>Resilience</v>
      </c>
      <c r="I164" s="61" t="str">
        <f>IFERROR(IF($F$8="",VLOOKUP($F$7,tblClans[],8,FALSE),VLOOKUP($F$8,tblBloodlines[],8,FALSE)),"")</f>
        <v>Vigour</v>
      </c>
      <c r="L164" s="60">
        <f>3-SUM(L165:L174)-SUM(L184:L185)</f>
        <v>0</v>
      </c>
    </row>
    <row r="165" spans="1:18">
      <c r="A165" s="1" t="s">
        <v>164</v>
      </c>
      <c r="B165" t="str">
        <f t="shared" si="27"/>
        <v>¬</v>
      </c>
      <c r="D165" s="19"/>
      <c r="E165" s="15" t="s">
        <v>236</v>
      </c>
      <c r="F165" s="19"/>
      <c r="G165" s="19"/>
      <c r="H165" s="19"/>
      <c r="I165" s="19"/>
      <c r="L165" s="4"/>
      <c r="N165" s="4"/>
      <c r="O165" s="61">
        <f t="shared" ref="O165:O174" si="28">ROUNDDOWN(IF(COUNTIF($F$164:$I$164,$E165)&gt;0,N165/3,N165/4),0)</f>
        <v>0</v>
      </c>
      <c r="P165" s="60">
        <f>MIN(SUM(L165,O165),R165)</f>
        <v>0</v>
      </c>
      <c r="Q165" s="61">
        <v>0</v>
      </c>
      <c r="R165" s="61">
        <v>5</v>
      </c>
    </row>
    <row r="166" spans="1:18">
      <c r="A166" s="1" t="s">
        <v>165</v>
      </c>
      <c r="B166" t="str">
        <f t="shared" si="27"/>
        <v>¬</v>
      </c>
      <c r="D166" s="19"/>
      <c r="E166" s="15" t="s">
        <v>237</v>
      </c>
      <c r="F166" s="19"/>
      <c r="G166" s="19"/>
      <c r="H166" s="19"/>
      <c r="I166" s="19"/>
      <c r="L166" s="4"/>
      <c r="N166" s="4"/>
      <c r="O166" s="61">
        <f t="shared" si="28"/>
        <v>0</v>
      </c>
      <c r="P166" s="60">
        <f t="shared" ref="P166:P174" si="29">MIN(SUM(L166,O166),R166)</f>
        <v>0</v>
      </c>
      <c r="Q166" s="61">
        <v>0</v>
      </c>
      <c r="R166" s="61">
        <v>5</v>
      </c>
    </row>
    <row r="167" spans="1:18">
      <c r="A167" s="1" t="s">
        <v>166</v>
      </c>
      <c r="B167" t="str">
        <f t="shared" si="27"/>
        <v>¬</v>
      </c>
      <c r="D167" s="19"/>
      <c r="E167" s="15" t="s">
        <v>238</v>
      </c>
      <c r="F167" s="19"/>
      <c r="G167" s="19"/>
      <c r="H167" s="19"/>
      <c r="I167" s="19"/>
      <c r="L167" s="4">
        <v>1</v>
      </c>
      <c r="N167" s="4"/>
      <c r="O167" s="61">
        <f t="shared" si="28"/>
        <v>0</v>
      </c>
      <c r="P167" s="60">
        <f t="shared" si="29"/>
        <v>1</v>
      </c>
      <c r="Q167" s="61">
        <v>0</v>
      </c>
      <c r="R167" s="61">
        <v>5</v>
      </c>
    </row>
    <row r="168" spans="1:18">
      <c r="A168" s="1" t="s">
        <v>167</v>
      </c>
      <c r="B168" t="str">
        <f t="shared" si="27"/>
        <v>¬</v>
      </c>
      <c r="D168" s="19"/>
      <c r="E168" s="15" t="s">
        <v>239</v>
      </c>
      <c r="F168" s="19"/>
      <c r="G168" s="19"/>
      <c r="H168" s="19"/>
      <c r="I168" s="19"/>
      <c r="L168" s="4"/>
      <c r="N168" s="4"/>
      <c r="O168" s="61">
        <f t="shared" si="28"/>
        <v>0</v>
      </c>
      <c r="P168" s="60">
        <f t="shared" si="29"/>
        <v>0</v>
      </c>
      <c r="Q168" s="61">
        <v>0</v>
      </c>
      <c r="R168" s="61">
        <v>5</v>
      </c>
    </row>
    <row r="169" spans="1:18">
      <c r="A169" s="1" t="s">
        <v>168</v>
      </c>
      <c r="B169" t="str">
        <f t="shared" si="27"/>
        <v>¬</v>
      </c>
      <c r="D169" s="19"/>
      <c r="E169" s="15" t="s">
        <v>240</v>
      </c>
      <c r="F169" s="19"/>
      <c r="G169" s="19"/>
      <c r="H169" s="19"/>
      <c r="I169" s="19"/>
      <c r="L169" s="4"/>
      <c r="N169" s="4"/>
      <c r="O169" s="61">
        <f t="shared" si="28"/>
        <v>0</v>
      </c>
      <c r="P169" s="60">
        <f t="shared" si="29"/>
        <v>0</v>
      </c>
      <c r="Q169" s="61">
        <v>0</v>
      </c>
      <c r="R169" s="61">
        <v>5</v>
      </c>
    </row>
    <row r="170" spans="1:18">
      <c r="A170" s="1" t="s">
        <v>169</v>
      </c>
      <c r="B170" t="str">
        <f t="shared" si="27"/>
        <v>¬</v>
      </c>
      <c r="D170" s="19"/>
      <c r="E170" s="15" t="s">
        <v>241</v>
      </c>
      <c r="F170" s="19"/>
      <c r="G170" s="19"/>
      <c r="H170" s="19"/>
      <c r="I170" s="19"/>
      <c r="L170" s="4">
        <v>1</v>
      </c>
      <c r="N170" s="4"/>
      <c r="O170" s="61">
        <f t="shared" si="28"/>
        <v>0</v>
      </c>
      <c r="P170" s="60">
        <f t="shared" si="29"/>
        <v>1</v>
      </c>
      <c r="Q170" s="61">
        <v>0</v>
      </c>
      <c r="R170" s="61">
        <v>5</v>
      </c>
    </row>
    <row r="171" spans="1:18">
      <c r="A171" s="1" t="s">
        <v>170</v>
      </c>
      <c r="B171" t="str">
        <f t="shared" si="27"/>
        <v>¬</v>
      </c>
      <c r="D171" s="19"/>
      <c r="E171" s="15" t="s">
        <v>242</v>
      </c>
      <c r="F171" s="19"/>
      <c r="G171" s="19"/>
      <c r="H171" s="19"/>
      <c r="I171" s="19"/>
      <c r="L171" s="4">
        <v>1</v>
      </c>
      <c r="N171" s="4">
        <v>12</v>
      </c>
      <c r="O171" s="61">
        <f t="shared" si="28"/>
        <v>4</v>
      </c>
      <c r="P171" s="60">
        <f t="shared" si="29"/>
        <v>5</v>
      </c>
      <c r="Q171" s="61">
        <v>0</v>
      </c>
      <c r="R171" s="61">
        <v>5</v>
      </c>
    </row>
    <row r="172" spans="1:18">
      <c r="A172" s="1" t="s">
        <v>171</v>
      </c>
      <c r="B172" t="str">
        <f t="shared" si="27"/>
        <v>¬</v>
      </c>
      <c r="D172" s="19"/>
      <c r="E172" s="15" t="s">
        <v>243</v>
      </c>
      <c r="F172" s="19"/>
      <c r="G172" s="19"/>
      <c r="H172" s="19"/>
      <c r="I172" s="19"/>
      <c r="L172" s="4"/>
      <c r="N172" s="4"/>
      <c r="O172" s="61">
        <f t="shared" si="28"/>
        <v>0</v>
      </c>
      <c r="P172" s="60">
        <f t="shared" si="29"/>
        <v>0</v>
      </c>
      <c r="Q172" s="61">
        <v>0</v>
      </c>
      <c r="R172" s="61">
        <v>5</v>
      </c>
    </row>
    <row r="173" spans="1:18">
      <c r="A173" s="1" t="s">
        <v>172</v>
      </c>
      <c r="B173" t="str">
        <f t="shared" si="27"/>
        <v>¬</v>
      </c>
      <c r="D173" s="19"/>
      <c r="E173" s="15" t="s">
        <v>244</v>
      </c>
      <c r="F173" s="19"/>
      <c r="G173" s="19"/>
      <c r="H173" s="19"/>
      <c r="I173" s="19"/>
      <c r="L173" s="4"/>
      <c r="N173" s="4"/>
      <c r="O173" s="61">
        <f t="shared" si="28"/>
        <v>0</v>
      </c>
      <c r="P173" s="60">
        <f t="shared" si="29"/>
        <v>0</v>
      </c>
      <c r="Q173" s="61">
        <v>0</v>
      </c>
      <c r="R173" s="61">
        <v>5</v>
      </c>
    </row>
    <row r="174" spans="1:18">
      <c r="A174" s="1" t="s">
        <v>173</v>
      </c>
      <c r="B174" t="str">
        <f t="shared" si="27"/>
        <v>¬</v>
      </c>
      <c r="D174" s="19"/>
      <c r="E174" s="15" t="s">
        <v>245</v>
      </c>
      <c r="F174" s="19"/>
      <c r="G174" s="19"/>
      <c r="H174" s="19"/>
      <c r="I174" s="19"/>
      <c r="L174" s="4"/>
      <c r="N174" s="4"/>
      <c r="O174" s="61">
        <f t="shared" si="28"/>
        <v>0</v>
      </c>
      <c r="P174" s="60">
        <f t="shared" si="29"/>
        <v>0</v>
      </c>
      <c r="Q174" s="61">
        <v>0</v>
      </c>
      <c r="R174" s="61">
        <v>5</v>
      </c>
    </row>
    <row r="175" spans="1:18">
      <c r="A175" s="1" t="s">
        <v>174</v>
      </c>
      <c r="B175" t="str">
        <f>_xlfn.CONCAT(I137-H137," / ",I137)</f>
        <v>5 / 5</v>
      </c>
    </row>
    <row r="176" spans="1:18">
      <c r="A176" s="1" t="s">
        <v>175</v>
      </c>
      <c r="B176" t="str">
        <f>REPT("□",I137-H137) &amp; REPT("■",H137)</f>
        <v>□□□□□</v>
      </c>
      <c r="D176" s="16" t="s">
        <v>1491</v>
      </c>
      <c r="E176" s="16"/>
      <c r="F176" s="16"/>
      <c r="G176" s="16"/>
      <c r="H176" s="16"/>
      <c r="I176" s="16"/>
    </row>
    <row r="177" spans="1:18">
      <c r="A177" s="1" t="s">
        <v>176</v>
      </c>
      <c r="B177" t="str">
        <f t="shared" ref="B177:B196" si="30">IF(AC134="","¬",AC134)</f>
        <v>Allies</v>
      </c>
      <c r="D177" s="19"/>
      <c r="E177" s="15" t="s">
        <v>1492</v>
      </c>
      <c r="F177" s="3" t="s">
        <v>1657</v>
      </c>
      <c r="G177" s="19"/>
      <c r="H177" s="72" t="str">
        <f>IFERROR(IF(VLOOKUP(F177,tblDisciplines[#Data],14,FALSE)=0,"None",VLOOKUP(F177,tblDisciplines[#Data],14,FALSE)),"None")</f>
        <v>Nigh 1, Obfs 4</v>
      </c>
      <c r="I177" s="73"/>
      <c r="N177" s="4">
        <v>2</v>
      </c>
      <c r="O177" s="61">
        <f>N177</f>
        <v>2</v>
      </c>
      <c r="P177" s="60">
        <f>IF(O177=R177,O177,"")</f>
        <v>2</v>
      </c>
      <c r="R177" s="61">
        <f>_xlfn.IFNA(VLOOKUP(F177,tblDisciplines[],15,FALSE),"")</f>
        <v>2</v>
      </c>
    </row>
    <row r="178" spans="1:18">
      <c r="A178" s="1" t="s">
        <v>177</v>
      </c>
      <c r="B178" t="str">
        <f t="shared" si="30"/>
        <v>Contacts</v>
      </c>
      <c r="D178" s="19"/>
      <c r="E178" s="15" t="s">
        <v>1493</v>
      </c>
      <c r="F178" s="3"/>
      <c r="G178" s="19"/>
      <c r="H178" s="72" t="str">
        <f>IFERROR(IF(VLOOKUP(F178,tblDisciplines[#Data],14,FALSE)=0,"None",VLOOKUP(F178,tblDisciplines[#Data],14,FALSE)),"None")</f>
        <v>None</v>
      </c>
      <c r="I178" s="73"/>
      <c r="N178" s="4"/>
      <c r="O178" s="61">
        <f>N178</f>
        <v>0</v>
      </c>
      <c r="P178" s="60" t="str">
        <f>IF(O178=R178,O178,"")</f>
        <v/>
      </c>
      <c r="R178" s="61" t="str">
        <f>_xlfn.IFNA(VLOOKUP(F178,tblDisciplines[],15,FALSE),"")</f>
        <v/>
      </c>
    </row>
    <row r="179" spans="1:18">
      <c r="A179" s="1" t="s">
        <v>178</v>
      </c>
      <c r="B179" t="str">
        <f t="shared" si="30"/>
        <v>Resources</v>
      </c>
      <c r="D179" s="19"/>
      <c r="E179" s="15" t="s">
        <v>1494</v>
      </c>
      <c r="F179" s="3"/>
      <c r="G179" s="19"/>
      <c r="H179" s="72" t="str">
        <f>IFERROR(IF(VLOOKUP(F179,tblDisciplines[#Data],14,FALSE)=0,"None",VLOOKUP(F179,tblDisciplines[#Data],14,FALSE)),"None")</f>
        <v>None</v>
      </c>
      <c r="I179" s="73"/>
      <c r="N179" s="4"/>
      <c r="O179" s="61">
        <f>N179</f>
        <v>0</v>
      </c>
      <c r="P179" s="60" t="str">
        <f>IF(O179=R179,O179,"")</f>
        <v/>
      </c>
      <c r="R179" s="61" t="str">
        <f>_xlfn.IFNA(VLOOKUP(F179,tblDisciplines[],15,FALSE),"")</f>
        <v/>
      </c>
    </row>
    <row r="180" spans="1:18">
      <c r="A180" s="1" t="s">
        <v>179</v>
      </c>
      <c r="B180" t="str">
        <f t="shared" si="30"/>
        <v>¬</v>
      </c>
      <c r="D180" s="19"/>
      <c r="E180" s="15" t="s">
        <v>1495</v>
      </c>
      <c r="F180" s="3"/>
      <c r="G180" s="19"/>
      <c r="H180" s="72" t="str">
        <f>IFERROR(IF(VLOOKUP(F180,tblDisciplines[#Data],14,FALSE)=0,"None",VLOOKUP(F180,tblDisciplines[#Data],14,FALSE)),"None")</f>
        <v>None</v>
      </c>
      <c r="I180" s="73"/>
      <c r="N180" s="4"/>
      <c r="O180" s="61">
        <f>N180</f>
        <v>0</v>
      </c>
      <c r="P180" s="60" t="str">
        <f>IF(O180=R180,O180,"")</f>
        <v/>
      </c>
      <c r="R180" s="61" t="str">
        <f>_xlfn.IFNA(VLOOKUP(F180,tblDisciplines[],15,FALSE),"")</f>
        <v/>
      </c>
    </row>
    <row r="181" spans="1:18">
      <c r="A181" s="1" t="s">
        <v>180</v>
      </c>
      <c r="B181" t="str">
        <f t="shared" si="30"/>
        <v>¬</v>
      </c>
      <c r="D181" s="19"/>
      <c r="E181" s="15" t="s">
        <v>1496</v>
      </c>
      <c r="F181" s="3"/>
      <c r="G181" s="19"/>
      <c r="H181" s="72" t="str">
        <f>IFERROR(IF(VLOOKUP(F181,tblDisciplines[#Data],14,FALSE)=0,"None",VLOOKUP(F181,tblDisciplines[#Data],14,FALSE)),"None")</f>
        <v>None</v>
      </c>
      <c r="I181" s="73"/>
      <c r="N181" s="4"/>
      <c r="O181" s="61">
        <f>N181</f>
        <v>0</v>
      </c>
      <c r="P181" s="60" t="str">
        <f>IF(O181=R181,O181,"")</f>
        <v/>
      </c>
      <c r="R181" s="61" t="str">
        <f>_xlfn.IFNA(VLOOKUP(F181,tblDisciplines[],15,FALSE),"")</f>
        <v/>
      </c>
    </row>
    <row r="182" spans="1:18">
      <c r="A182" s="1" t="s">
        <v>181</v>
      </c>
      <c r="B182" t="str">
        <f t="shared" si="30"/>
        <v>¬</v>
      </c>
    </row>
    <row r="183" spans="1:18">
      <c r="A183" s="1" t="s">
        <v>182</v>
      </c>
      <c r="B183" t="str">
        <f t="shared" si="30"/>
        <v>¬</v>
      </c>
      <c r="D183" s="16" t="s">
        <v>1497</v>
      </c>
      <c r="E183" s="16"/>
      <c r="F183" s="16"/>
      <c r="G183" s="16"/>
      <c r="H183" s="16"/>
      <c r="I183" s="16"/>
    </row>
    <row r="184" spans="1:18">
      <c r="A184" s="1" t="s">
        <v>183</v>
      </c>
      <c r="B184" t="str">
        <f t="shared" si="30"/>
        <v>¬</v>
      </c>
      <c r="D184" s="19"/>
      <c r="E184" s="15" t="s">
        <v>246</v>
      </c>
      <c r="F184" s="19"/>
      <c r="G184" s="19"/>
      <c r="H184" s="19"/>
      <c r="I184" s="60" t="b">
        <f>IF(OR(F$9="Circle of the Crone",COUNTIF(F$78:F$92,"Chorister")&gt;0),TRUE,FALSE)</f>
        <v>0</v>
      </c>
      <c r="L184" s="4"/>
      <c r="N184" s="4"/>
      <c r="O184" s="61">
        <f>ROUNDDOWN(N184/4,0)</f>
        <v>0</v>
      </c>
      <c r="P184" s="60">
        <f>SUM(L184,O184)</f>
        <v>0</v>
      </c>
      <c r="Q184" s="61">
        <v>0</v>
      </c>
      <c r="R184" s="61">
        <v>5</v>
      </c>
    </row>
    <row r="185" spans="1:18">
      <c r="A185" s="1" t="s">
        <v>184</v>
      </c>
      <c r="B185" t="str">
        <f t="shared" si="30"/>
        <v>¬</v>
      </c>
      <c r="D185" s="19"/>
      <c r="E185" s="15" t="s">
        <v>247</v>
      </c>
      <c r="F185" s="19"/>
      <c r="G185" s="19"/>
      <c r="H185" s="19"/>
      <c r="I185" s="60" t="b">
        <f>IF(OR(F$9="Lancea et Sanctum",COUNTIF(F$78:F$92,"Laity")&gt;0),TRUE,FALSE)</f>
        <v>0</v>
      </c>
      <c r="L185" s="4"/>
      <c r="N185" s="4"/>
      <c r="O185" s="61">
        <f>ROUNDDOWN(N185/4,0)</f>
        <v>0</v>
      </c>
      <c r="P185" s="60">
        <f>SUM(L185,O185)</f>
        <v>0</v>
      </c>
      <c r="Q185" s="61">
        <v>0</v>
      </c>
      <c r="R185" s="61">
        <v>5</v>
      </c>
    </row>
    <row r="186" spans="1:18">
      <c r="A186" s="1" t="s">
        <v>185</v>
      </c>
      <c r="B186" t="str">
        <f t="shared" si="30"/>
        <v>¬</v>
      </c>
      <c r="D186" s="19"/>
      <c r="E186" s="19"/>
      <c r="F186" s="19"/>
      <c r="G186" s="19"/>
      <c r="H186" s="19"/>
      <c r="I186" s="19"/>
      <c r="L186" s="60">
        <f>SUM(P184:P185)-SUM(L187:L191)</f>
        <v>0</v>
      </c>
    </row>
    <row r="187" spans="1:18">
      <c r="A187" s="1" t="s">
        <v>186</v>
      </c>
      <c r="B187" t="str">
        <f t="shared" si="30"/>
        <v>¬</v>
      </c>
      <c r="D187" s="19"/>
      <c r="E187" s="15" t="s">
        <v>248</v>
      </c>
      <c r="F187" s="19"/>
      <c r="G187" s="19"/>
      <c r="H187" s="19"/>
      <c r="I187" s="19"/>
      <c r="L187" s="4"/>
      <c r="M187" s="61">
        <f>IF(AND(I184,L184&gt;=1),1,0)</f>
        <v>0</v>
      </c>
      <c r="N187" s="4"/>
      <c r="O187" s="61">
        <f>ROUNDDOWN(N187/2,0)</f>
        <v>0</v>
      </c>
      <c r="P187" s="60">
        <f>MIN(SUM(L187,M187,O187),R187)</f>
        <v>0</v>
      </c>
      <c r="Q187" s="61">
        <v>0</v>
      </c>
      <c r="R187" s="61">
        <f>MAX(P$184,P$185)</f>
        <v>0</v>
      </c>
    </row>
    <row r="188" spans="1:18">
      <c r="A188" s="1" t="s">
        <v>187</v>
      </c>
      <c r="B188" t="str">
        <f t="shared" si="30"/>
        <v>¬</v>
      </c>
      <c r="D188" s="19"/>
      <c r="E188" s="15" t="s">
        <v>249</v>
      </c>
      <c r="F188" s="19"/>
      <c r="G188" s="19"/>
      <c r="H188" s="19"/>
      <c r="I188" s="19"/>
      <c r="L188" s="4"/>
      <c r="M188" s="61"/>
      <c r="N188" s="4"/>
      <c r="O188" s="61">
        <f>ROUNDDOWN(N188/2,0)</f>
        <v>0</v>
      </c>
      <c r="P188" s="60">
        <f>MIN(SUM(L188,M188,O188),R188)</f>
        <v>0</v>
      </c>
      <c r="Q188" s="61">
        <v>0</v>
      </c>
      <c r="R188" s="61">
        <f>MAX(P$184,P$185)</f>
        <v>0</v>
      </c>
    </row>
    <row r="189" spans="1:18">
      <c r="A189" s="1" t="s">
        <v>188</v>
      </c>
      <c r="B189" t="str">
        <f t="shared" si="30"/>
        <v>¬</v>
      </c>
      <c r="D189" s="19"/>
      <c r="E189" s="15" t="s">
        <v>250</v>
      </c>
      <c r="F189" s="19"/>
      <c r="G189" s="19"/>
      <c r="H189" s="19"/>
      <c r="I189" s="19"/>
      <c r="L189" s="4"/>
      <c r="M189" s="61">
        <f>IF(AND(I185,L185&gt;=1),1,0)</f>
        <v>0</v>
      </c>
      <c r="N189" s="4"/>
      <c r="O189" s="61">
        <f>ROUNDDOWN(N189/2,0)</f>
        <v>0</v>
      </c>
      <c r="P189" s="60">
        <f>MIN(SUM(L189,M189,O189),R189)</f>
        <v>0</v>
      </c>
      <c r="Q189" s="61">
        <v>0</v>
      </c>
      <c r="R189" s="61">
        <f>MAX(P$184,P$185)</f>
        <v>0</v>
      </c>
    </row>
    <row r="190" spans="1:18">
      <c r="A190" s="1" t="s">
        <v>189</v>
      </c>
      <c r="B190" t="str">
        <f t="shared" si="30"/>
        <v>¬</v>
      </c>
      <c r="D190" s="19"/>
      <c r="E190" s="15" t="s">
        <v>251</v>
      </c>
      <c r="F190" s="19"/>
      <c r="G190" s="19"/>
      <c r="H190" s="19"/>
      <c r="I190" s="19"/>
      <c r="L190" s="4"/>
      <c r="M190" s="61">
        <f>IF(AND(I184,L184&gt;=1),1,0)</f>
        <v>0</v>
      </c>
      <c r="N190" s="4"/>
      <c r="O190" s="61">
        <f>ROUNDDOWN(N190/2,0)</f>
        <v>0</v>
      </c>
      <c r="P190" s="60">
        <f>MIN(SUM(L190,M190,O190),R190)</f>
        <v>0</v>
      </c>
      <c r="Q190" s="61">
        <v>0</v>
      </c>
      <c r="R190" s="61">
        <f>MAX(P$184,P$185)</f>
        <v>0</v>
      </c>
    </row>
    <row r="191" spans="1:18">
      <c r="A191" s="1" t="s">
        <v>190</v>
      </c>
      <c r="B191" t="str">
        <f t="shared" si="30"/>
        <v>¬</v>
      </c>
      <c r="D191" s="19"/>
      <c r="E191" s="15" t="s">
        <v>252</v>
      </c>
      <c r="F191" s="19"/>
      <c r="G191" s="19"/>
      <c r="H191" s="19"/>
      <c r="I191" s="19"/>
      <c r="L191" s="4"/>
      <c r="M191" s="61">
        <f>IF(AND(I185,L185&gt;=1),1,0)</f>
        <v>0</v>
      </c>
      <c r="N191" s="4"/>
      <c r="O191" s="61">
        <f>ROUNDDOWN(N191/2,0)</f>
        <v>0</v>
      </c>
      <c r="P191" s="60">
        <f>MIN(SUM(L191,M191,O191),R191)</f>
        <v>0</v>
      </c>
      <c r="Q191" s="61">
        <v>0</v>
      </c>
      <c r="R191" s="61">
        <f>MAX(P$184,P$185)</f>
        <v>0</v>
      </c>
    </row>
    <row r="192" spans="1:18">
      <c r="A192" s="1" t="s">
        <v>191</v>
      </c>
      <c r="B192" t="str">
        <f t="shared" si="30"/>
        <v>¬</v>
      </c>
    </row>
    <row r="193" spans="1:18">
      <c r="A193" s="1" t="s">
        <v>192</v>
      </c>
      <c r="B193" t="str">
        <f t="shared" si="30"/>
        <v>¬</v>
      </c>
      <c r="D193" s="16" t="s">
        <v>1474</v>
      </c>
      <c r="E193" s="16"/>
      <c r="F193" s="16"/>
      <c r="G193" s="16"/>
      <c r="H193" s="16"/>
      <c r="I193" s="16"/>
      <c r="L193" s="60">
        <f>SUM(P184:P185)+SUM(O187:O191)-SUM(L194:L203)</f>
        <v>0</v>
      </c>
    </row>
    <row r="194" spans="1:18">
      <c r="A194" s="1" t="s">
        <v>193</v>
      </c>
      <c r="B194" t="str">
        <f t="shared" si="30"/>
        <v>¬</v>
      </c>
      <c r="D194" s="19"/>
      <c r="E194" s="15" t="s">
        <v>1498</v>
      </c>
      <c r="F194" s="3"/>
      <c r="G194" s="61" t="str">
        <f>_xlfn.IFNA(VLOOKUP(F194,tblDisciplines[#Data],2,FALSE),"")</f>
        <v/>
      </c>
      <c r="H194" s="19"/>
      <c r="I194" s="19"/>
      <c r="L194" s="4"/>
      <c r="N194" s="4"/>
      <c r="O194" s="61">
        <f>N194</f>
        <v>0</v>
      </c>
      <c r="P194" s="60" t="str">
        <f>IF(OR(L194=R194,O194=R194),R194,MIN(SUM(L194,O194),R194))</f>
        <v/>
      </c>
      <c r="R194" s="61" t="str">
        <f>_xlfn.IFNA(VLOOKUP(F194,tblDisciplines[],3,FALSE),"")</f>
        <v/>
      </c>
    </row>
    <row r="195" spans="1:18">
      <c r="A195" s="1" t="s">
        <v>194</v>
      </c>
      <c r="B195" t="str">
        <f t="shared" si="30"/>
        <v>¬</v>
      </c>
      <c r="D195" s="19"/>
      <c r="E195" s="15" t="s">
        <v>1499</v>
      </c>
      <c r="F195" s="3"/>
      <c r="G195" s="61" t="str">
        <f>_xlfn.IFNA(VLOOKUP(F195,tblDisciplines[#Data],2,FALSE),"")</f>
        <v/>
      </c>
      <c r="H195" s="19"/>
      <c r="I195" s="19"/>
      <c r="L195" s="4"/>
      <c r="N195" s="4"/>
      <c r="O195" s="61">
        <f t="shared" ref="O195:O203" si="31">N195</f>
        <v>0</v>
      </c>
      <c r="P195" s="60" t="str">
        <f t="shared" ref="P195:P203" si="32">IF(OR(L195=R195,O195=R195),R195,MIN(SUM(L195,O195),R195))</f>
        <v/>
      </c>
      <c r="R195" s="61" t="str">
        <f>_xlfn.IFNA(VLOOKUP(F195,tblDisciplines[],3,FALSE),"")</f>
        <v/>
      </c>
    </row>
    <row r="196" spans="1:18">
      <c r="A196" s="1" t="s">
        <v>195</v>
      </c>
      <c r="B196" t="str">
        <f t="shared" si="30"/>
        <v>¬</v>
      </c>
      <c r="D196" s="19"/>
      <c r="E196" s="15" t="s">
        <v>1500</v>
      </c>
      <c r="F196" s="3"/>
      <c r="G196" s="61" t="str">
        <f>_xlfn.IFNA(VLOOKUP(F196,tblDisciplines[#Data],2,FALSE),"")</f>
        <v/>
      </c>
      <c r="H196" s="19"/>
      <c r="I196" s="19"/>
      <c r="L196" s="4"/>
      <c r="N196" s="4"/>
      <c r="O196" s="61">
        <f t="shared" si="31"/>
        <v>0</v>
      </c>
      <c r="P196" s="60" t="str">
        <f t="shared" si="32"/>
        <v/>
      </c>
      <c r="R196" s="61" t="str">
        <f>_xlfn.IFNA(VLOOKUP(F196,tblDisciplines[],3,FALSE),"")</f>
        <v/>
      </c>
    </row>
    <row r="197" spans="1:18">
      <c r="A197" s="1" t="s">
        <v>196</v>
      </c>
      <c r="B197" t="str">
        <f>IF(AD134="","¬",AD134)</f>
        <v>Police</v>
      </c>
      <c r="D197" s="19"/>
      <c r="E197" s="15" t="s">
        <v>1501</v>
      </c>
      <c r="F197" s="3"/>
      <c r="G197" s="61" t="str">
        <f>_xlfn.IFNA(VLOOKUP(F197,tblDisciplines[#Data],2,FALSE),"")</f>
        <v/>
      </c>
      <c r="H197" s="19"/>
      <c r="I197" s="19"/>
      <c r="L197" s="4"/>
      <c r="N197" s="4"/>
      <c r="O197" s="61">
        <f t="shared" si="31"/>
        <v>0</v>
      </c>
      <c r="P197" s="60" t="str">
        <f t="shared" si="32"/>
        <v/>
      </c>
      <c r="R197" s="61" t="str">
        <f>_xlfn.IFNA(VLOOKUP(F197,tblDisciplines[],3,FALSE),"")</f>
        <v/>
      </c>
    </row>
    <row r="198" spans="1:18">
      <c r="A198" s="1" t="s">
        <v>197</v>
      </c>
      <c r="B198" t="str">
        <f t="shared" ref="B198:B216" si="33">IF(AD135="","¬",AD135)</f>
        <v>Street, Underworld, Police</v>
      </c>
      <c r="D198" s="19"/>
      <c r="E198" s="15" t="s">
        <v>1502</v>
      </c>
      <c r="F198" s="3"/>
      <c r="G198" s="61" t="str">
        <f>_xlfn.IFNA(VLOOKUP(F198,tblDisciplines[#Data],2,FALSE),"")</f>
        <v/>
      </c>
      <c r="H198" s="19"/>
      <c r="I198" s="19"/>
      <c r="L198" s="4"/>
      <c r="N198" s="4"/>
      <c r="O198" s="61">
        <f t="shared" si="31"/>
        <v>0</v>
      </c>
      <c r="P198" s="60" t="str">
        <f t="shared" si="32"/>
        <v/>
      </c>
      <c r="R198" s="61" t="str">
        <f>_xlfn.IFNA(VLOOKUP(F198,tblDisciplines[],3,FALSE),"")</f>
        <v/>
      </c>
    </row>
    <row r="199" spans="1:18">
      <c r="A199" s="1" t="s">
        <v>198</v>
      </c>
      <c r="B199" t="str">
        <f t="shared" si="33"/>
        <v>¬</v>
      </c>
      <c r="D199" s="19"/>
      <c r="E199" s="15" t="s">
        <v>1503</v>
      </c>
      <c r="F199" s="3"/>
      <c r="G199" s="61" t="str">
        <f>_xlfn.IFNA(VLOOKUP(F199,tblDisciplines[#Data],2,FALSE),"")</f>
        <v/>
      </c>
      <c r="H199" s="19"/>
      <c r="I199" s="19"/>
      <c r="L199" s="4"/>
      <c r="N199" s="4"/>
      <c r="O199" s="61">
        <f t="shared" si="31"/>
        <v>0</v>
      </c>
      <c r="P199" s="60" t="str">
        <f t="shared" si="32"/>
        <v/>
      </c>
      <c r="R199" s="61" t="str">
        <f>_xlfn.IFNA(VLOOKUP(F199,tblDisciplines[],3,FALSE),"")</f>
        <v/>
      </c>
    </row>
    <row r="200" spans="1:18">
      <c r="A200" s="1" t="s">
        <v>199</v>
      </c>
      <c r="B200" t="str">
        <f t="shared" si="33"/>
        <v>¬</v>
      </c>
      <c r="D200" s="19"/>
      <c r="E200" s="15" t="s">
        <v>1504</v>
      </c>
      <c r="F200" s="3"/>
      <c r="G200" s="61" t="str">
        <f>_xlfn.IFNA(VLOOKUP(F200,tblDisciplines[#Data],2,FALSE),"")</f>
        <v/>
      </c>
      <c r="H200" s="19"/>
      <c r="I200" s="19"/>
      <c r="L200" s="4"/>
      <c r="N200" s="4"/>
      <c r="O200" s="61">
        <f t="shared" si="31"/>
        <v>0</v>
      </c>
      <c r="P200" s="60" t="str">
        <f t="shared" si="32"/>
        <v/>
      </c>
      <c r="R200" s="61" t="str">
        <f>_xlfn.IFNA(VLOOKUP(F200,tblDisciplines[],3,FALSE),"")</f>
        <v/>
      </c>
    </row>
    <row r="201" spans="1:18">
      <c r="A201" s="1" t="s">
        <v>200</v>
      </c>
      <c r="B201" t="str">
        <f t="shared" si="33"/>
        <v>¬</v>
      </c>
      <c r="D201" s="19"/>
      <c r="E201" s="15" t="s">
        <v>1505</v>
      </c>
      <c r="F201" s="3"/>
      <c r="G201" s="61" t="str">
        <f>_xlfn.IFNA(VLOOKUP(F201,tblDisciplines[#Data],2,FALSE),"")</f>
        <v/>
      </c>
      <c r="H201" s="19"/>
      <c r="I201" s="19"/>
      <c r="L201" s="4"/>
      <c r="N201" s="4"/>
      <c r="O201" s="61">
        <f t="shared" si="31"/>
        <v>0</v>
      </c>
      <c r="P201" s="60" t="str">
        <f t="shared" si="32"/>
        <v/>
      </c>
      <c r="R201" s="61" t="str">
        <f>_xlfn.IFNA(VLOOKUP(F201,tblDisciplines[],3,FALSE),"")</f>
        <v/>
      </c>
    </row>
    <row r="202" spans="1:18">
      <c r="A202" s="1" t="s">
        <v>201</v>
      </c>
      <c r="B202" t="str">
        <f t="shared" si="33"/>
        <v>¬</v>
      </c>
      <c r="D202" s="19"/>
      <c r="E202" s="15" t="s">
        <v>1506</v>
      </c>
      <c r="F202" s="3"/>
      <c r="G202" s="61" t="str">
        <f>_xlfn.IFNA(VLOOKUP(F202,tblDisciplines[#Data],2,FALSE),"")</f>
        <v/>
      </c>
      <c r="H202" s="19"/>
      <c r="I202" s="19"/>
      <c r="L202" s="4"/>
      <c r="N202" s="4"/>
      <c r="O202" s="61">
        <f t="shared" si="31"/>
        <v>0</v>
      </c>
      <c r="P202" s="60" t="str">
        <f t="shared" si="32"/>
        <v/>
      </c>
      <c r="R202" s="61" t="str">
        <f>_xlfn.IFNA(VLOOKUP(F202,tblDisciplines[],3,FALSE),"")</f>
        <v/>
      </c>
    </row>
    <row r="203" spans="1:18">
      <c r="A203" s="1" t="s">
        <v>202</v>
      </c>
      <c r="B203" t="str">
        <f t="shared" si="33"/>
        <v>¬</v>
      </c>
      <c r="D203" s="19"/>
      <c r="E203" s="15" t="s">
        <v>1507</v>
      </c>
      <c r="F203" s="3"/>
      <c r="G203" s="61" t="str">
        <f>_xlfn.IFNA(VLOOKUP(F203,tblDisciplines[#Data],2,FALSE),"")</f>
        <v/>
      </c>
      <c r="H203" s="19"/>
      <c r="I203" s="19"/>
      <c r="L203" s="4"/>
      <c r="N203" s="4"/>
      <c r="O203" s="61">
        <f t="shared" si="31"/>
        <v>0</v>
      </c>
      <c r="P203" s="60" t="str">
        <f t="shared" si="32"/>
        <v/>
      </c>
      <c r="R203" s="61" t="str">
        <f>_xlfn.IFNA(VLOOKUP(F203,tblDisciplines[],3,FALSE),"")</f>
        <v/>
      </c>
    </row>
    <row r="204" spans="1:18">
      <c r="A204" s="1" t="s">
        <v>203</v>
      </c>
      <c r="B204" t="str">
        <f t="shared" si="33"/>
        <v>¬</v>
      </c>
    </row>
    <row r="205" spans="1:18">
      <c r="A205" s="1" t="s">
        <v>204</v>
      </c>
      <c r="B205" t="str">
        <f t="shared" si="33"/>
        <v>¬</v>
      </c>
      <c r="D205" s="16" t="s">
        <v>1508</v>
      </c>
      <c r="E205" s="17"/>
      <c r="F205" s="17"/>
      <c r="G205" s="17"/>
      <c r="H205" s="17"/>
      <c r="I205" s="17"/>
    </row>
    <row r="206" spans="1:18">
      <c r="A206" s="1" t="s">
        <v>205</v>
      </c>
      <c r="B206" t="str">
        <f t="shared" si="33"/>
        <v>¬</v>
      </c>
      <c r="D206" s="19"/>
      <c r="E206" s="15" t="s">
        <v>1476</v>
      </c>
      <c r="F206" s="3" t="s">
        <v>1658</v>
      </c>
      <c r="G206" s="19" t="str">
        <f>IFERROR(VLOOKUP(F206,tblManoeuvre[#Data],2,FALSE)&amp;" "&amp;VLOOKUP(F206,tblManoeuvre[#Data],3,FALSE),"")</f>
        <v/>
      </c>
      <c r="H206" s="68" t="str">
        <f>_xlfn.IFNA(IF(VLOOKUP(F206,tblMerits[#Data],6,FALSE)=0,"None",VLOOKUP(F206,tblMerits[#Data],6,FALSE)),"None")</f>
        <v>None</v>
      </c>
      <c r="I206" s="69"/>
      <c r="L206" s="4">
        <v>2</v>
      </c>
      <c r="M206" s="4"/>
      <c r="N206" s="4"/>
      <c r="O206" s="61">
        <f t="shared" ref="O206:O215" si="34">N206</f>
        <v>0</v>
      </c>
      <c r="P206" s="60">
        <f t="shared" ref="P206:P215" si="35">MIN(SUM(L206,M206,O206),R206)</f>
        <v>2</v>
      </c>
      <c r="Q206" s="61">
        <f>_xlfn.IFNA(VLOOKUP($F206,tblPacts[],3,FALSE),"")</f>
        <v>2</v>
      </c>
      <c r="R206" s="61">
        <f>_xlfn.IFNA(VLOOKUP($F206,tblPacts[],4,FALSE),"")</f>
        <v>2</v>
      </c>
    </row>
    <row r="207" spans="1:18">
      <c r="A207" s="1" t="s">
        <v>206</v>
      </c>
      <c r="B207" t="str">
        <f t="shared" si="33"/>
        <v>¬</v>
      </c>
      <c r="D207" s="19"/>
      <c r="E207" s="15" t="s">
        <v>1477</v>
      </c>
      <c r="F207" s="3" t="s">
        <v>1659</v>
      </c>
      <c r="G207" s="19" t="str">
        <f>IFERROR(VLOOKUP(F207,tblManoeuvre[#Data],2,FALSE)&amp;" "&amp;VLOOKUP(F207,tblManoeuvre[#Data],3,FALSE),"")</f>
        <v/>
      </c>
      <c r="H207" s="68" t="str">
        <f>_xlfn.IFNA(IF(VLOOKUP(F207,tblMerits[#Data],6,FALSE)=0,"None",VLOOKUP(F207,tblMerits[#Data],6,FALSE)),"None")</f>
        <v>None</v>
      </c>
      <c r="I207" s="69"/>
      <c r="L207" s="4">
        <v>2</v>
      </c>
      <c r="M207" s="4"/>
      <c r="N207" s="4"/>
      <c r="O207" s="61">
        <f t="shared" si="34"/>
        <v>0</v>
      </c>
      <c r="P207" s="60">
        <f t="shared" si="35"/>
        <v>2</v>
      </c>
      <c r="Q207" s="61">
        <f>_xlfn.IFNA(VLOOKUP($F207,tblPacts[],3,FALSE),"")</f>
        <v>2</v>
      </c>
      <c r="R207" s="61">
        <f>_xlfn.IFNA(VLOOKUP($F207,tblPacts[],4,FALSE),"")</f>
        <v>2</v>
      </c>
    </row>
    <row r="208" spans="1:18">
      <c r="A208" s="1" t="s">
        <v>207</v>
      </c>
      <c r="B208" t="str">
        <f t="shared" si="33"/>
        <v>¬</v>
      </c>
      <c r="D208" s="19"/>
      <c r="E208" s="15" t="s">
        <v>1478</v>
      </c>
      <c r="F208" s="3" t="s">
        <v>1660</v>
      </c>
      <c r="G208" s="19" t="str">
        <f>IFERROR(VLOOKUP(F208,tblManoeuvre[#Data],2,FALSE)&amp;" "&amp;VLOOKUP(F208,tblManoeuvre[#Data],3,FALSE),"")</f>
        <v/>
      </c>
      <c r="H208" s="68" t="str">
        <f>_xlfn.IFNA(IF(VLOOKUP(F208,tblMerits[#Data],6,FALSE)=0,"None",VLOOKUP(F208,tblMerits[#Data],6,FALSE)),"None")</f>
        <v>None</v>
      </c>
      <c r="I208" s="69"/>
      <c r="L208" s="4">
        <v>1</v>
      </c>
      <c r="M208" s="4"/>
      <c r="N208" s="4"/>
      <c r="O208" s="61">
        <f t="shared" si="34"/>
        <v>0</v>
      </c>
      <c r="P208" s="60">
        <f t="shared" si="35"/>
        <v>1</v>
      </c>
      <c r="Q208" s="61">
        <f>_xlfn.IFNA(VLOOKUP($F208,tblPacts[],3,FALSE),"")</f>
        <v>1</v>
      </c>
      <c r="R208" s="61">
        <f>_xlfn.IFNA(VLOOKUP($F208,tblPacts[],4,FALSE),"")</f>
        <v>1</v>
      </c>
    </row>
    <row r="209" spans="1:18">
      <c r="A209" s="1" t="s">
        <v>208</v>
      </c>
      <c r="B209" t="str">
        <f t="shared" si="33"/>
        <v>¬</v>
      </c>
      <c r="D209" s="19"/>
      <c r="E209" s="15" t="s">
        <v>1479</v>
      </c>
      <c r="F209" s="3" t="s">
        <v>1661</v>
      </c>
      <c r="G209" s="19" t="str">
        <f>IFERROR(VLOOKUP(F209,tblManoeuvre[#Data],2,FALSE)&amp;" "&amp;VLOOKUP(F209,tblManoeuvre[#Data],3,FALSE),"")</f>
        <v/>
      </c>
      <c r="H209" s="68" t="str">
        <f>_xlfn.IFNA(IF(VLOOKUP(F209,tblMerits[#Data],6,FALSE)=0,"None",VLOOKUP(F209,tblMerits[#Data],6,FALSE)),"None")</f>
        <v>None</v>
      </c>
      <c r="I209" s="69"/>
      <c r="L209" s="4">
        <v>2</v>
      </c>
      <c r="M209" s="4"/>
      <c r="N209" s="4">
        <v>2</v>
      </c>
      <c r="O209" s="61">
        <f t="shared" si="34"/>
        <v>2</v>
      </c>
      <c r="P209" s="60">
        <f t="shared" si="35"/>
        <v>4</v>
      </c>
      <c r="Q209" s="61">
        <f>_xlfn.IFNA(VLOOKUP($F209,tblPacts[],3,FALSE),"")</f>
        <v>4</v>
      </c>
      <c r="R209" s="61">
        <f>_xlfn.IFNA(VLOOKUP($F209,tblPacts[],4,FALSE),"")</f>
        <v>4</v>
      </c>
    </row>
    <row r="210" spans="1:18">
      <c r="A210" s="1" t="s">
        <v>209</v>
      </c>
      <c r="B210" t="str">
        <f t="shared" si="33"/>
        <v>¬</v>
      </c>
      <c r="D210" s="19"/>
      <c r="E210" s="15" t="s">
        <v>1480</v>
      </c>
      <c r="F210" s="3"/>
      <c r="G210" s="19" t="str">
        <f>IFERROR(VLOOKUP(F210,tblManoeuvre[#Data],2,FALSE)&amp;" "&amp;VLOOKUP(F210,tblManoeuvre[#Data],3,FALSE),"")</f>
        <v/>
      </c>
      <c r="H210" s="68" t="str">
        <f>_xlfn.IFNA(IF(VLOOKUP(F210,tblMerits[#Data],6,FALSE)=0,"None",VLOOKUP(F210,tblMerits[#Data],6,FALSE)),"None")</f>
        <v>None</v>
      </c>
      <c r="I210" s="69"/>
      <c r="L210" s="4">
        <v>3</v>
      </c>
      <c r="M210" s="4"/>
      <c r="N210" s="4"/>
      <c r="O210" s="61">
        <f t="shared" si="34"/>
        <v>0</v>
      </c>
      <c r="P210" s="60">
        <f t="shared" si="35"/>
        <v>3</v>
      </c>
      <c r="Q210" s="61" t="str">
        <f>_xlfn.IFNA(VLOOKUP($F210,tblPacts[],3,FALSE),"")</f>
        <v/>
      </c>
      <c r="R210" s="61" t="str">
        <f>_xlfn.IFNA(VLOOKUP($F210,tblPacts[],4,FALSE),"")</f>
        <v/>
      </c>
    </row>
    <row r="211" spans="1:18">
      <c r="A211" s="1" t="s">
        <v>210</v>
      </c>
      <c r="B211" t="str">
        <f t="shared" si="33"/>
        <v>¬</v>
      </c>
      <c r="D211" s="19"/>
      <c r="E211" s="15" t="s">
        <v>1481</v>
      </c>
      <c r="F211" s="3"/>
      <c r="G211" s="19" t="str">
        <f>IFERROR(VLOOKUP(F211,tblManoeuvre[#Data],2,FALSE)&amp;" "&amp;VLOOKUP(F211,tblManoeuvre[#Data],3,FALSE),"")</f>
        <v/>
      </c>
      <c r="H211" s="68" t="str">
        <f>_xlfn.IFNA(IF(VLOOKUP(F211,tblMerits[#Data],6,FALSE)=0,"None",VLOOKUP(F211,tblMerits[#Data],6,FALSE)),"None")</f>
        <v>None</v>
      </c>
      <c r="I211" s="69"/>
      <c r="L211" s="4"/>
      <c r="M211" s="4"/>
      <c r="N211" s="4"/>
      <c r="O211" s="61">
        <f t="shared" si="34"/>
        <v>0</v>
      </c>
      <c r="P211" s="60">
        <f t="shared" si="35"/>
        <v>0</v>
      </c>
      <c r="Q211" s="61" t="str">
        <f>_xlfn.IFNA(VLOOKUP($F211,tblPacts[],3,FALSE),"")</f>
        <v/>
      </c>
      <c r="R211" s="61" t="str">
        <f>_xlfn.IFNA(VLOOKUP($F211,tblPacts[],4,FALSE),"")</f>
        <v/>
      </c>
    </row>
    <row r="212" spans="1:18">
      <c r="A212" s="1" t="s">
        <v>211</v>
      </c>
      <c r="B212" t="str">
        <f t="shared" si="33"/>
        <v>¬</v>
      </c>
      <c r="D212" s="19"/>
      <c r="E212" s="15" t="s">
        <v>1482</v>
      </c>
      <c r="F212" s="3"/>
      <c r="G212" s="19" t="str">
        <f>IFERROR(VLOOKUP(F212,tblManoeuvre[#Data],2,FALSE)&amp;" "&amp;VLOOKUP(F212,tblManoeuvre[#Data],3,FALSE),"")</f>
        <v/>
      </c>
      <c r="H212" s="68" t="str">
        <f>_xlfn.IFNA(IF(VLOOKUP(F212,tblMerits[#Data],6,FALSE)=0,"None",VLOOKUP(F212,tblMerits[#Data],6,FALSE)),"None")</f>
        <v>None</v>
      </c>
      <c r="I212" s="69"/>
      <c r="L212" s="4"/>
      <c r="M212" s="4"/>
      <c r="N212" s="4"/>
      <c r="O212" s="61">
        <f t="shared" si="34"/>
        <v>0</v>
      </c>
      <c r="P212" s="60">
        <f t="shared" si="35"/>
        <v>0</v>
      </c>
      <c r="Q212" s="61" t="str">
        <f>_xlfn.IFNA(VLOOKUP($F212,tblPacts[],3,FALSE),"")</f>
        <v/>
      </c>
      <c r="R212" s="61" t="str">
        <f>_xlfn.IFNA(VLOOKUP($F212,tblPacts[],4,FALSE),"")</f>
        <v/>
      </c>
    </row>
    <row r="213" spans="1:18">
      <c r="A213" s="1" t="s">
        <v>212</v>
      </c>
      <c r="B213" t="str">
        <f t="shared" si="33"/>
        <v>¬</v>
      </c>
      <c r="D213" s="19"/>
      <c r="E213" s="15" t="s">
        <v>1483</v>
      </c>
      <c r="F213" s="3"/>
      <c r="G213" s="19" t="str">
        <f>IFERROR(VLOOKUP(F213,tblManoeuvre[#Data],2,FALSE)&amp;" "&amp;VLOOKUP(F213,tblManoeuvre[#Data],3,FALSE),"")</f>
        <v/>
      </c>
      <c r="H213" s="68" t="str">
        <f>_xlfn.IFNA(IF(VLOOKUP(F213,tblMerits[#Data],6,FALSE)=0,"None",VLOOKUP(F213,tblMerits[#Data],6,FALSE)),"None")</f>
        <v>None</v>
      </c>
      <c r="I213" s="69"/>
      <c r="L213" s="4"/>
      <c r="M213" s="4"/>
      <c r="N213" s="4"/>
      <c r="O213" s="61">
        <f t="shared" si="34"/>
        <v>0</v>
      </c>
      <c r="P213" s="60">
        <f t="shared" si="35"/>
        <v>0</v>
      </c>
      <c r="Q213" s="61" t="str">
        <f>_xlfn.IFNA(VLOOKUP($F213,tblPacts[],3,FALSE),"")</f>
        <v/>
      </c>
      <c r="R213" s="61" t="str">
        <f>_xlfn.IFNA(VLOOKUP($F213,tblPacts[],4,FALSE),"")</f>
        <v/>
      </c>
    </row>
    <row r="214" spans="1:18">
      <c r="A214" s="1" t="s">
        <v>213</v>
      </c>
      <c r="B214" t="str">
        <f t="shared" si="33"/>
        <v>¬</v>
      </c>
      <c r="D214" s="19"/>
      <c r="E214" s="15" t="s">
        <v>1484</v>
      </c>
      <c r="F214" s="3"/>
      <c r="G214" s="19" t="str">
        <f>IFERROR(VLOOKUP(F214,tblManoeuvre[#Data],2,FALSE)&amp;" "&amp;VLOOKUP(F214,tblManoeuvre[#Data],3,FALSE),"")</f>
        <v/>
      </c>
      <c r="H214" s="68" t="str">
        <f>_xlfn.IFNA(IF(VLOOKUP(F214,tblMerits[#Data],6,FALSE)=0,"None",VLOOKUP(F214,tblMerits[#Data],6,FALSE)),"None")</f>
        <v>None</v>
      </c>
      <c r="I214" s="69"/>
      <c r="L214" s="4"/>
      <c r="M214" s="4"/>
      <c r="N214" s="4"/>
      <c r="O214" s="61">
        <f t="shared" si="34"/>
        <v>0</v>
      </c>
      <c r="P214" s="60">
        <f t="shared" si="35"/>
        <v>0</v>
      </c>
      <c r="Q214" s="61" t="str">
        <f>_xlfn.IFNA(VLOOKUP($F214,tblPacts[],3,FALSE),"")</f>
        <v/>
      </c>
      <c r="R214" s="61" t="str">
        <f>_xlfn.IFNA(VLOOKUP($F214,tblPacts[],4,FALSE),"")</f>
        <v/>
      </c>
    </row>
    <row r="215" spans="1:18">
      <c r="A215" s="1" t="s">
        <v>214</v>
      </c>
      <c r="B215" t="str">
        <f t="shared" si="33"/>
        <v>¬</v>
      </c>
      <c r="D215" s="19"/>
      <c r="E215" s="15" t="s">
        <v>1485</v>
      </c>
      <c r="F215" s="3"/>
      <c r="G215" s="19" t="str">
        <f>IFERROR(VLOOKUP(F215,tblManoeuvre[#Data],2,FALSE)&amp;" "&amp;VLOOKUP(F215,tblManoeuvre[#Data],3,FALSE),"")</f>
        <v/>
      </c>
      <c r="H215" s="68" t="str">
        <f>_xlfn.IFNA(IF(VLOOKUP(F215,tblMerits[#Data],6,FALSE)=0,"None",VLOOKUP(F215,tblMerits[#Data],6,FALSE)),"None")</f>
        <v>None</v>
      </c>
      <c r="I215" s="69"/>
      <c r="L215" s="4"/>
      <c r="M215" s="4"/>
      <c r="N215" s="4"/>
      <c r="O215" s="61">
        <f t="shared" si="34"/>
        <v>0</v>
      </c>
      <c r="P215" s="60">
        <f t="shared" si="35"/>
        <v>0</v>
      </c>
      <c r="Q215" s="61" t="str">
        <f>_xlfn.IFNA(VLOOKUP($F215,tblPacts[],3,FALSE),"")</f>
        <v/>
      </c>
      <c r="R215" s="61" t="str">
        <f>_xlfn.IFNA(VLOOKUP($F215,tblPacts[],4,FALSE),"")</f>
        <v/>
      </c>
    </row>
    <row r="216" spans="1:18">
      <c r="A216" s="1" t="s">
        <v>215</v>
      </c>
      <c r="B216" t="str">
        <f t="shared" si="33"/>
        <v>¬</v>
      </c>
    </row>
    <row r="217" spans="1:18">
      <c r="A217" s="1" t="s">
        <v>216</v>
      </c>
      <c r="B217" t="str">
        <f>IF(OR(AF134=0,AF134=""),"",REPT("●",AF134))</f>
        <v>●</v>
      </c>
      <c r="D217" s="16" t="s">
        <v>1509</v>
      </c>
      <c r="E217" s="16"/>
      <c r="F217" s="16"/>
      <c r="G217" s="16"/>
      <c r="H217" s="16"/>
      <c r="I217" s="16"/>
    </row>
    <row r="218" spans="1:18">
      <c r="A218" s="1" t="s">
        <v>217</v>
      </c>
      <c r="B218" t="str">
        <f t="shared" ref="B218:B236" si="36">IF(OR(AF135=0,AF135=""),"",REPT("●",AF135))</f>
        <v>●●●</v>
      </c>
      <c r="D218" s="19"/>
      <c r="E218" s="15" t="s">
        <v>353</v>
      </c>
      <c r="F218" s="19"/>
      <c r="G218" s="19"/>
      <c r="H218" s="19"/>
      <c r="I218" s="19"/>
      <c r="M218" s="61">
        <f>IF(COUNTIF(F79:F93,"Giant")&gt;0,1,0)+IF(COUNTIF(F79:F93,"Small-Framed")&gt;0,-1,0)</f>
        <v>0</v>
      </c>
      <c r="P218" s="60">
        <f>5+M218</f>
        <v>5</v>
      </c>
    </row>
    <row r="219" spans="1:18">
      <c r="A219" s="1" t="s">
        <v>218</v>
      </c>
      <c r="B219" t="str">
        <f t="shared" si="36"/>
        <v>●●●●●</v>
      </c>
      <c r="D219" s="19"/>
      <c r="E219" s="15" t="s">
        <v>354</v>
      </c>
      <c r="F219" s="19"/>
      <c r="G219" s="19"/>
      <c r="H219" s="19"/>
      <c r="I219" s="19"/>
      <c r="P219" s="60">
        <f ca="1">VLOOKUP("Size",INDIRECT($AH$1),2,FALSE)+VLOOKUP("Strength",INDIRECT($AH$1),2,FALSE)+VLOOKUP("Dexterity",INDIRECT($AH$1),2,FALSE)+VLOOKUP("Vigour",INDIRECT($AH$1),2,FALSE)</f>
        <v>11</v>
      </c>
    </row>
    <row r="220" spans="1:18">
      <c r="A220" s="1" t="s">
        <v>219</v>
      </c>
      <c r="B220" t="str">
        <f t="shared" si="36"/>
        <v/>
      </c>
      <c r="D220" s="19"/>
      <c r="E220" s="15" t="s">
        <v>355</v>
      </c>
      <c r="F220" s="19"/>
      <c r="G220" s="19"/>
      <c r="H220" s="19"/>
      <c r="I220" s="19"/>
      <c r="P220" s="60">
        <f ca="1">MIN(VLOOKUP("Dexterity",INDIRECT($AH$1),2,FALSE),VLOOKUP("Wits",INDIRECT($AH$1),2,FALSE))+VLOOKUP("Athletics",INDIRECT($AH$1),2,FALSE)</f>
        <v>5</v>
      </c>
    </row>
    <row r="221" spans="1:18">
      <c r="A221" s="1" t="s">
        <v>220</v>
      </c>
      <c r="B221" t="str">
        <f t="shared" si="36"/>
        <v/>
      </c>
      <c r="D221" s="19"/>
      <c r="E221" s="15" t="s">
        <v>52</v>
      </c>
      <c r="F221" s="19"/>
      <c r="G221" s="19"/>
      <c r="H221" s="19"/>
      <c r="I221" s="19"/>
      <c r="P221" s="60">
        <f ca="1">VLOOKUP("Size",INDIRECT($AH$1),2,FALSE)+VLOOKUP("Stamina",INDIRECT($AH$1),2,FALSE)+VLOOKUP("Resilience",INDIRECT($AH$1),2,FALSE)</f>
        <v>8</v>
      </c>
    </row>
    <row r="222" spans="1:18">
      <c r="A222" s="1" t="s">
        <v>221</v>
      </c>
      <c r="B222" t="str">
        <f t="shared" si="36"/>
        <v/>
      </c>
      <c r="D222" s="19"/>
      <c r="E222" s="19"/>
      <c r="F222" s="19"/>
      <c r="G222" s="19"/>
      <c r="H222" s="15" t="s">
        <v>1510</v>
      </c>
      <c r="I222" s="19"/>
      <c r="L222" s="4"/>
    </row>
    <row r="223" spans="1:18">
      <c r="A223" s="1" t="s">
        <v>222</v>
      </c>
      <c r="B223" t="str">
        <f t="shared" si="36"/>
        <v/>
      </c>
      <c r="D223" s="19"/>
      <c r="E223" s="15" t="s">
        <v>1511</v>
      </c>
      <c r="F223" s="7"/>
      <c r="G223" s="19"/>
      <c r="H223" s="15" t="s">
        <v>1512</v>
      </c>
      <c r="I223" s="19"/>
      <c r="L223" s="4"/>
    </row>
    <row r="224" spans="1:18">
      <c r="A224" s="1" t="s">
        <v>223</v>
      </c>
      <c r="B224" t="str">
        <f t="shared" si="36"/>
        <v/>
      </c>
      <c r="D224" s="19"/>
      <c r="E224" s="15" t="s">
        <v>1513</v>
      </c>
      <c r="F224" s="7"/>
      <c r="G224" s="19"/>
      <c r="H224" s="15" t="s">
        <v>1514</v>
      </c>
      <c r="I224" s="19"/>
      <c r="L224" s="4"/>
    </row>
    <row r="225" spans="1:12">
      <c r="A225" s="1" t="s">
        <v>224</v>
      </c>
      <c r="B225" t="str">
        <f t="shared" si="36"/>
        <v/>
      </c>
      <c r="D225" s="19"/>
      <c r="E225" s="15" t="s">
        <v>1515</v>
      </c>
      <c r="F225" s="7"/>
      <c r="G225" s="19"/>
      <c r="H225" s="15" t="s">
        <v>1516</v>
      </c>
      <c r="I225" s="19"/>
      <c r="L225" s="4"/>
    </row>
    <row r="226" spans="1:12">
      <c r="A226" s="1" t="s">
        <v>225</v>
      </c>
      <c r="B226" t="str">
        <f t="shared" si="36"/>
        <v/>
      </c>
      <c r="D226" s="19"/>
      <c r="E226" s="15" t="s">
        <v>1517</v>
      </c>
      <c r="F226" s="7"/>
      <c r="G226" s="19"/>
      <c r="H226" s="19"/>
      <c r="I226" s="19"/>
    </row>
    <row r="227" spans="1:12">
      <c r="A227" s="1" t="s">
        <v>226</v>
      </c>
      <c r="B227" t="str">
        <f t="shared" si="36"/>
        <v/>
      </c>
      <c r="D227" s="19"/>
      <c r="E227" s="15" t="s">
        <v>1518</v>
      </c>
      <c r="F227" s="7" t="s">
        <v>1662</v>
      </c>
      <c r="G227" s="19"/>
      <c r="H227" s="19"/>
      <c r="I227" s="19"/>
    </row>
    <row r="228" spans="1:12">
      <c r="A228" s="1" t="s">
        <v>227</v>
      </c>
      <c r="B228" t="str">
        <f t="shared" si="36"/>
        <v/>
      </c>
      <c r="D228" s="19"/>
      <c r="E228" s="15" t="s">
        <v>1519</v>
      </c>
      <c r="F228" s="7"/>
      <c r="G228" s="19"/>
      <c r="H228" s="19"/>
      <c r="I228" s="19"/>
    </row>
    <row r="229" spans="1:12">
      <c r="A229" s="1" t="s">
        <v>228</v>
      </c>
      <c r="B229" t="str">
        <f t="shared" si="36"/>
        <v/>
      </c>
      <c r="D229" s="19"/>
      <c r="E229" s="15" t="s">
        <v>1520</v>
      </c>
      <c r="F229" s="7"/>
      <c r="G229" s="19"/>
      <c r="H229" s="19"/>
      <c r="I229" s="19"/>
    </row>
    <row r="230" spans="1:12">
      <c r="A230" s="1" t="s">
        <v>229</v>
      </c>
      <c r="B230" t="str">
        <f t="shared" si="36"/>
        <v/>
      </c>
      <c r="D230" s="19"/>
      <c r="E230" s="15" t="s">
        <v>1521</v>
      </c>
      <c r="F230" s="7"/>
      <c r="G230" s="19"/>
      <c r="H230" s="19"/>
      <c r="I230" s="19"/>
    </row>
    <row r="231" spans="1:12">
      <c r="A231" s="1" t="s">
        <v>230</v>
      </c>
      <c r="B231" t="str">
        <f t="shared" si="36"/>
        <v/>
      </c>
      <c r="D231" s="19"/>
      <c r="E231" s="15" t="s">
        <v>1522</v>
      </c>
      <c r="F231" s="7"/>
      <c r="G231" s="19"/>
      <c r="H231" s="19"/>
      <c r="I231" s="19"/>
    </row>
    <row r="232" spans="1:12">
      <c r="A232" s="1" t="s">
        <v>231</v>
      </c>
      <c r="B232" t="str">
        <f t="shared" si="36"/>
        <v/>
      </c>
      <c r="D232" s="19"/>
      <c r="E232" s="15" t="s">
        <v>1523</v>
      </c>
      <c r="F232" s="7"/>
      <c r="G232" s="19"/>
      <c r="H232" s="19"/>
      <c r="I232" s="19"/>
    </row>
    <row r="233" spans="1:12">
      <c r="A233" s="1" t="s">
        <v>232</v>
      </c>
      <c r="B233" t="str">
        <f t="shared" si="36"/>
        <v/>
      </c>
      <c r="D233" s="19"/>
      <c r="E233" s="19"/>
      <c r="F233" s="19"/>
      <c r="G233" s="19"/>
      <c r="H233" s="19"/>
      <c r="I233" s="19"/>
    </row>
    <row r="234" spans="1:12">
      <c r="A234" s="1" t="s">
        <v>233</v>
      </c>
      <c r="B234" t="str">
        <f t="shared" si="36"/>
        <v/>
      </c>
      <c r="D234" s="19"/>
      <c r="E234" s="15" t="s">
        <v>343</v>
      </c>
      <c r="F234" s="61" t="str">
        <f>_xlfn.IFNA(VLOOKUP(F7,tblClans[],4,FALSE),"")</f>
        <v>Lonely Curse</v>
      </c>
      <c r="G234" s="19"/>
      <c r="H234" s="74" t="str">
        <f>_xlfn.IFNA(VLOOKUP(F234,tblBanes[],2,FALSE),"")</f>
        <v>With mortals, Humanity counts –2; Presence/Manipulation failures become dramatic failures. Intimidation and Subterfuge unaffected.</v>
      </c>
      <c r="I234" s="74"/>
    </row>
    <row r="235" spans="1:12">
      <c r="A235" s="1" t="s">
        <v>234</v>
      </c>
      <c r="B235" t="str">
        <f t="shared" si="36"/>
        <v/>
      </c>
      <c r="D235" s="19"/>
      <c r="E235" s="15" t="s">
        <v>344</v>
      </c>
      <c r="F235" s="19"/>
      <c r="G235" s="19"/>
      <c r="H235" s="19"/>
      <c r="I235" s="19"/>
    </row>
    <row r="236" spans="1:12">
      <c r="A236" s="1" t="s">
        <v>235</v>
      </c>
      <c r="B236" t="str">
        <f t="shared" si="36"/>
        <v/>
      </c>
      <c r="D236" s="19"/>
      <c r="E236" s="15" t="s">
        <v>345</v>
      </c>
      <c r="F236" s="3" t="s">
        <v>439</v>
      </c>
      <c r="G236" s="19"/>
      <c r="H236" s="70" t="str">
        <f>_xlfn.IFNA(VLOOKUP(F236,tblBanes[],2,FALSE),"")</f>
        <v>Surrounded by vermin; all Social rolls fail except Intimidation; WP can dismiss.</v>
      </c>
      <c r="I236" s="71"/>
    </row>
    <row r="237" spans="1:12">
      <c r="A237" s="1" t="s">
        <v>236</v>
      </c>
      <c r="B237" t="str">
        <f ca="1">_xlfn.LET(_xlpm.v,VLOOKUP(tblCharDataCharlie[[#This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_xlfn.LET(_xlpm.v,VLOOKUP(tblCharDataCharlie[[#This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_xlfn.LET(_xlpm.v,VLOOKUP(tblCharDataCharlie[[#This Row],[Field]],INDIRECT($AH$1),2,FALSE),IF(OR(_xlpm.v=0,_xlpm.v=""),"-",REPT("●",_xlpm.v)))</f>
        <v>●</v>
      </c>
      <c r="D239" s="19"/>
      <c r="E239" s="19"/>
      <c r="F239" s="19"/>
      <c r="G239" s="19"/>
      <c r="H239" s="19"/>
      <c r="I239" s="19"/>
    </row>
    <row r="240" spans="1:12">
      <c r="A240" s="1" t="s">
        <v>239</v>
      </c>
      <c r="B240" t="str">
        <f ca="1">_xlfn.LET(_xlpm.v,VLOOKUP(tblCharDataCharlie[[#This Row],[Field]],INDIRECT($AH$1),2,FALSE),IF(OR(_xlpm.v=0,_xlpm.v=""),"-",REPT("●",_xlpm.v)))</f>
        <v>-</v>
      </c>
      <c r="D240" s="19"/>
      <c r="E240" s="15" t="s">
        <v>360</v>
      </c>
      <c r="F240" s="62"/>
      <c r="G240" s="63"/>
      <c r="H240" s="63"/>
      <c r="I240" s="64"/>
    </row>
    <row r="241" spans="1:9">
      <c r="A241" s="1" t="s">
        <v>240</v>
      </c>
      <c r="B241" t="str">
        <f ca="1">_xlfn.LET(_xlpm.v,VLOOKUP(tblCharDataCharlie[[#This Row],[Field]],INDIRECT($AH$1),2,FALSE),IF(OR(_xlpm.v=0,_xlpm.v=""),"-",REPT("●",_xlpm.v)))</f>
        <v>-</v>
      </c>
      <c r="D241" s="19"/>
      <c r="E241" s="15" t="s">
        <v>361</v>
      </c>
      <c r="F241" s="62"/>
      <c r="G241" s="63"/>
      <c r="H241" s="63"/>
      <c r="I241" s="64"/>
    </row>
    <row r="242" spans="1:9">
      <c r="A242" s="1" t="s">
        <v>241</v>
      </c>
      <c r="B242" t="str">
        <f ca="1">_xlfn.LET(_xlpm.v,VLOOKUP(tblCharDataCharlie[[#This Row],[Field]],INDIRECT($AH$1),2,FALSE),IF(OR(_xlpm.v=0,_xlpm.v=""),"-",REPT("●",_xlpm.v)))</f>
        <v>●</v>
      </c>
      <c r="D242" s="19"/>
      <c r="E242" s="15" t="s">
        <v>362</v>
      </c>
      <c r="F242" s="62"/>
      <c r="G242" s="63"/>
      <c r="H242" s="63"/>
      <c r="I242" s="64"/>
    </row>
    <row r="243" spans="1:9">
      <c r="A243" s="1" t="s">
        <v>242</v>
      </c>
      <c r="B243" t="str">
        <f ca="1">_xlfn.LET(_xlpm.v,VLOOKUP(tblCharDataCharlie[[#This Row],[Field]],INDIRECT($AH$1),2,FALSE),IF(OR(_xlpm.v=0,_xlpm.v=""),"-",REPT("●",_xlpm.v)))</f>
        <v>●●●●●</v>
      </c>
      <c r="D243" s="19"/>
      <c r="E243" s="19"/>
      <c r="F243" s="19"/>
      <c r="G243" s="19"/>
      <c r="H243" s="19"/>
      <c r="I243" s="19"/>
    </row>
    <row r="244" spans="1:9">
      <c r="A244" s="1" t="s">
        <v>243</v>
      </c>
      <c r="B244" t="str">
        <f ca="1">_xlfn.LET(_xlpm.v,VLOOKUP(tblCharDataCharlie[[#This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_xlfn.LET(_xlpm.v,VLOOKUP(tblCharDataCharlie[[#This Row],[Field]],INDIRECT($AH$1),2,FALSE),IF(OR(_xlpm.v=0,_xlpm.v=""),"-",REPT("●",_xlpm.v)))</f>
        <v>-</v>
      </c>
      <c r="D245" s="19"/>
      <c r="E245" s="15" t="s">
        <v>1524</v>
      </c>
      <c r="F245" s="62"/>
      <c r="G245" s="63"/>
      <c r="H245" s="63"/>
      <c r="I245" s="64"/>
    </row>
    <row r="246" spans="1:9">
      <c r="A246" s="1" t="s">
        <v>245</v>
      </c>
      <c r="B246" t="str">
        <f ca="1">_xlfn.LET(_xlpm.v,VLOOKUP(tblCharDataCharlie[[#This Row],[Field]],INDIRECT($AH$1),2,FALSE),IF(OR(_xlpm.v=0,_xlpm.v=""),"-",REPT("●",_xlpm.v)))</f>
        <v>-</v>
      </c>
    </row>
    <row r="247" spans="1:9">
      <c r="A247" s="1" t="s">
        <v>246</v>
      </c>
      <c r="B247" t="str">
        <f ca="1">_xlfn.LET(_xlpm.v,VLOOKUP(tblCharDataCharlie[[#This Row],[Field]],INDIRECT($AH$1),2,FALSE),IF(OR(_xlpm.v=0,_xlpm.v=""),"-",REPT("●",_xlpm.v)))</f>
        <v>-</v>
      </c>
      <c r="D247" s="16" t="s">
        <v>1525</v>
      </c>
      <c r="E247" s="16"/>
      <c r="F247" s="16" t="s">
        <v>1526</v>
      </c>
      <c r="G247" s="16" t="s">
        <v>1527</v>
      </c>
      <c r="H247" s="16"/>
      <c r="I247" s="16"/>
    </row>
    <row r="248" spans="1:9">
      <c r="A248" s="1" t="s">
        <v>247</v>
      </c>
      <c r="B248" t="str">
        <f ca="1">_xlfn.LET(_xlpm.v,VLOOKUP(tblCharDataCharlie[[#This Row],[Field]],INDIRECT($AH$1),2,FALSE),IF(OR(_xlpm.v=0,_xlpm.v=""),"-",REPT("●",_xlpm.v)))</f>
        <v>-</v>
      </c>
      <c r="D248" s="19"/>
      <c r="E248" s="15" t="s">
        <v>1528</v>
      </c>
      <c r="F248" s="7"/>
      <c r="G248" s="7"/>
      <c r="H248" s="19"/>
      <c r="I248" s="19" t="s">
        <v>1529</v>
      </c>
    </row>
    <row r="249" spans="1:9">
      <c r="A249" s="1" t="s">
        <v>248</v>
      </c>
      <c r="B249" t="str">
        <f ca="1">_xlfn.LET(_xlpm.v,VLOOKUP(tblCharDataCharlie[[#This Row],[Field]],INDIRECT($AH$1),2,FALSE),IF(OR(_xlpm.v=0,_xlpm.v=""),"-",REPT("●",_xlpm.v)))</f>
        <v>-</v>
      </c>
      <c r="D249" s="19"/>
      <c r="E249" s="15" t="s">
        <v>1530</v>
      </c>
      <c r="F249" s="7"/>
      <c r="G249" s="7"/>
      <c r="H249" s="19"/>
      <c r="I249" s="19" t="s">
        <v>1531</v>
      </c>
    </row>
    <row r="250" spans="1:9">
      <c r="A250" s="1" t="s">
        <v>249</v>
      </c>
      <c r="B250" t="str">
        <f ca="1">_xlfn.LET(_xlpm.v,VLOOKUP(tblCharDataCharlie[[#This Row],[Field]],INDIRECT($AH$1),2,FALSE),IF(OR(_xlpm.v=0,_xlpm.v=""),"-",REPT("●",_xlpm.v)))</f>
        <v>-</v>
      </c>
      <c r="D250" s="19" t="s">
        <v>1532</v>
      </c>
      <c r="E250" s="15" t="s">
        <v>1533</v>
      </c>
      <c r="F250" s="7"/>
      <c r="G250" s="7"/>
      <c r="H250" s="19"/>
      <c r="I250" s="19"/>
    </row>
    <row r="251" spans="1:9">
      <c r="A251" s="1" t="s">
        <v>250</v>
      </c>
      <c r="B251" t="str">
        <f ca="1">_xlfn.LET(_xlpm.v,VLOOKUP(tblCharDataCharlie[[#This Row],[Field]],INDIRECT($AH$1),2,FALSE),IF(OR(_xlpm.v=0,_xlpm.v=""),"-",REPT("●",_xlpm.v)))</f>
        <v>-</v>
      </c>
      <c r="D251" s="19" t="s">
        <v>1532</v>
      </c>
      <c r="E251" s="15" t="s">
        <v>1534</v>
      </c>
      <c r="F251" s="7"/>
      <c r="G251" s="7"/>
      <c r="H251" s="19"/>
      <c r="I251" s="19"/>
    </row>
    <row r="252" spans="1:9">
      <c r="A252" s="1" t="s">
        <v>251</v>
      </c>
      <c r="B252" t="str">
        <f ca="1">_xlfn.LET(_xlpm.v,VLOOKUP(tblCharDataCharlie[[#This Row],[Field]],INDIRECT($AH$1),2,FALSE),IF(OR(_xlpm.v=0,_xlpm.v=""),"-",REPT("●",_xlpm.v)))</f>
        <v>-</v>
      </c>
      <c r="D252" s="19" t="s">
        <v>1532</v>
      </c>
      <c r="E252" s="15" t="s">
        <v>1535</v>
      </c>
      <c r="F252" s="7"/>
      <c r="G252" s="7"/>
      <c r="H252" s="19"/>
      <c r="I252" s="19"/>
    </row>
    <row r="253" spans="1:9">
      <c r="A253" s="1" t="s">
        <v>252</v>
      </c>
      <c r="B253" t="str">
        <f ca="1">_xlfn.LET(_xlpm.v,VLOOKUP(tblCharDataCharlie[[#This Row],[Field]],INDIRECT($AH$1),2,FALSE),IF(OR(_xlpm.v=0,_xlpm.v=""),"-",REPT("●",_xlpm.v)))</f>
        <v>-</v>
      </c>
      <c r="D253" s="19" t="s">
        <v>1532</v>
      </c>
      <c r="E253" s="15" t="s">
        <v>1536</v>
      </c>
      <c r="F253" s="7"/>
      <c r="G253" s="7"/>
      <c r="H253" s="19"/>
      <c r="I253" s="19"/>
    </row>
    <row r="254" spans="1:9">
      <c r="A254" s="1" t="s">
        <v>253</v>
      </c>
      <c r="B254" t="str">
        <f t="shared" ref="B254:B283" si="37">IF(AD44="","¬",AD44)</f>
        <v>Celerity ●</v>
      </c>
      <c r="D254" s="19" t="s">
        <v>1532</v>
      </c>
      <c r="E254" s="15" t="s">
        <v>1537</v>
      </c>
      <c r="F254" s="7"/>
      <c r="G254" s="7"/>
      <c r="H254" s="19"/>
      <c r="I254" s="19"/>
    </row>
    <row r="255" spans="1:9">
      <c r="A255" s="1" t="s">
        <v>254</v>
      </c>
      <c r="B255" t="str">
        <f t="shared" si="37"/>
        <v>Nightmare ● | Dread Presence</v>
      </c>
      <c r="D255" s="19" t="s">
        <v>1532</v>
      </c>
      <c r="E255" s="15" t="s">
        <v>1538</v>
      </c>
      <c r="F255" s="7"/>
      <c r="G255" s="7"/>
      <c r="H255" s="19"/>
      <c r="I255" s="19"/>
    </row>
    <row r="256" spans="1:9">
      <c r="A256" s="1" t="s">
        <v>255</v>
      </c>
      <c r="B256" t="str">
        <f t="shared" si="37"/>
        <v>Obfuscate ● | Face in the Crowd</v>
      </c>
      <c r="D256" s="19" t="s">
        <v>1532</v>
      </c>
      <c r="E256" s="15" t="s">
        <v>1539</v>
      </c>
      <c r="F256" s="7"/>
      <c r="G256" s="7"/>
      <c r="H256" s="19"/>
      <c r="I256" s="19"/>
    </row>
    <row r="257" spans="1:9">
      <c r="A257" s="1" t="s">
        <v>256</v>
      </c>
      <c r="B257" t="str">
        <f t="shared" si="37"/>
        <v>Obfuscate ●● | Touch of Shadow</v>
      </c>
      <c r="D257" s="19" t="s">
        <v>1532</v>
      </c>
      <c r="E257" s="15" t="s">
        <v>1540</v>
      </c>
      <c r="F257" s="7"/>
      <c r="G257" s="7"/>
      <c r="H257" s="19"/>
      <c r="I257" s="19"/>
    </row>
    <row r="258" spans="1:9">
      <c r="A258" s="1" t="s">
        <v>257</v>
      </c>
      <c r="B258" t="str">
        <f t="shared" si="37"/>
        <v>Obfuscate ●●● | Cloak of Night</v>
      </c>
      <c r="D258" s="19" t="s">
        <v>1532</v>
      </c>
      <c r="E258" s="15" t="s">
        <v>1541</v>
      </c>
      <c r="F258" s="7"/>
      <c r="G258" s="7"/>
      <c r="H258" s="19"/>
      <c r="I258" s="19"/>
    </row>
    <row r="259" spans="1:9">
      <c r="A259" s="1" t="s">
        <v>258</v>
      </c>
      <c r="B259" t="str">
        <f t="shared" si="37"/>
        <v>Obfuscate ●●●● | The Familiar Stranger</v>
      </c>
      <c r="D259" s="19" t="s">
        <v>1532</v>
      </c>
      <c r="E259" s="15" t="s">
        <v>1542</v>
      </c>
      <c r="F259" s="7"/>
      <c r="G259" s="7"/>
      <c r="H259" s="19"/>
      <c r="I259" s="19"/>
    </row>
    <row r="260" spans="1:9">
      <c r="A260" s="1" t="s">
        <v>259</v>
      </c>
      <c r="B260" t="str">
        <f t="shared" si="37"/>
        <v>Obfuscate ●●●●● | Oubliette</v>
      </c>
      <c r="D260" s="19" t="s">
        <v>1532</v>
      </c>
      <c r="E260" s="15" t="s">
        <v>1543</v>
      </c>
      <c r="F260" s="7"/>
      <c r="G260" s="7"/>
      <c r="H260" s="19"/>
      <c r="I260" s="19"/>
    </row>
    <row r="261" spans="1:9">
      <c r="A261" s="1" t="s">
        <v>260</v>
      </c>
      <c r="B261" t="str">
        <f t="shared" si="37"/>
        <v>Devotion  | Repulsive Mien</v>
      </c>
      <c r="D261" s="19" t="s">
        <v>1532</v>
      </c>
      <c r="E261" s="15" t="s">
        <v>1544</v>
      </c>
      <c r="F261" s="7"/>
      <c r="G261" s="7"/>
      <c r="H261" s="19"/>
      <c r="I261" s="19"/>
    </row>
    <row r="262" spans="1:9">
      <c r="A262" s="1" t="s">
        <v>261</v>
      </c>
      <c r="B262" t="str">
        <f t="shared" si="37"/>
        <v>Oath of Fealty ●</v>
      </c>
      <c r="D262" s="19" t="s">
        <v>1532</v>
      </c>
      <c r="E262" s="15" t="s">
        <v>1545</v>
      </c>
      <c r="F262" s="7"/>
      <c r="G262" s="7"/>
      <c r="H262" s="19"/>
      <c r="I262" s="19"/>
    </row>
    <row r="263" spans="1:9">
      <c r="A263" s="1" t="s">
        <v>262</v>
      </c>
      <c r="B263" t="str">
        <f t="shared" si="37"/>
        <v>Oath of the Hard Motherfucker ●●</v>
      </c>
      <c r="D263" s="19" t="s">
        <v>1532</v>
      </c>
      <c r="E263" s="15" t="s">
        <v>1546</v>
      </c>
      <c r="F263" s="7"/>
      <c r="G263" s="7"/>
      <c r="H263" s="19"/>
      <c r="I263" s="19"/>
    </row>
    <row r="264" spans="1:9">
      <c r="A264" s="1" t="s">
        <v>263</v>
      </c>
      <c r="B264" t="str">
        <f t="shared" si="37"/>
        <v>Oath of the Safe Word ●●</v>
      </c>
      <c r="D264" s="19" t="s">
        <v>1532</v>
      </c>
      <c r="E264" s="15" t="s">
        <v>1547</v>
      </c>
      <c r="F264" s="7"/>
      <c r="G264" s="7"/>
      <c r="H264" s="19"/>
      <c r="I264" s="19"/>
    </row>
    <row r="265" spans="1:9">
      <c r="A265" s="1" t="s">
        <v>264</v>
      </c>
      <c r="B265" t="str">
        <f t="shared" si="37"/>
        <v>Oath of the True Knight ●●●●</v>
      </c>
      <c r="D265" s="19" t="s">
        <v>1532</v>
      </c>
      <c r="E265" s="15" t="s">
        <v>1548</v>
      </c>
      <c r="F265" s="7"/>
      <c r="G265" s="7"/>
      <c r="H265" s="19"/>
      <c r="I265" s="19"/>
    </row>
    <row r="266" spans="1:9">
      <c r="A266" s="1" t="s">
        <v>265</v>
      </c>
      <c r="B266" t="str">
        <f t="shared" si="37"/>
        <v>¬</v>
      </c>
      <c r="D266" s="19" t="s">
        <v>1532</v>
      </c>
      <c r="E266" s="15" t="s">
        <v>1549</v>
      </c>
      <c r="F266" s="7"/>
      <c r="G266" s="7"/>
      <c r="H266" s="19"/>
      <c r="I266" s="19"/>
    </row>
    <row r="267" spans="1:9">
      <c r="A267" s="1" t="s">
        <v>266</v>
      </c>
      <c r="B267" t="str">
        <f t="shared" si="37"/>
        <v>¬</v>
      </c>
      <c r="D267" s="19" t="s">
        <v>1532</v>
      </c>
      <c r="E267" s="15" t="s">
        <v>1550</v>
      </c>
      <c r="F267" s="7"/>
      <c r="G267" s="7"/>
      <c r="H267" s="19"/>
      <c r="I267" s="19"/>
    </row>
    <row r="268" spans="1:9">
      <c r="A268" s="1" t="s">
        <v>267</v>
      </c>
      <c r="B268" t="str">
        <f t="shared" si="37"/>
        <v>¬</v>
      </c>
      <c r="D268" s="19" t="s">
        <v>1532</v>
      </c>
      <c r="E268" s="15" t="s">
        <v>1551</v>
      </c>
      <c r="F268" s="7"/>
      <c r="G268" s="7"/>
      <c r="H268" s="19"/>
      <c r="I268" s="19"/>
    </row>
    <row r="269" spans="1:9">
      <c r="A269" s="1" t="s">
        <v>268</v>
      </c>
      <c r="B269" t="str">
        <f t="shared" si="37"/>
        <v>¬</v>
      </c>
      <c r="D269" s="19" t="s">
        <v>1532</v>
      </c>
      <c r="E269" s="15" t="s">
        <v>1552</v>
      </c>
      <c r="F269" s="7"/>
      <c r="G269" s="7"/>
      <c r="H269" s="19"/>
      <c r="I269" s="19"/>
    </row>
    <row r="270" spans="1:9">
      <c r="A270" s="1" t="s">
        <v>269</v>
      </c>
      <c r="B270" t="str">
        <f t="shared" si="37"/>
        <v>¬</v>
      </c>
      <c r="D270" s="19" t="s">
        <v>1532</v>
      </c>
      <c r="E270" s="15" t="s">
        <v>1553</v>
      </c>
      <c r="F270" s="7"/>
      <c r="G270" s="7"/>
      <c r="H270" s="19"/>
      <c r="I270" s="19"/>
    </row>
    <row r="271" spans="1:9">
      <c r="A271" s="1" t="s">
        <v>270</v>
      </c>
      <c r="B271" t="str">
        <f t="shared" si="37"/>
        <v>¬</v>
      </c>
      <c r="D271" s="19" t="s">
        <v>1532</v>
      </c>
      <c r="E271" s="15" t="s">
        <v>1554</v>
      </c>
      <c r="F271" s="7"/>
      <c r="G271" s="7"/>
      <c r="H271" s="19"/>
      <c r="I271" s="19"/>
    </row>
    <row r="272" spans="1:9">
      <c r="A272" s="1" t="s">
        <v>271</v>
      </c>
      <c r="B272" t="str">
        <f t="shared" si="37"/>
        <v>¬</v>
      </c>
      <c r="D272" s="19" t="s">
        <v>1532</v>
      </c>
      <c r="E272" s="15" t="s">
        <v>1555</v>
      </c>
      <c r="F272" s="7"/>
      <c r="G272" s="7"/>
      <c r="H272" s="19"/>
      <c r="I272" s="19"/>
    </row>
    <row r="273" spans="1:14">
      <c r="A273" s="1" t="s">
        <v>272</v>
      </c>
      <c r="B273" t="str">
        <f t="shared" si="37"/>
        <v>¬</v>
      </c>
      <c r="D273" s="19" t="s">
        <v>1532</v>
      </c>
      <c r="E273" s="15" t="s">
        <v>1556</v>
      </c>
      <c r="F273" s="7"/>
      <c r="G273" s="7"/>
      <c r="H273" s="19"/>
      <c r="I273" s="19"/>
    </row>
    <row r="274" spans="1:14">
      <c r="A274" s="1" t="s">
        <v>273</v>
      </c>
      <c r="B274" t="str">
        <f t="shared" si="37"/>
        <v>¬</v>
      </c>
      <c r="D274" s="19" t="s">
        <v>1532</v>
      </c>
      <c r="E274" s="15" t="s">
        <v>1557</v>
      </c>
      <c r="F274" s="7"/>
      <c r="G274" s="7"/>
      <c r="H274" s="19"/>
      <c r="I274" s="19"/>
    </row>
    <row r="275" spans="1:14">
      <c r="A275" s="1" t="s">
        <v>274</v>
      </c>
      <c r="B275" t="str">
        <f t="shared" si="37"/>
        <v>¬</v>
      </c>
      <c r="D275" s="19" t="s">
        <v>1532</v>
      </c>
      <c r="E275" s="15" t="s">
        <v>1558</v>
      </c>
      <c r="F275" s="7"/>
      <c r="G275" s="7"/>
      <c r="H275" s="19"/>
      <c r="I275" s="19"/>
    </row>
    <row r="276" spans="1:14">
      <c r="A276" s="1" t="s">
        <v>275</v>
      </c>
      <c r="B276" t="str">
        <f t="shared" si="37"/>
        <v>¬</v>
      </c>
      <c r="D276" s="19" t="s">
        <v>1532</v>
      </c>
      <c r="E276" s="15" t="s">
        <v>1559</v>
      </c>
      <c r="F276" s="7"/>
      <c r="G276" s="7"/>
      <c r="H276" s="19"/>
      <c r="I276" s="19"/>
    </row>
    <row r="277" spans="1:14">
      <c r="A277" s="1" t="s">
        <v>276</v>
      </c>
      <c r="B277" t="str">
        <f t="shared" si="37"/>
        <v>¬</v>
      </c>
      <c r="D277" s="19" t="s">
        <v>1532</v>
      </c>
      <c r="E277" s="15" t="s">
        <v>1560</v>
      </c>
      <c r="F277" s="7"/>
      <c r="G277" s="7"/>
      <c r="H277" s="19"/>
      <c r="I277" s="19"/>
    </row>
    <row r="278" spans="1:14">
      <c r="A278" s="1" t="s">
        <v>277</v>
      </c>
      <c r="B278" t="str">
        <f t="shared" si="37"/>
        <v>¬</v>
      </c>
    </row>
    <row r="279" spans="1:14">
      <c r="A279" s="1" t="s">
        <v>278</v>
      </c>
      <c r="B279" t="str">
        <f t="shared" si="37"/>
        <v>¬</v>
      </c>
      <c r="D279" s="16" t="s">
        <v>1561</v>
      </c>
      <c r="E279" s="16"/>
      <c r="F279" s="16" t="s">
        <v>1347</v>
      </c>
      <c r="G279" s="16" t="s">
        <v>1348</v>
      </c>
      <c r="H279" s="16" t="s">
        <v>1349</v>
      </c>
      <c r="I279" s="16" t="s">
        <v>1350</v>
      </c>
      <c r="N279" s="60">
        <f ca="1">SUM(N280:N282)</f>
        <v>3</v>
      </c>
    </row>
    <row r="280" spans="1:14">
      <c r="A280" s="1" t="s">
        <v>279</v>
      </c>
      <c r="B280" t="str">
        <f t="shared" si="37"/>
        <v>¬</v>
      </c>
      <c r="D280" s="61" t="str" cm="1">
        <f t="array" aca="1" ref="D280" ca="1">INDEX(Attendance!$C$14:$GP$44,
       MATCH($F$4, Attendance!$C$14:$C$44, 0),
       MATCH(1, (Attendance!$C$12:$GP$12=$E280) * (Attendance!$C$13:$GP$13="Paid"), 0)
)</f>
        <v>Cash</v>
      </c>
      <c r="E280" s="41">
        <v>46054</v>
      </c>
      <c r="F280" s="61" cm="1">
        <f t="array" aca="1" ref="F280" ca="1">N(INDEX(Attendance!$C$14:$GP$104,
       MATCH($F$4, Attendance!$C$14:$C$104, 0),
       MATCH(1, (Attendance!$C$12:$GP$12=$E280) * (Attendance!$C$13:$GP$13=$F$279), 0)
))</f>
        <v>3</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0</v>
      </c>
      <c r="I280" s="61" t="str" cm="1">
        <f t="array" aca="1" ref="I280" ca="1">INDEX(Attendance!$C$14:$GP$44,
       MATCH($F$4, Attendance!$C$14:$C$44, 0),
       MATCH(1, (Attendance!$C$12:$GP$12=$E280) * (Attendance!$C$13:$GP$13=$I$279), 0)
)</f>
        <v>Quiet</v>
      </c>
      <c r="K280" s="18"/>
      <c r="L280" s="18"/>
      <c r="M280" s="18" t="s">
        <v>1562</v>
      </c>
      <c r="N280" s="61">
        <f ca="1">SUM(F$280:F$316)</f>
        <v>3</v>
      </c>
    </row>
    <row r="281" spans="1:14">
      <c r="A281" s="1" t="s">
        <v>280</v>
      </c>
      <c r="B281" t="str">
        <f t="shared" si="37"/>
        <v>¬</v>
      </c>
      <c r="D281" s="61" t="str" cm="1">
        <f t="array" aca="1" ref="D281" ca="1">INDEX(Attendance!$C$14:$GP$44,
       MATCH($F$4, Attendance!$C$14:$C$44, 0),
       MATCH(1, (Attendance!$C$12:$GP$12=$E281) * (Attendance!$C$13:$GP$13="Paid"), 0)
)</f>
        <v> </v>
      </c>
      <c r="E281" s="42">
        <f t="shared" ref="E281:E316" si="38">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7"/>
        <v>¬</v>
      </c>
      <c r="D282" s="61" t="str" cm="1">
        <f t="array" aca="1" ref="D282" ca="1">INDEX(Attendance!$C$14:$GP$44,
       MATCH($F$4, Attendance!$C$14:$C$44, 0),
       MATCH(1, (Attendance!$C$12:$GP$12=$E282) * (Attendance!$C$13:$GP$13="Paid"), 0)
)</f>
        <v> </v>
      </c>
      <c r="E282" s="42">
        <f t="shared" si="38"/>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0</v>
      </c>
    </row>
    <row r="283" spans="1:14">
      <c r="A283" s="1" t="s">
        <v>282</v>
      </c>
      <c r="B283" t="str">
        <f t="shared" si="37"/>
        <v>¬</v>
      </c>
      <c r="D283" s="61" t="str" cm="1">
        <f t="array" aca="1" ref="D283" ca="1">INDEX(Attendance!$C$14:$GP$44,
       MATCH($F$4, Attendance!$C$14:$C$44, 0),
       MATCH(1, (Attendance!$C$12:$GP$12=$E283) * (Attendance!$C$13:$GP$13="Paid"), 0)
)</f>
        <v> </v>
      </c>
      <c r="E283" s="42">
        <f t="shared" si="38"/>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9">IF(AE44="","¬",AE44)</f>
        <v>Cost: 1 V per effect  •  Pool: -  •  Reflexive  •  1 turn</v>
      </c>
      <c r="D284" s="61" t="str" cm="1">
        <f t="array" aca="1" ref="D284" ca="1">INDEX(Attendance!$C$14:$GP$44,
       MATCH($F$4, Attendance!$C$14:$C$44, 0),
       MATCH(1, (Attendance!$C$12:$GP$12=$E284) * (Attendance!$C$13:$GP$13="Paid"), 0)
)</f>
        <v> </v>
      </c>
      <c r="E284" s="42">
        <f t="shared" si="38"/>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9"/>
        <v>Cost: -  •  Pool: -  •  Instant  •  Scene</v>
      </c>
      <c r="D285" s="61" t="str" cm="1">
        <f t="array" aca="1" ref="D285" ca="1">INDEX(Attendance!$C$14:$GP$44,
       MATCH($F$4, Attendance!$C$14:$C$44, 0),
       MATCH(1, (Attendance!$C$12:$GP$12=$E285) * (Attendance!$C$13:$GP$13="Paid"), 0)
)</f>
        <v> </v>
      </c>
      <c r="E285" s="42">
        <f t="shared" si="38"/>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9"/>
        <v>Cost: -  •  Pool: -  •  Instant  •  Scene</v>
      </c>
      <c r="D286" s="61" t="str" cm="1">
        <f t="array" aca="1" ref="D286" ca="1">INDEX(Attendance!$C$14:$GP$44,
       MATCH($F$4, Attendance!$C$14:$C$44, 0),
       MATCH(1, (Attendance!$C$12:$GP$12=$E286) * (Attendance!$C$13:$GP$13="Paid"), 0)
)</f>
        <v> </v>
      </c>
      <c r="E286" s="42">
        <f t="shared" si="38"/>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9"/>
        <v>Cost: 1 V  •  Pool: 10  •  Instant  •  Scene</v>
      </c>
      <c r="D287" s="61" t="str" cm="1">
        <f t="array" aca="1" ref="D287" ca="1">INDEX(Attendance!$C$14:$GP$44,
       MATCH($F$4, Attendance!$C$14:$C$44, 0),
       MATCH(1, (Attendance!$C$12:$GP$12=$E287) * (Attendance!$C$13:$GP$13="Paid"), 0)
)</f>
        <v> </v>
      </c>
      <c r="E287" s="42">
        <f t="shared" si="38"/>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9"/>
        <v>Cost: 1 V  •  Pool: -  •  None</v>
      </c>
      <c r="D288" s="61" t="str" cm="1">
        <f t="array" aca="1" ref="D288" ca="1">INDEX(Attendance!$C$14:$GP$44,
       MATCH($F$4, Attendance!$C$14:$C$44, 0),
       MATCH(1, (Attendance!$C$12:$GP$12=$E288) * (Attendance!$C$13:$GP$13="Paid"), 0)
)</f>
        <v> </v>
      </c>
      <c r="E288" s="42">
        <f t="shared" si="38"/>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9"/>
        <v>Cost: 2 V  •  Pool: -  •  None</v>
      </c>
      <c r="D289" s="61" t="str" cm="1">
        <f t="array" aca="1" ref="D289" ca="1">INDEX(Attendance!$C$14:$GP$44,
       MATCH($F$4, Attendance!$C$14:$C$44, 0),
       MATCH(1, (Attendance!$C$12:$GP$12=$E289) * (Attendance!$C$13:$GP$13="Paid"), 0)
)</f>
        <v> </v>
      </c>
      <c r="E289" s="42">
        <f t="shared" si="38"/>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9"/>
        <v>Cost: Free (Haven) / 3-9 V &amp; 1 WP  •  Pool: -  •  Instant  •  1 week per BP</v>
      </c>
      <c r="D290" s="61" t="str" cm="1">
        <f t="array" aca="1" ref="D290" ca="1">INDEX(Attendance!$C$14:$GP$44,
       MATCH($F$4, Attendance!$C$14:$C$44, 0),
       MATCH(1, (Attendance!$C$12:$GP$12=$E290) * (Attendance!$C$13:$GP$13="Paid"), 0)
)</f>
        <v> </v>
      </c>
      <c r="E290" s="42">
        <f t="shared" si="38"/>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9"/>
        <v>Cost: 1 V (Order of Sir Martin Only); only affects other Leper Knights with concrete reasons for mistrust  •  Pool: -  •  Reflexive  •  Scene</v>
      </c>
      <c r="D291" s="61" t="str" cm="1">
        <f t="array" aca="1" ref="D291" ca="1">INDEX(Attendance!$C$14:$GP$44,
       MATCH($F$4, Attendance!$C$14:$C$44, 0),
       MATCH(1, (Attendance!$C$12:$GP$12=$E291) * (Attendance!$C$13:$GP$13="Paid"), 0)
)</f>
        <v> </v>
      </c>
      <c r="E291" s="42">
        <f t="shared" si="38"/>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9"/>
        <v>¬</v>
      </c>
      <c r="D292" s="61" t="str" cm="1">
        <f t="array" aca="1" ref="D292" ca="1">INDEX(Attendance!$C$14:$GP$44,
       MATCH($F$4, Attendance!$C$14:$C$44, 0),
       MATCH(1, (Attendance!$C$12:$GP$12=$E292) * (Attendance!$C$13:$GP$13="Paid"), 0)
)</f>
        <v> </v>
      </c>
      <c r="E292" s="42">
        <f t="shared" si="38"/>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9"/>
        <v>¬</v>
      </c>
      <c r="D293" s="61" t="str" cm="1">
        <f t="array" aca="1" ref="D293" ca="1">INDEX(Attendance!$C$14:$GP$44,
       MATCH($F$4, Attendance!$C$14:$C$44, 0),
       MATCH(1, (Attendance!$C$12:$GP$12=$E293) * (Attendance!$C$13:$GP$13="Paid"), 0)
)</f>
        <v> </v>
      </c>
      <c r="E293" s="42">
        <f t="shared" si="38"/>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9"/>
        <v>¬</v>
      </c>
      <c r="D294" s="61" t="str" cm="1">
        <f t="array" aca="1" ref="D294" ca="1">INDEX(Attendance!$C$14:$GP$44,
       MATCH($F$4, Attendance!$C$14:$C$44, 0),
       MATCH(1, (Attendance!$C$12:$GP$12=$E294) * (Attendance!$C$13:$GP$13="Paid"), 0)
)</f>
        <v> </v>
      </c>
      <c r="E294" s="42">
        <f t="shared" si="38"/>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9"/>
        <v>¬</v>
      </c>
      <c r="D295" s="61" t="str" cm="1">
        <f t="array" aca="1" ref="D295" ca="1">INDEX(Attendance!$C$14:$GP$44,
       MATCH($F$4, Attendance!$C$14:$C$44, 0),
       MATCH(1, (Attendance!$C$12:$GP$12=$E295) * (Attendance!$C$13:$GP$13="Paid"), 0)
)</f>
        <v> </v>
      </c>
      <c r="E295" s="42">
        <f t="shared" si="38"/>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9"/>
        <v>¬</v>
      </c>
      <c r="D296" s="61" t="str" cm="1">
        <f t="array" aca="1" ref="D296" ca="1">INDEX(Attendance!$C$14:$GP$44,
       MATCH($F$4, Attendance!$C$14:$C$44, 0),
       MATCH(1, (Attendance!$C$12:$GP$12=$E296) * (Attendance!$C$13:$GP$13="Paid"), 0)
)</f>
        <v> </v>
      </c>
      <c r="E296" s="42">
        <f t="shared" si="38"/>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9"/>
        <v>¬</v>
      </c>
      <c r="D297" s="61" t="str" cm="1">
        <f t="array" aca="1" ref="D297" ca="1">INDEX(Attendance!$C$14:$GP$44,
       MATCH($F$4, Attendance!$C$14:$C$44, 0),
       MATCH(1, (Attendance!$C$12:$GP$12=$E297) * (Attendance!$C$13:$GP$13="Paid"), 0)
)</f>
        <v> </v>
      </c>
      <c r="E297" s="42">
        <f t="shared" si="38"/>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9"/>
        <v>¬</v>
      </c>
      <c r="D298" s="61" t="str" cm="1">
        <f t="array" aca="1" ref="D298" ca="1">INDEX(Attendance!$C$14:$GP$44,
       MATCH($F$4, Attendance!$C$14:$C$44, 0),
       MATCH(1, (Attendance!$C$12:$GP$12=$E298) * (Attendance!$C$13:$GP$13="Paid"), 0)
)</f>
        <v> </v>
      </c>
      <c r="E298" s="42">
        <f t="shared" si="38"/>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9"/>
        <v>¬</v>
      </c>
      <c r="D299" s="61" t="str" cm="1">
        <f t="array" aca="1" ref="D299" ca="1">INDEX(Attendance!$C$14:$GP$44,
       MATCH($F$4, Attendance!$C$14:$C$44, 0),
       MATCH(1, (Attendance!$C$12:$GP$12=$E299) * (Attendance!$C$13:$GP$13="Paid"), 0)
)</f>
        <v> </v>
      </c>
      <c r="E299" s="42">
        <f t="shared" si="38"/>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9"/>
        <v>¬</v>
      </c>
      <c r="D300" s="61" t="str" cm="1">
        <f t="array" aca="1" ref="D300" ca="1">INDEX(Attendance!$C$14:$GP$44,
       MATCH($F$4, Attendance!$C$14:$C$44, 0),
       MATCH(1, (Attendance!$C$12:$GP$12=$E300) * (Attendance!$C$13:$GP$13="Paid"), 0)
)</f>
        <v> </v>
      </c>
      <c r="E300" s="42">
        <f t="shared" si="38"/>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9"/>
        <v>¬</v>
      </c>
      <c r="D301" s="61" t="str" cm="1">
        <f t="array" aca="1" ref="D301" ca="1">INDEX(Attendance!$C$14:$GP$44,
       MATCH($F$4, Attendance!$C$14:$C$44, 0),
       MATCH(1, (Attendance!$C$12:$GP$12=$E301) * (Attendance!$C$13:$GP$13="Paid"), 0)
)</f>
        <v> </v>
      </c>
      <c r="E301" s="42">
        <f t="shared" si="38"/>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9"/>
        <v>¬</v>
      </c>
      <c r="D302" s="61" t="str" cm="1">
        <f t="array" aca="1" ref="D302" ca="1">INDEX(Attendance!$C$14:$GP$44,
       MATCH($F$4, Attendance!$C$14:$C$44, 0),
       MATCH(1, (Attendance!$C$12:$GP$12=$E302) * (Attendance!$C$13:$GP$13="Paid"), 0)
)</f>
        <v> </v>
      </c>
      <c r="E302" s="42">
        <f t="shared" si="38"/>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9"/>
        <v>¬</v>
      </c>
      <c r="D303" s="61" t="str" cm="1">
        <f t="array" aca="1" ref="D303" ca="1">INDEX(Attendance!$C$14:$GP$44,
       MATCH($F$4, Attendance!$C$14:$C$44, 0),
       MATCH(1, (Attendance!$C$12:$GP$12=$E303) * (Attendance!$C$13:$GP$13="Paid"), 0)
)</f>
        <v> </v>
      </c>
      <c r="E303" s="42">
        <f t="shared" si="38"/>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9"/>
        <v>¬</v>
      </c>
      <c r="D304" s="61" t="str" cm="1">
        <f t="array" aca="1" ref="D304" ca="1">INDEX(Attendance!$C$14:$GP$44,
       MATCH($F$4, Attendance!$C$14:$C$44, 0),
       MATCH(1, (Attendance!$C$12:$GP$12=$E304) * (Attendance!$C$13:$GP$13="Paid"), 0)
)</f>
        <v> </v>
      </c>
      <c r="E304" s="42">
        <f t="shared" si="38"/>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9"/>
        <v>¬</v>
      </c>
      <c r="D305" s="61" t="str" cm="1">
        <f t="array" aca="1" ref="D305" ca="1">INDEX(Attendance!$C$14:$GP$44,
       MATCH($F$4, Attendance!$C$14:$C$44, 0),
       MATCH(1, (Attendance!$C$12:$GP$12=$E305) * (Attendance!$C$13:$GP$13="Paid"), 0)
)</f>
        <v> </v>
      </c>
      <c r="E305" s="42">
        <f t="shared" si="38"/>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9"/>
        <v>¬</v>
      </c>
      <c r="D306" s="61" t="str" cm="1">
        <f t="array" aca="1" ref="D306" ca="1">INDEX(Attendance!$C$14:$GP$44,
       MATCH($F$4, Attendance!$C$14:$C$44, 0),
       MATCH(1, (Attendance!$C$12:$GP$12=$E306) * (Attendance!$C$13:$GP$13="Paid"), 0)
)</f>
        <v> </v>
      </c>
      <c r="E306" s="42">
        <f t="shared" si="38"/>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9"/>
        <v>¬</v>
      </c>
      <c r="D307" s="61" t="str" cm="1">
        <f t="array" aca="1" ref="D307" ca="1">INDEX(Attendance!$C$14:$GP$44,
       MATCH($F$4, Attendance!$C$14:$C$44, 0),
       MATCH(1, (Attendance!$C$12:$GP$12=$E307) * (Attendance!$C$13:$GP$13="Paid"), 0)
)</f>
        <v> </v>
      </c>
      <c r="E307" s="42">
        <f t="shared" si="38"/>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9"/>
        <v>¬</v>
      </c>
      <c r="D308" s="61" t="str" cm="1">
        <f t="array" aca="1" ref="D308" ca="1">INDEX(Attendance!$C$14:$GP$44,
       MATCH($F$4, Attendance!$C$14:$C$44, 0),
       MATCH(1, (Attendance!$C$12:$GP$12=$E308) * (Attendance!$C$13:$GP$13="Paid"), 0)
)</f>
        <v> </v>
      </c>
      <c r="E308" s="42">
        <f t="shared" si="38"/>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9"/>
        <v>¬</v>
      </c>
      <c r="D309" s="61" t="str" cm="1">
        <f t="array" aca="1" ref="D309" ca="1">INDEX(Attendance!$C$14:$GP$44,
       MATCH($F$4, Attendance!$C$14:$C$44, 0),
       MATCH(1, (Attendance!$C$12:$GP$12=$E309) * (Attendance!$C$13:$GP$13="Paid"), 0)
)</f>
        <v> </v>
      </c>
      <c r="E309" s="42">
        <f t="shared" si="38"/>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9"/>
        <v>¬</v>
      </c>
      <c r="D310" s="61" t="str" cm="1">
        <f t="array" aca="1" ref="D310" ca="1">INDEX(Attendance!$C$14:$GP$44,
       MATCH($F$4, Attendance!$C$14:$C$44, 0),
       MATCH(1, (Attendance!$C$12:$GP$12=$E310) * (Attendance!$C$13:$GP$13="Paid"), 0)
)</f>
        <v> </v>
      </c>
      <c r="E310" s="42">
        <f t="shared" si="38"/>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9"/>
        <v>¬</v>
      </c>
      <c r="D311" s="61" t="str" cm="1">
        <f t="array" aca="1" ref="D311" ca="1">INDEX(Attendance!$C$14:$GP$44,
       MATCH($F$4, Attendance!$C$14:$C$44, 0),
       MATCH(1, (Attendance!$C$12:$GP$12=$E311) * (Attendance!$C$13:$GP$13="Paid"), 0)
)</f>
        <v> </v>
      </c>
      <c r="E311" s="42">
        <f t="shared" si="38"/>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9"/>
        <v>¬</v>
      </c>
      <c r="D312" s="61" t="str" cm="1">
        <f t="array" aca="1" ref="D312" ca="1">INDEX(Attendance!$C$14:$GP$44,
       MATCH($F$4, Attendance!$C$14:$C$44, 0),
       MATCH(1, (Attendance!$C$12:$GP$12=$E312) * (Attendance!$C$13:$GP$13="Paid"), 0)
)</f>
        <v> </v>
      </c>
      <c r="E312" s="42">
        <f t="shared" si="38"/>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9"/>
        <v>¬</v>
      </c>
      <c r="D313" s="61" t="str" cm="1">
        <f t="array" aca="1" ref="D313" ca="1">INDEX(Attendance!$C$14:$GP$44,
       MATCH($F$4, Attendance!$C$14:$C$44, 0),
       MATCH(1, (Attendance!$C$12:$GP$12=$E313) * (Attendance!$C$13:$GP$13="Paid"), 0)
)</f>
        <v> </v>
      </c>
      <c r="E313" s="42">
        <f t="shared" si="38"/>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40">IF(AF44="","¬",AF44)</f>
        <v>Persistent improved Defence or Dodge. Activate for supernatural speed benefits. Unnatural Grace: add Celerity dots as bonus dice to non-combat speed-based pools.</v>
      </c>
      <c r="D314" s="61" t="str" cm="1">
        <f t="array" aca="1" ref="D314" ca="1">INDEX(Attendance!$C$14:$GP$44,
       MATCH($F$4, Attendance!$C$14:$C$44, 0),
       MATCH(1, (Attendance!$C$12:$GP$12=$E314) * (Attendance!$C$13:$GP$13="Paid"), 0)
)</f>
        <v> </v>
      </c>
      <c r="E314" s="42">
        <f t="shared" si="38"/>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40"/>
        <v>Conjure brief illusions. Improve Intimidation. Prevent foes spending Willpower.</v>
      </c>
      <c r="D315" s="61" t="str" cm="1">
        <f t="array" aca="1" ref="D315" ca="1">INDEX(Attendance!$C$14:$GP$44,
       MATCH($F$4, Attendance!$C$14:$C$44, 0),
       MATCH(1, (Attendance!$C$12:$GP$12=$E315) * (Attendance!$C$13:$GP$13="Paid"), 0)
)</f>
        <v> </v>
      </c>
      <c r="E315" s="42">
        <f t="shared" si="38"/>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40"/>
        <v>Blend into surroundings, visible but unnoticeable. Predatory aura fully on or off. Leaving combat: Wits + Composure - Obfuscate to notice; auto Clash of Wills vs Auspex.</v>
      </c>
      <c r="D316" s="61" t="str" cm="1">
        <f t="array" aca="1" ref="D316" ca="1">INDEX(Attendance!$C$14:$GP$44,
       MATCH($F$4, Attendance!$C$14:$C$44, 0),
       MATCH(1, (Attendance!$C$12:$GP$12=$E316) * (Attendance!$C$13:$GP$13="Paid"), 0)
)</f>
        <v> </v>
      </c>
      <c r="E316" s="42">
        <f t="shared" si="38"/>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40"/>
        <v>Cast Face in the Crowd on object or person. Free and unlimited duration on carried/worn objects if not drawing attention.</v>
      </c>
    </row>
    <row r="318" spans="1:9">
      <c r="A318" s="1" t="s">
        <v>317</v>
      </c>
      <c r="B318" t="str">
        <f t="shared" si="40"/>
        <v>Become invisible. Leaving combat: auto Clash of Wills vs Auspex 2.</v>
      </c>
    </row>
    <row r="319" spans="1:9">
      <c r="A319" s="1" t="s">
        <v>318</v>
      </c>
      <c r="B319" t="str">
        <f t="shared" si="40"/>
        <v>Disguise self or other as a desired person. Free unlimited duration to reskin carried/worn objects, but no equipment bonus without Vitae.</v>
      </c>
    </row>
    <row r="320" spans="1:9">
      <c r="A320" s="1" t="s">
        <v>319</v>
      </c>
      <c r="B320" t="str">
        <f t="shared" si="40"/>
        <v>Always active on Haven/Safe Place at no cost. Further uses at standard cost. Use Obfuscate at distance on anything in area.</v>
      </c>
    </row>
    <row r="321" spans="1:2">
      <c r="A321" s="1" t="s">
        <v>320</v>
      </c>
      <c r="B321" t="str">
        <f t="shared" si="40"/>
        <v>As Dread Presence but -3 to all actions against the Knight. Targets cannot spend WP to enhance actions against Knight. Victims can lash out with Beast to end the effect. Reflexive brief illusions affecting Knight's person (narrative only).</v>
      </c>
    </row>
    <row r="322" spans="1:2">
      <c r="A322" s="1" t="s">
        <v>321</v>
      </c>
      <c r="B322" t="str">
        <f t="shared" si="40"/>
        <v>Draw Invictus Status in Vitae weekly from liege without feeding. Liege knows when you lie.</v>
      </c>
    </row>
    <row r="323" spans="1:2">
      <c r="A323" s="1" t="s">
        <v>322</v>
      </c>
      <c r="B323" t="str">
        <f t="shared" si="40"/>
        <v>Kill a Carthian or oathbreaker for Invictus Status 1, Friends in High Places 1, 9-Again on two Skills, and Allies/Contacts/Resources 1. All stripped if broken.</v>
      </c>
    </row>
    <row r="324" spans="1:2">
      <c r="A324" s="1" t="s">
        <v>323</v>
      </c>
      <c r="B324" t="str">
        <f t="shared" si="40"/>
        <v>Share Willpower and one Social Merit with oath partner. Either can end to briefly paralyse the other.</v>
      </c>
    </row>
    <row r="325" spans="1:2">
      <c r="A325" s="1" t="s">
        <v>324</v>
      </c>
      <c r="B325" t="str">
        <f t="shared" si="40"/>
        <v>Impartial covenant defender. Can't consume Vitae from any source; can't be woken from torpor by blood. Invictus Status protects from mental Disciplines and Kindred/ghoul attacks.</v>
      </c>
    </row>
    <row r="326" spans="1:2">
      <c r="A326" s="1" t="s">
        <v>325</v>
      </c>
      <c r="B326" t="str">
        <f t="shared" si="40"/>
        <v>¬</v>
      </c>
    </row>
    <row r="327" spans="1:2">
      <c r="A327" s="1" t="s">
        <v>326</v>
      </c>
      <c r="B327" t="str">
        <f t="shared" si="40"/>
        <v>¬</v>
      </c>
    </row>
    <row r="328" spans="1:2">
      <c r="A328" s="1" t="s">
        <v>327</v>
      </c>
      <c r="B328" t="str">
        <f t="shared" si="40"/>
        <v>¬</v>
      </c>
    </row>
    <row r="329" spans="1:2">
      <c r="A329" s="1" t="s">
        <v>328</v>
      </c>
      <c r="B329" t="str">
        <f t="shared" si="40"/>
        <v>¬</v>
      </c>
    </row>
    <row r="330" spans="1:2">
      <c r="A330" s="1" t="s">
        <v>329</v>
      </c>
      <c r="B330" t="str">
        <f t="shared" si="40"/>
        <v>¬</v>
      </c>
    </row>
    <row r="331" spans="1:2">
      <c r="A331" s="1" t="s">
        <v>330</v>
      </c>
      <c r="B331" t="str">
        <f t="shared" si="40"/>
        <v>¬</v>
      </c>
    </row>
    <row r="332" spans="1:2">
      <c r="A332" s="1" t="s">
        <v>331</v>
      </c>
      <c r="B332" t="str">
        <f t="shared" si="40"/>
        <v>¬</v>
      </c>
    </row>
    <row r="333" spans="1:2">
      <c r="A333" s="1" t="s">
        <v>332</v>
      </c>
      <c r="B333" t="str">
        <f t="shared" si="40"/>
        <v>¬</v>
      </c>
    </row>
    <row r="334" spans="1:2">
      <c r="A334" s="1" t="s">
        <v>333</v>
      </c>
      <c r="B334" t="str">
        <f t="shared" si="40"/>
        <v>¬</v>
      </c>
    </row>
    <row r="335" spans="1:2">
      <c r="A335" s="1" t="s">
        <v>334</v>
      </c>
      <c r="B335" t="str">
        <f t="shared" si="40"/>
        <v>¬</v>
      </c>
    </row>
    <row r="336" spans="1:2">
      <c r="A336" s="1" t="s">
        <v>335</v>
      </c>
      <c r="B336" t="str">
        <f t="shared" si="40"/>
        <v>¬</v>
      </c>
    </row>
    <row r="337" spans="1:2">
      <c r="A337" s="1" t="s">
        <v>336</v>
      </c>
      <c r="B337" t="str">
        <f t="shared" si="40"/>
        <v>¬</v>
      </c>
    </row>
    <row r="338" spans="1:2">
      <c r="A338" s="1" t="s">
        <v>337</v>
      </c>
      <c r="B338" t="str">
        <f t="shared" si="40"/>
        <v>¬</v>
      </c>
    </row>
    <row r="339" spans="1:2">
      <c r="A339" s="1" t="s">
        <v>338</v>
      </c>
      <c r="B339" t="str">
        <f t="shared" si="40"/>
        <v>¬</v>
      </c>
    </row>
    <row r="340" spans="1:2">
      <c r="A340" s="1" t="s">
        <v>339</v>
      </c>
      <c r="B340" t="str">
        <f t="shared" si="40"/>
        <v>¬</v>
      </c>
    </row>
    <row r="341" spans="1:2">
      <c r="A341" s="1" t="s">
        <v>340</v>
      </c>
      <c r="B341" t="str">
        <f t="shared" si="40"/>
        <v>¬</v>
      </c>
    </row>
    <row r="342" spans="1:2">
      <c r="A342" s="1" t="s">
        <v>341</v>
      </c>
      <c r="B342" t="str">
        <f t="shared" si="40"/>
        <v>¬</v>
      </c>
    </row>
    <row r="343" spans="1:2">
      <c r="A343" s="1" t="s">
        <v>342</v>
      </c>
      <c r="B343" t="str">
        <f t="shared" si="40"/>
        <v>¬</v>
      </c>
    </row>
    <row r="344" spans="1:2">
      <c r="A344" s="1" t="s">
        <v>343</v>
      </c>
      <c r="B344" s="8" t="str">
        <f>IF(VLOOKUP(tblCharDataCharlie[[#This Row],[Field]],$E$2:$F$361,2,FALSE)="","¬",VLOOKUP(tblCharDataCharlie[[#This Row],[Field]],$E$2:$F$361,2,FALSE))</f>
        <v>Lonely Curse</v>
      </c>
    </row>
    <row r="345" spans="1:2">
      <c r="A345" s="1" t="s">
        <v>344</v>
      </c>
      <c r="B345" s="8" t="str">
        <f>IF(VLOOKUP(tblCharDataCharlie[[#This Row],[Field]],$E$2:$F$361,2,FALSE)="","¬",VLOOKUP(tblCharDataCharlie[[#This Row],[Field]],$E$2:$F$361,2,FALSE))</f>
        <v>¬</v>
      </c>
    </row>
    <row r="346" spans="1:2">
      <c r="A346" s="1" t="s">
        <v>345</v>
      </c>
      <c r="B346" s="8" t="str">
        <f>IF(VLOOKUP(tblCharDataCharlie[[#This Row],[Field]],$E$2:$F$361,2,FALSE)="","¬",VLOOKUP(tblCharDataCharlie[[#This Row],[Field]],$E$2:$F$361,2,FALSE))</f>
        <v>Rat King/Queen</v>
      </c>
    </row>
    <row r="347" spans="1:2">
      <c r="A347" s="1" t="s">
        <v>346</v>
      </c>
      <c r="B347" s="8" t="str">
        <f>IF(VLOOKUP(tblCharDataCharlie[[#This Row],[Field]],$E$2:$F$361,2,FALSE)="","¬",VLOOKUP(tblCharDataCharlie[[#This Row],[Field]],$E$2:$F$361,2,FALSE))</f>
        <v>¬</v>
      </c>
    </row>
    <row r="348" spans="1:2">
      <c r="A348" s="1" t="s">
        <v>347</v>
      </c>
      <c r="B348" s="8" t="str">
        <f>IF(VLOOKUP(tblCharDataCharlie[[#This Row],[Field]],$E$2:$F$361,2,FALSE)="","¬",VLOOKUP(tblCharDataCharlie[[#This Row],[Field]],$E$2:$F$361,2,FALSE))</f>
        <v>¬</v>
      </c>
    </row>
    <row r="349" spans="1:2">
      <c r="A349" s="1" t="s">
        <v>348</v>
      </c>
      <c r="B349" t="str">
        <f>_xlfn.IFNA(VLOOKUP(B344,$F$234:$I$238,3,FALSE),"")</f>
        <v>With mortals, Humanity counts –2; Presence/Manipulation failures become dramatic failures. Intimidation and Subterfuge unaffected.</v>
      </c>
    </row>
    <row r="350" spans="1:2">
      <c r="A350" s="1" t="s">
        <v>349</v>
      </c>
      <c r="B350" t="str">
        <f>_xlfn.IFNA(VLOOKUP(B345,$F$234:$I$238,3,FALSE),"¬")</f>
        <v>¬</v>
      </c>
    </row>
    <row r="351" spans="1:2">
      <c r="A351" s="1" t="s">
        <v>350</v>
      </c>
      <c r="B351" t="str">
        <f>_xlfn.IFNA(VLOOKUP(B346,$F$234:$I$238,3,FALSE),"")</f>
        <v>Surrounded by vermin; all Social rolls fail except Intimidation; WP can dismiss.</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11</v>
      </c>
    </row>
    <row r="356" spans="1:2">
      <c r="A356" s="1" t="s">
        <v>355</v>
      </c>
      <c r="B356">
        <f ca="1">P220</f>
        <v>5</v>
      </c>
    </row>
    <row r="357" spans="1:2">
      <c r="A357" s="1" t="s">
        <v>356</v>
      </c>
      <c r="B357" t="str">
        <f>IF(F10="","¬",VLOOKUP(F10,tblAnchors[],2,FALSE))</f>
        <v>Choose an obviously disadvantageous path because it fits with protocol.</v>
      </c>
    </row>
    <row r="358" spans="1:2">
      <c r="A358" s="1" t="s">
        <v>357</v>
      </c>
      <c r="B358" t="str">
        <f>IF(F10="","¬",VLOOKUP(F10,tblAnchors[],3,FALSE))</f>
        <v>Stand by the losing side with shield at the ready, because it is your side.</v>
      </c>
    </row>
    <row r="359" spans="1:2">
      <c r="A359" s="1" t="s">
        <v>358</v>
      </c>
      <c r="B359" t="str">
        <f>IF(F11="","¬",VLOOKUP(F11,tblAnchors[],2,FALSE))</f>
        <v>Openly flout a tradition.</v>
      </c>
    </row>
    <row r="360" spans="1:2">
      <c r="A360" s="1" t="s">
        <v>359</v>
      </c>
      <c r="B360" t="str">
        <f>IF(F11="","¬",VLOOKUP(F11,tblAnchors[],3,FALSE))</f>
        <v>Openly flout a Kindred Tradition or a covenant taboo.</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indeterminate</v>
      </c>
    </row>
    <row r="365" spans="1:2">
      <c r="A365" s="1" t="s">
        <v>364</v>
      </c>
      <c r="B365" t="str">
        <f>_xlfn.LET(_xlpm.a,IF(F244="","",F244),_xlpm.b,IF(F245="","",F245),IF(AND(_xlpm.a&lt;&gt;"",_xlpm.b&lt;&gt;""),_xlpm.a&amp;", "&amp;_xlpm.b,IF(_xlpm.a&lt;&gt;"",_xlpm.a,IF(_xlpm.b&lt;&gt;"",_xlpm.b,""))))</f>
        <v/>
      </c>
    </row>
  </sheetData>
  <mergeCells count="89">
    <mergeCell ref="F244:I244"/>
    <mergeCell ref="F240:I240"/>
    <mergeCell ref="F241:I241"/>
    <mergeCell ref="F242:I242"/>
    <mergeCell ref="H214:I214"/>
    <mergeCell ref="H215:I215"/>
    <mergeCell ref="H234:I234"/>
    <mergeCell ref="H236:I236"/>
    <mergeCell ref="H237:I237"/>
    <mergeCell ref="H238:I238"/>
    <mergeCell ref="H213:I213"/>
    <mergeCell ref="H178:I178"/>
    <mergeCell ref="H179:I179"/>
    <mergeCell ref="H180:I180"/>
    <mergeCell ref="H181:I181"/>
    <mergeCell ref="H206:I206"/>
    <mergeCell ref="H207:I207"/>
    <mergeCell ref="H208:I208"/>
    <mergeCell ref="H209:I209"/>
    <mergeCell ref="H210:I210"/>
    <mergeCell ref="H211:I211"/>
    <mergeCell ref="H212:I212"/>
    <mergeCell ref="H177:I177"/>
    <mergeCell ref="H147:I147"/>
    <mergeCell ref="H148:I148"/>
    <mergeCell ref="H149:I149"/>
    <mergeCell ref="H150:I150"/>
    <mergeCell ref="H151:I151"/>
    <mergeCell ref="H152:I152"/>
    <mergeCell ref="H153:I153"/>
    <mergeCell ref="H154:I154"/>
    <mergeCell ref="H155:I155"/>
    <mergeCell ref="H156:I156"/>
    <mergeCell ref="H157:I157"/>
    <mergeCell ref="H146:I146"/>
    <mergeCell ref="H118:I118"/>
    <mergeCell ref="H119:I119"/>
    <mergeCell ref="H120:I120"/>
    <mergeCell ref="H138:I138"/>
    <mergeCell ref="H139:I139"/>
    <mergeCell ref="H140:I140"/>
    <mergeCell ref="H141:I141"/>
    <mergeCell ref="H142:I142"/>
    <mergeCell ref="H143:I143"/>
    <mergeCell ref="H144:I144"/>
    <mergeCell ref="H145:I145"/>
    <mergeCell ref="H117:I117"/>
    <mergeCell ref="H106:I106"/>
    <mergeCell ref="H107:I107"/>
    <mergeCell ref="H108:I108"/>
    <mergeCell ref="H109:I109"/>
    <mergeCell ref="H110:I110"/>
    <mergeCell ref="H111:I111"/>
    <mergeCell ref="H112:I112"/>
    <mergeCell ref="H113:I113"/>
    <mergeCell ref="H114:I114"/>
    <mergeCell ref="H115:I115"/>
    <mergeCell ref="H116:I116"/>
    <mergeCell ref="H88:I88"/>
    <mergeCell ref="H89:I89"/>
    <mergeCell ref="H90:I90"/>
    <mergeCell ref="H105:I105"/>
    <mergeCell ref="H92:I92"/>
    <mergeCell ref="H93:I93"/>
    <mergeCell ref="H94:I94"/>
    <mergeCell ref="H95:I95"/>
    <mergeCell ref="H96:I96"/>
    <mergeCell ref="H97:I97"/>
    <mergeCell ref="H98:I98"/>
    <mergeCell ref="H101:I101"/>
    <mergeCell ref="H102:I102"/>
    <mergeCell ref="H103:I103"/>
    <mergeCell ref="H104:I104"/>
    <mergeCell ref="F245:I245"/>
    <mergeCell ref="H79:I79"/>
    <mergeCell ref="O8:P8"/>
    <mergeCell ref="O9:P9"/>
    <mergeCell ref="O10:P10"/>
    <mergeCell ref="O11:P11"/>
    <mergeCell ref="O12:P12"/>
    <mergeCell ref="H91:I91"/>
    <mergeCell ref="H80:I80"/>
    <mergeCell ref="H81:I81"/>
    <mergeCell ref="H82:I82"/>
    <mergeCell ref="H83:I83"/>
    <mergeCell ref="H84:I84"/>
    <mergeCell ref="H85:I85"/>
    <mergeCell ref="H86:I86"/>
    <mergeCell ref="H87:I87"/>
  </mergeCells>
  <dataValidations count="15">
    <dataValidation type="list" allowBlank="1" showInputMessage="1" showErrorMessage="1" sqref="F79:F98" xr:uid="{F1BC66A7-6837-42AB-973F-0ACD4B83315E}">
      <formula1>lstMerits</formula1>
    </dataValidation>
    <dataValidation type="list" allowBlank="1" showInputMessage="1" showErrorMessage="1" sqref="F236:F238" xr:uid="{34557582-E8A5-432E-A61D-45BD19CFFDF3}">
      <formula1>lstBanes</formula1>
    </dataValidation>
    <dataValidation type="list" allowBlank="1" showInputMessage="1" showErrorMessage="1" sqref="F206:F215" xr:uid="{E9317714-6347-45A1-8D83-320671517DB6}">
      <formula1>lstPacts</formula1>
    </dataValidation>
    <dataValidation type="list" allowBlank="1" showInputMessage="1" showErrorMessage="1" sqref="G12:G13" xr:uid="{F6C5F8A3-ED1B-4A8F-8882-BCE32C8EC14D}">
      <formula1>lstStatus</formula1>
    </dataValidation>
    <dataValidation type="list" allowBlank="1" showInputMessage="1" showErrorMessage="1" sqref="F194:F205 F207:F215" xr:uid="{BF2A0C7A-1EEA-43F7-81F6-04A1E0C75341}">
      <formula1>lstRites</formula1>
    </dataValidation>
    <dataValidation type="list" allowBlank="1" showInputMessage="1" showErrorMessage="1" sqref="F177:F181" xr:uid="{B8C9FED2-9398-49AF-9ED8-87332A32486F}">
      <formula1>lstDevotions</formula1>
    </dataValidation>
    <dataValidation type="list" allowBlank="1" showInputMessage="1" showErrorMessage="1" sqref="F17:F21" xr:uid="{18A67673-721D-43EC-A7ED-A95B5C4BD368}">
      <formula1>"TRUE,FALSE"</formula1>
    </dataValidation>
    <dataValidation type="list" allowBlank="1" showInputMessage="1" showErrorMessage="1" sqref="F24" xr:uid="{F08CB838-7AC3-42D5-85F0-7BD063A8B0E2}">
      <formula1>$D$7:$D$8</formula1>
    </dataValidation>
    <dataValidation type="list" allowBlank="1" showInputMessage="1" showErrorMessage="1" sqref="I35 I41 I51 I25 I30 I61" xr:uid="{9559B740-0231-4A73-9096-70ABD2C46C07}">
      <formula1>lstPriority</formula1>
    </dataValidation>
    <dataValidation type="list" allowBlank="1" showInputMessage="1" showErrorMessage="1" sqref="F10:F11" xr:uid="{6B849108-A22D-48F0-96EB-66A94474B6B6}">
      <formula1>lstNature</formula1>
    </dataValidation>
    <dataValidation type="list" allowBlank="1" showInputMessage="1" showErrorMessage="1" sqref="F8" xr:uid="{45AFEB86-E9EA-4336-94F8-D4D86E766CF8}">
      <formula1>lstBloodlines</formula1>
    </dataValidation>
    <dataValidation type="list" allowBlank="1" showInputMessage="1" showErrorMessage="1" sqref="F9" xr:uid="{E9B0441E-3F79-470C-868B-A9BCA6894EA6}">
      <formula1>lstCovenant</formula1>
    </dataValidation>
    <dataValidation type="list" allowBlank="1" showInputMessage="1" showErrorMessage="1" sqref="F7" xr:uid="{173B86DD-7A80-447E-848B-68782EC1FA39}">
      <formula1>lstClan</formula1>
    </dataValidation>
    <dataValidation type="list" allowBlank="1" showInputMessage="1" showErrorMessage="1" sqref="F101:F120" xr:uid="{0A1F0ECD-2AAC-4A18-BEE1-B55F4638F9C5}">
      <formula1>lstManoeuvres</formula1>
    </dataValidation>
    <dataValidation type="list" allowBlank="1" showInputMessage="1" showErrorMessage="1" sqref="G248:G277" xr:uid="{A96A0120-9D6B-4991-8999-7BA5C3879A25}">
      <formula1>$I$248:$I$249</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001EB-E916-4D4A-96BA-57630836B801}">
  <dimension ref="A1:AK365"/>
  <sheetViews>
    <sheetView zoomScale="70" zoomScaleNormal="70" workbookViewId="0">
      <pane ySplit="1" topLeftCell="A150" activePane="bottomLeft" state="frozen"/>
      <selection pane="bottomLeft" activeCell="F11" sqref="F11"/>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Acute Senses</v>
      </c>
      <c r="AC2" s="60" t="str" cm="1">
        <f t="array" ref="AC2">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Acute Senses</v>
      </c>
      <c r="AD2" s="20" t="str">
        <f>IF(AC2="","¬",_xlfn.LET(_xlpm.base,IFERROR(LEFT(AC2,FIND(" (",AC2)-1),AC2),IFERROR(VLOOKUP(_xlpm.base,tblManoeuvre[],2,FALSE) &amp; " " &amp; REPT("●",VLOOKUP(_xlpm.base,tblManoeuvre[],3,FALSE)) &amp; " | " &amp; AC2,AC2 &amp; " " &amp; REPT("●",VLOOKUP(_xlpm.base,$F$79:$P$120,11,FALSE)))))</f>
        <v>Acute Senses ●</v>
      </c>
      <c r="AE2" s="20"/>
      <c r="AF2" s="20" t="str">
        <f>IF(LEN(AC2)=0,"¬",_xlfn.LET(_xlpm.base,IFERROR(LEFT(AC2,FIND(" (",AC2)-1),AC2),IFERROR(VLOOKUP(_xlpm.base,tblMerits[],5,FALSE),IFERROR(VLOOKUP(_xlpm.base,tblManoeuvre[],9,FALSE),"¬"))))</f>
        <v>Add Blood Potency to sensory rolls. Exceptional success can inflict Obsession.</v>
      </c>
      <c r="AI2" s="15" t="s">
        <v>25</v>
      </c>
      <c r="AJ2" s="61">
        <f t="shared" ref="AJ2:AJ33" si="1">VLOOKUP(AI2,$E$3:$P$221,12,FALSE)</f>
        <v>4</v>
      </c>
      <c r="AK2" s="61">
        <f>IF(AJ2=0,IF(COUNTIF($E$42:$E$49,AI2)&gt;0,-3,-1),AJ2)</f>
        <v>4</v>
      </c>
    </row>
    <row r="3" spans="1:37">
      <c r="A3" s="1" t="s">
        <v>2</v>
      </c>
      <c r="B3">
        <f ca="1">N3</f>
        <v>0</v>
      </c>
      <c r="D3" s="19"/>
      <c r="E3" s="15" t="s">
        <v>4</v>
      </c>
      <c r="F3" s="3" t="s">
        <v>756</v>
      </c>
      <c r="G3" s="18"/>
      <c r="H3" s="18"/>
      <c r="I3" s="18" t="s">
        <v>1425</v>
      </c>
      <c r="N3" s="60">
        <f ca="1">10+SUM(N4:N6)-SUM(N7)</f>
        <v>0</v>
      </c>
      <c r="Y3" s="15" t="s">
        <v>115</v>
      </c>
      <c r="Z3" s="19"/>
      <c r="AA3" s="61" t="str">
        <f t="shared" si="0"/>
        <v/>
      </c>
      <c r="AC3" s="60"/>
      <c r="AD3" s="20" t="str">
        <f>IF(AC3="","¬",_xlfn.LET(_xlpm.base,IFERROR(LEFT(AC3,FIND(" (",AC3)-1),AC3),IFERROR(VLOOKUP(_xlpm.base,tblManoeuvre[],2,FALSE) &amp; " " &amp; REPT("●",VLOOKUP(_xlpm.base,tblManoeuvre[],3,FALSE)) &amp; " | " &amp; AC3,AC3 &amp; " " &amp; REPT("●",VLOOKUP(_xlpm.base,$F$79:$P$120,11,FALSE)))))</f>
        <v>¬</v>
      </c>
      <c r="AE3" s="20"/>
      <c r="AF3" s="20" t="str">
        <f>IF(LEN(AC3)=0,"¬",_xlfn.LET(_xlpm.base,IFERROR(LEFT(AC3,FIND(" (",AC3)-1),AC3),IFERROR(VLOOKUP(_xlpm.base,tblMerits[],5,FALSE),IFERROR(VLOOKUP(_xlpm.base,tblManoeuvre[],9,FALSE),"¬"))))</f>
        <v>¬</v>
      </c>
      <c r="AI3" s="15" t="s">
        <v>41</v>
      </c>
      <c r="AJ3" s="61">
        <f t="shared" si="1"/>
        <v>0</v>
      </c>
      <c r="AK3" s="61">
        <f>IF(AJ3=0,IF(COUNTIF($E$42:$E$49,AI3)&gt;0,-3,-1),AJ3)</f>
        <v>-1</v>
      </c>
    </row>
    <row r="4" spans="1:37">
      <c r="A4" s="1" t="s">
        <v>3</v>
      </c>
      <c r="B4">
        <f ca="1">SUM(N3:N9)</f>
        <v>40</v>
      </c>
      <c r="D4" s="19"/>
      <c r="E4" s="15" t="s">
        <v>5</v>
      </c>
      <c r="F4" s="3" t="s">
        <v>757</v>
      </c>
      <c r="G4" s="18"/>
      <c r="H4" s="18"/>
      <c r="I4" s="18" t="s">
        <v>1426</v>
      </c>
      <c r="N4" s="61">
        <f>K73*2</f>
        <v>0</v>
      </c>
      <c r="Y4" s="15" t="s">
        <v>116</v>
      </c>
      <c r="Z4" s="19"/>
      <c r="AA4" s="61" t="str">
        <f t="shared" si="0"/>
        <v/>
      </c>
      <c r="AC4" s="60"/>
      <c r="AD4" s="20" t="str">
        <f>IF(AC4="","¬",_xlfn.LET(_xlpm.base,IFERROR(LEFT(AC4,FIND(" (",AC4)-1),AC4),IFERROR(VLOOKUP(_xlpm.base,tblManoeuvre[],2,FALSE) &amp; " " &amp; REPT("●",VLOOKUP(_xlpm.base,tblManoeuvre[],3,FALSE)) &amp; " | " &amp; AC4,AC4 &amp; " " &amp; REPT("●",VLOOKUP(_xlpm.base,$F$79:$P$120,11,FALSE)))))</f>
        <v>¬</v>
      </c>
      <c r="AE4" s="20"/>
      <c r="AF4" s="20" t="str">
        <f>IF(LEN(AC4)=0,"¬",_xlfn.LET(_xlpm.base,IFERROR(LEFT(AC4,FIND(" (",AC4)-1),AC4),IFERROR(VLOOKUP(_xlpm.base,tblMerits[],5,FALSE),IFERROR(VLOOKUP(_xlpm.base,tblManoeuvre[],9,FALSE),"¬"))))</f>
        <v>¬</v>
      </c>
      <c r="AI4" s="15" t="s">
        <v>236</v>
      </c>
      <c r="AJ4" s="61">
        <f t="shared" si="1"/>
        <v>0</v>
      </c>
      <c r="AK4" s="61">
        <f>AJ4</f>
        <v>0</v>
      </c>
    </row>
    <row r="5" spans="1:37">
      <c r="A5" s="1" t="s">
        <v>4</v>
      </c>
      <c r="B5" t="str">
        <f>IF(VLOOKUP(tblCharDataConrad[[#This Row],[Field]],$E$2:$F$362,2,FALSE)="","¬",VLOOKUP(tblCharDataConrad[[#This Row],[Field]],$E$2:$F$362,2,FALSE))</f>
        <v>Arnold W</v>
      </c>
      <c r="D5" s="19"/>
      <c r="E5" s="15" t="s">
        <v>6</v>
      </c>
      <c r="F5" s="3" t="s">
        <v>758</v>
      </c>
      <c r="G5" s="18"/>
      <c r="H5" s="18"/>
      <c r="I5" s="18" t="s">
        <v>1427</v>
      </c>
      <c r="N5" s="61">
        <f>N16</f>
        <v>12</v>
      </c>
      <c r="Y5" s="15" t="s">
        <v>117</v>
      </c>
      <c r="Z5" s="19"/>
      <c r="AA5" s="61" t="str">
        <f t="shared" si="0"/>
        <v/>
      </c>
      <c r="AC5" s="60"/>
      <c r="AD5" s="20" t="str">
        <f>IF(AC5="","¬",_xlfn.LET(_xlpm.base,IFERROR(LEFT(AC5,FIND(" (",AC5)-1),AC5),IFERROR(VLOOKUP(_xlpm.base,tblManoeuvre[],2,FALSE) &amp; " " &amp; REPT("●",VLOOKUP(_xlpm.base,tblManoeuvre[],3,FALSE)) &amp; " | " &amp; AC5,AC5 &amp; " " &amp; REPT("●",VLOOKUP(_xlpm.base,$F$79:$P$120,11,FALSE)))))</f>
        <v>¬</v>
      </c>
      <c r="AE5" s="20"/>
      <c r="AF5" s="20" t="str">
        <f>IF(LEN(AC5)=0,"¬",_xlfn.LET(_xlpm.base,IFERROR(LEFT(AC5,FIND(" (",AC5)-1),AC5),IFERROR(VLOOKUP(_xlpm.base,tblMerits[],5,FALSE),IFERROR(VLOOKUP(_xlpm.base,tblManoeuvre[],9,FALSE),"¬"))))</f>
        <v>¬</v>
      </c>
      <c r="AI5" s="15" t="s">
        <v>33</v>
      </c>
      <c r="AJ5" s="61">
        <f t="shared" si="1"/>
        <v>0</v>
      </c>
      <c r="AK5" s="61">
        <f>IF(AJ5=0,IF(COUNTIF($E$42:$E$49,AI5)&gt;0,-3,-1),AJ5)</f>
        <v>-1</v>
      </c>
    </row>
    <row r="6" spans="1:37">
      <c r="A6" s="1" t="s">
        <v>5</v>
      </c>
      <c r="B6" t="str">
        <f>IF(VLOOKUP(tblCharDataConrad[[#This Row],[Field]],$E$2:$F$362,2,FALSE)="","¬",VLOOKUP(tblCharDataConrad[[#This Row],[Field]],$E$2:$F$362,2,FALSE))</f>
        <v>Conrad Sondergaard</v>
      </c>
      <c r="D6" s="19"/>
      <c r="E6" s="15" t="s">
        <v>7</v>
      </c>
      <c r="F6" s="3" t="s">
        <v>552</v>
      </c>
      <c r="G6" s="18"/>
      <c r="H6" s="18"/>
      <c r="I6" s="18" t="s">
        <v>1347</v>
      </c>
      <c r="N6" s="61">
        <f ca="1">N279</f>
        <v>3</v>
      </c>
      <c r="Y6" s="15" t="s">
        <v>118</v>
      </c>
      <c r="Z6" s="19"/>
      <c r="AA6" s="61" t="str">
        <f t="shared" si="0"/>
        <v/>
      </c>
      <c r="AC6" s="60"/>
      <c r="AD6" s="20" t="str">
        <f>IF(AC6="","¬",_xlfn.LET(_xlpm.base,IFERROR(LEFT(AC6,FIND(" (",AC6)-1),AC6),IFERROR(VLOOKUP(_xlpm.base,tblManoeuvre[],2,FALSE) &amp; " " &amp; REPT("●",VLOOKUP(_xlpm.base,tblManoeuvre[],3,FALSE)) &amp; " | " &amp; AC6,AC6 &amp; " " &amp; REPT("●",VLOOKUP(_xlpm.base,$F$79:$P$120,11,FALSE)))))</f>
        <v>¬</v>
      </c>
      <c r="AE6" s="20"/>
      <c r="AF6" s="20" t="str">
        <f>IF(LEN(AC6)=0,"¬",_xlfn.LET(_xlpm.base,IFERROR(LEFT(AC6,FIND(" (",AC6)-1),AC6),IFERROR(VLOOKUP(_xlpm.base,tblMerits[],5,FALSE),IFERROR(VLOOKUP(_xlpm.base,tblManoeuvre[],9,FALSE),"¬"))))</f>
        <v>¬</v>
      </c>
      <c r="AI6" s="15" t="s">
        <v>237</v>
      </c>
      <c r="AJ6" s="61">
        <f t="shared" si="1"/>
        <v>5</v>
      </c>
      <c r="AK6" s="61">
        <f>AJ6</f>
        <v>5</v>
      </c>
    </row>
    <row r="7" spans="1:37">
      <c r="A7" s="1" t="s">
        <v>6</v>
      </c>
      <c r="B7" t="str">
        <f>IF(VLOOKUP(tblCharDataConrad[[#This Row],[Field]],$E$2:$F$362,2,FALSE)="","¬",VLOOKUP(tblCharDataConrad[[#This Row],[Field]],$E$2:$F$362,2,FALSE))</f>
        <v>Occult gentleman detective</v>
      </c>
      <c r="D7" s="19" t="str">
        <f>VLOOKUP(F7,tblClans[],3,FALSE)</f>
        <v>Wits</v>
      </c>
      <c r="E7" s="15" t="s">
        <v>8</v>
      </c>
      <c r="F7" s="3" t="s">
        <v>370</v>
      </c>
      <c r="G7" s="18"/>
      <c r="H7" s="18"/>
      <c r="I7" s="18"/>
      <c r="N7" s="60">
        <f>SUM(N8:N12)</f>
        <v>25</v>
      </c>
      <c r="Y7" s="15" t="s">
        <v>119</v>
      </c>
      <c r="Z7" s="19"/>
      <c r="AA7" s="61" t="str">
        <f t="shared" si="0"/>
        <v/>
      </c>
      <c r="AC7" s="60"/>
      <c r="AD7" s="20" t="str">
        <f>IF(AC7="","¬",_xlfn.LET(_xlpm.base,IFERROR(LEFT(AC7,FIND(" (",AC7)-1),AC7),IFERROR(VLOOKUP(_xlpm.base,tblManoeuvre[],2,FALSE) &amp; " " &amp; REPT("●",VLOOKUP(_xlpm.base,tblManoeuvre[],3,FALSE)) &amp; " | " &amp; AC7,AC7 &amp; " " &amp; REPT("●",VLOOKUP(_xlpm.base,$F$79:$P$120,11,FALSE)))))</f>
        <v>¬</v>
      </c>
      <c r="AE7" s="20"/>
      <c r="AF7" s="20" t="str">
        <f>IF(LEN(AC7)=0,"¬",_xlfn.LET(_xlpm.base,IFERROR(LEFT(AC7,FIND(" (",AC7)-1),AC7),IFERROR(VLOOKUP(_xlpm.base,tblMerits[],5,FALSE),IFERROR(VLOOKUP(_xlpm.base,tblManoeuvre[],9,FALSE),"¬"))))</f>
        <v>¬</v>
      </c>
      <c r="AI7" s="15" t="s">
        <v>49</v>
      </c>
      <c r="AJ7" s="61">
        <f t="shared" si="1"/>
        <v>2</v>
      </c>
      <c r="AK7" s="61">
        <f>AJ7</f>
        <v>2</v>
      </c>
    </row>
    <row r="8" spans="1:37">
      <c r="A8" s="1" t="s">
        <v>7</v>
      </c>
      <c r="B8" t="str">
        <f>IF(VLOOKUP(tblCharDataConrad[[#This Row],[Field]],$E$2:$F$362,2,FALSE)="","¬",LOWER(VLOOKUP(tblCharDataConrad[[#This Row],[Field]],$E$2:$F$362,2,FALSE)))</f>
        <v>he/him</v>
      </c>
      <c r="D8" s="19" t="str">
        <f>VLOOKUP(F7,tblClans[],2,FALSE)</f>
        <v>Intelligence</v>
      </c>
      <c r="E8" s="15" t="s">
        <v>10</v>
      </c>
      <c r="F8" s="3"/>
      <c r="G8" s="61" t="str">
        <f>IFERROR(IF(OR(AND(VLOOKUP(F8,tblBloodlines[],2,FALSE)="",VLOOKUP(F8,tblBloodlines[],3,FALSE)="",VLOOKUP(F8,tblBloodlines[],4,FALSE)=""),AND(VLOOKUP(F8,tblBloodlines[],2,FALSE)="",VLOOKUP(F8,tblBloodlines[],3,FALSE)="",F9=VLOOKUP(F8,tblBloodlines[],4,FALSE)),F7=VLOOKUP(F8,tblBloodlines[],2,FALSE),F7=VLOOKUP(F8,tblBloodlines[],3,FALSE)),TRUE,FALSE),"")</f>
        <v/>
      </c>
      <c r="H8" s="18"/>
      <c r="I8" s="18" t="s">
        <v>1428</v>
      </c>
      <c r="N8" s="61">
        <f>N23</f>
        <v>0</v>
      </c>
      <c r="O8" s="65">
        <f>N8/SUM(N$7:N$12)</f>
        <v>0</v>
      </c>
      <c r="P8" s="66"/>
      <c r="Y8" s="15" t="s">
        <v>120</v>
      </c>
      <c r="Z8" s="19"/>
      <c r="AA8" s="61" t="str">
        <f t="shared" si="0"/>
        <v/>
      </c>
      <c r="AC8" s="60"/>
      <c r="AD8" s="20" t="str">
        <f>IF(AC8="","¬",_xlfn.LET(_xlpm.base,IFERROR(LEFT(AC8,FIND(" (",AC8)-1),AC8),IFERROR(VLOOKUP(_xlpm.base,tblManoeuvre[],2,FALSE) &amp; " " &amp; REPT("●",VLOOKUP(_xlpm.base,tblManoeuvre[],3,FALSE)) &amp; " | " &amp; AC8,AC8 &amp; " " &amp; REPT("●",VLOOKUP(_xlpm.base,$F$79:$P$120,11,FALSE)))))</f>
        <v>¬</v>
      </c>
      <c r="AE8" s="20"/>
      <c r="AF8" s="20" t="str">
        <f>IF(LEN(AC8)=0,"¬",_xlfn.LET(_xlpm.base,IFERROR(LEFT(AC8,FIND(" (",AC8)-1),AC8),IFERROR(VLOOKUP(_xlpm.base,tblMerits[],5,FALSE),IFERROR(VLOOKUP(_xlpm.base,tblManoeuvre[],9,FALSE),"¬"))))</f>
        <v>¬</v>
      </c>
      <c r="AI8" s="15" t="s">
        <v>34</v>
      </c>
      <c r="AJ8" s="61">
        <f t="shared" si="1"/>
        <v>0</v>
      </c>
      <c r="AK8" s="61">
        <f>IF(AJ8=0,IF(COUNTIF($E$42:$E$49,AI8)&gt;0,-3,-1),AJ8)</f>
        <v>-1</v>
      </c>
    </row>
    <row r="9" spans="1:37">
      <c r="A9" s="1" t="s">
        <v>8</v>
      </c>
      <c r="B9" t="str">
        <f>IF(VLOOKUP(tblCharDataConrad[[#This Row],[Field]],$E$2:$F$362,2,FALSE)="","¬",VLOOKUP(tblCharDataConrad[[#This Row],[Field]],$E$2:$F$362,2,FALSE))</f>
        <v>Mekhet</v>
      </c>
      <c r="D9" s="19"/>
      <c r="E9" s="15" t="s">
        <v>11</v>
      </c>
      <c r="F9" s="3" t="s">
        <v>556</v>
      </c>
      <c r="G9" s="18"/>
      <c r="H9" s="18"/>
      <c r="I9" s="18" t="s">
        <v>1429</v>
      </c>
      <c r="N9" s="61">
        <f>N40+T40</f>
        <v>0</v>
      </c>
      <c r="O9" s="65">
        <f>N9/SUM(N$7:N$12)</f>
        <v>0</v>
      </c>
      <c r="P9" s="66"/>
      <c r="Y9" s="15" t="s">
        <v>121</v>
      </c>
      <c r="Z9" s="19"/>
      <c r="AA9" s="61" t="str">
        <f t="shared" si="0"/>
        <v/>
      </c>
      <c r="AC9" s="60"/>
      <c r="AD9" s="20" t="str">
        <f>IF(AC9="","¬",_xlfn.LET(_xlpm.base,IFERROR(LEFT(AC9,FIND(" (",AC9)-1),AC9),IFERROR(VLOOKUP(_xlpm.base,tblManoeuvre[],2,FALSE) &amp; " " &amp; REPT("●",VLOOKUP(_xlpm.base,tblManoeuvre[],3,FALSE)) &amp; " | " &amp; AC9,AC9 &amp; " " &amp; REPT("●",VLOOKUP(_xlpm.base,$F$79:$P$120,11,FALSE)))))</f>
        <v>¬</v>
      </c>
      <c r="AE9" s="20"/>
      <c r="AF9" s="20" t="str">
        <f>IF(LEN(AC9)=0,"¬",_xlfn.LET(_xlpm.base,IFERROR(LEFT(AC9,FIND(" (",AC9)-1),AC9),IFERROR(VLOOKUP(_xlpm.base,tblMerits[],5,FALSE),IFERROR(VLOOKUP(_xlpm.base,tblManoeuvre[],9,FALSE),"¬"))))</f>
        <v>¬</v>
      </c>
      <c r="AI9" s="15" t="s">
        <v>238</v>
      </c>
      <c r="AJ9" s="61">
        <f t="shared" si="1"/>
        <v>0</v>
      </c>
      <c r="AK9" s="61">
        <f>AJ9</f>
        <v>0</v>
      </c>
    </row>
    <row r="10" spans="1:37">
      <c r="A10" s="1" t="s">
        <v>9</v>
      </c>
      <c r="B10" t="str">
        <f>CONCATENATE(Elements,B9," icon.svg")</f>
        <v>D:\Terra Mortis\Character Sheets\Sheet Elements\Mekhet icon.svg</v>
      </c>
      <c r="D10" s="19"/>
      <c r="E10" s="15" t="s">
        <v>13</v>
      </c>
      <c r="F10" s="3" t="s">
        <v>375</v>
      </c>
      <c r="G10" s="18"/>
      <c r="H10" s="18"/>
      <c r="I10" s="18" t="s">
        <v>1430</v>
      </c>
      <c r="N10" s="61">
        <f>N77</f>
        <v>1</v>
      </c>
      <c r="O10" s="65">
        <f>N10/SUM(N$7:N$12)</f>
        <v>0.02</v>
      </c>
      <c r="P10" s="66"/>
      <c r="Y10" s="15" t="s">
        <v>122</v>
      </c>
      <c r="Z10" s="19"/>
      <c r="AA10" s="61" t="str">
        <f t="shared" si="0"/>
        <v/>
      </c>
      <c r="AC10" s="60"/>
      <c r="AD10" s="20" t="str">
        <f>IF(AC10="","¬",_xlfn.LET(_xlpm.base,IFERROR(LEFT(AC10,FIND(" (",AC10)-1),AC10),IFERROR(VLOOKUP(_xlpm.base,tblManoeuvre[],2,FALSE) &amp; " " &amp; REPT("●",VLOOKUP(_xlpm.base,tblManoeuvre[],3,FALSE)) &amp; " | " &amp; AC10,AC10 &amp; " " &amp; REPT("●",VLOOKUP(_xlpm.base,$F$79:$P$120,11,FALSE)))))</f>
        <v>¬</v>
      </c>
      <c r="AE10" s="20"/>
      <c r="AF10" s="20" t="str">
        <f>IF(LEN(AC10)=0,"¬",_xlfn.LET(_xlpm.base,IFERROR(LEFT(AC10,FIND(" (",AC10)-1),AC10),IFERROR(VLOOKUP(_xlpm.base,tblMerits[],5,FALSE),IFERROR(VLOOKUP(_xlpm.base,tblManoeuvre[],9,FALSE),"¬"))))</f>
        <v>¬</v>
      </c>
      <c r="AI10" s="15" t="s">
        <v>24</v>
      </c>
      <c r="AJ10" s="61">
        <f t="shared" si="1"/>
        <v>3</v>
      </c>
      <c r="AK10" s="61">
        <f>AJ10+IFERROR(INDEX($V$26:$V$38,MATCH(AI10,$E$26:$E$38,0)),0)</f>
        <v>3</v>
      </c>
    </row>
    <row r="11" spans="1:37">
      <c r="A11" s="1" t="s">
        <v>10</v>
      </c>
      <c r="B11" t="str">
        <f>IF(VLOOKUP(tblCharDataConrad[[#This Row],[Field]],$E$2:$F$362,2,FALSE)="","¬",VLOOKUP(tblCharDataConrad[[#This Row],[Field]],$E$2:$F$362,2,FALSE))</f>
        <v>¬</v>
      </c>
      <c r="D11" s="19"/>
      <c r="E11" s="15" t="s">
        <v>14</v>
      </c>
      <c r="F11" s="3" t="s">
        <v>759</v>
      </c>
      <c r="G11" s="18"/>
      <c r="H11" s="18"/>
      <c r="I11" s="18" t="s">
        <v>1431</v>
      </c>
      <c r="N11" s="61">
        <f>N163</f>
        <v>24</v>
      </c>
      <c r="O11" s="65">
        <f>N11/SUM(N$7:N$12)</f>
        <v>0.48</v>
      </c>
      <c r="P11" s="66"/>
      <c r="Y11" s="15" t="s">
        <v>123</v>
      </c>
      <c r="Z11" s="19"/>
      <c r="AA11" s="61" t="str">
        <f t="shared" si="0"/>
        <v/>
      </c>
      <c r="AC11" s="60"/>
      <c r="AD11" s="20" t="str">
        <f>IF(AC11="","¬",_xlfn.LET(_xlpm.base,IFERROR(LEFT(AC11,FIND(" (",AC11)-1),AC11),IFERROR(VLOOKUP(_xlpm.base,tblManoeuvre[],2,FALSE) &amp; " " &amp; REPT("●",VLOOKUP(_xlpm.base,tblManoeuvre[],3,FALSE)) &amp; " | " &amp; AC11,AC11 &amp; " " &amp; REPT("●",VLOOKUP(_xlpm.base,$F$79:$P$120,11,FALSE)))))</f>
        <v>¬</v>
      </c>
      <c r="AE11" s="20"/>
      <c r="AF11" s="20" t="str">
        <f>IF(LEN(AC11)=0,"¬",_xlfn.LET(_xlpm.base,IFERROR(LEFT(AC11,FIND(" (",AC11)-1),AC11),IFERROR(VLOOKUP(_xlpm.base,tblMerits[],5,FALSE),IFERROR(VLOOKUP(_xlpm.base,tblManoeuvre[],9,FALSE),"¬"))))</f>
        <v>¬</v>
      </c>
      <c r="AI11" s="15" t="s">
        <v>26</v>
      </c>
      <c r="AJ11" s="61">
        <f t="shared" si="1"/>
        <v>0</v>
      </c>
      <c r="AK11" s="61">
        <f>IF(AJ11=0,IF(COUNTIF($E$42:$E$49,AI11)&gt;0,-3,-1),AJ11)</f>
        <v>-3</v>
      </c>
    </row>
    <row r="12" spans="1:37">
      <c r="A12" s="1" t="s">
        <v>11</v>
      </c>
      <c r="B12" t="str">
        <f>IF(VLOOKUP(tblCharDataConrad[[#This Row],[Field]],$E$2:$F$362,2,FALSE)="","¬",VLOOKUP(tblCharDataConrad[[#This Row],[Field]],$E$2:$F$362,2,FALSE))</f>
        <v>Lancea et Sanctum</v>
      </c>
      <c r="D12" s="19"/>
      <c r="E12" s="15" t="s">
        <v>15</v>
      </c>
      <c r="F12" s="3"/>
      <c r="G12" s="3"/>
      <c r="H12" s="18"/>
      <c r="I12" s="18" t="s">
        <v>1432</v>
      </c>
      <c r="N12" s="61">
        <f>N71</f>
        <v>0</v>
      </c>
      <c r="O12" s="65">
        <f>N12/SUM(N$7:N$12)</f>
        <v>0</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0</v>
      </c>
      <c r="AK12" s="61">
        <f>IF(AJ12=0,IF(COUNTIF($E$42:$E$49,AI12)&gt;0,-3,-1),AJ12)</f>
        <v>-3</v>
      </c>
    </row>
    <row r="13" spans="1:37">
      <c r="A13" s="1" t="s">
        <v>12</v>
      </c>
      <c r="B13" t="str">
        <f>_xlfn.IFNA(CONCATENATE(Elements,VLOOKUP(B12,tblCovenantShortName[#Data],2,FALSE)," icon.svg"),"")</f>
        <v>D:\Terra Mortis\Character Sheets\Sheet Elements\Lance icon.svg</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0</v>
      </c>
      <c r="AK13" s="61">
        <f t="shared" ref="AK13:AK19" si="2">AJ13</f>
        <v>0</v>
      </c>
    </row>
    <row r="14" spans="1:37">
      <c r="A14" s="1" t="s">
        <v>13</v>
      </c>
      <c r="B14" t="str">
        <f>IF(VLOOKUP(tblCharDataConrad[[#This Row],[Field]],$E$2:$F$362,2,FALSE)="","¬",VLOOKUP(tblCharDataConrad[[#This Row],[Field]],$E$2:$F$362,2,FALSE))</f>
        <v>Follower</v>
      </c>
      <c r="D14" s="19"/>
      <c r="E14" s="15" t="s">
        <v>1433</v>
      </c>
      <c r="F14" s="28">
        <v>27023</v>
      </c>
      <c r="G14" s="3" t="s">
        <v>785</v>
      </c>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0</v>
      </c>
      <c r="AK14" s="61">
        <f t="shared" si="2"/>
        <v>0</v>
      </c>
    </row>
    <row r="15" spans="1:37">
      <c r="A15" s="1" t="s">
        <v>14</v>
      </c>
      <c r="B15" t="str">
        <f>IF(VLOOKUP(tblCharDataConrad[[#This Row],[Field]],$E$2:$F$362,2,FALSE)="","¬",VLOOKUP(tblCharDataConrad[[#This Row],[Field]],$E$2:$F$362,2,FALSE))</f>
        <v>Spy</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3</v>
      </c>
      <c r="AK15" s="61">
        <f t="shared" ca="1" si="2"/>
        <v>3</v>
      </c>
    </row>
    <row r="16" spans="1:37" ht="15.75" thickBot="1">
      <c r="A16" s="1" t="s">
        <v>15</v>
      </c>
      <c r="B16" t="str">
        <f ca="1">_xlfn.LET(_xlpm.a,VLOOKUP(tblCharDataConrad[[#This Row],[Field]],$E$2:$F$362,2,FALSE),_xlpm.b,VLOOKUP(OFFSET(tblCharDataConrad[[#This Row],[Field]],1,0),$E$2:$F$362,2,FALSE),IF(AND(_xlpm.a&lt;&gt;"",_xlpm.b&lt;&gt;""),_xlpm.a&amp;" &amp; "&amp;_xlpm.b,IF(_xlpm.a&lt;&gt;"",_xlpm.a,IF(_xlpm.b&lt;&gt;"",_xlpm.b,"¬"))))</f>
        <v>¬</v>
      </c>
      <c r="D16" s="14" t="s">
        <v>1427</v>
      </c>
      <c r="E16" s="14"/>
      <c r="F16" s="14"/>
      <c r="G16" s="14"/>
      <c r="H16" s="14"/>
      <c r="I16" s="14"/>
      <c r="N16" s="60">
        <f>SUM(N17:N21)</f>
        <v>12</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REPT("●",IFERROR(INDEX($P$26:$P$38,MATCH(tblCharDataConrad[[#This Row],[Field]],$E$26:$E$38,0)),0))&amp;REPT("○",IFERROR(INDEX($V$26:$V$38,MATCH(tblCharDataConrad[[#This Row],[Field]],$E$26:$E$38,0)),0))</f>
        <v>●●●●</v>
      </c>
      <c r="D17" s="19"/>
      <c r="E17" s="15" t="s">
        <v>1435</v>
      </c>
      <c r="F17" s="3" t="b">
        <v>1</v>
      </c>
      <c r="G17" s="19"/>
      <c r="H17" s="19"/>
      <c r="I17" s="19"/>
      <c r="N17" s="61">
        <f>IF(F17=TRUE,3,0)</f>
        <v>3</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3</v>
      </c>
      <c r="AK17" s="61">
        <f>AJ17+IFERROR(INDEX($V$26:$V$38,MATCH(AI17,$E$26:$E$38,0)),0)</f>
        <v>3</v>
      </c>
    </row>
    <row r="18" spans="1:37">
      <c r="A18" s="1" t="s">
        <v>17</v>
      </c>
      <c r="B18" t="str">
        <f>REPT("●",IFERROR(INDEX($P$26:$P$38,MATCH(tblCharDataConrad[[#This Row],[Field]],$E$26:$E$38,0)),0))&amp;REPT("○",IFERROR(INDEX($V$26:$V$38,MATCH(tblCharDataConrad[[#This Row],[Field]],$E$26:$E$38,0)),0))</f>
        <v>●●●</v>
      </c>
      <c r="D18" s="19"/>
      <c r="E18" s="15" t="s">
        <v>1436</v>
      </c>
      <c r="F18" s="3"/>
      <c r="G18" s="19"/>
      <c r="H18" s="19"/>
      <c r="I18" s="19"/>
      <c r="N18" s="61">
        <f>IF(F18=TRUE,3,0)</f>
        <v>0</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1</v>
      </c>
      <c r="AK18" s="61">
        <f t="shared" si="2"/>
        <v>1</v>
      </c>
    </row>
    <row r="19" spans="1:37">
      <c r="A19" s="1" t="s">
        <v>18</v>
      </c>
      <c r="B19" t="str">
        <f>REPT("●",IFERROR(INDEX($P$26:$P$38,MATCH(tblCharDataConrad[[#This Row],[Field]],$E$26:$E$38,0)),0))&amp;REPT("○",IFERROR(INDEX($V$26:$V$38,MATCH(tblCharDataConrad[[#This Row],[Field]],$E$26:$E$38,0)),0))</f>
        <v>●●</v>
      </c>
      <c r="D19" s="19"/>
      <c r="E19" s="15" t="s">
        <v>1437</v>
      </c>
      <c r="F19" s="3" t="b">
        <v>1</v>
      </c>
      <c r="G19" s="19"/>
      <c r="H19" s="19"/>
      <c r="I19" s="19"/>
      <c r="N19" s="61">
        <f>IF(F19=TRUE,3,0)</f>
        <v>3</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0</v>
      </c>
      <c r="AK19" s="61">
        <f t="shared" si="2"/>
        <v>0</v>
      </c>
    </row>
    <row r="20" spans="1:37">
      <c r="A20" s="1" t="s">
        <v>19</v>
      </c>
      <c r="B20" t="str">
        <f>REPT("●",IFERROR(INDEX($P$26:$P$38,MATCH(tblCharDataConrad[[#This Row],[Field]],$E$26:$E$38,0)),0))&amp;REPT("○",IFERROR(INDEX($V$26:$V$38,MATCH(tblCharDataConrad[[#This Row],[Field]],$E$26:$E$38,0)),0))</f>
        <v>●</v>
      </c>
      <c r="D20" s="19"/>
      <c r="E20" s="15" t="s">
        <v>1438</v>
      </c>
      <c r="F20" s="3" t="b">
        <v>1</v>
      </c>
      <c r="G20" s="19"/>
      <c r="H20" s="19"/>
      <c r="I20" s="19"/>
      <c r="N20" s="61">
        <f>IF(F20=TRUE,3,0)</f>
        <v>3</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REPT("●",IFERROR(INDEX($P$26:$P$38,MATCH(tblCharDataConrad[[#This Row],[Field]],$E$26:$E$38,0)),0))&amp;REPT("○",IFERROR(INDEX($V$26:$V$38,MATCH(tblCharDataConrad[[#This Row],[Field]],$E$26:$E$38,0)),0))</f>
        <v>●●●</v>
      </c>
      <c r="D21" s="19"/>
      <c r="E21" s="15" t="s">
        <v>11</v>
      </c>
      <c r="F21" s="3" t="b">
        <v>1</v>
      </c>
      <c r="G21" s="19"/>
      <c r="H21" s="19"/>
      <c r="I21" s="19"/>
      <c r="N21" s="61">
        <f>IF(F21=TRUE,3,0)</f>
        <v>3</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3</v>
      </c>
      <c r="AK21" s="61">
        <f>IF(AJ21=0,IF(COUNTIF($E$42:$E$49,AI21)&gt;0,-3,-1),AJ21)</f>
        <v>3</v>
      </c>
    </row>
    <row r="22" spans="1:37">
      <c r="A22" s="1" t="s">
        <v>21</v>
      </c>
      <c r="B22" t="str">
        <f>REPT("●",IFERROR(INDEX($P$26:$P$38,MATCH(tblCharDataConrad[[#This Row],[Field]],$E$26:$E$38,0)),0))&amp;REPT("○",IFERROR(INDEX($V$26:$V$38,MATCH(tblCharDataConrad[[#This Row],[Field]],$E$26:$E$38,0)),0))</f>
        <v>●●</v>
      </c>
      <c r="Y22" s="15" t="s">
        <v>1439</v>
      </c>
      <c r="Z22" s="61" t="str">
        <f>IFERROR(VLOOKUP(AA22,tblManoeuvre[],2,FALSE),"")</f>
        <v/>
      </c>
      <c r="AA22" s="61" t="str">
        <f t="shared" ref="AA22:AA41" si="3">_xlfn.LET(_xlpm.name,VLOOKUP(Y22,$E$2:$F$362,2,FALSE),_xlpm.paid,_xlfn.IFNA(VLOOKUP(_xlpm.name,$F$79:$Q$120,11,FALSE)&gt;=VLOOKUP(_xlpm.name,$F$79:$Q$120,12,FALSE),FALSE),IF(AND(_xlpm.name&lt;&gt;"",_xlpm.paid),_xlpm.name,""))</f>
        <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0</v>
      </c>
      <c r="AK22" s="61">
        <f>IF(AJ22=0,IF(COUNTIF($E$42:$E$49,AI22)&gt;0,-3,-1),AJ22)</f>
        <v>-1</v>
      </c>
    </row>
    <row r="23" spans="1:37" ht="15.75" thickBot="1">
      <c r="A23" s="1" t="s">
        <v>22</v>
      </c>
      <c r="B23" t="str">
        <f>REPT("●",IFERROR(INDEX($P$26:$P$38,MATCH(tblCharDataConrad[[#This Row],[Field]],$E$26:$E$38,0)),0))&amp;REPT("○",IFERROR(INDEX($V$26:$V$38,MATCH(tblCharDataConrad[[#This Row],[Field]],$E$26:$E$38,0)),0))</f>
        <v>●●</v>
      </c>
      <c r="D23" s="14" t="s">
        <v>1440</v>
      </c>
      <c r="E23" s="14"/>
      <c r="F23" s="14"/>
      <c r="G23" s="14"/>
      <c r="H23" s="14"/>
      <c r="I23" s="14"/>
      <c r="N23" s="60">
        <f>SUM(N26:N28,N31:N33,N36:N38)</f>
        <v>0</v>
      </c>
      <c r="Y23" s="15" t="s">
        <v>1441</v>
      </c>
      <c r="Z23" s="61" t="str">
        <f>IFERROR(VLOOKUP(AA23,tblManoeuvre[],2,FALSE),"")</f>
        <v/>
      </c>
      <c r="AA23" s="61" t="str">
        <f t="shared" si="3"/>
        <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1</v>
      </c>
      <c r="AK23" s="61">
        <f>IF(AJ23=0,VLOOKUP(AI23,$E$42:$Q$69,13,FALSE),AJ23)</f>
        <v>1</v>
      </c>
    </row>
    <row r="24" spans="1:37">
      <c r="A24" s="1" t="s">
        <v>23</v>
      </c>
      <c r="B24" t="str">
        <f>REPT("●",IFERROR(INDEX($P$26:$P$38,MATCH(tblCharDataConrad[[#This Row],[Field]],$E$26:$E$38,0)),0))&amp;REPT("○",IFERROR(INDEX($V$26:$V$38,MATCH(tblCharDataConrad[[#This Row],[Field]],$E$26:$E$38,0)),0))</f>
        <v>●●</v>
      </c>
      <c r="E24" s="15" t="s">
        <v>1442</v>
      </c>
      <c r="F24" s="3" t="s">
        <v>16</v>
      </c>
      <c r="Y24" s="15" t="s">
        <v>1443</v>
      </c>
      <c r="Z24" s="61" t="str">
        <f>IFERROR(VLOOKUP(AA24,tblManoeuvre[],2,FALSE),"")</f>
        <v/>
      </c>
      <c r="AA24" s="61" t="str">
        <f t="shared" si="3"/>
        <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7</v>
      </c>
      <c r="AK24" s="61">
        <f ca="1">AJ24</f>
        <v>7</v>
      </c>
    </row>
    <row r="25" spans="1:37">
      <c r="A25" s="1" t="s">
        <v>24</v>
      </c>
      <c r="B25" t="str">
        <f>REPT("●",IFERROR(INDEX($P$26:$P$38,MATCH(tblCharDataConrad[[#This Row],[Field]],$E$26:$E$38,0)),0))&amp;REPT("○",IFERROR(INDEX($V$26:$V$38,MATCH(tblCharDataConrad[[#This Row],[Field]],$E$26:$E$38,0)),0))</f>
        <v>●●●</v>
      </c>
      <c r="D25" s="16" t="s">
        <v>1444</v>
      </c>
      <c r="E25" s="17"/>
      <c r="F25" s="17"/>
      <c r="G25" s="17" t="s">
        <v>1445</v>
      </c>
      <c r="H25" s="16" t="s">
        <v>1446</v>
      </c>
      <c r="I25" s="3" t="s">
        <v>1565</v>
      </c>
      <c r="L25" s="60">
        <f>IF(I25="",0,VLOOKUP(I25,tblPriority[#Data],2,FALSE))-SUM(L26:L28)</f>
        <v>0</v>
      </c>
      <c r="Y25" s="15" t="s">
        <v>1447</v>
      </c>
      <c r="Z25" s="61" t="str">
        <f>IFERROR(VLOOKUP(AA25,tblManoeuvre[],2,FALSE),"")</f>
        <v/>
      </c>
      <c r="AA25" s="61" t="str">
        <f t="shared" si="3"/>
        <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7</v>
      </c>
      <c r="AK25" s="61">
        <f>AJ25</f>
        <v>7</v>
      </c>
    </row>
    <row r="26" spans="1:37">
      <c r="A26" s="1" t="s">
        <v>25</v>
      </c>
      <c r="B26" t="str">
        <f>REPT("●",IFERROR(INDEX($P$42:$P$69,MATCH(tblCharDataConrad[[#This Row],[Field]],$E$42:$E$69,0)),0))&amp;REPT("○",IFERROR(INDEX($V$42:$V$69,MATCH(tblCharDataConrad[[#This Row],[Field]],$E$42:$E$69,0)),0))&amp;IF(IFERROR(INDEX($W$42:$W$69,MATCH(tblCharDataConrad[[#This Row],[Field]],$E$42:$E$69,0)),0)=1,"†","")</f>
        <v>●●●●</v>
      </c>
      <c r="D26" s="18"/>
      <c r="E26" s="15" t="s">
        <v>16</v>
      </c>
      <c r="F26" s="18"/>
      <c r="G26" s="3"/>
      <c r="H26" s="18"/>
      <c r="I26" s="18"/>
      <c r="L26" s="3">
        <v>2</v>
      </c>
      <c r="M26" s="60">
        <f>IF(E26=$F$24,2,1)</f>
        <v>2</v>
      </c>
      <c r="N26" s="3"/>
      <c r="O26" s="61">
        <f>ROUNDDOWN(N26/4,0)</f>
        <v>0</v>
      </c>
      <c r="P26" s="60">
        <f>MIN(SUM(L26,M26,O26),R26)</f>
        <v>4</v>
      </c>
      <c r="R26" s="61">
        <v>5</v>
      </c>
      <c r="U26" s="4"/>
      <c r="V26" s="61">
        <f>U26</f>
        <v>0</v>
      </c>
      <c r="Y26" s="15" t="s">
        <v>1449</v>
      </c>
      <c r="Z26" s="61" t="str">
        <f>IFERROR(VLOOKUP(AA26,tblManoeuvre[],2,FALSE),"")</f>
        <v/>
      </c>
      <c r="AA26" s="61" t="str">
        <f t="shared" si="3"/>
        <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4</v>
      </c>
      <c r="AK26" s="61">
        <f>AJ26+IFERROR(INDEX($V$26:$V$38,MATCH(AI26,$E$26:$E$38,0)),0)</f>
        <v>4</v>
      </c>
    </row>
    <row r="27" spans="1:37">
      <c r="A27" s="1" t="s">
        <v>26</v>
      </c>
      <c r="B27" t="str">
        <f>REPT("●",IFERROR(INDEX($P$42:$P$69,MATCH(tblCharDataConrad[[#This Row],[Field]],$E$42:$E$69,0)),0))&amp;REPT("○",IFERROR(INDEX($V$42:$V$69,MATCH(tblCharDataConrad[[#This Row],[Field]],$E$42:$E$69,0)),0))&amp;IF(IFERROR(INDEX($W$42:$W$69,MATCH(tblCharDataConrad[[#This Row],[Field]],$E$42:$E$69,0)),0)=1,"†","")</f>
        <v/>
      </c>
      <c r="D27" s="18"/>
      <c r="E27" s="15" t="s">
        <v>17</v>
      </c>
      <c r="F27" s="18"/>
      <c r="G27" s="3"/>
      <c r="H27" s="18"/>
      <c r="I27" s="18"/>
      <c r="L27" s="3">
        <v>2</v>
      </c>
      <c r="M27" s="60">
        <f>IF(E27=$F$24,2,1)</f>
        <v>1</v>
      </c>
      <c r="N27" s="3"/>
      <c r="O27" s="61">
        <f>ROUNDDOWN(N27/4,0)</f>
        <v>0</v>
      </c>
      <c r="P27" s="60">
        <f>MIN(SUM(L27,M27,O27),R27)</f>
        <v>3</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0</v>
      </c>
      <c r="AK27" s="61">
        <f>IF(AJ27=0,IF(COUNTIF($E$42:$E$49,AI27)&gt;0,-3,-1),AJ27)</f>
        <v>-1</v>
      </c>
    </row>
    <row r="28" spans="1:37">
      <c r="A28" s="1" t="s">
        <v>27</v>
      </c>
      <c r="B28" t="str">
        <f>REPT("●",IFERROR(INDEX($P$42:$P$69,MATCH(tblCharDataConrad[[#This Row],[Field]],$E$42:$E$69,0)),0))&amp;REPT("○",IFERROR(INDEX($V$42:$V$69,MATCH(tblCharDataConrad[[#This Row],[Field]],$E$42:$E$69,0)),0))&amp;IF(IFERROR(INDEX($W$42:$W$69,MATCH(tblCharDataConrad[[#This Row],[Field]],$E$42:$E$69,0)),0)=1,"†","")</f>
        <v/>
      </c>
      <c r="D28" s="18"/>
      <c r="E28" s="15" t="s">
        <v>18</v>
      </c>
      <c r="F28" s="18"/>
      <c r="G28" s="3"/>
      <c r="H28" s="18"/>
      <c r="I28" s="18"/>
      <c r="L28" s="3">
        <v>1</v>
      </c>
      <c r="M28" s="60">
        <f>IF(E28=$F$24,2,1)</f>
        <v>1</v>
      </c>
      <c r="N28" s="3"/>
      <c r="O28" s="61">
        <f>ROUNDDOWN(N28/4,0)</f>
        <v>0</v>
      </c>
      <c r="P28" s="60">
        <f>MIN(SUM(L28,M28,O28),R28)</f>
        <v>2</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3</v>
      </c>
      <c r="AK28" s="61">
        <f>IF(AJ28=0,IF(COUNTIF($E$42:$E$49,AI28)&gt;0,-3,-1),AJ28)</f>
        <v>3</v>
      </c>
    </row>
    <row r="29" spans="1:37">
      <c r="A29" s="1" t="s">
        <v>28</v>
      </c>
      <c r="B29" t="str">
        <f>REPT("●",IFERROR(INDEX($P$42:$P$69,MATCH(tblCharDataConrad[[#This Row],[Field]],$E$42:$E$69,0)),0))&amp;REPT("○",IFERROR(INDEX($V$42:$V$69,MATCH(tblCharDataConrad[[#This Row],[Field]],$E$42:$E$69,0)),0))&amp;IF(IFERROR(INDEX($W$42:$W$69,MATCH(tblCharDataConrad[[#This Row],[Field]],$E$42:$E$69,0)),0)=1,"†","")</f>
        <v>●●●†</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0</v>
      </c>
      <c r="AK29" s="61">
        <f>IF(AJ29=0,IF(COUNTIF($E$42:$E$49,AI29)&gt;0,-3,-1),AJ29)</f>
        <v>-1</v>
      </c>
    </row>
    <row r="30" spans="1:37">
      <c r="A30" s="1" t="s">
        <v>29</v>
      </c>
      <c r="B30" t="str">
        <f>REPT("●",IFERROR(INDEX($P$42:$P$69,MATCH(tblCharDataConrad[[#This Row],[Field]],$E$42:$E$69,0)),0))&amp;REPT("○",IFERROR(INDEX($V$42:$V$69,MATCH(tblCharDataConrad[[#This Row],[Field]],$E$42:$E$69,0)),0))&amp;IF(IFERROR(INDEX($W$42:$W$69,MATCH(tblCharDataConrad[[#This Row],[Field]],$E$42:$E$69,0)),0)=1,"†","")</f>
        <v/>
      </c>
      <c r="D30" s="16" t="s">
        <v>1453</v>
      </c>
      <c r="E30" s="17"/>
      <c r="F30" s="17"/>
      <c r="G30" s="17" t="s">
        <v>1445</v>
      </c>
      <c r="H30" s="16" t="s">
        <v>1446</v>
      </c>
      <c r="I30" s="3" t="s">
        <v>1566</v>
      </c>
      <c r="L30" s="60">
        <f>IF(I30="",0,VLOOKUP(I30,tblPriority[#Data],2,FALSE))-SUM(L31:L33)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0</v>
      </c>
      <c r="AK30" s="61">
        <f>AJ30</f>
        <v>0</v>
      </c>
    </row>
    <row r="31" spans="1:37">
      <c r="A31" s="1" t="s">
        <v>30</v>
      </c>
      <c r="B31" t="str">
        <f>REPT("●",IFERROR(INDEX($P$42:$P$69,MATCH(tblCharDataConrad[[#This Row],[Field]],$E$42:$E$69,0)),0))&amp;REPT("○",IFERROR(INDEX($V$42:$V$69,MATCH(tblCharDataConrad[[#This Row],[Field]],$E$42:$E$69,0)),0))&amp;IF(IFERROR(INDEX($W$42:$W$69,MATCH(tblCharDataConrad[[#This Row],[Field]],$E$42:$E$69,0)),0)=1,"†","")</f>
        <v>●●●●</v>
      </c>
      <c r="D31" s="18"/>
      <c r="E31" s="15" t="s">
        <v>19</v>
      </c>
      <c r="F31" s="18"/>
      <c r="G31" s="3"/>
      <c r="H31" s="18"/>
      <c r="I31" s="18"/>
      <c r="L31" s="3"/>
      <c r="M31" s="60">
        <f>IF(E31=$F$24,2,1)</f>
        <v>1</v>
      </c>
      <c r="N31" s="3"/>
      <c r="O31" s="61">
        <f>ROUNDDOWN(N31/4,0)</f>
        <v>0</v>
      </c>
      <c r="P31" s="60">
        <f>MIN(SUM(L31,M31,O31),R31)</f>
        <v>1</v>
      </c>
      <c r="R31" s="61">
        <v>5</v>
      </c>
      <c r="U31" s="4"/>
      <c r="V31" s="61">
        <f>$P$174+U31</f>
        <v>0</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2</v>
      </c>
      <c r="AK31" s="61">
        <f>AJ31+IFERROR(INDEX($V$26:$V$38,MATCH(AI31,$E$26:$E$38,0)),0)</f>
        <v>2</v>
      </c>
    </row>
    <row r="32" spans="1:37">
      <c r="A32" s="1" t="s">
        <v>31</v>
      </c>
      <c r="B32" t="str">
        <f>REPT("●",IFERROR(INDEX($P$42:$P$69,MATCH(tblCharDataConrad[[#This Row],[Field]],$E$42:$E$69,0)),0))&amp;REPT("○",IFERROR(INDEX($V$42:$V$69,MATCH(tblCharDataConrad[[#This Row],[Field]],$E$42:$E$69,0)),0))&amp;IF(IFERROR(INDEX($W$42:$W$69,MATCH(tblCharDataConrad[[#This Row],[Field]],$E$42:$E$69,0)),0)=1,"†","")</f>
        <v/>
      </c>
      <c r="D32" s="18"/>
      <c r="E32" s="15" t="s">
        <v>20</v>
      </c>
      <c r="F32" s="18"/>
      <c r="G32" s="3"/>
      <c r="H32" s="18"/>
      <c r="I32" s="18"/>
      <c r="L32" s="3">
        <v>2</v>
      </c>
      <c r="M32" s="60">
        <f>IF(E32=$F$24,2,1)</f>
        <v>1</v>
      </c>
      <c r="N32" s="3"/>
      <c r="O32" s="61">
        <f>ROUNDDOWN(N32/4,0)</f>
        <v>0</v>
      </c>
      <c r="P32" s="60">
        <f>MIN(SUM(L32,M32,O32),R32)</f>
        <v>3</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REPT("●",IFERROR(INDEX($P$42:$P$69,MATCH(tblCharDataConrad[[#This Row],[Field]],$E$42:$E$69,0)),0))&amp;REPT("○",IFERROR(INDEX($V$42:$V$69,MATCH(tblCharDataConrad[[#This Row],[Field]],$E$42:$E$69,0)),0))&amp;IF(IFERROR(INDEX($W$42:$W$69,MATCH(tblCharDataConrad[[#This Row],[Field]],$E$42:$E$69,0)),0)=1,"†","")</f>
        <v/>
      </c>
      <c r="D33" s="18"/>
      <c r="E33" s="15" t="s">
        <v>21</v>
      </c>
      <c r="F33" s="18"/>
      <c r="G33" s="3"/>
      <c r="H33" s="18"/>
      <c r="I33" s="18"/>
      <c r="L33" s="3">
        <v>1</v>
      </c>
      <c r="M33" s="60">
        <f>IF(E33=$F$24,2,1)</f>
        <v>1</v>
      </c>
      <c r="N33" s="3"/>
      <c r="O33" s="61">
        <f>ROUNDDOWN(N33/4,0)</f>
        <v>0</v>
      </c>
      <c r="P33" s="60">
        <f>MIN(SUM(L33,M33,O33),R33)</f>
        <v>2</v>
      </c>
      <c r="R33" s="61">
        <v>5</v>
      </c>
      <c r="U33" s="4"/>
      <c r="V33" s="61">
        <f>$P$173+U33</f>
        <v>0</v>
      </c>
      <c r="Y33" s="15" t="s">
        <v>1457</v>
      </c>
      <c r="Z33" s="61" t="str">
        <f>IFERROR(VLOOKUP(AA33,tblManoeuvre[],2,FALSE),"")</f>
        <v/>
      </c>
      <c r="AA33" s="61" t="str">
        <f t="shared" si="3"/>
        <v/>
      </c>
      <c r="AI33" s="15" t="s">
        <v>241</v>
      </c>
      <c r="AJ33" s="61">
        <f t="shared" si="1"/>
        <v>0</v>
      </c>
      <c r="AK33" s="61">
        <f>AJ33</f>
        <v>0</v>
      </c>
    </row>
    <row r="34" spans="1:37">
      <c r="A34" s="1" t="s">
        <v>33</v>
      </c>
      <c r="B34" t="str">
        <f>REPT("●",IFERROR(INDEX($P$42:$P$69,MATCH(tblCharDataConrad[[#This Row],[Field]],$E$42:$E$69,0)),0))&amp;REPT("○",IFERROR(INDEX($V$42:$V$69,MATCH(tblCharDataConrad[[#This Row],[Field]],$E$42:$E$69,0)),0))&amp;IF(IFERROR(INDEX($W$42:$W$69,MATCH(tblCharDataConrad[[#This Row],[Field]],$E$42:$E$69,0)),0)=1,"†","")</f>
        <v/>
      </c>
      <c r="Y34" s="15" t="s">
        <v>1458</v>
      </c>
      <c r="Z34" s="61" t="str">
        <f>IFERROR(VLOOKUP(AA34,tblManoeuvre[],2,FALSE),"")</f>
        <v/>
      </c>
      <c r="AA34" s="61" t="str">
        <f t="shared" si="3"/>
        <v/>
      </c>
      <c r="AI34" s="15" t="s">
        <v>242</v>
      </c>
      <c r="AJ34" s="61">
        <f t="shared" ref="AJ34:AJ58" si="4">VLOOKUP(AI34,$E$3:$P$221,12,FALSE)</f>
        <v>1</v>
      </c>
      <c r="AK34" s="61">
        <f>AJ34</f>
        <v>1</v>
      </c>
    </row>
    <row r="35" spans="1:37">
      <c r="A35" s="1" t="s">
        <v>34</v>
      </c>
      <c r="B35" t="str">
        <f>REPT("●",IFERROR(INDEX($P$42:$P$69,MATCH(tblCharDataConrad[[#This Row],[Field]],$E$42:$E$69,0)),0))&amp;REPT("○",IFERROR(INDEX($V$42:$V$69,MATCH(tblCharDataConrad[[#This Row],[Field]],$E$42:$E$69,0)),0))&amp;IF(IFERROR(INDEX($W$42:$W$69,MATCH(tblCharDataConrad[[#This Row],[Field]],$E$42:$E$69,0)),0)=1,"†","")</f>
        <v/>
      </c>
      <c r="D35" s="16" t="s">
        <v>1459</v>
      </c>
      <c r="E35" s="17"/>
      <c r="F35" s="17"/>
      <c r="G35" s="17" t="s">
        <v>1445</v>
      </c>
      <c r="H35" s="16" t="s">
        <v>1446</v>
      </c>
      <c r="I35" s="3" t="s">
        <v>1567</v>
      </c>
      <c r="L35" s="60">
        <f>IF(I35="",0,VLOOKUP(I35,tblPriority[#Data],2,FALSE))-SUM(L36:L38)</f>
        <v>0</v>
      </c>
      <c r="Y35" s="15" t="s">
        <v>1460</v>
      </c>
      <c r="Z35" s="61" t="str">
        <f>IFERROR(VLOOKUP(AA35,tblManoeuvre[],2,FALSE),"")</f>
        <v/>
      </c>
      <c r="AA35" s="61" t="str">
        <f t="shared" si="3"/>
        <v/>
      </c>
      <c r="AI35" s="15" t="s">
        <v>30</v>
      </c>
      <c r="AJ35" s="61">
        <f t="shared" si="4"/>
        <v>4</v>
      </c>
      <c r="AK35" s="61">
        <f>IF(AJ35=0,IF(COUNTIF($E$42:$E$49,AI35)&gt;0,-3,-1),AJ35)</f>
        <v>4</v>
      </c>
    </row>
    <row r="36" spans="1:37">
      <c r="A36" s="1" t="s">
        <v>35</v>
      </c>
      <c r="B36" t="str">
        <f>REPT("●",IFERROR(INDEX($P$42:$P$69,MATCH(tblCharDataConrad[[#This Row],[Field]],$E$42:$E$69,0)),0))&amp;REPT("○",IFERROR(INDEX($V$42:$V$69,MATCH(tblCharDataConrad[[#This Row],[Field]],$E$42:$E$69,0)),0))&amp;IF(IFERROR(INDEX($W$42:$W$69,MATCH(tblCharDataConrad[[#This Row],[Field]],$E$42:$E$69,0)),0)=1,"†","")</f>
        <v/>
      </c>
      <c r="D36" s="18"/>
      <c r="E36" s="15" t="s">
        <v>22</v>
      </c>
      <c r="F36" s="18"/>
      <c r="G36" s="3"/>
      <c r="H36" s="18"/>
      <c r="I36" s="18"/>
      <c r="L36" s="3">
        <v>1</v>
      </c>
      <c r="M36" s="60">
        <f>IF(E36=$F$24,2,1)</f>
        <v>1</v>
      </c>
      <c r="N36" s="3"/>
      <c r="O36" s="61">
        <f>ROUNDDOWN(N36/4,0)</f>
        <v>0</v>
      </c>
      <c r="P36" s="60">
        <f>MIN(SUM(L36,M36,O36),R36)</f>
        <v>2</v>
      </c>
      <c r="R36" s="61">
        <v>5</v>
      </c>
      <c r="U36" s="4"/>
      <c r="V36" s="61">
        <f>U36</f>
        <v>0</v>
      </c>
      <c r="Y36" s="15" t="s">
        <v>1461</v>
      </c>
      <c r="Z36" s="61" t="str">
        <f>IFERROR(VLOOKUP(AA36,tblManoeuvre[],2,FALSE),"")</f>
        <v/>
      </c>
      <c r="AA36" s="61" t="str">
        <f t="shared" si="3"/>
        <v/>
      </c>
      <c r="AI36" s="15" t="s">
        <v>45</v>
      </c>
      <c r="AJ36" s="61">
        <f t="shared" si="4"/>
        <v>0</v>
      </c>
      <c r="AK36" s="61">
        <f>IF(AJ36=0,IF(COUNTIF($E$42:$E$49,AI36)&gt;0,-3,-1),AJ36)</f>
        <v>-1</v>
      </c>
    </row>
    <row r="37" spans="1:37">
      <c r="A37" s="1" t="s">
        <v>36</v>
      </c>
      <c r="B37" t="str">
        <f>REPT("●",IFERROR(INDEX($P$42:$P$69,MATCH(tblCharDataConrad[[#This Row],[Field]],$E$42:$E$69,0)),0))&amp;REPT("○",IFERROR(INDEX($V$42:$V$69,MATCH(tblCharDataConrad[[#This Row],[Field]],$E$42:$E$69,0)),0))&amp;IF(IFERROR(INDEX($W$42:$W$69,MATCH(tblCharDataConrad[[#This Row],[Field]],$E$42:$E$69,0)),0)=1,"†","")</f>
        <v>●</v>
      </c>
      <c r="D37" s="18"/>
      <c r="E37" s="15" t="s">
        <v>23</v>
      </c>
      <c r="F37" s="18"/>
      <c r="G37" s="3"/>
      <c r="H37" s="18"/>
      <c r="I37" s="18"/>
      <c r="L37" s="3">
        <v>1</v>
      </c>
      <c r="M37" s="60">
        <f>IF(E37=$F$24,2,1)</f>
        <v>1</v>
      </c>
      <c r="N37" s="3"/>
      <c r="O37" s="61">
        <f>ROUNDDOWN(N37/4,0)</f>
        <v>0</v>
      </c>
      <c r="P37" s="60">
        <f>MIN(SUM(L37,M37,O37),R37)</f>
        <v>2</v>
      </c>
      <c r="R37" s="61">
        <v>5</v>
      </c>
      <c r="U37" s="4"/>
      <c r="V37" s="61">
        <f>U37</f>
        <v>0</v>
      </c>
      <c r="Y37" s="15" t="s">
        <v>1462</v>
      </c>
      <c r="Z37" s="61" t="str">
        <f>IFERROR(VLOOKUP(AA37,tblManoeuvre[],2,FALSE),"")</f>
        <v/>
      </c>
      <c r="AA37" s="61" t="str">
        <f t="shared" si="3"/>
        <v/>
      </c>
      <c r="AI37" s="15" t="s">
        <v>31</v>
      </c>
      <c r="AJ37" s="61">
        <f t="shared" si="4"/>
        <v>0</v>
      </c>
      <c r="AK37" s="61">
        <f>IF(AJ37=0,IF(COUNTIF($E$42:$E$49,AI37)&gt;0,-3,-1),AJ37)</f>
        <v>-3</v>
      </c>
    </row>
    <row r="38" spans="1:37">
      <c r="A38" s="1" t="s">
        <v>37</v>
      </c>
      <c r="B38" t="str">
        <f>REPT("●",IFERROR(INDEX($P$42:$P$69,MATCH(tblCharDataConrad[[#This Row],[Field]],$E$42:$E$69,0)),0))&amp;REPT("○",IFERROR(INDEX($V$42:$V$69,MATCH(tblCharDataConrad[[#This Row],[Field]],$E$42:$E$69,0)),0))&amp;IF(IFERROR(INDEX($W$42:$W$69,MATCH(tblCharDataConrad[[#This Row],[Field]],$E$42:$E$69,0)),0)=1,"†","")</f>
        <v/>
      </c>
      <c r="D38" s="18"/>
      <c r="E38" s="15" t="s">
        <v>24</v>
      </c>
      <c r="F38" s="18"/>
      <c r="G38" s="3"/>
      <c r="H38" s="18"/>
      <c r="I38" s="18"/>
      <c r="L38" s="3">
        <v>2</v>
      </c>
      <c r="M38" s="60">
        <f>IF(E38=$F$24,2,1)</f>
        <v>1</v>
      </c>
      <c r="N38" s="3"/>
      <c r="O38" s="61">
        <f>ROUNDDOWN(N38/4,0)</f>
        <v>0</v>
      </c>
      <c r="P38" s="60">
        <f>MIN(SUM(L38,M38,O38),R38)</f>
        <v>3</v>
      </c>
      <c r="R38" s="61">
        <v>5</v>
      </c>
      <c r="U38" s="4"/>
      <c r="V38" s="61">
        <f>U38</f>
        <v>0</v>
      </c>
      <c r="Y38" s="15" t="s">
        <v>1463</v>
      </c>
      <c r="Z38" s="61" t="str">
        <f>IFERROR(VLOOKUP(AA38,tblManoeuvre[],2,FALSE),"")</f>
        <v/>
      </c>
      <c r="AA38" s="61" t="str">
        <f t="shared" si="3"/>
        <v/>
      </c>
      <c r="AI38" s="15" t="s">
        <v>22</v>
      </c>
      <c r="AJ38" s="61">
        <f t="shared" si="4"/>
        <v>2</v>
      </c>
      <c r="AK38" s="61">
        <f>AJ38+IFERROR(INDEX($V$26:$V$38,MATCH(AI38,$E$26:$E$38,0)),0)</f>
        <v>2</v>
      </c>
    </row>
    <row r="39" spans="1:37">
      <c r="A39" s="1" t="s">
        <v>38</v>
      </c>
      <c r="B39" t="str">
        <f>REPT("●",IFERROR(INDEX($P$42:$P$69,MATCH(tblCharDataConrad[[#This Row],[Field]],$E$42:$E$69,0)),0))&amp;REPT("○",IFERROR(INDEX($V$42:$V$69,MATCH(tblCharDataConrad[[#This Row],[Field]],$E$42:$E$69,0)),0))&amp;IF(IFERROR(INDEX($W$42:$W$69,MATCH(tblCharDataConrad[[#This Row],[Field]],$E$42:$E$69,0)),0)=1,"†","")</f>
        <v>●●●†</v>
      </c>
      <c r="Y39" s="15" t="s">
        <v>1464</v>
      </c>
      <c r="Z39" s="61" t="str">
        <f>IFERROR(VLOOKUP(AA39,tblManoeuvre[],2,FALSE),"")</f>
        <v/>
      </c>
      <c r="AA39" s="61" t="str">
        <f t="shared" si="3"/>
        <v/>
      </c>
      <c r="AI39" s="15" t="s">
        <v>243</v>
      </c>
      <c r="AJ39" s="61">
        <f t="shared" si="4"/>
        <v>0</v>
      </c>
      <c r="AK39" s="61">
        <f>AJ39</f>
        <v>0</v>
      </c>
    </row>
    <row r="40" spans="1:37" ht="15.75" thickBot="1">
      <c r="A40" s="1" t="s">
        <v>39</v>
      </c>
      <c r="B40" t="str">
        <f>REPT("●",IFERROR(INDEX($P$42:$P$69,MATCH(tblCharDataConrad[[#This Row],[Field]],$E$42:$E$69,0)),0))&amp;REPT("○",IFERROR(INDEX($V$42:$V$69,MATCH(tblCharDataConrad[[#This Row],[Field]],$E$42:$E$69,0)),0))&amp;IF(IFERROR(INDEX($W$42:$W$69,MATCH(tblCharDataConrad[[#This Row],[Field]],$E$42:$E$69,0)),0)=1,"†","")</f>
        <v/>
      </c>
      <c r="D40" s="14" t="s">
        <v>1465</v>
      </c>
      <c r="E40" s="14"/>
      <c r="F40" s="14"/>
      <c r="G40" s="14"/>
      <c r="H40" s="14"/>
      <c r="I40" s="14"/>
      <c r="N40" s="60">
        <f>SUM(N42:N49,N52:N59,N62:N69)</f>
        <v>0</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4"/>
        <v>4</v>
      </c>
      <c r="AK40" s="61">
        <f>AJ40</f>
        <v>4</v>
      </c>
    </row>
    <row r="41" spans="1:37">
      <c r="A41" s="1" t="s">
        <v>40</v>
      </c>
      <c r="B41" t="str">
        <f>REPT("●",IFERROR(INDEX($P$42:$P$69,MATCH(tblCharDataConrad[[#This Row],[Field]],$E$42:$E$69,0)),0))&amp;REPT("○",IFERROR(INDEX($V$42:$V$69,MATCH(tblCharDataConrad[[#This Row],[Field]],$E$42:$E$69,0)),0))&amp;IF(IFERROR(INDEX($W$42:$W$69,MATCH(tblCharDataConrad[[#This Row],[Field]],$E$42:$E$69,0)),0)=1,"†","")</f>
        <v/>
      </c>
      <c r="D41" s="16" t="s">
        <v>1444</v>
      </c>
      <c r="E41" s="17"/>
      <c r="F41" s="17"/>
      <c r="G41" s="17" t="s">
        <v>1467</v>
      </c>
      <c r="H41" s="16" t="s">
        <v>1446</v>
      </c>
      <c r="I41" s="3" t="s">
        <v>1565</v>
      </c>
      <c r="L41" s="60">
        <f>IF(I41="",0,VLOOKUP(I41,tblPriority[#Data],3,FALSE))-SUM(L42:L49)</f>
        <v>0</v>
      </c>
      <c r="T41" s="60">
        <f>MAX(3+IF(P161&gt;=3,2,0)-SUM(T42:T49,T52:T59,T62:T69),0)</f>
        <v>0</v>
      </c>
      <c r="Y41" s="15" t="s">
        <v>1468</v>
      </c>
      <c r="Z41" s="61" t="str">
        <f>IFERROR(VLOOKUP(AA41,tblManoeuvre[],2,FALSE),"")</f>
        <v/>
      </c>
      <c r="AA41" s="61" t="str">
        <f t="shared" si="3"/>
        <v/>
      </c>
      <c r="AI41" s="15" t="s">
        <v>244</v>
      </c>
      <c r="AJ41" s="61">
        <f t="shared" si="4"/>
        <v>0</v>
      </c>
      <c r="AK41" s="61">
        <f>AJ41</f>
        <v>0</v>
      </c>
    </row>
    <row r="42" spans="1:37">
      <c r="A42" s="1" t="s">
        <v>41</v>
      </c>
      <c r="B42" t="str">
        <f>REPT("●",IFERROR(INDEX($P$42:$P$69,MATCH(tblCharDataConrad[[#This Row],[Field]],$E$42:$E$69,0)),0))&amp;REPT("○",IFERROR(INDEX($V$42:$V$69,MATCH(tblCharDataConrad[[#This Row],[Field]],$E$42:$E$69,0)),0))&amp;IF(IFERROR(INDEX($W$42:$W$69,MATCH(tblCharDataConrad[[#This Row],[Field]],$E$42:$E$69,0)),0)=1,"†","")</f>
        <v/>
      </c>
      <c r="D42" s="18"/>
      <c r="E42" s="15" t="s">
        <v>25</v>
      </c>
      <c r="F42" s="18"/>
      <c r="G42" s="3" t="s">
        <v>761</v>
      </c>
      <c r="H42" s="18"/>
      <c r="I42" s="18"/>
      <c r="L42" s="4">
        <v>4</v>
      </c>
      <c r="M42" s="60"/>
      <c r="N42" s="4"/>
      <c r="O42" s="61">
        <f>ROUNDDOWN(N42/2,0)</f>
        <v>0</v>
      </c>
      <c r="P42" s="60">
        <f t="shared" ref="P42:P49" si="5">MIN(SUM(L42,M42,O42),R42)</f>
        <v>4</v>
      </c>
      <c r="R42" s="61">
        <v>5</v>
      </c>
      <c r="T42" s="4">
        <v>1</v>
      </c>
      <c r="U42" s="4"/>
      <c r="V42" s="61">
        <f t="shared" ref="V42:V49" si="6">U42</f>
        <v>0</v>
      </c>
      <c r="W42" s="4"/>
      <c r="AI42" s="15" t="s">
        <v>18</v>
      </c>
      <c r="AJ42" s="61">
        <f t="shared" si="4"/>
        <v>2</v>
      </c>
      <c r="AK42" s="61">
        <f>AJ42+IFERROR(INDEX($V$26:$V$38,MATCH(AI42,$E$26:$E$38,0)),0)</f>
        <v>2</v>
      </c>
    </row>
    <row r="43" spans="1:37">
      <c r="A43" s="1" t="s">
        <v>42</v>
      </c>
      <c r="B43" t="str">
        <f>REPT("●",IFERROR(INDEX($P$42:$P$69,MATCH(tblCharDataConrad[[#This Row],[Field]],$E$42:$E$69,0)),0))&amp;REPT("○",IFERROR(INDEX($V$42:$V$69,MATCH(tblCharDataConrad[[#This Row],[Field]],$E$42:$E$69,0)),0))&amp;IF(IFERROR(INDEX($W$42:$W$69,MATCH(tblCharDataConrad[[#This Row],[Field]],$E$42:$E$69,0)),0)=1,"†","")</f>
        <v>●●●○†</v>
      </c>
      <c r="D43" s="18"/>
      <c r="E43" s="15" t="s">
        <v>26</v>
      </c>
      <c r="F43" s="18"/>
      <c r="G43" s="3"/>
      <c r="H43" s="18"/>
      <c r="I43" s="18"/>
      <c r="L43" s="4"/>
      <c r="M43" s="60"/>
      <c r="N43" s="4"/>
      <c r="O43" s="61">
        <f t="shared" ref="O43:O49" si="7">ROUNDDOWN(N43/2,0)</f>
        <v>0</v>
      </c>
      <c r="P43" s="60">
        <f t="shared" si="5"/>
        <v>0</v>
      </c>
      <c r="R43" s="61">
        <v>5</v>
      </c>
      <c r="T43" s="4"/>
      <c r="U43" s="4"/>
      <c r="V43" s="61">
        <f t="shared" si="6"/>
        <v>0</v>
      </c>
      <c r="W43" s="4"/>
      <c r="AI43" s="15" t="s">
        <v>32</v>
      </c>
      <c r="AJ43" s="61">
        <f t="shared" si="4"/>
        <v>0</v>
      </c>
      <c r="AK43" s="61">
        <f>IF(AJ43=0,IF(COUNTIF($E$42:$E$49,AI43)&gt;0,-3,-1),AJ43)</f>
        <v>-3</v>
      </c>
    </row>
    <row r="44" spans="1:37">
      <c r="A44" s="1" t="s">
        <v>43</v>
      </c>
      <c r="B44" t="str">
        <f>REPT("●",IFERROR(INDEX($P$42:$P$69,MATCH(tblCharDataConrad[[#This Row],[Field]],$E$42:$E$69,0)),0))&amp;REPT("○",IFERROR(INDEX($V$42:$V$69,MATCH(tblCharDataConrad[[#This Row],[Field]],$E$42:$E$69,0)),0))&amp;IF(IFERROR(INDEX($W$42:$W$69,MATCH(tblCharDataConrad[[#This Row],[Field]],$E$42:$E$69,0)),0)=1,"†","")</f>
        <v/>
      </c>
      <c r="D44" s="18"/>
      <c r="E44" s="15" t="s">
        <v>27</v>
      </c>
      <c r="F44" s="18"/>
      <c r="G44" s="3"/>
      <c r="H44" s="18"/>
      <c r="I44" s="18"/>
      <c r="L44" s="4"/>
      <c r="M44" s="60"/>
      <c r="N44" s="4"/>
      <c r="O44" s="61">
        <f t="shared" si="7"/>
        <v>0</v>
      </c>
      <c r="P44" s="60">
        <f t="shared" si="5"/>
        <v>0</v>
      </c>
      <c r="R44" s="61">
        <v>5</v>
      </c>
      <c r="T44" s="4"/>
      <c r="U44" s="4"/>
      <c r="V44" s="61">
        <f t="shared" si="6"/>
        <v>0</v>
      </c>
      <c r="W44" s="4"/>
      <c r="Y44" s="15">
        <v>1</v>
      </c>
      <c r="Z44" s="61" t="s">
        <v>236</v>
      </c>
      <c r="AA44" s="60" t="str" cm="1">
        <f t="array" ref="AA44">IF(OR(Y44=0,Y44=""),"",IF(VLOOKUP(Z44,$AI$1:$AJ$58,2,FALSE)&gt;=Y44,INDEX(tblDisciplines[Name],MATCH(1,(tblDisciplines[Discipline]=Z44)*(tblDisciplines[Rank]=Y44),0)),""))</f>
        <v/>
      </c>
      <c r="AC44" s="60" t="str" cm="1">
        <f t="array" ref="AC44:AC56">IFERROR(_xlfn.VSTACK(IFERROR(_xlfn._xlws.FILTER(AA44:AA121,AA44:AA121&lt;&gt;""),""),IFERROR(_xlfn._xlws.SORT(_xlfn._xlws.FILTER(AA123:AA132,AA123:AA132&lt;&gt;"")),"")),"")</f>
        <v>Beast's Hackles</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Auspex ● | Beast's Hackles</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Free (1 V for Insight)  •  Pool: - - Composure &amp; Closed Book  •  Instant  •  Scene</v>
      </c>
      <c r="AF44" s="20" t="str">
        <f>IF(AC44="","",IFERROR(VLOOKUP(AC44,tblDisciplines[],12,FALSE),VLOOKUP(AC44,tblPacts[],5,FALSE)))</f>
        <v>Add Auspex dots to any rolls to resist surprise. Access to Tier 1 Auspex Insight questions.</v>
      </c>
      <c r="AI44" s="15" t="s">
        <v>353</v>
      </c>
      <c r="AJ44" s="61">
        <f t="shared" si="4"/>
        <v>5</v>
      </c>
      <c r="AK44" s="61">
        <f>AJ44</f>
        <v>5</v>
      </c>
    </row>
    <row r="45" spans="1:37">
      <c r="A45" s="1" t="s">
        <v>44</v>
      </c>
      <c r="B45" t="str">
        <f>REPT("●",IFERROR(INDEX($P$42:$P$69,MATCH(tblCharDataConrad[[#This Row],[Field]],$E$42:$E$69,0)),0))&amp;REPT("○",IFERROR(INDEX($V$42:$V$69,MATCH(tblCharDataConrad[[#This Row],[Field]],$E$42:$E$69,0)),0))&amp;IF(IFERROR(INDEX($W$42:$W$69,MATCH(tblCharDataConrad[[#This Row],[Field]],$E$42:$E$69,0)),0)=1,"†","")</f>
        <v/>
      </c>
      <c r="D45" s="18"/>
      <c r="E45" s="15" t="s">
        <v>28</v>
      </c>
      <c r="F45" s="18"/>
      <c r="G45" s="3" t="s">
        <v>762</v>
      </c>
      <c r="H45" s="18"/>
      <c r="I45" s="18"/>
      <c r="L45" s="4">
        <v>3</v>
      </c>
      <c r="M45" s="60"/>
      <c r="N45" s="4"/>
      <c r="O45" s="61">
        <f t="shared" si="7"/>
        <v>0</v>
      </c>
      <c r="P45" s="60">
        <f t="shared" si="5"/>
        <v>3</v>
      </c>
      <c r="R45" s="61">
        <v>5</v>
      </c>
      <c r="T45" s="4">
        <v>1</v>
      </c>
      <c r="U45" s="4"/>
      <c r="V45" s="61">
        <f t="shared" si="6"/>
        <v>0</v>
      </c>
      <c r="W45" s="4">
        <v>1</v>
      </c>
      <c r="Y45" s="15">
        <v>2</v>
      </c>
      <c r="Z45" s="61" t="s">
        <v>236</v>
      </c>
      <c r="AA45" s="60" t="str" cm="1">
        <f t="array" ref="AA45">IF(OR(Y45=0,Y45=""),"",IF(VLOOKUP(Z45,$AI$1:$AJ$58,2,FALSE)&gt;=Y45,INDEX(tblDisciplines[Name],MATCH(1,(tblDisciplines[Discipline]=Z45)*(tblDisciplines[Rank]=Y45),0)),""))</f>
        <v/>
      </c>
      <c r="AC45" s="60" t="str">
        <v>Uncanny Perception</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Auspex ●● | Uncanny Perception</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Free (1 V for Insight) Must perceive target  •  Pool: -  •  Instant  •  Scene</v>
      </c>
      <c r="AF45" s="20" t="str">
        <f>IF(AC45="","",IFERROR(VLOOKUP(AC45,tblDisciplines[],12,FALSE),VLOOKUP(AC45,tblPacts[],5,FALSE)))</f>
        <v>Persistent Acute Senses Merit, doubles actual merit. Access to Tier 2 Auspex Insight questions.</v>
      </c>
      <c r="AI45" s="15" t="s">
        <v>46</v>
      </c>
      <c r="AJ45" s="61">
        <f t="shared" si="4"/>
        <v>0</v>
      </c>
      <c r="AK45" s="61">
        <f>IF(AJ45=0,IF(COUNTIF($E$42:$E$49,AI45)&gt;0,-3,-1),AJ45)</f>
        <v>-1</v>
      </c>
    </row>
    <row r="46" spans="1:37">
      <c r="A46" s="1" t="s">
        <v>45</v>
      </c>
      <c r="B46" t="str">
        <f>REPT("●",IFERROR(INDEX($P$42:$P$69,MATCH(tblCharDataConrad[[#This Row],[Field]],$E$42:$E$69,0)),0))&amp;REPT("○",IFERROR(INDEX($V$42:$V$69,MATCH(tblCharDataConrad[[#This Row],[Field]],$E$42:$E$69,0)),0))&amp;IF(IFERROR(INDEX($W$42:$W$69,MATCH(tblCharDataConrad[[#This Row],[Field]],$E$42:$E$69,0)),0)=1,"†","")</f>
        <v/>
      </c>
      <c r="D46" s="18"/>
      <c r="E46" s="15" t="s">
        <v>29</v>
      </c>
      <c r="F46" s="18"/>
      <c r="G46" s="3"/>
      <c r="H46" s="18"/>
      <c r="I46" s="18"/>
      <c r="L46" s="4"/>
      <c r="M46" s="60"/>
      <c r="N46" s="4"/>
      <c r="O46" s="61">
        <f t="shared" si="7"/>
        <v>0</v>
      </c>
      <c r="P46" s="60">
        <f t="shared" si="5"/>
        <v>0</v>
      </c>
      <c r="R46" s="61">
        <v>5</v>
      </c>
      <c r="T46" s="4"/>
      <c r="U46" s="4"/>
      <c r="V46" s="61">
        <f t="shared" si="6"/>
        <v>0</v>
      </c>
      <c r="W46" s="4"/>
      <c r="Y46" s="15">
        <v>3</v>
      </c>
      <c r="Z46" s="61" t="s">
        <v>236</v>
      </c>
      <c r="AA46" s="60" t="str" cm="1">
        <f t="array" ref="AA46">IF(OR(Y46=0,Y46=""),"",IF(VLOOKUP(Z46,$AI$1:$AJ$58,2,FALSE)&gt;=Y46,INDEX(tblDisciplines[Name],MATCH(1,(tblDisciplines[Discipline]=Z46)*(tblDisciplines[Rank]=Y46),0)),""))</f>
        <v/>
      </c>
      <c r="AC46" s="60" t="str">
        <v>Spirit's Touch</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Auspex ●●● | Spirit's Touch</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Free (1 WP for clash / 1 V for Insight)  •  Pool: - v Resolve + Stealth + Obf  •  Reflexive  •  Immediate</v>
      </c>
      <c r="AF46" s="20" t="str">
        <f>IF(AC46="","",IFERROR(VLOOKUP(AC46,tblDisciplines[],12,FALSE),VLOOKUP(AC46,tblPacts[],5,FALSE)))</f>
        <v xml:space="preserve">Passively scan for anyone under Obfuscate 1 or 3, can provoke a challenge. Access to Tier 3 Auspex Insight questions. </v>
      </c>
      <c r="AI46" s="15" t="s">
        <v>354</v>
      </c>
      <c r="AJ46" s="61">
        <f t="shared" ca="1" si="4"/>
        <v>9</v>
      </c>
      <c r="AK46" s="61">
        <f ca="1">AJ46</f>
        <v>9</v>
      </c>
    </row>
    <row r="47" spans="1:37">
      <c r="A47" s="1" t="s">
        <v>46</v>
      </c>
      <c r="B47" t="str">
        <f>REPT("●",IFERROR(INDEX($P$42:$P$69,MATCH(tblCharDataConrad[[#This Row],[Field]],$E$42:$E$69,0)),0))&amp;REPT("○",IFERROR(INDEX($V$42:$V$69,MATCH(tblCharDataConrad[[#This Row],[Field]],$E$42:$E$69,0)),0))&amp;IF(IFERROR(INDEX($W$42:$W$69,MATCH(tblCharDataConrad[[#This Row],[Field]],$E$42:$E$69,0)),0)=1,"†","")</f>
        <v/>
      </c>
      <c r="D47" s="18"/>
      <c r="E47" s="15" t="s">
        <v>30</v>
      </c>
      <c r="F47" s="18"/>
      <c r="G47" s="3"/>
      <c r="H47" s="18"/>
      <c r="I47" s="18"/>
      <c r="L47" s="4">
        <v>4</v>
      </c>
      <c r="M47" s="60"/>
      <c r="N47" s="4"/>
      <c r="O47" s="61">
        <f t="shared" si="7"/>
        <v>0</v>
      </c>
      <c r="P47" s="60">
        <f t="shared" si="5"/>
        <v>4</v>
      </c>
      <c r="R47" s="61">
        <v>5</v>
      </c>
      <c r="T47" s="4"/>
      <c r="U47" s="4"/>
      <c r="V47" s="61">
        <f t="shared" si="6"/>
        <v>0</v>
      </c>
      <c r="W47" s="4"/>
      <c r="Y47" s="15">
        <v>4</v>
      </c>
      <c r="Z47" s="61" t="s">
        <v>236</v>
      </c>
      <c r="AA47" s="60" t="str" cm="1">
        <f t="array" ref="AA47">IF(OR(Y47=0,Y47=""),"",IF(VLOOKUP(Z47,$AI$1:$AJ$58,2,FALSE)&gt;=Y47,INDEX(tblDisciplines[Name],MATCH(1,(tblDisciplines[Discipline]=Z47)*(tblDisciplines[Rank]=Y47),0)),""))</f>
        <v/>
      </c>
      <c r="AC47" s="60" t="str">
        <v>Lay Open the Mind</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Auspex ●●●● | Lay Open the Mind</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Cost: 1 V  •  Pool: 8  v Resolve + BP  •  Instant  •  Scene</v>
      </c>
      <c r="AF47" s="20" t="str">
        <f>IF(AC47="","",IFERROR(VLOOKUP(AC47,tblDisciplines[],12,FALSE),VLOOKUP(AC47,tblPacts[],5,FALSE)))</f>
        <v>Telepathy and mind-reading. Invoke Conditions.</v>
      </c>
      <c r="AI47" s="15" t="s">
        <v>21</v>
      </c>
      <c r="AJ47" s="61">
        <f t="shared" si="4"/>
        <v>2</v>
      </c>
      <c r="AK47" s="61">
        <f>AJ47+IFERROR(INDEX($V$26:$V$38,MATCH(AI47,$E$26:$E$38,0)),0)</f>
        <v>2</v>
      </c>
    </row>
    <row r="48" spans="1:37">
      <c r="A48" s="1" t="s">
        <v>47</v>
      </c>
      <c r="B48" t="str">
        <f>REPT("●",IFERROR(INDEX($P$42:$P$69,MATCH(tblCharDataConrad[[#This Row],[Field]],$E$42:$E$69,0)),0))&amp;REPT("○",IFERROR(INDEX($V$42:$V$69,MATCH(tblCharDataConrad[[#This Row],[Field]],$E$42:$E$69,0)),0))&amp;IF(IFERROR(INDEX($W$42:$W$69,MATCH(tblCharDataConrad[[#This Row],[Field]],$E$42:$E$69,0)),0)=1,"†","")</f>
        <v/>
      </c>
      <c r="D48" s="18"/>
      <c r="E48" s="15" t="s">
        <v>31</v>
      </c>
      <c r="F48" s="18"/>
      <c r="G48" s="3"/>
      <c r="H48" s="18"/>
      <c r="I48" s="18"/>
      <c r="L48" s="4"/>
      <c r="M48" s="60"/>
      <c r="N48" s="4"/>
      <c r="O48" s="61">
        <f t="shared" si="7"/>
        <v>0</v>
      </c>
      <c r="P48" s="60">
        <f t="shared" si="5"/>
        <v>0</v>
      </c>
      <c r="R48" s="61">
        <v>5</v>
      </c>
      <c r="T48" s="4"/>
      <c r="U48" s="4"/>
      <c r="V48" s="61">
        <f t="shared" si="6"/>
        <v>0</v>
      </c>
      <c r="W48" s="4"/>
      <c r="Y48" s="15">
        <v>5</v>
      </c>
      <c r="Z48" s="61" t="s">
        <v>236</v>
      </c>
      <c r="AA48" s="60" t="str" cm="1">
        <f t="array" ref="AA48">IF(OR(Y48=0,Y48=""),"",IF(VLOOKUP(Z48,$AI$1:$AJ$58,2,FALSE)&gt;=Y48,INDEX(tblDisciplines[Name],MATCH(1,(tblDisciplines[Discipline]=Z48)*(tblDisciplines[Rank]=Y48),0)),""))</f>
        <v/>
      </c>
      <c r="AC48" s="60" t="str">
        <v>Twilight Projection</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Auspex ●●●●● | Twilight Projection</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Cost: 2 V  •  Pool: 13  •  Instant  •  Scene (while projected)</v>
      </c>
      <c r="AF48" s="20" t="str">
        <f>IF(AC48="","",IFERROR(VLOOKUP(AC48,tblDisciplines[],12,FALSE),VLOOKUP(AC48,tblPacts[],5,FALSE)))</f>
        <v>Project senses into Twilight. May use Auspex 1-3 once per scene; cannot spend blood for additional uses.</v>
      </c>
      <c r="AI48" s="15" t="s">
        <v>38</v>
      </c>
      <c r="AJ48" s="61">
        <f t="shared" si="4"/>
        <v>3</v>
      </c>
      <c r="AK48" s="61">
        <f>IF(AJ48=0,IF(COUNTIF($E$42:$E$49,AI48)&gt;0,-3,-1),AJ48)</f>
        <v>3</v>
      </c>
    </row>
    <row r="49" spans="1:37">
      <c r="A49" s="1" t="s">
        <v>48</v>
      </c>
      <c r="B49" t="str">
        <f>REPT("●",IFERROR(INDEX($P$42:$P$69,MATCH(tblCharDataConrad[[#This Row],[Field]],$E$42:$E$69,0)),0))&amp;REPT("○",IFERROR(INDEX($V$42:$V$69,MATCH(tblCharDataConrad[[#This Row],[Field]],$E$42:$E$69,0)),0))&amp;IF(IFERROR(INDEX($W$42:$W$69,MATCH(tblCharDataConrad[[#This Row],[Field]],$E$42:$E$69,0)),0)=1,"†","")</f>
        <v>●</v>
      </c>
      <c r="D49" s="18"/>
      <c r="E49" s="15" t="s">
        <v>32</v>
      </c>
      <c r="F49" s="18"/>
      <c r="G49" s="3"/>
      <c r="H49" s="18"/>
      <c r="I49" s="18"/>
      <c r="L49" s="4"/>
      <c r="M49" s="60"/>
      <c r="N49" s="4"/>
      <c r="O49" s="61">
        <f t="shared" si="7"/>
        <v>0</v>
      </c>
      <c r="P49" s="60">
        <f t="shared" si="5"/>
        <v>0</v>
      </c>
      <c r="R49" s="61">
        <v>5</v>
      </c>
      <c r="T49" s="4"/>
      <c r="U49" s="4"/>
      <c r="V49" s="61">
        <f t="shared" si="6"/>
        <v>0</v>
      </c>
      <c r="W49" s="4"/>
      <c r="Y49" s="15">
        <v>1</v>
      </c>
      <c r="Z49" s="61" t="s">
        <v>237</v>
      </c>
      <c r="AA49" s="60" t="str" cm="1">
        <f t="array" ref="AA49">IF(OR(Y49=0,Y49=""),"",IF(VLOOKUP(Z49,$AI$1:$AJ$58,2,FALSE)&gt;=Y49,INDEX(tblDisciplines[Name],MATCH(1,(tblDisciplines[Discipline]=Z49)*(tblDisciplines[Rank]=Y49),0)),""))</f>
        <v>Beast's Hackles</v>
      </c>
      <c r="AC49" s="60" t="str">
        <v>Face in the Crowd</v>
      </c>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Obfuscate ● | Face in the Crowd</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Cost: -  •  Pool: -  •  Instant  •  Scene</v>
      </c>
      <c r="AF49" s="20" t="str">
        <f>IF(AC49="","",IFERROR(VLOOKUP(AC49,tblDisciplines[],12,FALSE),VLOOKUP(AC49,tblPacts[],5,FALSE)))</f>
        <v>Blend into surroundings, visible but unnoticeable. Predatory aura fully on or off. Leaving combat: Wits + Composure - Obfuscate to notice; auto Clash of Wills vs Auspex.</v>
      </c>
      <c r="AI49" s="15" t="s">
        <v>47</v>
      </c>
      <c r="AJ49" s="61">
        <f t="shared" si="4"/>
        <v>0</v>
      </c>
      <c r="AK49" s="61">
        <f>IF(AJ49=0,IF(COUNTIF($E$42:$E$49,AI49)&gt;0,-3,-1),AJ49)</f>
        <v>-1</v>
      </c>
    </row>
    <row r="50" spans="1:37">
      <c r="A50" s="1" t="s">
        <v>49</v>
      </c>
      <c r="B50" t="str">
        <f ca="1">REPT("●",VLOOKUP(tblCharDataConrad[[#This Row],[Field]],INDIRECT($AH$1),2,FALSE)) &amp; REPT("○",10-VLOOKUP(tblCharDataConrad[[#This Row],[Field]],INDIRECT($AH$1),2,FALSE))</f>
        <v>●●○○○○○○○○</v>
      </c>
      <c r="Y50" s="15">
        <v>2</v>
      </c>
      <c r="Z50" s="61" t="s">
        <v>237</v>
      </c>
      <c r="AA50" s="60" t="str" cm="1">
        <f t="array" ref="AA50">IF(OR(Y50=0,Y50=""),"",IF(VLOOKUP(Z50,$AI$1:$AJ$58,2,FALSE)&gt;=Y50,INDEX(tblDisciplines[Name],MATCH(1,(tblDisciplines[Discipline]=Z50)*(tblDisciplines[Rank]=Y50),0)),""))</f>
        <v>Uncanny Perception</v>
      </c>
      <c r="AC50" s="60" t="str">
        <v>Divination 1</v>
      </c>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Blood Sorcery | Divination ●</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v>
      </c>
      <c r="AF50" s="20" t="str">
        <f>IF(AC50="","",IFERROR(VLOOKUP(AC50,tblDisciplines[],12,FALSE),VLOOKUP(AC50,tblPacts[],5,FALSE)))</f>
        <v>Glimpse fragmented details about intended actions. Learn basic info about a target.</v>
      </c>
      <c r="AI50" s="15" t="s">
        <v>19</v>
      </c>
      <c r="AJ50" s="61">
        <f t="shared" si="4"/>
        <v>1</v>
      </c>
      <c r="AK50" s="61">
        <f>AJ50+IFERROR(INDEX($V$26:$V$38,MATCH(AI50,$E$26:$E$38,0)),0)</f>
        <v>1</v>
      </c>
    </row>
    <row r="51" spans="1:37">
      <c r="A51" s="1" t="s">
        <v>50</v>
      </c>
      <c r="B51">
        <f>P72</f>
        <v>2</v>
      </c>
      <c r="D51" s="16" t="s">
        <v>1453</v>
      </c>
      <c r="E51" s="17"/>
      <c r="F51" s="17"/>
      <c r="G51" s="17" t="s">
        <v>1467</v>
      </c>
      <c r="H51" s="16" t="s">
        <v>1446</v>
      </c>
      <c r="I51" s="3" t="s">
        <v>1566</v>
      </c>
      <c r="L51" s="60">
        <f>IF(I51="",0,VLOOKUP(I51,tblPriority[#Data],3,FALSE))-SUM(L52:L59)</f>
        <v>0</v>
      </c>
      <c r="Y51" s="15">
        <v>3</v>
      </c>
      <c r="Z51" s="61" t="s">
        <v>237</v>
      </c>
      <c r="AA51" s="60" t="str" cm="1">
        <f t="array" ref="AA51">IF(OR(Y51=0,Y51=""),"",IF(VLOOKUP(Z51,$AI$1:$AJ$58,2,FALSE)&gt;=Y51,INDEX(tblDisciplines[Name],MATCH(1,(tblDisciplines[Discipline]=Z51)*(tblDisciplines[Rank]=Y51),0)),""))</f>
        <v>Spirit's Touch</v>
      </c>
      <c r="AC51" s="60" t="str">
        <v>Protection 1</v>
      </c>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Blood Sorcery | Protection ●</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v>
      </c>
      <c r="AF51" s="20" t="str">
        <f>IF(AC51="","",IFERROR(VLOOKUP(AC51,tblDisciplines[],12,FALSE),VLOOKUP(AC51,tblPacts[],5,FALSE)))</f>
        <v>Subtract Potency from ritual rolls targeting subject. Heal bashing in vampires. Protect from the Kiss (add Potency to resistance).</v>
      </c>
      <c r="AI51" s="15" t="s">
        <v>48</v>
      </c>
      <c r="AJ51" s="61">
        <f t="shared" si="4"/>
        <v>1</v>
      </c>
      <c r="AK51" s="61">
        <f>IF(AJ51=0,IF(COUNTIF($E$42:$E$49,AI51)&gt;0,-3,-1),AJ51)</f>
        <v>1</v>
      </c>
    </row>
    <row r="52" spans="1:37">
      <c r="A52" s="1" t="s">
        <v>51</v>
      </c>
      <c r="B52" t="str">
        <f>_xlfn.IFNA(VLOOKUP(P72,tblBloodPotency[#Data],5,FALSE),"")</f>
        <v>†</v>
      </c>
      <c r="D52" s="18"/>
      <c r="E52" s="15" t="s">
        <v>33</v>
      </c>
      <c r="F52" s="18"/>
      <c r="G52" s="3"/>
      <c r="H52" s="18"/>
      <c r="I52" s="18"/>
      <c r="L52" s="4"/>
      <c r="M52" s="60"/>
      <c r="N52" s="4"/>
      <c r="O52" s="61">
        <f>ROUNDDOWN(N52/2,0)</f>
        <v>0</v>
      </c>
      <c r="P52" s="60">
        <f t="shared" ref="P52:P59" si="8">MIN(SUM(L52,M52,O52),R52)</f>
        <v>0</v>
      </c>
      <c r="R52" s="61">
        <v>5</v>
      </c>
      <c r="T52" s="4"/>
      <c r="U52" s="4"/>
      <c r="V52" s="61">
        <f t="shared" ref="V52:V59" si="9">U52</f>
        <v>0</v>
      </c>
      <c r="W52" s="4"/>
      <c r="Y52" s="15">
        <v>4</v>
      </c>
      <c r="Z52" s="61" t="s">
        <v>237</v>
      </c>
      <c r="AA52" s="60" t="str" cm="1">
        <f t="array" ref="AA52">IF(OR(Y52=0,Y52=""),"",IF(VLOOKUP(Z52,$AI$1:$AJ$58,2,FALSE)&gt;=Y52,INDEX(tblDisciplines[Name],MATCH(1,(tblDisciplines[Discipline]=Z52)*(tblDisciplines[Rank]=Y52),0)),""))</f>
        <v>Lay Open the Mind</v>
      </c>
      <c r="AC52" s="60" t="str">
        <v>Protection 2</v>
      </c>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Blood Sorcery | Protection ●●</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v>
      </c>
      <c r="AF52" s="20" t="str">
        <f>IF(AC52="","",IFERROR(VLOOKUP(AC52,tblDisciplines[],12,FALSE),VLOOKUP(AC52,tblPacts[],5,FALSE)))</f>
        <v>Grant armour. Ward environmental hazards. Resist frenzy.</v>
      </c>
      <c r="AI52" s="15" t="s">
        <v>39</v>
      </c>
      <c r="AJ52" s="61">
        <f t="shared" si="4"/>
        <v>0</v>
      </c>
      <c r="AK52" s="61">
        <f>IF(AJ52=0,IF(COUNTIF($E$42:$E$49,AI52)&gt;0,-3,-1),AJ52)</f>
        <v>-1</v>
      </c>
    </row>
    <row r="53" spans="1:37">
      <c r="A53" s="1" t="s">
        <v>52</v>
      </c>
      <c r="B53" t="str">
        <f ca="1">REPT("□",P221) &amp; REPT("■",15-P221)</f>
        <v>□□□□□□□■■■■■■■■</v>
      </c>
      <c r="D53" s="18"/>
      <c r="E53" s="15" t="s">
        <v>34</v>
      </c>
      <c r="F53" s="18"/>
      <c r="G53" s="3"/>
      <c r="H53" s="18"/>
      <c r="I53" s="18"/>
      <c r="L53" s="4"/>
      <c r="M53" s="60"/>
      <c r="N53" s="4"/>
      <c r="O53" s="61">
        <f t="shared" ref="O53:O59" si="10">ROUNDDOWN(N53/2,0)</f>
        <v>0</v>
      </c>
      <c r="P53" s="60">
        <f t="shared" si="8"/>
        <v>0</v>
      </c>
      <c r="R53" s="61">
        <v>5</v>
      </c>
      <c r="T53" s="4"/>
      <c r="U53" s="4"/>
      <c r="V53" s="61">
        <f t="shared" si="9"/>
        <v>0</v>
      </c>
      <c r="W53" s="4"/>
      <c r="Y53" s="15">
        <v>5</v>
      </c>
      <c r="Z53" s="61" t="s">
        <v>237</v>
      </c>
      <c r="AA53" s="60" t="str" cm="1">
        <f t="array" ref="AA53">IF(OR(Y53=0,Y53=""),"",IF(VLOOKUP(Z53,$AI$1:$AJ$58,2,FALSE)&gt;=Y53,INDEX(tblDisciplines[Name],MATCH(1,(tblDisciplines[Discipline]=Z53)*(tblDisciplines[Rank]=Y53),0)),""))</f>
        <v>Twilight Projection</v>
      </c>
      <c r="AC53" s="60" t="str">
        <v>Protection 3</v>
      </c>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Blood Sorcery | Protection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v>
      </c>
      <c r="AF53" s="20" t="str">
        <f>IF(AC53="","",IFERROR(VLOOKUP(AC53,tblDisciplines[],12,FALSE),VLOOKUP(AC53,tblPacts[],5,FALSE)))</f>
        <v>Render untouchable or unable to be fed from. Ward physical Discipline effects. Protect from staking. Heal lethal in vampires.</v>
      </c>
      <c r="AI53" s="15" t="s">
        <v>247</v>
      </c>
      <c r="AJ53" s="61">
        <f t="shared" si="4"/>
        <v>4</v>
      </c>
      <c r="AK53" s="61">
        <f>AJ53</f>
        <v>4</v>
      </c>
    </row>
    <row r="54" spans="1:37">
      <c r="A54" s="1" t="s">
        <v>53</v>
      </c>
      <c r="B54" t="str">
        <f>_xlfn.CONCAT(P74-L224," / ",P74)</f>
        <v>5 / 5</v>
      </c>
      <c r="D54" s="18"/>
      <c r="E54" s="15" t="s">
        <v>35</v>
      </c>
      <c r="F54" s="18"/>
      <c r="G54" s="3"/>
      <c r="H54" s="18"/>
      <c r="I54" s="18"/>
      <c r="L54" s="4"/>
      <c r="M54" s="60"/>
      <c r="N54" s="4"/>
      <c r="O54" s="61">
        <f t="shared" si="10"/>
        <v>0</v>
      </c>
      <c r="P54" s="60">
        <f t="shared" si="8"/>
        <v>0</v>
      </c>
      <c r="R54" s="61">
        <v>5</v>
      </c>
      <c r="T54" s="4"/>
      <c r="U54" s="4"/>
      <c r="V54" s="61">
        <f t="shared" si="9"/>
        <v>0</v>
      </c>
      <c r="W54" s="4"/>
      <c r="Y54" s="15">
        <f>P167</f>
        <v>0</v>
      </c>
      <c r="Z54" s="61" t="s">
        <v>238</v>
      </c>
      <c r="AA54" s="60" t="str" cm="1">
        <f t="array" ref="AA54">IF(OR(Y54=0,Y54=""),"",IF(VLOOKUP(Z54,$AI$1:$AJ$58,2,FALSE)&gt;=Y54,INDEX(tblDisciplines[Name],MATCH(1,(tblDisciplines[Discipline]=Z54)*(tblDisciplines[Rank]=Y54),0)),""))</f>
        <v/>
      </c>
      <c r="AC54" s="60" t="str">
        <v>Protection 4</v>
      </c>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Blood Sorcery | Protection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v>
      </c>
      <c r="AF54" s="20" t="str">
        <f>IF(AC54="","",IFERROR(VLOOKUP(AC54,tblDisciplines[],12,FALSE),VLOOKUP(AC54,tblPacts[],5,FALSE)))</f>
        <v>Ward mental Discipline effects (Majesty, Dominate). Protect from Vinculum. Remain active during day (Potency turns).</v>
      </c>
      <c r="AI54" s="15" t="s">
        <v>252</v>
      </c>
      <c r="AJ54" s="61">
        <f t="shared" si="4"/>
        <v>1</v>
      </c>
      <c r="AK54" s="61">
        <f>AJ54</f>
        <v>1</v>
      </c>
    </row>
    <row r="55" spans="1:37">
      <c r="A55" s="1" t="s">
        <v>54</v>
      </c>
      <c r="B55" t="str">
        <f>REPT("□",P74) &amp; REPT("■",10-P74)</f>
        <v>□□□□□■■■■■</v>
      </c>
      <c r="D55" s="18"/>
      <c r="E55" s="15" t="s">
        <v>36</v>
      </c>
      <c r="F55" s="18"/>
      <c r="G55" s="3" t="s">
        <v>763</v>
      </c>
      <c r="H55" s="18"/>
      <c r="I55" s="18"/>
      <c r="L55" s="4">
        <v>1</v>
      </c>
      <c r="M55" s="60"/>
      <c r="N55" s="4"/>
      <c r="O55" s="61">
        <f t="shared" si="10"/>
        <v>0</v>
      </c>
      <c r="P55" s="60">
        <f t="shared" si="8"/>
        <v>1</v>
      </c>
      <c r="R55" s="61">
        <v>5</v>
      </c>
      <c r="T55" s="4">
        <v>1</v>
      </c>
      <c r="U55" s="4"/>
      <c r="V55" s="61">
        <f t="shared" si="9"/>
        <v>0</v>
      </c>
      <c r="W55" s="4"/>
      <c r="Y55" s="15">
        <v>1</v>
      </c>
      <c r="Z55" s="61" t="s">
        <v>239</v>
      </c>
      <c r="AA55" s="60" t="str" cm="1">
        <f t="array" ref="AA55">IF(OR(Y55=0,Y55=""),"",IF(VLOOKUP(Z55,$AI$1:$AJ$58,2,FALSE)&gt;=Y55,INDEX(tblDisciplines[Name],MATCH(1,(tblDisciplines[Discipline]=Z55)*(tblDisciplines[Rank]=Y55),0)),""))</f>
        <v/>
      </c>
      <c r="AC55" s="60" t="str">
        <v>Transmutation 1</v>
      </c>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Blood Sorcery | Transmutation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v>
      </c>
      <c r="AF55" s="20" t="str">
        <f>IF(AC55="","",IFERROR(VLOOKUP(AC55,tblDisciplines[],12,FALSE),VLOOKUP(AC55,tblPacts[],5,FALSE)))</f>
        <v>Minor cosmetic changes to living subjects. Warp dead matter. Animate liquids.</v>
      </c>
      <c r="AI55" s="15" t="s">
        <v>245</v>
      </c>
      <c r="AJ55" s="61">
        <f t="shared" si="4"/>
        <v>0</v>
      </c>
      <c r="AK55" s="61">
        <f>AJ55+IFERROR(INDEX($V$26:$V$38,MATCH(AI55,$E$26:$E$38,0)),0)</f>
        <v>0</v>
      </c>
    </row>
    <row r="56" spans="1:37">
      <c r="A56" s="1" t="s">
        <v>55</v>
      </c>
      <c r="B56" t="str">
        <f ca="1">_xlfn.CONCAT(P75-L223," / ",P75)</f>
        <v>11 / 11</v>
      </c>
      <c r="D56" s="19"/>
      <c r="E56" s="15" t="s">
        <v>37</v>
      </c>
      <c r="F56" s="18"/>
      <c r="G56" s="3"/>
      <c r="H56" s="18"/>
      <c r="I56" s="18"/>
      <c r="L56" s="4"/>
      <c r="M56" s="60"/>
      <c r="N56" s="4"/>
      <c r="O56" s="61">
        <f t="shared" si="10"/>
        <v>0</v>
      </c>
      <c r="P56" s="60">
        <f t="shared" si="8"/>
        <v>0</v>
      </c>
      <c r="R56" s="61">
        <v>5</v>
      </c>
      <c r="T56" s="4"/>
      <c r="U56" s="4"/>
      <c r="V56" s="61">
        <f t="shared" si="9"/>
        <v>0</v>
      </c>
      <c r="W56" s="4"/>
      <c r="Y56" s="15">
        <v>2</v>
      </c>
      <c r="Z56" s="61" t="s">
        <v>239</v>
      </c>
      <c r="AA56" s="60" t="str" cm="1">
        <f t="array" ref="AA56">IF(OR(Y56=0,Y56=""),"",IF(VLOOKUP(Z56,$AI$1:$AJ$58,2,FALSE)&gt;=Y56,INDEX(tblDisciplines[Name],MATCH(1,(tblDisciplines[Discipline]=Z56)*(tblDisciplines[Rank]=Y56),0)),""))</f>
        <v/>
      </c>
      <c r="AC56" s="60" t="str">
        <v/>
      </c>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4"/>
        <v>0</v>
      </c>
      <c r="AK56" s="61">
        <f>IF(AJ56=0,IF(COUNTIF($E$42:$E$49,AI56)&gt;0,-3,-1),AJ56)</f>
        <v>-1</v>
      </c>
    </row>
    <row r="57" spans="1:37">
      <c r="A57" s="1" t="s">
        <v>56</v>
      </c>
      <c r="B57" t="str">
        <f ca="1">REPT("□",P75-L223) &amp; REPT("■",20-P75+L223)</f>
        <v>□□□□□□□□□□□■■■■■■■■■</v>
      </c>
      <c r="D57" s="19"/>
      <c r="E57" s="15" t="s">
        <v>38</v>
      </c>
      <c r="F57" s="18"/>
      <c r="G57" s="3" t="s">
        <v>764</v>
      </c>
      <c r="H57" s="18"/>
      <c r="I57" s="18"/>
      <c r="L57" s="4">
        <v>3</v>
      </c>
      <c r="M57" s="60"/>
      <c r="N57" s="4"/>
      <c r="O57" s="61">
        <f t="shared" si="10"/>
        <v>0</v>
      </c>
      <c r="P57" s="60">
        <f t="shared" si="8"/>
        <v>3</v>
      </c>
      <c r="R57" s="61">
        <v>5</v>
      </c>
      <c r="T57" s="4">
        <v>1</v>
      </c>
      <c r="U57" s="4"/>
      <c r="V57" s="61">
        <f t="shared" si="9"/>
        <v>0</v>
      </c>
      <c r="W57" s="4">
        <v>1</v>
      </c>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4"/>
        <v>5</v>
      </c>
      <c r="AK57" s="61">
        <f>AJ57</f>
        <v>5</v>
      </c>
    </row>
    <row r="58" spans="1:37">
      <c r="A58" s="1" t="s">
        <v>57</v>
      </c>
      <c r="B58">
        <f ca="1">VLOOKUP(VLOOKUP("Blood Potency", INDIRECT($AH$1),2,FALSE),tblBloodPotency[#Data],3,FALSE)</f>
        <v>2</v>
      </c>
      <c r="D58" s="19"/>
      <c r="E58" s="15" t="s">
        <v>39</v>
      </c>
      <c r="F58" s="18"/>
      <c r="G58" s="3"/>
      <c r="H58" s="18"/>
      <c r="I58" s="18"/>
      <c r="L58" s="4"/>
      <c r="M58" s="60"/>
      <c r="N58" s="4"/>
      <c r="O58" s="61">
        <f t="shared" si="10"/>
        <v>0</v>
      </c>
      <c r="P58" s="60">
        <f t="shared" si="8"/>
        <v>0</v>
      </c>
      <c r="R58" s="61">
        <v>5</v>
      </c>
      <c r="T58" s="4"/>
      <c r="U58" s="4"/>
      <c r="V58" s="61">
        <f t="shared" si="9"/>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4"/>
        <v>3</v>
      </c>
      <c r="AK58" s="61">
        <f>AJ58+IFERROR(INDEX($V$26:$V$38,MATCH(AI58,$E$26:$E$38,0)),0)</f>
        <v>3</v>
      </c>
    </row>
    <row r="59" spans="1:37">
      <c r="A59" s="1" t="s">
        <v>58</v>
      </c>
      <c r="B59" t="str">
        <f ca="1">VLOOKUP(VLOOKUP("Blood Potency", INDIRECT($AH$1),2,FALSE),tblBloodPotency[#Data],4,FALSE)</f>
        <v>Animals</v>
      </c>
      <c r="D59" s="19"/>
      <c r="E59" s="15" t="s">
        <v>40</v>
      </c>
      <c r="F59" s="18"/>
      <c r="G59" s="3"/>
      <c r="H59" s="18"/>
      <c r="I59" s="18"/>
      <c r="L59" s="4"/>
      <c r="M59" s="60"/>
      <c r="N59" s="4"/>
      <c r="O59" s="61">
        <f t="shared" si="10"/>
        <v>0</v>
      </c>
      <c r="P59" s="60">
        <f t="shared" si="8"/>
        <v>0</v>
      </c>
      <c r="R59" s="61">
        <v>5</v>
      </c>
      <c r="T59" s="4"/>
      <c r="U59" s="4"/>
      <c r="V59" s="61">
        <f t="shared" si="9"/>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1">IFERROR(IF(VLOOKUP(SUBSTITUTE(A60," Spec",""),$E$42:$G$69,3,FALSE)=0,"",VLOOKUP(SUBSTITUTE(A60," Spec",""),$E$42:$G$69,3,FALSE)),"")</f>
        <v>Criminology</v>
      </c>
      <c r="Y60" s="15">
        <v>1</v>
      </c>
      <c r="Z60" s="61" t="s">
        <v>240</v>
      </c>
      <c r="AA60" s="60" t="str" cm="1">
        <f t="array" ref="AA60">IF(OR(Y60=0,Y60=""),"",IF(VLOOKUP(Z60,$AI$1:$AJ$58,2,FALSE)&gt;=Y60,INDEX(tblDisciplines[Name],MATCH(1,(tblDisciplines[Discipline]=Z60)*(tblDisciplines[Rank]=Y60),0)),""))</f>
        <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1"/>
        <v/>
      </c>
      <c r="D61" s="16" t="s">
        <v>1459</v>
      </c>
      <c r="E61" s="17"/>
      <c r="F61" s="17"/>
      <c r="G61" s="17" t="s">
        <v>1467</v>
      </c>
      <c r="H61" s="16" t="s">
        <v>1446</v>
      </c>
      <c r="I61" s="3" t="s">
        <v>1567</v>
      </c>
      <c r="L61" s="60">
        <f>IF(I61="",0,VLOOKUP(I61,tblPriority[#Data],3,FALSE))-SUM(L62:L69)</f>
        <v>3</v>
      </c>
      <c r="Y61" s="15">
        <v>2</v>
      </c>
      <c r="Z61" s="61" t="s">
        <v>240</v>
      </c>
      <c r="AA61" s="60" t="str" cm="1">
        <f t="array" ref="AA61">IF(OR(Y61=0,Y61=""),"",IF(VLOOKUP(Z61,$AI$1:$AJ$58,2,FALSE)&gt;=Y61,INDEX(tblDisciplines[Name],MATCH(1,(tblDisciplines[Discipline]=Z61)*(tblDisciplines[Rank]=Y61),0)),""))</f>
        <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1"/>
        <v/>
      </c>
      <c r="D62" s="18"/>
      <c r="E62" s="15" t="s">
        <v>41</v>
      </c>
      <c r="F62" s="18"/>
      <c r="G62" s="3"/>
      <c r="H62" s="18"/>
      <c r="I62" s="18"/>
      <c r="L62" s="4"/>
      <c r="M62" s="60"/>
      <c r="N62" s="4"/>
      <c r="O62" s="61">
        <f>ROUNDDOWN(N62/2,0)</f>
        <v>0</v>
      </c>
      <c r="P62" s="60">
        <f t="shared" ref="P62:P69" si="12">MIN(SUM(L62,M62,O62),R62)</f>
        <v>0</v>
      </c>
      <c r="R62" s="61">
        <v>5</v>
      </c>
      <c r="T62" s="4"/>
      <c r="U62" s="4"/>
      <c r="V62" s="61">
        <f t="shared" ref="V62:V69" si="13">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1"/>
        <v>Crime Scene</v>
      </c>
      <c r="D63" s="19"/>
      <c r="E63" s="15" t="s">
        <v>42</v>
      </c>
      <c r="F63" s="18"/>
      <c r="G63" s="3" t="s">
        <v>392</v>
      </c>
      <c r="H63" s="18"/>
      <c r="I63" s="18"/>
      <c r="L63" s="4">
        <v>3</v>
      </c>
      <c r="M63" s="60"/>
      <c r="N63" s="4"/>
      <c r="O63" s="61">
        <f t="shared" ref="O63:O69" si="14">ROUNDDOWN(N63/2,0)</f>
        <v>0</v>
      </c>
      <c r="P63" s="60">
        <f t="shared" si="12"/>
        <v>3</v>
      </c>
      <c r="R63" s="61">
        <v>5</v>
      </c>
      <c r="T63" s="4">
        <v>1</v>
      </c>
      <c r="U63" s="4">
        <v>1</v>
      </c>
      <c r="V63" s="61">
        <f t="shared" si="13"/>
        <v>1</v>
      </c>
      <c r="W63" s="4">
        <v>1</v>
      </c>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1"/>
        <v/>
      </c>
      <c r="D64" s="19"/>
      <c r="E64" s="15" t="s">
        <v>43</v>
      </c>
      <c r="F64" s="18"/>
      <c r="G64" s="3"/>
      <c r="H64" s="18"/>
      <c r="I64" s="18"/>
      <c r="L64" s="4"/>
      <c r="M64" s="60"/>
      <c r="N64" s="4"/>
      <c r="O64" s="61">
        <f t="shared" si="14"/>
        <v>0</v>
      </c>
      <c r="P64" s="60">
        <f t="shared" si="12"/>
        <v>0</v>
      </c>
      <c r="R64" s="61">
        <v>5</v>
      </c>
      <c r="T64" s="4"/>
      <c r="U64" s="4"/>
      <c r="V64" s="61">
        <f t="shared" si="13"/>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1"/>
        <v/>
      </c>
      <c r="D65" s="19"/>
      <c r="E65" s="15" t="s">
        <v>44</v>
      </c>
      <c r="F65" s="18"/>
      <c r="G65" s="3"/>
      <c r="H65" s="18"/>
      <c r="I65" s="18"/>
      <c r="L65" s="4"/>
      <c r="M65" s="60"/>
      <c r="N65" s="4"/>
      <c r="O65" s="61">
        <f t="shared" si="14"/>
        <v>0</v>
      </c>
      <c r="P65" s="60">
        <f t="shared" si="12"/>
        <v>0</v>
      </c>
      <c r="R65" s="61">
        <v>5</v>
      </c>
      <c r="T65" s="4"/>
      <c r="U65" s="4"/>
      <c r="V65" s="61">
        <f t="shared" si="13"/>
        <v>0</v>
      </c>
      <c r="W65" s="4"/>
      <c r="Y65" s="15">
        <v>1</v>
      </c>
      <c r="Z65" s="61" t="s">
        <v>241</v>
      </c>
      <c r="AA65" s="60" t="str" cm="1">
        <f t="array" ref="AA65">IF(OR(Y65=0,Y65=""),"",IF(VLOOKUP(Z65,$AI$1:$AJ$58,2,FALSE)&gt;=Y65,INDEX(tblDisciplines[Name],MATCH(1,(tblDisciplines[Discipline]=Z65)*(tblDisciplines[Rank]=Y65),0)),""))</f>
        <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1"/>
        <v/>
      </c>
      <c r="D66" s="19"/>
      <c r="E66" s="15" t="s">
        <v>45</v>
      </c>
      <c r="F66" s="18"/>
      <c r="G66" s="3"/>
      <c r="H66" s="18"/>
      <c r="I66" s="18"/>
      <c r="L66" s="4"/>
      <c r="M66" s="60"/>
      <c r="N66" s="4"/>
      <c r="O66" s="61">
        <f t="shared" si="14"/>
        <v>0</v>
      </c>
      <c r="P66" s="60">
        <f t="shared" si="12"/>
        <v>0</v>
      </c>
      <c r="R66" s="61">
        <v>5</v>
      </c>
      <c r="T66" s="4"/>
      <c r="U66" s="4"/>
      <c r="V66" s="61">
        <f t="shared" si="13"/>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1"/>
        <v/>
      </c>
      <c r="D67" s="19"/>
      <c r="E67" s="15" t="s">
        <v>46</v>
      </c>
      <c r="F67" s="18"/>
      <c r="G67" s="3"/>
      <c r="H67" s="18"/>
      <c r="I67" s="18"/>
      <c r="L67" s="4"/>
      <c r="M67" s="60"/>
      <c r="N67" s="4"/>
      <c r="O67" s="61">
        <f t="shared" si="14"/>
        <v>0</v>
      </c>
      <c r="P67" s="60">
        <f t="shared" si="12"/>
        <v>0</v>
      </c>
      <c r="R67" s="61">
        <v>5</v>
      </c>
      <c r="T67" s="4"/>
      <c r="U67" s="4"/>
      <c r="V67" s="61">
        <f t="shared" si="13"/>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1"/>
        <v/>
      </c>
      <c r="D68" s="18"/>
      <c r="E68" s="15" t="s">
        <v>47</v>
      </c>
      <c r="F68" s="18"/>
      <c r="G68" s="3"/>
      <c r="H68" s="18"/>
      <c r="I68" s="18"/>
      <c r="L68" s="4"/>
      <c r="M68" s="60"/>
      <c r="N68" s="4"/>
      <c r="O68" s="61">
        <f t="shared" si="14"/>
        <v>0</v>
      </c>
      <c r="P68" s="60">
        <f t="shared" si="12"/>
        <v>0</v>
      </c>
      <c r="R68" s="61">
        <v>5</v>
      </c>
      <c r="T68" s="4"/>
      <c r="U68" s="4"/>
      <c r="V68" s="61">
        <f t="shared" si="13"/>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1"/>
        <v/>
      </c>
      <c r="D69" s="18"/>
      <c r="E69" s="15" t="s">
        <v>48</v>
      </c>
      <c r="F69" s="18"/>
      <c r="G69" s="3"/>
      <c r="H69" s="18"/>
      <c r="I69" s="18"/>
      <c r="L69" s="4">
        <v>1</v>
      </c>
      <c r="M69" s="60"/>
      <c r="N69" s="4"/>
      <c r="O69" s="61">
        <f t="shared" si="14"/>
        <v>0</v>
      </c>
      <c r="P69" s="60">
        <f t="shared" si="12"/>
        <v>1</v>
      </c>
      <c r="R69" s="61">
        <v>5</v>
      </c>
      <c r="T69" s="4"/>
      <c r="U69" s="4"/>
      <c r="V69" s="61">
        <f t="shared" si="13"/>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1"/>
        <v/>
      </c>
      <c r="Y70" s="15">
        <v>1</v>
      </c>
      <c r="Z70" s="61" t="s">
        <v>242</v>
      </c>
      <c r="AA70" s="60" t="str" cm="1">
        <f t="array" ref="AA70">IF(OR(Y70=0,Y70=""),"",IF(VLOOKUP(Z70,$AI$1:$AJ$58,2,FALSE)&gt;=Y70,INDEX(tblDisciplines[Name],MATCH(1,(tblDisciplines[Discipline]=Z70)*(tblDisciplines[Rank]=Y70),0)),""))</f>
        <v>Face in the Crowd</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1"/>
        <v>Pistols</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1"/>
        <v/>
      </c>
      <c r="D72" s="19"/>
      <c r="E72" s="15" t="s">
        <v>49</v>
      </c>
      <c r="F72" s="19"/>
      <c r="G72" s="19"/>
      <c r="H72" s="19"/>
      <c r="I72" s="19"/>
      <c r="K72" s="4"/>
      <c r="L72" s="4">
        <v>5</v>
      </c>
      <c r="M72" s="60">
        <v>1</v>
      </c>
      <c r="N72" s="4"/>
      <c r="O72" s="61">
        <f>ROUNDDOWN(N72/5,0)</f>
        <v>0</v>
      </c>
      <c r="P72" s="60">
        <f>MIN(SUM(K72*-1,ROUNDDOWN(L72/5,0),M72,O72),R72)</f>
        <v>2</v>
      </c>
      <c r="R72" s="61">
        <v>2</v>
      </c>
      <c r="Y72" s="15">
        <v>3</v>
      </c>
      <c r="Z72" s="61" t="s">
        <v>242</v>
      </c>
      <c r="AA72" s="60" t="str" cm="1">
        <f t="array" ref="AA72">IF(OR(Y72=0,Y72=""),"",IF(VLOOKUP(Z72,$AI$1:$AJ$58,2,FALSE)&gt;=Y72,INDEX(tblDisciplines[Name],MATCH(1,(tblDisciplines[Discipline]=Z72)*(tblDisciplines[Rank]=Y72),0)),""))</f>
        <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1"/>
        <v>Stalking</v>
      </c>
      <c r="D73" s="19"/>
      <c r="E73" s="15" t="s">
        <v>1448</v>
      </c>
      <c r="F73" s="19"/>
      <c r="G73" s="19"/>
      <c r="H73" s="19"/>
      <c r="I73" s="19"/>
      <c r="K73" s="4"/>
      <c r="M73" s="60">
        <v>7</v>
      </c>
      <c r="N73" s="4"/>
      <c r="O73" s="61">
        <f>ROUNDDOWN(N73/2,0)</f>
        <v>0</v>
      </c>
      <c r="P73" s="60">
        <f>MIN(SUM(K73*-1,M73,O73),R73)</f>
        <v>7</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1"/>
        <v/>
      </c>
      <c r="D74" s="19"/>
      <c r="E74" s="15" t="s">
        <v>53</v>
      </c>
      <c r="F74" s="19"/>
      <c r="G74" s="19"/>
      <c r="H74" s="19"/>
      <c r="I74" s="19"/>
      <c r="K74" s="4"/>
      <c r="M74" s="60">
        <f>P28+P38</f>
        <v>5</v>
      </c>
      <c r="N74" s="4"/>
      <c r="O74" s="61">
        <f>N74</f>
        <v>0</v>
      </c>
      <c r="P74" s="60">
        <f>MIN(SUM(K74*-1,M74,O74),R74)</f>
        <v>5</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1"/>
        <v/>
      </c>
      <c r="D75" s="19"/>
      <c r="E75" s="15" t="s">
        <v>55</v>
      </c>
      <c r="F75" s="19"/>
      <c r="G75" s="19"/>
      <c r="H75" s="19"/>
      <c r="I75" s="19"/>
      <c r="P75" s="60">
        <f ca="1">VLOOKUP(VLOOKUP("Blood Potency",INDIRECT($AH$1),2,FALSE),tblBloodPotency[],2,FALSE)</f>
        <v>11</v>
      </c>
      <c r="Y75" s="15">
        <v>1</v>
      </c>
      <c r="Z75" s="61" t="s">
        <v>243</v>
      </c>
      <c r="AA75" s="60" t="str" cm="1">
        <f t="array" ref="AA75">IF(OR(Y75=0,Y75=""),"",IF(VLOOKUP(Z75,$AI$1:$AJ$58,2,FALSE)&gt;=Y75,INDEX(tblDisciplines[Name],MATCH(1,(tblDisciplines[Discipline]=Z75)*(tblDisciplines[Rank]=Y75),0)),""))</f>
        <v/>
      </c>
    </row>
    <row r="76" spans="1:32">
      <c r="A76" s="1" t="s">
        <v>75</v>
      </c>
      <c r="B76" t="str">
        <f t="shared" si="11"/>
        <v/>
      </c>
      <c r="Y76" s="15">
        <v>2</v>
      </c>
      <c r="Z76" s="61" t="s">
        <v>243</v>
      </c>
      <c r="AA76" s="60" t="str" cm="1">
        <f t="array" ref="AA76">IF(OR(Y76=0,Y76=""),"",IF(VLOOKUP(Z76,$AI$1:$AJ$58,2,FALSE)&gt;=Y76,INDEX(tblDisciplines[Name],MATCH(1,(tblDisciplines[Discipline]=Z76)*(tblDisciplines[Rank]=Y76),0)),""))</f>
        <v/>
      </c>
    </row>
    <row r="77" spans="1:32" ht="15.75" thickBot="1">
      <c r="A77" s="1" t="s">
        <v>76</v>
      </c>
      <c r="B77" t="str">
        <f t="shared" si="11"/>
        <v>Motives</v>
      </c>
      <c r="D77" s="14" t="s">
        <v>1470</v>
      </c>
      <c r="E77" s="14"/>
      <c r="F77" s="14"/>
      <c r="G77" s="14"/>
      <c r="H77" s="14"/>
      <c r="I77" s="14"/>
      <c r="N77" s="60">
        <f>SUM(N79:N98,N101:N120,N206:N215,N132:N135,N138:N157,N160:N161)</f>
        <v>1</v>
      </c>
      <c r="Y77" s="15">
        <v>3</v>
      </c>
      <c r="Z77" s="61" t="s">
        <v>243</v>
      </c>
      <c r="AA77" s="60" t="str" cm="1">
        <f t="array" ref="AA77">IF(OR(Y77=0,Y77=""),"",IF(VLOOKUP(Z77,$AI$1:$AJ$58,2,FALSE)&gt;=Y77,INDEX(tblDisciplines[Name],MATCH(1,(tblDisciplines[Discipline]=Z77)*(tblDisciplines[Rank]=Y77),0)),""))</f>
        <v/>
      </c>
    </row>
    <row r="78" spans="1:32">
      <c r="A78" s="1" t="s">
        <v>77</v>
      </c>
      <c r="B78" t="str">
        <f t="shared" si="11"/>
        <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1"/>
        <v/>
      </c>
      <c r="D79" s="19"/>
      <c r="E79" s="15" t="s">
        <v>114</v>
      </c>
      <c r="F79" s="3" t="s">
        <v>1600</v>
      </c>
      <c r="G79" s="3"/>
      <c r="H79" s="67" t="str">
        <f>_xlfn.IFNA(IF(VLOOKUP(F79,tblMerits[#Data],6,FALSE)=0,"None",VLOOKUP(F79,tblMerits[#Data],6,FALSE)),"None")</f>
        <v>None</v>
      </c>
      <c r="I79" s="67"/>
      <c r="L79" s="4"/>
      <c r="M79" s="4"/>
      <c r="N79" s="4">
        <v>1</v>
      </c>
      <c r="O79" s="61">
        <f>N79</f>
        <v>1</v>
      </c>
      <c r="P79" s="60">
        <f t="shared" ref="P79:P98" si="15">MIN(SUM(L79,M79,O79),R79)</f>
        <v>1</v>
      </c>
      <c r="Q79" s="61">
        <f>_xlfn.IFNA(VLOOKUP($F79,tblMerits[],3,FALSE),"")</f>
        <v>1</v>
      </c>
      <c r="R79" s="61">
        <f>_xlfn.IFNA(VLOOKUP($F79,tblMerits[],4,FALSE),"")</f>
        <v>1</v>
      </c>
      <c r="Y79" s="15">
        <v>5</v>
      </c>
      <c r="Z79" s="61" t="s">
        <v>243</v>
      </c>
      <c r="AA79" s="60" t="str" cm="1">
        <f t="array" ref="AA79">IF(OR(Y79=0,Y79=""),"",IF(VLOOKUP(Z79,$AI$1:$AJ$58,2,FALSE)&gt;=Y79,INDEX(tblDisciplines[Name],MATCH(1,(tblDisciplines[Discipline]=Z79)*(tblDisciplines[Rank]=Y79),0)),""))</f>
        <v/>
      </c>
    </row>
    <row r="80" spans="1:32">
      <c r="A80" s="1" t="s">
        <v>79</v>
      </c>
      <c r="B80" t="str">
        <f t="shared" si="11"/>
        <v/>
      </c>
      <c r="D80" s="19"/>
      <c r="E80" s="15" t="s">
        <v>115</v>
      </c>
      <c r="F80" s="3"/>
      <c r="G80" s="3"/>
      <c r="H80" s="67" t="str">
        <f>_xlfn.IFNA(IF(VLOOKUP(F80,tblMerits[#Data],6,FALSE)=0,"None",VLOOKUP(F80,tblMerits[#Data],6,FALSE)),"None")</f>
        <v>None</v>
      </c>
      <c r="I80" s="67"/>
      <c r="L80" s="4"/>
      <c r="M80" s="4"/>
      <c r="N80" s="4"/>
      <c r="O80" s="61">
        <f t="shared" ref="O80:O98" si="16">N80</f>
        <v>0</v>
      </c>
      <c r="P80" s="60">
        <f t="shared" si="15"/>
        <v>0</v>
      </c>
      <c r="Q80" s="61" t="str">
        <f>_xlfn.IFNA(VLOOKUP($F80,tblMerits[],3,FALSE),"")</f>
        <v/>
      </c>
      <c r="R80" s="61" t="str">
        <f>_xlfn.IFNA(VLOOKUP($F80,tblMerits[],4,FALSE),"")</f>
        <v/>
      </c>
      <c r="Y80" s="15">
        <f>P173</f>
        <v>0</v>
      </c>
      <c r="Z80" s="61" t="s">
        <v>244</v>
      </c>
      <c r="AA80" s="60" t="str" cm="1">
        <f t="array" ref="AA80">IF(OR(Y80=0,Y80=""),"",IF(VLOOKUP(Z80,$AI$1:$AJ$58,2,FALSE)&gt;=Y80,INDEX(tblDisciplines[Name],MATCH(1,(tblDisciplines[Discipline]=Z80)*(tblDisciplines[Rank]=Y80),0)),""))</f>
        <v/>
      </c>
    </row>
    <row r="81" spans="1:27">
      <c r="A81" s="1" t="s">
        <v>80</v>
      </c>
      <c r="B81" t="str">
        <f t="shared" si="11"/>
        <v/>
      </c>
      <c r="D81" s="19"/>
      <c r="E81" s="15" t="s">
        <v>116</v>
      </c>
      <c r="F81" s="3"/>
      <c r="G81" s="3"/>
      <c r="H81" s="67" t="str">
        <f>_xlfn.IFNA(IF(VLOOKUP(F81,tblMerits[#Data],6,FALSE)=0,"None",VLOOKUP(F81,tblMerits[#Data],6,FALSE)),"None")</f>
        <v>None</v>
      </c>
      <c r="I81" s="67"/>
      <c r="L81" s="4"/>
      <c r="M81" s="4"/>
      <c r="N81" s="4"/>
      <c r="O81" s="61">
        <f t="shared" si="16"/>
        <v>0</v>
      </c>
      <c r="P81" s="60">
        <f t="shared" si="15"/>
        <v>0</v>
      </c>
      <c r="Q81" s="61" t="str">
        <f>_xlfn.IFNA(VLOOKUP($F81,tblMerits[],3,FALSE),"")</f>
        <v/>
      </c>
      <c r="R81" s="61" t="str">
        <f>_xlfn.IFNA(VLOOKUP($F81,tblMerits[],4,FALSE),"")</f>
        <v/>
      </c>
      <c r="Y81" s="15">
        <f>P174</f>
        <v>0</v>
      </c>
      <c r="Z81" s="61" t="s">
        <v>245</v>
      </c>
      <c r="AA81" s="60" t="str" cm="1">
        <f t="array" ref="AA81">IF(OR(Y81=0,Y81=""),"",IF(VLOOKUP(Z81,$AI$1:$AJ$58,2,FALSE)&gt;=Y81,INDEX(tblDisciplines[Name],MATCH(1,(tblDisciplines[Discipline]=Z81)*(tblDisciplines[Rank]=Y81),0)),""))</f>
        <v/>
      </c>
    </row>
    <row r="82" spans="1:27">
      <c r="A82" s="1" t="s">
        <v>81</v>
      </c>
      <c r="B82" t="str">
        <f t="shared" si="11"/>
        <v/>
      </c>
      <c r="D82" s="19"/>
      <c r="E82" s="15" t="s">
        <v>117</v>
      </c>
      <c r="F82" s="3"/>
      <c r="G82" s="3"/>
      <c r="H82" s="67" t="str">
        <f>_xlfn.IFNA(IF(VLOOKUP(F82,tblMerits[#Data],6,FALSE)=0,"None",VLOOKUP(F82,tblMerits[#Data],6,FALSE)),"None")</f>
        <v>None</v>
      </c>
      <c r="I82" s="67"/>
      <c r="L82" s="4"/>
      <c r="M82" s="4"/>
      <c r="N82" s="4"/>
      <c r="O82" s="61">
        <f t="shared" si="16"/>
        <v>0</v>
      </c>
      <c r="P82" s="60">
        <f t="shared" si="15"/>
        <v>0</v>
      </c>
      <c r="Q82" s="61" t="str">
        <f>_xlfn.IFNA(VLOOKUP($F82,tblMerits[],3,FALSE),"")</f>
        <v/>
      </c>
      <c r="R82" s="61" t="str">
        <f>_xlfn.IFNA(VLOOKUP($F82,tblMerits[],4,FALSE),"")</f>
        <v/>
      </c>
      <c r="Y82" s="61" t="s">
        <v>1472</v>
      </c>
      <c r="Z82" s="19"/>
      <c r="AA82" s="60" t="str">
        <f>IF(P177="","",F177)</f>
        <v/>
      </c>
    </row>
    <row r="83" spans="1:27">
      <c r="A83" s="1" t="s">
        <v>82</v>
      </c>
      <c r="B83" t="str">
        <f t="shared" si="11"/>
        <v/>
      </c>
      <c r="D83" s="19"/>
      <c r="E83" s="15" t="s">
        <v>118</v>
      </c>
      <c r="F83" s="3"/>
      <c r="G83" s="3"/>
      <c r="H83" s="67" t="str">
        <f>_xlfn.IFNA(IF(VLOOKUP(F83,tblMerits[#Data],6,FALSE)=0,"None",VLOOKUP(F83,tblMerits[#Data],6,FALSE)),"None")</f>
        <v>None</v>
      </c>
      <c r="I83" s="67"/>
      <c r="L83" s="4"/>
      <c r="M83" s="4"/>
      <c r="N83" s="4"/>
      <c r="O83" s="61">
        <f t="shared" si="16"/>
        <v>0</v>
      </c>
      <c r="P83" s="60">
        <f t="shared" si="15"/>
        <v>0</v>
      </c>
      <c r="Q83" s="61" t="str">
        <f>_xlfn.IFNA(VLOOKUP($F83,tblMerits[],3,FALSE),"")</f>
        <v/>
      </c>
      <c r="R83" s="61" t="str">
        <f>_xlfn.IFNA(VLOOKUP($F83,tblMerits[],4,FALSE),"")</f>
        <v/>
      </c>
      <c r="Y83" s="61" t="s">
        <v>1472</v>
      </c>
      <c r="Z83" s="19"/>
      <c r="AA83" s="60" t="str">
        <f>IF(P178="","",F178)</f>
        <v/>
      </c>
    </row>
    <row r="84" spans="1:27">
      <c r="A84" s="1" t="s">
        <v>83</v>
      </c>
      <c r="B84">
        <f>P124</f>
        <v>2</v>
      </c>
      <c r="D84" s="19"/>
      <c r="E84" s="15" t="s">
        <v>119</v>
      </c>
      <c r="F84" s="3"/>
      <c r="G84" s="3"/>
      <c r="H84" s="67" t="str">
        <f>_xlfn.IFNA(IF(VLOOKUP(F84,tblMerits[#Data],6,FALSE)=0,"None",VLOOKUP(F84,tblMerits[#Data],6,FALSE)),"None")</f>
        <v>None</v>
      </c>
      <c r="I84" s="67"/>
      <c r="L84" s="4"/>
      <c r="M84" s="4"/>
      <c r="N84" s="4"/>
      <c r="O84" s="61">
        <f t="shared" si="16"/>
        <v>0</v>
      </c>
      <c r="P84" s="60">
        <f t="shared" si="15"/>
        <v>0</v>
      </c>
      <c r="Q84" s="61" t="str">
        <f>_xlfn.IFNA(VLOOKUP($F84,tblMerits[],3,FALSE),"")</f>
        <v/>
      </c>
      <c r="R84" s="61" t="str">
        <f>_xlfn.IFNA(VLOOKUP($F84,tblMerits[],4,FALSE),"")</f>
        <v/>
      </c>
      <c r="Y84" s="61" t="s">
        <v>1472</v>
      </c>
      <c r="Z84" s="19"/>
      <c r="AA84" s="60" t="str">
        <f>IF(P179="","",F179)</f>
        <v/>
      </c>
    </row>
    <row r="85" spans="1:27">
      <c r="A85" s="1" t="s">
        <v>84</v>
      </c>
      <c r="B85">
        <f>P125</f>
        <v>2</v>
      </c>
      <c r="D85" s="19"/>
      <c r="E85" s="15" t="s">
        <v>120</v>
      </c>
      <c r="F85" s="3"/>
      <c r="G85" s="3"/>
      <c r="H85" s="67" t="str">
        <f>_xlfn.IFNA(IF(VLOOKUP(F85,tblMerits[#Data],6,FALSE)=0,"None",VLOOKUP(F85,tblMerits[#Data],6,FALSE)),"None")</f>
        <v>None</v>
      </c>
      <c r="I85" s="67"/>
      <c r="L85" s="4"/>
      <c r="M85" s="4"/>
      <c r="N85" s="4"/>
      <c r="O85" s="61">
        <f t="shared" si="16"/>
        <v>0</v>
      </c>
      <c r="P85" s="60">
        <f t="shared" si="15"/>
        <v>0</v>
      </c>
      <c r="Q85" s="61" t="str">
        <f>_xlfn.IFNA(VLOOKUP($F85,tblMerits[],3,FALSE),"")</f>
        <v/>
      </c>
      <c r="R85" s="61" t="str">
        <f>_xlfn.IFNA(VLOOKUP($F85,tblMerits[],4,FALSE),"")</f>
        <v/>
      </c>
      <c r="Y85" s="61" t="s">
        <v>1472</v>
      </c>
      <c r="Z85" s="19"/>
      <c r="AA85" s="60" t="str">
        <f>IF(P180="","",F180)</f>
        <v/>
      </c>
    </row>
    <row r="86" spans="1:27">
      <c r="A86" s="1" t="s">
        <v>85</v>
      </c>
      <c r="B86">
        <f>P126</f>
        <v>3</v>
      </c>
      <c r="D86" s="19"/>
      <c r="E86" s="15" t="s">
        <v>121</v>
      </c>
      <c r="F86" s="3"/>
      <c r="G86" s="3"/>
      <c r="H86" s="67" t="str">
        <f>_xlfn.IFNA(IF(VLOOKUP(F86,tblMerits[#Data],6,FALSE)=0,"None",VLOOKUP(F86,tblMerits[#Data],6,FALSE)),"None")</f>
        <v>None</v>
      </c>
      <c r="I86" s="67"/>
      <c r="L86" s="4"/>
      <c r="M86" s="4"/>
      <c r="N86" s="4"/>
      <c r="O86" s="61">
        <f t="shared" si="16"/>
        <v>0</v>
      </c>
      <c r="P86" s="60">
        <f t="shared" si="15"/>
        <v>0</v>
      </c>
      <c r="Q86" s="61" t="str">
        <f>_xlfn.IFNA(VLOOKUP($F86,tblMerits[],3,FALSE),"")</f>
        <v/>
      </c>
      <c r="R86" s="61" t="str">
        <f>_xlfn.IFNA(VLOOKUP($F86,tblMerits[],4,FALSE),"")</f>
        <v/>
      </c>
      <c r="Y86" s="61" t="s">
        <v>1472</v>
      </c>
      <c r="Z86" s="19"/>
      <c r="AA86" s="60" t="str">
        <f>IF(P181="","",F181)</f>
        <v/>
      </c>
    </row>
    <row r="87" spans="1:27">
      <c r="A87" s="1" t="s">
        <v>86</v>
      </c>
      <c r="B87" t="str">
        <f>IF(F126="","¬",F126)</f>
        <v>Lance</v>
      </c>
      <c r="D87" s="19"/>
      <c r="E87" s="15" t="s">
        <v>122</v>
      </c>
      <c r="F87" s="3"/>
      <c r="G87" s="3"/>
      <c r="H87" s="67" t="str">
        <f>_xlfn.IFNA(IF(VLOOKUP(F87,tblMerits[#Data],6,FALSE)=0,"None",VLOOKUP(F87,tblMerits[#Data],6,FALSE)),"None")</f>
        <v>None</v>
      </c>
      <c r="I87" s="67"/>
      <c r="L87" s="4"/>
      <c r="M87" s="4"/>
      <c r="N87" s="4"/>
      <c r="O87" s="61">
        <f t="shared" si="16"/>
        <v>0</v>
      </c>
      <c r="P87" s="60">
        <f t="shared" si="15"/>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
      </c>
    </row>
    <row r="88" spans="1:27">
      <c r="A88" s="1" t="s">
        <v>87</v>
      </c>
      <c r="B88" t="str">
        <f>REPT("●",P126)</f>
        <v>●●●</v>
      </c>
      <c r="D88" s="19"/>
      <c r="E88" s="15" t="s">
        <v>123</v>
      </c>
      <c r="F88" s="3"/>
      <c r="G88" s="3"/>
      <c r="H88" s="67" t="str">
        <f>_xlfn.IFNA(IF(VLOOKUP(F88,tblMerits[#Data],6,FALSE)=0,"None",VLOOKUP(F88,tblMerits[#Data],6,FALSE)),"None")</f>
        <v>None</v>
      </c>
      <c r="I88" s="67"/>
      <c r="L88" s="4"/>
      <c r="M88" s="4"/>
      <c r="N88" s="4"/>
      <c r="O88" s="61">
        <f t="shared" si="16"/>
        <v>0</v>
      </c>
      <c r="P88" s="60">
        <f t="shared" si="15"/>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Carthian</v>
      </c>
      <c r="D89" s="19"/>
      <c r="E89" s="15" t="s">
        <v>124</v>
      </c>
      <c r="F89" s="3"/>
      <c r="G89" s="3"/>
      <c r="H89" s="67" t="str">
        <f>_xlfn.IFNA(IF(VLOOKUP(F89,tblMerits[#Data],6,FALSE)=0,"None",VLOOKUP(F89,tblMerits[#Data],6,FALSE)),"None")</f>
        <v>None</v>
      </c>
      <c r="I89" s="67"/>
      <c r="L89" s="4"/>
      <c r="M89" s="4"/>
      <c r="N89" s="4"/>
      <c r="O89" s="61">
        <f t="shared" si="16"/>
        <v>0</v>
      </c>
      <c r="P89" s="60">
        <f t="shared" si="15"/>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_xlfn.IFNA(IF(VLOOKUP(F90,tblMerits[#Data],6,FALSE)=0,"None",VLOOKUP(F90,tblMerits[#Data],6,FALSE)),"None")</f>
        <v>None</v>
      </c>
      <c r="I90" s="67"/>
      <c r="L90" s="4"/>
      <c r="M90" s="4"/>
      <c r="N90" s="4"/>
      <c r="O90" s="61">
        <f t="shared" si="16"/>
        <v>0</v>
      </c>
      <c r="P90" s="60">
        <f t="shared" si="15"/>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Crone</v>
      </c>
      <c r="D91" s="19"/>
      <c r="E91" s="15" t="s">
        <v>126</v>
      </c>
      <c r="F91" s="3"/>
      <c r="G91" s="3"/>
      <c r="H91" s="67" t="str">
        <f>_xlfn.IFNA(IF(VLOOKUP(F91,tblMerits[#Data],6,FALSE)=0,"None",VLOOKUP(F91,tblMerits[#Data],6,FALSE)),"None")</f>
        <v>None</v>
      </c>
      <c r="I91" s="67"/>
      <c r="L91" s="4"/>
      <c r="M91" s="4"/>
      <c r="N91" s="4"/>
      <c r="O91" s="61">
        <f t="shared" si="16"/>
        <v>0</v>
      </c>
      <c r="P91" s="60">
        <f t="shared" si="15"/>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_xlfn.IFNA(IF(VLOOKUP(F92,tblMerits[#Data],6,FALSE)=0,"None",VLOOKUP(F92,tblMerits[#Data],6,FALSE)),"None")</f>
        <v>None</v>
      </c>
      <c r="I92" s="67"/>
      <c r="L92" s="4"/>
      <c r="M92" s="4"/>
      <c r="N92" s="4"/>
      <c r="O92" s="61">
        <f t="shared" si="16"/>
        <v>0</v>
      </c>
      <c r="P92" s="60">
        <f t="shared" si="15"/>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Invictus</v>
      </c>
      <c r="D93" s="19"/>
      <c r="E93" s="15" t="s">
        <v>128</v>
      </c>
      <c r="F93" s="3"/>
      <c r="G93" s="3"/>
      <c r="H93" s="67" t="str">
        <f>_xlfn.IFNA(IF(VLOOKUP(F93,tblMerits[#Data],6,FALSE)=0,"None",VLOOKUP(F93,tblMerits[#Data],6,FALSE)),"None")</f>
        <v>None</v>
      </c>
      <c r="I93" s="67"/>
      <c r="L93" s="4"/>
      <c r="M93" s="4"/>
      <c r="N93" s="4"/>
      <c r="O93" s="61">
        <f t="shared" si="16"/>
        <v>0</v>
      </c>
      <c r="P93" s="60">
        <f t="shared" si="15"/>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_xlfn.IFNA(IF(VLOOKUP(F94,tblMerits[#Data],6,FALSE)=0,"None",VLOOKUP(F94,tblMerits[#Data],6,FALSE)),"None")</f>
        <v>None</v>
      </c>
      <c r="I94" s="67"/>
      <c r="L94" s="4"/>
      <c r="M94" s="4"/>
      <c r="N94" s="4"/>
      <c r="O94" s="61">
        <f t="shared" si="16"/>
        <v>0</v>
      </c>
      <c r="P94" s="60">
        <f t="shared" si="15"/>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_xlfn.IFNA(IF(VLOOKUP(F95,tblMerits[#Data],6,FALSE)=0,"None",VLOOKUP(F95,tblMerits[#Data],6,FALSE)),"None")</f>
        <v>None</v>
      </c>
      <c r="I95" s="67"/>
      <c r="L95" s="4"/>
      <c r="M95" s="4"/>
      <c r="N95" s="4"/>
      <c r="O95" s="61">
        <f t="shared" si="16"/>
        <v>0</v>
      </c>
      <c r="P95" s="60">
        <f t="shared" si="15"/>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_xlfn.IFNA(IF(VLOOKUP(F96,tblMerits[#Data],6,FALSE)=0,"None",VLOOKUP(F96,tblMerits[#Data],6,FALSE)),"None")</f>
        <v>None</v>
      </c>
      <c r="I96" s="67"/>
      <c r="L96" s="4"/>
      <c r="M96" s="4"/>
      <c r="N96" s="4"/>
      <c r="O96" s="61">
        <f t="shared" si="16"/>
        <v>0</v>
      </c>
      <c r="P96" s="60">
        <f t="shared" si="15"/>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_xlfn.IFNA(IF(VLOOKUP(F97,tblMerits[#Data],6,FALSE)=0,"None",VLOOKUP(F97,tblMerits[#Data],6,FALSE)),"None")</f>
        <v>None</v>
      </c>
      <c r="I97" s="67"/>
      <c r="L97" s="4"/>
      <c r="M97" s="4"/>
      <c r="N97" s="4"/>
      <c r="O97" s="61">
        <f t="shared" si="16"/>
        <v>0</v>
      </c>
      <c r="P97" s="60">
        <f t="shared" si="15"/>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Divination 1</v>
      </c>
    </row>
    <row r="98" spans="1:27">
      <c r="A98" s="1" t="s">
        <v>97</v>
      </c>
      <c r="B98" t="str">
        <f>IF(OR(P135=0,P135=""),"-",REPT("●",P135))</f>
        <v>●</v>
      </c>
      <c r="D98" s="19"/>
      <c r="E98" s="15" t="s">
        <v>133</v>
      </c>
      <c r="F98" s="3"/>
      <c r="G98" s="3"/>
      <c r="H98" s="67" t="str">
        <f>_xlfn.IFNA(IF(VLOOKUP(F98,tblMerits[#Data],6,FALSE)=0,"None",VLOOKUP(F98,tblMerits[#Data],6,FALSE)),"None")</f>
        <v>None</v>
      </c>
      <c r="I98" s="67"/>
      <c r="L98" s="4"/>
      <c r="M98" s="4"/>
      <c r="N98" s="4"/>
      <c r="O98" s="61">
        <f t="shared" si="16"/>
        <v>0</v>
      </c>
      <c r="P98" s="60">
        <f t="shared" si="15"/>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c r="G101" s="60" t="str">
        <f>IFERROR(VLOOKUP(F101,tblManoeuvre[#Data],2,FALSE)&amp;" "&amp;VLOOKUP(F101,tblManoeuvre[#Data],3,FALSE),"")</f>
        <v/>
      </c>
      <c r="H101" s="67" t="str">
        <f>IFERROR(IF(VLOOKUP(F101,tblManoeuvre[#Data],8,FALSE)=0,"None",VLOOKUP(F101,tblManoeuvre[#Data],8,FALSE)),"None")</f>
        <v>None</v>
      </c>
      <c r="I101" s="67"/>
      <c r="L101" s="4"/>
      <c r="M101" s="4"/>
      <c r="N101" s="4"/>
      <c r="O101" s="61">
        <f t="shared" ref="O101:O120" si="17">N101</f>
        <v>0</v>
      </c>
      <c r="P101" s="60">
        <f t="shared" ref="P101:P120" si="18">MIN(SUM(L101,M101,O101),R101)</f>
        <v>0</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Private Investigator</v>
      </c>
      <c r="D102" s="19"/>
      <c r="E102" s="15" t="s">
        <v>1441</v>
      </c>
      <c r="F102" s="3"/>
      <c r="G102" s="60" t="str">
        <f>IFERROR(VLOOKUP(F102,tblManoeuvre[#Data],2,FALSE)&amp;" "&amp;VLOOKUP(F102,tblManoeuvre[#Data],3,FALSE),"")</f>
        <v/>
      </c>
      <c r="H102" s="67" t="str">
        <f>IFERROR(IF(VLOOKUP(F102,tblManoeuvre[#Data],8,FALSE)=0,"None",VLOOKUP(F102,tblManoeuvre[#Data],8,FALSE)),"None")</f>
        <v>None</v>
      </c>
      <c r="I102" s="67"/>
      <c r="L102" s="4"/>
      <c r="M102" s="4"/>
      <c r="N102" s="4"/>
      <c r="O102" s="61">
        <f t="shared" si="17"/>
        <v>0</v>
      </c>
      <c r="P102" s="60">
        <f t="shared" si="18"/>
        <v>0</v>
      </c>
      <c r="Q102" s="61">
        <v>1</v>
      </c>
      <c r="R102" s="61">
        <v>1</v>
      </c>
      <c r="Y102" s="15">
        <v>1</v>
      </c>
      <c r="Z102" s="61" t="s">
        <v>251</v>
      </c>
      <c r="AA102" s="60" t="str" cm="1">
        <f t="array" ref="AA102">IF(VLOOKUP(Z102,$AI$1:$AJ$58,2,FALSE)&gt;=Y102,INDEX(tblDisciplines[Name],MATCH(1,(tblDisciplines[Discipline]=Z102)*(tblDisciplines[Rank]=Y102),0)),"")</f>
        <v>Protection 1</v>
      </c>
    </row>
    <row r="103" spans="1:27">
      <c r="A103" s="1" t="s">
        <v>102</v>
      </c>
      <c r="B103">
        <f>P73</f>
        <v>7</v>
      </c>
      <c r="D103" s="19"/>
      <c r="E103" s="15" t="s">
        <v>1443</v>
      </c>
      <c r="F103" s="3"/>
      <c r="G103" s="60" t="str">
        <f>IFERROR(VLOOKUP(F103,tblManoeuvre[#Data],2,FALSE)&amp;" "&amp;VLOOKUP(F103,tblManoeuvre[#Data],3,FALSE),"")</f>
        <v/>
      </c>
      <c r="H103" s="67" t="str">
        <f>IFERROR(IF(VLOOKUP(F103,tblManoeuvre[#Data],8,FALSE)=0,"None",VLOOKUP(F103,tblManoeuvre[#Data],8,FALSE)),"None")</f>
        <v>None</v>
      </c>
      <c r="I103" s="67"/>
      <c r="L103" s="4"/>
      <c r="M103" s="4"/>
      <c r="N103" s="4"/>
      <c r="O103" s="61">
        <f t="shared" si="17"/>
        <v>0</v>
      </c>
      <c r="P103" s="60">
        <f t="shared" si="18"/>
        <v>0</v>
      </c>
      <c r="Q103" s="61">
        <v>1</v>
      </c>
      <c r="R103" s="61">
        <v>1</v>
      </c>
      <c r="Y103" s="15">
        <v>2</v>
      </c>
      <c r="Z103" s="61" t="s">
        <v>251</v>
      </c>
      <c r="AA103" s="60" t="str" cm="1">
        <f t="array" ref="AA103">IF(VLOOKUP(Z103,$AI$1:$AJ$58,2,FALSE)&gt;=Y103,INDEX(tblDisciplines[Name],MATCH(1,(tblDisciplines[Discipline]=Z103)*(tblDisciplines[Rank]=Y103),0)),"")</f>
        <v>Protection 2</v>
      </c>
    </row>
    <row r="104" spans="1:27">
      <c r="A104" s="1" t="s">
        <v>103</v>
      </c>
      <c r="B104" t="str">
        <f>_xlfn.IFNA(VLOOKUP(P73,tblHumanity[#Data],2,FALSE),"")</f>
        <v>~</v>
      </c>
      <c r="D104" s="19"/>
      <c r="E104" s="15" t="s">
        <v>1447</v>
      </c>
      <c r="F104" s="3"/>
      <c r="G104" s="60" t="str">
        <f>IFERROR(VLOOKUP(F104,tblManoeuvre[#Data],2,FALSE)&amp;" "&amp;VLOOKUP(F104,tblManoeuvre[#Data],3,FALSE),"")</f>
        <v/>
      </c>
      <c r="H104" s="67" t="str">
        <f>IFERROR(IF(VLOOKUP(F104,tblManoeuvre[#Data],8,FALSE)=0,"None",VLOOKUP(F104,tblManoeuvre[#Data],8,FALSE)),"None")</f>
        <v>None</v>
      </c>
      <c r="I104" s="67"/>
      <c r="L104" s="4"/>
      <c r="M104" s="4"/>
      <c r="N104" s="4"/>
      <c r="O104" s="61">
        <f t="shared" si="17"/>
        <v>0</v>
      </c>
      <c r="P104" s="60">
        <f t="shared" si="18"/>
        <v>0</v>
      </c>
      <c r="Q104" s="61">
        <v>1</v>
      </c>
      <c r="R104" s="61">
        <v>1</v>
      </c>
      <c r="Y104" s="15">
        <v>3</v>
      </c>
      <c r="Z104" s="61" t="s">
        <v>251</v>
      </c>
      <c r="AA104" s="60" t="str" cm="1">
        <f t="array" ref="AA104">IF(VLOOKUP(Z104,$AI$1:$AJ$58,2,FALSE)&gt;=Y104,INDEX(tblDisciplines[Name],MATCH(1,(tblDisciplines[Discipline]=Z104)*(tblDisciplines[Rank]=Y104),0)),"")</f>
        <v>Protection 3</v>
      </c>
    </row>
    <row r="105" spans="1:27">
      <c r="A105" s="1" t="s">
        <v>104</v>
      </c>
      <c r="B105" t="str">
        <f>IF($P$73&gt;=10,"●","○") &amp; IF(F223&lt;&gt;""," (" &amp; F223 &amp; ")","")</f>
        <v>○</v>
      </c>
      <c r="D105" s="19"/>
      <c r="E105" s="15" t="s">
        <v>1449</v>
      </c>
      <c r="F105" s="3"/>
      <c r="G105" s="60" t="str">
        <f>IFERROR(VLOOKUP(F105,tblManoeuvre[#Data],2,FALSE)&amp;" "&amp;VLOOKUP(F105,tblManoeuvre[#Data],3,FALSE),"")</f>
        <v/>
      </c>
      <c r="H105" s="67" t="str">
        <f>IFERROR(IF(VLOOKUP(F105,tblManoeuvre[#Data],8,FALSE)=0,"None",VLOOKUP(F105,tblManoeuvre[#Data],8,FALSE)),"None")</f>
        <v>None</v>
      </c>
      <c r="I105" s="67"/>
      <c r="L105" s="4"/>
      <c r="M105" s="4"/>
      <c r="N105" s="4"/>
      <c r="O105" s="61">
        <f t="shared" si="17"/>
        <v>0</v>
      </c>
      <c r="P105" s="60">
        <f t="shared" si="18"/>
        <v>0</v>
      </c>
      <c r="Q105" s="61">
        <v>1</v>
      </c>
      <c r="R105" s="61">
        <v>1</v>
      </c>
      <c r="Y105" s="15">
        <v>4</v>
      </c>
      <c r="Z105" s="61" t="s">
        <v>251</v>
      </c>
      <c r="AA105" s="60" t="str" cm="1">
        <f t="array" ref="AA105">IF(VLOOKUP(Z105,$AI$1:$AJ$58,2,FALSE)&gt;=Y105,INDEX(tblDisciplines[Name],MATCH(1,(tblDisciplines[Discipline]=Z105)*(tblDisciplines[Rank]=Y105),0)),"")</f>
        <v>Protection 4</v>
      </c>
    </row>
    <row r="106" spans="1:27">
      <c r="A106" s="1" t="s">
        <v>105</v>
      </c>
      <c r="B106" t="str">
        <f>IF($P$73&gt;=9,"●","○") &amp; IF(F224&lt;&gt;""," (" &amp; F224 &amp; ")","")</f>
        <v>○</v>
      </c>
      <c r="D106" s="19"/>
      <c r="E106" s="15" t="s">
        <v>1450</v>
      </c>
      <c r="F106" s="3"/>
      <c r="G106" s="60" t="str">
        <f>IFERROR(VLOOKUP(F106,tblManoeuvre[#Data],2,FALSE)&amp;" "&amp;VLOOKUP(F106,tblManoeuvre[#Data],3,FALSE),"")</f>
        <v/>
      </c>
      <c r="H106" s="67" t="str">
        <f>IFERROR(IF(VLOOKUP(F106,tblManoeuvre[#Data],8,FALSE)=0,"None",VLOOKUP(F106,tblManoeuvre[#Data],8,FALSE)),"None")</f>
        <v>None</v>
      </c>
      <c r="I106" s="67"/>
      <c r="L106" s="4"/>
      <c r="M106" s="4"/>
      <c r="N106" s="4"/>
      <c r="O106" s="61">
        <f t="shared" si="17"/>
        <v>0</v>
      </c>
      <c r="P106" s="60">
        <f t="shared" si="18"/>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IFERROR(VLOOKUP(F107,tblManoeuvre[#Data],2,FALSE)&amp;" "&amp;VLOOKUP(F107,tblManoeuvre[#Data],3,FALSE),"")</f>
        <v/>
      </c>
      <c r="H107" s="67" t="str">
        <f>IFERROR(IF(VLOOKUP(F107,tblManoeuvre[#Data],8,FALSE)=0,"None",VLOOKUP(F107,tblManoeuvre[#Data],8,FALSE)),"None")</f>
        <v>None</v>
      </c>
      <c r="I107" s="67"/>
      <c r="L107" s="4"/>
      <c r="M107" s="4"/>
      <c r="N107" s="4"/>
      <c r="O107" s="61">
        <f t="shared" si="17"/>
        <v>0</v>
      </c>
      <c r="P107" s="60">
        <f t="shared" si="18"/>
        <v>0</v>
      </c>
      <c r="Q107" s="61">
        <v>1</v>
      </c>
      <c r="R107" s="61">
        <v>1</v>
      </c>
      <c r="Y107" s="15">
        <v>1</v>
      </c>
      <c r="Z107" s="61" t="s">
        <v>252</v>
      </c>
      <c r="AA107" s="60" t="str" cm="1">
        <f t="array" ref="AA107">IF(VLOOKUP(Z107,$AI$1:$AJ$58,2,FALSE)&gt;=Y107,INDEX(tblDisciplines[Name],MATCH(1,(tblDisciplines[Discipline]=Z107)*(tblDisciplines[Rank]=Y107),0)),"")</f>
        <v>Transmutation 1</v>
      </c>
    </row>
    <row r="108" spans="1:27">
      <c r="A108" s="1" t="s">
        <v>107</v>
      </c>
      <c r="B108" t="str">
        <f>IF($P$73&gt;=7,"●","○") &amp; IF(F226&lt;&gt;""," (" &amp; F226 &amp; ")","")</f>
        <v>●</v>
      </c>
      <c r="D108" s="19"/>
      <c r="E108" s="15" t="s">
        <v>1452</v>
      </c>
      <c r="F108" s="3"/>
      <c r="G108" s="60" t="str">
        <f>IFERROR(VLOOKUP(F108,tblManoeuvre[#Data],2,FALSE)&amp;" "&amp;VLOOKUP(F108,tblManoeuvre[#Data],3,FALSE),"")</f>
        <v/>
      </c>
      <c r="H108" s="67" t="str">
        <f>IFERROR(IF(VLOOKUP(F108,tblManoeuvre[#Data],8,FALSE)=0,"None",VLOOKUP(F108,tblManoeuvre[#Data],8,FALSE)),"None")</f>
        <v>None</v>
      </c>
      <c r="I108" s="67"/>
      <c r="L108" s="4"/>
      <c r="M108" s="4"/>
      <c r="N108" s="4"/>
      <c r="O108" s="61">
        <f t="shared" si="17"/>
        <v>0</v>
      </c>
      <c r="P108" s="60">
        <f t="shared" si="18"/>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 (Elise (Granddaughter))</v>
      </c>
      <c r="D109" s="19"/>
      <c r="E109" s="15" t="s">
        <v>1454</v>
      </c>
      <c r="F109" s="3"/>
      <c r="G109" s="60" t="str">
        <f>IFERROR(VLOOKUP(F109,tblManoeuvre[#Data],2,FALSE)&amp;" "&amp;VLOOKUP(F109,tblManoeuvre[#Data],3,FALSE),"")</f>
        <v/>
      </c>
      <c r="H109" s="67" t="str">
        <f>IFERROR(IF(VLOOKUP(F109,tblManoeuvre[#Data],8,FALSE)=0,"None",VLOOKUP(F109,tblManoeuvre[#Data],8,FALSE)),"None")</f>
        <v>None</v>
      </c>
      <c r="I109" s="67"/>
      <c r="L109" s="4"/>
      <c r="M109" s="4"/>
      <c r="N109" s="4"/>
      <c r="O109" s="61">
        <f t="shared" si="17"/>
        <v>0</v>
      </c>
      <c r="P109" s="60">
        <f t="shared" si="18"/>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v>
      </c>
      <c r="D110" s="19"/>
      <c r="E110" s="15" t="s">
        <v>1455</v>
      </c>
      <c r="F110" s="3"/>
      <c r="G110" s="60" t="str">
        <f>IFERROR(VLOOKUP(F110,tblManoeuvre[#Data],2,FALSE)&amp;" "&amp;VLOOKUP(F110,tblManoeuvre[#Data],3,FALSE),"")</f>
        <v/>
      </c>
      <c r="H110" s="67" t="str">
        <f>IFERROR(IF(VLOOKUP(F110,tblManoeuvre[#Data],8,FALSE)=0,"None",VLOOKUP(F110,tblManoeuvre[#Data],8,FALSE)),"None")</f>
        <v>None</v>
      </c>
      <c r="I110" s="67"/>
      <c r="L110" s="4"/>
      <c r="M110" s="4"/>
      <c r="N110" s="4"/>
      <c r="O110" s="61">
        <f t="shared" si="17"/>
        <v>0</v>
      </c>
      <c r="P110" s="60">
        <f t="shared" si="18"/>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c r="H111" s="67" t="str">
        <f>IFERROR(IF(VLOOKUP(F111,tblManoeuvre[#Data],8,FALSE)=0,"None",VLOOKUP(F111,tblManoeuvre[#Data],8,FALSE)),"None")</f>
        <v>None</v>
      </c>
      <c r="I111" s="67"/>
      <c r="L111" s="4"/>
      <c r="M111" s="4"/>
      <c r="N111" s="4"/>
      <c r="O111" s="61">
        <f t="shared" si="17"/>
        <v>0</v>
      </c>
      <c r="P111" s="60">
        <f t="shared" si="18"/>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c r="H112" s="67" t="str">
        <f>IFERROR(IF(VLOOKUP(F112,tblManoeuvre[#Data],8,FALSE)=0,"None",VLOOKUP(F112,tblManoeuvre[#Data],8,FALSE)),"None")</f>
        <v>None</v>
      </c>
      <c r="I112" s="67"/>
      <c r="L112" s="4"/>
      <c r="M112" s="4"/>
      <c r="N112" s="4"/>
      <c r="O112" s="61">
        <f t="shared" si="17"/>
        <v>0</v>
      </c>
      <c r="P112" s="60">
        <f t="shared" si="18"/>
        <v>0</v>
      </c>
      <c r="Q112" s="61">
        <v>1</v>
      </c>
      <c r="R112" s="61">
        <v>1</v>
      </c>
      <c r="Y112" s="61" t="s">
        <v>1474</v>
      </c>
      <c r="Z112" s="61" t="str">
        <f t="shared" ref="Z112:Z121" si="19">G194</f>
        <v/>
      </c>
      <c r="AA112" s="60" t="str">
        <f t="shared" ref="AA112:AA121" si="20">IF(P194="","",F194)</f>
        <v/>
      </c>
    </row>
    <row r="113" spans="1:27">
      <c r="A113" s="1" t="s">
        <v>112</v>
      </c>
      <c r="B113" t="str">
        <f>IF($P$73&gt;=2,"●","○") &amp; IF(F231&lt;&gt;""," (" &amp; F231 &amp; ")","")</f>
        <v>●</v>
      </c>
      <c r="D113" s="19"/>
      <c r="E113" s="15" t="s">
        <v>1458</v>
      </c>
      <c r="F113" s="3"/>
      <c r="G113" s="60"/>
      <c r="H113" s="67" t="str">
        <f>IFERROR(IF(VLOOKUP(F113,tblManoeuvre[#Data],8,FALSE)=0,"None",VLOOKUP(F113,tblManoeuvre[#Data],8,FALSE)),"None")</f>
        <v>None</v>
      </c>
      <c r="I113" s="67"/>
      <c r="L113" s="4"/>
      <c r="M113" s="4"/>
      <c r="N113" s="4"/>
      <c r="O113" s="61">
        <f t="shared" si="17"/>
        <v>0</v>
      </c>
      <c r="P113" s="60">
        <f t="shared" si="18"/>
        <v>0</v>
      </c>
      <c r="Q113" s="61">
        <v>1</v>
      </c>
      <c r="R113" s="61">
        <v>1</v>
      </c>
      <c r="Y113" s="61" t="s">
        <v>1474</v>
      </c>
      <c r="Z113" s="61" t="str">
        <f t="shared" si="19"/>
        <v/>
      </c>
      <c r="AA113" s="60" t="str">
        <f t="shared" si="20"/>
        <v/>
      </c>
    </row>
    <row r="114" spans="1:27">
      <c r="A114" s="1" t="s">
        <v>113</v>
      </c>
      <c r="B114" t="str">
        <f>IF($P$73&gt;=1,"●","○") &amp; IF(F232&lt;&gt;""," (" &amp; F232 &amp; ")","")</f>
        <v>●</v>
      </c>
      <c r="D114" s="19"/>
      <c r="E114" s="15" t="s">
        <v>1460</v>
      </c>
      <c r="F114" s="3"/>
      <c r="G114" s="60"/>
      <c r="H114" s="67" t="str">
        <f>IFERROR(IF(VLOOKUP(F114,tblManoeuvre[#Data],8,FALSE)=0,"None",VLOOKUP(F114,tblManoeuvre[#Data],8,FALSE)),"None")</f>
        <v>None</v>
      </c>
      <c r="I114" s="67"/>
      <c r="L114" s="4"/>
      <c r="M114" s="4"/>
      <c r="N114" s="4"/>
      <c r="O114" s="61">
        <f t="shared" si="17"/>
        <v>0</v>
      </c>
      <c r="P114" s="60">
        <f t="shared" si="18"/>
        <v>0</v>
      </c>
      <c r="Q114" s="61">
        <v>1</v>
      </c>
      <c r="R114" s="61">
        <v>1</v>
      </c>
      <c r="Y114" s="61" t="s">
        <v>1474</v>
      </c>
      <c r="Z114" s="61" t="str">
        <f t="shared" si="19"/>
        <v/>
      </c>
      <c r="AA114" s="60" t="str">
        <f t="shared" si="20"/>
        <v/>
      </c>
    </row>
    <row r="115" spans="1:27">
      <c r="A115" s="1" t="s">
        <v>114</v>
      </c>
      <c r="B115" t="str">
        <f t="shared" ref="B115:B144" si="21">IF(AD2="","¬",AD2)</f>
        <v>Acute Senses ●</v>
      </c>
      <c r="D115" s="19"/>
      <c r="E115" s="15" t="s">
        <v>1461</v>
      </c>
      <c r="F115" s="3"/>
      <c r="G115" s="60"/>
      <c r="H115" s="67" t="str">
        <f>IFERROR(IF(VLOOKUP(F115,tblManoeuvre[#Data],8,FALSE)=0,"None",VLOOKUP(F115,tblManoeuvre[#Data],8,FALSE)),"None")</f>
        <v>None</v>
      </c>
      <c r="I115" s="67"/>
      <c r="L115" s="4"/>
      <c r="M115" s="4"/>
      <c r="N115" s="4"/>
      <c r="O115" s="61">
        <f t="shared" si="17"/>
        <v>0</v>
      </c>
      <c r="P115" s="60">
        <f t="shared" si="18"/>
        <v>0</v>
      </c>
      <c r="Q115" s="61">
        <v>1</v>
      </c>
      <c r="R115" s="61">
        <v>1</v>
      </c>
      <c r="Y115" s="61" t="s">
        <v>1474</v>
      </c>
      <c r="Z115" s="61" t="str">
        <f t="shared" si="19"/>
        <v/>
      </c>
      <c r="AA115" s="60" t="str">
        <f t="shared" si="20"/>
        <v/>
      </c>
    </row>
    <row r="116" spans="1:27">
      <c r="A116" s="1" t="s">
        <v>115</v>
      </c>
      <c r="B116" t="str">
        <f t="shared" si="21"/>
        <v>¬</v>
      </c>
      <c r="D116" s="19"/>
      <c r="E116" s="15" t="s">
        <v>1462</v>
      </c>
      <c r="F116" s="3"/>
      <c r="G116" s="60"/>
      <c r="H116" s="67" t="str">
        <f>IFERROR(IF(VLOOKUP(F116,tblManoeuvre[#Data],8,FALSE)=0,"None",VLOOKUP(F116,tblManoeuvre[#Data],8,FALSE)),"None")</f>
        <v>None</v>
      </c>
      <c r="I116" s="67"/>
      <c r="L116" s="4"/>
      <c r="M116" s="4"/>
      <c r="N116" s="4"/>
      <c r="O116" s="61">
        <f t="shared" si="17"/>
        <v>0</v>
      </c>
      <c r="P116" s="60">
        <f t="shared" si="18"/>
        <v>0</v>
      </c>
      <c r="Q116" s="61">
        <v>1</v>
      </c>
      <c r="R116" s="61">
        <v>1</v>
      </c>
      <c r="Y116" s="61" t="s">
        <v>1474</v>
      </c>
      <c r="Z116" s="61" t="str">
        <f t="shared" si="19"/>
        <v/>
      </c>
      <c r="AA116" s="60" t="str">
        <f t="shared" si="20"/>
        <v/>
      </c>
    </row>
    <row r="117" spans="1:27">
      <c r="A117" s="1" t="s">
        <v>116</v>
      </c>
      <c r="B117" t="str">
        <f t="shared" si="21"/>
        <v>¬</v>
      </c>
      <c r="D117" s="19"/>
      <c r="E117" s="15" t="s">
        <v>1463</v>
      </c>
      <c r="F117" s="3"/>
      <c r="G117" s="60"/>
      <c r="H117" s="67" t="str">
        <f>IFERROR(IF(VLOOKUP(F117,tblManoeuvre[#Data],8,FALSE)=0,"None",VLOOKUP(F117,tblManoeuvre[#Data],8,FALSE)),"None")</f>
        <v>None</v>
      </c>
      <c r="I117" s="67"/>
      <c r="L117" s="4"/>
      <c r="M117" s="4"/>
      <c r="N117" s="4"/>
      <c r="O117" s="61">
        <f t="shared" si="17"/>
        <v>0</v>
      </c>
      <c r="P117" s="60">
        <f t="shared" si="18"/>
        <v>0</v>
      </c>
      <c r="Q117" s="61">
        <v>1</v>
      </c>
      <c r="R117" s="61">
        <v>1</v>
      </c>
      <c r="Y117" s="61" t="s">
        <v>1474</v>
      </c>
      <c r="Z117" s="61" t="str">
        <f t="shared" si="19"/>
        <v/>
      </c>
      <c r="AA117" s="60" t="str">
        <f t="shared" si="20"/>
        <v/>
      </c>
    </row>
    <row r="118" spans="1:27">
      <c r="A118" s="1" t="s">
        <v>117</v>
      </c>
      <c r="B118" t="str">
        <f t="shared" si="21"/>
        <v>¬</v>
      </c>
      <c r="D118" s="19"/>
      <c r="E118" s="15" t="s">
        <v>1464</v>
      </c>
      <c r="F118" s="3"/>
      <c r="G118" s="60"/>
      <c r="H118" s="67" t="str">
        <f>IFERROR(IF(VLOOKUP(F118,tblManoeuvre[#Data],8,FALSE)=0,"None",VLOOKUP(F118,tblManoeuvre[#Data],8,FALSE)),"None")</f>
        <v>None</v>
      </c>
      <c r="I118" s="67"/>
      <c r="L118" s="4"/>
      <c r="M118" s="4"/>
      <c r="N118" s="4"/>
      <c r="O118" s="61">
        <f t="shared" si="17"/>
        <v>0</v>
      </c>
      <c r="P118" s="60">
        <f t="shared" si="18"/>
        <v>0</v>
      </c>
      <c r="Q118" s="61">
        <v>1</v>
      </c>
      <c r="R118" s="61">
        <v>1</v>
      </c>
      <c r="Y118" s="61" t="s">
        <v>1474</v>
      </c>
      <c r="Z118" s="61" t="str">
        <f t="shared" si="19"/>
        <v/>
      </c>
      <c r="AA118" s="60" t="str">
        <f t="shared" si="20"/>
        <v/>
      </c>
    </row>
    <row r="119" spans="1:27">
      <c r="A119" s="1" t="s">
        <v>118</v>
      </c>
      <c r="B119" t="str">
        <f t="shared" si="21"/>
        <v>¬</v>
      </c>
      <c r="D119" s="19"/>
      <c r="E119" s="15" t="s">
        <v>1466</v>
      </c>
      <c r="F119" s="3"/>
      <c r="G119" s="60"/>
      <c r="H119" s="67" t="str">
        <f>IFERROR(IF(VLOOKUP(F119,tblManoeuvre[#Data],8,FALSE)=0,"None",VLOOKUP(F119,tblManoeuvre[#Data],8,FALSE)),"None")</f>
        <v>None</v>
      </c>
      <c r="I119" s="67"/>
      <c r="L119" s="4"/>
      <c r="M119" s="4"/>
      <c r="N119" s="4"/>
      <c r="O119" s="61">
        <f t="shared" si="17"/>
        <v>0</v>
      </c>
      <c r="P119" s="60">
        <f t="shared" si="18"/>
        <v>0</v>
      </c>
      <c r="Q119" s="61">
        <v>1</v>
      </c>
      <c r="R119" s="61">
        <v>1</v>
      </c>
      <c r="Y119" s="61" t="s">
        <v>1474</v>
      </c>
      <c r="Z119" s="61" t="str">
        <f t="shared" si="19"/>
        <v/>
      </c>
      <c r="AA119" s="60" t="str">
        <f t="shared" si="20"/>
        <v/>
      </c>
    </row>
    <row r="120" spans="1:27">
      <c r="A120" s="1" t="s">
        <v>119</v>
      </c>
      <c r="B120" t="str">
        <f t="shared" si="21"/>
        <v>¬</v>
      </c>
      <c r="D120" s="19"/>
      <c r="E120" s="15" t="s">
        <v>1468</v>
      </c>
      <c r="F120" s="3"/>
      <c r="G120" s="60"/>
      <c r="H120" s="67" t="str">
        <f>IFERROR(IF(VLOOKUP(F120,tblManoeuvre[#Data],8,FALSE)=0,"None",VLOOKUP(F120,tblManoeuvre[#Data],8,FALSE)),"None")</f>
        <v>None</v>
      </c>
      <c r="I120" s="67"/>
      <c r="L120" s="4"/>
      <c r="M120" s="4"/>
      <c r="N120" s="4"/>
      <c r="O120" s="61">
        <f t="shared" si="17"/>
        <v>0</v>
      </c>
      <c r="P120" s="60">
        <f t="shared" si="18"/>
        <v>0</v>
      </c>
      <c r="Q120" s="61">
        <v>1</v>
      </c>
      <c r="R120" s="61">
        <v>1</v>
      </c>
      <c r="Y120" s="61" t="s">
        <v>1474</v>
      </c>
      <c r="Z120" s="61" t="str">
        <f t="shared" si="19"/>
        <v/>
      </c>
      <c r="AA120" s="60" t="str">
        <f t="shared" si="20"/>
        <v/>
      </c>
    </row>
    <row r="121" spans="1:27">
      <c r="A121" s="1" t="s">
        <v>120</v>
      </c>
      <c r="B121" t="str">
        <f t="shared" si="21"/>
        <v>¬</v>
      </c>
      <c r="Y121" s="61" t="s">
        <v>1474</v>
      </c>
      <c r="Z121" s="61" t="str">
        <f t="shared" si="19"/>
        <v/>
      </c>
      <c r="AA121" s="60" t="str">
        <f t="shared" si="20"/>
        <v/>
      </c>
    </row>
    <row r="122" spans="1:27" ht="15.75" thickBot="1">
      <c r="A122" s="1" t="s">
        <v>121</v>
      </c>
      <c r="B122" t="str">
        <f t="shared" si="21"/>
        <v>¬</v>
      </c>
      <c r="D122" s="14" t="s">
        <v>1475</v>
      </c>
      <c r="E122" s="14"/>
      <c r="F122" s="14"/>
      <c r="G122" s="14"/>
      <c r="H122" s="14"/>
      <c r="I122" s="14"/>
    </row>
    <row r="123" spans="1:27">
      <c r="A123" s="1" t="s">
        <v>122</v>
      </c>
      <c r="B123" t="str">
        <f t="shared" si="21"/>
        <v>¬</v>
      </c>
      <c r="D123" s="16" t="s">
        <v>927</v>
      </c>
      <c r="E123" s="17"/>
      <c r="F123" s="17"/>
      <c r="G123" s="17"/>
      <c r="H123" s="17"/>
      <c r="I123" s="17"/>
      <c r="Y123" s="15" t="s">
        <v>1476</v>
      </c>
      <c r="Z123" s="19"/>
      <c r="AA123" s="61" t="str">
        <f t="shared" ref="AA123:AA132" si="22">_xlfn.LET(_xlpm.name,VLOOKUP(Y123,$E$2:$F$362,2,FALSE),_xlpm.paid,_xlfn.IFNA(VLOOKUP(_xlpm.name,$F$121:$Q$215,11,FALSE)&gt;=VLOOKUP(_xlpm.name,$F$121:$Q$215,12,FALSE),FALSE),IF(AND(_xlpm.name&lt;&gt;"",_xlpm.paid),_xlpm.name,""))</f>
        <v/>
      </c>
    </row>
    <row r="124" spans="1:27">
      <c r="A124" s="1" t="s">
        <v>123</v>
      </c>
      <c r="B124" t="str">
        <f t="shared" si="21"/>
        <v>¬</v>
      </c>
      <c r="D124" s="19"/>
      <c r="E124" s="15" t="s">
        <v>83</v>
      </c>
      <c r="F124" s="19"/>
      <c r="G124" s="19"/>
      <c r="H124" s="19"/>
      <c r="I124" s="19"/>
      <c r="L124" s="4">
        <v>2</v>
      </c>
      <c r="M124" s="61">
        <f>IFERROR(VLOOKUP(G13,tblEffectiveStatus[#Data],2,FALSE),0)</f>
        <v>0</v>
      </c>
      <c r="P124" s="60">
        <f>MIN(L124+M124,R124)</f>
        <v>2</v>
      </c>
      <c r="R124" s="61">
        <v>10</v>
      </c>
      <c r="Y124" s="15" t="s">
        <v>1477</v>
      </c>
      <c r="Z124" s="19"/>
      <c r="AA124" s="61" t="str">
        <f t="shared" si="22"/>
        <v/>
      </c>
    </row>
    <row r="125" spans="1:27">
      <c r="A125" s="1" t="s">
        <v>124</v>
      </c>
      <c r="B125" t="str">
        <f t="shared" si="21"/>
        <v>¬</v>
      </c>
      <c r="D125" s="19"/>
      <c r="E125" s="15" t="str">
        <f>IF(F7="","Clan Status",F7&amp;" Status")</f>
        <v>Mekhet Status</v>
      </c>
      <c r="F125" s="19"/>
      <c r="G125" s="19"/>
      <c r="H125" s="19"/>
      <c r="I125" s="19"/>
      <c r="L125" s="4">
        <v>2</v>
      </c>
      <c r="P125" s="60">
        <f>IF(L125="",0,MIN(L125,R125))</f>
        <v>2</v>
      </c>
      <c r="R125" s="61">
        <v>5</v>
      </c>
      <c r="Y125" s="15" t="s">
        <v>1478</v>
      </c>
      <c r="Z125" s="19"/>
      <c r="AA125" s="61" t="str">
        <f t="shared" si="22"/>
        <v/>
      </c>
    </row>
    <row r="126" spans="1:27">
      <c r="A126" s="1" t="s">
        <v>125</v>
      </c>
      <c r="B126" t="str">
        <f t="shared" si="21"/>
        <v>¬</v>
      </c>
      <c r="D126" s="19"/>
      <c r="E126" s="15" t="str">
        <f>IF(F9="","",F9&amp;" Status")</f>
        <v>Lancea et Sanctum Status</v>
      </c>
      <c r="F126" s="19" t="str">
        <f>IF(F9="","",VLOOKUP(F9,tblCovenantShortName[#Data],2,FALSE))</f>
        <v>Lance</v>
      </c>
      <c r="G126" s="19"/>
      <c r="H126" s="19"/>
      <c r="I126" s="19"/>
      <c r="L126" s="4">
        <v>3</v>
      </c>
      <c r="P126" s="60">
        <f>L126</f>
        <v>3</v>
      </c>
      <c r="R126" s="61">
        <f>5-SUM(L127:L129)</f>
        <v>5</v>
      </c>
      <c r="Y126" s="15" t="s">
        <v>1479</v>
      </c>
      <c r="Z126" s="19"/>
      <c r="AA126" s="61" t="str">
        <f t="shared" si="22"/>
        <v/>
      </c>
    </row>
    <row r="127" spans="1:27">
      <c r="A127" s="1" t="s">
        <v>126</v>
      </c>
      <c r="B127" t="str">
        <f t="shared" si="21"/>
        <v>¬</v>
      </c>
      <c r="D127" s="19"/>
      <c r="E127" s="15" t="str" cm="1">
        <f t="array" ref="E127">IF(F9="","",IFERROR(INDEX(Lists!$F$2:$F$5,SMALL(IF(Lists!$F$2:$F$5&lt;&gt;$F$9,ROW(Lists!$F$2:$F$5)-ROW(Lists!$F$2)+1),1))&amp;" Status",""))</f>
        <v>Carthian Movement Status</v>
      </c>
      <c r="F127" s="19" t="str" cm="1">
        <f t="array" ref="F127">IF(F9="","",IFERROR(VLOOKUP(INDEX(Lists!$F$2:$F$5,SMALL(IF(Lists!$F$2:$F$5&lt;&gt;$F$9,ROW(Lists!$F$2:$F$5)-ROW(Lists!$F$2)+1),1)),tblCovenantShortName[],2,FALSE),""))</f>
        <v>Carthian</v>
      </c>
      <c r="G127" s="19"/>
      <c r="H127" s="19"/>
      <c r="I127" s="19"/>
      <c r="L127" s="4"/>
      <c r="P127" s="60">
        <f>L127</f>
        <v>0</v>
      </c>
      <c r="R127" s="61">
        <f>MAX(0,MIN(P126-1,5-L126-L128-L129))</f>
        <v>2</v>
      </c>
      <c r="Y127" s="15" t="s">
        <v>1480</v>
      </c>
      <c r="Z127" s="19"/>
      <c r="AA127" s="61" t="str">
        <f t="shared" si="22"/>
        <v/>
      </c>
    </row>
    <row r="128" spans="1:27">
      <c r="A128" s="1" t="s">
        <v>127</v>
      </c>
      <c r="B128" t="str">
        <f t="shared" si="21"/>
        <v>¬</v>
      </c>
      <c r="D128" s="19"/>
      <c r="E128" s="15" t="str" cm="1">
        <f t="array" ref="E128">IF(F9="","",IFERROR(INDEX(Lists!$F$2:$F$5,SMALL(IF(Lists!$F$2:$F$5&lt;&gt;$F$9,ROW(Lists!$F$2:$F$5)-ROW(Lists!$F$2)+1),2))&amp;" Status",""))</f>
        <v>Circle of the Crone Status</v>
      </c>
      <c r="F128" s="19" t="str" cm="1">
        <f t="array" ref="F128">IF(F9="","",IFERROR(VLOOKUP(INDEX(Lists!$F$2:$F$5,SMALL(IF(Lists!$F$2:$F$5&lt;&gt;$F$9,ROW(Lists!$F$2:$F$5)-ROW(Lists!$F$2)+1),2)),tblCovenantShortName[],2,FALSE),""))</f>
        <v>Crone</v>
      </c>
      <c r="G128" s="19"/>
      <c r="H128" s="19"/>
      <c r="I128" s="19"/>
      <c r="L128" s="4"/>
      <c r="P128" s="60">
        <f>L128</f>
        <v>0</v>
      </c>
      <c r="R128" s="61">
        <f>MAX(0,MIN(P126-1,5-L126-L127-L129))</f>
        <v>2</v>
      </c>
      <c r="Y128" s="15" t="s">
        <v>1481</v>
      </c>
      <c r="Z128" s="19"/>
      <c r="AA128" s="61" t="str">
        <f t="shared" si="22"/>
        <v/>
      </c>
    </row>
    <row r="129" spans="1:32">
      <c r="A129" s="1" t="s">
        <v>128</v>
      </c>
      <c r="B129" t="str">
        <f t="shared" si="21"/>
        <v>¬</v>
      </c>
      <c r="D129" s="19"/>
      <c r="E129" s="15" t="str" cm="1">
        <f t="array" ref="E129">IF(F9="","",IFERROR(INDEX(Lists!$F$2:$F$5,SMALL(IF(Lists!$F$2:$F$5&lt;&gt;$F$9,ROW(Lists!$F$2:$F$5)-ROW(Lists!$F$2)+1),3))&amp;" Status",""))</f>
        <v>Invictus Status</v>
      </c>
      <c r="F129" s="19" t="str" cm="1">
        <f t="array" ref="F129">IF(F9="","",IFERROR(VLOOKUP(INDEX(Lists!$F$2:$F$5,SMALL(IF(Lists!$F$2:$F$5&lt;&gt;$F$9,ROW(Lists!$F$2:$F$5)-ROW(Lists!$F$2)+1),3)),tblCovenantShortName[],2,FALSE),""))</f>
        <v>Invictus</v>
      </c>
      <c r="G129" s="19"/>
      <c r="H129" s="19"/>
      <c r="I129" s="19"/>
      <c r="L129" s="4"/>
      <c r="P129" s="60">
        <f>L129</f>
        <v>0</v>
      </c>
      <c r="R129" s="61">
        <f>MAX(0,MIN(P126-1,5-L126-L127-L128))</f>
        <v>2</v>
      </c>
      <c r="Y129" s="15" t="s">
        <v>1482</v>
      </c>
      <c r="Z129" s="19"/>
      <c r="AA129" s="61" t="str">
        <f t="shared" si="22"/>
        <v/>
      </c>
    </row>
    <row r="130" spans="1:32">
      <c r="A130" s="1" t="s">
        <v>129</v>
      </c>
      <c r="B130" t="str">
        <f t="shared" si="21"/>
        <v>¬</v>
      </c>
      <c r="Y130" s="15" t="s">
        <v>1483</v>
      </c>
      <c r="Z130" s="19"/>
      <c r="AA130" s="61" t="str">
        <f t="shared" si="22"/>
        <v/>
      </c>
    </row>
    <row r="131" spans="1:32">
      <c r="A131" s="1" t="s">
        <v>130</v>
      </c>
      <c r="B131" t="str">
        <f t="shared" si="21"/>
        <v>¬</v>
      </c>
      <c r="D131" s="16" t="s">
        <v>1475</v>
      </c>
      <c r="E131" s="17"/>
      <c r="F131" s="16" t="s">
        <v>1446</v>
      </c>
      <c r="G131" s="17"/>
      <c r="H131" s="17"/>
      <c r="I131" s="17"/>
      <c r="Y131" s="15" t="s">
        <v>1484</v>
      </c>
      <c r="Z131" s="19"/>
      <c r="AA131" s="61" t="str">
        <f t="shared" si="22"/>
        <v/>
      </c>
    </row>
    <row r="132" spans="1:32">
      <c r="A132" s="1" t="s">
        <v>131</v>
      </c>
      <c r="B132" t="str">
        <f t="shared" si="21"/>
        <v>¬</v>
      </c>
      <c r="D132" s="19"/>
      <c r="E132" s="15" t="s">
        <v>94</v>
      </c>
      <c r="F132" s="3" t="s">
        <v>382</v>
      </c>
      <c r="G132" s="19"/>
      <c r="H132" s="19"/>
      <c r="I132" s="19"/>
      <c r="L132" s="4"/>
      <c r="M132" s="4"/>
      <c r="N132" s="4"/>
      <c r="O132" s="61">
        <f>N132</f>
        <v>0</v>
      </c>
      <c r="P132" s="60">
        <f>MIN(SUM(L132,M132,O132),R132)</f>
        <v>0</v>
      </c>
      <c r="Q132" s="61">
        <f>_xlfn.IFNA(VLOOKUP($E132,tblDomain[],3,FALSE),"")</f>
        <v>1</v>
      </c>
      <c r="R132" s="61">
        <f>_xlfn.IFNA(VLOOKUP($E132,tblDomain[],4,FALSE),"")</f>
        <v>5</v>
      </c>
      <c r="Y132" s="15" t="s">
        <v>1485</v>
      </c>
      <c r="Z132" s="19"/>
      <c r="AA132" s="61" t="str">
        <f t="shared" si="22"/>
        <v/>
      </c>
    </row>
    <row r="133" spans="1:32">
      <c r="A133" s="1" t="s">
        <v>132</v>
      </c>
      <c r="B133" t="str">
        <f t="shared" si="21"/>
        <v>¬</v>
      </c>
      <c r="D133" s="19"/>
      <c r="E133" s="15" t="s">
        <v>95</v>
      </c>
      <c r="F133" s="3" t="s">
        <v>382</v>
      </c>
      <c r="G133" s="19"/>
      <c r="H133" s="19"/>
      <c r="I133" s="19"/>
      <c r="L133" s="4"/>
      <c r="M133" s="4"/>
      <c r="N133" s="4"/>
      <c r="O133" s="61">
        <f>N133</f>
        <v>0</v>
      </c>
      <c r="P133" s="60">
        <f>MIN(SUM(L133,M133,O133),R133)</f>
        <v>0</v>
      </c>
      <c r="Q133" s="61">
        <f>_xlfn.IFNA(VLOOKUP($E133,tblDomain[],3,FALSE),"")</f>
        <v>1</v>
      </c>
      <c r="R133" s="61">
        <f>_xlfn.IFNA(VLOOKUP($E133,tblDomain[],4,FALSE),"")</f>
        <v>5</v>
      </c>
    </row>
    <row r="134" spans="1:32">
      <c r="A134" s="1" t="s">
        <v>133</v>
      </c>
      <c r="B134" t="str">
        <f t="shared" si="21"/>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3">_xlfn.LET(_xlpm.name,VLOOKUP(Y134,$E$2:$F$362,2,FALSE),_xlpm.note,VLOOKUP(Y134,$E$2:$G$362,3,FALSE),_xlpm.row,MATCH(Y134,$E$138:$E$157,0),_xlpm.dots,INDEX($P$138:$P$157,_xlpm.row),_xlpm.max,INDEX($Q$138:$Q$157,_xlpm.row),_xlpm.paid,_xlfn.IFNA(_xlpm.dots&gt;=_xlpm.max,FALSE),IF(AND(_xlpm.name&lt;&gt;"",_xlpm.paid),IF(_xlpm.note="",_xlpm.name,_xlpm.name&amp;" ("&amp;_xlpm.note&amp;")"),""))</f>
        <v>Contacts (Police, Underworld)</v>
      </c>
      <c r="AC134" s="60" t="str" cm="1">
        <f t="array" ref="AC134">_xlfn.LET(_xlpm.raw,IFERROR(_xlfn.VSTACK(IFERROR(_xlfn._xlws.SORT(_xlfn._xlws.FILTER(AA134:AA211,AA134:AA211&lt;&gt;"")),""),IFERROR(_xlfn._xlws.SORT(_xlfn._xlws.FILTER(AA213:AA222,AA213:AA222&lt;&gt;"")),"")),""),_xlpm.sorted,IFERROR(_xlfn._xlws.FILTER(_xlpm.raw,_xlpm.raw&lt;&gt;""),""),IFERROR(LEFT(_xlpm.sorted,FIND(" (",_xlpm.sorted)-1),_xlpm.sorted))</f>
        <v>Contacts</v>
      </c>
      <c r="AD134" s="20" t="str" cm="1">
        <f t="array" ref="AD134">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Police, Underworld</v>
      </c>
      <c r="AE134" s="20">
        <f t="shared" ref="AE134:AE153" si="24">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0</v>
      </c>
      <c r="AF134" s="61" cm="1">
        <f t="array" ref="AF134">IF(AC134="","",SUMPRODUCT(($F$138:$F$157=AC134)*($G$138:$G$157=IF(AD134="","",AD134))*$P$138:$P$157))</f>
        <v>2</v>
      </c>
    </row>
    <row r="135" spans="1:32">
      <c r="A135" s="1" t="s">
        <v>134</v>
      </c>
      <c r="B135" t="str">
        <f t="shared" si="21"/>
        <v>¬</v>
      </c>
      <c r="D135" s="61" t="s">
        <v>1663</v>
      </c>
      <c r="E135" s="15" t="s">
        <v>97</v>
      </c>
      <c r="F135" s="19"/>
      <c r="G135" s="19"/>
      <c r="H135" s="19"/>
      <c r="I135" s="19"/>
      <c r="L135" s="4">
        <v>1</v>
      </c>
      <c r="M135" s="4"/>
      <c r="N135" s="4"/>
      <c r="O135" s="61">
        <f>N135</f>
        <v>0</v>
      </c>
      <c r="P135" s="60">
        <f>MIN(SUM(L135,M135,O135),R135)</f>
        <v>1</v>
      </c>
      <c r="Q135" s="61">
        <f>_xlfn.IFNA(VLOOKUP($E135,tblDomain[],3,FALSE),"")</f>
        <v>1</v>
      </c>
      <c r="R135" s="61">
        <f>_xlfn.IFNA(VLOOKUP($E135,tblDomain[],4,FALSE),"")</f>
        <v>5</v>
      </c>
      <c r="Y135" s="15" t="s">
        <v>177</v>
      </c>
      <c r="Z135" s="19"/>
      <c r="AA135" s="61" t="str">
        <f t="shared" si="23"/>
        <v/>
      </c>
      <c r="AC135" s="60"/>
      <c r="AD135" s="20"/>
      <c r="AE135" s="20" t="str">
        <f t="shared" si="24"/>
        <v/>
      </c>
      <c r="AF135" s="61" t="str" cm="1">
        <f t="array" ref="AF135">IF(AC135="","",SUMPRODUCT(($F$138:$F$157=AC135)*($G$138:$G$157=IF(AD135="","",AD135))*$P$138:$P$157))</f>
        <v/>
      </c>
    </row>
    <row r="136" spans="1:32">
      <c r="A136" s="1" t="s">
        <v>135</v>
      </c>
      <c r="B136" t="str">
        <f t="shared" si="21"/>
        <v>¬</v>
      </c>
      <c r="Y136" s="15" t="s">
        <v>178</v>
      </c>
      <c r="Z136" s="19"/>
      <c r="AA136" s="61" t="str">
        <f t="shared" si="23"/>
        <v/>
      </c>
      <c r="AC136" s="60"/>
      <c r="AD136" s="20"/>
      <c r="AE136" s="20" t="str">
        <f t="shared" si="24"/>
        <v/>
      </c>
      <c r="AF136" s="61" t="str" cm="1">
        <f t="array" ref="AF136">IF(AC136="","",SUMPRODUCT(($F$138:$F$157=AC136)*($G$138:$G$157=IF(AD136="","",AD136))*$P$138:$P$157))</f>
        <v/>
      </c>
    </row>
    <row r="137" spans="1:32">
      <c r="A137" s="1" t="s">
        <v>136</v>
      </c>
      <c r="B137" t="str">
        <f t="shared" si="21"/>
        <v>¬</v>
      </c>
      <c r="D137" s="16" t="s">
        <v>174</v>
      </c>
      <c r="E137" s="17"/>
      <c r="F137" s="17"/>
      <c r="G137" s="17"/>
      <c r="H137" s="17"/>
      <c r="I137" s="61">
        <f>SUM(AC135:AC156)+SUM(P125:P129)</f>
        <v>5</v>
      </c>
      <c r="Y137" s="15" t="s">
        <v>179</v>
      </c>
      <c r="Z137" s="19"/>
      <c r="AA137" s="61" t="str">
        <f t="shared" si="23"/>
        <v/>
      </c>
      <c r="AC137" s="60"/>
      <c r="AD137" s="20"/>
      <c r="AE137" s="20" t="str">
        <f t="shared" si="24"/>
        <v/>
      </c>
      <c r="AF137" s="61" t="str" cm="1">
        <f t="array" ref="AF137">IF(AC137="","",SUMPRODUCT(($F$138:$F$157=AC137)*($G$138:$G$157=IF(AD137="","",AD137))*$P$138:$P$157))</f>
        <v/>
      </c>
    </row>
    <row r="138" spans="1:32">
      <c r="A138" s="1" t="s">
        <v>137</v>
      </c>
      <c r="B138" t="str">
        <f t="shared" si="21"/>
        <v>¬</v>
      </c>
      <c r="D138" s="61" t="s">
        <v>1664</v>
      </c>
      <c r="E138" s="15" t="s">
        <v>176</v>
      </c>
      <c r="F138" s="3" t="s">
        <v>413</v>
      </c>
      <c r="G138" s="3" t="s">
        <v>767</v>
      </c>
      <c r="H138" s="67" t="str">
        <f>IFERROR(IF(VLOOKUP(F138,tblManoeuvre[#Data],8,FALSE)=0,"None",VLOOKUP(F138,tblManoeuvre[#Data],8,FALSE)),"None")</f>
        <v>None</v>
      </c>
      <c r="I138" s="67"/>
      <c r="L138" s="4"/>
      <c r="M138" s="4">
        <v>2</v>
      </c>
      <c r="N138" s="4"/>
      <c r="O138" s="61">
        <f t="shared" ref="O138:O157" si="25">N138</f>
        <v>0</v>
      </c>
      <c r="P138" s="60">
        <f t="shared" ref="P138:P157" si="26">MIN(SUM(L138,M138,O138),R138)</f>
        <v>2</v>
      </c>
      <c r="Q138" s="61">
        <f>_xlfn.IFNA(VLOOKUP($F138,tblInfluence[],3,FALSE),"")</f>
        <v>1</v>
      </c>
      <c r="R138" s="61">
        <f>_xlfn.IFNA(VLOOKUP($F138,tblInfluence[],4,FALSE),"")</f>
        <v>5</v>
      </c>
      <c r="Y138" s="15" t="s">
        <v>180</v>
      </c>
      <c r="Z138" s="19"/>
      <c r="AA138" s="61" t="str">
        <f t="shared" si="23"/>
        <v/>
      </c>
      <c r="AC138" s="60"/>
      <c r="AD138" s="20"/>
      <c r="AE138" s="20" t="str">
        <f t="shared" si="24"/>
        <v/>
      </c>
      <c r="AF138" s="61" t="str" cm="1">
        <f t="array" ref="AF138">IF(AC138="","",SUMPRODUCT(($F$138:$F$157=AC138)*($G$138:$G$157=IF(AD138="","",AD138))*$P$138:$P$157))</f>
        <v/>
      </c>
    </row>
    <row r="139" spans="1:32">
      <c r="A139" s="1" t="s">
        <v>138</v>
      </c>
      <c r="B139" t="str">
        <f t="shared" si="21"/>
        <v>¬</v>
      </c>
      <c r="D139" s="19"/>
      <c r="E139" s="15" t="s">
        <v>177</v>
      </c>
      <c r="F139" s="3"/>
      <c r="G139" s="3"/>
      <c r="H139" s="67" t="str">
        <f>IFERROR(IF(VLOOKUP(F139,tblManoeuvre[#Data],8,FALSE)=0,"None",VLOOKUP(F139,tblManoeuvre[#Data],8,FALSE)),"None")</f>
        <v>None</v>
      </c>
      <c r="I139" s="67"/>
      <c r="L139" s="4"/>
      <c r="M139" s="4"/>
      <c r="N139" s="4"/>
      <c r="O139" s="61">
        <f t="shared" si="25"/>
        <v>0</v>
      </c>
      <c r="P139" s="60">
        <f t="shared" si="26"/>
        <v>0</v>
      </c>
      <c r="Q139" s="61" t="str">
        <f>_xlfn.IFNA(VLOOKUP($F139,tblInfluence[],3,FALSE),"")</f>
        <v/>
      </c>
      <c r="R139" s="61" t="str">
        <f>_xlfn.IFNA(VLOOKUP($F139,tblInfluence[],4,FALSE),"")</f>
        <v/>
      </c>
      <c r="Y139" s="15" t="s">
        <v>181</v>
      </c>
      <c r="Z139" s="19"/>
      <c r="AA139" s="61" t="str">
        <f t="shared" si="23"/>
        <v/>
      </c>
      <c r="AC139" s="60"/>
      <c r="AD139" s="20"/>
      <c r="AE139" s="20" t="str">
        <f t="shared" si="24"/>
        <v/>
      </c>
      <c r="AF139" s="61" t="str" cm="1">
        <f t="array" ref="AF139">IF(AC139="","",SUMPRODUCT(($F$138:$F$157=AC139)*($G$138:$G$157=IF(AD139="","",AD139))*$P$138:$P$157))</f>
        <v/>
      </c>
    </row>
    <row r="140" spans="1:32">
      <c r="A140" s="1" t="s">
        <v>139</v>
      </c>
      <c r="B140" t="str">
        <f t="shared" si="21"/>
        <v>¬</v>
      </c>
      <c r="D140" s="19"/>
      <c r="E140" s="15" t="s">
        <v>178</v>
      </c>
      <c r="F140" s="3"/>
      <c r="G140" s="3"/>
      <c r="H140" s="67" t="str">
        <f>IFERROR(IF(VLOOKUP(F140,tblManoeuvre[#Data],8,FALSE)=0,"None",VLOOKUP(F140,tblManoeuvre[#Data],8,FALSE)),"None")</f>
        <v>None</v>
      </c>
      <c r="I140" s="67"/>
      <c r="L140" s="4"/>
      <c r="M140" s="4"/>
      <c r="N140" s="4"/>
      <c r="O140" s="61">
        <f t="shared" si="25"/>
        <v>0</v>
      </c>
      <c r="P140" s="60">
        <f t="shared" si="26"/>
        <v>0</v>
      </c>
      <c r="Q140" s="61" t="str">
        <f>_xlfn.IFNA(VLOOKUP($F140,tblInfluence[],3,FALSE),"")</f>
        <v/>
      </c>
      <c r="R140" s="61" t="str">
        <f>_xlfn.IFNA(VLOOKUP($F140,tblInfluence[],4,FALSE),"")</f>
        <v/>
      </c>
      <c r="Y140" s="15" t="s">
        <v>182</v>
      </c>
      <c r="Z140" s="19"/>
      <c r="AA140" s="61" t="str">
        <f t="shared" si="23"/>
        <v/>
      </c>
      <c r="AC140" s="60"/>
      <c r="AD140" s="20"/>
      <c r="AE140" s="20" t="str">
        <f t="shared" si="24"/>
        <v/>
      </c>
      <c r="AF140" s="61" t="str" cm="1">
        <f t="array" ref="AF140">IF(AC140="","",SUMPRODUCT(($F$138:$F$157=AC140)*($G$138:$G$157=IF(AD140="","",AD140))*$P$138:$P$157))</f>
        <v/>
      </c>
    </row>
    <row r="141" spans="1:32">
      <c r="A141" s="1" t="s">
        <v>140</v>
      </c>
      <c r="B141" t="str">
        <f t="shared" si="21"/>
        <v>¬</v>
      </c>
      <c r="D141" s="19"/>
      <c r="E141" s="15" t="s">
        <v>179</v>
      </c>
      <c r="F141" s="3"/>
      <c r="G141" s="3"/>
      <c r="H141" s="67" t="str">
        <f>IFERROR(IF(VLOOKUP(F141,tblManoeuvre[#Data],8,FALSE)=0,"None",VLOOKUP(F141,tblManoeuvre[#Data],8,FALSE)),"None")</f>
        <v>None</v>
      </c>
      <c r="I141" s="67"/>
      <c r="L141" s="4"/>
      <c r="M141" s="4"/>
      <c r="N141" s="4"/>
      <c r="O141" s="61">
        <f t="shared" si="25"/>
        <v>0</v>
      </c>
      <c r="P141" s="60">
        <f t="shared" si="26"/>
        <v>0</v>
      </c>
      <c r="Q141" s="61" t="str">
        <f>_xlfn.IFNA(VLOOKUP($F141,tblInfluence[],3,FALSE),"")</f>
        <v/>
      </c>
      <c r="R141" s="61" t="str">
        <f>_xlfn.IFNA(VLOOKUP($F141,tblInfluence[],4,FALSE),"")</f>
        <v/>
      </c>
      <c r="Y141" s="15" t="s">
        <v>183</v>
      </c>
      <c r="Z141" s="19"/>
      <c r="AA141" s="61" t="str">
        <f t="shared" si="23"/>
        <v/>
      </c>
      <c r="AC141" s="60"/>
      <c r="AD141" s="20"/>
      <c r="AE141" s="20" t="str">
        <f t="shared" si="24"/>
        <v/>
      </c>
      <c r="AF141" s="61" t="str" cm="1">
        <f t="array" ref="AF141">IF(AC141="","",SUMPRODUCT(($F$138:$F$157=AC141)*($G$138:$G$157=IF(AD141="","",AD141))*$P$138:$P$157))</f>
        <v/>
      </c>
    </row>
    <row r="142" spans="1:32">
      <c r="A142" s="1" t="s">
        <v>141</v>
      </c>
      <c r="B142" t="str">
        <f t="shared" si="21"/>
        <v>¬</v>
      </c>
      <c r="D142" s="19"/>
      <c r="E142" s="15" t="s">
        <v>180</v>
      </c>
      <c r="F142" s="3"/>
      <c r="G142" s="3"/>
      <c r="H142" s="67" t="str">
        <f>IFERROR(IF(VLOOKUP(F142,tblManoeuvre[#Data],8,FALSE)=0,"None",VLOOKUP(F142,tblManoeuvre[#Data],8,FALSE)),"None")</f>
        <v>None</v>
      </c>
      <c r="I142" s="67"/>
      <c r="L142" s="4"/>
      <c r="M142" s="4"/>
      <c r="N142" s="4"/>
      <c r="O142" s="61">
        <f t="shared" si="25"/>
        <v>0</v>
      </c>
      <c r="P142" s="60">
        <f t="shared" si="26"/>
        <v>0</v>
      </c>
      <c r="Q142" s="61" t="str">
        <f>_xlfn.IFNA(VLOOKUP($F142,tblInfluence[],3,FALSE),"")</f>
        <v/>
      </c>
      <c r="R142" s="61" t="str">
        <f>_xlfn.IFNA(VLOOKUP($F142,tblInfluence[],4,FALSE),"")</f>
        <v/>
      </c>
      <c r="Y142" s="15" t="s">
        <v>184</v>
      </c>
      <c r="Z142" s="19"/>
      <c r="AA142" s="61" t="str">
        <f t="shared" si="23"/>
        <v/>
      </c>
      <c r="AC142" s="60"/>
      <c r="AD142" s="20"/>
      <c r="AE142" s="20" t="str">
        <f t="shared" si="24"/>
        <v/>
      </c>
      <c r="AF142" s="61" t="str" cm="1">
        <f t="array" ref="AF142">IF(AC142="","",SUMPRODUCT(($F$138:$F$157=AC142)*($G$138:$G$157=IF(AD142="","",AD142))*$P$138:$P$157))</f>
        <v/>
      </c>
    </row>
    <row r="143" spans="1:32">
      <c r="A143" s="1" t="s">
        <v>142</v>
      </c>
      <c r="B143" t="str">
        <f t="shared" si="21"/>
        <v>¬</v>
      </c>
      <c r="D143" s="19"/>
      <c r="E143" s="15" t="s">
        <v>181</v>
      </c>
      <c r="F143" s="3"/>
      <c r="G143" s="3"/>
      <c r="H143" s="67" t="str">
        <f>IFERROR(IF(VLOOKUP(F143,tblManoeuvre[#Data],8,FALSE)=0,"None",VLOOKUP(F143,tblManoeuvre[#Data],8,FALSE)),"None")</f>
        <v>None</v>
      </c>
      <c r="I143" s="67"/>
      <c r="L143" s="4"/>
      <c r="M143" s="4"/>
      <c r="N143" s="4"/>
      <c r="O143" s="61">
        <f t="shared" si="25"/>
        <v>0</v>
      </c>
      <c r="P143" s="60">
        <f t="shared" si="26"/>
        <v>0</v>
      </c>
      <c r="Q143" s="61" t="str">
        <f>_xlfn.IFNA(VLOOKUP($F143,tblInfluence[],3,FALSE),"")</f>
        <v/>
      </c>
      <c r="R143" s="61" t="str">
        <f>_xlfn.IFNA(VLOOKUP($F143,tblInfluence[],4,FALSE),"")</f>
        <v/>
      </c>
      <c r="Y143" s="15" t="s">
        <v>185</v>
      </c>
      <c r="Z143" s="19"/>
      <c r="AA143" s="61" t="str">
        <f t="shared" si="23"/>
        <v/>
      </c>
      <c r="AC143" s="60"/>
      <c r="AD143" s="20"/>
      <c r="AE143" s="20" t="str">
        <f t="shared" si="24"/>
        <v/>
      </c>
      <c r="AF143" s="61" t="str" cm="1">
        <f t="array" ref="AF143">IF(AC143="","",SUMPRODUCT(($F$138:$F$157=AC143)*($G$138:$G$157=IF(AD143="","",AD143))*$P$138:$P$157))</f>
        <v/>
      </c>
    </row>
    <row r="144" spans="1:32">
      <c r="A144" s="1" t="s">
        <v>143</v>
      </c>
      <c r="B144" t="str">
        <f t="shared" si="21"/>
        <v>¬</v>
      </c>
      <c r="D144" s="19"/>
      <c r="E144" s="15" t="s">
        <v>182</v>
      </c>
      <c r="F144" s="3"/>
      <c r="G144" s="3"/>
      <c r="H144" s="67" t="str">
        <f>IFERROR(IF(VLOOKUP(F144,tblManoeuvre[#Data],8,FALSE)=0,"None",VLOOKUP(F144,tblManoeuvre[#Data],8,FALSE)),"None")</f>
        <v>None</v>
      </c>
      <c r="I144" s="67"/>
      <c r="L144" s="4"/>
      <c r="M144" s="4"/>
      <c r="N144" s="4"/>
      <c r="O144" s="61">
        <f t="shared" si="25"/>
        <v>0</v>
      </c>
      <c r="P144" s="60">
        <f t="shared" si="26"/>
        <v>0</v>
      </c>
      <c r="Q144" s="61" t="str">
        <f>_xlfn.IFNA(VLOOKUP($F144,tblInfluence[],3,FALSE),"")</f>
        <v/>
      </c>
      <c r="R144" s="61" t="str">
        <f>_xlfn.IFNA(VLOOKUP($F144,tblInfluence[],4,FALSE),"")</f>
        <v/>
      </c>
      <c r="Y144" s="15" t="s">
        <v>186</v>
      </c>
      <c r="Z144" s="19"/>
      <c r="AA144" s="61" t="str">
        <f t="shared" si="23"/>
        <v/>
      </c>
      <c r="AC144" s="60"/>
      <c r="AD144" s="20"/>
      <c r="AE144" s="20" t="str">
        <f t="shared" si="24"/>
        <v/>
      </c>
      <c r="AF144" s="61" t="str" cm="1">
        <f t="array" ref="AF144">IF(AC144="","",SUMPRODUCT(($F$138:$F$157=AC144)*($G$138:$G$157=IF(AD144="","",AD144))*$P$138:$P$157))</f>
        <v/>
      </c>
    </row>
    <row r="145" spans="1:32">
      <c r="A145" s="1" t="s">
        <v>144</v>
      </c>
      <c r="B145" t="str">
        <f t="shared" ref="B145:B174" si="27">IF(AF2="","¬",AF2)</f>
        <v>Add Blood Potency to sensory rolls. Exceptional success can inflict Obsession.</v>
      </c>
      <c r="D145" s="19"/>
      <c r="E145" s="15" t="s">
        <v>183</v>
      </c>
      <c r="F145" s="3"/>
      <c r="G145" s="3" t="str">
        <f>IFERROR(VLOOKUP(F145,tblManoeuvre[#Data],2,FALSE)&amp;" "&amp;VLOOKUP(F145,tblManoeuvre[#Data],3,FALSE),"")</f>
        <v/>
      </c>
      <c r="H145" s="67" t="str">
        <f>IFERROR(IF(VLOOKUP(F145,tblManoeuvre[#Data],8,FALSE)=0,"None",VLOOKUP(F145,tblManoeuvre[#Data],8,FALSE)),"None")</f>
        <v>None</v>
      </c>
      <c r="I145" s="67"/>
      <c r="L145" s="4"/>
      <c r="M145" s="4"/>
      <c r="N145" s="4"/>
      <c r="O145" s="61">
        <f t="shared" si="25"/>
        <v>0</v>
      </c>
      <c r="P145" s="60">
        <f t="shared" si="26"/>
        <v>0</v>
      </c>
      <c r="Q145" s="61" t="str">
        <f>_xlfn.IFNA(VLOOKUP($F145,tblInfluence[],3,FALSE),"")</f>
        <v/>
      </c>
      <c r="R145" s="61" t="str">
        <f>_xlfn.IFNA(VLOOKUP($F145,tblInfluence[],4,FALSE),"")</f>
        <v/>
      </c>
      <c r="Y145" s="15" t="s">
        <v>187</v>
      </c>
      <c r="Z145" s="19"/>
      <c r="AA145" s="61" t="str">
        <f t="shared" si="23"/>
        <v/>
      </c>
      <c r="AC145" s="60"/>
      <c r="AD145" s="20"/>
      <c r="AE145" s="20" t="str">
        <f t="shared" si="24"/>
        <v/>
      </c>
      <c r="AF145" s="61" t="str" cm="1">
        <f t="array" ref="AF145">IF(AC145="","",SUMPRODUCT(($F$138:$F$157=AC145)*($G$138:$G$157=IF(AD145="","",AD145))*$P$138:$P$157))</f>
        <v/>
      </c>
    </row>
    <row r="146" spans="1:32">
      <c r="A146" s="1" t="s">
        <v>145</v>
      </c>
      <c r="B146" t="str">
        <f t="shared" si="27"/>
        <v>¬</v>
      </c>
      <c r="D146" s="19"/>
      <c r="E146" s="15" t="s">
        <v>184</v>
      </c>
      <c r="F146" s="3"/>
      <c r="G146" s="3" t="str">
        <f>IFERROR(VLOOKUP(F146,tblManoeuvre[#Data],2,FALSE)&amp;" "&amp;VLOOKUP(F146,tblManoeuvre[#Data],3,FALSE),"")</f>
        <v/>
      </c>
      <c r="H146" s="67" t="str">
        <f>IFERROR(IF(VLOOKUP(F146,tblManoeuvre[#Data],8,FALSE)=0,"None",VLOOKUP(F146,tblManoeuvre[#Data],8,FALSE)),"None")</f>
        <v>None</v>
      </c>
      <c r="I146" s="67"/>
      <c r="L146" s="4"/>
      <c r="M146" s="4"/>
      <c r="N146" s="4"/>
      <c r="O146" s="61">
        <f t="shared" si="25"/>
        <v>0</v>
      </c>
      <c r="P146" s="60">
        <f t="shared" si="26"/>
        <v>0</v>
      </c>
      <c r="Q146" s="61" t="str">
        <f>_xlfn.IFNA(VLOOKUP($F146,tblInfluence[],3,FALSE),"")</f>
        <v/>
      </c>
      <c r="R146" s="61" t="str">
        <f>_xlfn.IFNA(VLOOKUP($F146,tblInfluence[],4,FALSE),"")</f>
        <v/>
      </c>
      <c r="Y146" s="15" t="s">
        <v>188</v>
      </c>
      <c r="Z146" s="19"/>
      <c r="AA146" s="61" t="str">
        <f t="shared" si="23"/>
        <v/>
      </c>
      <c r="AC146" s="60"/>
      <c r="AD146" s="20"/>
      <c r="AE146" s="20" t="str">
        <f t="shared" si="24"/>
        <v/>
      </c>
      <c r="AF146" s="61" t="str" cm="1">
        <f t="array" ref="AF146">IF(AC146="","",SUMPRODUCT(($F$138:$F$157=AC146)*($G$138:$G$157=IF(AD146="","",AD146))*$P$138:$P$157))</f>
        <v/>
      </c>
    </row>
    <row r="147" spans="1:32">
      <c r="A147" s="1" t="s">
        <v>146</v>
      </c>
      <c r="B147" t="str">
        <f t="shared" si="27"/>
        <v>¬</v>
      </c>
      <c r="D147" s="19"/>
      <c r="E147" s="15" t="s">
        <v>185</v>
      </c>
      <c r="F147" s="3"/>
      <c r="G147" s="3" t="str">
        <f>IFERROR(VLOOKUP(F147,tblManoeuvre[#Data],2,FALSE)&amp;" "&amp;VLOOKUP(F147,tblManoeuvre[#Data],3,FALSE),"")</f>
        <v/>
      </c>
      <c r="H147" s="67" t="str">
        <f>IFERROR(IF(VLOOKUP(F147,tblManoeuvre[#Data],8,FALSE)=0,"None",VLOOKUP(F147,tblManoeuvre[#Data],8,FALSE)),"None")</f>
        <v>None</v>
      </c>
      <c r="I147" s="67"/>
      <c r="L147" s="4"/>
      <c r="M147" s="4"/>
      <c r="N147" s="4"/>
      <c r="O147" s="61">
        <f t="shared" si="25"/>
        <v>0</v>
      </c>
      <c r="P147" s="60">
        <f t="shared" si="26"/>
        <v>0</v>
      </c>
      <c r="Q147" s="61" t="str">
        <f>_xlfn.IFNA(VLOOKUP($F147,tblInfluence[],3,FALSE),"")</f>
        <v/>
      </c>
      <c r="R147" s="61" t="str">
        <f>_xlfn.IFNA(VLOOKUP($F147,tblInfluence[],4,FALSE),"")</f>
        <v/>
      </c>
      <c r="Y147" s="15" t="s">
        <v>189</v>
      </c>
      <c r="Z147" s="19"/>
      <c r="AA147" s="61" t="str">
        <f t="shared" si="23"/>
        <v/>
      </c>
      <c r="AC147" s="60"/>
      <c r="AD147" s="20"/>
      <c r="AE147" s="20" t="str">
        <f t="shared" si="24"/>
        <v/>
      </c>
      <c r="AF147" s="61" t="str" cm="1">
        <f t="array" ref="AF147">IF(AC147="","",SUMPRODUCT(($F$138:$F$157=AC147)*($G$138:$G$157=IF(AD147="","",AD147))*$P$138:$P$157))</f>
        <v/>
      </c>
    </row>
    <row r="148" spans="1:32">
      <c r="A148" s="1" t="s">
        <v>147</v>
      </c>
      <c r="B148" t="str">
        <f t="shared" si="27"/>
        <v>¬</v>
      </c>
      <c r="D148" s="19"/>
      <c r="E148" s="15" t="s">
        <v>186</v>
      </c>
      <c r="F148" s="3"/>
      <c r="G148" s="3" t="str">
        <f>IFERROR(VLOOKUP(F148,tblManoeuvre[#Data],2,FALSE)&amp;" "&amp;VLOOKUP(F148,tblManoeuvre[#Data],3,FALSE),"")</f>
        <v/>
      </c>
      <c r="H148" s="67" t="str">
        <f>IFERROR(IF(VLOOKUP(F148,tblManoeuvre[#Data],8,FALSE)=0,"None",VLOOKUP(F148,tblManoeuvre[#Data],8,FALSE)),"None")</f>
        <v>None</v>
      </c>
      <c r="I148" s="67"/>
      <c r="L148" s="4"/>
      <c r="M148" s="4"/>
      <c r="N148" s="4"/>
      <c r="O148" s="61">
        <f t="shared" si="25"/>
        <v>0</v>
      </c>
      <c r="P148" s="60">
        <f t="shared" si="26"/>
        <v>0</v>
      </c>
      <c r="Q148" s="61" t="str">
        <f>_xlfn.IFNA(VLOOKUP($F148,tblInfluence[],3,FALSE),"")</f>
        <v/>
      </c>
      <c r="R148" s="61" t="str">
        <f>_xlfn.IFNA(VLOOKUP($F148,tblInfluence[],4,FALSE),"")</f>
        <v/>
      </c>
      <c r="Y148" s="15" t="s">
        <v>190</v>
      </c>
      <c r="Z148" s="19"/>
      <c r="AA148" s="61" t="str">
        <f t="shared" si="23"/>
        <v/>
      </c>
      <c r="AC148" s="60"/>
      <c r="AD148" s="20"/>
      <c r="AE148" s="20" t="str">
        <f t="shared" si="24"/>
        <v/>
      </c>
      <c r="AF148" s="61" t="str" cm="1">
        <f t="array" ref="AF148">IF(AC148="","",SUMPRODUCT(($F$138:$F$157=AC148)*($G$138:$G$157=IF(AD148="","",AD148))*$P$138:$P$157))</f>
        <v/>
      </c>
    </row>
    <row r="149" spans="1:32">
      <c r="A149" s="1" t="s">
        <v>148</v>
      </c>
      <c r="B149" t="str">
        <f t="shared" si="27"/>
        <v>¬</v>
      </c>
      <c r="D149" s="19"/>
      <c r="E149" s="15" t="s">
        <v>187</v>
      </c>
      <c r="F149" s="3"/>
      <c r="G149" s="3" t="str">
        <f>IFERROR(VLOOKUP(F149,tblManoeuvre[#Data],2,FALSE)&amp;" "&amp;VLOOKUP(F149,tblManoeuvre[#Data],3,FALSE),"")</f>
        <v/>
      </c>
      <c r="H149" s="67" t="str">
        <f>IFERROR(IF(VLOOKUP(F149,tblManoeuvre[#Data],8,FALSE)=0,"None",VLOOKUP(F149,tblManoeuvre[#Data],8,FALSE)),"None")</f>
        <v>None</v>
      </c>
      <c r="I149" s="67"/>
      <c r="L149" s="4"/>
      <c r="M149" s="4"/>
      <c r="N149" s="4"/>
      <c r="O149" s="61">
        <f t="shared" si="25"/>
        <v>0</v>
      </c>
      <c r="P149" s="60">
        <f t="shared" si="26"/>
        <v>0</v>
      </c>
      <c r="Q149" s="61" t="str">
        <f>_xlfn.IFNA(VLOOKUP($F149,tblInfluence[],3,FALSE),"")</f>
        <v/>
      </c>
      <c r="R149" s="61" t="str">
        <f>_xlfn.IFNA(VLOOKUP($F149,tblInfluence[],4,FALSE),"")</f>
        <v/>
      </c>
      <c r="Y149" s="15" t="s">
        <v>191</v>
      </c>
      <c r="Z149" s="19"/>
      <c r="AA149" s="61" t="str">
        <f t="shared" si="23"/>
        <v/>
      </c>
      <c r="AC149" s="60"/>
      <c r="AD149" s="20"/>
      <c r="AE149" s="20" t="str">
        <f t="shared" si="24"/>
        <v/>
      </c>
      <c r="AF149" s="61" t="str" cm="1">
        <f t="array" ref="AF149">IF(AC149="","",SUMPRODUCT(($F$138:$F$157=AC149)*($G$138:$G$157=IF(AD149="","",AD149))*$P$138:$P$157))</f>
        <v/>
      </c>
    </row>
    <row r="150" spans="1:32">
      <c r="A150" s="1" t="s">
        <v>149</v>
      </c>
      <c r="B150" t="str">
        <f t="shared" si="27"/>
        <v>¬</v>
      </c>
      <c r="D150" s="19"/>
      <c r="E150" s="15" t="s">
        <v>188</v>
      </c>
      <c r="F150" s="3"/>
      <c r="G150" s="3" t="str">
        <f>IFERROR(VLOOKUP(F150,tblManoeuvre[#Data],2,FALSE)&amp;" "&amp;VLOOKUP(F150,tblManoeuvre[#Data],3,FALSE),"")</f>
        <v/>
      </c>
      <c r="H150" s="67" t="str">
        <f>IFERROR(IF(VLOOKUP(F150,tblManoeuvre[#Data],8,FALSE)=0,"None",VLOOKUP(F150,tblManoeuvre[#Data],8,FALSE)),"None")</f>
        <v>None</v>
      </c>
      <c r="I150" s="67"/>
      <c r="L150" s="4"/>
      <c r="M150" s="4"/>
      <c r="N150" s="4"/>
      <c r="O150" s="61">
        <f t="shared" si="25"/>
        <v>0</v>
      </c>
      <c r="P150" s="60">
        <f t="shared" si="26"/>
        <v>0</v>
      </c>
      <c r="Q150" s="61" t="str">
        <f>_xlfn.IFNA(VLOOKUP($F150,tblInfluence[],3,FALSE),"")</f>
        <v/>
      </c>
      <c r="R150" s="61" t="str">
        <f>_xlfn.IFNA(VLOOKUP($F150,tblInfluence[],4,FALSE),"")</f>
        <v/>
      </c>
      <c r="Y150" s="15" t="s">
        <v>192</v>
      </c>
      <c r="Z150" s="19"/>
      <c r="AA150" s="61" t="str">
        <f t="shared" si="23"/>
        <v/>
      </c>
      <c r="AC150" s="60"/>
      <c r="AD150" s="20"/>
      <c r="AE150" s="20" t="str">
        <f t="shared" si="24"/>
        <v/>
      </c>
      <c r="AF150" s="61" t="str" cm="1">
        <f t="array" ref="AF150">IF(AC150="","",SUMPRODUCT(($F$138:$F$157=AC150)*($G$138:$G$157=IF(AD150="","",AD150))*$P$138:$P$157))</f>
        <v/>
      </c>
    </row>
    <row r="151" spans="1:32">
      <c r="A151" s="1" t="s">
        <v>150</v>
      </c>
      <c r="B151" t="str">
        <f t="shared" si="27"/>
        <v>¬</v>
      </c>
      <c r="D151" s="19"/>
      <c r="E151" s="15" t="s">
        <v>189</v>
      </c>
      <c r="F151" s="3"/>
      <c r="G151" s="3" t="str">
        <f>IFERROR(VLOOKUP(F151,tblManoeuvre[#Data],2,FALSE)&amp;" "&amp;VLOOKUP(F151,tblManoeuvre[#Data],3,FALSE),"")</f>
        <v/>
      </c>
      <c r="H151" s="67" t="str">
        <f>IFERROR(IF(VLOOKUP(F151,tblManoeuvre[#Data],8,FALSE)=0,"None",VLOOKUP(F151,tblManoeuvre[#Data],8,FALSE)),"None")</f>
        <v>None</v>
      </c>
      <c r="I151" s="67"/>
      <c r="L151" s="4"/>
      <c r="M151" s="4"/>
      <c r="N151" s="4"/>
      <c r="O151" s="61">
        <f t="shared" si="25"/>
        <v>0</v>
      </c>
      <c r="P151" s="60">
        <f t="shared" si="26"/>
        <v>0</v>
      </c>
      <c r="Q151" s="61" t="str">
        <f>_xlfn.IFNA(VLOOKUP($F151,tblInfluence[],3,FALSE),"")</f>
        <v/>
      </c>
      <c r="R151" s="61" t="str">
        <f>_xlfn.IFNA(VLOOKUP($F151,tblInfluence[],4,FALSE),"")</f>
        <v/>
      </c>
      <c r="Y151" s="15" t="s">
        <v>193</v>
      </c>
      <c r="Z151" s="19"/>
      <c r="AA151" s="61" t="str">
        <f t="shared" si="23"/>
        <v/>
      </c>
      <c r="AC151" s="60"/>
      <c r="AD151" s="20"/>
      <c r="AE151" s="20" t="str">
        <f t="shared" si="24"/>
        <v/>
      </c>
      <c r="AF151" s="61" t="str" cm="1">
        <f t="array" ref="AF151">IF(AC151="","",SUMPRODUCT(($F$138:$F$157=AC151)*($G$138:$G$157=IF(AD151="","",AD151))*$P$138:$P$157))</f>
        <v/>
      </c>
    </row>
    <row r="152" spans="1:32">
      <c r="A152" s="1" t="s">
        <v>151</v>
      </c>
      <c r="B152" t="str">
        <f t="shared" si="27"/>
        <v>¬</v>
      </c>
      <c r="D152" s="19"/>
      <c r="E152" s="15" t="s">
        <v>190</v>
      </c>
      <c r="F152" s="3"/>
      <c r="G152" s="3" t="str">
        <f>IFERROR(VLOOKUP(F152,tblManoeuvre[#Data],2,FALSE)&amp;" "&amp;VLOOKUP(F152,tblManoeuvre[#Data],3,FALSE),"")</f>
        <v/>
      </c>
      <c r="H152" s="67" t="str">
        <f>IFERROR(IF(VLOOKUP(F152,tblManoeuvre[#Data],8,FALSE)=0,"None",VLOOKUP(F152,tblManoeuvre[#Data],8,FALSE)),"None")</f>
        <v>None</v>
      </c>
      <c r="I152" s="67"/>
      <c r="L152" s="4"/>
      <c r="M152" s="4"/>
      <c r="N152" s="4"/>
      <c r="O152" s="61">
        <f t="shared" si="25"/>
        <v>0</v>
      </c>
      <c r="P152" s="60">
        <f t="shared" si="26"/>
        <v>0</v>
      </c>
      <c r="Q152" s="61" t="str">
        <f>_xlfn.IFNA(VLOOKUP($F152,tblInfluence[],3,FALSE),"")</f>
        <v/>
      </c>
      <c r="R152" s="61" t="str">
        <f>_xlfn.IFNA(VLOOKUP($F152,tblInfluence[],4,FALSE),"")</f>
        <v/>
      </c>
      <c r="Y152" s="15" t="s">
        <v>194</v>
      </c>
      <c r="Z152" s="19"/>
      <c r="AA152" s="61" t="str">
        <f t="shared" si="23"/>
        <v/>
      </c>
      <c r="AC152" s="60"/>
      <c r="AD152" s="20"/>
      <c r="AE152" s="20" t="str">
        <f t="shared" si="24"/>
        <v/>
      </c>
      <c r="AF152" s="61" t="str" cm="1">
        <f t="array" ref="AF152">IF(AC152="","",SUMPRODUCT(($F$138:$F$157=AC152)*($G$138:$G$157=IF(AD152="","",AD152))*$P$138:$P$157))</f>
        <v/>
      </c>
    </row>
    <row r="153" spans="1:32">
      <c r="A153" s="1" t="s">
        <v>152</v>
      </c>
      <c r="B153" t="str">
        <f t="shared" si="27"/>
        <v>¬</v>
      </c>
      <c r="D153" s="19"/>
      <c r="E153" s="15" t="s">
        <v>191</v>
      </c>
      <c r="F153" s="3"/>
      <c r="G153" s="3" t="str">
        <f>IFERROR(VLOOKUP(F153,tblManoeuvre[#Data],2,FALSE)&amp;" "&amp;VLOOKUP(F153,tblManoeuvre[#Data],3,FALSE),"")</f>
        <v/>
      </c>
      <c r="H153" s="67" t="str">
        <f>IFERROR(IF(VLOOKUP(F153,tblManoeuvre[#Data],8,FALSE)=0,"None",VLOOKUP(F153,tblManoeuvre[#Data],8,FALSE)),"None")</f>
        <v>None</v>
      </c>
      <c r="I153" s="67"/>
      <c r="L153" s="4"/>
      <c r="M153" s="4"/>
      <c r="N153" s="4"/>
      <c r="O153" s="61">
        <f t="shared" si="25"/>
        <v>0</v>
      </c>
      <c r="P153" s="60">
        <f t="shared" si="26"/>
        <v>0</v>
      </c>
      <c r="Q153" s="61" t="str">
        <f>_xlfn.IFNA(VLOOKUP($F153,tblInfluence[],3,FALSE),"")</f>
        <v/>
      </c>
      <c r="R153" s="61" t="str">
        <f>_xlfn.IFNA(VLOOKUP($F153,tblInfluence[],4,FALSE),"")</f>
        <v/>
      </c>
      <c r="Y153" s="15" t="s">
        <v>195</v>
      </c>
      <c r="Z153" s="19"/>
      <c r="AA153" s="61" t="str">
        <f t="shared" si="23"/>
        <v/>
      </c>
      <c r="AC153" s="60"/>
      <c r="AD153" s="20"/>
      <c r="AE153" s="20" t="str">
        <f t="shared" si="24"/>
        <v/>
      </c>
      <c r="AF153" s="61" t="str" cm="1">
        <f t="array" ref="AF153">IF(AC153="","",SUMPRODUCT(($F$138:$F$157=AC153)*($G$138:$G$157=IF(AD153="","",AD153))*$P$138:$P$157))</f>
        <v/>
      </c>
    </row>
    <row r="154" spans="1:32">
      <c r="A154" s="1" t="s">
        <v>153</v>
      </c>
      <c r="B154" t="str">
        <f t="shared" si="27"/>
        <v>¬</v>
      </c>
      <c r="D154" s="19"/>
      <c r="E154" s="15" t="s">
        <v>192</v>
      </c>
      <c r="F154" s="3"/>
      <c r="G154" s="3" t="str">
        <f>IFERROR(VLOOKUP(F154,tblManoeuvre[#Data],2,FALSE)&amp;" "&amp;VLOOKUP(F154,tblManoeuvre[#Data],3,FALSE),"")</f>
        <v/>
      </c>
      <c r="H154" s="67" t="str">
        <f>IFERROR(IF(VLOOKUP(F154,tblManoeuvre[#Data],8,FALSE)=0,"None",VLOOKUP(F154,tblManoeuvre[#Data],8,FALSE)),"None")</f>
        <v>None</v>
      </c>
      <c r="I154" s="67"/>
      <c r="L154" s="4"/>
      <c r="M154" s="4"/>
      <c r="N154" s="4"/>
      <c r="O154" s="61">
        <f t="shared" si="25"/>
        <v>0</v>
      </c>
      <c r="P154" s="60">
        <f t="shared" si="26"/>
        <v>0</v>
      </c>
      <c r="Q154" s="61" t="str">
        <f>_xlfn.IFNA(VLOOKUP($F154,tblInfluence[],3,FALSE),"")</f>
        <v/>
      </c>
      <c r="R154" s="61" t="str">
        <f>_xlfn.IFNA(VLOOKUP($F154,tblInfluence[],4,FALSE),"")</f>
        <v/>
      </c>
    </row>
    <row r="155" spans="1:32">
      <c r="A155" s="1" t="s">
        <v>154</v>
      </c>
      <c r="B155" t="str">
        <f t="shared" si="27"/>
        <v>¬</v>
      </c>
      <c r="D155" s="19"/>
      <c r="E155" s="15" t="s">
        <v>193</v>
      </c>
      <c r="F155" s="3"/>
      <c r="G155" s="3" t="str">
        <f>IFERROR(VLOOKUP(F155,tblManoeuvre[#Data],2,FALSE)&amp;" "&amp;VLOOKUP(F155,tblManoeuvre[#Data],3,FALSE),"")</f>
        <v/>
      </c>
      <c r="H155" s="67" t="str">
        <f>IFERROR(IF(VLOOKUP(F155,tblManoeuvre[#Data],8,FALSE)=0,"None",VLOOKUP(F155,tblManoeuvre[#Data],8,FALSE)),"None")</f>
        <v>None</v>
      </c>
      <c r="I155" s="67"/>
      <c r="L155" s="4"/>
      <c r="M155" s="4"/>
      <c r="N155" s="4"/>
      <c r="O155" s="61">
        <f t="shared" si="25"/>
        <v>0</v>
      </c>
      <c r="P155" s="60">
        <f t="shared" si="26"/>
        <v>0</v>
      </c>
      <c r="Q155" s="61" t="str">
        <f>_xlfn.IFNA(VLOOKUP($F155,tblInfluence[],3,FALSE),"")</f>
        <v/>
      </c>
      <c r="R155" s="61" t="str">
        <f>_xlfn.IFNA(VLOOKUP($F155,tblInfluence[],4,FALSE),"")</f>
        <v/>
      </c>
      <c r="AE155" s="61">
        <f>IF(P160=5,1,0)</f>
        <v>0</v>
      </c>
    </row>
    <row r="156" spans="1:32">
      <c r="A156" s="1" t="s">
        <v>155</v>
      </c>
      <c r="B156" t="str">
        <f t="shared" si="27"/>
        <v>¬</v>
      </c>
      <c r="D156" s="19"/>
      <c r="E156" s="15" t="s">
        <v>194</v>
      </c>
      <c r="F156" s="3"/>
      <c r="G156" s="3" t="str">
        <f>IFERROR(VLOOKUP(F156,tblManoeuvre[#Data],2,FALSE)&amp;" "&amp;VLOOKUP(F156,tblManoeuvre[#Data],3,FALSE),"")</f>
        <v/>
      </c>
      <c r="H156" s="67" t="str">
        <f>IFERROR(IF(VLOOKUP(F156,tblManoeuvre[#Data],8,FALSE)=0,"None",VLOOKUP(F156,tblManoeuvre[#Data],8,FALSE)),"None")</f>
        <v>None</v>
      </c>
      <c r="I156" s="67"/>
      <c r="L156" s="4"/>
      <c r="M156" s="4"/>
      <c r="N156" s="4"/>
      <c r="O156" s="61">
        <f t="shared" si="25"/>
        <v>0</v>
      </c>
      <c r="P156" s="60">
        <f t="shared" si="26"/>
        <v>0</v>
      </c>
      <c r="Q156" s="61" t="str">
        <f>_xlfn.IFNA(VLOOKUP($F156,tblInfluence[],3,FALSE),"")</f>
        <v/>
      </c>
      <c r="R156" s="61" t="str">
        <f>_xlfn.IFNA(VLOOKUP($F156,tblInfluence[],4,FALSE),"")</f>
        <v/>
      </c>
      <c r="AE156" s="61" t="b">
        <f>COUNTIF(AA2:AA21,"*Honey With Vinegar*")&gt;0</f>
        <v>0</v>
      </c>
    </row>
    <row r="157" spans="1:32">
      <c r="A157" s="1" t="s">
        <v>156</v>
      </c>
      <c r="B157" t="str">
        <f t="shared" si="27"/>
        <v>¬</v>
      </c>
      <c r="D157" s="19"/>
      <c r="E157" s="15" t="s">
        <v>195</v>
      </c>
      <c r="F157" s="3"/>
      <c r="G157" s="3" t="str">
        <f>IFERROR(VLOOKUP(F157,tblManoeuvre[#Data],2,FALSE)&amp;" "&amp;VLOOKUP(F157,tblManoeuvre[#Data],3,FALSE),"")</f>
        <v/>
      </c>
      <c r="H157" s="67" t="str">
        <f>IFERROR(IF(VLOOKUP(F157,tblManoeuvre[#Data],8,FALSE)=0,"None",VLOOKUP(F157,tblManoeuvre[#Data],8,FALSE)),"None")</f>
        <v>None</v>
      </c>
      <c r="I157" s="67"/>
      <c r="L157" s="4"/>
      <c r="M157" s="4"/>
      <c r="N157" s="4"/>
      <c r="O157" s="61">
        <f t="shared" si="25"/>
        <v>0</v>
      </c>
      <c r="P157" s="60">
        <f t="shared" si="26"/>
        <v>0</v>
      </c>
      <c r="Q157" s="61" t="str">
        <f>_xlfn.IFNA(VLOOKUP($F157,tblInfluence[],3,FALSE),"")</f>
        <v/>
      </c>
      <c r="R157" s="61" t="str">
        <f>_xlfn.IFNA(VLOOKUP($F157,tblInfluence[],4,FALSE),"")</f>
        <v/>
      </c>
    </row>
    <row r="158" spans="1:32">
      <c r="A158" s="1" t="s">
        <v>157</v>
      </c>
      <c r="B158" t="str">
        <f t="shared" si="27"/>
        <v>¬</v>
      </c>
    </row>
    <row r="159" spans="1:32">
      <c r="A159" s="1" t="s">
        <v>158</v>
      </c>
      <c r="B159" t="str">
        <f t="shared" si="27"/>
        <v>¬</v>
      </c>
      <c r="D159" s="16" t="s">
        <v>1486</v>
      </c>
      <c r="E159" s="17"/>
      <c r="F159" s="17" t="s">
        <v>1487</v>
      </c>
      <c r="G159" s="17"/>
      <c r="H159" s="17"/>
      <c r="I159" s="17"/>
    </row>
    <row r="160" spans="1:32">
      <c r="A160" s="1" t="s">
        <v>159</v>
      </c>
      <c r="B160" t="str">
        <f t="shared" si="27"/>
        <v>¬</v>
      </c>
      <c r="D160" s="19"/>
      <c r="E160" s="15" t="s">
        <v>98</v>
      </c>
      <c r="F160" s="3"/>
      <c r="G160" s="60"/>
      <c r="H160" s="60"/>
      <c r="I160" s="60"/>
      <c r="L160" s="4"/>
      <c r="M160" s="4"/>
      <c r="N160" s="4"/>
      <c r="O160" s="61">
        <f>N160</f>
        <v>0</v>
      </c>
      <c r="P160" s="60">
        <f>MIN(SUM(L160,M160,O160),R160)</f>
        <v>0</v>
      </c>
      <c r="Q160" s="61">
        <v>1</v>
      </c>
      <c r="R160" s="61">
        <v>5</v>
      </c>
    </row>
    <row r="161" spans="1:18">
      <c r="A161" s="1" t="s">
        <v>160</v>
      </c>
      <c r="B161" t="str">
        <f t="shared" si="27"/>
        <v>¬</v>
      </c>
      <c r="D161" s="19"/>
      <c r="E161" s="15" t="s">
        <v>100</v>
      </c>
      <c r="F161" s="3" t="s">
        <v>765</v>
      </c>
      <c r="G161" s="60"/>
      <c r="H161" s="60"/>
      <c r="I161" s="60"/>
      <c r="L161" s="4">
        <v>4</v>
      </c>
      <c r="M161" s="4"/>
      <c r="N161" s="4"/>
      <c r="O161" s="61">
        <f>N161</f>
        <v>0</v>
      </c>
      <c r="P161" s="60">
        <f>MIN(SUM(L161,M161,O161),R161)</f>
        <v>4</v>
      </c>
      <c r="Q161" s="61">
        <v>1</v>
      </c>
      <c r="R161" s="61">
        <v>5</v>
      </c>
    </row>
    <row r="162" spans="1:18">
      <c r="A162" s="1" t="s">
        <v>161</v>
      </c>
      <c r="B162" t="str">
        <f t="shared" si="27"/>
        <v>¬</v>
      </c>
    </row>
    <row r="163" spans="1:18" ht="15.75" thickBot="1">
      <c r="A163" s="1" t="s">
        <v>162</v>
      </c>
      <c r="B163" t="str">
        <f t="shared" si="27"/>
        <v>¬</v>
      </c>
      <c r="D163" s="14" t="s">
        <v>1488</v>
      </c>
      <c r="E163" s="14"/>
      <c r="F163" s="14"/>
      <c r="G163" s="14"/>
      <c r="H163" s="14"/>
      <c r="I163" s="14"/>
      <c r="N163" s="60">
        <f>SUM(N165:N174)+SUM(N177:N181)+SUM(N184:N185)+SUM(N187:N191)+SUM(N194:N203)</f>
        <v>24</v>
      </c>
    </row>
    <row r="164" spans="1:18">
      <c r="A164" s="1" t="s">
        <v>163</v>
      </c>
      <c r="B164" t="str">
        <f t="shared" si="27"/>
        <v>¬</v>
      </c>
      <c r="D164" s="16" t="s">
        <v>1489</v>
      </c>
      <c r="E164" s="15" t="s">
        <v>1490</v>
      </c>
      <c r="F164" s="61" t="str">
        <f>IFERROR(IF($F$8="",VLOOKUP($F$7,tblClans[],5,FALSE),VLOOKUP($F$8,tblBloodlines[],5,FALSE)),"")</f>
        <v>Auspex</v>
      </c>
      <c r="G164" s="61" t="str">
        <f>IFERROR(IF($F$8="",VLOOKUP($F$7,tblClans[],6,FALSE),VLOOKUP($F$8,tblBloodlines[],6,FALSE)),"")</f>
        <v>Celerity</v>
      </c>
      <c r="H164" s="61" t="str">
        <f>IFERROR(IF($F$8="",VLOOKUP($F$7,tblClans[],7,FALSE),VLOOKUP($F$8,tblBloodlines[],7,FALSE)),"")</f>
        <v>Obfuscate</v>
      </c>
      <c r="I164" s="61" t="str">
        <f>IFERROR(IF($F$8="",VLOOKUP($F$7,tblClans[],8,FALSE),VLOOKUP($F$8,tblBloodlines[],8,FALSE)),"")</f>
        <v/>
      </c>
      <c r="L164" s="60">
        <f>3-SUM(L165:L174)-SUM(L184:L185)</f>
        <v>0</v>
      </c>
    </row>
    <row r="165" spans="1:18">
      <c r="A165" s="1" t="s">
        <v>164</v>
      </c>
      <c r="B165" t="str">
        <f t="shared" si="27"/>
        <v>¬</v>
      </c>
      <c r="D165" s="19"/>
      <c r="E165" s="15" t="s">
        <v>236</v>
      </c>
      <c r="F165" s="19"/>
      <c r="G165" s="19"/>
      <c r="H165" s="19"/>
      <c r="I165" s="19"/>
      <c r="L165" s="4"/>
      <c r="N165" s="4"/>
      <c r="O165" s="61">
        <f t="shared" ref="O165:O174" si="28">ROUNDDOWN(IF(COUNTIF($F$164:$I$164,$E165)&gt;0,N165/3,N165/4),0)</f>
        <v>0</v>
      </c>
      <c r="P165" s="60">
        <f>MIN(SUM(L165,O165),R165)</f>
        <v>0</v>
      </c>
      <c r="Q165" s="61">
        <v>0</v>
      </c>
      <c r="R165" s="61">
        <v>5</v>
      </c>
    </row>
    <row r="166" spans="1:18">
      <c r="A166" s="1" t="s">
        <v>165</v>
      </c>
      <c r="B166" t="str">
        <f t="shared" si="27"/>
        <v>¬</v>
      </c>
      <c r="D166" s="19"/>
      <c r="E166" s="15" t="s">
        <v>237</v>
      </c>
      <c r="F166" s="19"/>
      <c r="G166" s="19"/>
      <c r="H166" s="19"/>
      <c r="I166" s="19"/>
      <c r="L166" s="4">
        <v>2</v>
      </c>
      <c r="N166" s="4">
        <v>9</v>
      </c>
      <c r="O166" s="61">
        <f t="shared" si="28"/>
        <v>3</v>
      </c>
      <c r="P166" s="60">
        <f t="shared" ref="P166:P174" si="29">MIN(SUM(L166,O166),R166)</f>
        <v>5</v>
      </c>
      <c r="Q166" s="61">
        <v>0</v>
      </c>
      <c r="R166" s="61">
        <v>5</v>
      </c>
    </row>
    <row r="167" spans="1:18">
      <c r="A167" s="1" t="s">
        <v>166</v>
      </c>
      <c r="B167" t="str">
        <f t="shared" si="27"/>
        <v>¬</v>
      </c>
      <c r="D167" s="19"/>
      <c r="E167" s="15" t="s">
        <v>238</v>
      </c>
      <c r="F167" s="19"/>
      <c r="G167" s="19"/>
      <c r="H167" s="19"/>
      <c r="I167" s="19"/>
      <c r="L167" s="4"/>
      <c r="N167" s="4"/>
      <c r="O167" s="61">
        <f t="shared" si="28"/>
        <v>0</v>
      </c>
      <c r="P167" s="60">
        <f t="shared" si="29"/>
        <v>0</v>
      </c>
      <c r="Q167" s="61">
        <v>0</v>
      </c>
      <c r="R167" s="61">
        <v>5</v>
      </c>
    </row>
    <row r="168" spans="1:18">
      <c r="A168" s="1" t="s">
        <v>167</v>
      </c>
      <c r="B168" t="str">
        <f t="shared" si="27"/>
        <v>¬</v>
      </c>
      <c r="D168" s="19"/>
      <c r="E168" s="15" t="s">
        <v>239</v>
      </c>
      <c r="F168" s="19"/>
      <c r="G168" s="19"/>
      <c r="H168" s="19"/>
      <c r="I168" s="19"/>
      <c r="L168" s="4"/>
      <c r="N168" s="4"/>
      <c r="O168" s="61">
        <f t="shared" si="28"/>
        <v>0</v>
      </c>
      <c r="P168" s="60">
        <f t="shared" si="29"/>
        <v>0</v>
      </c>
      <c r="Q168" s="61">
        <v>0</v>
      </c>
      <c r="R168" s="61">
        <v>5</v>
      </c>
    </row>
    <row r="169" spans="1:18">
      <c r="A169" s="1" t="s">
        <v>168</v>
      </c>
      <c r="B169" t="str">
        <f t="shared" si="27"/>
        <v>¬</v>
      </c>
      <c r="D169" s="19"/>
      <c r="E169" s="15" t="s">
        <v>240</v>
      </c>
      <c r="F169" s="19"/>
      <c r="G169" s="19"/>
      <c r="H169" s="19"/>
      <c r="I169" s="19"/>
      <c r="L169" s="4"/>
      <c r="N169" s="4"/>
      <c r="O169" s="61">
        <f t="shared" si="28"/>
        <v>0</v>
      </c>
      <c r="P169" s="60">
        <f t="shared" si="29"/>
        <v>0</v>
      </c>
      <c r="Q169" s="61">
        <v>0</v>
      </c>
      <c r="R169" s="61">
        <v>5</v>
      </c>
    </row>
    <row r="170" spans="1:18">
      <c r="A170" s="1" t="s">
        <v>169</v>
      </c>
      <c r="B170" t="str">
        <f t="shared" si="27"/>
        <v>¬</v>
      </c>
      <c r="D170" s="19"/>
      <c r="E170" s="15" t="s">
        <v>241</v>
      </c>
      <c r="F170" s="19"/>
      <c r="G170" s="19"/>
      <c r="H170" s="19"/>
      <c r="I170" s="19"/>
      <c r="L170" s="4"/>
      <c r="N170" s="4"/>
      <c r="O170" s="61">
        <f t="shared" si="28"/>
        <v>0</v>
      </c>
      <c r="P170" s="60">
        <f t="shared" si="29"/>
        <v>0</v>
      </c>
      <c r="Q170" s="61">
        <v>0</v>
      </c>
      <c r="R170" s="61">
        <v>5</v>
      </c>
    </row>
    <row r="171" spans="1:18">
      <c r="A171" s="1" t="s">
        <v>170</v>
      </c>
      <c r="B171" t="str">
        <f t="shared" si="27"/>
        <v>¬</v>
      </c>
      <c r="D171" s="19"/>
      <c r="E171" s="15" t="s">
        <v>242</v>
      </c>
      <c r="F171" s="19"/>
      <c r="G171" s="19"/>
      <c r="H171" s="19"/>
      <c r="I171" s="19"/>
      <c r="L171" s="4"/>
      <c r="N171" s="4">
        <v>3</v>
      </c>
      <c r="O171" s="61">
        <f t="shared" si="28"/>
        <v>1</v>
      </c>
      <c r="P171" s="60">
        <f t="shared" si="29"/>
        <v>1</v>
      </c>
      <c r="Q171" s="61">
        <v>0</v>
      </c>
      <c r="R171" s="61">
        <v>5</v>
      </c>
    </row>
    <row r="172" spans="1:18">
      <c r="A172" s="1" t="s">
        <v>171</v>
      </c>
      <c r="B172" t="str">
        <f t="shared" si="27"/>
        <v>¬</v>
      </c>
      <c r="D172" s="19"/>
      <c r="E172" s="15" t="s">
        <v>243</v>
      </c>
      <c r="F172" s="19"/>
      <c r="G172" s="19"/>
      <c r="H172" s="19"/>
      <c r="I172" s="19"/>
      <c r="L172" s="4"/>
      <c r="N172" s="4"/>
      <c r="O172" s="61">
        <f t="shared" si="28"/>
        <v>0</v>
      </c>
      <c r="P172" s="60">
        <f t="shared" si="29"/>
        <v>0</v>
      </c>
      <c r="Q172" s="61">
        <v>0</v>
      </c>
      <c r="R172" s="61">
        <v>5</v>
      </c>
    </row>
    <row r="173" spans="1:18">
      <c r="A173" s="1" t="s">
        <v>172</v>
      </c>
      <c r="B173" t="str">
        <f t="shared" si="27"/>
        <v>¬</v>
      </c>
      <c r="D173" s="19"/>
      <c r="E173" s="15" t="s">
        <v>244</v>
      </c>
      <c r="F173" s="19"/>
      <c r="G173" s="19"/>
      <c r="H173" s="19"/>
      <c r="I173" s="19"/>
      <c r="L173" s="4"/>
      <c r="N173" s="4"/>
      <c r="O173" s="61">
        <f t="shared" si="28"/>
        <v>0</v>
      </c>
      <c r="P173" s="60">
        <f t="shared" si="29"/>
        <v>0</v>
      </c>
      <c r="Q173" s="61">
        <v>0</v>
      </c>
      <c r="R173" s="61">
        <v>5</v>
      </c>
    </row>
    <row r="174" spans="1:18">
      <c r="A174" s="1" t="s">
        <v>173</v>
      </c>
      <c r="B174" t="str">
        <f t="shared" si="27"/>
        <v>¬</v>
      </c>
      <c r="D174" s="19"/>
      <c r="E174" s="15" t="s">
        <v>245</v>
      </c>
      <c r="F174" s="19"/>
      <c r="G174" s="19"/>
      <c r="H174" s="19"/>
      <c r="I174" s="19"/>
      <c r="L174" s="4"/>
      <c r="N174" s="4"/>
      <c r="O174" s="61">
        <f t="shared" si="28"/>
        <v>0</v>
      </c>
      <c r="P174" s="60">
        <f t="shared" si="29"/>
        <v>0</v>
      </c>
      <c r="Q174" s="61">
        <v>0</v>
      </c>
      <c r="R174" s="61">
        <v>5</v>
      </c>
    </row>
    <row r="175" spans="1:18">
      <c r="A175" s="1" t="s">
        <v>174</v>
      </c>
      <c r="B175" t="str">
        <f>_xlfn.CONCAT(I137-H137," / ",I137)</f>
        <v>5 / 5</v>
      </c>
    </row>
    <row r="176" spans="1:18">
      <c r="A176" s="1" t="s">
        <v>175</v>
      </c>
      <c r="B176" t="str">
        <f>REPT("□",I137-H137) &amp; REPT("■",H137)</f>
        <v>□□□□□</v>
      </c>
      <c r="D176" s="16" t="s">
        <v>1491</v>
      </c>
      <c r="E176" s="16"/>
      <c r="F176" s="16"/>
      <c r="G176" s="16"/>
      <c r="H176" s="16"/>
      <c r="I176" s="16"/>
    </row>
    <row r="177" spans="1:18">
      <c r="A177" s="1" t="s">
        <v>176</v>
      </c>
      <c r="B177" t="str">
        <f t="shared" ref="B177:B196" si="30">IF(AC134="","¬",AC134)</f>
        <v>Contacts</v>
      </c>
      <c r="D177" s="19"/>
      <c r="E177" s="15" t="s">
        <v>1492</v>
      </c>
      <c r="F177" s="3"/>
      <c r="G177" s="19"/>
      <c r="H177" s="72" t="str">
        <f>IFERROR(IF(VLOOKUP(F177,tblDisciplines[],14,FALSE)=0,"None",VLOOKUP(F177,tblDisciplines[],14,FALSE)),"None")</f>
        <v>None</v>
      </c>
      <c r="I177" s="73"/>
      <c r="N177" s="4"/>
      <c r="O177" s="61">
        <f>N177</f>
        <v>0</v>
      </c>
      <c r="P177" s="60" t="str">
        <f>IF(O177=R177,O177,"")</f>
        <v/>
      </c>
      <c r="R177" s="61" t="str">
        <f>_xlfn.IFNA(VLOOKUP(F177,tblDisciplines[],15,FALSE),"")</f>
        <v/>
      </c>
    </row>
    <row r="178" spans="1:18">
      <c r="A178" s="1" t="s">
        <v>177</v>
      </c>
      <c r="B178" t="str">
        <f t="shared" si="30"/>
        <v>¬</v>
      </c>
      <c r="D178" s="19"/>
      <c r="E178" s="15" t="s">
        <v>1493</v>
      </c>
      <c r="F178" s="3"/>
      <c r="G178" s="19"/>
      <c r="H178" s="72" t="str">
        <f>IFERROR(IF(VLOOKUP(F178,tblDisciplines[],14,FALSE)=0,"None",VLOOKUP(F178,tblDisciplines[],14,FALSE)),"None")</f>
        <v>None</v>
      </c>
      <c r="I178" s="73"/>
      <c r="N178" s="4"/>
      <c r="O178" s="61">
        <f>N178</f>
        <v>0</v>
      </c>
      <c r="P178" s="60" t="str">
        <f>IF(O178=R178,O178,"")</f>
        <v/>
      </c>
      <c r="R178" s="61" t="str">
        <f>_xlfn.IFNA(VLOOKUP(F178,tblDisciplines[],15,FALSE),"")</f>
        <v/>
      </c>
    </row>
    <row r="179" spans="1:18">
      <c r="A179" s="1" t="s">
        <v>178</v>
      </c>
      <c r="B179" t="str">
        <f t="shared" si="30"/>
        <v>¬</v>
      </c>
      <c r="D179" s="19"/>
      <c r="E179" s="15" t="s">
        <v>1494</v>
      </c>
      <c r="F179" s="3"/>
      <c r="G179" s="19"/>
      <c r="H179" s="72" t="str">
        <f>IFERROR(IF(VLOOKUP(F179,tblDisciplines[],14,FALSE)=0,"None",VLOOKUP(F179,tblDisciplines[],14,FALSE)),"None")</f>
        <v>None</v>
      </c>
      <c r="I179" s="73"/>
      <c r="N179" s="4"/>
      <c r="O179" s="61">
        <f>N179</f>
        <v>0</v>
      </c>
      <c r="P179" s="60" t="str">
        <f>IF(O179=R179,O179,"")</f>
        <v/>
      </c>
      <c r="R179" s="61" t="str">
        <f>_xlfn.IFNA(VLOOKUP(F179,tblDisciplines[],15,FALSE),"")</f>
        <v/>
      </c>
    </row>
    <row r="180" spans="1:18">
      <c r="A180" s="1" t="s">
        <v>179</v>
      </c>
      <c r="B180" t="str">
        <f t="shared" si="30"/>
        <v>¬</v>
      </c>
      <c r="D180" s="19"/>
      <c r="E180" s="15" t="s">
        <v>1495</v>
      </c>
      <c r="F180" s="3"/>
      <c r="G180" s="19"/>
      <c r="H180" s="72" t="str">
        <f>IFERROR(IF(VLOOKUP(F180,tblDisciplines[],14,FALSE)=0,"None",VLOOKUP(F180,tblDisciplines[],14,FALSE)),"None")</f>
        <v>None</v>
      </c>
      <c r="I180" s="73"/>
      <c r="N180" s="4"/>
      <c r="O180" s="61">
        <f>N180</f>
        <v>0</v>
      </c>
      <c r="P180" s="60" t="str">
        <f>IF(O180=R180,O180,"")</f>
        <v/>
      </c>
      <c r="R180" s="61" t="str">
        <f>_xlfn.IFNA(VLOOKUP(F180,tblDisciplines[],15,FALSE),"")</f>
        <v/>
      </c>
    </row>
    <row r="181" spans="1:18">
      <c r="A181" s="1" t="s">
        <v>180</v>
      </c>
      <c r="B181" t="str">
        <f t="shared" si="30"/>
        <v>¬</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30"/>
        <v>¬</v>
      </c>
    </row>
    <row r="183" spans="1:18">
      <c r="A183" s="1" t="s">
        <v>182</v>
      </c>
      <c r="B183" t="str">
        <f t="shared" si="30"/>
        <v>¬</v>
      </c>
      <c r="D183" s="16" t="s">
        <v>1497</v>
      </c>
      <c r="E183" s="16"/>
      <c r="F183" s="16"/>
      <c r="G183" s="16"/>
      <c r="H183" s="16"/>
      <c r="I183" s="16"/>
    </row>
    <row r="184" spans="1:18">
      <c r="A184" s="1" t="s">
        <v>183</v>
      </c>
      <c r="B184" t="str">
        <f t="shared" si="30"/>
        <v>¬</v>
      </c>
      <c r="D184" s="19"/>
      <c r="E184" s="15" t="s">
        <v>246</v>
      </c>
      <c r="F184" s="19"/>
      <c r="G184" s="19"/>
      <c r="H184" s="19"/>
      <c r="I184" s="60" t="b">
        <f>IF(OR(F$9="Circle of the Crone",COUNTIF(F$79:F$93,"Chorister")&gt;0),TRUE,FALSE)</f>
        <v>0</v>
      </c>
      <c r="L184" s="4"/>
      <c r="N184" s="4"/>
      <c r="O184" s="61">
        <f>ROUNDDOWN(N184/4,0)</f>
        <v>0</v>
      </c>
      <c r="P184" s="60">
        <f>SUM(L184,O184)</f>
        <v>0</v>
      </c>
      <c r="Q184" s="61">
        <v>0</v>
      </c>
      <c r="R184" s="61">
        <v>5</v>
      </c>
    </row>
    <row r="185" spans="1:18">
      <c r="A185" s="1" t="s">
        <v>184</v>
      </c>
      <c r="B185" t="str">
        <f t="shared" si="30"/>
        <v>¬</v>
      </c>
      <c r="D185" s="19"/>
      <c r="E185" s="15" t="s">
        <v>247</v>
      </c>
      <c r="F185" s="19"/>
      <c r="G185" s="19"/>
      <c r="H185" s="19"/>
      <c r="I185" s="60" t="b">
        <f>IF(OR(F$9="Lancea et Sanctum",COUNTIF(F$79:F$93,"Laity")&gt;0),TRUE,FALSE)</f>
        <v>1</v>
      </c>
      <c r="L185" s="4">
        <v>1</v>
      </c>
      <c r="N185" s="4">
        <v>12</v>
      </c>
      <c r="O185" s="61">
        <f>ROUNDDOWN(N185/4,0)</f>
        <v>3</v>
      </c>
      <c r="P185" s="60">
        <f>SUM(L185,O185)</f>
        <v>4</v>
      </c>
      <c r="Q185" s="61">
        <v>0</v>
      </c>
      <c r="R185" s="61">
        <v>5</v>
      </c>
    </row>
    <row r="186" spans="1:18">
      <c r="A186" s="1" t="s">
        <v>185</v>
      </c>
      <c r="B186" t="str">
        <f t="shared" si="30"/>
        <v>¬</v>
      </c>
      <c r="D186" s="19"/>
      <c r="E186" s="19"/>
      <c r="F186" s="19"/>
      <c r="G186" s="19"/>
      <c r="H186" s="19"/>
      <c r="I186" s="19"/>
      <c r="L186" s="60">
        <f>SUM(P184:P185)-SUM(L187:L191)</f>
        <v>0</v>
      </c>
    </row>
    <row r="187" spans="1:18">
      <c r="A187" s="1" t="s">
        <v>186</v>
      </c>
      <c r="B187" t="str">
        <f t="shared" si="30"/>
        <v>¬</v>
      </c>
      <c r="D187" s="19"/>
      <c r="E187" s="15" t="s">
        <v>248</v>
      </c>
      <c r="F187" s="19"/>
      <c r="G187" s="19"/>
      <c r="H187" s="19"/>
      <c r="I187" s="19"/>
      <c r="L187" s="4"/>
      <c r="M187" s="61">
        <f>IF(AND(I184,L184&gt;=1),1,0)</f>
        <v>0</v>
      </c>
      <c r="N187" s="4"/>
      <c r="O187" s="61">
        <f>ROUNDDOWN(N187/2,0)</f>
        <v>0</v>
      </c>
      <c r="P187" s="60">
        <f>MIN(SUM(L187,M187,O187),R187)</f>
        <v>0</v>
      </c>
      <c r="Q187" s="61">
        <v>0</v>
      </c>
      <c r="R187" s="61">
        <f>MAX(P$184,P$185)</f>
        <v>4</v>
      </c>
    </row>
    <row r="188" spans="1:18">
      <c r="A188" s="1" t="s">
        <v>187</v>
      </c>
      <c r="B188" t="str">
        <f t="shared" si="30"/>
        <v>¬</v>
      </c>
      <c r="D188" s="19"/>
      <c r="E188" s="15" t="s">
        <v>249</v>
      </c>
      <c r="F188" s="19"/>
      <c r="G188" s="19"/>
      <c r="H188" s="19"/>
      <c r="I188" s="19"/>
      <c r="L188" s="4"/>
      <c r="M188" s="61"/>
      <c r="N188" s="4"/>
      <c r="O188" s="61">
        <f>ROUNDDOWN(N188/2,0)</f>
        <v>0</v>
      </c>
      <c r="P188" s="60">
        <f>MIN(SUM(L188,M188,O188),R188)</f>
        <v>0</v>
      </c>
      <c r="Q188" s="61">
        <v>0</v>
      </c>
      <c r="R188" s="61">
        <f>MAX(P$184,P$185)</f>
        <v>4</v>
      </c>
    </row>
    <row r="189" spans="1:18">
      <c r="A189" s="1" t="s">
        <v>188</v>
      </c>
      <c r="B189" t="str">
        <f t="shared" si="30"/>
        <v>¬</v>
      </c>
      <c r="D189" s="19"/>
      <c r="E189" s="15" t="s">
        <v>250</v>
      </c>
      <c r="F189" s="19"/>
      <c r="G189" s="19"/>
      <c r="H189" s="19"/>
      <c r="I189" s="19"/>
      <c r="L189" s="4"/>
      <c r="M189" s="61">
        <f>IF(AND(I185,L185&gt;=1),1,0)</f>
        <v>1</v>
      </c>
      <c r="N189" s="4"/>
      <c r="O189" s="61">
        <f>ROUNDDOWN(N189/2,0)</f>
        <v>0</v>
      </c>
      <c r="P189" s="60">
        <f>MIN(SUM(L189,M189,O189),R189)</f>
        <v>1</v>
      </c>
      <c r="Q189" s="61">
        <v>0</v>
      </c>
      <c r="R189" s="61">
        <f>MAX(P$184,P$185)</f>
        <v>4</v>
      </c>
    </row>
    <row r="190" spans="1:18">
      <c r="A190" s="1" t="s">
        <v>189</v>
      </c>
      <c r="B190" t="str">
        <f t="shared" si="30"/>
        <v>¬</v>
      </c>
      <c r="D190" s="19"/>
      <c r="E190" s="15" t="s">
        <v>251</v>
      </c>
      <c r="F190" s="19"/>
      <c r="G190" s="19"/>
      <c r="H190" s="19"/>
      <c r="I190" s="19"/>
      <c r="L190" s="4">
        <v>4</v>
      </c>
      <c r="M190" s="61">
        <f>IF(AND(I184,L184&gt;=1),1,0)</f>
        <v>0</v>
      </c>
      <c r="N190" s="4"/>
      <c r="O190" s="61">
        <f>ROUNDDOWN(N190/2,0)</f>
        <v>0</v>
      </c>
      <c r="P190" s="60">
        <f>MIN(SUM(L190,M190,O190),R190)</f>
        <v>4</v>
      </c>
      <c r="Q190" s="61">
        <v>0</v>
      </c>
      <c r="R190" s="61">
        <f>MAX(P$184,P$185)</f>
        <v>4</v>
      </c>
    </row>
    <row r="191" spans="1:18">
      <c r="A191" s="1" t="s">
        <v>190</v>
      </c>
      <c r="B191" t="str">
        <f t="shared" si="30"/>
        <v>¬</v>
      </c>
      <c r="D191" s="19"/>
      <c r="E191" s="15" t="s">
        <v>252</v>
      </c>
      <c r="F191" s="19"/>
      <c r="G191" s="19"/>
      <c r="H191" s="19"/>
      <c r="I191" s="19"/>
      <c r="L191" s="4"/>
      <c r="M191" s="61">
        <f>IF(AND(I185,L185&gt;=1),1,0)</f>
        <v>1</v>
      </c>
      <c r="N191" s="4"/>
      <c r="O191" s="61">
        <f>ROUNDDOWN(N191/2,0)</f>
        <v>0</v>
      </c>
      <c r="P191" s="60">
        <f>MIN(SUM(L191,M191,O191),R191)</f>
        <v>1</v>
      </c>
      <c r="Q191" s="61">
        <v>0</v>
      </c>
      <c r="R191" s="61">
        <f>MAX(P$184,P$185)</f>
        <v>4</v>
      </c>
    </row>
    <row r="192" spans="1:18">
      <c r="A192" s="1" t="s">
        <v>191</v>
      </c>
      <c r="B192" t="str">
        <f t="shared" si="30"/>
        <v>¬</v>
      </c>
    </row>
    <row r="193" spans="1:18">
      <c r="A193" s="1" t="s">
        <v>192</v>
      </c>
      <c r="B193" t="str">
        <f t="shared" si="30"/>
        <v>¬</v>
      </c>
      <c r="D193" s="16" t="s">
        <v>1474</v>
      </c>
      <c r="E193" s="16"/>
      <c r="F193" s="16"/>
      <c r="G193" s="16"/>
      <c r="H193" s="16"/>
      <c r="I193" s="16"/>
      <c r="L193" s="60">
        <f>SUM(P184:P185)+SUM(O187:O191)-SUM(L194:L203)</f>
        <v>4</v>
      </c>
    </row>
    <row r="194" spans="1:18">
      <c r="A194" s="1" t="s">
        <v>193</v>
      </c>
      <c r="B194" t="str">
        <f t="shared" si="30"/>
        <v>¬</v>
      </c>
      <c r="D194" s="19"/>
      <c r="E194" s="15" t="s">
        <v>1498</v>
      </c>
      <c r="F194" s="3"/>
      <c r="G194" s="61" t="str">
        <f>_xlfn.IFNA(VLOOKUP(F194,tblDisciplines[],2,FALSE),"")</f>
        <v/>
      </c>
      <c r="H194" s="19"/>
      <c r="I194" s="19"/>
      <c r="L194" s="4"/>
      <c r="N194" s="4"/>
      <c r="O194" s="61">
        <f>N194</f>
        <v>0</v>
      </c>
      <c r="P194" s="60" t="str">
        <f>IF(OR(L194=R194,O194=R194),R194,MIN(SUM(L194,O194),R194))</f>
        <v/>
      </c>
      <c r="R194" s="61" t="str">
        <f>_xlfn.IFNA(VLOOKUP(F194,tblDisciplines[],3,FALSE),"")</f>
        <v/>
      </c>
    </row>
    <row r="195" spans="1:18">
      <c r="A195" s="1" t="s">
        <v>194</v>
      </c>
      <c r="B195" t="str">
        <f t="shared" si="30"/>
        <v>¬</v>
      </c>
      <c r="D195" s="19"/>
      <c r="E195" s="15" t="s">
        <v>1499</v>
      </c>
      <c r="F195" s="3"/>
      <c r="G195" s="61" t="str">
        <f>_xlfn.IFNA(VLOOKUP(F195,tblDisciplines[],2,FALSE),"")</f>
        <v/>
      </c>
      <c r="H195" s="19"/>
      <c r="I195" s="19"/>
      <c r="L195" s="4"/>
      <c r="N195" s="4"/>
      <c r="O195" s="61">
        <f t="shared" ref="O195:O203" si="31">N195</f>
        <v>0</v>
      </c>
      <c r="P195" s="60" t="str">
        <f t="shared" ref="P195:P203" si="32">IF(OR(L195=R195,O195=R195),R195,MIN(SUM(L195,O195),R195))</f>
        <v/>
      </c>
      <c r="R195" s="61" t="str">
        <f>_xlfn.IFNA(VLOOKUP(F195,tblDisciplines[],3,FALSE),"")</f>
        <v/>
      </c>
    </row>
    <row r="196" spans="1:18">
      <c r="A196" s="1" t="s">
        <v>195</v>
      </c>
      <c r="B196" t="str">
        <f t="shared" si="30"/>
        <v>¬</v>
      </c>
      <c r="D196" s="19"/>
      <c r="E196" s="15" t="s">
        <v>1500</v>
      </c>
      <c r="F196" s="3"/>
      <c r="G196" s="61" t="str">
        <f>_xlfn.IFNA(VLOOKUP(F196,tblDisciplines[],2,FALSE),"")</f>
        <v/>
      </c>
      <c r="H196" s="19"/>
      <c r="I196" s="19"/>
      <c r="L196" s="4"/>
      <c r="N196" s="4"/>
      <c r="O196" s="61">
        <f t="shared" si="31"/>
        <v>0</v>
      </c>
      <c r="P196" s="60" t="str">
        <f t="shared" si="32"/>
        <v/>
      </c>
      <c r="R196" s="61" t="str">
        <f>_xlfn.IFNA(VLOOKUP(F196,tblDisciplines[],3,FALSE),"")</f>
        <v/>
      </c>
    </row>
    <row r="197" spans="1:18">
      <c r="A197" s="1" t="s">
        <v>196</v>
      </c>
      <c r="B197" t="str">
        <f>IF(AD134="","¬",AD134)</f>
        <v>Police, Underworld</v>
      </c>
      <c r="D197" s="19"/>
      <c r="E197" s="15" t="s">
        <v>1501</v>
      </c>
      <c r="F197" s="3"/>
      <c r="G197" s="61" t="str">
        <f>_xlfn.IFNA(VLOOKUP(F197,tblDisciplines[],2,FALSE),"")</f>
        <v/>
      </c>
      <c r="H197" s="19"/>
      <c r="I197" s="19"/>
      <c r="L197" s="4"/>
      <c r="N197" s="4"/>
      <c r="O197" s="61">
        <f t="shared" si="31"/>
        <v>0</v>
      </c>
      <c r="P197" s="60" t="str">
        <f t="shared" si="32"/>
        <v/>
      </c>
      <c r="R197" s="61" t="str">
        <f>_xlfn.IFNA(VLOOKUP(F197,tblDisciplines[],3,FALSE),"")</f>
        <v/>
      </c>
    </row>
    <row r="198" spans="1:18">
      <c r="A198" s="1" t="s">
        <v>197</v>
      </c>
      <c r="B198" t="str">
        <f t="shared" ref="B198:B216" si="33">IF(AD135="","¬",AD135)</f>
        <v>¬</v>
      </c>
      <c r="D198" s="19"/>
      <c r="E198" s="15" t="s">
        <v>1502</v>
      </c>
      <c r="F198" s="3"/>
      <c r="G198" s="61" t="str">
        <f>_xlfn.IFNA(VLOOKUP(F198,tblDisciplines[],2,FALSE),"")</f>
        <v/>
      </c>
      <c r="H198" s="19"/>
      <c r="I198" s="19"/>
      <c r="L198" s="4"/>
      <c r="N198" s="4"/>
      <c r="O198" s="61">
        <f t="shared" si="31"/>
        <v>0</v>
      </c>
      <c r="P198" s="60" t="str">
        <f t="shared" si="32"/>
        <v/>
      </c>
      <c r="R198" s="61" t="str">
        <f>_xlfn.IFNA(VLOOKUP(F198,tblDisciplines[],3,FALSE),"")</f>
        <v/>
      </c>
    </row>
    <row r="199" spans="1:18">
      <c r="A199" s="1" t="s">
        <v>198</v>
      </c>
      <c r="B199" t="str">
        <f t="shared" si="33"/>
        <v>¬</v>
      </c>
      <c r="D199" s="19"/>
      <c r="E199" s="15" t="s">
        <v>1503</v>
      </c>
      <c r="F199" s="3"/>
      <c r="G199" s="61" t="str">
        <f>_xlfn.IFNA(VLOOKUP(F199,tblDisciplines[],2,FALSE),"")</f>
        <v/>
      </c>
      <c r="H199" s="19"/>
      <c r="I199" s="19"/>
      <c r="L199" s="4"/>
      <c r="N199" s="4"/>
      <c r="O199" s="61">
        <f t="shared" si="31"/>
        <v>0</v>
      </c>
      <c r="P199" s="60" t="str">
        <f t="shared" si="32"/>
        <v/>
      </c>
      <c r="R199" s="61" t="str">
        <f>_xlfn.IFNA(VLOOKUP(F199,tblDisciplines[],3,FALSE),"")</f>
        <v/>
      </c>
    </row>
    <row r="200" spans="1:18">
      <c r="A200" s="1" t="s">
        <v>199</v>
      </c>
      <c r="B200" t="str">
        <f t="shared" si="33"/>
        <v>¬</v>
      </c>
      <c r="D200" s="19"/>
      <c r="E200" s="15" t="s">
        <v>1504</v>
      </c>
      <c r="F200" s="3"/>
      <c r="G200" s="61" t="str">
        <f>_xlfn.IFNA(VLOOKUP(F200,tblDisciplines[],2,FALSE),"")</f>
        <v/>
      </c>
      <c r="H200" s="19"/>
      <c r="I200" s="19"/>
      <c r="L200" s="4"/>
      <c r="N200" s="4"/>
      <c r="O200" s="61">
        <f t="shared" si="31"/>
        <v>0</v>
      </c>
      <c r="P200" s="60" t="str">
        <f t="shared" si="32"/>
        <v/>
      </c>
      <c r="R200" s="61" t="str">
        <f>_xlfn.IFNA(VLOOKUP(F200,tblDisciplines[],3,FALSE),"")</f>
        <v/>
      </c>
    </row>
    <row r="201" spans="1:18">
      <c r="A201" s="1" t="s">
        <v>200</v>
      </c>
      <c r="B201" t="str">
        <f t="shared" si="33"/>
        <v>¬</v>
      </c>
      <c r="D201" s="19"/>
      <c r="E201" s="15" t="s">
        <v>1505</v>
      </c>
      <c r="F201" s="3"/>
      <c r="G201" s="61" t="str">
        <f>_xlfn.IFNA(VLOOKUP(F201,tblDisciplines[],2,FALSE),"")</f>
        <v/>
      </c>
      <c r="H201" s="19"/>
      <c r="I201" s="19"/>
      <c r="L201" s="4"/>
      <c r="N201" s="4"/>
      <c r="O201" s="61">
        <f t="shared" si="31"/>
        <v>0</v>
      </c>
      <c r="P201" s="60" t="str">
        <f t="shared" si="32"/>
        <v/>
      </c>
      <c r="R201" s="61" t="str">
        <f>_xlfn.IFNA(VLOOKUP(F201,tblDisciplines[],3,FALSE),"")</f>
        <v/>
      </c>
    </row>
    <row r="202" spans="1:18">
      <c r="A202" s="1" t="s">
        <v>201</v>
      </c>
      <c r="B202" t="str">
        <f t="shared" si="33"/>
        <v>¬</v>
      </c>
      <c r="D202" s="19"/>
      <c r="E202" s="15" t="s">
        <v>1506</v>
      </c>
      <c r="F202" s="3"/>
      <c r="G202" s="61" t="str">
        <f>_xlfn.IFNA(VLOOKUP(F202,tblDisciplines[],2,FALSE),"")</f>
        <v/>
      </c>
      <c r="H202" s="19"/>
      <c r="I202" s="19"/>
      <c r="L202" s="4"/>
      <c r="N202" s="4"/>
      <c r="O202" s="61">
        <f t="shared" si="31"/>
        <v>0</v>
      </c>
      <c r="P202" s="60" t="str">
        <f t="shared" si="32"/>
        <v/>
      </c>
      <c r="R202" s="61" t="str">
        <f>_xlfn.IFNA(VLOOKUP(F202,tblDisciplines[],3,FALSE),"")</f>
        <v/>
      </c>
    </row>
    <row r="203" spans="1:18">
      <c r="A203" s="1" t="s">
        <v>202</v>
      </c>
      <c r="B203" t="str">
        <f t="shared" si="33"/>
        <v>¬</v>
      </c>
      <c r="D203" s="19"/>
      <c r="E203" s="15" t="s">
        <v>1507</v>
      </c>
      <c r="F203" s="3"/>
      <c r="G203" s="61" t="str">
        <f>_xlfn.IFNA(VLOOKUP(F203,tblDisciplines[],2,FALSE),"")</f>
        <v/>
      </c>
      <c r="H203" s="19"/>
      <c r="I203" s="19"/>
      <c r="L203" s="4"/>
      <c r="N203" s="4"/>
      <c r="O203" s="61">
        <f t="shared" si="31"/>
        <v>0</v>
      </c>
      <c r="P203" s="60" t="str">
        <f t="shared" si="32"/>
        <v/>
      </c>
      <c r="R203" s="61" t="str">
        <f>_xlfn.IFNA(VLOOKUP(F203,tblDisciplines[],3,FALSE),"")</f>
        <v/>
      </c>
    </row>
    <row r="204" spans="1:18">
      <c r="A204" s="1" t="s">
        <v>203</v>
      </c>
      <c r="B204" t="str">
        <f t="shared" si="33"/>
        <v>¬</v>
      </c>
    </row>
    <row r="205" spans="1:18">
      <c r="A205" s="1" t="s">
        <v>204</v>
      </c>
      <c r="B205" t="str">
        <f t="shared" si="33"/>
        <v>¬</v>
      </c>
      <c r="D205" s="16" t="s">
        <v>1508</v>
      </c>
      <c r="E205" s="17"/>
      <c r="F205" s="17"/>
      <c r="G205" s="17"/>
      <c r="H205" s="17"/>
      <c r="I205" s="17"/>
    </row>
    <row r="206" spans="1:18">
      <c r="A206" s="1" t="s">
        <v>205</v>
      </c>
      <c r="B206" t="str">
        <f t="shared" si="33"/>
        <v>¬</v>
      </c>
      <c r="D206" s="19"/>
      <c r="E206" s="15" t="s">
        <v>1476</v>
      </c>
      <c r="F206" s="3"/>
      <c r="G206" s="19" t="str">
        <f>IFERROR(VLOOKUP(F206,tblManoeuvre[],2,FALSE)&amp;" "&amp;VLOOKUP(F206,tblManoeuvre[],3,FALSE),"")</f>
        <v/>
      </c>
      <c r="H206" s="68" t="str">
        <f>_xlfn.IFNA(IF(VLOOKUP(F206,tblMerits[],6,FALSE)=0,"None",VLOOKUP(F206,tblMerits[],6,FALSE)),"None")</f>
        <v>None</v>
      </c>
      <c r="I206" s="69"/>
      <c r="L206" s="4"/>
      <c r="M206" s="4"/>
      <c r="N206" s="4"/>
      <c r="O206" s="61">
        <f t="shared" ref="O206:O215" si="34">N206</f>
        <v>0</v>
      </c>
      <c r="P206" s="60">
        <f t="shared" ref="P206:P215" si="35">MIN(SUM(L206,M206,O206),R206)</f>
        <v>0</v>
      </c>
      <c r="Q206" s="61" t="str">
        <f>_xlfn.IFNA(VLOOKUP($F206,tblPacts[],3,FALSE),"")</f>
        <v/>
      </c>
      <c r="R206" s="61" t="str">
        <f>_xlfn.IFNA(VLOOKUP($F206,tblPacts[],4,FALSE),"")</f>
        <v/>
      </c>
    </row>
    <row r="207" spans="1:18">
      <c r="A207" s="1" t="s">
        <v>206</v>
      </c>
      <c r="B207" t="str">
        <f t="shared" si="33"/>
        <v>¬</v>
      </c>
      <c r="D207" s="19"/>
      <c r="E207" s="15" t="s">
        <v>1477</v>
      </c>
      <c r="F207" s="3"/>
      <c r="G207" s="19" t="str">
        <f>IFERROR(VLOOKUP(F207,tblManoeuvre[],2,FALSE)&amp;" "&amp;VLOOKUP(F207,tblManoeuvre[],3,FALSE),"")</f>
        <v/>
      </c>
      <c r="H207" s="68" t="str">
        <f>_xlfn.IFNA(IF(VLOOKUP(F207,tblMerits[],6,FALSE)=0,"None",VLOOKUP(F207,tblMerits[],6,FALSE)),"None")</f>
        <v>None</v>
      </c>
      <c r="I207" s="69"/>
      <c r="L207" s="4"/>
      <c r="M207" s="4"/>
      <c r="N207" s="4"/>
      <c r="O207" s="61">
        <f t="shared" si="34"/>
        <v>0</v>
      </c>
      <c r="P207" s="60">
        <f t="shared" si="35"/>
        <v>0</v>
      </c>
      <c r="Q207" s="61" t="str">
        <f>_xlfn.IFNA(VLOOKUP($F207,tblPacts[],3,FALSE),"")</f>
        <v/>
      </c>
      <c r="R207" s="61" t="str">
        <f>_xlfn.IFNA(VLOOKUP($F207,tblPacts[],4,FALSE),"")</f>
        <v/>
      </c>
    </row>
    <row r="208" spans="1:18">
      <c r="A208" s="1" t="s">
        <v>207</v>
      </c>
      <c r="B208" t="str">
        <f t="shared" si="33"/>
        <v>¬</v>
      </c>
      <c r="D208" s="19"/>
      <c r="E208" s="15" t="s">
        <v>1478</v>
      </c>
      <c r="F208" s="3"/>
      <c r="G208" s="19" t="str">
        <f>IFERROR(VLOOKUP(F208,tblManoeuvre[],2,FALSE)&amp;" "&amp;VLOOKUP(F208,tblManoeuvre[],3,FALSE),"")</f>
        <v/>
      </c>
      <c r="H208" s="68" t="str">
        <f>_xlfn.IFNA(IF(VLOOKUP(F208,tblMerits[],6,FALSE)=0,"None",VLOOKUP(F208,tblMerits[],6,FALSE)),"None")</f>
        <v>None</v>
      </c>
      <c r="I208" s="69"/>
      <c r="L208" s="4"/>
      <c r="M208" s="4"/>
      <c r="N208" s="4"/>
      <c r="O208" s="61">
        <f t="shared" si="34"/>
        <v>0</v>
      </c>
      <c r="P208" s="60">
        <f t="shared" si="35"/>
        <v>0</v>
      </c>
      <c r="Q208" s="61" t="str">
        <f>_xlfn.IFNA(VLOOKUP($F208,tblPacts[],3,FALSE),"")</f>
        <v/>
      </c>
      <c r="R208" s="61" t="str">
        <f>_xlfn.IFNA(VLOOKUP($F208,tblPacts[],4,FALSE),"")</f>
        <v/>
      </c>
    </row>
    <row r="209" spans="1:18">
      <c r="A209" s="1" t="s">
        <v>208</v>
      </c>
      <c r="B209" t="str">
        <f t="shared" si="33"/>
        <v>¬</v>
      </c>
      <c r="D209" s="19"/>
      <c r="E209" s="15" t="s">
        <v>1479</v>
      </c>
      <c r="F209" s="3"/>
      <c r="G209" s="19" t="str">
        <f>IFERROR(VLOOKUP(F209,tblManoeuvre[],2,FALSE)&amp;" "&amp;VLOOKUP(F209,tblManoeuvre[],3,FALSE),"")</f>
        <v/>
      </c>
      <c r="H209" s="68" t="str">
        <f>_xlfn.IFNA(IF(VLOOKUP(F209,tblMerits[],6,FALSE)=0,"None",VLOOKUP(F209,tblMerits[],6,FALSE)),"None")</f>
        <v>None</v>
      </c>
      <c r="I209" s="69"/>
      <c r="L209" s="4"/>
      <c r="M209" s="4"/>
      <c r="N209" s="4"/>
      <c r="O209" s="61">
        <f t="shared" si="34"/>
        <v>0</v>
      </c>
      <c r="P209" s="60">
        <f t="shared" si="35"/>
        <v>0</v>
      </c>
      <c r="Q209" s="61" t="str">
        <f>_xlfn.IFNA(VLOOKUP($F209,tblPacts[],3,FALSE),"")</f>
        <v/>
      </c>
      <c r="R209" s="61" t="str">
        <f>_xlfn.IFNA(VLOOKUP($F209,tblPacts[],4,FALSE),"")</f>
        <v/>
      </c>
    </row>
    <row r="210" spans="1:18">
      <c r="A210" s="1" t="s">
        <v>209</v>
      </c>
      <c r="B210" t="str">
        <f t="shared" si="33"/>
        <v>¬</v>
      </c>
      <c r="D210" s="19"/>
      <c r="E210" s="15" t="s">
        <v>1480</v>
      </c>
      <c r="F210" s="3"/>
      <c r="G210" s="19" t="str">
        <f>IFERROR(VLOOKUP(F210,tblManoeuvre[],2,FALSE)&amp;" "&amp;VLOOKUP(F210,tblManoeuvre[],3,FALSE),"")</f>
        <v/>
      </c>
      <c r="H210" s="68" t="str">
        <f>_xlfn.IFNA(IF(VLOOKUP(F210,tblMerits[],6,FALSE)=0,"None",VLOOKUP(F210,tblMerits[],6,FALSE)),"None")</f>
        <v>None</v>
      </c>
      <c r="I210" s="69"/>
      <c r="L210" s="4"/>
      <c r="M210" s="4"/>
      <c r="N210" s="4"/>
      <c r="O210" s="61">
        <f t="shared" si="34"/>
        <v>0</v>
      </c>
      <c r="P210" s="60">
        <f t="shared" si="35"/>
        <v>0</v>
      </c>
      <c r="Q210" s="61" t="str">
        <f>_xlfn.IFNA(VLOOKUP($F210,tblPacts[],3,FALSE),"")</f>
        <v/>
      </c>
      <c r="R210" s="61" t="str">
        <f>_xlfn.IFNA(VLOOKUP($F210,tblPacts[],4,FALSE),"")</f>
        <v/>
      </c>
    </row>
    <row r="211" spans="1:18">
      <c r="A211" s="1" t="s">
        <v>210</v>
      </c>
      <c r="B211" t="str">
        <f t="shared" si="33"/>
        <v>¬</v>
      </c>
      <c r="D211" s="19"/>
      <c r="E211" s="15" t="s">
        <v>1481</v>
      </c>
      <c r="F211" s="3"/>
      <c r="G211" s="19" t="str">
        <f>IFERROR(VLOOKUP(F211,tblManoeuvre[],2,FALSE)&amp;" "&amp;VLOOKUP(F211,tblManoeuvre[],3,FALSE),"")</f>
        <v/>
      </c>
      <c r="H211" s="68" t="str">
        <f>_xlfn.IFNA(IF(VLOOKUP(F211,tblMerits[],6,FALSE)=0,"None",VLOOKUP(F211,tblMerits[],6,FALSE)),"None")</f>
        <v>None</v>
      </c>
      <c r="I211" s="69"/>
      <c r="L211" s="4"/>
      <c r="M211" s="4"/>
      <c r="N211" s="4"/>
      <c r="O211" s="61">
        <f t="shared" si="34"/>
        <v>0</v>
      </c>
      <c r="P211" s="60">
        <f t="shared" si="35"/>
        <v>0</v>
      </c>
      <c r="Q211" s="61" t="str">
        <f>_xlfn.IFNA(VLOOKUP($F211,tblPacts[],3,FALSE),"")</f>
        <v/>
      </c>
      <c r="R211" s="61" t="str">
        <f>_xlfn.IFNA(VLOOKUP($F211,tblPacts[],4,FALSE),"")</f>
        <v/>
      </c>
    </row>
    <row r="212" spans="1:18">
      <c r="A212" s="1" t="s">
        <v>211</v>
      </c>
      <c r="B212" t="str">
        <f t="shared" si="33"/>
        <v>¬</v>
      </c>
      <c r="D212" s="19"/>
      <c r="E212" s="15" t="s">
        <v>1482</v>
      </c>
      <c r="F212" s="3"/>
      <c r="G212" s="19" t="str">
        <f>IFERROR(VLOOKUP(F212,tblManoeuvre[],2,FALSE)&amp;" "&amp;VLOOKUP(F212,tblManoeuvre[],3,FALSE),"")</f>
        <v/>
      </c>
      <c r="H212" s="68" t="str">
        <f>_xlfn.IFNA(IF(VLOOKUP(F212,tblMerits[],6,FALSE)=0,"None",VLOOKUP(F212,tblMerits[],6,FALSE)),"None")</f>
        <v>None</v>
      </c>
      <c r="I212" s="69"/>
      <c r="L212" s="4"/>
      <c r="M212" s="4"/>
      <c r="N212" s="4"/>
      <c r="O212" s="61">
        <f t="shared" si="34"/>
        <v>0</v>
      </c>
      <c r="P212" s="60">
        <f t="shared" si="35"/>
        <v>0</v>
      </c>
      <c r="Q212" s="61" t="str">
        <f>_xlfn.IFNA(VLOOKUP($F212,tblPacts[],3,FALSE),"")</f>
        <v/>
      </c>
      <c r="R212" s="61" t="str">
        <f>_xlfn.IFNA(VLOOKUP($F212,tblPacts[],4,FALSE),"")</f>
        <v/>
      </c>
    </row>
    <row r="213" spans="1:18">
      <c r="A213" s="1" t="s">
        <v>212</v>
      </c>
      <c r="B213" t="str">
        <f t="shared" si="33"/>
        <v>¬</v>
      </c>
      <c r="D213" s="19"/>
      <c r="E213" s="15" t="s">
        <v>1483</v>
      </c>
      <c r="F213" s="3"/>
      <c r="G213" s="19" t="str">
        <f>IFERROR(VLOOKUP(F213,tblManoeuvre[],2,FALSE)&amp;" "&amp;VLOOKUP(F213,tblManoeuvre[],3,FALSE),"")</f>
        <v/>
      </c>
      <c r="H213" s="68" t="str">
        <f>_xlfn.IFNA(IF(VLOOKUP(F213,tblMerits[],6,FALSE)=0,"None",VLOOKUP(F213,tblMerits[],6,FALSE)),"None")</f>
        <v>None</v>
      </c>
      <c r="I213" s="69"/>
      <c r="L213" s="4"/>
      <c r="M213" s="4"/>
      <c r="N213" s="4"/>
      <c r="O213" s="61">
        <f t="shared" si="34"/>
        <v>0</v>
      </c>
      <c r="P213" s="60">
        <f t="shared" si="35"/>
        <v>0</v>
      </c>
      <c r="Q213" s="61" t="str">
        <f>_xlfn.IFNA(VLOOKUP($F213,tblPacts[],3,FALSE),"")</f>
        <v/>
      </c>
      <c r="R213" s="61" t="str">
        <f>_xlfn.IFNA(VLOOKUP($F213,tblPacts[],4,FALSE),"")</f>
        <v/>
      </c>
    </row>
    <row r="214" spans="1:18">
      <c r="A214" s="1" t="s">
        <v>213</v>
      </c>
      <c r="B214" t="str">
        <f t="shared" si="33"/>
        <v>¬</v>
      </c>
      <c r="D214" s="19"/>
      <c r="E214" s="15" t="s">
        <v>1484</v>
      </c>
      <c r="F214" s="3"/>
      <c r="G214" s="19" t="str">
        <f>IFERROR(VLOOKUP(F214,tblManoeuvre[],2,FALSE)&amp;" "&amp;VLOOKUP(F214,tblManoeuvre[],3,FALSE),"")</f>
        <v/>
      </c>
      <c r="H214" s="68" t="str">
        <f>_xlfn.IFNA(IF(VLOOKUP(F214,tblMerits[],6,FALSE)=0,"None",VLOOKUP(F214,tblMerits[],6,FALSE)),"None")</f>
        <v>None</v>
      </c>
      <c r="I214" s="69"/>
      <c r="L214" s="4"/>
      <c r="M214" s="4"/>
      <c r="N214" s="4"/>
      <c r="O214" s="61">
        <f t="shared" si="34"/>
        <v>0</v>
      </c>
      <c r="P214" s="60">
        <f t="shared" si="35"/>
        <v>0</v>
      </c>
      <c r="Q214" s="61" t="str">
        <f>_xlfn.IFNA(VLOOKUP($F214,tblPacts[],3,FALSE),"")</f>
        <v/>
      </c>
      <c r="R214" s="61" t="str">
        <f>_xlfn.IFNA(VLOOKUP($F214,tblPacts[],4,FALSE),"")</f>
        <v/>
      </c>
    </row>
    <row r="215" spans="1:18">
      <c r="A215" s="1" t="s">
        <v>214</v>
      </c>
      <c r="B215" t="str">
        <f t="shared" si="33"/>
        <v>¬</v>
      </c>
      <c r="D215" s="19"/>
      <c r="E215" s="15" t="s">
        <v>1485</v>
      </c>
      <c r="F215" s="3"/>
      <c r="G215" s="19" t="str">
        <f>IFERROR(VLOOKUP(F215,tblManoeuvre[],2,FALSE)&amp;" "&amp;VLOOKUP(F215,tblManoeuvre[],3,FALSE),"")</f>
        <v/>
      </c>
      <c r="H215" s="68" t="str">
        <f>_xlfn.IFNA(IF(VLOOKUP(F215,tblMerits[],6,FALSE)=0,"None",VLOOKUP(F215,tblMerits[],6,FALSE)),"None")</f>
        <v>None</v>
      </c>
      <c r="I215" s="69"/>
      <c r="L215" s="4"/>
      <c r="M215" s="4"/>
      <c r="N215" s="4"/>
      <c r="O215" s="61">
        <f t="shared" si="34"/>
        <v>0</v>
      </c>
      <c r="P215" s="60">
        <f t="shared" si="35"/>
        <v>0</v>
      </c>
      <c r="Q215" s="61" t="str">
        <f>_xlfn.IFNA(VLOOKUP($F215,tblPacts[],3,FALSE),"")</f>
        <v/>
      </c>
      <c r="R215" s="61" t="str">
        <f>_xlfn.IFNA(VLOOKUP($F215,tblPacts[],4,FALSE),"")</f>
        <v/>
      </c>
    </row>
    <row r="216" spans="1:18">
      <c r="A216" s="1" t="s">
        <v>215</v>
      </c>
      <c r="B216" t="str">
        <f t="shared" si="33"/>
        <v>¬</v>
      </c>
    </row>
    <row r="217" spans="1:18">
      <c r="A217" s="1" t="s">
        <v>216</v>
      </c>
      <c r="B217" t="str">
        <f>IF(OR(AF134=0,AF134=""),"",REPT("●",AF134))</f>
        <v>●●</v>
      </c>
      <c r="D217" s="16" t="s">
        <v>1509</v>
      </c>
      <c r="E217" s="16"/>
      <c r="F217" s="16"/>
      <c r="G217" s="16"/>
      <c r="H217" s="16"/>
      <c r="I217" s="16"/>
    </row>
    <row r="218" spans="1:18">
      <c r="A218" s="1" t="s">
        <v>217</v>
      </c>
      <c r="B218" t="str">
        <f t="shared" ref="B218:B236" si="36">IF(OR(AF135=0,AF135=""),"",REPT("●",AF135))</f>
        <v/>
      </c>
      <c r="D218" s="19"/>
      <c r="E218" s="15" t="s">
        <v>353</v>
      </c>
      <c r="F218" s="19"/>
      <c r="G218" s="19"/>
      <c r="H218" s="19"/>
      <c r="I218" s="19"/>
      <c r="M218" s="61">
        <f>IF(COUNTIF(F79:F93,"Giant")&gt;0,1,0)+IF(COUNTIF(F79:F93,"Small-Framed")&gt;0,-1,0)</f>
        <v>0</v>
      </c>
      <c r="P218" s="60">
        <f>5+M218</f>
        <v>5</v>
      </c>
    </row>
    <row r="219" spans="1:18">
      <c r="A219" s="1" t="s">
        <v>218</v>
      </c>
      <c r="B219" t="str">
        <f t="shared" si="36"/>
        <v/>
      </c>
      <c r="D219" s="19"/>
      <c r="E219" s="15" t="s">
        <v>354</v>
      </c>
      <c r="F219" s="19"/>
      <c r="G219" s="19"/>
      <c r="H219" s="19"/>
      <c r="I219" s="19"/>
      <c r="P219" s="60">
        <f ca="1">VLOOKUP("Size",INDIRECT($AH$1),2,FALSE)+VLOOKUP("Strength",INDIRECT($AH$1),2,FALSE)+VLOOKUP("Dexterity",INDIRECT($AH$1),2,FALSE)+VLOOKUP("Vigour",INDIRECT($AH$1),2,FALSE)</f>
        <v>9</v>
      </c>
    </row>
    <row r="220" spans="1:18">
      <c r="A220" s="1" t="s">
        <v>219</v>
      </c>
      <c r="B220" t="str">
        <f t="shared" si="36"/>
        <v/>
      </c>
      <c r="D220" s="19"/>
      <c r="E220" s="15" t="s">
        <v>355</v>
      </c>
      <c r="F220" s="19"/>
      <c r="G220" s="19"/>
      <c r="H220" s="19"/>
      <c r="I220" s="19"/>
      <c r="P220" s="60">
        <f ca="1">MIN(VLOOKUP("Dexterity",INDIRECT($AH$1),2,FALSE),VLOOKUP("Wits",INDIRECT($AH$1),2,FALSE))+VLOOKUP("Athletics",INDIRECT($AH$1),2,FALSE)</f>
        <v>3</v>
      </c>
    </row>
    <row r="221" spans="1:18">
      <c r="A221" s="1" t="s">
        <v>220</v>
      </c>
      <c r="B221" t="str">
        <f t="shared" si="36"/>
        <v/>
      </c>
      <c r="D221" s="19"/>
      <c r="E221" s="15" t="s">
        <v>52</v>
      </c>
      <c r="F221" s="19"/>
      <c r="G221" s="19"/>
      <c r="H221" s="19"/>
      <c r="I221" s="19"/>
      <c r="P221" s="60">
        <f ca="1">VLOOKUP("Size",INDIRECT($AH$1),2,FALSE)+VLOOKUP("Stamina",INDIRECT($AH$1),2,FALSE)+VLOOKUP("Resilience",INDIRECT($AH$1),2,FALSE)</f>
        <v>7</v>
      </c>
    </row>
    <row r="222" spans="1:18">
      <c r="A222" s="1" t="s">
        <v>221</v>
      </c>
      <c r="B222" t="str">
        <f t="shared" si="36"/>
        <v/>
      </c>
      <c r="D222" s="19"/>
      <c r="E222" s="19"/>
      <c r="F222" s="19"/>
      <c r="G222" s="19"/>
      <c r="H222" s="15" t="s">
        <v>1510</v>
      </c>
      <c r="I222" s="19"/>
      <c r="L222" s="4"/>
    </row>
    <row r="223" spans="1:18">
      <c r="A223" s="1" t="s">
        <v>222</v>
      </c>
      <c r="B223" t="str">
        <f t="shared" si="36"/>
        <v/>
      </c>
      <c r="D223" s="19"/>
      <c r="E223" s="15" t="s">
        <v>1511</v>
      </c>
      <c r="F223" s="7"/>
      <c r="G223" s="19"/>
      <c r="H223" s="15" t="s">
        <v>1512</v>
      </c>
      <c r="I223" s="19"/>
      <c r="L223" s="4"/>
    </row>
    <row r="224" spans="1:18">
      <c r="A224" s="1" t="s">
        <v>223</v>
      </c>
      <c r="B224" t="str">
        <f t="shared" si="36"/>
        <v/>
      </c>
      <c r="D224" s="19"/>
      <c r="E224" s="15" t="s">
        <v>1513</v>
      </c>
      <c r="F224" s="7"/>
      <c r="G224" s="19"/>
      <c r="H224" s="15" t="s">
        <v>1514</v>
      </c>
      <c r="I224" s="19"/>
      <c r="L224" s="4"/>
    </row>
    <row r="225" spans="1:12">
      <c r="A225" s="1" t="s">
        <v>224</v>
      </c>
      <c r="B225" t="str">
        <f t="shared" si="36"/>
        <v/>
      </c>
      <c r="D225" s="19"/>
      <c r="E225" s="15" t="s">
        <v>1515</v>
      </c>
      <c r="F225" s="7"/>
      <c r="G225" s="19"/>
      <c r="H225" s="15" t="s">
        <v>1516</v>
      </c>
      <c r="I225" s="19"/>
      <c r="L225" s="4"/>
    </row>
    <row r="226" spans="1:12">
      <c r="A226" s="1" t="s">
        <v>225</v>
      </c>
      <c r="B226" t="str">
        <f t="shared" si="36"/>
        <v/>
      </c>
      <c r="D226" s="19"/>
      <c r="E226" s="15" t="s">
        <v>1517</v>
      </c>
      <c r="F226" s="7"/>
      <c r="G226" s="19"/>
      <c r="H226" s="19"/>
      <c r="I226" s="19"/>
    </row>
    <row r="227" spans="1:12">
      <c r="A227" s="1" t="s">
        <v>226</v>
      </c>
      <c r="B227" t="str">
        <f t="shared" si="36"/>
        <v/>
      </c>
      <c r="D227" s="19"/>
      <c r="E227" s="15" t="s">
        <v>1518</v>
      </c>
      <c r="F227" s="7" t="s">
        <v>1665</v>
      </c>
      <c r="G227" s="19"/>
      <c r="H227" s="19"/>
      <c r="I227" s="19"/>
    </row>
    <row r="228" spans="1:12">
      <c r="A228" s="1" t="s">
        <v>227</v>
      </c>
      <c r="B228" t="str">
        <f t="shared" si="36"/>
        <v/>
      </c>
      <c r="D228" s="19"/>
      <c r="E228" s="15" t="s">
        <v>1519</v>
      </c>
      <c r="F228" s="7"/>
      <c r="G228" s="19"/>
      <c r="H228" s="19"/>
      <c r="I228" s="19"/>
    </row>
    <row r="229" spans="1:12">
      <c r="A229" s="1" t="s">
        <v>228</v>
      </c>
      <c r="B229" t="str">
        <f t="shared" si="36"/>
        <v/>
      </c>
      <c r="D229" s="19"/>
      <c r="E229" s="15" t="s">
        <v>1520</v>
      </c>
      <c r="F229" s="7"/>
      <c r="G229" s="19"/>
      <c r="H229" s="19"/>
      <c r="I229" s="19"/>
    </row>
    <row r="230" spans="1:12">
      <c r="A230" s="1" t="s">
        <v>229</v>
      </c>
      <c r="B230" t="str">
        <f t="shared" si="36"/>
        <v/>
      </c>
      <c r="D230" s="19"/>
      <c r="E230" s="15" t="s">
        <v>1521</v>
      </c>
      <c r="F230" s="7"/>
      <c r="G230" s="19"/>
      <c r="H230" s="19"/>
      <c r="I230" s="19"/>
    </row>
    <row r="231" spans="1:12">
      <c r="A231" s="1" t="s">
        <v>230</v>
      </c>
      <c r="B231" t="str">
        <f t="shared" si="36"/>
        <v/>
      </c>
      <c r="D231" s="19"/>
      <c r="E231" s="15" t="s">
        <v>1522</v>
      </c>
      <c r="F231" s="7"/>
      <c r="G231" s="19"/>
      <c r="H231" s="19"/>
      <c r="I231" s="19"/>
    </row>
    <row r="232" spans="1:12">
      <c r="A232" s="1" t="s">
        <v>231</v>
      </c>
      <c r="B232" t="str">
        <f t="shared" si="36"/>
        <v/>
      </c>
      <c r="D232" s="19"/>
      <c r="E232" s="15" t="s">
        <v>1523</v>
      </c>
      <c r="F232" s="7"/>
      <c r="G232" s="19"/>
      <c r="H232" s="19"/>
      <c r="I232" s="19"/>
    </row>
    <row r="233" spans="1:12">
      <c r="A233" s="1" t="s">
        <v>232</v>
      </c>
      <c r="B233" t="str">
        <f t="shared" si="36"/>
        <v/>
      </c>
      <c r="D233" s="19"/>
      <c r="E233" s="19"/>
      <c r="F233" s="19"/>
      <c r="G233" s="19"/>
      <c r="H233" s="19"/>
      <c r="I233" s="19"/>
    </row>
    <row r="234" spans="1:12">
      <c r="A234" s="1" t="s">
        <v>233</v>
      </c>
      <c r="B234" t="str">
        <f t="shared" si="36"/>
        <v/>
      </c>
      <c r="D234" s="19"/>
      <c r="E234" s="15" t="s">
        <v>343</v>
      </c>
      <c r="F234" s="61" t="str">
        <f>_xlfn.IFNA(VLOOKUP(F7,tblClans[],4,FALSE),"")</f>
        <v>Tenebrous Curse</v>
      </c>
      <c r="G234" s="19"/>
      <c r="H234" s="74" t="str">
        <f>_xlfn.IFNA(VLOOKUP(F234,tblBanes[],2,FALSE),"")</f>
        <v>Gain an extra bane at Humanity 6 (doesn't count towards cap); Humanity counts –1 for all Humanity-based banes.</v>
      </c>
      <c r="I234" s="74"/>
    </row>
    <row r="235" spans="1:12">
      <c r="A235" s="1" t="s">
        <v>234</v>
      </c>
      <c r="B235" t="str">
        <f t="shared" si="36"/>
        <v/>
      </c>
      <c r="D235" s="19"/>
      <c r="E235" s="15" t="s">
        <v>344</v>
      </c>
      <c r="F235" s="19"/>
      <c r="G235" s="19"/>
      <c r="H235" s="19"/>
      <c r="I235" s="19"/>
    </row>
    <row r="236" spans="1:12">
      <c r="A236" s="1" t="s">
        <v>235</v>
      </c>
      <c r="B236" t="str">
        <f t="shared" si="36"/>
        <v/>
      </c>
      <c r="D236" s="19"/>
      <c r="E236" s="15" t="s">
        <v>345</v>
      </c>
      <c r="F236" s="3"/>
      <c r="G236" s="19"/>
      <c r="H236" s="70" t="str">
        <f>_xlfn.IFNA(VLOOKUP(F236,tblBanes[],2,FALSE),"")</f>
        <v/>
      </c>
      <c r="I236" s="71"/>
    </row>
    <row r="237" spans="1:12">
      <c r="A237" s="1" t="s">
        <v>236</v>
      </c>
      <c r="B237" t="str">
        <f ca="1">_xlfn.LET(_xlpm.v,VLOOKUP(tblCharDataConrad[[#This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_xlfn.LET(_xlpm.v,VLOOKUP(tblCharDataConrad[[#This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_xlfn.LET(_xlpm.v,VLOOKUP(tblCharDataConrad[[#This Row],[Field]],INDIRECT($AH$1),2,FALSE),IF(OR(_xlpm.v=0,_xlpm.v=""),"-",REPT("●",_xlpm.v)))</f>
        <v>-</v>
      </c>
      <c r="D239" s="19"/>
      <c r="E239" s="19"/>
      <c r="F239" s="19"/>
      <c r="G239" s="19"/>
      <c r="H239" s="19"/>
      <c r="I239" s="19"/>
    </row>
    <row r="240" spans="1:12">
      <c r="A240" s="1" t="s">
        <v>239</v>
      </c>
      <c r="B240" t="str">
        <f ca="1">_xlfn.LET(_xlpm.v,VLOOKUP(tblCharDataConrad[[#This Row],[Field]],INDIRECT($AH$1),2,FALSE),IF(OR(_xlpm.v=0,_xlpm.v=""),"-",REPT("●",_xlpm.v)))</f>
        <v>-</v>
      </c>
      <c r="D240" s="19"/>
      <c r="E240" s="15" t="s">
        <v>360</v>
      </c>
      <c r="F240" s="62"/>
      <c r="G240" s="63"/>
      <c r="H240" s="63"/>
      <c r="I240" s="64"/>
    </row>
    <row r="241" spans="1:9">
      <c r="A241" s="1" t="s">
        <v>240</v>
      </c>
      <c r="B241" t="str">
        <f ca="1">_xlfn.LET(_xlpm.v,VLOOKUP(tblCharDataConrad[[#This Row],[Field]],INDIRECT($AH$1),2,FALSE),IF(OR(_xlpm.v=0,_xlpm.v=""),"-",REPT("●",_xlpm.v)))</f>
        <v>-</v>
      </c>
      <c r="D241" s="19"/>
      <c r="E241" s="15" t="s">
        <v>361</v>
      </c>
      <c r="F241" s="62"/>
      <c r="G241" s="63"/>
      <c r="H241" s="63"/>
      <c r="I241" s="64"/>
    </row>
    <row r="242" spans="1:9">
      <c r="A242" s="1" t="s">
        <v>241</v>
      </c>
      <c r="B242" t="str">
        <f ca="1">_xlfn.LET(_xlpm.v,VLOOKUP(tblCharDataConrad[[#This Row],[Field]],INDIRECT($AH$1),2,FALSE),IF(OR(_xlpm.v=0,_xlpm.v=""),"-",REPT("●",_xlpm.v)))</f>
        <v>-</v>
      </c>
      <c r="D242" s="19"/>
      <c r="E242" s="15" t="s">
        <v>362</v>
      </c>
      <c r="F242" s="62"/>
      <c r="G242" s="63"/>
      <c r="H242" s="63"/>
      <c r="I242" s="64"/>
    </row>
    <row r="243" spans="1:9">
      <c r="A243" s="1" t="s">
        <v>242</v>
      </c>
      <c r="B243" t="str">
        <f ca="1">_xlfn.LET(_xlpm.v,VLOOKUP(tblCharDataConrad[[#This Row],[Field]],INDIRECT($AH$1),2,FALSE),IF(OR(_xlpm.v=0,_xlpm.v=""),"-",REPT("●",_xlpm.v)))</f>
        <v>●</v>
      </c>
      <c r="D243" s="19"/>
      <c r="E243" s="19"/>
      <c r="F243" s="19"/>
      <c r="G243" s="19"/>
      <c r="H243" s="19"/>
      <c r="I243" s="19"/>
    </row>
    <row r="244" spans="1:9">
      <c r="A244" s="1" t="s">
        <v>243</v>
      </c>
      <c r="B244" t="str">
        <f ca="1">_xlfn.LET(_xlpm.v,VLOOKUP(tblCharDataConrad[[#This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_xlfn.LET(_xlpm.v,VLOOKUP(tblCharDataConrad[[#This Row],[Field]],INDIRECT($AH$1),2,FALSE),IF(OR(_xlpm.v=0,_xlpm.v=""),"-",REPT("●",_xlpm.v)))</f>
        <v>-</v>
      </c>
      <c r="D245" s="19"/>
      <c r="E245" s="15" t="s">
        <v>1524</v>
      </c>
      <c r="F245" s="62"/>
      <c r="G245" s="63"/>
      <c r="H245" s="63"/>
      <c r="I245" s="64"/>
    </row>
    <row r="246" spans="1:9">
      <c r="A246" s="1" t="s">
        <v>245</v>
      </c>
      <c r="B246" t="str">
        <f ca="1">_xlfn.LET(_xlpm.v,VLOOKUP(tblCharDataConrad[[#This Row],[Field]],INDIRECT($AH$1),2,FALSE),IF(OR(_xlpm.v=0,_xlpm.v=""),"-",REPT("●",_xlpm.v)))</f>
        <v>-</v>
      </c>
    </row>
    <row r="247" spans="1:9">
      <c r="A247" s="1" t="s">
        <v>246</v>
      </c>
      <c r="B247" t="str">
        <f ca="1">_xlfn.LET(_xlpm.v,VLOOKUP(tblCharDataConrad[[#This Row],[Field]],INDIRECT($AH$1),2,FALSE),IF(OR(_xlpm.v=0,_xlpm.v=""),"-",REPT("●",_xlpm.v)))</f>
        <v>-</v>
      </c>
      <c r="D247" s="16" t="s">
        <v>1525</v>
      </c>
      <c r="E247" s="16"/>
      <c r="F247" s="16" t="s">
        <v>1526</v>
      </c>
      <c r="G247" s="16" t="s">
        <v>1527</v>
      </c>
      <c r="H247" s="16"/>
      <c r="I247" s="16"/>
    </row>
    <row r="248" spans="1:9">
      <c r="A248" s="1" t="s">
        <v>247</v>
      </c>
      <c r="B248" t="str">
        <f ca="1">_xlfn.LET(_xlpm.v,VLOOKUP(tblCharDataConrad[[#This Row],[Field]],INDIRECT($AH$1),2,FALSE),IF(OR(_xlpm.v=0,_xlpm.v=""),"-",REPT("●",_xlpm.v)))</f>
        <v>●●●●</v>
      </c>
      <c r="D248" s="19"/>
      <c r="E248" s="15" t="s">
        <v>1528</v>
      </c>
      <c r="F248" s="7"/>
      <c r="G248" s="7"/>
      <c r="H248" s="19"/>
      <c r="I248" s="19" t="s">
        <v>1529</v>
      </c>
    </row>
    <row r="249" spans="1:9">
      <c r="A249" s="1" t="s">
        <v>248</v>
      </c>
      <c r="B249" t="str">
        <f ca="1">_xlfn.LET(_xlpm.v,VLOOKUP(tblCharDataConrad[[#This Row],[Field]],INDIRECT($AH$1),2,FALSE),IF(OR(_xlpm.v=0,_xlpm.v=""),"-",REPT("●",_xlpm.v)))</f>
        <v>-</v>
      </c>
      <c r="D249" s="19"/>
      <c r="E249" s="15" t="s">
        <v>1530</v>
      </c>
      <c r="F249" s="7"/>
      <c r="G249" s="7"/>
      <c r="H249" s="19"/>
      <c r="I249" s="19" t="s">
        <v>1531</v>
      </c>
    </row>
    <row r="250" spans="1:9">
      <c r="A250" s="1" t="s">
        <v>249</v>
      </c>
      <c r="B250" t="str">
        <f ca="1">_xlfn.LET(_xlpm.v,VLOOKUP(tblCharDataConrad[[#This Row],[Field]],INDIRECT($AH$1),2,FALSE),IF(OR(_xlpm.v=0,_xlpm.v=""),"-",REPT("●",_xlpm.v)))</f>
        <v>-</v>
      </c>
      <c r="D250" s="19" t="s">
        <v>1532</v>
      </c>
      <c r="E250" s="15" t="s">
        <v>1533</v>
      </c>
      <c r="F250" s="7"/>
      <c r="G250" s="7"/>
      <c r="H250" s="19"/>
      <c r="I250" s="19"/>
    </row>
    <row r="251" spans="1:9">
      <c r="A251" s="1" t="s">
        <v>250</v>
      </c>
      <c r="B251" t="str">
        <f ca="1">_xlfn.LET(_xlpm.v,VLOOKUP(tblCharDataConrad[[#This Row],[Field]],INDIRECT($AH$1),2,FALSE),IF(OR(_xlpm.v=0,_xlpm.v=""),"-",REPT("●",_xlpm.v)))</f>
        <v>●</v>
      </c>
      <c r="D251" s="19" t="s">
        <v>1532</v>
      </c>
      <c r="E251" s="15" t="s">
        <v>1534</v>
      </c>
      <c r="F251" s="7"/>
      <c r="G251" s="7"/>
      <c r="H251" s="19"/>
      <c r="I251" s="19"/>
    </row>
    <row r="252" spans="1:9">
      <c r="A252" s="1" t="s">
        <v>251</v>
      </c>
      <c r="B252" t="str">
        <f ca="1">_xlfn.LET(_xlpm.v,VLOOKUP(tblCharDataConrad[[#This Row],[Field]],INDIRECT($AH$1),2,FALSE),IF(OR(_xlpm.v=0,_xlpm.v=""),"-",REPT("●",_xlpm.v)))</f>
        <v>●●●●</v>
      </c>
      <c r="D252" s="19" t="s">
        <v>1532</v>
      </c>
      <c r="E252" s="15" t="s">
        <v>1535</v>
      </c>
      <c r="F252" s="7"/>
      <c r="G252" s="7"/>
      <c r="H252" s="19"/>
      <c r="I252" s="19"/>
    </row>
    <row r="253" spans="1:9">
      <c r="A253" s="1" t="s">
        <v>252</v>
      </c>
      <c r="B253" t="str">
        <f ca="1">_xlfn.LET(_xlpm.v,VLOOKUP(tblCharDataConrad[[#This Row],[Field]],INDIRECT($AH$1),2,FALSE),IF(OR(_xlpm.v=0,_xlpm.v=""),"-",REPT("●",_xlpm.v)))</f>
        <v>●</v>
      </c>
      <c r="D253" s="19" t="s">
        <v>1532</v>
      </c>
      <c r="E253" s="15" t="s">
        <v>1536</v>
      </c>
      <c r="F253" s="7"/>
      <c r="G253" s="7"/>
      <c r="H253" s="19"/>
      <c r="I253" s="19"/>
    </row>
    <row r="254" spans="1:9">
      <c r="A254" s="1" t="s">
        <v>253</v>
      </c>
      <c r="B254" t="str">
        <f t="shared" ref="B254:B283" si="37">IF(AD44="","¬",AD44)</f>
        <v>Auspex ● | Beast's Hackles</v>
      </c>
      <c r="D254" s="19" t="s">
        <v>1532</v>
      </c>
      <c r="E254" s="15" t="s">
        <v>1537</v>
      </c>
      <c r="F254" s="7"/>
      <c r="G254" s="7"/>
      <c r="H254" s="19"/>
      <c r="I254" s="19"/>
    </row>
    <row r="255" spans="1:9">
      <c r="A255" s="1" t="s">
        <v>254</v>
      </c>
      <c r="B255" t="str">
        <f t="shared" si="37"/>
        <v>Auspex ●● | Uncanny Perception</v>
      </c>
      <c r="D255" s="19" t="s">
        <v>1532</v>
      </c>
      <c r="E255" s="15" t="s">
        <v>1538</v>
      </c>
      <c r="F255" s="7"/>
      <c r="G255" s="7"/>
      <c r="H255" s="19"/>
      <c r="I255" s="19"/>
    </row>
    <row r="256" spans="1:9">
      <c r="A256" s="1" t="s">
        <v>255</v>
      </c>
      <c r="B256" t="str">
        <f t="shared" si="37"/>
        <v>Auspex ●●● | Spirit's Touch</v>
      </c>
      <c r="D256" s="19" t="s">
        <v>1532</v>
      </c>
      <c r="E256" s="15" t="s">
        <v>1539</v>
      </c>
      <c r="F256" s="7"/>
      <c r="G256" s="7"/>
      <c r="H256" s="19"/>
      <c r="I256" s="19"/>
    </row>
    <row r="257" spans="1:9">
      <c r="A257" s="1" t="s">
        <v>256</v>
      </c>
      <c r="B257" t="str">
        <f t="shared" si="37"/>
        <v>Auspex ●●●● | Lay Open the Mind</v>
      </c>
      <c r="D257" s="19" t="s">
        <v>1532</v>
      </c>
      <c r="E257" s="15" t="s">
        <v>1540</v>
      </c>
      <c r="F257" s="7"/>
      <c r="G257" s="7"/>
      <c r="H257" s="19"/>
      <c r="I257" s="19"/>
    </row>
    <row r="258" spans="1:9">
      <c r="A258" s="1" t="s">
        <v>257</v>
      </c>
      <c r="B258" t="str">
        <f t="shared" si="37"/>
        <v>Auspex ●●●●● | Twilight Projection</v>
      </c>
      <c r="D258" s="19" t="s">
        <v>1532</v>
      </c>
      <c r="E258" s="15" t="s">
        <v>1541</v>
      </c>
      <c r="F258" s="7"/>
      <c r="G258" s="7"/>
      <c r="H258" s="19"/>
      <c r="I258" s="19"/>
    </row>
    <row r="259" spans="1:9">
      <c r="A259" s="1" t="s">
        <v>258</v>
      </c>
      <c r="B259" t="str">
        <f t="shared" si="37"/>
        <v>Obfuscate ● | Face in the Crowd</v>
      </c>
      <c r="D259" s="19" t="s">
        <v>1532</v>
      </c>
      <c r="E259" s="15" t="s">
        <v>1542</v>
      </c>
      <c r="F259" s="7"/>
      <c r="G259" s="7"/>
      <c r="H259" s="19"/>
      <c r="I259" s="19"/>
    </row>
    <row r="260" spans="1:9">
      <c r="A260" s="1" t="s">
        <v>259</v>
      </c>
      <c r="B260" t="str">
        <f t="shared" si="37"/>
        <v>Blood Sorcery | Divination ●</v>
      </c>
      <c r="D260" s="19" t="s">
        <v>1532</v>
      </c>
      <c r="E260" s="15" t="s">
        <v>1543</v>
      </c>
      <c r="F260" s="7"/>
      <c r="G260" s="7"/>
      <c r="H260" s="19"/>
      <c r="I260" s="19"/>
    </row>
    <row r="261" spans="1:9">
      <c r="A261" s="1" t="s">
        <v>260</v>
      </c>
      <c r="B261" t="str">
        <f t="shared" si="37"/>
        <v>Blood Sorcery | Protection ●</v>
      </c>
      <c r="D261" s="19" t="s">
        <v>1532</v>
      </c>
      <c r="E261" s="15" t="s">
        <v>1544</v>
      </c>
      <c r="F261" s="7"/>
      <c r="G261" s="7"/>
      <c r="H261" s="19"/>
      <c r="I261" s="19"/>
    </row>
    <row r="262" spans="1:9">
      <c r="A262" s="1" t="s">
        <v>261</v>
      </c>
      <c r="B262" t="str">
        <f t="shared" si="37"/>
        <v>Blood Sorcery | Protection ●●</v>
      </c>
      <c r="D262" s="19" t="s">
        <v>1532</v>
      </c>
      <c r="E262" s="15" t="s">
        <v>1545</v>
      </c>
      <c r="F262" s="7"/>
      <c r="G262" s="7"/>
      <c r="H262" s="19"/>
      <c r="I262" s="19"/>
    </row>
    <row r="263" spans="1:9">
      <c r="A263" s="1" t="s">
        <v>262</v>
      </c>
      <c r="B263" t="str">
        <f t="shared" si="37"/>
        <v>Blood Sorcery | Protection ●●●</v>
      </c>
      <c r="D263" s="19" t="s">
        <v>1532</v>
      </c>
      <c r="E263" s="15" t="s">
        <v>1546</v>
      </c>
      <c r="F263" s="7"/>
      <c r="G263" s="7"/>
      <c r="H263" s="19"/>
      <c r="I263" s="19"/>
    </row>
    <row r="264" spans="1:9">
      <c r="A264" s="1" t="s">
        <v>263</v>
      </c>
      <c r="B264" t="str">
        <f t="shared" si="37"/>
        <v>Blood Sorcery | Protection ●●●●</v>
      </c>
      <c r="D264" s="19" t="s">
        <v>1532</v>
      </c>
      <c r="E264" s="15" t="s">
        <v>1547</v>
      </c>
      <c r="F264" s="7"/>
      <c r="G264" s="7"/>
      <c r="H264" s="19"/>
      <c r="I264" s="19"/>
    </row>
    <row r="265" spans="1:9">
      <c r="A265" s="1" t="s">
        <v>264</v>
      </c>
      <c r="B265" t="str">
        <f t="shared" si="37"/>
        <v>Blood Sorcery | Transmutation ●</v>
      </c>
      <c r="D265" s="19" t="s">
        <v>1532</v>
      </c>
      <c r="E265" s="15" t="s">
        <v>1548</v>
      </c>
      <c r="F265" s="7"/>
      <c r="G265" s="7"/>
      <c r="H265" s="19"/>
      <c r="I265" s="19"/>
    </row>
    <row r="266" spans="1:9">
      <c r="A266" s="1" t="s">
        <v>265</v>
      </c>
      <c r="B266" t="str">
        <f t="shared" si="37"/>
        <v>¬</v>
      </c>
      <c r="D266" s="19" t="s">
        <v>1532</v>
      </c>
      <c r="E266" s="15" t="s">
        <v>1549</v>
      </c>
      <c r="F266" s="7"/>
      <c r="G266" s="7"/>
      <c r="H266" s="19"/>
      <c r="I266" s="19"/>
    </row>
    <row r="267" spans="1:9">
      <c r="A267" s="1" t="s">
        <v>266</v>
      </c>
      <c r="B267" t="str">
        <f t="shared" si="37"/>
        <v>¬</v>
      </c>
      <c r="D267" s="19" t="s">
        <v>1532</v>
      </c>
      <c r="E267" s="15" t="s">
        <v>1550</v>
      </c>
      <c r="F267" s="7"/>
      <c r="G267" s="7"/>
      <c r="H267" s="19"/>
      <c r="I267" s="19"/>
    </row>
    <row r="268" spans="1:9">
      <c r="A268" s="1" t="s">
        <v>267</v>
      </c>
      <c r="B268" t="str">
        <f t="shared" si="37"/>
        <v>¬</v>
      </c>
      <c r="D268" s="19" t="s">
        <v>1532</v>
      </c>
      <c r="E268" s="15" t="s">
        <v>1551</v>
      </c>
      <c r="F268" s="7"/>
      <c r="G268" s="7"/>
      <c r="H268" s="19"/>
      <c r="I268" s="19"/>
    </row>
    <row r="269" spans="1:9">
      <c r="A269" s="1" t="s">
        <v>268</v>
      </c>
      <c r="B269" t="str">
        <f t="shared" si="37"/>
        <v>¬</v>
      </c>
      <c r="D269" s="19" t="s">
        <v>1532</v>
      </c>
      <c r="E269" s="15" t="s">
        <v>1552</v>
      </c>
      <c r="F269" s="7"/>
      <c r="G269" s="7"/>
      <c r="H269" s="19"/>
      <c r="I269" s="19"/>
    </row>
    <row r="270" spans="1:9">
      <c r="A270" s="1" t="s">
        <v>269</v>
      </c>
      <c r="B270" t="str">
        <f t="shared" si="37"/>
        <v>¬</v>
      </c>
      <c r="D270" s="19" t="s">
        <v>1532</v>
      </c>
      <c r="E270" s="15" t="s">
        <v>1553</v>
      </c>
      <c r="F270" s="7"/>
      <c r="G270" s="7"/>
      <c r="H270" s="19"/>
      <c r="I270" s="19"/>
    </row>
    <row r="271" spans="1:9">
      <c r="A271" s="1" t="s">
        <v>270</v>
      </c>
      <c r="B271" t="str">
        <f t="shared" si="37"/>
        <v>¬</v>
      </c>
      <c r="D271" s="19" t="s">
        <v>1532</v>
      </c>
      <c r="E271" s="15" t="s">
        <v>1554</v>
      </c>
      <c r="F271" s="7"/>
      <c r="G271" s="7"/>
      <c r="H271" s="19"/>
      <c r="I271" s="19"/>
    </row>
    <row r="272" spans="1:9">
      <c r="A272" s="1" t="s">
        <v>271</v>
      </c>
      <c r="B272" t="str">
        <f t="shared" si="37"/>
        <v>¬</v>
      </c>
      <c r="D272" s="19" t="s">
        <v>1532</v>
      </c>
      <c r="E272" s="15" t="s">
        <v>1555</v>
      </c>
      <c r="F272" s="7"/>
      <c r="G272" s="7"/>
      <c r="H272" s="19"/>
      <c r="I272" s="19"/>
    </row>
    <row r="273" spans="1:14">
      <c r="A273" s="1" t="s">
        <v>272</v>
      </c>
      <c r="B273" t="str">
        <f t="shared" si="37"/>
        <v>¬</v>
      </c>
      <c r="D273" s="19" t="s">
        <v>1532</v>
      </c>
      <c r="E273" s="15" t="s">
        <v>1556</v>
      </c>
      <c r="F273" s="7"/>
      <c r="G273" s="7"/>
      <c r="H273" s="19"/>
      <c r="I273" s="19"/>
    </row>
    <row r="274" spans="1:14">
      <c r="A274" s="1" t="s">
        <v>273</v>
      </c>
      <c r="B274" t="str">
        <f t="shared" si="37"/>
        <v>¬</v>
      </c>
      <c r="D274" s="19" t="s">
        <v>1532</v>
      </c>
      <c r="E274" s="15" t="s">
        <v>1557</v>
      </c>
      <c r="F274" s="7"/>
      <c r="G274" s="7"/>
      <c r="H274" s="19"/>
      <c r="I274" s="19"/>
    </row>
    <row r="275" spans="1:14">
      <c r="A275" s="1" t="s">
        <v>274</v>
      </c>
      <c r="B275" t="str">
        <f t="shared" si="37"/>
        <v>¬</v>
      </c>
      <c r="D275" s="19" t="s">
        <v>1532</v>
      </c>
      <c r="E275" s="15" t="s">
        <v>1558</v>
      </c>
      <c r="F275" s="7"/>
      <c r="G275" s="7"/>
      <c r="H275" s="19"/>
      <c r="I275" s="19"/>
    </row>
    <row r="276" spans="1:14">
      <c r="A276" s="1" t="s">
        <v>275</v>
      </c>
      <c r="B276" t="str">
        <f t="shared" si="37"/>
        <v>¬</v>
      </c>
      <c r="D276" s="19" t="s">
        <v>1532</v>
      </c>
      <c r="E276" s="15" t="s">
        <v>1559</v>
      </c>
      <c r="F276" s="7"/>
      <c r="G276" s="7"/>
      <c r="H276" s="19"/>
      <c r="I276" s="19"/>
    </row>
    <row r="277" spans="1:14">
      <c r="A277" s="1" t="s">
        <v>276</v>
      </c>
      <c r="B277" t="str">
        <f t="shared" si="37"/>
        <v>¬</v>
      </c>
      <c r="D277" s="19" t="s">
        <v>1532</v>
      </c>
      <c r="E277" s="15" t="s">
        <v>1560</v>
      </c>
      <c r="F277" s="7"/>
      <c r="G277" s="7"/>
      <c r="H277" s="19"/>
      <c r="I277" s="19"/>
    </row>
    <row r="278" spans="1:14">
      <c r="A278" s="1" t="s">
        <v>277</v>
      </c>
      <c r="B278" t="str">
        <f t="shared" si="37"/>
        <v>¬</v>
      </c>
    </row>
    <row r="279" spans="1:14">
      <c r="A279" s="1" t="s">
        <v>278</v>
      </c>
      <c r="B279" t="str">
        <f t="shared" si="37"/>
        <v>¬</v>
      </c>
      <c r="D279" s="16" t="s">
        <v>1561</v>
      </c>
      <c r="E279" s="16"/>
      <c r="F279" s="16" t="s">
        <v>1347</v>
      </c>
      <c r="G279" s="16" t="s">
        <v>1348</v>
      </c>
      <c r="H279" s="16" t="s">
        <v>1349</v>
      </c>
      <c r="I279" s="16" t="s">
        <v>1350</v>
      </c>
      <c r="N279" s="60">
        <f ca="1">SUM(N280:N282)</f>
        <v>3</v>
      </c>
    </row>
    <row r="280" spans="1:14">
      <c r="A280" s="1" t="s">
        <v>279</v>
      </c>
      <c r="B280" t="str">
        <f t="shared" si="37"/>
        <v>¬</v>
      </c>
      <c r="D280" s="61" t="str" cm="1">
        <f t="array" aca="1" ref="D280" ca="1">INDEX(Attendance!$C$14:$GP$44,
       MATCH($F$4, Attendance!$C$14:$C$44, 0),
       MATCH(1, (Attendance!$C$12:$GP$12=$E280) * (Attendance!$C$13:$GP$13="Paid"), 0)
)</f>
        <v>Cash</v>
      </c>
      <c r="E280" s="41">
        <v>46054</v>
      </c>
      <c r="F280" s="61" cm="1">
        <f t="array" aca="1" ref="F280" ca="1">N(INDEX(Attendance!$C$14:$GP$104,
       MATCH($F$4, Attendance!$C$14:$C$104, 0),
       MATCH(1, (Attendance!$C$12:$GP$12=$E280) * (Attendance!$C$13:$GP$13=$F$279), 0)
))</f>
        <v>3</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0</v>
      </c>
      <c r="I280" s="61" t="str" cm="1">
        <f t="array" aca="1" ref="I280" ca="1">INDEX(Attendance!$C$14:$GP$44,
       MATCH($F$4, Attendance!$C$14:$C$44, 0),
       MATCH(1, (Attendance!$C$12:$GP$12=$E280) * (Attendance!$C$13:$GP$13=$I$279), 0)
)</f>
        <v>Quiet</v>
      </c>
      <c r="K280" s="18"/>
      <c r="L280" s="18"/>
      <c r="M280" s="18" t="s">
        <v>1562</v>
      </c>
      <c r="N280" s="61">
        <f ca="1">SUM(F$280:F$316)</f>
        <v>3</v>
      </c>
    </row>
    <row r="281" spans="1:14">
      <c r="A281" s="1" t="s">
        <v>280</v>
      </c>
      <c r="B281" t="str">
        <f t="shared" si="37"/>
        <v>¬</v>
      </c>
      <c r="D281" s="61" t="str" cm="1">
        <f t="array" aca="1" ref="D281" ca="1">INDEX(Attendance!$C$14:$GP$44,
       MATCH($F$4, Attendance!$C$14:$C$44, 0),
       MATCH(1, (Attendance!$C$12:$GP$12=$E281) * (Attendance!$C$13:$GP$13="Paid"), 0)
)</f>
        <v> </v>
      </c>
      <c r="E281" s="42">
        <f t="shared" ref="E281:E316" si="38">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7"/>
        <v>¬</v>
      </c>
      <c r="D282" s="61" t="str" cm="1">
        <f t="array" aca="1" ref="D282" ca="1">INDEX(Attendance!$C$14:$GP$44,
       MATCH($F$4, Attendance!$C$14:$C$44, 0),
       MATCH(1, (Attendance!$C$12:$GP$12=$E282) * (Attendance!$C$13:$GP$13="Paid"), 0)
)</f>
        <v> </v>
      </c>
      <c r="E282" s="42">
        <f t="shared" si="38"/>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0</v>
      </c>
    </row>
    <row r="283" spans="1:14">
      <c r="A283" s="1" t="s">
        <v>282</v>
      </c>
      <c r="B283" t="str">
        <f t="shared" si="37"/>
        <v>¬</v>
      </c>
      <c r="D283" s="61" t="str" cm="1">
        <f t="array" aca="1" ref="D283" ca="1">INDEX(Attendance!$C$14:$GP$44,
       MATCH($F$4, Attendance!$C$14:$C$44, 0),
       MATCH(1, (Attendance!$C$12:$GP$12=$E283) * (Attendance!$C$13:$GP$13="Paid"), 0)
)</f>
        <v> </v>
      </c>
      <c r="E283" s="42">
        <f t="shared" si="38"/>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9">IF(AE44="","¬",AE44)</f>
        <v>Cost: Free (1 V for Insight)  •  Pool: - - Composure &amp; Closed Book  •  Instant  •  Scene</v>
      </c>
      <c r="D284" s="61" t="str" cm="1">
        <f t="array" aca="1" ref="D284" ca="1">INDEX(Attendance!$C$14:$GP$44,
       MATCH($F$4, Attendance!$C$14:$C$44, 0),
       MATCH(1, (Attendance!$C$12:$GP$12=$E284) * (Attendance!$C$13:$GP$13="Paid"), 0)
)</f>
        <v> </v>
      </c>
      <c r="E284" s="42">
        <f t="shared" si="38"/>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9"/>
        <v>Cost: Free (1 V for Insight) Must perceive target  •  Pool: -  •  Instant  •  Scene</v>
      </c>
      <c r="D285" s="61" t="str" cm="1">
        <f t="array" aca="1" ref="D285" ca="1">INDEX(Attendance!$C$14:$GP$44,
       MATCH($F$4, Attendance!$C$14:$C$44, 0),
       MATCH(1, (Attendance!$C$12:$GP$12=$E285) * (Attendance!$C$13:$GP$13="Paid"), 0)
)</f>
        <v> </v>
      </c>
      <c r="E285" s="42">
        <f t="shared" si="38"/>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9"/>
        <v>Cost: Free (1 WP for clash / 1 V for Insight)  •  Pool: - v Resolve + Stealth + Obf  •  Reflexive  •  Immediate</v>
      </c>
      <c r="D286" s="61" t="str" cm="1">
        <f t="array" aca="1" ref="D286" ca="1">INDEX(Attendance!$C$14:$GP$44,
       MATCH($F$4, Attendance!$C$14:$C$44, 0),
       MATCH(1, (Attendance!$C$12:$GP$12=$E286) * (Attendance!$C$13:$GP$13="Paid"), 0)
)</f>
        <v> </v>
      </c>
      <c r="E286" s="42">
        <f t="shared" si="38"/>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9"/>
        <v>Cost: 1 V  •  Pool: 8  v Resolve + BP  •  Instant  •  Scene</v>
      </c>
      <c r="D287" s="61" t="str" cm="1">
        <f t="array" aca="1" ref="D287" ca="1">INDEX(Attendance!$C$14:$GP$44,
       MATCH($F$4, Attendance!$C$14:$C$44, 0),
       MATCH(1, (Attendance!$C$12:$GP$12=$E287) * (Attendance!$C$13:$GP$13="Paid"), 0)
)</f>
        <v> </v>
      </c>
      <c r="E287" s="42">
        <f t="shared" si="38"/>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9"/>
        <v>Cost: 2 V  •  Pool: 13  •  Instant  •  Scene (while projected)</v>
      </c>
      <c r="D288" s="61" t="str" cm="1">
        <f t="array" aca="1" ref="D288" ca="1">INDEX(Attendance!$C$14:$GP$44,
       MATCH($F$4, Attendance!$C$14:$C$44, 0),
       MATCH(1, (Attendance!$C$12:$GP$12=$E288) * (Attendance!$C$13:$GP$13="Paid"), 0)
)</f>
        <v> </v>
      </c>
      <c r="E288" s="42">
        <f t="shared" si="38"/>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9"/>
        <v>Cost: -  •  Pool: -  •  Instant  •  Scene</v>
      </c>
      <c r="D289" s="61" t="str" cm="1">
        <f t="array" aca="1" ref="D289" ca="1">INDEX(Attendance!$C$14:$GP$44,
       MATCH($F$4, Attendance!$C$14:$C$44, 0),
       MATCH(1, (Attendance!$C$12:$GP$12=$E289) * (Attendance!$C$13:$GP$13="Paid"), 0)
)</f>
        <v> </v>
      </c>
      <c r="E289" s="42">
        <f t="shared" si="38"/>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9"/>
        <v>¬</v>
      </c>
      <c r="D290" s="61" t="str" cm="1">
        <f t="array" aca="1" ref="D290" ca="1">INDEX(Attendance!$C$14:$GP$44,
       MATCH($F$4, Attendance!$C$14:$C$44, 0),
       MATCH(1, (Attendance!$C$12:$GP$12=$E290) * (Attendance!$C$13:$GP$13="Paid"), 0)
)</f>
        <v> </v>
      </c>
      <c r="E290" s="42">
        <f t="shared" si="38"/>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9"/>
        <v>¬</v>
      </c>
      <c r="D291" s="61" t="str" cm="1">
        <f t="array" aca="1" ref="D291" ca="1">INDEX(Attendance!$C$14:$GP$44,
       MATCH($F$4, Attendance!$C$14:$C$44, 0),
       MATCH(1, (Attendance!$C$12:$GP$12=$E291) * (Attendance!$C$13:$GP$13="Paid"), 0)
)</f>
        <v> </v>
      </c>
      <c r="E291" s="42">
        <f t="shared" si="38"/>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9"/>
        <v>¬</v>
      </c>
      <c r="D292" s="61" t="str" cm="1">
        <f t="array" aca="1" ref="D292" ca="1">INDEX(Attendance!$C$14:$GP$44,
       MATCH($F$4, Attendance!$C$14:$C$44, 0),
       MATCH(1, (Attendance!$C$12:$GP$12=$E292) * (Attendance!$C$13:$GP$13="Paid"), 0)
)</f>
        <v> </v>
      </c>
      <c r="E292" s="42">
        <f t="shared" si="38"/>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9"/>
        <v>¬</v>
      </c>
      <c r="D293" s="61" t="str" cm="1">
        <f t="array" aca="1" ref="D293" ca="1">INDEX(Attendance!$C$14:$GP$44,
       MATCH($F$4, Attendance!$C$14:$C$44, 0),
       MATCH(1, (Attendance!$C$12:$GP$12=$E293) * (Attendance!$C$13:$GP$13="Paid"), 0)
)</f>
        <v> </v>
      </c>
      <c r="E293" s="42">
        <f t="shared" si="38"/>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9"/>
        <v>¬</v>
      </c>
      <c r="D294" s="61" t="str" cm="1">
        <f t="array" aca="1" ref="D294" ca="1">INDEX(Attendance!$C$14:$GP$44,
       MATCH($F$4, Attendance!$C$14:$C$44, 0),
       MATCH(1, (Attendance!$C$12:$GP$12=$E294) * (Attendance!$C$13:$GP$13="Paid"), 0)
)</f>
        <v> </v>
      </c>
      <c r="E294" s="42">
        <f t="shared" si="38"/>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9"/>
        <v>¬</v>
      </c>
      <c r="D295" s="61" t="str" cm="1">
        <f t="array" aca="1" ref="D295" ca="1">INDEX(Attendance!$C$14:$GP$44,
       MATCH($F$4, Attendance!$C$14:$C$44, 0),
       MATCH(1, (Attendance!$C$12:$GP$12=$E295) * (Attendance!$C$13:$GP$13="Paid"), 0)
)</f>
        <v> </v>
      </c>
      <c r="E295" s="42">
        <f t="shared" si="38"/>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9"/>
        <v>¬</v>
      </c>
      <c r="D296" s="61" t="str" cm="1">
        <f t="array" aca="1" ref="D296" ca="1">INDEX(Attendance!$C$14:$GP$44,
       MATCH($F$4, Attendance!$C$14:$C$44, 0),
       MATCH(1, (Attendance!$C$12:$GP$12=$E296) * (Attendance!$C$13:$GP$13="Paid"), 0)
)</f>
        <v> </v>
      </c>
      <c r="E296" s="42">
        <f t="shared" si="38"/>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9"/>
        <v>¬</v>
      </c>
      <c r="D297" s="61" t="str" cm="1">
        <f t="array" aca="1" ref="D297" ca="1">INDEX(Attendance!$C$14:$GP$44,
       MATCH($F$4, Attendance!$C$14:$C$44, 0),
       MATCH(1, (Attendance!$C$12:$GP$12=$E297) * (Attendance!$C$13:$GP$13="Paid"), 0)
)</f>
        <v> </v>
      </c>
      <c r="E297" s="42">
        <f t="shared" si="38"/>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9"/>
        <v>¬</v>
      </c>
      <c r="D298" s="61" t="str" cm="1">
        <f t="array" aca="1" ref="D298" ca="1">INDEX(Attendance!$C$14:$GP$44,
       MATCH($F$4, Attendance!$C$14:$C$44, 0),
       MATCH(1, (Attendance!$C$12:$GP$12=$E298) * (Attendance!$C$13:$GP$13="Paid"), 0)
)</f>
        <v> </v>
      </c>
      <c r="E298" s="42">
        <f t="shared" si="38"/>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9"/>
        <v>¬</v>
      </c>
      <c r="D299" s="61" t="str" cm="1">
        <f t="array" aca="1" ref="D299" ca="1">INDEX(Attendance!$C$14:$GP$44,
       MATCH($F$4, Attendance!$C$14:$C$44, 0),
       MATCH(1, (Attendance!$C$12:$GP$12=$E299) * (Attendance!$C$13:$GP$13="Paid"), 0)
)</f>
        <v> </v>
      </c>
      <c r="E299" s="42">
        <f t="shared" si="38"/>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9"/>
        <v>¬</v>
      </c>
      <c r="D300" s="61" t="str" cm="1">
        <f t="array" aca="1" ref="D300" ca="1">INDEX(Attendance!$C$14:$GP$44,
       MATCH($F$4, Attendance!$C$14:$C$44, 0),
       MATCH(1, (Attendance!$C$12:$GP$12=$E300) * (Attendance!$C$13:$GP$13="Paid"), 0)
)</f>
        <v> </v>
      </c>
      <c r="E300" s="42">
        <f t="shared" si="38"/>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9"/>
        <v>¬</v>
      </c>
      <c r="D301" s="61" t="str" cm="1">
        <f t="array" aca="1" ref="D301" ca="1">INDEX(Attendance!$C$14:$GP$44,
       MATCH($F$4, Attendance!$C$14:$C$44, 0),
       MATCH(1, (Attendance!$C$12:$GP$12=$E301) * (Attendance!$C$13:$GP$13="Paid"), 0)
)</f>
        <v> </v>
      </c>
      <c r="E301" s="42">
        <f t="shared" si="38"/>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9"/>
        <v>¬</v>
      </c>
      <c r="D302" s="61" t="str" cm="1">
        <f t="array" aca="1" ref="D302" ca="1">INDEX(Attendance!$C$14:$GP$44,
       MATCH($F$4, Attendance!$C$14:$C$44, 0),
       MATCH(1, (Attendance!$C$12:$GP$12=$E302) * (Attendance!$C$13:$GP$13="Paid"), 0)
)</f>
        <v> </v>
      </c>
      <c r="E302" s="42">
        <f t="shared" si="38"/>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9"/>
        <v>¬</v>
      </c>
      <c r="D303" s="61" t="str" cm="1">
        <f t="array" aca="1" ref="D303" ca="1">INDEX(Attendance!$C$14:$GP$44,
       MATCH($F$4, Attendance!$C$14:$C$44, 0),
       MATCH(1, (Attendance!$C$12:$GP$12=$E303) * (Attendance!$C$13:$GP$13="Paid"), 0)
)</f>
        <v> </v>
      </c>
      <c r="E303" s="42">
        <f t="shared" si="38"/>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9"/>
        <v>¬</v>
      </c>
      <c r="D304" s="61" t="str" cm="1">
        <f t="array" aca="1" ref="D304" ca="1">INDEX(Attendance!$C$14:$GP$44,
       MATCH($F$4, Attendance!$C$14:$C$44, 0),
       MATCH(1, (Attendance!$C$12:$GP$12=$E304) * (Attendance!$C$13:$GP$13="Paid"), 0)
)</f>
        <v> </v>
      </c>
      <c r="E304" s="42">
        <f t="shared" si="38"/>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9"/>
        <v>¬</v>
      </c>
      <c r="D305" s="61" t="str" cm="1">
        <f t="array" aca="1" ref="D305" ca="1">INDEX(Attendance!$C$14:$GP$44,
       MATCH($F$4, Attendance!$C$14:$C$44, 0),
       MATCH(1, (Attendance!$C$12:$GP$12=$E305) * (Attendance!$C$13:$GP$13="Paid"), 0)
)</f>
        <v> </v>
      </c>
      <c r="E305" s="42">
        <f t="shared" si="38"/>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9"/>
        <v>¬</v>
      </c>
      <c r="D306" s="61" t="str" cm="1">
        <f t="array" aca="1" ref="D306" ca="1">INDEX(Attendance!$C$14:$GP$44,
       MATCH($F$4, Attendance!$C$14:$C$44, 0),
       MATCH(1, (Attendance!$C$12:$GP$12=$E306) * (Attendance!$C$13:$GP$13="Paid"), 0)
)</f>
        <v> </v>
      </c>
      <c r="E306" s="42">
        <f t="shared" si="38"/>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9"/>
        <v>¬</v>
      </c>
      <c r="D307" s="61" t="str" cm="1">
        <f t="array" aca="1" ref="D307" ca="1">INDEX(Attendance!$C$14:$GP$44,
       MATCH($F$4, Attendance!$C$14:$C$44, 0),
       MATCH(1, (Attendance!$C$12:$GP$12=$E307) * (Attendance!$C$13:$GP$13="Paid"), 0)
)</f>
        <v> </v>
      </c>
      <c r="E307" s="42">
        <f t="shared" si="38"/>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9"/>
        <v>¬</v>
      </c>
      <c r="D308" s="61" t="str" cm="1">
        <f t="array" aca="1" ref="D308" ca="1">INDEX(Attendance!$C$14:$GP$44,
       MATCH($F$4, Attendance!$C$14:$C$44, 0),
       MATCH(1, (Attendance!$C$12:$GP$12=$E308) * (Attendance!$C$13:$GP$13="Paid"), 0)
)</f>
        <v> </v>
      </c>
      <c r="E308" s="42">
        <f t="shared" si="38"/>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9"/>
        <v>¬</v>
      </c>
      <c r="D309" s="61" t="str" cm="1">
        <f t="array" aca="1" ref="D309" ca="1">INDEX(Attendance!$C$14:$GP$44,
       MATCH($F$4, Attendance!$C$14:$C$44, 0),
       MATCH(1, (Attendance!$C$12:$GP$12=$E309) * (Attendance!$C$13:$GP$13="Paid"), 0)
)</f>
        <v> </v>
      </c>
      <c r="E309" s="42">
        <f t="shared" si="38"/>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9"/>
        <v>¬</v>
      </c>
      <c r="D310" s="61" t="str" cm="1">
        <f t="array" aca="1" ref="D310" ca="1">INDEX(Attendance!$C$14:$GP$44,
       MATCH($F$4, Attendance!$C$14:$C$44, 0),
       MATCH(1, (Attendance!$C$12:$GP$12=$E310) * (Attendance!$C$13:$GP$13="Paid"), 0)
)</f>
        <v> </v>
      </c>
      <c r="E310" s="42">
        <f t="shared" si="38"/>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9"/>
        <v>¬</v>
      </c>
      <c r="D311" s="61" t="str" cm="1">
        <f t="array" aca="1" ref="D311" ca="1">INDEX(Attendance!$C$14:$GP$44,
       MATCH($F$4, Attendance!$C$14:$C$44, 0),
       MATCH(1, (Attendance!$C$12:$GP$12=$E311) * (Attendance!$C$13:$GP$13="Paid"), 0)
)</f>
        <v> </v>
      </c>
      <c r="E311" s="42">
        <f t="shared" si="38"/>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9"/>
        <v>¬</v>
      </c>
      <c r="D312" s="61" t="str" cm="1">
        <f t="array" aca="1" ref="D312" ca="1">INDEX(Attendance!$C$14:$GP$44,
       MATCH($F$4, Attendance!$C$14:$C$44, 0),
       MATCH(1, (Attendance!$C$12:$GP$12=$E312) * (Attendance!$C$13:$GP$13="Paid"), 0)
)</f>
        <v> </v>
      </c>
      <c r="E312" s="42">
        <f t="shared" si="38"/>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9"/>
        <v>¬</v>
      </c>
      <c r="D313" s="61" t="str" cm="1">
        <f t="array" aca="1" ref="D313" ca="1">INDEX(Attendance!$C$14:$GP$44,
       MATCH($F$4, Attendance!$C$14:$C$44, 0),
       MATCH(1, (Attendance!$C$12:$GP$12=$E313) * (Attendance!$C$13:$GP$13="Paid"), 0)
)</f>
        <v> </v>
      </c>
      <c r="E313" s="42">
        <f t="shared" si="38"/>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40">IF(AF44="","¬",AF44)</f>
        <v>Add Auspex dots to any rolls to resist surprise. Access to Tier 1 Auspex Insight questions.</v>
      </c>
      <c r="D314" s="61" t="str" cm="1">
        <f t="array" aca="1" ref="D314" ca="1">INDEX(Attendance!$C$14:$GP$44,
       MATCH($F$4, Attendance!$C$14:$C$44, 0),
       MATCH(1, (Attendance!$C$12:$GP$12=$E314) * (Attendance!$C$13:$GP$13="Paid"), 0)
)</f>
        <v> </v>
      </c>
      <c r="E314" s="42">
        <f t="shared" si="38"/>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40"/>
        <v>Persistent Acute Senses Merit, doubles actual merit. Access to Tier 2 Auspex Insight questions.</v>
      </c>
      <c r="D315" s="61" t="str" cm="1">
        <f t="array" aca="1" ref="D315" ca="1">INDEX(Attendance!$C$14:$GP$44,
       MATCH($F$4, Attendance!$C$14:$C$44, 0),
       MATCH(1, (Attendance!$C$12:$GP$12=$E315) * (Attendance!$C$13:$GP$13="Paid"), 0)
)</f>
        <v> </v>
      </c>
      <c r="E315" s="42">
        <f t="shared" si="38"/>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40"/>
        <v xml:space="preserve">Passively scan for anyone under Obfuscate 1 or 3, can provoke a challenge. Access to Tier 3 Auspex Insight questions. </v>
      </c>
      <c r="D316" s="61" t="str" cm="1">
        <f t="array" aca="1" ref="D316" ca="1">INDEX(Attendance!$C$14:$GP$44,
       MATCH($F$4, Attendance!$C$14:$C$44, 0),
       MATCH(1, (Attendance!$C$12:$GP$12=$E316) * (Attendance!$C$13:$GP$13="Paid"), 0)
)</f>
        <v> </v>
      </c>
      <c r="E316" s="42">
        <f t="shared" si="38"/>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40"/>
        <v>Telepathy and mind-reading. Invoke Conditions.</v>
      </c>
    </row>
    <row r="318" spans="1:9">
      <c r="A318" s="1" t="s">
        <v>317</v>
      </c>
      <c r="B318" t="str">
        <f t="shared" si="40"/>
        <v>Project senses into Twilight. May use Auspex 1-3 once per scene; cannot spend blood for additional uses.</v>
      </c>
    </row>
    <row r="319" spans="1:9">
      <c r="A319" s="1" t="s">
        <v>318</v>
      </c>
      <c r="B319" t="str">
        <f t="shared" si="40"/>
        <v>Blend into surroundings, visible but unnoticeable. Predatory aura fully on or off. Leaving combat: Wits + Composure - Obfuscate to notice; auto Clash of Wills vs Auspex.</v>
      </c>
    </row>
    <row r="320" spans="1:9">
      <c r="A320" s="1" t="s">
        <v>319</v>
      </c>
      <c r="B320" t="str">
        <f t="shared" si="40"/>
        <v>Glimpse fragmented details about intended actions. Learn basic info about a target.</v>
      </c>
    </row>
    <row r="321" spans="1:2">
      <c r="A321" s="1" t="s">
        <v>320</v>
      </c>
      <c r="B321" t="str">
        <f t="shared" si="40"/>
        <v>Subtract Potency from ritual rolls targeting subject. Heal bashing in vampires. Protect from the Kiss (add Potency to resistance).</v>
      </c>
    </row>
    <row r="322" spans="1:2">
      <c r="A322" s="1" t="s">
        <v>321</v>
      </c>
      <c r="B322" t="str">
        <f t="shared" si="40"/>
        <v>Grant armour. Ward environmental hazards. Resist frenzy.</v>
      </c>
    </row>
    <row r="323" spans="1:2">
      <c r="A323" s="1" t="s">
        <v>322</v>
      </c>
      <c r="B323" t="str">
        <f t="shared" si="40"/>
        <v>Render untouchable or unable to be fed from. Ward physical Discipline effects. Protect from staking. Heal lethal in vampires.</v>
      </c>
    </row>
    <row r="324" spans="1:2">
      <c r="A324" s="1" t="s">
        <v>323</v>
      </c>
      <c r="B324" t="str">
        <f t="shared" si="40"/>
        <v>Ward mental Discipline effects (Majesty, Dominate). Protect from Vinculum. Remain active during day (Potency turns).</v>
      </c>
    </row>
    <row r="325" spans="1:2">
      <c r="A325" s="1" t="s">
        <v>324</v>
      </c>
      <c r="B325" t="str">
        <f t="shared" si="40"/>
        <v>Minor cosmetic changes to living subjects. Warp dead matter. Animate liquids.</v>
      </c>
    </row>
    <row r="326" spans="1:2">
      <c r="A326" s="1" t="s">
        <v>325</v>
      </c>
      <c r="B326" t="str">
        <f t="shared" si="40"/>
        <v>¬</v>
      </c>
    </row>
    <row r="327" spans="1:2">
      <c r="A327" s="1" t="s">
        <v>326</v>
      </c>
      <c r="B327" t="str">
        <f t="shared" si="40"/>
        <v>¬</v>
      </c>
    </row>
    <row r="328" spans="1:2">
      <c r="A328" s="1" t="s">
        <v>327</v>
      </c>
      <c r="B328" t="str">
        <f t="shared" si="40"/>
        <v>¬</v>
      </c>
    </row>
    <row r="329" spans="1:2">
      <c r="A329" s="1" t="s">
        <v>328</v>
      </c>
      <c r="B329" t="str">
        <f t="shared" si="40"/>
        <v>¬</v>
      </c>
    </row>
    <row r="330" spans="1:2">
      <c r="A330" s="1" t="s">
        <v>329</v>
      </c>
      <c r="B330" t="str">
        <f t="shared" si="40"/>
        <v>¬</v>
      </c>
    </row>
    <row r="331" spans="1:2">
      <c r="A331" s="1" t="s">
        <v>330</v>
      </c>
      <c r="B331" t="str">
        <f t="shared" si="40"/>
        <v>¬</v>
      </c>
    </row>
    <row r="332" spans="1:2">
      <c r="A332" s="1" t="s">
        <v>331</v>
      </c>
      <c r="B332" t="str">
        <f t="shared" si="40"/>
        <v>¬</v>
      </c>
    </row>
    <row r="333" spans="1:2">
      <c r="A333" s="1" t="s">
        <v>332</v>
      </c>
      <c r="B333" t="str">
        <f t="shared" si="40"/>
        <v>¬</v>
      </c>
    </row>
    <row r="334" spans="1:2">
      <c r="A334" s="1" t="s">
        <v>333</v>
      </c>
      <c r="B334" t="str">
        <f t="shared" si="40"/>
        <v>¬</v>
      </c>
    </row>
    <row r="335" spans="1:2">
      <c r="A335" s="1" t="s">
        <v>334</v>
      </c>
      <c r="B335" t="str">
        <f t="shared" si="40"/>
        <v>¬</v>
      </c>
    </row>
    <row r="336" spans="1:2">
      <c r="A336" s="1" t="s">
        <v>335</v>
      </c>
      <c r="B336" t="str">
        <f t="shared" si="40"/>
        <v>¬</v>
      </c>
    </row>
    <row r="337" spans="1:2">
      <c r="A337" s="1" t="s">
        <v>336</v>
      </c>
      <c r="B337" t="str">
        <f t="shared" si="40"/>
        <v>¬</v>
      </c>
    </row>
    <row r="338" spans="1:2">
      <c r="A338" s="1" t="s">
        <v>337</v>
      </c>
      <c r="B338" t="str">
        <f t="shared" si="40"/>
        <v>¬</v>
      </c>
    </row>
    <row r="339" spans="1:2">
      <c r="A339" s="1" t="s">
        <v>338</v>
      </c>
      <c r="B339" t="str">
        <f t="shared" si="40"/>
        <v>¬</v>
      </c>
    </row>
    <row r="340" spans="1:2">
      <c r="A340" s="1" t="s">
        <v>339</v>
      </c>
      <c r="B340" t="str">
        <f t="shared" si="40"/>
        <v>¬</v>
      </c>
    </row>
    <row r="341" spans="1:2">
      <c r="A341" s="1" t="s">
        <v>340</v>
      </c>
      <c r="B341" t="str">
        <f t="shared" si="40"/>
        <v>¬</v>
      </c>
    </row>
    <row r="342" spans="1:2">
      <c r="A342" s="1" t="s">
        <v>341</v>
      </c>
      <c r="B342" t="str">
        <f t="shared" si="40"/>
        <v>¬</v>
      </c>
    </row>
    <row r="343" spans="1:2">
      <c r="A343" s="1" t="s">
        <v>342</v>
      </c>
      <c r="B343" t="str">
        <f t="shared" si="40"/>
        <v>¬</v>
      </c>
    </row>
    <row r="344" spans="1:2">
      <c r="A344" s="1" t="s">
        <v>343</v>
      </c>
      <c r="B344" s="8" t="str">
        <f>IF(VLOOKUP(tblCharDataConrad[[#This Row],[Field]],$E$2:$F$361,2,FALSE)="","¬",VLOOKUP(tblCharDataConrad[[#This Row],[Field]],$E$2:$F$361,2,FALSE))</f>
        <v>Tenebrous Curse</v>
      </c>
    </row>
    <row r="345" spans="1:2">
      <c r="A345" s="1" t="s">
        <v>344</v>
      </c>
      <c r="B345" s="8" t="str">
        <f>IF(VLOOKUP(tblCharDataConrad[[#This Row],[Field]],$E$2:$F$361,2,FALSE)="","¬",VLOOKUP(tblCharDataConrad[[#This Row],[Field]],$E$2:$F$361,2,FALSE))</f>
        <v>¬</v>
      </c>
    </row>
    <row r="346" spans="1:2">
      <c r="A346" s="1" t="s">
        <v>345</v>
      </c>
      <c r="B346" s="8" t="str">
        <f>IF(VLOOKUP(tblCharDataConrad[[#This Row],[Field]],$E$2:$F$361,2,FALSE)="","¬",VLOOKUP(tblCharDataConrad[[#This Row],[Field]],$E$2:$F$361,2,FALSE))</f>
        <v>¬</v>
      </c>
    </row>
    <row r="347" spans="1:2">
      <c r="A347" s="1" t="s">
        <v>346</v>
      </c>
      <c r="B347" s="8" t="str">
        <f>IF(VLOOKUP(tblCharDataConrad[[#This Row],[Field]],$E$2:$F$361,2,FALSE)="","¬",VLOOKUP(tblCharDataConrad[[#This Row],[Field]],$E$2:$F$361,2,FALSE))</f>
        <v>¬</v>
      </c>
    </row>
    <row r="348" spans="1:2">
      <c r="A348" s="1" t="s">
        <v>347</v>
      </c>
      <c r="B348" s="8" t="str">
        <f>IF(VLOOKUP(tblCharDataConrad[[#This Row],[Field]],$E$2:$F$361,2,FALSE)="","¬",VLOOKUP(tblCharDataConrad[[#This Row],[Field]],$E$2:$F$361,2,FALSE))</f>
        <v>¬</v>
      </c>
    </row>
    <row r="349" spans="1:2">
      <c r="A349" s="1" t="s">
        <v>348</v>
      </c>
      <c r="B349" t="str">
        <f>_xlfn.IFNA(VLOOKUP(B344,$F$234:$I$238,3,FALSE),"")</f>
        <v>Gain an extra bane at Humanity 6 (doesn't count towards cap); Humanity counts –1 for all Humanity-based banes.</v>
      </c>
    </row>
    <row r="350" spans="1:2">
      <c r="A350" s="1" t="s">
        <v>349</v>
      </c>
      <c r="B350" t="str">
        <f>_xlfn.IFNA(VLOOKUP(B345,$F$234:$I$238,3,FALSE),"¬")</f>
        <v>¬</v>
      </c>
    </row>
    <row r="351" spans="1:2">
      <c r="A351" s="1" t="s">
        <v>350</v>
      </c>
      <c r="B351" t="str">
        <f>_xlfn.IFNA(VLOOKUP(B346,$F$234:$I$238,3,FALSE),"")</f>
        <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9</v>
      </c>
    </row>
    <row r="356" spans="1:2">
      <c r="A356" s="1" t="s">
        <v>355</v>
      </c>
      <c r="B356">
        <f ca="1">P220</f>
        <v>3</v>
      </c>
    </row>
    <row r="357" spans="1:2">
      <c r="A357" s="1" t="s">
        <v>356</v>
      </c>
      <c r="B357" t="str">
        <f>IF(F10="","¬",VLOOKUP(F10,tblAnchors[],2,FALSE))</f>
        <v>Follow a directive blindly, for the sake of following.</v>
      </c>
    </row>
    <row r="358" spans="1:2">
      <c r="A358" s="1" t="s">
        <v>357</v>
      </c>
      <c r="B358" t="str">
        <f>IF(F10="","¬",VLOOKUP(F10,tblAnchors[],3,FALSE))</f>
        <v>Follow a dangerous directive without hesitation.</v>
      </c>
    </row>
    <row r="359" spans="1:2">
      <c r="A359" s="1" t="s">
        <v>358</v>
      </c>
      <c r="B359" t="str">
        <f>IF(F11="","¬",VLOOKUP(F11,tblAnchors[],2,FALSE))</f>
        <v>Build a new identity or uncover a secret.</v>
      </c>
    </row>
    <row r="360" spans="1:2">
      <c r="A360" s="1" t="s">
        <v>359</v>
      </c>
      <c r="B360" t="str">
        <f>IF(F11="","¬",VLOOKUP(F11,tblAnchors[],3,FALSE))</f>
        <v>Uncover a damning secret that could end someone.</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late 20s</v>
      </c>
    </row>
    <row r="365" spans="1:2">
      <c r="A365" s="1" t="s">
        <v>364</v>
      </c>
      <c r="B365" t="str">
        <f>_xlfn.LET(_xlpm.a,IF(F244="","",F244),_xlpm.b,IF(F245="","",F245),IF(AND(_xlpm.a&lt;&gt;"",_xlpm.b&lt;&gt;""),_xlpm.a&amp;", "&amp;_xlpm.b,IF(_xlpm.a&lt;&gt;"",_xlpm.a,IF(_xlpm.b&lt;&gt;"",_xlpm.b,""))))</f>
        <v/>
      </c>
    </row>
  </sheetData>
  <mergeCells count="89">
    <mergeCell ref="H85:I85"/>
    <mergeCell ref="O8:P8"/>
    <mergeCell ref="O9:P9"/>
    <mergeCell ref="O10:P10"/>
    <mergeCell ref="O11:P11"/>
    <mergeCell ref="O12:P12"/>
    <mergeCell ref="H79:I79"/>
    <mergeCell ref="H80:I80"/>
    <mergeCell ref="H81:I81"/>
    <mergeCell ref="H82:I82"/>
    <mergeCell ref="H83:I83"/>
    <mergeCell ref="H84:I84"/>
    <mergeCell ref="H97:I97"/>
    <mergeCell ref="H86:I86"/>
    <mergeCell ref="H87:I87"/>
    <mergeCell ref="H88:I88"/>
    <mergeCell ref="H89:I89"/>
    <mergeCell ref="H90:I90"/>
    <mergeCell ref="H91:I91"/>
    <mergeCell ref="H92:I92"/>
    <mergeCell ref="H93:I93"/>
    <mergeCell ref="H94:I94"/>
    <mergeCell ref="H95:I95"/>
    <mergeCell ref="H96:I96"/>
    <mergeCell ref="H111:I111"/>
    <mergeCell ref="H98:I98"/>
    <mergeCell ref="H101:I101"/>
    <mergeCell ref="H102:I102"/>
    <mergeCell ref="H103:I103"/>
    <mergeCell ref="H104:I104"/>
    <mergeCell ref="H105:I105"/>
    <mergeCell ref="H106:I106"/>
    <mergeCell ref="H107:I107"/>
    <mergeCell ref="H108:I108"/>
    <mergeCell ref="H109:I109"/>
    <mergeCell ref="H110:I110"/>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52:I152"/>
    <mergeCell ref="H141:I141"/>
    <mergeCell ref="H142:I142"/>
    <mergeCell ref="H143:I143"/>
    <mergeCell ref="H144:I144"/>
    <mergeCell ref="H145:I145"/>
    <mergeCell ref="H146:I146"/>
    <mergeCell ref="H147:I147"/>
    <mergeCell ref="H148:I148"/>
    <mergeCell ref="H149:I149"/>
    <mergeCell ref="H150:I150"/>
    <mergeCell ref="H151:I151"/>
    <mergeCell ref="H207:I207"/>
    <mergeCell ref="H153:I153"/>
    <mergeCell ref="H154:I154"/>
    <mergeCell ref="H155:I155"/>
    <mergeCell ref="H156:I156"/>
    <mergeCell ref="H157:I157"/>
    <mergeCell ref="H177:I177"/>
    <mergeCell ref="H178:I178"/>
    <mergeCell ref="H179:I179"/>
    <mergeCell ref="H180:I180"/>
    <mergeCell ref="H181:I181"/>
    <mergeCell ref="H206:I206"/>
    <mergeCell ref="H238:I238"/>
    <mergeCell ref="H208:I208"/>
    <mergeCell ref="H209:I209"/>
    <mergeCell ref="H210:I210"/>
    <mergeCell ref="H211:I211"/>
    <mergeCell ref="H212:I212"/>
    <mergeCell ref="H213:I213"/>
    <mergeCell ref="H214:I214"/>
    <mergeCell ref="H215:I215"/>
    <mergeCell ref="H234:I234"/>
    <mergeCell ref="H236:I236"/>
    <mergeCell ref="H237:I237"/>
    <mergeCell ref="F240:I240"/>
    <mergeCell ref="F241:I241"/>
    <mergeCell ref="F242:I242"/>
    <mergeCell ref="F244:I244"/>
    <mergeCell ref="F245:I245"/>
  </mergeCells>
  <dataValidations count="15">
    <dataValidation type="list" allowBlank="1" showInputMessage="1" showErrorMessage="1" sqref="G248:G277" xr:uid="{83D18CC3-1417-4ABF-BF40-9FBEC4AA0957}">
      <formula1>$I$248:$I$249</formula1>
    </dataValidation>
    <dataValidation type="list" allowBlank="1" showInputMessage="1" showErrorMessage="1" sqref="F236:F238" xr:uid="{73E53341-64BB-428F-83FF-863C412FDBE0}">
      <formula1>lstBanes</formula1>
    </dataValidation>
    <dataValidation type="list" allowBlank="1" showInputMessage="1" showErrorMessage="1" sqref="F206:F215" xr:uid="{31D1C40A-ED7D-4230-942C-E187804F85B9}">
      <formula1>lstPacts</formula1>
    </dataValidation>
    <dataValidation type="list" allowBlank="1" showInputMessage="1" showErrorMessage="1" sqref="G12:G13" xr:uid="{C3A3DB27-65EC-4454-8898-10AD526E923A}">
      <formula1>lstStatus</formula1>
    </dataValidation>
    <dataValidation type="list" allowBlank="1" showInputMessage="1" showErrorMessage="1" sqref="F194:F205 F207:F215" xr:uid="{56443E67-062D-43C5-AC41-1066BE229784}">
      <formula1>lstRites</formula1>
    </dataValidation>
    <dataValidation type="list" allowBlank="1" showInputMessage="1" showErrorMessage="1" sqref="F177:F181" xr:uid="{0169CA9C-A345-4E3A-875C-E8C04BA4CE08}">
      <formula1>lstDevotions</formula1>
    </dataValidation>
    <dataValidation type="list" allowBlank="1" showInputMessage="1" showErrorMessage="1" sqref="F17:F21" xr:uid="{0A3EAEBC-49A9-4D51-A825-AED0A6D83119}">
      <formula1>"TRUE,FALSE"</formula1>
    </dataValidation>
    <dataValidation type="list" allowBlank="1" showInputMessage="1" showErrorMessage="1" sqref="F24" xr:uid="{E2736488-32A1-4E98-9E9F-F741EA0E276C}">
      <formula1>$D$7:$D$8</formula1>
    </dataValidation>
    <dataValidation type="list" allowBlank="1" showInputMessage="1" showErrorMessage="1" sqref="I25 I30 I35 I41 I51 I61" xr:uid="{A858CC2F-0EC0-4372-B23A-90B935287A89}">
      <formula1>lstPriority</formula1>
    </dataValidation>
    <dataValidation type="list" allowBlank="1" showInputMessage="1" showErrorMessage="1" sqref="F10:F11" xr:uid="{562CC166-36A0-447D-924C-6A37B64A1638}">
      <formula1>lstNature</formula1>
    </dataValidation>
    <dataValidation type="list" allowBlank="1" showInputMessage="1" showErrorMessage="1" sqref="F8" xr:uid="{260DE9A6-0ABF-4891-A0B9-C9691E07D5A7}">
      <formula1>lstBloodlines</formula1>
    </dataValidation>
    <dataValidation type="list" allowBlank="1" showInputMessage="1" showErrorMessage="1" sqref="F9" xr:uid="{689AC42D-3F5C-463A-BD96-5D00F5AF558B}">
      <formula1>lstCovenant</formula1>
    </dataValidation>
    <dataValidation type="list" allowBlank="1" showInputMessage="1" showErrorMessage="1" sqref="F7" xr:uid="{D45D3CCC-99FD-4D7B-887F-35952E447105}">
      <formula1>lstClan</formula1>
    </dataValidation>
    <dataValidation type="list" allowBlank="1" showInputMessage="1" showErrorMessage="1" sqref="F79:F98" xr:uid="{41C8626F-F203-421A-B5BE-5CF98A4C6034}">
      <formula1>lstMerits</formula1>
    </dataValidation>
    <dataValidation type="list" allowBlank="1" showInputMessage="1" showErrorMessage="1" sqref="F101:F120" xr:uid="{4C64396B-5E83-4E93-A016-C9661A9217A6}">
      <formula1>lstManoeuvres</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64F18-E484-48D7-8B03-74C6A2E6E9C6}">
  <dimension ref="A1:AK365"/>
  <sheetViews>
    <sheetView zoomScale="70" zoomScaleNormal="70" workbookViewId="0">
      <pane ySplit="1" topLeftCell="A2" activePane="bottomLeft" state="frozen"/>
      <selection pane="bottomLeft" activeCell="D26" sqref="D26"/>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Casual User</v>
      </c>
      <c r="AC2" s="60" t="str" cm="1">
        <f t="array" ref="AC2:AC5">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Casual User</v>
      </c>
      <c r="AD2" s="20" t="str">
        <f>IF(AC2="","¬",_xlfn.LET(_xlpm.base,IFERROR(LEFT(AC2,FIND(" (",AC2)-1),AC2),IFERROR(VLOOKUP(_xlpm.base,tblManoeuvre[],2,FALSE) &amp; " " &amp; REPT("●",VLOOKUP(_xlpm.base,tblManoeuvre[],3,FALSE)) &amp; " | " &amp; AC2,AC2 &amp; " " &amp; REPT("●",VLOOKUP(_xlpm.base,$F$79:$P$120,11,FALSE)))))</f>
        <v>Casual User ●</v>
      </c>
      <c r="AE2" s="20"/>
      <c r="AF2" s="20" t="str">
        <f>IF(LEN(AC2)=0,"¬",_xlfn.LET(_xlpm.base,IFERROR(LEFT(AC2,FIND(" (",AC2)-1),AC2),IFERROR(VLOOKUP(_xlpm.base,tblMerits[],5,FALSE),IFERROR(VLOOKUP(_xlpm.base,tblManoeuvre[],9,FALSE),"¬"))))</f>
        <v>Benefits of one dot Carthian Status for social bonuses and Carthian Law effects. Once per story, call a small favour.</v>
      </c>
      <c r="AI2" s="15" t="s">
        <v>25</v>
      </c>
      <c r="AJ2" s="61">
        <f t="shared" ref="AJ2:AJ58" si="1">VLOOKUP(AI2,$E$3:$P$221,12,FALSE)</f>
        <v>0</v>
      </c>
      <c r="AK2" s="61">
        <f>IF(AJ2=0,IF(COUNTIF($E$42:$E$49,AI2)&gt;0,-3,-1),AJ2)</f>
        <v>-3</v>
      </c>
    </row>
    <row r="3" spans="1:37">
      <c r="A3" s="1" t="s">
        <v>2</v>
      </c>
      <c r="B3">
        <f ca="1">N3</f>
        <v>10</v>
      </c>
      <c r="D3" s="19"/>
      <c r="E3" s="15" t="s">
        <v>4</v>
      </c>
      <c r="F3" s="3" t="s">
        <v>787</v>
      </c>
      <c r="G3" s="18"/>
      <c r="H3" s="18"/>
      <c r="I3" s="18" t="s">
        <v>1425</v>
      </c>
      <c r="N3" s="60">
        <f ca="1">10+SUM(N4:N6)-SUM(N7)</f>
        <v>10</v>
      </c>
      <c r="Y3" s="15" t="s">
        <v>115</v>
      </c>
      <c r="Z3" s="19"/>
      <c r="AA3" s="61" t="str">
        <f t="shared" si="0"/>
        <v>Language (Spanish)</v>
      </c>
      <c r="AC3" s="60" t="str">
        <v>Fame</v>
      </c>
      <c r="AD3" s="20" t="str">
        <f>IF(AC3="","¬",_xlfn.LET(_xlpm.base,IFERROR(LEFT(AC3,FIND(" (",AC3)-1),AC3),IFERROR(VLOOKUP(_xlpm.base,tblManoeuvre[],2,FALSE) &amp; " " &amp; REPT("●",VLOOKUP(_xlpm.base,tblManoeuvre[],3,FALSE)) &amp; " | " &amp; AC3,AC3 &amp; " " &amp; REPT("●",VLOOKUP(_xlpm.base,$F$79:$P$120,11,FALSE)))))</f>
        <v>Fame ●</v>
      </c>
      <c r="AE3" s="20"/>
      <c r="AF3" s="20" t="str">
        <f>IF(LEN(AC3)=0,"¬",_xlfn.LET(_xlpm.base,IFERROR(LEFT(AC3,FIND(" (",AC3)-1),AC3),IFERROR(VLOOKUP(_xlpm.base,tblMerits[],5,FALSE),IFERROR(VLOOKUP(_xlpm.base,tblManoeuvre[],9,FALSE),"¬"))))</f>
        <v>Known: (•) locally, (••) broadly, (•••) universally. Add dots to Social rolls on impressed targets, and to rolls to find/identify you.</v>
      </c>
      <c r="AI3" s="15" t="s">
        <v>41</v>
      </c>
      <c r="AJ3" s="61">
        <f t="shared" si="1"/>
        <v>0</v>
      </c>
      <c r="AK3" s="61">
        <f>IF(AJ3=0,IF(COUNTIF($E$42:$E$49,AI3)&gt;0,-3,-1),AJ3)</f>
        <v>-1</v>
      </c>
    </row>
    <row r="4" spans="1:37">
      <c r="A4" s="1" t="s">
        <v>3</v>
      </c>
      <c r="B4">
        <f ca="1">SUM(N3:N9)</f>
        <v>26</v>
      </c>
      <c r="D4" s="19"/>
      <c r="E4" s="15" t="s">
        <v>5</v>
      </c>
      <c r="F4" s="3" t="s">
        <v>788</v>
      </c>
      <c r="G4" s="18"/>
      <c r="H4" s="18"/>
      <c r="I4" s="18" t="s">
        <v>1426</v>
      </c>
      <c r="N4" s="61">
        <f>K73*2</f>
        <v>2</v>
      </c>
      <c r="Y4" s="15" t="s">
        <v>116</v>
      </c>
      <c r="Z4" s="19"/>
      <c r="AA4" s="61" t="str">
        <f t="shared" si="0"/>
        <v>Language (German)</v>
      </c>
      <c r="AC4" s="60" t="str">
        <v>Language (German)</v>
      </c>
      <c r="AD4" s="20" t="str">
        <f>IF(AC4="","¬",_xlfn.LET(_xlpm.base,IFERROR(LEFT(AC4,FIND(" (",AC4)-1),AC4),IFERROR(VLOOKUP(_xlpm.base,tblManoeuvre[],2,FALSE) &amp; " " &amp; REPT("●",VLOOKUP(_xlpm.base,tblManoeuvre[],3,FALSE)) &amp; " | " &amp; AC4,AC4 &amp; " " &amp; REPT("●",VLOOKUP(_xlpm.base,$F$79:$P$120,11,FALSE)))))</f>
        <v>Language (German) ●</v>
      </c>
      <c r="AE4" s="20"/>
      <c r="AF4" s="20" t="str">
        <f>IF(LEN(AC4)=0,"¬",_xlfn.LET(_xlpm.base,IFERROR(LEFT(AC4,FIND(" (",AC4)-1),AC4),IFERROR(VLOOKUP(_xlpm.base,tblMerits[],5,FALSE),IFERROR(VLOOKUP(_xlpm.base,tblManoeuvre[],9,FALSE),"¬"))))</f>
        <v>Speak, read and write a chosen language.</v>
      </c>
      <c r="AI4" s="15" t="s">
        <v>236</v>
      </c>
      <c r="AJ4" s="61">
        <f t="shared" si="1"/>
        <v>0</v>
      </c>
      <c r="AK4" s="61">
        <f>AJ4</f>
        <v>0</v>
      </c>
    </row>
    <row r="5" spans="1:37">
      <c r="A5" s="1" t="s">
        <v>4</v>
      </c>
      <c r="B5" t="str">
        <f>IF(VLOOKUP(tblCharDataCyrus[[#This Row],[Field]],$E$2:$F$362,2,FALSE)="","¬",VLOOKUP(tblCharDataCyrus[[#This Row],[Field]],$E$2:$F$362,2,FALSE))</f>
        <v>Bill C</v>
      </c>
      <c r="D5" s="19"/>
      <c r="E5" s="15" t="s">
        <v>6</v>
      </c>
      <c r="F5" s="59" t="s">
        <v>789</v>
      </c>
      <c r="G5" s="18"/>
      <c r="H5" s="18"/>
      <c r="I5" s="18" t="s">
        <v>1427</v>
      </c>
      <c r="N5" s="61">
        <f>N16</f>
        <v>3</v>
      </c>
      <c r="Y5" s="15" t="s">
        <v>117</v>
      </c>
      <c r="Z5" s="19"/>
      <c r="AA5" s="61" t="str">
        <f t="shared" si="0"/>
        <v>Fame</v>
      </c>
      <c r="AC5" s="60" t="str">
        <v>Language (Spanish)</v>
      </c>
      <c r="AD5" s="20" t="str">
        <f>IF(AC5="","¬",_xlfn.LET(_xlpm.base,IFERROR(LEFT(AC5,FIND(" (",AC5)-1),AC5),IFERROR(VLOOKUP(_xlpm.base,tblManoeuvre[],2,FALSE) &amp; " " &amp; REPT("●",VLOOKUP(_xlpm.base,tblManoeuvre[],3,FALSE)) &amp; " | " &amp; AC5,AC5 &amp; " " &amp; REPT("●",VLOOKUP(_xlpm.base,$F$79:$P$120,11,FALSE)))))</f>
        <v>Language (Spanish) ●</v>
      </c>
      <c r="AE5" s="20"/>
      <c r="AF5" s="20" t="str">
        <f>IF(LEN(AC5)=0,"¬",_xlfn.LET(_xlpm.base,IFERROR(LEFT(AC5,FIND(" (",AC5)-1),AC5),IFERROR(VLOOKUP(_xlpm.base,tblMerits[],5,FALSE),IFERROR(VLOOKUP(_xlpm.base,tblManoeuvre[],9,FALSE),"¬"))))</f>
        <v>Speak, read and write a chosen language.</v>
      </c>
      <c r="AI5" s="15" t="s">
        <v>33</v>
      </c>
      <c r="AJ5" s="61">
        <f t="shared" si="1"/>
        <v>3</v>
      </c>
      <c r="AK5" s="61">
        <f>IF(AJ5=0,IF(COUNTIF($E$42:$E$49,AI5)&gt;0,-3,-1),AJ5)</f>
        <v>3</v>
      </c>
    </row>
    <row r="6" spans="1:37">
      <c r="A6" s="1" t="s">
        <v>5</v>
      </c>
      <c r="B6" t="str">
        <f>IF(VLOOKUP(tblCharDataCyrus[[#This Row],[Field]],$E$2:$F$362,2,FALSE)="","¬",VLOOKUP(tblCharDataCyrus[[#This Row],[Field]],$E$2:$F$362,2,FALSE))</f>
        <v>Cyrus Reynolds</v>
      </c>
      <c r="D6" s="19"/>
      <c r="E6" s="15" t="s">
        <v>7</v>
      </c>
      <c r="F6" s="3" t="s">
        <v>552</v>
      </c>
      <c r="G6" s="18"/>
      <c r="H6" s="18"/>
      <c r="I6" s="18" t="s">
        <v>1347</v>
      </c>
      <c r="N6" s="61">
        <f ca="1">N279</f>
        <v>3</v>
      </c>
      <c r="Y6" s="15" t="s">
        <v>118</v>
      </c>
      <c r="Z6" s="19"/>
      <c r="AA6" s="61" t="str">
        <f t="shared" si="0"/>
        <v/>
      </c>
      <c r="AC6" s="60"/>
      <c r="AD6" s="20" t="str">
        <f>IF(AC6="","¬",_xlfn.LET(_xlpm.base,IFERROR(LEFT(AC6,FIND(" (",AC6)-1),AC6),IFERROR(VLOOKUP(_xlpm.base,tblManoeuvre[],2,FALSE) &amp; " " &amp; REPT("●",VLOOKUP(_xlpm.base,tblManoeuvre[],3,FALSE)) &amp; " | " &amp; AC6,AC6 &amp; " " &amp; REPT("●",VLOOKUP(_xlpm.base,$F$79:$P$120,11,FALSE)))))</f>
        <v>¬</v>
      </c>
      <c r="AE6" s="20"/>
      <c r="AF6" s="20" t="str">
        <f>IF(LEN(AC6)=0,"¬",_xlfn.LET(_xlpm.base,IFERROR(LEFT(AC6,FIND(" (",AC6)-1),AC6),IFERROR(VLOOKUP(_xlpm.base,tblMerits[],5,FALSE),IFERROR(VLOOKUP(_xlpm.base,tblManoeuvre[],9,FALSE),"¬"))))</f>
        <v>¬</v>
      </c>
      <c r="AI6" s="15" t="s">
        <v>237</v>
      </c>
      <c r="AJ6" s="61">
        <f t="shared" si="1"/>
        <v>0</v>
      </c>
      <c r="AK6" s="61">
        <f>AJ6</f>
        <v>0</v>
      </c>
    </row>
    <row r="7" spans="1:37">
      <c r="A7" s="1" t="s">
        <v>6</v>
      </c>
      <c r="B7" t="str">
        <f>IF(VLOOKUP(tblCharDataCyrus[[#This Row],[Field]],$E$2:$F$362,2,FALSE)="","¬",VLOOKUP(tblCharDataCyrus[[#This Row],[Field]],$E$2:$F$362,2,FALSE))</f>
        <v xml:space="preserve">Globetrotting DJ </v>
      </c>
      <c r="D7" s="19" t="str">
        <f>VLOOKUP(F7,tblClans[],3,FALSE)</f>
        <v>Manipulation</v>
      </c>
      <c r="E7" s="15" t="s">
        <v>8</v>
      </c>
      <c r="F7" s="3" t="s">
        <v>790</v>
      </c>
      <c r="G7" s="18"/>
      <c r="H7" s="18"/>
      <c r="I7" s="18"/>
      <c r="N7" s="60">
        <f>SUM(N8:N12)</f>
        <v>8</v>
      </c>
      <c r="Y7" s="15" t="s">
        <v>119</v>
      </c>
      <c r="Z7" s="19"/>
      <c r="AA7" s="61" t="str">
        <f t="shared" si="0"/>
        <v/>
      </c>
      <c r="AC7" s="60"/>
      <c r="AD7" s="20" t="str">
        <f>IF(AC7="","¬",_xlfn.LET(_xlpm.base,IFERROR(LEFT(AC7,FIND(" (",AC7)-1),AC7),IFERROR(VLOOKUP(_xlpm.base,tblManoeuvre[],2,FALSE) &amp; " " &amp; REPT("●",VLOOKUP(_xlpm.base,tblManoeuvre[],3,FALSE)) &amp; " | " &amp; AC7,AC7 &amp; " " &amp; REPT("●",VLOOKUP(_xlpm.base,$F$79:$P$120,11,FALSE)))))</f>
        <v>¬</v>
      </c>
      <c r="AE7" s="20"/>
      <c r="AF7" s="20" t="str">
        <f>IF(LEN(AC7)=0,"¬",_xlfn.LET(_xlpm.base,IFERROR(LEFT(AC7,FIND(" (",AC7)-1),AC7),IFERROR(VLOOKUP(_xlpm.base,tblMerits[],5,FALSE),IFERROR(VLOOKUP(_xlpm.base,tblManoeuvre[],9,FALSE),"¬"))))</f>
        <v>¬</v>
      </c>
      <c r="AI7" s="15" t="s">
        <v>49</v>
      </c>
      <c r="AJ7" s="61">
        <f t="shared" si="1"/>
        <v>1</v>
      </c>
      <c r="AK7" s="61">
        <f>AJ7</f>
        <v>1</v>
      </c>
    </row>
    <row r="8" spans="1:37">
      <c r="A8" s="1" t="s">
        <v>7</v>
      </c>
      <c r="B8" t="str">
        <f>IF(VLOOKUP(tblCharDataCyrus[[#This Row],[Field]],$E$2:$F$362,2,FALSE)="","¬",LOWER(VLOOKUP(tblCharDataCyrus[[#This Row],[Field]],$E$2:$F$362,2,FALSE)))</f>
        <v>he/him</v>
      </c>
      <c r="D8" s="19" t="str">
        <f>VLOOKUP(F7,tblClans[],2,FALSE)</f>
        <v>Dexterity</v>
      </c>
      <c r="E8" s="15" t="s">
        <v>10</v>
      </c>
      <c r="F8" s="3"/>
      <c r="G8" s="61" t="str">
        <f>IFERROR(IF(OR(AND(VLOOKUP(F8,tblBloodlines[],2,FALSE)="",VLOOKUP(F8,tblBloodlines[],3,FALSE)="",VLOOKUP(F8,tblBloodlines[],4,FALSE)=""),AND(VLOOKUP(F8,tblBloodlines[],2,FALSE)="",VLOOKUP(F8,tblBloodlines[],3,FALSE)="",F9=VLOOKUP(F8,tblBloodlines[],4,FALSE)),F7=VLOOKUP(F8,tblBloodlines[],2,FALSE),F7=VLOOKUP(F8,tblBloodlines[],3,FALSE)),TRUE,FALSE),"")</f>
        <v/>
      </c>
      <c r="H8" s="18"/>
      <c r="I8" s="18" t="s">
        <v>1428</v>
      </c>
      <c r="N8" s="61">
        <f>N23</f>
        <v>0</v>
      </c>
      <c r="O8" s="65">
        <f>N8/SUM(N$7:N$12)</f>
        <v>0</v>
      </c>
      <c r="P8" s="66"/>
      <c r="Y8" s="15" t="s">
        <v>120</v>
      </c>
      <c r="Z8" s="19"/>
      <c r="AA8" s="61" t="str">
        <f t="shared" si="0"/>
        <v/>
      </c>
      <c r="AC8" s="60"/>
      <c r="AD8" s="20" t="str">
        <f>IF(AC8="","¬",_xlfn.LET(_xlpm.base,IFERROR(LEFT(AC8,FIND(" (",AC8)-1),AC8),IFERROR(VLOOKUP(_xlpm.base,tblManoeuvre[],2,FALSE) &amp; " " &amp; REPT("●",VLOOKUP(_xlpm.base,tblManoeuvre[],3,FALSE)) &amp; " | " &amp; AC8,AC8 &amp; " " &amp; REPT("●",VLOOKUP(_xlpm.base,$F$79:$P$120,11,FALSE)))))</f>
        <v>¬</v>
      </c>
      <c r="AE8" s="20"/>
      <c r="AF8" s="20" t="str">
        <f>IF(LEN(AC8)=0,"¬",_xlfn.LET(_xlpm.base,IFERROR(LEFT(AC8,FIND(" (",AC8)-1),AC8),IFERROR(VLOOKUP(_xlpm.base,tblMerits[],5,FALSE),IFERROR(VLOOKUP(_xlpm.base,tblManoeuvre[],9,FALSE),"¬"))))</f>
        <v>¬</v>
      </c>
      <c r="AI8" s="15" t="s">
        <v>34</v>
      </c>
      <c r="AJ8" s="61">
        <f t="shared" si="1"/>
        <v>2</v>
      </c>
      <c r="AK8" s="61">
        <f>IF(AJ8=0,IF(COUNTIF($E$42:$E$49,AI8)&gt;0,-3,-1),AJ8)</f>
        <v>2</v>
      </c>
    </row>
    <row r="9" spans="1:37">
      <c r="A9" s="1" t="s">
        <v>8</v>
      </c>
      <c r="B9" t="str">
        <f>IF(VLOOKUP(tblCharDataCyrus[[#This Row],[Field]],$E$2:$F$362,2,FALSE)="","¬",VLOOKUP(tblCharDataCyrus[[#This Row],[Field]],$E$2:$F$362,2,FALSE))</f>
        <v>Daeva</v>
      </c>
      <c r="D9" s="19"/>
      <c r="E9" s="15" t="s">
        <v>11</v>
      </c>
      <c r="F9" s="3" t="s">
        <v>373</v>
      </c>
      <c r="G9" s="18"/>
      <c r="H9" s="18"/>
      <c r="I9" s="18" t="s">
        <v>1429</v>
      </c>
      <c r="N9" s="61">
        <f>N40+T40</f>
        <v>0</v>
      </c>
      <c r="O9" s="65">
        <f>N9/SUM(N$7:N$12)</f>
        <v>0</v>
      </c>
      <c r="P9" s="66"/>
      <c r="Y9" s="15" t="s">
        <v>121</v>
      </c>
      <c r="Z9" s="19"/>
      <c r="AA9" s="61" t="str">
        <f t="shared" si="0"/>
        <v/>
      </c>
      <c r="AC9" s="60"/>
      <c r="AD9" s="20" t="str">
        <f>IF(AC9="","¬",_xlfn.LET(_xlpm.base,IFERROR(LEFT(AC9,FIND(" (",AC9)-1),AC9),IFERROR(VLOOKUP(_xlpm.base,tblManoeuvre[],2,FALSE) &amp; " " &amp; REPT("●",VLOOKUP(_xlpm.base,tblManoeuvre[],3,FALSE)) &amp; " | " &amp; AC9,AC9 &amp; " " &amp; REPT("●",VLOOKUP(_xlpm.base,$F$79:$P$120,11,FALSE)))))</f>
        <v>¬</v>
      </c>
      <c r="AE9" s="20"/>
      <c r="AF9" s="20" t="str">
        <f>IF(LEN(AC9)=0,"¬",_xlfn.LET(_xlpm.base,IFERROR(LEFT(AC9,FIND(" (",AC9)-1),AC9),IFERROR(VLOOKUP(_xlpm.base,tblMerits[],5,FALSE),IFERROR(VLOOKUP(_xlpm.base,tblManoeuvre[],9,FALSE),"¬"))))</f>
        <v>¬</v>
      </c>
      <c r="AI9" s="15" t="s">
        <v>238</v>
      </c>
      <c r="AJ9" s="61">
        <f t="shared" si="1"/>
        <v>1</v>
      </c>
      <c r="AK9" s="61">
        <f>AJ9</f>
        <v>1</v>
      </c>
    </row>
    <row r="10" spans="1:37">
      <c r="A10" s="1" t="s">
        <v>9</v>
      </c>
      <c r="B10" t="str">
        <f>CONCATENATE(Elements,B9," icon.svg")</f>
        <v>D:\Terra Mortis\Character Sheets\Sheet Elements\Daeva icon.svg</v>
      </c>
      <c r="D10" s="19"/>
      <c r="E10" s="15" t="s">
        <v>13</v>
      </c>
      <c r="F10" s="3" t="s">
        <v>792</v>
      </c>
      <c r="G10" s="18"/>
      <c r="H10" s="18"/>
      <c r="I10" s="18" t="s">
        <v>1430</v>
      </c>
      <c r="N10" s="61">
        <f>N77</f>
        <v>5</v>
      </c>
      <c r="O10" s="65">
        <f>N10/SUM(N$7:N$12)</f>
        <v>0.3125</v>
      </c>
      <c r="P10" s="66"/>
      <c r="Y10" s="15" t="s">
        <v>122</v>
      </c>
      <c r="Z10" s="19"/>
      <c r="AA10" s="61" t="str">
        <f t="shared" si="0"/>
        <v/>
      </c>
      <c r="AC10" s="60"/>
      <c r="AD10" s="20" t="str">
        <f>IF(AC10="","¬",_xlfn.LET(_xlpm.base,IFERROR(LEFT(AC10,FIND(" (",AC10)-1),AC10),IFERROR(VLOOKUP(_xlpm.base,tblManoeuvre[],2,FALSE) &amp; " " &amp; REPT("●",VLOOKUP(_xlpm.base,tblManoeuvre[],3,FALSE)) &amp; " | " &amp; AC10,AC10 &amp; " " &amp; REPT("●",VLOOKUP(_xlpm.base,$F$79:$P$120,11,FALSE)))))</f>
        <v>¬</v>
      </c>
      <c r="AE10" s="20"/>
      <c r="AF10" s="20" t="str">
        <f>IF(LEN(AC10)=0,"¬",_xlfn.LET(_xlpm.base,IFERROR(LEFT(AC10,FIND(" (",AC10)-1),AC10),IFERROR(VLOOKUP(_xlpm.base,tblMerits[],5,FALSE),IFERROR(VLOOKUP(_xlpm.base,tblManoeuvre[],9,FALSE),"¬"))))</f>
        <v>¬</v>
      </c>
      <c r="AI10" s="15" t="s">
        <v>24</v>
      </c>
      <c r="AJ10" s="61">
        <f t="shared" si="1"/>
        <v>3</v>
      </c>
      <c r="AK10" s="61">
        <f>AJ10+IFERROR(INDEX($V$26:$V$38,MATCH(AI10,$E$26:$E$38,0)),0)</f>
        <v>3</v>
      </c>
    </row>
    <row r="11" spans="1:37">
      <c r="A11" s="1" t="s">
        <v>10</v>
      </c>
      <c r="B11" t="str">
        <f>IF(VLOOKUP(tblCharDataCyrus[[#This Row],[Field]],$E$2:$F$362,2,FALSE)="","¬",VLOOKUP(tblCharDataCyrus[[#This Row],[Field]],$E$2:$F$362,2,FALSE))</f>
        <v>¬</v>
      </c>
      <c r="D11" s="19"/>
      <c r="E11" s="15" t="s">
        <v>14</v>
      </c>
      <c r="F11" s="3" t="s">
        <v>793</v>
      </c>
      <c r="G11" s="18"/>
      <c r="H11" s="18"/>
      <c r="I11" s="18" t="s">
        <v>1431</v>
      </c>
      <c r="N11" s="61">
        <f>N163</f>
        <v>3</v>
      </c>
      <c r="O11" s="65">
        <f>N11/SUM(N$7:N$12)</f>
        <v>0.1875</v>
      </c>
      <c r="P11" s="66"/>
      <c r="Y11" s="15" t="s">
        <v>123</v>
      </c>
      <c r="Z11" s="19"/>
      <c r="AA11" s="61" t="str">
        <f t="shared" si="0"/>
        <v/>
      </c>
      <c r="AC11" s="60"/>
      <c r="AD11" s="20" t="str">
        <f>IF(AC11="","¬",_xlfn.LET(_xlpm.base,IFERROR(LEFT(AC11,FIND(" (",AC11)-1),AC11),IFERROR(VLOOKUP(_xlpm.base,tblManoeuvre[],2,FALSE) &amp; " " &amp; REPT("●",VLOOKUP(_xlpm.base,tblManoeuvre[],3,FALSE)) &amp; " | " &amp; AC11,AC11 &amp; " " &amp; REPT("●",VLOOKUP(_xlpm.base,$F$79:$P$120,11,FALSE)))))</f>
        <v>¬</v>
      </c>
      <c r="AE11" s="20"/>
      <c r="AF11" s="20" t="str">
        <f>IF(LEN(AC11)=0,"¬",_xlfn.LET(_xlpm.base,IFERROR(LEFT(AC11,FIND(" (",AC11)-1),AC11),IFERROR(VLOOKUP(_xlpm.base,tblMerits[],5,FALSE),IFERROR(VLOOKUP(_xlpm.base,tblManoeuvre[],9,FALSE),"¬"))))</f>
        <v>¬</v>
      </c>
      <c r="AI11" s="15" t="s">
        <v>26</v>
      </c>
      <c r="AJ11" s="61">
        <f t="shared" si="1"/>
        <v>2</v>
      </c>
      <c r="AK11" s="61">
        <f>IF(AJ11=0,IF(COUNTIF($E$42:$E$49,AI11)&gt;0,-3,-1),AJ11)</f>
        <v>2</v>
      </c>
    </row>
    <row r="12" spans="1:37">
      <c r="A12" s="1" t="s">
        <v>11</v>
      </c>
      <c r="B12" t="str">
        <f>IF(VLOOKUP(tblCharDataCyrus[[#This Row],[Field]],$E$2:$F$362,2,FALSE)="","¬",VLOOKUP(tblCharDataCyrus[[#This Row],[Field]],$E$2:$F$362,2,FALSE))</f>
        <v>Circle of the Crone</v>
      </c>
      <c r="D12" s="19"/>
      <c r="E12" s="15" t="s">
        <v>15</v>
      </c>
      <c r="F12" s="3"/>
      <c r="G12" s="3"/>
      <c r="H12" s="18"/>
      <c r="I12" s="18" t="s">
        <v>1432</v>
      </c>
      <c r="N12" s="61">
        <f>N71</f>
        <v>0</v>
      </c>
      <c r="O12" s="65">
        <f>N12/SUM(N$7:N$12)</f>
        <v>0</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0</v>
      </c>
      <c r="AK12" s="61">
        <f>IF(AJ12=0,IF(COUNTIF($E$42:$E$49,AI12)&gt;0,-3,-1),AJ12)</f>
        <v>-3</v>
      </c>
    </row>
    <row r="13" spans="1:37">
      <c r="A13" s="1" t="s">
        <v>12</v>
      </c>
      <c r="B13" t="str">
        <f>_xlfn.IFNA(CONCATENATE(Elements,VLOOKUP(B12,tblCovenantShortName[#Data],2,FALSE)," icon.svg"),"")</f>
        <v>D:\Terra Mortis\Character Sheets\Sheet Elements\Crone icon.svg</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1</v>
      </c>
      <c r="AK13" s="61">
        <f t="shared" ref="AK13:AK19" si="2">AJ13</f>
        <v>1</v>
      </c>
    </row>
    <row r="14" spans="1:37">
      <c r="A14" s="1" t="s">
        <v>13</v>
      </c>
      <c r="B14" t="str">
        <f>IF(VLOOKUP(tblCharDataCyrus[[#This Row],[Field]],$E$2:$F$362,2,FALSE)="","¬",VLOOKUP(tblCharDataCyrus[[#This Row],[Field]],$E$2:$F$362,2,FALSE))</f>
        <v>Courtesan</v>
      </c>
      <c r="D14" s="19"/>
      <c r="E14" s="15" t="s">
        <v>1433</v>
      </c>
      <c r="F14" s="28">
        <v>33607</v>
      </c>
      <c r="G14" s="3" t="s">
        <v>634</v>
      </c>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1</v>
      </c>
      <c r="AK14" s="61">
        <f t="shared" si="2"/>
        <v>1</v>
      </c>
    </row>
    <row r="15" spans="1:37">
      <c r="A15" s="1" t="s">
        <v>14</v>
      </c>
      <c r="B15" t="str">
        <f>IF(VLOOKUP(tblCharDataCyrus[[#This Row],[Field]],$E$2:$F$362,2,FALSE)="","¬",VLOOKUP(tblCharDataCyrus[[#This Row],[Field]],$E$2:$F$362,2,FALSE))</f>
        <v>Social Chameleon</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6</v>
      </c>
      <c r="AK15" s="61">
        <f t="shared" ca="1" si="2"/>
        <v>6</v>
      </c>
    </row>
    <row r="16" spans="1:37" ht="15.75" thickBot="1">
      <c r="A16" s="1" t="s">
        <v>15</v>
      </c>
      <c r="B16" t="str">
        <f ca="1">_xlfn.LET(_xlpm.a,VLOOKUP(tblCharDataCyrus[[#This Row],[Field]],$E$2:$F$362,2,FALSE),_xlpm.b,VLOOKUP(OFFSET(tblCharDataCyrus[[#This Row],[Field]],1,0),$E$2:$F$362,2,FALSE),IF(AND(_xlpm.a&lt;&gt;"",_xlpm.b&lt;&gt;""),_xlpm.a&amp;" &amp; "&amp;_xlpm.b,IF(_xlpm.a&lt;&gt;"",_xlpm.a,IF(_xlpm.b&lt;&gt;"",_xlpm.b,"¬"))))</f>
        <v>¬</v>
      </c>
      <c r="D16" s="14" t="s">
        <v>1427</v>
      </c>
      <c r="E16" s="14"/>
      <c r="F16" s="14"/>
      <c r="G16" s="14"/>
      <c r="H16" s="14"/>
      <c r="I16" s="14"/>
      <c r="N16" s="60">
        <f>SUM(N17:N21)</f>
        <v>3</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REPT("●",IFERROR(INDEX($P$26:$P$38,MATCH(tblCharDataCyrus[[#This Row],[Field]],$E$26:$E$38,0)),0))&amp;REPT("○",IFERROR(INDEX($V$26:$V$38,MATCH(tblCharDataCyrus[[#This Row],[Field]],$E$26:$E$38,0)),0))</f>
        <v>●●</v>
      </c>
      <c r="D17" s="19"/>
      <c r="E17" s="15" t="s">
        <v>1435</v>
      </c>
      <c r="F17" s="3" t="b">
        <v>1</v>
      </c>
      <c r="G17" s="19"/>
      <c r="H17" s="19"/>
      <c r="I17" s="19"/>
      <c r="N17" s="61">
        <f>IF(F17=TRUE,3,0)</f>
        <v>3</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3</v>
      </c>
      <c r="AK17" s="61">
        <f>AJ17+IFERROR(INDEX($V$26:$V$38,MATCH(AI17,$E$26:$E$38,0)),0)</f>
        <v>3</v>
      </c>
    </row>
    <row r="18" spans="1:37">
      <c r="A18" s="1" t="s">
        <v>17</v>
      </c>
      <c r="B18" t="str">
        <f>REPT("●",IFERROR(INDEX($P$26:$P$38,MATCH(tblCharDataCyrus[[#This Row],[Field]],$E$26:$E$38,0)),0))&amp;REPT("○",IFERROR(INDEX($V$26:$V$38,MATCH(tblCharDataCyrus[[#This Row],[Field]],$E$26:$E$38,0)),0))</f>
        <v>●●●</v>
      </c>
      <c r="D18" s="19"/>
      <c r="E18" s="15" t="s">
        <v>1436</v>
      </c>
      <c r="F18" s="3"/>
      <c r="G18" s="19"/>
      <c r="H18" s="19"/>
      <c r="I18" s="19"/>
      <c r="N18" s="61">
        <f>IF(F18=TRUE,3,0)</f>
        <v>0</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1</v>
      </c>
      <c r="AK18" s="61">
        <f t="shared" si="2"/>
        <v>1</v>
      </c>
    </row>
    <row r="19" spans="1:37">
      <c r="A19" s="1" t="s">
        <v>18</v>
      </c>
      <c r="B19" t="str">
        <f>REPT("●",IFERROR(INDEX($P$26:$P$38,MATCH(tblCharDataCyrus[[#This Row],[Field]],$E$26:$E$38,0)),0))&amp;REPT("○",IFERROR(INDEX($V$26:$V$38,MATCH(tblCharDataCyrus[[#This Row],[Field]],$E$26:$E$38,0)),0))</f>
        <v>●●</v>
      </c>
      <c r="D19" s="19"/>
      <c r="E19" s="15" t="s">
        <v>1437</v>
      </c>
      <c r="F19" s="3"/>
      <c r="G19" s="19"/>
      <c r="H19" s="19"/>
      <c r="I19" s="19"/>
      <c r="N19" s="61">
        <f>IF(F19=TRUE,3,0)</f>
        <v>0</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0</v>
      </c>
      <c r="AK19" s="61">
        <f t="shared" si="2"/>
        <v>0</v>
      </c>
    </row>
    <row r="20" spans="1:37">
      <c r="A20" s="1" t="s">
        <v>19</v>
      </c>
      <c r="B20" t="str">
        <f>REPT("●",IFERROR(INDEX($P$26:$P$38,MATCH(tblCharDataCyrus[[#This Row],[Field]],$E$26:$E$38,0)),0))&amp;REPT("○",IFERROR(INDEX($V$26:$V$38,MATCH(tblCharDataCyrus[[#This Row],[Field]],$E$26:$E$38,0)),0))</f>
        <v>●●</v>
      </c>
      <c r="D20" s="19"/>
      <c r="E20" s="15" t="s">
        <v>1438</v>
      </c>
      <c r="F20" s="3"/>
      <c r="G20" s="19"/>
      <c r="H20" s="19"/>
      <c r="I20" s="19"/>
      <c r="N20" s="61">
        <f>IF(F20=TRUE,3,0)</f>
        <v>0</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REPT("●",IFERROR(INDEX($P$26:$P$38,MATCH(tblCharDataCyrus[[#This Row],[Field]],$E$26:$E$38,0)),0))&amp;REPT("○",IFERROR(INDEX($V$26:$V$38,MATCH(tblCharDataCyrus[[#This Row],[Field]],$E$26:$E$38,0)),0))</f>
        <v>●●●</v>
      </c>
      <c r="D21" s="19"/>
      <c r="E21" s="15" t="s">
        <v>11</v>
      </c>
      <c r="F21" s="3"/>
      <c r="G21" s="19"/>
      <c r="H21" s="19"/>
      <c r="I21" s="19"/>
      <c r="N21" s="61">
        <f>IF(F21=TRUE,3,0)</f>
        <v>0</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3</v>
      </c>
      <c r="AK21" s="61">
        <f>IF(AJ21=0,IF(COUNTIF($E$42:$E$49,AI21)&gt;0,-3,-1),AJ21)</f>
        <v>3</v>
      </c>
    </row>
    <row r="22" spans="1:37">
      <c r="A22" s="1" t="s">
        <v>21</v>
      </c>
      <c r="B22" t="str">
        <f>REPT("●",IFERROR(INDEX($P$26:$P$38,MATCH(tblCharDataCyrus[[#This Row],[Field]],$E$26:$E$38,0)),0))&amp;REPT("○",IFERROR(INDEX($V$26:$V$38,MATCH(tblCharDataCyrus[[#This Row],[Field]],$E$26:$E$38,0)),0))</f>
        <v>●●</v>
      </c>
      <c r="Y22" s="15" t="s">
        <v>1439</v>
      </c>
      <c r="Z22" s="61" t="str">
        <f>IFERROR(VLOOKUP(AA22,tblManoeuvre[],2,FALSE),"")</f>
        <v/>
      </c>
      <c r="AA22" s="61" t="str">
        <f t="shared" ref="AA22:AA41" si="3">_xlfn.LET(_xlpm.name,VLOOKUP(Y22,$E$2:$F$362,2,FALSE),_xlpm.paid,_xlfn.IFNA(VLOOKUP(_xlpm.name,$F$79:$Q$120,11,FALSE)&gt;=VLOOKUP(_xlpm.name,$F$79:$Q$120,12,FALSE),FALSE),IF(AND(_xlpm.name&lt;&gt;"",_xlpm.paid),_xlpm.name,""))</f>
        <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3</v>
      </c>
      <c r="AK22" s="61">
        <f>IF(AJ22=0,IF(COUNTIF($E$42:$E$49,AI22)&gt;0,-3,-1),AJ22)</f>
        <v>3</v>
      </c>
    </row>
    <row r="23" spans="1:37" ht="15.75" thickBot="1">
      <c r="A23" s="1" t="s">
        <v>22</v>
      </c>
      <c r="B23" t="str">
        <f>REPT("●",IFERROR(INDEX($P$26:$P$38,MATCH(tblCharDataCyrus[[#This Row],[Field]],$E$26:$E$38,0)),0))&amp;REPT("○",IFERROR(INDEX($V$26:$V$38,MATCH(tblCharDataCyrus[[#This Row],[Field]],$E$26:$E$38,0)),0))</f>
        <v>●●●</v>
      </c>
      <c r="D23" s="14" t="s">
        <v>1440</v>
      </c>
      <c r="E23" s="14"/>
      <c r="F23" s="14"/>
      <c r="G23" s="14"/>
      <c r="H23" s="14"/>
      <c r="I23" s="14"/>
      <c r="N23" s="60">
        <f>SUM(N26:N28,N31:N33,N36:N38)</f>
        <v>0</v>
      </c>
      <c r="Y23" s="15" t="s">
        <v>1441</v>
      </c>
      <c r="Z23" s="61" t="str">
        <f>IFERROR(VLOOKUP(AA23,tblManoeuvre[],2,FALSE),"")</f>
        <v/>
      </c>
      <c r="AA23" s="61" t="str">
        <f t="shared" si="3"/>
        <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1</v>
      </c>
      <c r="AK23" s="61">
        <f>IF(AJ23=0,VLOOKUP(AI23,$E$42:$Q$69,13,FALSE),AJ23)</f>
        <v>1</v>
      </c>
    </row>
    <row r="24" spans="1:37">
      <c r="A24" s="1" t="s">
        <v>23</v>
      </c>
      <c r="B24" t="str">
        <f>REPT("●",IFERROR(INDEX($P$26:$P$38,MATCH(tblCharDataCyrus[[#This Row],[Field]],$E$26:$E$38,0)),0))&amp;REPT("○",IFERROR(INDEX($V$26:$V$38,MATCH(tblCharDataCyrus[[#This Row],[Field]],$E$26:$E$38,0)),0))</f>
        <v>●●</v>
      </c>
      <c r="E24" s="15" t="s">
        <v>1442</v>
      </c>
      <c r="F24" s="3" t="s">
        <v>20</v>
      </c>
      <c r="Y24" s="15" t="s">
        <v>1443</v>
      </c>
      <c r="Z24" s="61" t="str">
        <f>IFERROR(VLOOKUP(AA24,tblManoeuvre[],2,FALSE),"")</f>
        <v/>
      </c>
      <c r="AA24" s="61" t="str">
        <f t="shared" si="3"/>
        <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7</v>
      </c>
      <c r="AK24" s="61">
        <f ca="1">AJ24</f>
        <v>7</v>
      </c>
    </row>
    <row r="25" spans="1:37">
      <c r="A25" s="1" t="s">
        <v>24</v>
      </c>
      <c r="B25" t="str">
        <f>REPT("●",IFERROR(INDEX($P$26:$P$38,MATCH(tblCharDataCyrus[[#This Row],[Field]],$E$26:$E$38,0)),0))&amp;REPT("○",IFERROR(INDEX($V$26:$V$38,MATCH(tblCharDataCyrus[[#This Row],[Field]],$E$26:$E$38,0)),0))</f>
        <v>●●●</v>
      </c>
      <c r="D25" s="16" t="s">
        <v>1444</v>
      </c>
      <c r="E25" s="17"/>
      <c r="F25" s="17"/>
      <c r="G25" s="17" t="s">
        <v>1445</v>
      </c>
      <c r="H25" s="16" t="s">
        <v>1446</v>
      </c>
      <c r="I25" s="3" t="s">
        <v>1567</v>
      </c>
      <c r="L25" s="60">
        <f>IF(I25="",0,VLOOKUP(I25,tblPriority[#Data],2,FALSE))-SUM(L26:L28)</f>
        <v>0</v>
      </c>
      <c r="Y25" s="15" t="s">
        <v>1447</v>
      </c>
      <c r="Z25" s="61" t="str">
        <f>IFERROR(VLOOKUP(AA25,tblManoeuvre[],2,FALSE),"")</f>
        <v/>
      </c>
      <c r="AA25" s="61" t="str">
        <f t="shared" si="3"/>
        <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6</v>
      </c>
      <c r="AK25" s="61">
        <f>AJ25</f>
        <v>6</v>
      </c>
    </row>
    <row r="26" spans="1:37">
      <c r="A26" s="1" t="s">
        <v>25</v>
      </c>
      <c r="B26" t="str">
        <f>REPT("●",IFERROR(INDEX($P$42:$P$69,MATCH(tblCharDataCyrus[[#This Row],[Field]],$E$42:$E$69,0)),0))&amp;REPT("○",IFERROR(INDEX($V$42:$V$69,MATCH(tblCharDataCyrus[[#This Row],[Field]],$E$42:$E$69,0)),0))&amp;IF(IFERROR(INDEX($W$42:$W$69,MATCH(tblCharDataCyrus[[#This Row],[Field]],$E$42:$E$69,0)),0)=1,"†","")</f>
        <v/>
      </c>
      <c r="D26" s="18"/>
      <c r="E26" s="15" t="s">
        <v>16</v>
      </c>
      <c r="F26" s="18"/>
      <c r="G26" s="3"/>
      <c r="H26" s="18"/>
      <c r="I26" s="18"/>
      <c r="L26" s="3">
        <v>1</v>
      </c>
      <c r="M26" s="60">
        <f>IF(E26=$F$24,2,1)</f>
        <v>1</v>
      </c>
      <c r="N26" s="3"/>
      <c r="O26" s="61">
        <f>ROUNDDOWN(N26/4,0)</f>
        <v>0</v>
      </c>
      <c r="P26" s="60">
        <f>MIN(SUM(L26,M26,O26),R26)</f>
        <v>2</v>
      </c>
      <c r="R26" s="61">
        <v>5</v>
      </c>
      <c r="U26" s="4"/>
      <c r="V26" s="61">
        <f>U26</f>
        <v>0</v>
      </c>
      <c r="Y26" s="15" t="s">
        <v>1449</v>
      </c>
      <c r="Z26" s="61" t="str">
        <f>IFERROR(VLOOKUP(AA26,tblManoeuvre[],2,FALSE),"")</f>
        <v/>
      </c>
      <c r="AA26" s="61" t="str">
        <f t="shared" si="3"/>
        <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2</v>
      </c>
      <c r="AK26" s="61">
        <f>AJ26+IFERROR(INDEX($V$26:$V$38,MATCH(AI26,$E$26:$E$38,0)),0)</f>
        <v>2</v>
      </c>
    </row>
    <row r="27" spans="1:37">
      <c r="A27" s="1" t="s">
        <v>26</v>
      </c>
      <c r="B27" t="str">
        <f>REPT("●",IFERROR(INDEX($P$42:$P$69,MATCH(tblCharDataCyrus[[#This Row],[Field]],$E$42:$E$69,0)),0))&amp;REPT("○",IFERROR(INDEX($V$42:$V$69,MATCH(tblCharDataCyrus[[#This Row],[Field]],$E$42:$E$69,0)),0))&amp;IF(IFERROR(INDEX($W$42:$W$69,MATCH(tblCharDataCyrus[[#This Row],[Field]],$E$42:$E$69,0)),0)=1,"†","")</f>
        <v>●●</v>
      </c>
      <c r="D27" s="18"/>
      <c r="E27" s="15" t="s">
        <v>17</v>
      </c>
      <c r="F27" s="18"/>
      <c r="G27" s="3"/>
      <c r="H27" s="18"/>
      <c r="I27" s="18"/>
      <c r="L27" s="3">
        <v>2</v>
      </c>
      <c r="M27" s="60">
        <f>IF(E27=$F$24,2,1)</f>
        <v>1</v>
      </c>
      <c r="N27" s="3"/>
      <c r="O27" s="61">
        <f>ROUNDDOWN(N27/4,0)</f>
        <v>0</v>
      </c>
      <c r="P27" s="60">
        <f>MIN(SUM(L27,M27,O27),R27)</f>
        <v>3</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0</v>
      </c>
      <c r="AK27" s="61">
        <f>IF(AJ27=0,IF(COUNTIF($E$42:$E$49,AI27)&gt;0,-3,-1),AJ27)</f>
        <v>-1</v>
      </c>
    </row>
    <row r="28" spans="1:37">
      <c r="A28" s="1" t="s">
        <v>27</v>
      </c>
      <c r="B28" t="str">
        <f>REPT("●",IFERROR(INDEX($P$42:$P$69,MATCH(tblCharDataCyrus[[#This Row],[Field]],$E$42:$E$69,0)),0))&amp;REPT("○",IFERROR(INDEX($V$42:$V$69,MATCH(tblCharDataCyrus[[#This Row],[Field]],$E$42:$E$69,0)),0))&amp;IF(IFERROR(INDEX($W$42:$W$69,MATCH(tblCharDataCyrus[[#This Row],[Field]],$E$42:$E$69,0)),0)=1,"†","")</f>
        <v/>
      </c>
      <c r="D28" s="18"/>
      <c r="E28" s="15" t="s">
        <v>18</v>
      </c>
      <c r="F28" s="18"/>
      <c r="G28" s="3"/>
      <c r="H28" s="18"/>
      <c r="I28" s="18"/>
      <c r="L28" s="3">
        <v>1</v>
      </c>
      <c r="M28" s="60">
        <f>IF(E28=$F$24,2,1)</f>
        <v>1</v>
      </c>
      <c r="N28" s="3"/>
      <c r="O28" s="61">
        <f>ROUNDDOWN(N28/4,0)</f>
        <v>0</v>
      </c>
      <c r="P28" s="60">
        <f>MIN(SUM(L28,M28,O28),R28)</f>
        <v>2</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0</v>
      </c>
      <c r="AK28" s="61">
        <f>IF(AJ28=0,IF(COUNTIF($E$42:$E$49,AI28)&gt;0,-3,-1),AJ28)</f>
        <v>-3</v>
      </c>
    </row>
    <row r="29" spans="1:37">
      <c r="A29" s="1" t="s">
        <v>28</v>
      </c>
      <c r="B29" t="str">
        <f>REPT("●",IFERROR(INDEX($P$42:$P$69,MATCH(tblCharDataCyrus[[#This Row],[Field]],$E$42:$E$69,0)),0))&amp;REPT("○",IFERROR(INDEX($V$42:$V$69,MATCH(tblCharDataCyrus[[#This Row],[Field]],$E$42:$E$69,0)),0))&amp;IF(IFERROR(INDEX($W$42:$W$69,MATCH(tblCharDataCyrus[[#This Row],[Field]],$E$42:$E$69,0)),0)=1,"†","")</f>
        <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0</v>
      </c>
      <c r="AK29" s="61">
        <f>IF(AJ29=0,IF(COUNTIF($E$42:$E$49,AI29)&gt;0,-3,-1),AJ29)</f>
        <v>-1</v>
      </c>
    </row>
    <row r="30" spans="1:37">
      <c r="A30" s="1" t="s">
        <v>29</v>
      </c>
      <c r="B30" t="str">
        <f>REPT("●",IFERROR(INDEX($P$42:$P$69,MATCH(tblCharDataCyrus[[#This Row],[Field]],$E$42:$E$69,0)),0))&amp;REPT("○",IFERROR(INDEX($V$42:$V$69,MATCH(tblCharDataCyrus[[#This Row],[Field]],$E$42:$E$69,0)),0))&amp;IF(IFERROR(INDEX($W$42:$W$69,MATCH(tblCharDataCyrus[[#This Row],[Field]],$E$42:$E$69,0)),0)=1,"†","")</f>
        <v/>
      </c>
      <c r="D30" s="16" t="s">
        <v>1453</v>
      </c>
      <c r="E30" s="17"/>
      <c r="F30" s="17"/>
      <c r="G30" s="17" t="s">
        <v>1445</v>
      </c>
      <c r="H30" s="16" t="s">
        <v>1446</v>
      </c>
      <c r="I30" s="3" t="s">
        <v>1566</v>
      </c>
      <c r="L30" s="60">
        <f>IF(I30="",0,VLOOKUP(I30,tblPriority[#Data],2,FALSE))-SUM(L31:L33)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2</v>
      </c>
      <c r="AK30" s="61">
        <f>AJ30</f>
        <v>2</v>
      </c>
    </row>
    <row r="31" spans="1:37">
      <c r="A31" s="1" t="s">
        <v>30</v>
      </c>
      <c r="B31" t="str">
        <f>REPT("●",IFERROR(INDEX($P$42:$P$69,MATCH(tblCharDataCyrus[[#This Row],[Field]],$E$42:$E$69,0)),0))&amp;REPT("○",IFERROR(INDEX($V$42:$V$69,MATCH(tblCharDataCyrus[[#This Row],[Field]],$E$42:$E$69,0)),0))&amp;IF(IFERROR(INDEX($W$42:$W$69,MATCH(tblCharDataCyrus[[#This Row],[Field]],$E$42:$E$69,0)),0)=1,"†","")</f>
        <v>●●</v>
      </c>
      <c r="D31" s="18"/>
      <c r="E31" s="15" t="s">
        <v>19</v>
      </c>
      <c r="F31" s="18"/>
      <c r="G31" s="3"/>
      <c r="H31" s="18"/>
      <c r="I31" s="18"/>
      <c r="L31" s="3">
        <v>1</v>
      </c>
      <c r="M31" s="60">
        <f>IF(E31=$F$24,2,1)</f>
        <v>1</v>
      </c>
      <c r="N31" s="3"/>
      <c r="O31" s="61">
        <f>ROUNDDOWN(N31/4,0)</f>
        <v>0</v>
      </c>
      <c r="P31" s="60">
        <f>MIN(SUM(L31,M31,O31),R31)</f>
        <v>2</v>
      </c>
      <c r="R31" s="61">
        <v>5</v>
      </c>
      <c r="U31" s="4"/>
      <c r="V31" s="61">
        <f>$P$174+U31</f>
        <v>0</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2</v>
      </c>
      <c r="AK31" s="61">
        <f>AJ31+IFERROR(INDEX($V$26:$V$38,MATCH(AI31,$E$26:$E$38,0)),0)</f>
        <v>2</v>
      </c>
    </row>
    <row r="32" spans="1:37">
      <c r="A32" s="1" t="s">
        <v>31</v>
      </c>
      <c r="B32" t="str">
        <f>REPT("●",IFERROR(INDEX($P$42:$P$69,MATCH(tblCharDataCyrus[[#This Row],[Field]],$E$42:$E$69,0)),0))&amp;REPT("○",IFERROR(INDEX($V$42:$V$69,MATCH(tblCharDataCyrus[[#This Row],[Field]],$E$42:$E$69,0)),0))&amp;IF(IFERROR(INDEX($W$42:$W$69,MATCH(tblCharDataCyrus[[#This Row],[Field]],$E$42:$E$69,0)),0)=1,"†","")</f>
        <v/>
      </c>
      <c r="D32" s="18"/>
      <c r="E32" s="15" t="s">
        <v>20</v>
      </c>
      <c r="F32" s="18"/>
      <c r="G32" s="3"/>
      <c r="H32" s="18"/>
      <c r="I32" s="18"/>
      <c r="L32" s="3">
        <v>1</v>
      </c>
      <c r="M32" s="60">
        <f>IF(E32=$F$24,2,1)</f>
        <v>2</v>
      </c>
      <c r="N32" s="3"/>
      <c r="O32" s="61">
        <f>ROUNDDOWN(N32/4,0)</f>
        <v>0</v>
      </c>
      <c r="P32" s="60">
        <f>MIN(SUM(L32,M32,O32),R32)</f>
        <v>3</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REPT("●",IFERROR(INDEX($P$42:$P$69,MATCH(tblCharDataCyrus[[#This Row],[Field]],$E$42:$E$69,0)),0))&amp;REPT("○",IFERROR(INDEX($V$42:$V$69,MATCH(tblCharDataCyrus[[#This Row],[Field]],$E$42:$E$69,0)),0))&amp;IF(IFERROR(INDEX($W$42:$W$69,MATCH(tblCharDataCyrus[[#This Row],[Field]],$E$42:$E$69,0)),0)=1,"†","")</f>
        <v/>
      </c>
      <c r="D33" s="18"/>
      <c r="E33" s="15" t="s">
        <v>21</v>
      </c>
      <c r="F33" s="18"/>
      <c r="G33" s="3"/>
      <c r="H33" s="18"/>
      <c r="I33" s="18"/>
      <c r="L33" s="3">
        <v>1</v>
      </c>
      <c r="M33" s="60">
        <f>IF(E33=$F$24,2,1)</f>
        <v>1</v>
      </c>
      <c r="N33" s="3"/>
      <c r="O33" s="61">
        <f>ROUNDDOWN(N33/4,0)</f>
        <v>0</v>
      </c>
      <c r="P33" s="60">
        <f>MIN(SUM(L33,M33,O33),R33)</f>
        <v>2</v>
      </c>
      <c r="R33" s="61">
        <v>5</v>
      </c>
      <c r="U33" s="4"/>
      <c r="V33" s="61">
        <f>$P$173+U33</f>
        <v>0</v>
      </c>
      <c r="Y33" s="15" t="s">
        <v>1457</v>
      </c>
      <c r="Z33" s="61" t="str">
        <f>IFERROR(VLOOKUP(AA33,tblManoeuvre[],2,FALSE),"")</f>
        <v/>
      </c>
      <c r="AA33" s="61" t="str">
        <f t="shared" si="3"/>
        <v/>
      </c>
      <c r="AI33" s="15" t="s">
        <v>241</v>
      </c>
      <c r="AJ33" s="61">
        <f t="shared" si="1"/>
        <v>0</v>
      </c>
      <c r="AK33" s="61">
        <f>AJ33</f>
        <v>0</v>
      </c>
    </row>
    <row r="34" spans="1:37">
      <c r="A34" s="1" t="s">
        <v>33</v>
      </c>
      <c r="B34" t="str">
        <f>REPT("●",IFERROR(INDEX($P$42:$P$69,MATCH(tblCharDataCyrus[[#This Row],[Field]],$E$42:$E$69,0)),0))&amp;REPT("○",IFERROR(INDEX($V$42:$V$69,MATCH(tblCharDataCyrus[[#This Row],[Field]],$E$42:$E$69,0)),0))&amp;IF(IFERROR(INDEX($W$42:$W$69,MATCH(tblCharDataCyrus[[#This Row],[Field]],$E$42:$E$69,0)),0)=1,"†","")</f>
        <v>●●●</v>
      </c>
      <c r="Y34" s="15" t="s">
        <v>1458</v>
      </c>
      <c r="Z34" s="61" t="str">
        <f>IFERROR(VLOOKUP(AA34,tblManoeuvre[],2,FALSE),"")</f>
        <v/>
      </c>
      <c r="AA34" s="61" t="str">
        <f t="shared" si="3"/>
        <v/>
      </c>
      <c r="AI34" s="15" t="s">
        <v>242</v>
      </c>
      <c r="AJ34" s="61">
        <f t="shared" si="1"/>
        <v>0</v>
      </c>
      <c r="AK34" s="61">
        <f>AJ34</f>
        <v>0</v>
      </c>
    </row>
    <row r="35" spans="1:37">
      <c r="A35" s="1" t="s">
        <v>34</v>
      </c>
      <c r="B35" t="str">
        <f>REPT("●",IFERROR(INDEX($P$42:$P$69,MATCH(tblCharDataCyrus[[#This Row],[Field]],$E$42:$E$69,0)),0))&amp;REPT("○",IFERROR(INDEX($V$42:$V$69,MATCH(tblCharDataCyrus[[#This Row],[Field]],$E$42:$E$69,0)),0))&amp;IF(IFERROR(INDEX($W$42:$W$69,MATCH(tblCharDataCyrus[[#This Row],[Field]],$E$42:$E$69,0)),0)=1,"†","")</f>
        <v>●●</v>
      </c>
      <c r="D35" s="16" t="s">
        <v>1459</v>
      </c>
      <c r="E35" s="17"/>
      <c r="F35" s="17"/>
      <c r="G35" s="17" t="s">
        <v>1445</v>
      </c>
      <c r="H35" s="16" t="s">
        <v>1446</v>
      </c>
      <c r="I35" s="3" t="s">
        <v>1565</v>
      </c>
      <c r="L35" s="60">
        <f>IF(I35="",0,VLOOKUP(I35,tblPriority[#Data],2,FALSE))-SUM(L36:L38)</f>
        <v>0</v>
      </c>
      <c r="Y35" s="15" t="s">
        <v>1460</v>
      </c>
      <c r="Z35" s="61" t="str">
        <f>IFERROR(VLOOKUP(AA35,tblManoeuvre[],2,FALSE),"")</f>
        <v/>
      </c>
      <c r="AA35" s="61" t="str">
        <f t="shared" si="3"/>
        <v/>
      </c>
      <c r="AI35" s="15" t="s">
        <v>30</v>
      </c>
      <c r="AJ35" s="61">
        <f t="shared" si="1"/>
        <v>2</v>
      </c>
      <c r="AK35" s="61">
        <f>IF(AJ35=0,IF(COUNTIF($E$42:$E$49,AI35)&gt;0,-3,-1),AJ35)</f>
        <v>2</v>
      </c>
    </row>
    <row r="36" spans="1:37">
      <c r="A36" s="1" t="s">
        <v>35</v>
      </c>
      <c r="B36" t="str">
        <f>REPT("●",IFERROR(INDEX($P$42:$P$69,MATCH(tblCharDataCyrus[[#This Row],[Field]],$E$42:$E$69,0)),0))&amp;REPT("○",IFERROR(INDEX($V$42:$V$69,MATCH(tblCharDataCyrus[[#This Row],[Field]],$E$42:$E$69,0)),0))&amp;IF(IFERROR(INDEX($W$42:$W$69,MATCH(tblCharDataCyrus[[#This Row],[Field]],$E$42:$E$69,0)),0)=1,"†","")</f>
        <v/>
      </c>
      <c r="D36" s="18"/>
      <c r="E36" s="15" t="s">
        <v>22</v>
      </c>
      <c r="F36" s="18"/>
      <c r="G36" s="3"/>
      <c r="H36" s="18"/>
      <c r="I36" s="18"/>
      <c r="L36" s="3">
        <v>2</v>
      </c>
      <c r="M36" s="60">
        <f>IF(E36=$F$24,2,1)</f>
        <v>1</v>
      </c>
      <c r="N36" s="3"/>
      <c r="O36" s="61">
        <f>ROUNDDOWN(N36/4,0)</f>
        <v>0</v>
      </c>
      <c r="P36" s="60">
        <f>MIN(SUM(L36,M36,O36),R36)</f>
        <v>3</v>
      </c>
      <c r="R36" s="61">
        <v>5</v>
      </c>
      <c r="U36" s="4"/>
      <c r="V36" s="61">
        <f>U36</f>
        <v>0</v>
      </c>
      <c r="Y36" s="15" t="s">
        <v>1461</v>
      </c>
      <c r="Z36" s="61" t="str">
        <f>IFERROR(VLOOKUP(AA36,tblManoeuvre[],2,FALSE),"")</f>
        <v/>
      </c>
      <c r="AA36" s="61" t="str">
        <f t="shared" si="3"/>
        <v/>
      </c>
      <c r="AI36" s="15" t="s">
        <v>45</v>
      </c>
      <c r="AJ36" s="61">
        <f t="shared" si="1"/>
        <v>0</v>
      </c>
      <c r="AK36" s="61">
        <f>IF(AJ36=0,IF(COUNTIF($E$42:$E$49,AI36)&gt;0,-3,-1),AJ36)</f>
        <v>-1</v>
      </c>
    </row>
    <row r="37" spans="1:37">
      <c r="A37" s="1" t="s">
        <v>36</v>
      </c>
      <c r="B37" t="str">
        <f>REPT("●",IFERROR(INDEX($P$42:$P$69,MATCH(tblCharDataCyrus[[#This Row],[Field]],$E$42:$E$69,0)),0))&amp;REPT("○",IFERROR(INDEX($V$42:$V$69,MATCH(tblCharDataCyrus[[#This Row],[Field]],$E$42:$E$69,0)),0))&amp;IF(IFERROR(INDEX($W$42:$W$69,MATCH(tblCharDataCyrus[[#This Row],[Field]],$E$42:$E$69,0)),0)=1,"†","")</f>
        <v>●</v>
      </c>
      <c r="D37" s="18"/>
      <c r="E37" s="15" t="s">
        <v>23</v>
      </c>
      <c r="F37" s="18"/>
      <c r="G37" s="3"/>
      <c r="H37" s="18"/>
      <c r="I37" s="18"/>
      <c r="L37" s="3">
        <v>1</v>
      </c>
      <c r="M37" s="60">
        <f>IF(E37=$F$24,2,1)</f>
        <v>1</v>
      </c>
      <c r="N37" s="3"/>
      <c r="O37" s="61">
        <f>ROUNDDOWN(N37/4,0)</f>
        <v>0</v>
      </c>
      <c r="P37" s="60">
        <f>MIN(SUM(L37,M37,O37),R37)</f>
        <v>2</v>
      </c>
      <c r="R37" s="61">
        <v>5</v>
      </c>
      <c r="U37" s="4"/>
      <c r="V37" s="61">
        <f>U37</f>
        <v>0</v>
      </c>
      <c r="Y37" s="15" t="s">
        <v>1462</v>
      </c>
      <c r="Z37" s="61" t="str">
        <f>IFERROR(VLOOKUP(AA37,tblManoeuvre[],2,FALSE),"")</f>
        <v/>
      </c>
      <c r="AA37" s="61" t="str">
        <f t="shared" si="3"/>
        <v/>
      </c>
      <c r="AI37" s="15" t="s">
        <v>31</v>
      </c>
      <c r="AJ37" s="61">
        <f t="shared" si="1"/>
        <v>0</v>
      </c>
      <c r="AK37" s="61">
        <f>IF(AJ37=0,IF(COUNTIF($E$42:$E$49,AI37)&gt;0,-3,-1),AJ37)</f>
        <v>-3</v>
      </c>
    </row>
    <row r="38" spans="1:37">
      <c r="A38" s="1" t="s">
        <v>37</v>
      </c>
      <c r="B38" t="str">
        <f>REPT("●",IFERROR(INDEX($P$42:$P$69,MATCH(tblCharDataCyrus[[#This Row],[Field]],$E$42:$E$69,0)),0))&amp;REPT("○",IFERROR(INDEX($V$42:$V$69,MATCH(tblCharDataCyrus[[#This Row],[Field]],$E$42:$E$69,0)),0))&amp;IF(IFERROR(INDEX($W$42:$W$69,MATCH(tblCharDataCyrus[[#This Row],[Field]],$E$42:$E$69,0)),0)=1,"†","")</f>
        <v/>
      </c>
      <c r="D38" s="18"/>
      <c r="E38" s="15" t="s">
        <v>24</v>
      </c>
      <c r="F38" s="18"/>
      <c r="G38" s="3"/>
      <c r="H38" s="18"/>
      <c r="I38" s="18"/>
      <c r="L38" s="3">
        <v>2</v>
      </c>
      <c r="M38" s="60">
        <f>IF(E38=$F$24,2,1)</f>
        <v>1</v>
      </c>
      <c r="N38" s="3"/>
      <c r="O38" s="61">
        <f>ROUNDDOWN(N38/4,0)</f>
        <v>0</v>
      </c>
      <c r="P38" s="60">
        <f>MIN(SUM(L38,M38,O38),R38)</f>
        <v>3</v>
      </c>
      <c r="R38" s="61">
        <v>5</v>
      </c>
      <c r="U38" s="4"/>
      <c r="V38" s="61">
        <f>U38</f>
        <v>0</v>
      </c>
      <c r="Y38" s="15" t="s">
        <v>1463</v>
      </c>
      <c r="Z38" s="61" t="str">
        <f>IFERROR(VLOOKUP(AA38,tblManoeuvre[],2,FALSE),"")</f>
        <v/>
      </c>
      <c r="AA38" s="61" t="str">
        <f t="shared" si="3"/>
        <v/>
      </c>
      <c r="AI38" s="15" t="s">
        <v>22</v>
      </c>
      <c r="AJ38" s="61">
        <f t="shared" si="1"/>
        <v>3</v>
      </c>
      <c r="AK38" s="61">
        <f>AJ38+IFERROR(INDEX($V$26:$V$38,MATCH(AI38,$E$26:$E$38,0)),0)</f>
        <v>3</v>
      </c>
    </row>
    <row r="39" spans="1:37">
      <c r="A39" s="1" t="s">
        <v>38</v>
      </c>
      <c r="B39" t="str">
        <f>REPT("●",IFERROR(INDEX($P$42:$P$69,MATCH(tblCharDataCyrus[[#This Row],[Field]],$E$42:$E$69,0)),0))&amp;REPT("○",IFERROR(INDEX($V$42:$V$69,MATCH(tblCharDataCyrus[[#This Row],[Field]],$E$42:$E$69,0)),0))&amp;IF(IFERROR(INDEX($W$42:$W$69,MATCH(tblCharDataCyrus[[#This Row],[Field]],$E$42:$E$69,0)),0)=1,"†","")</f>
        <v>●</v>
      </c>
      <c r="Y39" s="15" t="s">
        <v>1464</v>
      </c>
      <c r="Z39" s="61" t="str">
        <f>IFERROR(VLOOKUP(AA39,tblManoeuvre[],2,FALSE),"")</f>
        <v/>
      </c>
      <c r="AA39" s="61" t="str">
        <f t="shared" si="3"/>
        <v/>
      </c>
      <c r="AI39" s="15" t="s">
        <v>243</v>
      </c>
      <c r="AJ39" s="61">
        <f t="shared" si="1"/>
        <v>0</v>
      </c>
      <c r="AK39" s="61">
        <f>AJ39</f>
        <v>0</v>
      </c>
    </row>
    <row r="40" spans="1:37" ht="15.75" thickBot="1">
      <c r="A40" s="1" t="s">
        <v>39</v>
      </c>
      <c r="B40" t="str">
        <f>REPT("●",IFERROR(INDEX($P$42:$P$69,MATCH(tblCharDataCyrus[[#This Row],[Field]],$E$42:$E$69,0)),0))&amp;REPT("○",IFERROR(INDEX($V$42:$V$69,MATCH(tblCharDataCyrus[[#This Row],[Field]],$E$42:$E$69,0)),0))&amp;IF(IFERROR(INDEX($W$42:$W$69,MATCH(tblCharDataCyrus[[#This Row],[Field]],$E$42:$E$69,0)),0)=1,"†","")</f>
        <v/>
      </c>
      <c r="D40" s="14" t="s">
        <v>1465</v>
      </c>
      <c r="E40" s="14"/>
      <c r="F40" s="14"/>
      <c r="G40" s="14"/>
      <c r="H40" s="14"/>
      <c r="I40" s="14"/>
      <c r="N40" s="60">
        <f>SUM(N42:N49,N52:N59,N62:N69)</f>
        <v>0</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1"/>
        <v>1</v>
      </c>
      <c r="AK40" s="61">
        <f>AJ40</f>
        <v>1</v>
      </c>
    </row>
    <row r="41" spans="1:37">
      <c r="A41" s="1" t="s">
        <v>40</v>
      </c>
      <c r="B41" t="str">
        <f>REPT("●",IFERROR(INDEX($P$42:$P$69,MATCH(tblCharDataCyrus[[#This Row],[Field]],$E$42:$E$69,0)),0))&amp;REPT("○",IFERROR(INDEX($V$42:$V$69,MATCH(tblCharDataCyrus[[#This Row],[Field]],$E$42:$E$69,0)),0))&amp;IF(IFERROR(INDEX($W$42:$W$69,MATCH(tblCharDataCyrus[[#This Row],[Field]],$E$42:$E$69,0)),0)=1,"†","")</f>
        <v/>
      </c>
      <c r="D41" s="16" t="s">
        <v>1444</v>
      </c>
      <c r="E41" s="17"/>
      <c r="F41" s="17"/>
      <c r="G41" s="17" t="s">
        <v>1467</v>
      </c>
      <c r="H41" s="16" t="s">
        <v>1446</v>
      </c>
      <c r="I41" s="3" t="s">
        <v>1566</v>
      </c>
      <c r="L41" s="60">
        <f>IF(I41="",0,VLOOKUP(I41,tblPriority[#Data],3,FALSE))-SUM(L42:L49)</f>
        <v>0</v>
      </c>
      <c r="T41" s="60">
        <f>MAX(3+IF(P161&gt;=3,2,0)-SUM(T42:T49,T52:T59,T62:T69),0)</f>
        <v>3</v>
      </c>
      <c r="Y41" s="15" t="s">
        <v>1468</v>
      </c>
      <c r="Z41" s="61" t="str">
        <f>IFERROR(VLOOKUP(AA41,tblManoeuvre[],2,FALSE),"")</f>
        <v/>
      </c>
      <c r="AA41" s="61" t="str">
        <f t="shared" si="3"/>
        <v/>
      </c>
      <c r="AI41" s="15" t="s">
        <v>244</v>
      </c>
      <c r="AJ41" s="61">
        <f t="shared" si="1"/>
        <v>0</v>
      </c>
      <c r="AK41" s="61">
        <f>AJ41</f>
        <v>0</v>
      </c>
    </row>
    <row r="42" spans="1:37">
      <c r="A42" s="1" t="s">
        <v>41</v>
      </c>
      <c r="B42" t="str">
        <f>REPT("●",IFERROR(INDEX($P$42:$P$69,MATCH(tblCharDataCyrus[[#This Row],[Field]],$E$42:$E$69,0)),0))&amp;REPT("○",IFERROR(INDEX($V$42:$V$69,MATCH(tblCharDataCyrus[[#This Row],[Field]],$E$42:$E$69,0)),0))&amp;IF(IFERROR(INDEX($W$42:$W$69,MATCH(tblCharDataCyrus[[#This Row],[Field]],$E$42:$E$69,0)),0)=1,"†","")</f>
        <v/>
      </c>
      <c r="D42" s="18"/>
      <c r="E42" s="15" t="s">
        <v>25</v>
      </c>
      <c r="F42" s="18"/>
      <c r="G42" s="3"/>
      <c r="H42" s="18"/>
      <c r="I42" s="18"/>
      <c r="L42" s="4"/>
      <c r="M42" s="60"/>
      <c r="N42" s="4"/>
      <c r="O42" s="61">
        <f>ROUNDDOWN(N42/2,0)</f>
        <v>0</v>
      </c>
      <c r="P42" s="60">
        <f t="shared" ref="P42:P49" si="4">MIN(SUM(L42,M42,O42),R42)</f>
        <v>0</v>
      </c>
      <c r="R42" s="61">
        <v>5</v>
      </c>
      <c r="T42" s="4"/>
      <c r="U42" s="4"/>
      <c r="V42" s="61">
        <f t="shared" ref="V42:V49" si="5">U42</f>
        <v>0</v>
      </c>
      <c r="W42" s="4"/>
      <c r="AI42" s="15" t="s">
        <v>18</v>
      </c>
      <c r="AJ42" s="61">
        <f t="shared" si="1"/>
        <v>2</v>
      </c>
      <c r="AK42" s="61">
        <f>AJ42+IFERROR(INDEX($V$26:$V$38,MATCH(AI42,$E$26:$E$38,0)),0)</f>
        <v>2</v>
      </c>
    </row>
    <row r="43" spans="1:37">
      <c r="A43" s="1" t="s">
        <v>42</v>
      </c>
      <c r="B43" t="str">
        <f>REPT("●",IFERROR(INDEX($P$42:$P$69,MATCH(tblCharDataCyrus[[#This Row],[Field]],$E$42:$E$69,0)),0))&amp;REPT("○",IFERROR(INDEX($V$42:$V$69,MATCH(tblCharDataCyrus[[#This Row],[Field]],$E$42:$E$69,0)),0))&amp;IF(IFERROR(INDEX($W$42:$W$69,MATCH(tblCharDataCyrus[[#This Row],[Field]],$E$42:$E$69,0)),0)=1,"†","")</f>
        <v>●●●</v>
      </c>
      <c r="D43" s="18"/>
      <c r="E43" s="15" t="s">
        <v>26</v>
      </c>
      <c r="F43" s="18"/>
      <c r="G43" s="3"/>
      <c r="H43" s="18"/>
      <c r="I43" s="18"/>
      <c r="L43" s="4">
        <v>2</v>
      </c>
      <c r="M43" s="60"/>
      <c r="N43" s="4"/>
      <c r="O43" s="61">
        <f t="shared" ref="O43:O49" si="6">ROUNDDOWN(N43/2,0)</f>
        <v>0</v>
      </c>
      <c r="P43" s="60">
        <f t="shared" si="4"/>
        <v>2</v>
      </c>
      <c r="R43" s="61">
        <v>5</v>
      </c>
      <c r="T43" s="4"/>
      <c r="U43" s="4"/>
      <c r="V43" s="61">
        <f t="shared" si="5"/>
        <v>0</v>
      </c>
      <c r="W43" s="4"/>
      <c r="AI43" s="15" t="s">
        <v>32</v>
      </c>
      <c r="AJ43" s="61">
        <f t="shared" si="1"/>
        <v>0</v>
      </c>
      <c r="AK43" s="61">
        <f>IF(AJ43=0,IF(COUNTIF($E$42:$E$49,AI43)&gt;0,-3,-1),AJ43)</f>
        <v>-3</v>
      </c>
    </row>
    <row r="44" spans="1:37">
      <c r="A44" s="1" t="s">
        <v>43</v>
      </c>
      <c r="B44" t="str">
        <f>REPT("●",IFERROR(INDEX($P$42:$P$69,MATCH(tblCharDataCyrus[[#This Row],[Field]],$E$42:$E$69,0)),0))&amp;REPT("○",IFERROR(INDEX($V$42:$V$69,MATCH(tblCharDataCyrus[[#This Row],[Field]],$E$42:$E$69,0)),0))&amp;IF(IFERROR(INDEX($W$42:$W$69,MATCH(tblCharDataCyrus[[#This Row],[Field]],$E$42:$E$69,0)),0)=1,"†","")</f>
        <v>●●●</v>
      </c>
      <c r="D44" s="18"/>
      <c r="E44" s="15" t="s">
        <v>27</v>
      </c>
      <c r="F44" s="18"/>
      <c r="G44" s="3"/>
      <c r="H44" s="18"/>
      <c r="I44" s="18"/>
      <c r="L44" s="4"/>
      <c r="M44" s="60"/>
      <c r="N44" s="4"/>
      <c r="O44" s="61">
        <f t="shared" si="6"/>
        <v>0</v>
      </c>
      <c r="P44" s="60">
        <f t="shared" si="4"/>
        <v>0</v>
      </c>
      <c r="R44" s="61">
        <v>5</v>
      </c>
      <c r="T44" s="4"/>
      <c r="U44" s="4"/>
      <c r="V44" s="61">
        <f t="shared" si="5"/>
        <v>0</v>
      </c>
      <c r="W44" s="4"/>
      <c r="Y44" s="15">
        <v>1</v>
      </c>
      <c r="Z44" s="61" t="s">
        <v>236</v>
      </c>
      <c r="AA44" s="60" t="str" cm="1">
        <f t="array" ref="AA44">IF(OR(Y44=0,Y44=""),"",IF(VLOOKUP(Z44,$AI$1:$AJ$58,2,FALSE)&gt;=Y44,INDEX(tblDisciplines[Name],MATCH(1,(tblDisciplines[Discipline]=Z44)*(tblDisciplines[Rank]=Y44),0)),""))</f>
        <v/>
      </c>
      <c r="AC44" s="60" t="str" cm="1">
        <f t="array" ref="AC44:AC51">IFERROR(_xlfn.VSTACK(IFERROR(_xlfn._xlws.FILTER(AA44:AA121,AA44:AA121&lt;&gt;""),""),IFERROR(_xlfn._xlws.SORT(_xlfn._xlws.FILTER(AA123:AA132,AA123:AA132&lt;&gt;"")),"")),"")</f>
        <v>Celerity 1</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Celerity ●</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1 V per effect  •  Pool: -  •  Reflexive  •  1 turn</v>
      </c>
      <c r="AF44" s="20" t="str">
        <f>IF(AC44="","",IFERROR(VLOOKUP(AC44,tblDisciplines[],12,FALSE),VLOOKUP(AC44,tblPacts[],5,FALSE)))</f>
        <v>Persistent improved Defence or Dodge. Activate for supernatural speed benefits. Unnatural Grace: add Celerity dots as bonus dice to non-combat speed-based pools.</v>
      </c>
      <c r="AI44" s="15" t="s">
        <v>353</v>
      </c>
      <c r="AJ44" s="61">
        <f t="shared" si="1"/>
        <v>5</v>
      </c>
      <c r="AK44" s="61">
        <f>AJ44</f>
        <v>5</v>
      </c>
    </row>
    <row r="45" spans="1:37">
      <c r="A45" s="1" t="s">
        <v>44</v>
      </c>
      <c r="B45" t="str">
        <f>REPT("●",IFERROR(INDEX($P$42:$P$69,MATCH(tblCharDataCyrus[[#This Row],[Field]],$E$42:$E$69,0)),0))&amp;REPT("○",IFERROR(INDEX($V$42:$V$69,MATCH(tblCharDataCyrus[[#This Row],[Field]],$E$42:$E$69,0)),0))&amp;IF(IFERROR(INDEX($W$42:$W$69,MATCH(tblCharDataCyrus[[#This Row],[Field]],$E$42:$E$69,0)),0)=1,"†","")</f>
        <v/>
      </c>
      <c r="D45" s="18"/>
      <c r="E45" s="15" t="s">
        <v>28</v>
      </c>
      <c r="F45" s="18"/>
      <c r="G45" s="3"/>
      <c r="H45" s="18"/>
      <c r="I45" s="18"/>
      <c r="L45" s="4"/>
      <c r="M45" s="60"/>
      <c r="N45" s="4"/>
      <c r="O45" s="61">
        <f t="shared" si="6"/>
        <v>0</v>
      </c>
      <c r="P45" s="60">
        <f t="shared" si="4"/>
        <v>0</v>
      </c>
      <c r="R45" s="61">
        <v>5</v>
      </c>
      <c r="T45" s="4"/>
      <c r="U45" s="4"/>
      <c r="V45" s="61">
        <f t="shared" si="5"/>
        <v>0</v>
      </c>
      <c r="W45" s="4"/>
      <c r="Y45" s="15">
        <v>2</v>
      </c>
      <c r="Z45" s="61" t="s">
        <v>236</v>
      </c>
      <c r="AA45" s="60" t="str" cm="1">
        <f t="array" ref="AA45">IF(OR(Y45=0,Y45=""),"",IF(VLOOKUP(Z45,$AI$1:$AJ$58,2,FALSE)&gt;=Y45,INDEX(tblDisciplines[Name],MATCH(1,(tblDisciplines[Discipline]=Z45)*(tblDisciplines[Rank]=Y45),0)),""))</f>
        <v/>
      </c>
      <c r="AC45" s="60" t="str">
        <v>Awe</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Majesty ● | Awe</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  •  Pool: -  •  Instant  •  Scene</v>
      </c>
      <c r="AF45" s="20" t="str">
        <f>IF(AC45="","",IFERROR(VLOOKUP(AC45,tblDisciplines[],12,FALSE),VLOOKUP(AC45,tblPacts[],5,FALSE)))</f>
        <v>Become centre of attention. Subjects become Awed.</v>
      </c>
      <c r="AI45" s="15" t="s">
        <v>46</v>
      </c>
      <c r="AJ45" s="61">
        <f t="shared" si="1"/>
        <v>3</v>
      </c>
      <c r="AK45" s="61">
        <f>IF(AJ45=0,IF(COUNTIF($E$42:$E$49,AI45)&gt;0,-3,-1),AJ45)</f>
        <v>3</v>
      </c>
    </row>
    <row r="46" spans="1:37">
      <c r="A46" s="1" t="s">
        <v>45</v>
      </c>
      <c r="B46" t="str">
        <f>REPT("●",IFERROR(INDEX($P$42:$P$69,MATCH(tblCharDataCyrus[[#This Row],[Field]],$E$42:$E$69,0)),0))&amp;REPT("○",IFERROR(INDEX($V$42:$V$69,MATCH(tblCharDataCyrus[[#This Row],[Field]],$E$42:$E$69,0)),0))&amp;IF(IFERROR(INDEX($W$42:$W$69,MATCH(tblCharDataCyrus[[#This Row],[Field]],$E$42:$E$69,0)),0)=1,"†","")</f>
        <v/>
      </c>
      <c r="D46" s="18"/>
      <c r="E46" s="15" t="s">
        <v>29</v>
      </c>
      <c r="F46" s="18"/>
      <c r="G46" s="3"/>
      <c r="H46" s="18"/>
      <c r="I46" s="18"/>
      <c r="L46" s="4"/>
      <c r="M46" s="60"/>
      <c r="N46" s="4"/>
      <c r="O46" s="61">
        <f t="shared" si="6"/>
        <v>0</v>
      </c>
      <c r="P46" s="60">
        <f t="shared" si="4"/>
        <v>0</v>
      </c>
      <c r="R46" s="61">
        <v>5</v>
      </c>
      <c r="T46" s="4"/>
      <c r="U46" s="4"/>
      <c r="V46" s="61">
        <f t="shared" si="5"/>
        <v>0</v>
      </c>
      <c r="W46" s="4"/>
      <c r="Y46" s="15">
        <v>3</v>
      </c>
      <c r="Z46" s="61" t="s">
        <v>236</v>
      </c>
      <c r="AA46" s="60" t="str" cm="1">
        <f t="array" ref="AA46">IF(OR(Y46=0,Y46=""),"",IF(VLOOKUP(Z46,$AI$1:$AJ$58,2,FALSE)&gt;=Y46,INDEX(tblDisciplines[Name],MATCH(1,(tblDisciplines[Discipline]=Z46)*(tblDisciplines[Rank]=Y46),0)),""))</f>
        <v/>
      </c>
      <c r="AC46" s="60" t="str">
        <v>Confidant</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Majesty ●● | Confidant</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 (req: Awed)   •  Pool: 8  v Resolve + BP  •  Contested</v>
      </c>
      <c r="AF46" s="20" t="str">
        <f>IF(AC46="","",IFERROR(VLOOKUP(AC46,tblDisciplines[],12,FALSE),VLOOKUP(AC46,tblPacts[],5,FALSE)))</f>
        <v>Impose Charmed Condition.</v>
      </c>
      <c r="AI46" s="15" t="s">
        <v>354</v>
      </c>
      <c r="AJ46" s="61">
        <f t="shared" ca="1" si="1"/>
        <v>10</v>
      </c>
      <c r="AK46" s="61">
        <f ca="1">AJ46</f>
        <v>10</v>
      </c>
    </row>
    <row r="47" spans="1:37">
      <c r="A47" s="1" t="s">
        <v>46</v>
      </c>
      <c r="B47" t="str">
        <f>REPT("●",IFERROR(INDEX($P$42:$P$69,MATCH(tblCharDataCyrus[[#This Row],[Field]],$E$42:$E$69,0)),0))&amp;REPT("○",IFERROR(INDEX($V$42:$V$69,MATCH(tblCharDataCyrus[[#This Row],[Field]],$E$42:$E$69,0)),0))&amp;IF(IFERROR(INDEX($W$42:$W$69,MATCH(tblCharDataCyrus[[#This Row],[Field]],$E$42:$E$69,0)),0)=1,"†","")</f>
        <v>●●●</v>
      </c>
      <c r="D47" s="18"/>
      <c r="E47" s="15" t="s">
        <v>30</v>
      </c>
      <c r="F47" s="18"/>
      <c r="G47" s="3"/>
      <c r="H47" s="18"/>
      <c r="I47" s="18"/>
      <c r="L47" s="4">
        <v>2</v>
      </c>
      <c r="M47" s="60"/>
      <c r="N47" s="4"/>
      <c r="O47" s="61">
        <f t="shared" si="6"/>
        <v>0</v>
      </c>
      <c r="P47" s="60">
        <f t="shared" si="4"/>
        <v>2</v>
      </c>
      <c r="R47" s="61">
        <v>5</v>
      </c>
      <c r="T47" s="4"/>
      <c r="U47" s="4"/>
      <c r="V47" s="61">
        <f t="shared" si="5"/>
        <v>0</v>
      </c>
      <c r="W47" s="4"/>
      <c r="Y47" s="15">
        <v>4</v>
      </c>
      <c r="Z47" s="61" t="s">
        <v>236</v>
      </c>
      <c r="AA47" s="60" t="str" cm="1">
        <f t="array" ref="AA47">IF(OR(Y47=0,Y47=""),"",IF(VLOOKUP(Z47,$AI$1:$AJ$58,2,FALSE)&gt;=Y47,INDEX(tblDisciplines[Name],MATCH(1,(tblDisciplines[Discipline]=Z47)*(tblDisciplines[Rank]=Y47),0)),""))</f>
        <v/>
      </c>
      <c r="AC47" s="60" t="str">
        <v>Creation 1</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Blood Sorcery | Creation ●</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v>
      </c>
      <c r="AF47" s="20" t="str">
        <f>IF(AC47="","",IFERROR(VLOOKUP(AC47,tblDisciplines[],12,FALSE),VLOOKUP(AC47,tblPacts[],5,FALSE)))</f>
        <v>Summon liquids, dead organic matter, sensory phenomena. Bonus/penalty = Potency.</v>
      </c>
      <c r="AI47" s="15" t="s">
        <v>21</v>
      </c>
      <c r="AJ47" s="61">
        <f t="shared" si="1"/>
        <v>2</v>
      </c>
      <c r="AK47" s="61">
        <f>AJ47+IFERROR(INDEX($V$26:$V$38,MATCH(AI47,$E$26:$E$38,0)),0)</f>
        <v>2</v>
      </c>
    </row>
    <row r="48" spans="1:37">
      <c r="A48" s="1" t="s">
        <v>47</v>
      </c>
      <c r="B48" t="str">
        <f>REPT("●",IFERROR(INDEX($P$42:$P$69,MATCH(tblCharDataCyrus[[#This Row],[Field]],$E$42:$E$69,0)),0))&amp;REPT("○",IFERROR(INDEX($V$42:$V$69,MATCH(tblCharDataCyrus[[#This Row],[Field]],$E$42:$E$69,0)),0))&amp;IF(IFERROR(INDEX($W$42:$W$69,MATCH(tblCharDataCyrus[[#This Row],[Field]],$E$42:$E$69,0)),0)=1,"†","")</f>
        <v>●●</v>
      </c>
      <c r="D48" s="18"/>
      <c r="E48" s="15" t="s">
        <v>31</v>
      </c>
      <c r="F48" s="18"/>
      <c r="G48" s="3"/>
      <c r="H48" s="18"/>
      <c r="I48" s="18"/>
      <c r="L48" s="4"/>
      <c r="M48" s="60"/>
      <c r="N48" s="4"/>
      <c r="O48" s="61">
        <f t="shared" si="6"/>
        <v>0</v>
      </c>
      <c r="P48" s="60">
        <f t="shared" si="4"/>
        <v>0</v>
      </c>
      <c r="R48" s="61">
        <v>5</v>
      </c>
      <c r="T48" s="4"/>
      <c r="U48" s="4"/>
      <c r="V48" s="61">
        <f t="shared" si="5"/>
        <v>0</v>
      </c>
      <c r="W48" s="4"/>
      <c r="Y48" s="15">
        <v>5</v>
      </c>
      <c r="Z48" s="61" t="s">
        <v>236</v>
      </c>
      <c r="AA48" s="60" t="str" cm="1">
        <f t="array" ref="AA48">IF(OR(Y48=0,Y48=""),"",IF(VLOOKUP(Z48,$AI$1:$AJ$58,2,FALSE)&gt;=Y48,INDEX(tblDisciplines[Name],MATCH(1,(tblDisciplines[Discipline]=Z48)*(tblDisciplines[Rank]=Y48),0)),""))</f>
        <v/>
      </c>
      <c r="AC48" s="60" t="str">
        <v>Divination 1</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Blood Sorcery | Divination ●</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v>
      </c>
      <c r="AF48" s="20" t="str">
        <f>IF(AC48="","",IFERROR(VLOOKUP(AC48,tblDisciplines[],12,FALSE),VLOOKUP(AC48,tblPacts[],5,FALSE)))</f>
        <v>Glimpse fragmented details about intended actions. Learn basic info about a target.</v>
      </c>
      <c r="AI48" s="15" t="s">
        <v>38</v>
      </c>
      <c r="AJ48" s="61">
        <f t="shared" si="1"/>
        <v>1</v>
      </c>
      <c r="AK48" s="61">
        <f>IF(AJ48=0,IF(COUNTIF($E$42:$E$49,AI48)&gt;0,-3,-1),AJ48)</f>
        <v>1</v>
      </c>
    </row>
    <row r="49" spans="1:37">
      <c r="A49" s="1" t="s">
        <v>48</v>
      </c>
      <c r="B49" t="str">
        <f>REPT("●",IFERROR(INDEX($P$42:$P$69,MATCH(tblCharDataCyrus[[#This Row],[Field]],$E$42:$E$69,0)),0))&amp;REPT("○",IFERROR(INDEX($V$42:$V$69,MATCH(tblCharDataCyrus[[#This Row],[Field]],$E$42:$E$69,0)),0))&amp;IF(IFERROR(INDEX($W$42:$W$69,MATCH(tblCharDataCyrus[[#This Row],[Field]],$E$42:$E$69,0)),0)=1,"†","")</f>
        <v/>
      </c>
      <c r="D49" s="18"/>
      <c r="E49" s="15" t="s">
        <v>32</v>
      </c>
      <c r="F49" s="18"/>
      <c r="G49" s="3"/>
      <c r="H49" s="18"/>
      <c r="I49" s="18"/>
      <c r="L49" s="4"/>
      <c r="M49" s="60"/>
      <c r="N49" s="4"/>
      <c r="O49" s="61">
        <f t="shared" si="6"/>
        <v>0</v>
      </c>
      <c r="P49" s="60">
        <f t="shared" si="4"/>
        <v>0</v>
      </c>
      <c r="R49" s="61">
        <v>5</v>
      </c>
      <c r="T49" s="4"/>
      <c r="U49" s="4"/>
      <c r="V49" s="61">
        <f t="shared" si="5"/>
        <v>0</v>
      </c>
      <c r="W49" s="4"/>
      <c r="Y49" s="15">
        <v>1</v>
      </c>
      <c r="Z49" s="61" t="s">
        <v>237</v>
      </c>
      <c r="AA49" s="60" t="str" cm="1">
        <f t="array" ref="AA49">IF(OR(Y49=0,Y49=""),"",IF(VLOOKUP(Z49,$AI$1:$AJ$58,2,FALSE)&gt;=Y49,INDEX(tblDisciplines[Name],MATCH(1,(tblDisciplines[Discipline]=Z49)*(tblDisciplines[Rank]=Y49),0)),""))</f>
        <v/>
      </c>
      <c r="AC49" s="60" t="str">
        <v>Protection 1</v>
      </c>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Blood Sorcery | Protection ●</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v>
      </c>
      <c r="AF49" s="20" t="str">
        <f>IF(AC49="","",IFERROR(VLOOKUP(AC49,tblDisciplines[],12,FALSE),VLOOKUP(AC49,tblPacts[],5,FALSE)))</f>
        <v>Subtract Potency from ritual rolls targeting subject. Heal bashing in vampires. Protect from the Kiss (add Potency to resistance).</v>
      </c>
      <c r="AI49" s="15" t="s">
        <v>47</v>
      </c>
      <c r="AJ49" s="61">
        <f t="shared" si="1"/>
        <v>2</v>
      </c>
      <c r="AK49" s="61">
        <f>IF(AJ49=0,IF(COUNTIF($E$42:$E$49,AI49)&gt;0,-3,-1),AJ49)</f>
        <v>2</v>
      </c>
    </row>
    <row r="50" spans="1:37">
      <c r="A50" s="1" t="s">
        <v>49</v>
      </c>
      <c r="B50" t="str">
        <f ca="1">REPT("●",VLOOKUP(tblCharDataCyrus[[#This Row],[Field]],INDIRECT($AH$1),2,FALSE)) &amp; REPT("○",10-VLOOKUP(tblCharDataCyrus[[#This Row],[Field]],INDIRECT($AH$1),2,FALSE))</f>
        <v>●○○○○○○○○○</v>
      </c>
      <c r="Y50" s="15">
        <v>2</v>
      </c>
      <c r="Z50" s="61" t="s">
        <v>237</v>
      </c>
      <c r="AA50" s="60" t="str" cm="1">
        <f t="array" ref="AA50">IF(OR(Y50=0,Y50=""),"",IF(VLOOKUP(Z50,$AI$1:$AJ$58,2,FALSE)&gt;=Y50,INDEX(tblDisciplines[Name],MATCH(1,(tblDisciplines[Discipline]=Z50)*(tblDisciplines[Rank]=Y50),0)),""))</f>
        <v/>
      </c>
      <c r="AC50" s="60" t="str">
        <v>Taste of Knowledge</v>
      </c>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Cruac ● | Taste of Knowledge</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Cost: 1 V 1 Successes  •  Pool: 5  •  Ritual  •  1 night</v>
      </c>
      <c r="AF50" s="20" t="str">
        <f>IF(AC50="","",IFERROR(VLOOKUP(AC50,tblDisciplines[],12,FALSE),VLOOKUP(AC50,tblPacts[],5,FALSE)))</f>
        <v>Absorb one Skill at rating 1 (or +1) from vessel's blood</v>
      </c>
      <c r="AI50" s="15" t="s">
        <v>19</v>
      </c>
      <c r="AJ50" s="61">
        <f t="shared" si="1"/>
        <v>2</v>
      </c>
      <c r="AK50" s="61">
        <f>AJ50+IFERROR(INDEX($V$26:$V$38,MATCH(AI50,$E$26:$E$38,0)),0)</f>
        <v>2</v>
      </c>
    </row>
    <row r="51" spans="1:37">
      <c r="A51" s="1" t="s">
        <v>50</v>
      </c>
      <c r="B51">
        <f>P72</f>
        <v>1</v>
      </c>
      <c r="D51" s="16" t="s">
        <v>1453</v>
      </c>
      <c r="E51" s="17"/>
      <c r="F51" s="17"/>
      <c r="G51" s="17" t="s">
        <v>1467</v>
      </c>
      <c r="H51" s="16" t="s">
        <v>1446</v>
      </c>
      <c r="I51" s="3" t="s">
        <v>1567</v>
      </c>
      <c r="L51" s="60">
        <f>IF(I51="",0,VLOOKUP(I51,tblPriority[#Data],3,FALSE))-SUM(L52:L59)</f>
        <v>0</v>
      </c>
      <c r="Y51" s="15">
        <v>3</v>
      </c>
      <c r="Z51" s="61" t="s">
        <v>237</v>
      </c>
      <c r="AA51" s="60" t="str" cm="1">
        <f t="array" ref="AA51">IF(OR(Y51=0,Y51=""),"",IF(VLOOKUP(Z51,$AI$1:$AJ$58,2,FALSE)&gt;=Y51,INDEX(tblDisciplines[Name],MATCH(1,(tblDisciplines[Discipline]=Z51)*(tblDisciplines[Rank]=Y51),0)),""))</f>
        <v/>
      </c>
      <c r="AC51" s="60" t="str">
        <v/>
      </c>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
      </c>
      <c r="AF51" s="20" t="str">
        <f>IF(AC51="","",IFERROR(VLOOKUP(AC51,tblDisciplines[],12,FALSE),VLOOKUP(AC51,tblPacts[],5,FALSE)))</f>
        <v/>
      </c>
      <c r="AI51" s="15" t="s">
        <v>48</v>
      </c>
      <c r="AJ51" s="61">
        <f t="shared" si="1"/>
        <v>0</v>
      </c>
      <c r="AK51" s="61">
        <f>IF(AJ51=0,IF(COUNTIF($E$42:$E$49,AI51)&gt;0,-3,-1),AJ51)</f>
        <v>-1</v>
      </c>
    </row>
    <row r="52" spans="1:37">
      <c r="A52" s="1" t="s">
        <v>51</v>
      </c>
      <c r="B52" t="str">
        <f>_xlfn.IFNA(VLOOKUP(P72,tblBloodPotency[#Data],5,FALSE),"")</f>
        <v/>
      </c>
      <c r="D52" s="18"/>
      <c r="E52" s="15" t="s">
        <v>33</v>
      </c>
      <c r="F52" s="18"/>
      <c r="G52" s="3"/>
      <c r="H52" s="18"/>
      <c r="I52" s="18"/>
      <c r="L52" s="4">
        <v>3</v>
      </c>
      <c r="M52" s="60"/>
      <c r="N52" s="4"/>
      <c r="O52" s="61">
        <f>ROUNDDOWN(N52/2,0)</f>
        <v>0</v>
      </c>
      <c r="P52" s="60">
        <f t="shared" ref="P52:P59" si="7">MIN(SUM(L52,M52,O52),R52)</f>
        <v>3</v>
      </c>
      <c r="R52" s="61">
        <v>5</v>
      </c>
      <c r="T52" s="4"/>
      <c r="U52" s="4"/>
      <c r="V52" s="61">
        <f t="shared" ref="V52:V59" si="8">U52</f>
        <v>0</v>
      </c>
      <c r="W52" s="4"/>
      <c r="Y52" s="15">
        <v>4</v>
      </c>
      <c r="Z52" s="61" t="s">
        <v>237</v>
      </c>
      <c r="AA52" s="60" t="str" cm="1">
        <f t="array" ref="AA52">IF(OR(Y52=0,Y52=""),"",IF(VLOOKUP(Z52,$AI$1:$AJ$58,2,FALSE)&gt;=Y52,INDEX(tblDisciplines[Name],MATCH(1,(tblDisciplines[Discipline]=Z52)*(tblDisciplines[Rank]=Y52),0)),""))</f>
        <v/>
      </c>
      <c r="AC52" s="60"/>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
      </c>
      <c r="AF52" s="20" t="str">
        <f>IF(AC52="","",IFERROR(VLOOKUP(AC52,tblDisciplines[],12,FALSE),VLOOKUP(AC52,tblPacts[],5,FALSE)))</f>
        <v/>
      </c>
      <c r="AI52" s="15" t="s">
        <v>39</v>
      </c>
      <c r="AJ52" s="61">
        <f t="shared" si="1"/>
        <v>0</v>
      </c>
      <c r="AK52" s="61">
        <f>IF(AJ52=0,IF(COUNTIF($E$42:$E$49,AI52)&gt;0,-3,-1),AJ52)</f>
        <v>-1</v>
      </c>
    </row>
    <row r="53" spans="1:37">
      <c r="A53" s="1" t="s">
        <v>52</v>
      </c>
      <c r="B53" t="str">
        <f ca="1">REPT("□",P221) &amp; REPT("■",15-P221)</f>
        <v>□□□□□□□■■■■■■■■</v>
      </c>
      <c r="D53" s="18"/>
      <c r="E53" s="15" t="s">
        <v>34</v>
      </c>
      <c r="F53" s="18"/>
      <c r="G53" s="3"/>
      <c r="H53" s="18"/>
      <c r="I53" s="18"/>
      <c r="L53" s="4">
        <v>2</v>
      </c>
      <c r="M53" s="60"/>
      <c r="N53" s="4"/>
      <c r="O53" s="61">
        <f t="shared" ref="O53:O59" si="9">ROUNDDOWN(N53/2,0)</f>
        <v>0</v>
      </c>
      <c r="P53" s="60">
        <f t="shared" si="7"/>
        <v>2</v>
      </c>
      <c r="R53" s="61">
        <v>5</v>
      </c>
      <c r="T53" s="4"/>
      <c r="U53" s="4"/>
      <c r="V53" s="61">
        <f t="shared" si="8"/>
        <v>0</v>
      </c>
      <c r="W53" s="4"/>
      <c r="Y53" s="15">
        <v>5</v>
      </c>
      <c r="Z53" s="61" t="s">
        <v>237</v>
      </c>
      <c r="AA53" s="60" t="str" cm="1">
        <f t="array" ref="AA53">IF(OR(Y53=0,Y53=""),"",IF(VLOOKUP(Z53,$AI$1:$AJ$58,2,FALSE)&gt;=Y53,INDEX(tblDisciplines[Name],MATCH(1,(tblDisciplines[Discipline]=Z53)*(tblDisciplines[Rank]=Y53),0)),""))</f>
        <v/>
      </c>
      <c r="AC53" s="60"/>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
      </c>
      <c r="AF53" s="20" t="str">
        <f>IF(AC53="","",IFERROR(VLOOKUP(AC53,tblDisciplines[],12,FALSE),VLOOKUP(AC53,tblPacts[],5,FALSE)))</f>
        <v/>
      </c>
      <c r="AI53" s="15" t="s">
        <v>247</v>
      </c>
      <c r="AJ53" s="61">
        <f t="shared" si="1"/>
        <v>0</v>
      </c>
      <c r="AK53" s="61">
        <f>AJ53</f>
        <v>0</v>
      </c>
    </row>
    <row r="54" spans="1:37">
      <c r="A54" s="1" t="s">
        <v>53</v>
      </c>
      <c r="B54" t="str">
        <f>_xlfn.CONCAT(P74-L224," / ",P74)</f>
        <v>5 / 5</v>
      </c>
      <c r="D54" s="18"/>
      <c r="E54" s="15" t="s">
        <v>35</v>
      </c>
      <c r="F54" s="18"/>
      <c r="G54" s="3"/>
      <c r="H54" s="18"/>
      <c r="I54" s="18"/>
      <c r="L54" s="4"/>
      <c r="M54" s="60"/>
      <c r="N54" s="4"/>
      <c r="O54" s="61">
        <f t="shared" si="9"/>
        <v>0</v>
      </c>
      <c r="P54" s="60">
        <f t="shared" si="7"/>
        <v>0</v>
      </c>
      <c r="R54" s="61">
        <v>5</v>
      </c>
      <c r="T54" s="4"/>
      <c r="U54" s="4"/>
      <c r="V54" s="61">
        <f t="shared" si="8"/>
        <v>0</v>
      </c>
      <c r="W54" s="4"/>
      <c r="Y54" s="15">
        <f>P167</f>
        <v>1</v>
      </c>
      <c r="Z54" s="61" t="s">
        <v>238</v>
      </c>
      <c r="AA54" s="60" t="str" cm="1">
        <f t="array" ref="AA54">IF(OR(Y54=0,Y54=""),"",IF(VLOOKUP(Z54,$AI$1:$AJ$58,2,FALSE)&gt;=Y54,INDEX(tblDisciplines[Name],MATCH(1,(tblDisciplines[Discipline]=Z54)*(tblDisciplines[Rank]=Y54),0)),""))</f>
        <v>Celerity 1</v>
      </c>
      <c r="AC54" s="60"/>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
      </c>
      <c r="AF54" s="20" t="str">
        <f>IF(AC54="","",IFERROR(VLOOKUP(AC54,tblDisciplines[],12,FALSE),VLOOKUP(AC54,tblPacts[],5,FALSE)))</f>
        <v/>
      </c>
      <c r="AI54" s="15" t="s">
        <v>252</v>
      </c>
      <c r="AJ54" s="61">
        <f t="shared" si="1"/>
        <v>0</v>
      </c>
      <c r="AK54" s="61">
        <f>AJ54</f>
        <v>0</v>
      </c>
    </row>
    <row r="55" spans="1:37">
      <c r="A55" s="1" t="s">
        <v>54</v>
      </c>
      <c r="B55" t="str">
        <f>REPT("□",P74) &amp; REPT("■",10-P74)</f>
        <v>□□□□□■■■■■</v>
      </c>
      <c r="D55" s="18"/>
      <c r="E55" s="15" t="s">
        <v>36</v>
      </c>
      <c r="F55" s="18"/>
      <c r="G55" s="3"/>
      <c r="H55" s="18"/>
      <c r="I55" s="18"/>
      <c r="L55" s="4">
        <v>1</v>
      </c>
      <c r="M55" s="60"/>
      <c r="N55" s="4"/>
      <c r="O55" s="61">
        <f t="shared" si="9"/>
        <v>0</v>
      </c>
      <c r="P55" s="60">
        <f t="shared" si="7"/>
        <v>1</v>
      </c>
      <c r="R55" s="61">
        <v>5</v>
      </c>
      <c r="T55" s="4"/>
      <c r="U55" s="4"/>
      <c r="V55" s="61">
        <f t="shared" si="8"/>
        <v>0</v>
      </c>
      <c r="W55" s="4"/>
      <c r="Y55" s="15">
        <v>1</v>
      </c>
      <c r="Z55" s="61" t="s">
        <v>239</v>
      </c>
      <c r="AA55" s="60" t="str" cm="1">
        <f t="array" ref="AA55">IF(OR(Y55=0,Y55=""),"",IF(VLOOKUP(Z55,$AI$1:$AJ$58,2,FALSE)&gt;=Y55,INDEX(tblDisciplines[Name],MATCH(1,(tblDisciplines[Discipline]=Z55)*(tblDisciplines[Rank]=Y55),0)),""))</f>
        <v/>
      </c>
      <c r="AC55" s="60"/>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
      </c>
      <c r="AF55" s="20" t="str">
        <f>IF(AC55="","",IFERROR(VLOOKUP(AC55,tblDisciplines[],12,FALSE),VLOOKUP(AC55,tblPacts[],5,FALSE)))</f>
        <v/>
      </c>
      <c r="AI55" s="15" t="s">
        <v>245</v>
      </c>
      <c r="AJ55" s="61">
        <f t="shared" si="1"/>
        <v>0</v>
      </c>
      <c r="AK55" s="61">
        <f>AJ55+IFERROR(INDEX($V$26:$V$38,MATCH(AI55,$E$26:$E$38,0)),0)</f>
        <v>0</v>
      </c>
    </row>
    <row r="56" spans="1:37">
      <c r="A56" s="1" t="s">
        <v>55</v>
      </c>
      <c r="B56" t="str">
        <f ca="1">_xlfn.CONCAT(P75-L223," / ",P75)</f>
        <v>9 / 10</v>
      </c>
      <c r="D56" s="19"/>
      <c r="E56" s="15" t="s">
        <v>37</v>
      </c>
      <c r="F56" s="18"/>
      <c r="G56" s="3"/>
      <c r="H56" s="18"/>
      <c r="I56" s="18"/>
      <c r="L56" s="4"/>
      <c r="M56" s="60"/>
      <c r="N56" s="4"/>
      <c r="O56" s="61">
        <f t="shared" si="9"/>
        <v>0</v>
      </c>
      <c r="P56" s="60">
        <f t="shared" si="7"/>
        <v>0</v>
      </c>
      <c r="R56" s="61">
        <v>5</v>
      </c>
      <c r="T56" s="4"/>
      <c r="U56" s="4"/>
      <c r="V56" s="61">
        <f t="shared" si="8"/>
        <v>0</v>
      </c>
      <c r="W56" s="4"/>
      <c r="Y56" s="15">
        <v>2</v>
      </c>
      <c r="Z56" s="61" t="s">
        <v>239</v>
      </c>
      <c r="AA56" s="60" t="str" cm="1">
        <f t="array" ref="AA56">IF(OR(Y56=0,Y56=""),"",IF(VLOOKUP(Z56,$AI$1:$AJ$58,2,FALSE)&gt;=Y56,INDEX(tblDisciplines[Name],MATCH(1,(tblDisciplines[Discipline]=Z56)*(tblDisciplines[Rank]=Y56),0)),""))</f>
        <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1"/>
        <v>0</v>
      </c>
      <c r="AK56" s="61">
        <f>IF(AJ56=0,IF(COUNTIF($E$42:$E$49,AI56)&gt;0,-3,-1),AJ56)</f>
        <v>-1</v>
      </c>
    </row>
    <row r="57" spans="1:37">
      <c r="A57" s="1" t="s">
        <v>56</v>
      </c>
      <c r="B57" t="str">
        <f ca="1">REPT("□",P75-L223) &amp; REPT("■",20-P75+L223)</f>
        <v>□□□□□□□□□■■■■■■■■■■■</v>
      </c>
      <c r="D57" s="19"/>
      <c r="E57" s="15" t="s">
        <v>38</v>
      </c>
      <c r="F57" s="18"/>
      <c r="G57" s="3"/>
      <c r="H57" s="18"/>
      <c r="I57" s="18"/>
      <c r="L57" s="4">
        <v>1</v>
      </c>
      <c r="M57" s="60"/>
      <c r="N57" s="4"/>
      <c r="O57" s="61">
        <f t="shared" si="9"/>
        <v>0</v>
      </c>
      <c r="P57" s="60">
        <f t="shared" si="7"/>
        <v>1</v>
      </c>
      <c r="R57" s="61">
        <v>5</v>
      </c>
      <c r="T57" s="4"/>
      <c r="U57" s="4"/>
      <c r="V57" s="61">
        <f t="shared" si="8"/>
        <v>0</v>
      </c>
      <c r="W57" s="4"/>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1"/>
        <v>5</v>
      </c>
      <c r="AK57" s="61">
        <f>AJ57</f>
        <v>5</v>
      </c>
    </row>
    <row r="58" spans="1:37">
      <c r="A58" s="1" t="s">
        <v>57</v>
      </c>
      <c r="B58">
        <f ca="1">VLOOKUP(VLOOKUP("Blood Potency", INDIRECT($AH$1),2,FALSE),tblBloodPotency[#Data],3,FALSE)</f>
        <v>1</v>
      </c>
      <c r="D58" s="19"/>
      <c r="E58" s="15" t="s">
        <v>39</v>
      </c>
      <c r="F58" s="18"/>
      <c r="G58" s="3"/>
      <c r="H58" s="18"/>
      <c r="I58" s="18"/>
      <c r="L58" s="4"/>
      <c r="M58" s="60"/>
      <c r="N58" s="4"/>
      <c r="O58" s="61">
        <f t="shared" si="9"/>
        <v>0</v>
      </c>
      <c r="P58" s="60">
        <f t="shared" si="7"/>
        <v>0</v>
      </c>
      <c r="R58" s="61">
        <v>5</v>
      </c>
      <c r="T58" s="4"/>
      <c r="U58" s="4"/>
      <c r="V58" s="61">
        <f t="shared" si="8"/>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1"/>
        <v>3</v>
      </c>
      <c r="AK58" s="61">
        <f>AJ58+IFERROR(INDEX($V$26:$V$38,MATCH(AI58,$E$26:$E$38,0)),0)</f>
        <v>3</v>
      </c>
    </row>
    <row r="59" spans="1:37">
      <c r="A59" s="1" t="s">
        <v>58</v>
      </c>
      <c r="B59" t="str">
        <f ca="1">VLOOKUP(VLOOKUP("Blood Potency", INDIRECT($AH$1),2,FALSE),tblBloodPotency[#Data],4,FALSE)</f>
        <v>Animals</v>
      </c>
      <c r="D59" s="19"/>
      <c r="E59" s="15" t="s">
        <v>40</v>
      </c>
      <c r="F59" s="18"/>
      <c r="G59" s="3"/>
      <c r="H59" s="18"/>
      <c r="I59" s="18"/>
      <c r="L59" s="4"/>
      <c r="M59" s="60"/>
      <c r="N59" s="4"/>
      <c r="O59" s="61">
        <f t="shared" si="9"/>
        <v>0</v>
      </c>
      <c r="P59" s="60">
        <f t="shared" si="7"/>
        <v>0</v>
      </c>
      <c r="R59" s="61">
        <v>5</v>
      </c>
      <c r="T59" s="4"/>
      <c r="U59" s="4"/>
      <c r="V59" s="61">
        <f t="shared" si="8"/>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0">IFERROR(IF(VLOOKUP(SUBSTITUTE(A60," Spec",""),$E$42:$G$69,3,FALSE)=0,"",VLOOKUP(SUBSTITUTE(A60," Spec",""),$E$42:$G$69,3,FALSE)),"")</f>
        <v/>
      </c>
      <c r="Y60" s="15">
        <v>1</v>
      </c>
      <c r="Z60" s="61" t="s">
        <v>240</v>
      </c>
      <c r="AA60" s="60" t="str" cm="1">
        <f t="array" ref="AA60">IF(OR(Y60=0,Y60=""),"",IF(VLOOKUP(Z60,$AI$1:$AJ$58,2,FALSE)&gt;=Y60,INDEX(tblDisciplines[Name],MATCH(1,(tblDisciplines[Discipline]=Z60)*(tblDisciplines[Rank]=Y60),0)),""))</f>
        <v>Awe</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0"/>
        <v/>
      </c>
      <c r="D61" s="16" t="s">
        <v>1459</v>
      </c>
      <c r="E61" s="17"/>
      <c r="F61" s="17"/>
      <c r="G61" s="17" t="s">
        <v>1467</v>
      </c>
      <c r="H61" s="16" t="s">
        <v>1446</v>
      </c>
      <c r="I61" s="3" t="s">
        <v>1565</v>
      </c>
      <c r="L61" s="60">
        <f>IF(I61="",0,VLOOKUP(I61,tblPriority[#Data],3,FALSE))-SUM(L62:L69)</f>
        <v>0</v>
      </c>
      <c r="Y61" s="15">
        <v>2</v>
      </c>
      <c r="Z61" s="61" t="s">
        <v>240</v>
      </c>
      <c r="AA61" s="60" t="str" cm="1">
        <f t="array" ref="AA61">IF(OR(Y61=0,Y61=""),"",IF(VLOOKUP(Z61,$AI$1:$AJ$58,2,FALSE)&gt;=Y61,INDEX(tblDisciplines[Name],MATCH(1,(tblDisciplines[Discipline]=Z61)*(tblDisciplines[Rank]=Y61),0)),""))</f>
        <v>Confidant</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0"/>
        <v/>
      </c>
      <c r="D62" s="18"/>
      <c r="E62" s="15" t="s">
        <v>41</v>
      </c>
      <c r="F62" s="18"/>
      <c r="G62" s="3"/>
      <c r="H62" s="18"/>
      <c r="I62" s="18"/>
      <c r="L62" s="4"/>
      <c r="M62" s="60"/>
      <c r="N62" s="4"/>
      <c r="O62" s="61">
        <f>ROUNDDOWN(N62/2,0)</f>
        <v>0</v>
      </c>
      <c r="P62" s="60">
        <f t="shared" ref="P62:P69" si="11">MIN(SUM(L62,M62,O62),R62)</f>
        <v>0</v>
      </c>
      <c r="R62" s="61">
        <v>5</v>
      </c>
      <c r="T62" s="4"/>
      <c r="U62" s="4"/>
      <c r="V62" s="61">
        <f t="shared" ref="V62:V69" si="12">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0"/>
        <v/>
      </c>
      <c r="D63" s="19"/>
      <c r="E63" s="15" t="s">
        <v>42</v>
      </c>
      <c r="F63" s="18"/>
      <c r="G63" s="3"/>
      <c r="H63" s="18"/>
      <c r="I63" s="18"/>
      <c r="L63" s="4">
        <v>3</v>
      </c>
      <c r="M63" s="60"/>
      <c r="N63" s="4"/>
      <c r="O63" s="61">
        <f t="shared" ref="O63:O69" si="13">ROUNDDOWN(N63/2,0)</f>
        <v>0</v>
      </c>
      <c r="P63" s="60">
        <f t="shared" si="11"/>
        <v>3</v>
      </c>
      <c r="R63" s="61">
        <v>5</v>
      </c>
      <c r="T63" s="4"/>
      <c r="U63" s="4"/>
      <c r="V63" s="61">
        <f t="shared" si="12"/>
        <v>0</v>
      </c>
      <c r="W63" s="4"/>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0"/>
        <v/>
      </c>
      <c r="D64" s="19"/>
      <c r="E64" s="15" t="s">
        <v>43</v>
      </c>
      <c r="F64" s="18"/>
      <c r="G64" s="3"/>
      <c r="H64" s="18"/>
      <c r="I64" s="18"/>
      <c r="L64" s="4">
        <v>3</v>
      </c>
      <c r="M64" s="60"/>
      <c r="N64" s="4"/>
      <c r="O64" s="61">
        <f t="shared" si="13"/>
        <v>0</v>
      </c>
      <c r="P64" s="60">
        <f t="shared" si="11"/>
        <v>3</v>
      </c>
      <c r="R64" s="61">
        <v>5</v>
      </c>
      <c r="T64" s="4"/>
      <c r="U64" s="4"/>
      <c r="V64" s="61">
        <f t="shared" si="12"/>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0"/>
        <v/>
      </c>
      <c r="D65" s="19"/>
      <c r="E65" s="15" t="s">
        <v>44</v>
      </c>
      <c r="F65" s="18"/>
      <c r="G65" s="3"/>
      <c r="H65" s="18"/>
      <c r="I65" s="18"/>
      <c r="L65" s="4"/>
      <c r="M65" s="60"/>
      <c r="N65" s="4"/>
      <c r="O65" s="61">
        <f t="shared" si="13"/>
        <v>0</v>
      </c>
      <c r="P65" s="60">
        <f t="shared" si="11"/>
        <v>0</v>
      </c>
      <c r="R65" s="61">
        <v>5</v>
      </c>
      <c r="T65" s="4"/>
      <c r="U65" s="4"/>
      <c r="V65" s="61">
        <f t="shared" si="12"/>
        <v>0</v>
      </c>
      <c r="W65" s="4"/>
      <c r="Y65" s="15">
        <v>1</v>
      </c>
      <c r="Z65" s="61" t="s">
        <v>241</v>
      </c>
      <c r="AA65" s="60" t="str" cm="1">
        <f t="array" ref="AA65">IF(OR(Y65=0,Y65=""),"",IF(VLOOKUP(Z65,$AI$1:$AJ$58,2,FALSE)&gt;=Y65,INDEX(tblDisciplines[Name],MATCH(1,(tblDisciplines[Discipline]=Z65)*(tblDisciplines[Rank]=Y65),0)),""))</f>
        <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0"/>
        <v/>
      </c>
      <c r="D66" s="19"/>
      <c r="E66" s="15" t="s">
        <v>45</v>
      </c>
      <c r="F66" s="18"/>
      <c r="G66" s="3"/>
      <c r="H66" s="18"/>
      <c r="I66" s="18"/>
      <c r="L66" s="4"/>
      <c r="M66" s="60"/>
      <c r="N66" s="4"/>
      <c r="O66" s="61">
        <f t="shared" si="13"/>
        <v>0</v>
      </c>
      <c r="P66" s="60">
        <f t="shared" si="11"/>
        <v>0</v>
      </c>
      <c r="R66" s="61">
        <v>5</v>
      </c>
      <c r="T66" s="4"/>
      <c r="U66" s="4"/>
      <c r="V66" s="61">
        <f t="shared" si="12"/>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0"/>
        <v/>
      </c>
      <c r="D67" s="19"/>
      <c r="E67" s="15" t="s">
        <v>46</v>
      </c>
      <c r="F67" s="18"/>
      <c r="G67" s="3"/>
      <c r="H67" s="18"/>
      <c r="I67" s="18"/>
      <c r="L67" s="4">
        <v>3</v>
      </c>
      <c r="M67" s="60"/>
      <c r="N67" s="4"/>
      <c r="O67" s="61">
        <f t="shared" si="13"/>
        <v>0</v>
      </c>
      <c r="P67" s="60">
        <f t="shared" si="11"/>
        <v>3</v>
      </c>
      <c r="R67" s="61">
        <v>5</v>
      </c>
      <c r="T67" s="4"/>
      <c r="U67" s="4"/>
      <c r="V67" s="61">
        <f t="shared" si="12"/>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0"/>
        <v/>
      </c>
      <c r="D68" s="18"/>
      <c r="E68" s="15" t="s">
        <v>47</v>
      </c>
      <c r="F68" s="18"/>
      <c r="G68" s="3"/>
      <c r="H68" s="18"/>
      <c r="I68" s="18"/>
      <c r="L68" s="4">
        <v>2</v>
      </c>
      <c r="M68" s="60"/>
      <c r="N68" s="4"/>
      <c r="O68" s="61">
        <f t="shared" si="13"/>
        <v>0</v>
      </c>
      <c r="P68" s="60">
        <f t="shared" si="11"/>
        <v>2</v>
      </c>
      <c r="R68" s="61">
        <v>5</v>
      </c>
      <c r="T68" s="4"/>
      <c r="U68" s="4"/>
      <c r="V68" s="61">
        <f t="shared" si="12"/>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0"/>
        <v/>
      </c>
      <c r="D69" s="18"/>
      <c r="E69" s="15" t="s">
        <v>48</v>
      </c>
      <c r="F69" s="18"/>
      <c r="G69" s="3"/>
      <c r="H69" s="18"/>
      <c r="I69" s="18"/>
      <c r="L69" s="4"/>
      <c r="M69" s="60"/>
      <c r="N69" s="4"/>
      <c r="O69" s="61">
        <f t="shared" si="13"/>
        <v>0</v>
      </c>
      <c r="P69" s="60">
        <f t="shared" si="11"/>
        <v>0</v>
      </c>
      <c r="R69" s="61">
        <v>5</v>
      </c>
      <c r="T69" s="4"/>
      <c r="U69" s="4"/>
      <c r="V69" s="61">
        <f t="shared" si="12"/>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0"/>
        <v/>
      </c>
      <c r="Y70" s="15">
        <v>1</v>
      </c>
      <c r="Z70" s="61" t="s">
        <v>242</v>
      </c>
      <c r="AA70" s="60" t="str" cm="1">
        <f t="array" ref="AA70">IF(OR(Y70=0,Y70=""),"",IF(VLOOKUP(Z70,$AI$1:$AJ$58,2,FALSE)&gt;=Y70,INDEX(tblDisciplines[Name],MATCH(1,(tblDisciplines[Discipline]=Z70)*(tblDisciplines[Rank]=Y70),0)),""))</f>
        <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0"/>
        <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0"/>
        <v/>
      </c>
      <c r="D72" s="19"/>
      <c r="E72" s="15" t="s">
        <v>49</v>
      </c>
      <c r="F72" s="19"/>
      <c r="G72" s="19"/>
      <c r="H72" s="19"/>
      <c r="I72" s="19"/>
      <c r="K72" s="4"/>
      <c r="L72" s="4"/>
      <c r="M72" s="60">
        <v>1</v>
      </c>
      <c r="N72" s="4"/>
      <c r="O72" s="61">
        <f>ROUNDDOWN(N72/5,0)</f>
        <v>0</v>
      </c>
      <c r="P72" s="60">
        <f>MIN(SUM(K72*-1,ROUNDDOWN(L72/5,0),M72,O72),R72)</f>
        <v>1</v>
      </c>
      <c r="R72" s="61">
        <v>2</v>
      </c>
      <c r="Y72" s="15">
        <v>3</v>
      </c>
      <c r="Z72" s="61" t="s">
        <v>242</v>
      </c>
      <c r="AA72" s="60" t="str" cm="1">
        <f t="array" ref="AA72">IF(OR(Y72=0,Y72=""),"",IF(VLOOKUP(Z72,$AI$1:$AJ$58,2,FALSE)&gt;=Y72,INDEX(tblDisciplines[Name],MATCH(1,(tblDisciplines[Discipline]=Z72)*(tblDisciplines[Rank]=Y72),0)),""))</f>
        <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0"/>
        <v/>
      </c>
      <c r="D73" s="19"/>
      <c r="E73" s="15" t="s">
        <v>1448</v>
      </c>
      <c r="F73" s="19"/>
      <c r="G73" s="19"/>
      <c r="H73" s="19"/>
      <c r="I73" s="19"/>
      <c r="K73" s="4">
        <v>1</v>
      </c>
      <c r="M73" s="60">
        <v>7</v>
      </c>
      <c r="N73" s="4"/>
      <c r="O73" s="61">
        <f>ROUNDDOWN(N73/2,0)</f>
        <v>0</v>
      </c>
      <c r="P73" s="60">
        <f>MIN(SUM(K73*-1,M73,O73),R73)</f>
        <v>6</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0"/>
        <v/>
      </c>
      <c r="D74" s="19"/>
      <c r="E74" s="15" t="s">
        <v>53</v>
      </c>
      <c r="F74" s="19"/>
      <c r="G74" s="19"/>
      <c r="H74" s="19"/>
      <c r="I74" s="19"/>
      <c r="K74" s="4"/>
      <c r="M74" s="60">
        <f>P28+P38</f>
        <v>5</v>
      </c>
      <c r="N74" s="4"/>
      <c r="O74" s="61">
        <f>N74</f>
        <v>0</v>
      </c>
      <c r="P74" s="60">
        <f>MIN(SUM(K74*-1,M74,O74),R74)</f>
        <v>5</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0"/>
        <v/>
      </c>
      <c r="D75" s="19"/>
      <c r="E75" s="15" t="s">
        <v>55</v>
      </c>
      <c r="F75" s="19"/>
      <c r="G75" s="19"/>
      <c r="H75" s="19"/>
      <c r="I75" s="19"/>
      <c r="P75" s="60">
        <f ca="1">VLOOKUP(VLOOKUP("Blood Potency",INDIRECT($AH$1),2,FALSE),tblBloodPotency[],2,FALSE)</f>
        <v>10</v>
      </c>
      <c r="Y75" s="15">
        <v>1</v>
      </c>
      <c r="Z75" s="61" t="s">
        <v>243</v>
      </c>
      <c r="AA75" s="60" t="str" cm="1">
        <f t="array" ref="AA75">IF(OR(Y75=0,Y75=""),"",IF(VLOOKUP(Z75,$AI$1:$AJ$58,2,FALSE)&gt;=Y75,INDEX(tblDisciplines[Name],MATCH(1,(tblDisciplines[Discipline]=Z75)*(tblDisciplines[Rank]=Y75),0)),""))</f>
        <v/>
      </c>
    </row>
    <row r="76" spans="1:32">
      <c r="A76" s="1" t="s">
        <v>75</v>
      </c>
      <c r="B76" t="str">
        <f t="shared" si="10"/>
        <v/>
      </c>
      <c r="Y76" s="15">
        <v>2</v>
      </c>
      <c r="Z76" s="61" t="s">
        <v>243</v>
      </c>
      <c r="AA76" s="60" t="str" cm="1">
        <f t="array" ref="AA76">IF(OR(Y76=0,Y76=""),"",IF(VLOOKUP(Z76,$AI$1:$AJ$58,2,FALSE)&gt;=Y76,INDEX(tblDisciplines[Name],MATCH(1,(tblDisciplines[Discipline]=Z76)*(tblDisciplines[Rank]=Y76),0)),""))</f>
        <v/>
      </c>
    </row>
    <row r="77" spans="1:32" ht="15.75" thickBot="1">
      <c r="A77" s="1" t="s">
        <v>76</v>
      </c>
      <c r="B77" t="str">
        <f t="shared" si="10"/>
        <v/>
      </c>
      <c r="D77" s="14" t="s">
        <v>1470</v>
      </c>
      <c r="E77" s="14"/>
      <c r="F77" s="14"/>
      <c r="G77" s="14"/>
      <c r="H77" s="14"/>
      <c r="I77" s="14"/>
      <c r="N77" s="60">
        <f>SUM(N79:N98,N101:N120,N206:N215,N132:N135,N138:N157,N160:N161)</f>
        <v>5</v>
      </c>
      <c r="Y77" s="15">
        <v>3</v>
      </c>
      <c r="Z77" s="61" t="s">
        <v>243</v>
      </c>
      <c r="AA77" s="60" t="str" cm="1">
        <f t="array" ref="AA77">IF(OR(Y77=0,Y77=""),"",IF(VLOOKUP(Z77,$AI$1:$AJ$58,2,FALSE)&gt;=Y77,INDEX(tblDisciplines[Name],MATCH(1,(tblDisciplines[Discipline]=Z77)*(tblDisciplines[Rank]=Y77),0)),""))</f>
        <v/>
      </c>
    </row>
    <row r="78" spans="1:32">
      <c r="A78" s="1" t="s">
        <v>77</v>
      </c>
      <c r="B78" t="str">
        <f t="shared" si="10"/>
        <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0"/>
        <v/>
      </c>
      <c r="D79" s="19"/>
      <c r="E79" s="15" t="s">
        <v>114</v>
      </c>
      <c r="F79" s="3" t="s">
        <v>1666</v>
      </c>
      <c r="G79" s="3"/>
      <c r="H79" s="67" t="str">
        <f>_xlfn.IFNA(IF(VLOOKUP(F79,tblMerits[],6,FALSE)=0,"None",VLOOKUP(F79,tblMerits[],6,FALSE)),"None")</f>
        <v>No Carthian Status</v>
      </c>
      <c r="I79" s="67"/>
      <c r="L79" s="4">
        <v>1</v>
      </c>
      <c r="M79" s="4"/>
      <c r="N79" s="4"/>
      <c r="O79" s="61">
        <f>N79</f>
        <v>0</v>
      </c>
      <c r="P79" s="60">
        <f t="shared" ref="P79:P98" si="14">MIN(SUM(L79,M79,O79),R79)</f>
        <v>1</v>
      </c>
      <c r="Q79" s="61">
        <f>_xlfn.IFNA(VLOOKUP($F79,tblMerits[],3,FALSE),"")</f>
        <v>1</v>
      </c>
      <c r="R79" s="61">
        <f>_xlfn.IFNA(VLOOKUP($F79,tblMerits[],4,FALSE),"")</f>
        <v>1</v>
      </c>
      <c r="Y79" s="15">
        <v>5</v>
      </c>
      <c r="Z79" s="61" t="s">
        <v>243</v>
      </c>
      <c r="AA79" s="60" t="str" cm="1">
        <f t="array" ref="AA79">IF(OR(Y79=0,Y79=""),"",IF(VLOOKUP(Z79,$AI$1:$AJ$58,2,FALSE)&gt;=Y79,INDEX(tblDisciplines[Name],MATCH(1,(tblDisciplines[Discipline]=Z79)*(tblDisciplines[Rank]=Y79),0)),""))</f>
        <v/>
      </c>
    </row>
    <row r="80" spans="1:32">
      <c r="A80" s="1" t="s">
        <v>79</v>
      </c>
      <c r="B80" t="str">
        <f t="shared" si="10"/>
        <v/>
      </c>
      <c r="D80" s="19"/>
      <c r="E80" s="15" t="s">
        <v>115</v>
      </c>
      <c r="F80" s="3" t="s">
        <v>1585</v>
      </c>
      <c r="G80" s="3" t="s">
        <v>1667</v>
      </c>
      <c r="H80" s="67" t="str">
        <f>_xlfn.IFNA(IF(VLOOKUP(F80,tblMerits[],6,FALSE)=0,"None",VLOOKUP(F80,tblMerits[],6,FALSE)),"None")</f>
        <v>None</v>
      </c>
      <c r="I80" s="67"/>
      <c r="L80" s="4">
        <v>1</v>
      </c>
      <c r="M80" s="4"/>
      <c r="N80" s="4"/>
      <c r="O80" s="61">
        <f t="shared" ref="O80:O98" si="15">N80</f>
        <v>0</v>
      </c>
      <c r="P80" s="60">
        <f t="shared" si="14"/>
        <v>1</v>
      </c>
      <c r="Q80" s="61">
        <f>_xlfn.IFNA(VLOOKUP($F80,tblMerits[],3,FALSE),"")</f>
        <v>1</v>
      </c>
      <c r="R80" s="61">
        <f>_xlfn.IFNA(VLOOKUP($F80,tblMerits[],4,FALSE),"")</f>
        <v>1</v>
      </c>
      <c r="Y80" s="15">
        <f>P173</f>
        <v>0</v>
      </c>
      <c r="Z80" s="61" t="s">
        <v>244</v>
      </c>
      <c r="AA80" s="60" t="str" cm="1">
        <f t="array" ref="AA80">IF(OR(Y80=0,Y80=""),"",IF(VLOOKUP(Z80,$AI$1:$AJ$58,2,FALSE)&gt;=Y80,INDEX(tblDisciplines[Name],MATCH(1,(tblDisciplines[Discipline]=Z80)*(tblDisciplines[Rank]=Y80),0)),""))</f>
        <v/>
      </c>
    </row>
    <row r="81" spans="1:27">
      <c r="A81" s="1" t="s">
        <v>80</v>
      </c>
      <c r="B81" t="str">
        <f t="shared" si="10"/>
        <v/>
      </c>
      <c r="D81" s="19"/>
      <c r="E81" s="15" t="s">
        <v>116</v>
      </c>
      <c r="F81" s="3" t="s">
        <v>1585</v>
      </c>
      <c r="G81" s="3" t="s">
        <v>1668</v>
      </c>
      <c r="H81" s="67" t="str">
        <f>_xlfn.IFNA(IF(VLOOKUP(F81,tblMerits[],6,FALSE)=0,"None",VLOOKUP(F81,tblMerits[],6,FALSE)),"None")</f>
        <v>None</v>
      </c>
      <c r="I81" s="67"/>
      <c r="L81" s="4">
        <v>1</v>
      </c>
      <c r="M81" s="4"/>
      <c r="N81" s="4"/>
      <c r="O81" s="61">
        <f t="shared" si="15"/>
        <v>0</v>
      </c>
      <c r="P81" s="60">
        <f t="shared" si="14"/>
        <v>1</v>
      </c>
      <c r="Q81" s="61">
        <f>_xlfn.IFNA(VLOOKUP($F81,tblMerits[],3,FALSE),"")</f>
        <v>1</v>
      </c>
      <c r="R81" s="61">
        <f>_xlfn.IFNA(VLOOKUP($F81,tblMerits[],4,FALSE),"")</f>
        <v>1</v>
      </c>
      <c r="Y81" s="15">
        <f>P174</f>
        <v>0</v>
      </c>
      <c r="Z81" s="61" t="s">
        <v>245</v>
      </c>
      <c r="AA81" s="60" t="str" cm="1">
        <f t="array" ref="AA81">IF(OR(Y81=0,Y81=""),"",IF(VLOOKUP(Z81,$AI$1:$AJ$58,2,FALSE)&gt;=Y81,INDEX(tblDisciplines[Name],MATCH(1,(tblDisciplines[Discipline]=Z81)*(tblDisciplines[Rank]=Y81),0)),""))</f>
        <v/>
      </c>
    </row>
    <row r="82" spans="1:27">
      <c r="A82" s="1" t="s">
        <v>81</v>
      </c>
      <c r="B82" t="str">
        <f t="shared" si="10"/>
        <v/>
      </c>
      <c r="D82" s="19"/>
      <c r="E82" s="15" t="s">
        <v>117</v>
      </c>
      <c r="F82" s="3" t="s">
        <v>819</v>
      </c>
      <c r="G82" s="3"/>
      <c r="H82" s="67" t="str">
        <f>_xlfn.IFNA(IF(VLOOKUP(F82,tblMerits[],6,FALSE)=0,"None",VLOOKUP(F82,tblMerits[],6,FALSE)),"None")</f>
        <v>None</v>
      </c>
      <c r="I82" s="67"/>
      <c r="L82" s="4">
        <v>1</v>
      </c>
      <c r="M82" s="4"/>
      <c r="N82" s="4"/>
      <c r="O82" s="61">
        <f t="shared" si="15"/>
        <v>0</v>
      </c>
      <c r="P82" s="60">
        <f t="shared" si="14"/>
        <v>1</v>
      </c>
      <c r="Q82" s="61">
        <f>_xlfn.IFNA(VLOOKUP($F82,tblMerits[],3,FALSE),"")</f>
        <v>1</v>
      </c>
      <c r="R82" s="61">
        <f>_xlfn.IFNA(VLOOKUP($F82,tblMerits[],4,FALSE),"")</f>
        <v>3</v>
      </c>
      <c r="Y82" s="61" t="s">
        <v>1472</v>
      </c>
      <c r="Z82" s="19"/>
      <c r="AA82" s="60" t="str">
        <f>IF(P177="","",F177)</f>
        <v/>
      </c>
    </row>
    <row r="83" spans="1:27">
      <c r="A83" s="1" t="s">
        <v>82</v>
      </c>
      <c r="B83" t="str">
        <f t="shared" si="10"/>
        <v/>
      </c>
      <c r="D83" s="19"/>
      <c r="E83" s="15" t="s">
        <v>118</v>
      </c>
      <c r="F83" s="3"/>
      <c r="G83" s="3"/>
      <c r="H83" s="67" t="str">
        <f>_xlfn.IFNA(IF(VLOOKUP(F83,tblMerits[],6,FALSE)=0,"None",VLOOKUP(F83,tblMerits[],6,FALSE)),"None")</f>
        <v>None</v>
      </c>
      <c r="I83" s="67"/>
      <c r="L83" s="4"/>
      <c r="M83" s="4"/>
      <c r="N83" s="4"/>
      <c r="O83" s="61">
        <f t="shared" si="15"/>
        <v>0</v>
      </c>
      <c r="P83" s="60">
        <f t="shared" si="14"/>
        <v>0</v>
      </c>
      <c r="Q83" s="61" t="str">
        <f>_xlfn.IFNA(VLOOKUP($F83,tblMerits[],3,FALSE),"")</f>
        <v/>
      </c>
      <c r="R83" s="61" t="str">
        <f>_xlfn.IFNA(VLOOKUP($F83,tblMerits[],4,FALSE),"")</f>
        <v/>
      </c>
      <c r="Y83" s="61" t="s">
        <v>1472</v>
      </c>
      <c r="Z83" s="19"/>
      <c r="AA83" s="60" t="str">
        <f>IF(P178="","",F178)</f>
        <v/>
      </c>
    </row>
    <row r="84" spans="1:27">
      <c r="A84" s="1" t="s">
        <v>83</v>
      </c>
      <c r="B84">
        <f>P124</f>
        <v>2</v>
      </c>
      <c r="D84" s="19"/>
      <c r="E84" s="15" t="s">
        <v>119</v>
      </c>
      <c r="F84" s="3"/>
      <c r="G84" s="3"/>
      <c r="H84" s="67" t="str">
        <f>_xlfn.IFNA(IF(VLOOKUP(F84,tblMerits[],6,FALSE)=0,"None",VLOOKUP(F84,tblMerits[],6,FALSE)),"None")</f>
        <v>None</v>
      </c>
      <c r="I84" s="67"/>
      <c r="L84" s="4"/>
      <c r="M84" s="4"/>
      <c r="N84" s="4"/>
      <c r="O84" s="61">
        <f t="shared" si="15"/>
        <v>0</v>
      </c>
      <c r="P84" s="60">
        <f t="shared" si="14"/>
        <v>0</v>
      </c>
      <c r="Q84" s="61" t="str">
        <f>_xlfn.IFNA(VLOOKUP($F84,tblMerits[],3,FALSE),"")</f>
        <v/>
      </c>
      <c r="R84" s="61" t="str">
        <f>_xlfn.IFNA(VLOOKUP($F84,tblMerits[],4,FALSE),"")</f>
        <v/>
      </c>
      <c r="Y84" s="61" t="s">
        <v>1472</v>
      </c>
      <c r="Z84" s="19"/>
      <c r="AA84" s="60" t="str">
        <f>IF(P179="","",F179)</f>
        <v/>
      </c>
    </row>
    <row r="85" spans="1:27">
      <c r="A85" s="1" t="s">
        <v>84</v>
      </c>
      <c r="B85">
        <f>P125</f>
        <v>2</v>
      </c>
      <c r="D85" s="19"/>
      <c r="E85" s="15" t="s">
        <v>120</v>
      </c>
      <c r="F85" s="3"/>
      <c r="G85" s="3"/>
      <c r="H85" s="67" t="str">
        <f>_xlfn.IFNA(IF(VLOOKUP(F85,tblMerits[],6,FALSE)=0,"None",VLOOKUP(F85,tblMerits[],6,FALSE)),"None")</f>
        <v>None</v>
      </c>
      <c r="I85" s="67"/>
      <c r="L85" s="4"/>
      <c r="M85" s="4"/>
      <c r="N85" s="4"/>
      <c r="O85" s="61">
        <f t="shared" si="15"/>
        <v>0</v>
      </c>
      <c r="P85" s="60">
        <f t="shared" si="14"/>
        <v>0</v>
      </c>
      <c r="Q85" s="61" t="str">
        <f>_xlfn.IFNA(VLOOKUP($F85,tblMerits[],3,FALSE),"")</f>
        <v/>
      </c>
      <c r="R85" s="61" t="str">
        <f>_xlfn.IFNA(VLOOKUP($F85,tblMerits[],4,FALSE),"")</f>
        <v/>
      </c>
      <c r="Y85" s="61" t="s">
        <v>1472</v>
      </c>
      <c r="Z85" s="19"/>
      <c r="AA85" s="60" t="str">
        <f>IF(P180="","",F180)</f>
        <v/>
      </c>
    </row>
    <row r="86" spans="1:27">
      <c r="A86" s="1" t="s">
        <v>85</v>
      </c>
      <c r="B86">
        <f>P126</f>
        <v>1</v>
      </c>
      <c r="D86" s="19"/>
      <c r="E86" s="15" t="s">
        <v>121</v>
      </c>
      <c r="F86" s="3"/>
      <c r="G86" s="3"/>
      <c r="H86" s="67" t="str">
        <f>_xlfn.IFNA(IF(VLOOKUP(F86,tblMerits[],6,FALSE)=0,"None",VLOOKUP(F86,tblMerits[],6,FALSE)),"None")</f>
        <v>None</v>
      </c>
      <c r="I86" s="67"/>
      <c r="L86" s="4"/>
      <c r="M86" s="4"/>
      <c r="N86" s="4"/>
      <c r="O86" s="61">
        <f t="shared" si="15"/>
        <v>0</v>
      </c>
      <c r="P86" s="60">
        <f t="shared" si="14"/>
        <v>0</v>
      </c>
      <c r="Q86" s="61" t="str">
        <f>_xlfn.IFNA(VLOOKUP($F86,tblMerits[],3,FALSE),"")</f>
        <v/>
      </c>
      <c r="R86" s="61" t="str">
        <f>_xlfn.IFNA(VLOOKUP($F86,tblMerits[],4,FALSE),"")</f>
        <v/>
      </c>
      <c r="Y86" s="61" t="s">
        <v>1472</v>
      </c>
      <c r="Z86" s="19"/>
      <c r="AA86" s="60" t="str">
        <f>IF(P181="","",F181)</f>
        <v/>
      </c>
    </row>
    <row r="87" spans="1:27">
      <c r="A87" s="1" t="s">
        <v>86</v>
      </c>
      <c r="B87" t="str">
        <f>IF(F126="","¬",F126)</f>
        <v>Crone</v>
      </c>
      <c r="D87" s="19"/>
      <c r="E87" s="15" t="s">
        <v>122</v>
      </c>
      <c r="F87" s="3"/>
      <c r="G87" s="3"/>
      <c r="H87" s="67" t="str">
        <f>_xlfn.IFNA(IF(VLOOKUP(F87,tblMerits[],6,FALSE)=0,"None",VLOOKUP(F87,tblMerits[],6,FALSE)),"None")</f>
        <v>None</v>
      </c>
      <c r="I87" s="67"/>
      <c r="L87" s="4"/>
      <c r="M87" s="4"/>
      <c r="N87" s="4"/>
      <c r="O87" s="61">
        <f t="shared" si="15"/>
        <v>0</v>
      </c>
      <c r="P87" s="60">
        <f t="shared" si="14"/>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Creation 1</v>
      </c>
    </row>
    <row r="88" spans="1:27">
      <c r="A88" s="1" t="s">
        <v>87</v>
      </c>
      <c r="B88" t="str">
        <f>REPT("●",P126)</f>
        <v>●</v>
      </c>
      <c r="D88" s="19"/>
      <c r="E88" s="15" t="s">
        <v>123</v>
      </c>
      <c r="F88" s="3"/>
      <c r="G88" s="3"/>
      <c r="H88" s="67" t="str">
        <f>_xlfn.IFNA(IF(VLOOKUP(F88,tblMerits[],6,FALSE)=0,"None",VLOOKUP(F88,tblMerits[],6,FALSE)),"None")</f>
        <v>None</v>
      </c>
      <c r="I88" s="67"/>
      <c r="L88" s="4"/>
      <c r="M88" s="4"/>
      <c r="N88" s="4"/>
      <c r="O88" s="61">
        <f t="shared" si="15"/>
        <v>0</v>
      </c>
      <c r="P88" s="60">
        <f t="shared" si="14"/>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Carthian</v>
      </c>
      <c r="D89" s="19"/>
      <c r="E89" s="15" t="s">
        <v>124</v>
      </c>
      <c r="F89" s="3"/>
      <c r="G89" s="3"/>
      <c r="H89" s="67" t="str">
        <f>_xlfn.IFNA(IF(VLOOKUP(F89,tblMerits[],6,FALSE)=0,"None",VLOOKUP(F89,tblMerits[],6,FALSE)),"None")</f>
        <v>None</v>
      </c>
      <c r="I89" s="67"/>
      <c r="L89" s="4"/>
      <c r="M89" s="4"/>
      <c r="N89" s="4"/>
      <c r="O89" s="61">
        <f t="shared" si="15"/>
        <v>0</v>
      </c>
      <c r="P89" s="60">
        <f t="shared" si="14"/>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_xlfn.IFNA(IF(VLOOKUP(F90,tblMerits[],6,FALSE)=0,"None",VLOOKUP(F90,tblMerits[],6,FALSE)),"None")</f>
        <v>None</v>
      </c>
      <c r="I90" s="67"/>
      <c r="L90" s="4"/>
      <c r="M90" s="4"/>
      <c r="N90" s="4"/>
      <c r="O90" s="61">
        <f t="shared" si="15"/>
        <v>0</v>
      </c>
      <c r="P90" s="60">
        <f t="shared" si="14"/>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Invictus</v>
      </c>
      <c r="D91" s="19"/>
      <c r="E91" s="15" t="s">
        <v>126</v>
      </c>
      <c r="F91" s="3"/>
      <c r="G91" s="3"/>
      <c r="H91" s="67" t="str">
        <f>_xlfn.IFNA(IF(VLOOKUP(F91,tblMerits[],6,FALSE)=0,"None",VLOOKUP(F91,tblMerits[],6,FALSE)),"None")</f>
        <v>None</v>
      </c>
      <c r="I91" s="67"/>
      <c r="L91" s="4"/>
      <c r="M91" s="4"/>
      <c r="N91" s="4"/>
      <c r="O91" s="61">
        <f t="shared" si="15"/>
        <v>0</v>
      </c>
      <c r="P91" s="60">
        <f t="shared" si="14"/>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5"/>
        <v>0</v>
      </c>
      <c r="P92" s="60">
        <f t="shared" si="14"/>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Lance</v>
      </c>
      <c r="D93" s="19"/>
      <c r="E93" s="15" t="s">
        <v>128</v>
      </c>
      <c r="F93" s="3"/>
      <c r="G93" s="3"/>
      <c r="H93" s="67" t="str">
        <f>_xlfn.IFNA(IF(VLOOKUP(F93,tblMerits[],6,FALSE)=0,"None",VLOOKUP(F93,tblMerits[],6,FALSE)),"None")</f>
        <v>None</v>
      </c>
      <c r="I93" s="67"/>
      <c r="L93" s="4"/>
      <c r="M93" s="4"/>
      <c r="N93" s="4"/>
      <c r="O93" s="61">
        <f t="shared" si="15"/>
        <v>0</v>
      </c>
      <c r="P93" s="60">
        <f t="shared" si="14"/>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5"/>
        <v>0</v>
      </c>
      <c r="P94" s="60">
        <f t="shared" si="14"/>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5"/>
        <v>0</v>
      </c>
      <c r="P95" s="60">
        <f t="shared" si="14"/>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5"/>
        <v>0</v>
      </c>
      <c r="P96" s="60">
        <f t="shared" si="14"/>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5"/>
        <v>0</v>
      </c>
      <c r="P97" s="60">
        <f t="shared" si="14"/>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Divination 1</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5"/>
        <v>0</v>
      </c>
      <c r="P98" s="60">
        <f t="shared" si="14"/>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c r="G101" s="60" t="str">
        <f>IFERROR(VLOOKUP(F101,tblManoeuvre[],2,FALSE)&amp;" "&amp;VLOOKUP(F101,tblManoeuvre[],3,FALSE),"")</f>
        <v/>
      </c>
      <c r="H101" s="67" t="str">
        <f>IFERROR(IF(VLOOKUP(F101,tblManoeuvre[],8,FALSE)=0,"None",VLOOKUP(F101,tblManoeuvre[],8,FALSE)),"None")</f>
        <v>None</v>
      </c>
      <c r="I101" s="67"/>
      <c r="L101" s="4"/>
      <c r="M101" s="4"/>
      <c r="N101" s="4"/>
      <c r="O101" s="61">
        <f t="shared" ref="O101:O120" si="16">N101</f>
        <v>0</v>
      </c>
      <c r="P101" s="60">
        <f t="shared" ref="P101:P120" si="17">MIN(SUM(L101,M101,O101),R101)</f>
        <v>0</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
      </c>
      <c r="D102" s="19"/>
      <c r="E102" s="15" t="s">
        <v>1441</v>
      </c>
      <c r="F102" s="3"/>
      <c r="G102" s="60" t="str">
        <f>IFERROR(VLOOKUP(F102,tblManoeuvre[],2,FALSE)&amp;" "&amp;VLOOKUP(F102,tblManoeuvre[],3,FALSE),"")</f>
        <v/>
      </c>
      <c r="H102" s="67" t="str">
        <f>IFERROR(IF(VLOOKUP(F102,tblManoeuvre[],8,FALSE)=0,"None",VLOOKUP(F102,tblManoeuvre[],8,FALSE)),"None")</f>
        <v>None</v>
      </c>
      <c r="I102" s="67"/>
      <c r="L102" s="4"/>
      <c r="M102" s="4"/>
      <c r="N102" s="4"/>
      <c r="O102" s="61">
        <f t="shared" si="16"/>
        <v>0</v>
      </c>
      <c r="P102" s="60">
        <f t="shared" si="17"/>
        <v>0</v>
      </c>
      <c r="Q102" s="61">
        <v>1</v>
      </c>
      <c r="R102" s="61">
        <v>1</v>
      </c>
      <c r="Y102" s="15">
        <v>1</v>
      </c>
      <c r="Z102" s="61" t="s">
        <v>251</v>
      </c>
      <c r="AA102" s="60" t="str" cm="1">
        <f t="array" ref="AA102">IF(VLOOKUP(Z102,$AI$1:$AJ$58,2,FALSE)&gt;=Y102,INDEX(tblDisciplines[Name],MATCH(1,(tblDisciplines[Discipline]=Z102)*(tblDisciplines[Rank]=Y102),0)),"")</f>
        <v>Protection 1</v>
      </c>
    </row>
    <row r="103" spans="1:27">
      <c r="A103" s="1" t="s">
        <v>102</v>
      </c>
      <c r="B103">
        <f>P73</f>
        <v>6</v>
      </c>
      <c r="D103" s="19"/>
      <c r="E103" s="15" t="s">
        <v>1443</v>
      </c>
      <c r="F103" s="3"/>
      <c r="G103" s="60" t="str">
        <f>IFERROR(VLOOKUP(F103,tblManoeuvre[],2,FALSE)&amp;" "&amp;VLOOKUP(F103,tblManoeuvre[],3,FALSE),"")</f>
        <v/>
      </c>
      <c r="H103" s="67" t="str">
        <f>IFERROR(IF(VLOOKUP(F103,tblManoeuvre[],8,FALSE)=0,"None",VLOOKUP(F103,tblManoeuvre[],8,FALSE)),"None")</f>
        <v>None</v>
      </c>
      <c r="I103" s="67"/>
      <c r="L103" s="4"/>
      <c r="M103" s="4"/>
      <c r="N103" s="4"/>
      <c r="O103" s="61">
        <f t="shared" si="16"/>
        <v>0</v>
      </c>
      <c r="P103" s="60">
        <f t="shared" si="17"/>
        <v>0</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c r="G104" s="60" t="str">
        <f>IFERROR(VLOOKUP(F104,tblManoeuvre[],2,FALSE)&amp;" "&amp;VLOOKUP(F104,tblManoeuvre[],3,FALSE),"")</f>
        <v/>
      </c>
      <c r="H104" s="67" t="str">
        <f>IFERROR(IF(VLOOKUP(F104,tblManoeuvre[],8,FALSE)=0,"None",VLOOKUP(F104,tblManoeuvre[],8,FALSE)),"None")</f>
        <v>None</v>
      </c>
      <c r="I104" s="67"/>
      <c r="L104" s="4"/>
      <c r="M104" s="4"/>
      <c r="N104" s="4"/>
      <c r="O104" s="61">
        <f t="shared" si="16"/>
        <v>0</v>
      </c>
      <c r="P104" s="60">
        <f t="shared" si="17"/>
        <v>0</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c r="G105" s="60" t="str">
        <f>IFERROR(VLOOKUP(F105,tblManoeuvre[],2,FALSE)&amp;" "&amp;VLOOKUP(F105,tblManoeuvre[],3,FALSE),"")</f>
        <v/>
      </c>
      <c r="H105" s="67" t="str">
        <f>IFERROR(IF(VLOOKUP(F105,tblManoeuvre[],8,FALSE)=0,"None",VLOOKUP(F105,tblManoeuvre[],8,FALSE)),"None")</f>
        <v>None</v>
      </c>
      <c r="I105" s="67"/>
      <c r="L105" s="4"/>
      <c r="M105" s="4"/>
      <c r="N105" s="4"/>
      <c r="O105" s="61">
        <f t="shared" si="16"/>
        <v>0</v>
      </c>
      <c r="P105" s="60">
        <f t="shared" si="17"/>
        <v>0</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IFERROR(VLOOKUP(F106,tblManoeuvre[],2,FALSE)&amp;" "&amp;VLOOKUP(F106,tblManoeuvre[],3,FALSE),"")</f>
        <v/>
      </c>
      <c r="H106" s="67" t="str">
        <f>IFERROR(IF(VLOOKUP(F106,tblManoeuvre[],8,FALSE)=0,"None",VLOOKUP(F106,tblManoeuvre[],8,FALSE)),"None")</f>
        <v>None</v>
      </c>
      <c r="I106" s="67"/>
      <c r="L106" s="4"/>
      <c r="M106" s="4"/>
      <c r="N106" s="4"/>
      <c r="O106" s="61">
        <f t="shared" si="16"/>
        <v>0</v>
      </c>
      <c r="P106" s="60">
        <f t="shared" si="17"/>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IFERROR(VLOOKUP(F107,tblManoeuvre[],2,FALSE)&amp;" "&amp;VLOOKUP(F107,tblManoeuvre[],3,FALSE),"")</f>
        <v/>
      </c>
      <c r="H107" s="67" t="str">
        <f>IFERROR(IF(VLOOKUP(F107,tblManoeuvre[],8,FALSE)=0,"None",VLOOKUP(F107,tblManoeuvre[],8,FALSE)),"None")</f>
        <v>None</v>
      </c>
      <c r="I107" s="67"/>
      <c r="L107" s="4"/>
      <c r="M107" s="4"/>
      <c r="N107" s="4"/>
      <c r="O107" s="61">
        <f t="shared" si="16"/>
        <v>0</v>
      </c>
      <c r="P107" s="60">
        <f t="shared" si="17"/>
        <v>0</v>
      </c>
      <c r="Q107" s="61">
        <v>1</v>
      </c>
      <c r="R107" s="61">
        <v>1</v>
      </c>
      <c r="Y107" s="15">
        <v>1</v>
      </c>
      <c r="Z107" s="61" t="s">
        <v>252</v>
      </c>
      <c r="AA107" s="60" t="str" cm="1">
        <f t="array" ref="AA107">IF(VLOOKUP(Z107,$AI$1:$AJ$58,2,FALSE)&gt;=Y107,INDEX(tblDisciplines[Name],MATCH(1,(tblDisciplines[Discipline]=Z107)*(tblDisciplines[Rank]=Y107),0)),"")</f>
        <v/>
      </c>
    </row>
    <row r="108" spans="1:27">
      <c r="A108" s="1" t="s">
        <v>107</v>
      </c>
      <c r="B108" t="str">
        <f>IF($P$73&gt;=7,"●","○") &amp; IF(F226&lt;&gt;""," (" &amp; F226 &amp; ")","")</f>
        <v>○</v>
      </c>
      <c r="D108" s="19"/>
      <c r="E108" s="15" t="s">
        <v>1452</v>
      </c>
      <c r="F108" s="3"/>
      <c r="G108" s="60" t="str">
        <f>IFERROR(VLOOKUP(F108,tblManoeuvre[],2,FALSE)&amp;" "&amp;VLOOKUP(F108,tblManoeuvre[],3,FALSE),"")</f>
        <v/>
      </c>
      <c r="H108" s="67" t="str">
        <f>IFERROR(IF(VLOOKUP(F108,tblManoeuvre[],8,FALSE)=0,"None",VLOOKUP(F108,tblManoeuvre[],8,FALSE)),"None")</f>
        <v>None</v>
      </c>
      <c r="I108" s="67"/>
      <c r="L108" s="4"/>
      <c r="M108" s="4"/>
      <c r="N108" s="4"/>
      <c r="O108" s="61">
        <f t="shared" si="16"/>
        <v>0</v>
      </c>
      <c r="P108" s="60">
        <f t="shared" si="17"/>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 (One living parent (unnamed))</v>
      </c>
      <c r="D109" s="19"/>
      <c r="E109" s="15" t="s">
        <v>1454</v>
      </c>
      <c r="F109" s="3"/>
      <c r="G109" s="60" t="str">
        <f>IFERROR(VLOOKUP(F109,tblManoeuvre[],2,FALSE)&amp;" "&amp;VLOOKUP(F109,tblManoeuvre[],3,FALSE),"")</f>
        <v/>
      </c>
      <c r="H109" s="67" t="str">
        <f>IFERROR(IF(VLOOKUP(F109,tblManoeuvre[],8,FALSE)=0,"None",VLOOKUP(F109,tblManoeuvre[],8,FALSE)),"None")</f>
        <v>None</v>
      </c>
      <c r="I109" s="67"/>
      <c r="L109" s="4"/>
      <c r="M109" s="4"/>
      <c r="N109" s="4"/>
      <c r="O109" s="61">
        <f t="shared" si="16"/>
        <v>0</v>
      </c>
      <c r="P109" s="60">
        <f t="shared" si="17"/>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 (Unnamed venue regular)</v>
      </c>
      <c r="D110" s="19"/>
      <c r="E110" s="15" t="s">
        <v>1455</v>
      </c>
      <c r="F110" s="3"/>
      <c r="G110" s="60" t="str">
        <f>IFERROR(VLOOKUP(F110,tblManoeuvre[],2,FALSE)&amp;" "&amp;VLOOKUP(F110,tblManoeuvre[],3,FALSE),"")</f>
        <v/>
      </c>
      <c r="H110" s="67" t="str">
        <f>IFERROR(IF(VLOOKUP(F110,tblManoeuvre[],8,FALSE)=0,"None",VLOOKUP(F110,tblManoeuvre[],8,FALSE)),"None")</f>
        <v>None</v>
      </c>
      <c r="I110" s="67"/>
      <c r="L110" s="4"/>
      <c r="M110" s="4"/>
      <c r="N110" s="4"/>
      <c r="O110" s="61">
        <f t="shared" si="16"/>
        <v>0</v>
      </c>
      <c r="P110" s="60">
        <f t="shared" si="17"/>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t="str">
        <f>IFERROR(VLOOKUP(F111,tblManoeuvre[],2,FALSE)&amp;" "&amp;VLOOKUP(F111,tblManoeuvre[],3,FALSE),"")</f>
        <v/>
      </c>
      <c r="H111" s="67" t="str">
        <f>IFERROR(IF(VLOOKUP(F111,tblManoeuvre[],8,FALSE)=0,"None",VLOOKUP(F111,tblManoeuvre[],8,FALSE)),"None")</f>
        <v>None</v>
      </c>
      <c r="I111" s="67"/>
      <c r="L111" s="4"/>
      <c r="M111" s="4"/>
      <c r="N111" s="4"/>
      <c r="O111" s="61">
        <f t="shared" si="16"/>
        <v>0</v>
      </c>
      <c r="P111" s="60">
        <f t="shared" si="17"/>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t="str">
        <f>IFERROR(VLOOKUP(F112,tblManoeuvre[],2,FALSE)&amp;" "&amp;VLOOKUP(F112,tblManoeuvre[],3,FALSE),"")</f>
        <v/>
      </c>
      <c r="H112" s="67" t="str">
        <f>IFERROR(IF(VLOOKUP(F112,tblManoeuvre[],8,FALSE)=0,"None",VLOOKUP(F112,tblManoeuvre[],8,FALSE)),"None")</f>
        <v>None</v>
      </c>
      <c r="I112" s="67"/>
      <c r="L112" s="4"/>
      <c r="M112" s="4"/>
      <c r="N112" s="4"/>
      <c r="O112" s="61">
        <f t="shared" si="16"/>
        <v>0</v>
      </c>
      <c r="P112" s="60">
        <f t="shared" si="17"/>
        <v>0</v>
      </c>
      <c r="Q112" s="61">
        <v>1</v>
      </c>
      <c r="R112" s="61">
        <v>1</v>
      </c>
      <c r="Y112" s="61" t="s">
        <v>1474</v>
      </c>
      <c r="Z112" s="61" t="str">
        <f t="shared" ref="Z112:Z121" si="18">G194</f>
        <v>Cruac</v>
      </c>
      <c r="AA112" s="60" t="str">
        <f t="shared" ref="AA112:AA121" si="19">IF(P194="","",F194)</f>
        <v>Taste of Knowledge</v>
      </c>
    </row>
    <row r="113" spans="1:27">
      <c r="A113" s="1" t="s">
        <v>112</v>
      </c>
      <c r="B113" t="str">
        <f>IF($P$73&gt;=2,"●","○") &amp; IF(F231&lt;&gt;""," (" &amp; F231 &amp; ")","")</f>
        <v>●</v>
      </c>
      <c r="D113" s="19"/>
      <c r="E113" s="15" t="s">
        <v>1458</v>
      </c>
      <c r="F113" s="3"/>
      <c r="G113" s="60" t="str">
        <f>IFERROR(VLOOKUP(F113,tblManoeuvre[],2,FALSE)&amp;" "&amp;VLOOKUP(F113,tblManoeuvre[],3,FALSE),"")</f>
        <v/>
      </c>
      <c r="H113" s="67" t="str">
        <f>IFERROR(IF(VLOOKUP(F113,tblManoeuvre[],8,FALSE)=0,"None",VLOOKUP(F113,tblManoeuvre[],8,FALSE)),"None")</f>
        <v>None</v>
      </c>
      <c r="I113" s="67"/>
      <c r="L113" s="4"/>
      <c r="M113" s="4"/>
      <c r="N113" s="4"/>
      <c r="O113" s="61">
        <f t="shared" si="16"/>
        <v>0</v>
      </c>
      <c r="P113" s="60">
        <f t="shared" si="17"/>
        <v>0</v>
      </c>
      <c r="Q113" s="61">
        <v>1</v>
      </c>
      <c r="R113" s="61">
        <v>1</v>
      </c>
      <c r="Y113" s="61" t="s">
        <v>1474</v>
      </c>
      <c r="Z113" s="61" t="str">
        <f t="shared" si="18"/>
        <v/>
      </c>
      <c r="AA113" s="60" t="str">
        <f t="shared" si="19"/>
        <v/>
      </c>
    </row>
    <row r="114" spans="1:27">
      <c r="A114" s="1" t="s">
        <v>113</v>
      </c>
      <c r="B114" t="str">
        <f>IF($P$73&gt;=1,"●","○") &amp; IF(F232&lt;&gt;""," (" &amp; F232 &amp; ")","")</f>
        <v>●</v>
      </c>
      <c r="D114" s="19"/>
      <c r="E114" s="15" t="s">
        <v>1460</v>
      </c>
      <c r="F114" s="3"/>
      <c r="G114" s="60" t="str">
        <f>IFERROR(VLOOKUP(F114,tblManoeuvre[],2,FALSE)&amp;" "&amp;VLOOKUP(F114,tblManoeuvre[],3,FALSE),"")</f>
        <v/>
      </c>
      <c r="H114" s="67" t="str">
        <f>IFERROR(IF(VLOOKUP(F114,tblManoeuvre[],8,FALSE)=0,"None",VLOOKUP(F114,tblManoeuvre[],8,FALSE)),"None")</f>
        <v>None</v>
      </c>
      <c r="I114" s="67"/>
      <c r="L114" s="4"/>
      <c r="M114" s="4"/>
      <c r="N114" s="4"/>
      <c r="O114" s="61">
        <f t="shared" si="16"/>
        <v>0</v>
      </c>
      <c r="P114" s="60">
        <f t="shared" si="17"/>
        <v>0</v>
      </c>
      <c r="Q114" s="61">
        <v>1</v>
      </c>
      <c r="R114" s="61">
        <v>1</v>
      </c>
      <c r="Y114" s="61" t="s">
        <v>1474</v>
      </c>
      <c r="Z114" s="61" t="str">
        <f t="shared" si="18"/>
        <v/>
      </c>
      <c r="AA114" s="60" t="str">
        <f t="shared" si="19"/>
        <v/>
      </c>
    </row>
    <row r="115" spans="1:27">
      <c r="A115" s="1" t="s">
        <v>114</v>
      </c>
      <c r="B115" t="str">
        <f t="shared" ref="B115:B144" si="20">IF(AD2="","¬",AD2)</f>
        <v>Casual User ●</v>
      </c>
      <c r="D115" s="19"/>
      <c r="E115" s="15" t="s">
        <v>1461</v>
      </c>
      <c r="F115" s="3"/>
      <c r="G115" s="60" t="str">
        <f>IFERROR(VLOOKUP(F115,tblManoeuvre[],2,FALSE)&amp;" "&amp;VLOOKUP(F115,tblManoeuvre[],3,FALSE),"")</f>
        <v/>
      </c>
      <c r="H115" s="67" t="str">
        <f>IFERROR(IF(VLOOKUP(F115,tblManoeuvre[],8,FALSE)=0,"None",VLOOKUP(F115,tblManoeuvre[],8,FALSE)),"None")</f>
        <v>None</v>
      </c>
      <c r="I115" s="67"/>
      <c r="L115" s="4"/>
      <c r="M115" s="4"/>
      <c r="N115" s="4"/>
      <c r="O115" s="61">
        <f t="shared" si="16"/>
        <v>0</v>
      </c>
      <c r="P115" s="60">
        <f t="shared" si="17"/>
        <v>0</v>
      </c>
      <c r="Q115" s="61">
        <v>1</v>
      </c>
      <c r="R115" s="61">
        <v>1</v>
      </c>
      <c r="Y115" s="61" t="s">
        <v>1474</v>
      </c>
      <c r="Z115" s="61" t="str">
        <f t="shared" si="18"/>
        <v/>
      </c>
      <c r="AA115" s="60" t="str">
        <f t="shared" si="19"/>
        <v/>
      </c>
    </row>
    <row r="116" spans="1:27">
      <c r="A116" s="1" t="s">
        <v>115</v>
      </c>
      <c r="B116" t="str">
        <f t="shared" si="20"/>
        <v>Fame ●</v>
      </c>
      <c r="D116" s="19"/>
      <c r="E116" s="15" t="s">
        <v>1462</v>
      </c>
      <c r="F116" s="3"/>
      <c r="G116" s="60" t="str">
        <f>IFERROR(VLOOKUP(F116,tblManoeuvre[],2,FALSE)&amp;" "&amp;VLOOKUP(F116,tblManoeuvre[],3,FALSE),"")</f>
        <v/>
      </c>
      <c r="H116" s="67" t="str">
        <f>IFERROR(IF(VLOOKUP(F116,tblManoeuvre[],8,FALSE)=0,"None",VLOOKUP(F116,tblManoeuvre[],8,FALSE)),"None")</f>
        <v>None</v>
      </c>
      <c r="I116" s="67"/>
      <c r="L116" s="4"/>
      <c r="M116" s="4"/>
      <c r="N116" s="4"/>
      <c r="O116" s="61">
        <f t="shared" si="16"/>
        <v>0</v>
      </c>
      <c r="P116" s="60">
        <f t="shared" si="17"/>
        <v>0</v>
      </c>
      <c r="Q116" s="61">
        <v>1</v>
      </c>
      <c r="R116" s="61">
        <v>1</v>
      </c>
      <c r="Y116" s="61" t="s">
        <v>1474</v>
      </c>
      <c r="Z116" s="61" t="str">
        <f t="shared" si="18"/>
        <v/>
      </c>
      <c r="AA116" s="60" t="str">
        <f t="shared" si="19"/>
        <v/>
      </c>
    </row>
    <row r="117" spans="1:27">
      <c r="A117" s="1" t="s">
        <v>116</v>
      </c>
      <c r="B117" t="str">
        <f t="shared" si="20"/>
        <v>Language (German) ●</v>
      </c>
      <c r="D117" s="19"/>
      <c r="E117" s="15" t="s">
        <v>1463</v>
      </c>
      <c r="F117" s="3"/>
      <c r="G117" s="60" t="str">
        <f>IFERROR(VLOOKUP(F117,tblManoeuvre[],2,FALSE)&amp;" "&amp;VLOOKUP(F117,tblManoeuvre[],3,FALSE),"")</f>
        <v/>
      </c>
      <c r="H117" s="67" t="str">
        <f>IFERROR(IF(VLOOKUP(F117,tblManoeuvre[],8,FALSE)=0,"None",VLOOKUP(F117,tblManoeuvre[],8,FALSE)),"None")</f>
        <v>None</v>
      </c>
      <c r="I117" s="67"/>
      <c r="L117" s="4"/>
      <c r="M117" s="4"/>
      <c r="N117" s="4"/>
      <c r="O117" s="61">
        <f t="shared" si="16"/>
        <v>0</v>
      </c>
      <c r="P117" s="60">
        <f t="shared" si="17"/>
        <v>0</v>
      </c>
      <c r="Q117" s="61">
        <v>1</v>
      </c>
      <c r="R117" s="61">
        <v>1</v>
      </c>
      <c r="Y117" s="61" t="s">
        <v>1474</v>
      </c>
      <c r="Z117" s="61" t="str">
        <f t="shared" si="18"/>
        <v/>
      </c>
      <c r="AA117" s="60" t="str">
        <f t="shared" si="19"/>
        <v/>
      </c>
    </row>
    <row r="118" spans="1:27">
      <c r="A118" s="1" t="s">
        <v>117</v>
      </c>
      <c r="B118" t="str">
        <f t="shared" si="20"/>
        <v>Language (Spanish) ●</v>
      </c>
      <c r="D118" s="19"/>
      <c r="E118" s="15" t="s">
        <v>1464</v>
      </c>
      <c r="F118" s="3"/>
      <c r="G118" s="60" t="str">
        <f>IFERROR(VLOOKUP(F118,tblManoeuvre[],2,FALSE)&amp;" "&amp;VLOOKUP(F118,tblManoeuvre[],3,FALSE),"")</f>
        <v/>
      </c>
      <c r="H118" s="67" t="str">
        <f>IFERROR(IF(VLOOKUP(F118,tblManoeuvre[],8,FALSE)=0,"None",VLOOKUP(F118,tblManoeuvre[],8,FALSE)),"None")</f>
        <v>None</v>
      </c>
      <c r="I118" s="67"/>
      <c r="L118" s="4"/>
      <c r="M118" s="4"/>
      <c r="N118" s="4"/>
      <c r="O118" s="61">
        <f t="shared" si="16"/>
        <v>0</v>
      </c>
      <c r="P118" s="60">
        <f t="shared" si="17"/>
        <v>0</v>
      </c>
      <c r="Q118" s="61">
        <v>1</v>
      </c>
      <c r="R118" s="61">
        <v>1</v>
      </c>
      <c r="Y118" s="61" t="s">
        <v>1474</v>
      </c>
      <c r="Z118" s="61" t="str">
        <f t="shared" si="18"/>
        <v/>
      </c>
      <c r="AA118" s="60" t="str">
        <f t="shared" si="19"/>
        <v/>
      </c>
    </row>
    <row r="119" spans="1:27">
      <c r="A119" s="1" t="s">
        <v>118</v>
      </c>
      <c r="B119" t="str">
        <f t="shared" si="20"/>
        <v>¬</v>
      </c>
      <c r="D119" s="19"/>
      <c r="E119" s="15" t="s">
        <v>1466</v>
      </c>
      <c r="F119" s="3"/>
      <c r="G119" s="60" t="str">
        <f>IFERROR(VLOOKUP(F119,tblManoeuvre[],2,FALSE)&amp;" "&amp;VLOOKUP(F119,tblManoeuvre[],3,FALSE),"")</f>
        <v/>
      </c>
      <c r="H119" s="67" t="str">
        <f>IFERROR(IF(VLOOKUP(F119,tblManoeuvre[],8,FALSE)=0,"None",VLOOKUP(F119,tblManoeuvre[],8,FALSE)),"None")</f>
        <v>None</v>
      </c>
      <c r="I119" s="67"/>
      <c r="L119" s="4"/>
      <c r="M119" s="4"/>
      <c r="N119" s="4"/>
      <c r="O119" s="61">
        <f t="shared" si="16"/>
        <v>0</v>
      </c>
      <c r="P119" s="60">
        <f t="shared" si="17"/>
        <v>0</v>
      </c>
      <c r="Q119" s="61">
        <v>1</v>
      </c>
      <c r="R119" s="61">
        <v>1</v>
      </c>
      <c r="Y119" s="61" t="s">
        <v>1474</v>
      </c>
      <c r="Z119" s="61" t="str">
        <f t="shared" si="18"/>
        <v/>
      </c>
      <c r="AA119" s="60" t="str">
        <f t="shared" si="19"/>
        <v/>
      </c>
    </row>
    <row r="120" spans="1:27">
      <c r="A120" s="1" t="s">
        <v>119</v>
      </c>
      <c r="B120" t="str">
        <f t="shared" si="20"/>
        <v>¬</v>
      </c>
      <c r="D120" s="19"/>
      <c r="E120" s="15" t="s">
        <v>1468</v>
      </c>
      <c r="F120" s="3"/>
      <c r="G120" s="60" t="str">
        <f>IFERROR(VLOOKUP(F120,tblManoeuvre[],2,FALSE)&amp;" "&amp;VLOOKUP(F120,tblManoeuvre[],3,FALSE),"")</f>
        <v/>
      </c>
      <c r="H120" s="67" t="str">
        <f>IFERROR(IF(VLOOKUP(F120,tblManoeuvre[],8,FALSE)=0,"None",VLOOKUP(F120,tblManoeuvre[],8,FALSE)),"None")</f>
        <v>None</v>
      </c>
      <c r="I120" s="67"/>
      <c r="L120" s="4"/>
      <c r="M120" s="4"/>
      <c r="N120" s="4"/>
      <c r="O120" s="61">
        <f t="shared" si="16"/>
        <v>0</v>
      </c>
      <c r="P120" s="60">
        <f t="shared" si="17"/>
        <v>0</v>
      </c>
      <c r="Q120" s="61">
        <v>1</v>
      </c>
      <c r="R120" s="61">
        <v>1</v>
      </c>
      <c r="Y120" s="61" t="s">
        <v>1474</v>
      </c>
      <c r="Z120" s="61" t="str">
        <f t="shared" si="18"/>
        <v/>
      </c>
      <c r="AA120" s="60" t="str">
        <f t="shared" si="19"/>
        <v/>
      </c>
    </row>
    <row r="121" spans="1:27">
      <c r="A121" s="1" t="s">
        <v>120</v>
      </c>
      <c r="B121" t="str">
        <f t="shared" si="20"/>
        <v>¬</v>
      </c>
      <c r="Y121" s="61" t="s">
        <v>1474</v>
      </c>
      <c r="Z121" s="61" t="str">
        <f t="shared" si="18"/>
        <v/>
      </c>
      <c r="AA121" s="60" t="str">
        <f t="shared" si="19"/>
        <v/>
      </c>
    </row>
    <row r="122" spans="1:27" ht="15.75" thickBot="1">
      <c r="A122" s="1" t="s">
        <v>121</v>
      </c>
      <c r="B122" t="str">
        <f t="shared" si="20"/>
        <v>¬</v>
      </c>
      <c r="D122" s="14" t="s">
        <v>1475</v>
      </c>
      <c r="E122" s="14"/>
      <c r="F122" s="14"/>
      <c r="G122" s="14"/>
      <c r="H122" s="14"/>
      <c r="I122" s="14"/>
    </row>
    <row r="123" spans="1:27">
      <c r="A123" s="1" t="s">
        <v>122</v>
      </c>
      <c r="B123" t="str">
        <f t="shared" si="20"/>
        <v>¬</v>
      </c>
      <c r="D123" s="16" t="s">
        <v>927</v>
      </c>
      <c r="E123" s="17"/>
      <c r="F123" s="17"/>
      <c r="G123" s="17"/>
      <c r="H123" s="17"/>
      <c r="I123" s="17"/>
      <c r="Y123" s="15" t="s">
        <v>1476</v>
      </c>
      <c r="Z123" s="19"/>
      <c r="AA123" s="61" t="str">
        <f t="shared" ref="AA123:AA132" si="21">_xlfn.LET(_xlpm.name,VLOOKUP(Y123,$E$2:$F$362,2,FALSE),_xlpm.paid,_xlfn.IFNA(VLOOKUP(_xlpm.name,$F$121:$Q$215,11,FALSE)&gt;=VLOOKUP(_xlpm.name,$F$121:$Q$215,12,FALSE),FALSE),IF(AND(_xlpm.name&lt;&gt;"",_xlpm.paid),_xlpm.name,""))</f>
        <v/>
      </c>
    </row>
    <row r="124" spans="1:27">
      <c r="A124" s="1" t="s">
        <v>123</v>
      </c>
      <c r="B124" t="str">
        <f t="shared" si="20"/>
        <v>¬</v>
      </c>
      <c r="D124" s="19"/>
      <c r="E124" s="15" t="s">
        <v>83</v>
      </c>
      <c r="F124" s="19"/>
      <c r="G124" s="19"/>
      <c r="H124" s="19"/>
      <c r="I124" s="19"/>
      <c r="L124" s="4">
        <v>2</v>
      </c>
      <c r="M124" s="61">
        <f>IFERROR(VLOOKUP(G13,tblEffectiveStatus[#Data],2,FALSE),0)</f>
        <v>0</v>
      </c>
      <c r="P124" s="60">
        <f>MIN(L124+M124,R124)</f>
        <v>2</v>
      </c>
      <c r="R124" s="61">
        <v>10</v>
      </c>
      <c r="Y124" s="15" t="s">
        <v>1477</v>
      </c>
      <c r="Z124" s="19"/>
      <c r="AA124" s="61" t="str">
        <f t="shared" si="21"/>
        <v/>
      </c>
    </row>
    <row r="125" spans="1:27">
      <c r="A125" s="1" t="s">
        <v>124</v>
      </c>
      <c r="B125" t="str">
        <f t="shared" si="20"/>
        <v>¬</v>
      </c>
      <c r="D125" s="19"/>
      <c r="E125" s="15" t="str">
        <f>IF(F7="","Clan Status",F7&amp;" Status")</f>
        <v>Daeva Status</v>
      </c>
      <c r="F125" s="19"/>
      <c r="G125" s="19"/>
      <c r="H125" s="19"/>
      <c r="I125" s="19"/>
      <c r="L125" s="4">
        <v>2</v>
      </c>
      <c r="P125" s="60">
        <f>IF(L125="",0,MIN(L125,R125))</f>
        <v>2</v>
      </c>
      <c r="R125" s="61">
        <v>5</v>
      </c>
      <c r="Y125" s="15" t="s">
        <v>1478</v>
      </c>
      <c r="Z125" s="19"/>
      <c r="AA125" s="61" t="str">
        <f t="shared" si="21"/>
        <v/>
      </c>
    </row>
    <row r="126" spans="1:27">
      <c r="A126" s="1" t="s">
        <v>125</v>
      </c>
      <c r="B126" t="str">
        <f t="shared" si="20"/>
        <v>¬</v>
      </c>
      <c r="D126" s="19"/>
      <c r="E126" s="15" t="str">
        <f>IF(F9="","",F9&amp;" Status")</f>
        <v>Circle of the Crone Status</v>
      </c>
      <c r="F126" s="19" t="str">
        <f>IF(F9="","",VLOOKUP(F9,tblCovenantShortName[#Data],2,FALSE))</f>
        <v>Crone</v>
      </c>
      <c r="G126" s="19"/>
      <c r="H126" s="19"/>
      <c r="I126" s="19"/>
      <c r="L126" s="4">
        <v>1</v>
      </c>
      <c r="P126" s="60">
        <f>L126</f>
        <v>1</v>
      </c>
      <c r="R126" s="61">
        <f>5-SUM(L127:L129)</f>
        <v>5</v>
      </c>
      <c r="Y126" s="15" t="s">
        <v>1479</v>
      </c>
      <c r="Z126" s="19"/>
      <c r="AA126" s="61" t="str">
        <f t="shared" si="21"/>
        <v/>
      </c>
    </row>
    <row r="127" spans="1:27">
      <c r="A127" s="1" t="s">
        <v>126</v>
      </c>
      <c r="B127" t="str">
        <f t="shared" si="20"/>
        <v>¬</v>
      </c>
      <c r="D127" s="19"/>
      <c r="E127" s="15" t="str" cm="1">
        <f t="array" ref="E127">IF(F9="","",IFERROR(INDEX(Lists!$F$2:$F$5,SMALL(IF(Lists!$F$2:$F$5&lt;&gt;$F$9,ROW(Lists!$F$2:$F$5)-ROW(Lists!$F$2)+1),1))&amp;" Status",""))</f>
        <v>Carthian Movement Status</v>
      </c>
      <c r="F127" s="19" t="str" cm="1">
        <f t="array" ref="F127">IF(F9="","",IFERROR(VLOOKUP(INDEX(Lists!$F$2:$F$5,SMALL(IF(Lists!$F$2:$F$5&lt;&gt;$F$9,ROW(Lists!$F$2:$F$5)-ROW(Lists!$F$2)+1),1)),tblCovenantShortName[],2,FALSE),""))</f>
        <v>Carthian</v>
      </c>
      <c r="G127" s="19"/>
      <c r="H127" s="19"/>
      <c r="I127" s="19"/>
      <c r="L127" s="4"/>
      <c r="P127" s="60">
        <f>L127</f>
        <v>0</v>
      </c>
      <c r="R127" s="61">
        <f>MAX(0,MIN(P126-1,5-L126-L128-L129))</f>
        <v>0</v>
      </c>
      <c r="Y127" s="15" t="s">
        <v>1480</v>
      </c>
      <c r="Z127" s="19"/>
      <c r="AA127" s="61" t="str">
        <f t="shared" si="21"/>
        <v/>
      </c>
    </row>
    <row r="128" spans="1:27">
      <c r="A128" s="1" t="s">
        <v>127</v>
      </c>
      <c r="B128" t="str">
        <f t="shared" si="20"/>
        <v>¬</v>
      </c>
      <c r="D128" s="19"/>
      <c r="E128" s="15" t="str" cm="1">
        <f t="array" ref="E128">IF(F9="","",IFERROR(INDEX(Lists!$F$2:$F$5,SMALL(IF(Lists!$F$2:$F$5&lt;&gt;$F$9,ROW(Lists!$F$2:$F$5)-ROW(Lists!$F$2)+1),2))&amp;" Status",""))</f>
        <v>Invictus Status</v>
      </c>
      <c r="F128" s="19" t="str" cm="1">
        <f t="array" ref="F128">IF(F9="","",IFERROR(VLOOKUP(INDEX(Lists!$F$2:$F$5,SMALL(IF(Lists!$F$2:$F$5&lt;&gt;$F$9,ROW(Lists!$F$2:$F$5)-ROW(Lists!$F$2)+1),2)),tblCovenantShortName[],2,FALSE),""))</f>
        <v>Invictus</v>
      </c>
      <c r="G128" s="19"/>
      <c r="H128" s="19"/>
      <c r="I128" s="19"/>
      <c r="L128" s="4"/>
      <c r="P128" s="60">
        <f>L128</f>
        <v>0</v>
      </c>
      <c r="R128" s="61">
        <f>MAX(0,MIN(P126-1,5-L126-L127-L129))</f>
        <v>0</v>
      </c>
      <c r="Y128" s="15" t="s">
        <v>1481</v>
      </c>
      <c r="Z128" s="19"/>
      <c r="AA128" s="61" t="str">
        <f t="shared" si="21"/>
        <v/>
      </c>
    </row>
    <row r="129" spans="1:32">
      <c r="A129" s="1" t="s">
        <v>128</v>
      </c>
      <c r="B129" t="str">
        <f t="shared" si="20"/>
        <v>¬</v>
      </c>
      <c r="D129" s="19"/>
      <c r="E129" s="15" t="str" cm="1">
        <f t="array" ref="E129">IF(F9="","",IFERROR(INDEX(Lists!$F$2:$F$5,SMALL(IF(Lists!$F$2:$F$5&lt;&gt;$F$9,ROW(Lists!$F$2:$F$5)-ROW(Lists!$F$2)+1),3))&amp;" Status",""))</f>
        <v>Lancea et Sanctum Status</v>
      </c>
      <c r="F129" s="19" t="str" cm="1">
        <f t="array" ref="F129">IF(F9="","",IFERROR(VLOOKUP(INDEX(Lists!$F$2:$F$5,SMALL(IF(Lists!$F$2:$F$5&lt;&gt;$F$9,ROW(Lists!$F$2:$F$5)-ROW(Lists!$F$2)+1),3)),tblCovenantShortName[],2,FALSE),""))</f>
        <v>Lance</v>
      </c>
      <c r="G129" s="19"/>
      <c r="H129" s="19"/>
      <c r="I129" s="19"/>
      <c r="L129" s="4"/>
      <c r="P129" s="60">
        <f>L129</f>
        <v>0</v>
      </c>
      <c r="R129" s="61">
        <f>MAX(0,MIN(P126-1,5-L126-L127-L128))</f>
        <v>0</v>
      </c>
      <c r="Y129" s="15" t="s">
        <v>1482</v>
      </c>
      <c r="Z129" s="19"/>
      <c r="AA129" s="61" t="str">
        <f t="shared" si="21"/>
        <v/>
      </c>
    </row>
    <row r="130" spans="1:32">
      <c r="A130" s="1" t="s">
        <v>129</v>
      </c>
      <c r="B130" t="str">
        <f t="shared" si="20"/>
        <v>¬</v>
      </c>
      <c r="Y130" s="15" t="s">
        <v>1483</v>
      </c>
      <c r="Z130" s="19"/>
      <c r="AA130" s="61" t="str">
        <f t="shared" si="21"/>
        <v/>
      </c>
    </row>
    <row r="131" spans="1:32">
      <c r="A131" s="1" t="s">
        <v>130</v>
      </c>
      <c r="B131" t="str">
        <f t="shared" si="20"/>
        <v>¬</v>
      </c>
      <c r="D131" s="16" t="s">
        <v>1475</v>
      </c>
      <c r="E131" s="17"/>
      <c r="F131" s="16" t="s">
        <v>1446</v>
      </c>
      <c r="G131" s="17"/>
      <c r="H131" s="17"/>
      <c r="I131" s="17"/>
      <c r="Y131" s="15" t="s">
        <v>1484</v>
      </c>
      <c r="Z131" s="19"/>
      <c r="AA131" s="61" t="str">
        <f t="shared" si="21"/>
        <v/>
      </c>
    </row>
    <row r="132" spans="1:32">
      <c r="A132" s="1" t="s">
        <v>131</v>
      </c>
      <c r="B132" t="str">
        <f t="shared" si="20"/>
        <v>¬</v>
      </c>
      <c r="D132" s="19"/>
      <c r="E132" s="15" t="s">
        <v>94</v>
      </c>
      <c r="F132" s="3"/>
      <c r="G132" s="19"/>
      <c r="H132" s="19"/>
      <c r="I132" s="19"/>
      <c r="L132" s="4"/>
      <c r="M132" s="4"/>
      <c r="N132" s="4">
        <v>1</v>
      </c>
      <c r="O132" s="61">
        <f>N132</f>
        <v>1</v>
      </c>
      <c r="P132" s="60">
        <f>MIN(SUM(L132,M132,O132),R132)</f>
        <v>1</v>
      </c>
      <c r="Q132" s="61">
        <f>_xlfn.IFNA(VLOOKUP($E132,tblDomain[],3,FALSE),"")</f>
        <v>1</v>
      </c>
      <c r="R132" s="61">
        <f>_xlfn.IFNA(VLOOKUP($E132,tblDomain[],4,FALSE),"")</f>
        <v>5</v>
      </c>
      <c r="Y132" s="15" t="s">
        <v>1485</v>
      </c>
      <c r="Z132" s="19"/>
      <c r="AA132" s="61" t="str">
        <f t="shared" si="21"/>
        <v/>
      </c>
    </row>
    <row r="133" spans="1:32">
      <c r="A133" s="1" t="s">
        <v>132</v>
      </c>
      <c r="B133" t="str">
        <f t="shared" si="20"/>
        <v>¬</v>
      </c>
      <c r="D133" s="19"/>
      <c r="E133" s="15" t="s">
        <v>95</v>
      </c>
      <c r="F133" s="3"/>
      <c r="G133" s="19"/>
      <c r="H133" s="19"/>
      <c r="I133" s="19"/>
      <c r="L133" s="4"/>
      <c r="M133" s="4"/>
      <c r="N133" s="4">
        <v>1</v>
      </c>
      <c r="O133" s="61">
        <f>N133</f>
        <v>1</v>
      </c>
      <c r="P133" s="60">
        <f>MIN(SUM(L133,M133,O133),R133)</f>
        <v>1</v>
      </c>
      <c r="Q133" s="61">
        <f>_xlfn.IFNA(VLOOKUP($E133,tblDomain[],3,FALSE),"")</f>
        <v>1</v>
      </c>
      <c r="R133" s="61">
        <f>_xlfn.IFNA(VLOOKUP($E133,tblDomain[],4,FALSE),"")</f>
        <v>5</v>
      </c>
    </row>
    <row r="134" spans="1:32">
      <c r="A134" s="1" t="s">
        <v>133</v>
      </c>
      <c r="B134" t="str">
        <f t="shared" si="20"/>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2">_xlfn.LET(_xlpm.name,VLOOKUP(Y134,$E$2:$F$362,2,FALSE),_xlpm.note,VLOOKUP(Y134,$E$2:$G$362,3,FALSE),_xlpm.row,MATCH(Y134,$E$138:$E$157,0),_xlpm.dots,INDEX($P$138:$P$157,_xlpm.row),_xlpm.max,INDEX($Q$138:$Q$157,_xlpm.row),_xlpm.paid,_xlfn.IFNA(_xlpm.dots&gt;=_xlpm.max,FALSE),IF(AND(_xlpm.name&lt;&gt;"",_xlpm.paid),IF(_xlpm.note="",_xlpm.name,_xlpm.name&amp;" ("&amp;_xlpm.note&amp;")"),""))</f>
        <v>Allies (Street)</v>
      </c>
      <c r="AC134" s="60" t="str" cm="1">
        <f t="array" ref="AC134:AC138">_xlfn.LET(_xlpm.raw,IFERROR(_xlfn.VSTACK(IFERROR(_xlfn._xlws.SORT(_xlfn._xlws.FILTER(AA134:AA211,AA134:AA211&lt;&gt;"")),""),IFERROR(_xlfn._xlws.SORT(_xlfn._xlws.FILTER(AA213:AA222,AA213:AA222&lt;&gt;"")),"")),""),_xlpm.sorted,IFERROR(_xlfn._xlws.FILTER(_xlpm.raw,_xlpm.raw&lt;&gt;""),""),IFERROR(LEFT(_xlpm.sorted,FIND(" (",_xlpm.sorted)-1),_xlpm.sorted))</f>
        <v>Allies</v>
      </c>
      <c r="AD134" s="20" t="str" cm="1">
        <f t="array" ref="AD134:AD138">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Street</v>
      </c>
      <c r="AE134" s="20">
        <f t="shared" ref="AE134:AE153" si="23">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0</v>
      </c>
      <c r="AF134" s="61" cm="1">
        <f t="array" ref="AF134">IF(AC134="","",SUMPRODUCT(($F$138:$F$157=AC134)*($G$138:$G$157=IF(AD134="","",AD134))*$P$138:$P$157))</f>
        <v>2</v>
      </c>
    </row>
    <row r="135" spans="1:32">
      <c r="A135" s="1" t="s">
        <v>134</v>
      </c>
      <c r="B135" t="str">
        <f t="shared" si="20"/>
        <v>¬</v>
      </c>
      <c r="D135" s="19"/>
      <c r="E135" s="15" t="s">
        <v>97</v>
      </c>
      <c r="F135" s="19"/>
      <c r="G135" s="19"/>
      <c r="H135" s="19"/>
      <c r="I135" s="19"/>
      <c r="L135" s="4"/>
      <c r="M135" s="4"/>
      <c r="N135" s="4">
        <v>2</v>
      </c>
      <c r="O135" s="61">
        <f>N135</f>
        <v>2</v>
      </c>
      <c r="P135" s="60">
        <f>MIN(SUM(L135,M135,O135),R135)</f>
        <v>2</v>
      </c>
      <c r="Q135" s="61">
        <f>_xlfn.IFNA(VLOOKUP($E135,tblDomain[],3,FALSE),"")</f>
        <v>1</v>
      </c>
      <c r="R135" s="61">
        <f>_xlfn.IFNA(VLOOKUP($E135,tblDomain[],4,FALSE),"")</f>
        <v>5</v>
      </c>
      <c r="Y135" s="15" t="s">
        <v>177</v>
      </c>
      <c r="Z135" s="19"/>
      <c r="AA135" s="61" t="str">
        <f t="shared" si="22"/>
        <v>Retainer (Rhythm)</v>
      </c>
      <c r="AC135" s="60" t="str">
        <v>Contacts</v>
      </c>
      <c r="AD135" s="20" t="str">
        <v/>
      </c>
      <c r="AE135" s="20">
        <f t="shared" si="23"/>
        <v>0</v>
      </c>
      <c r="AF135" s="61" cm="1">
        <f t="array" ref="AF135">IF(AC135="","",SUMPRODUCT(($F$138:$F$157=AC135)*($G$138:$G$157=IF(AD135="","",AD135))*$P$138:$P$157))</f>
        <v>2</v>
      </c>
    </row>
    <row r="136" spans="1:32">
      <c r="A136" s="1" t="s">
        <v>135</v>
      </c>
      <c r="B136" t="str">
        <f t="shared" si="20"/>
        <v>¬</v>
      </c>
      <c r="Y136" s="15" t="s">
        <v>178</v>
      </c>
      <c r="Z136" s="19"/>
      <c r="AA136" s="61" t="str">
        <f t="shared" si="22"/>
        <v>Retainer (Melody)</v>
      </c>
      <c r="AC136" s="60" t="str">
        <v>Resources</v>
      </c>
      <c r="AD136" s="20" t="str">
        <v/>
      </c>
      <c r="AE136" s="20">
        <f t="shared" si="23"/>
        <v>0</v>
      </c>
      <c r="AF136" s="61" cm="1">
        <f t="array" ref="AF136">IF(AC136="","",SUMPRODUCT(($F$138:$F$157=AC136)*($G$138:$G$157=IF(AD136="","",AD136))*$P$138:$P$157))</f>
        <v>1</v>
      </c>
    </row>
    <row r="137" spans="1:32">
      <c r="A137" s="1" t="s">
        <v>136</v>
      </c>
      <c r="B137" t="str">
        <f t="shared" si="20"/>
        <v>¬</v>
      </c>
      <c r="D137" s="16" t="s">
        <v>174</v>
      </c>
      <c r="E137" s="17"/>
      <c r="F137" s="17"/>
      <c r="G137" s="17"/>
      <c r="H137" s="61">
        <f>L225</f>
        <v>0</v>
      </c>
      <c r="I137" s="61">
        <f>SUM(AE134:AE155)+SUM(P125:P129)</f>
        <v>3</v>
      </c>
      <c r="Y137" s="15" t="s">
        <v>179</v>
      </c>
      <c r="Z137" s="19"/>
      <c r="AA137" s="61" t="str">
        <f t="shared" si="22"/>
        <v>Contacts</v>
      </c>
      <c r="AC137" s="60" t="str">
        <v>Retainer</v>
      </c>
      <c r="AD137" s="20" t="str">
        <v>Melody</v>
      </c>
      <c r="AE137" s="20">
        <f t="shared" si="23"/>
        <v>0</v>
      </c>
      <c r="AF137" s="61" cm="1">
        <f t="array" ref="AF137">IF(AC137="","",SUMPRODUCT(($F$138:$F$157=AC137)*($G$138:$G$157=IF(AD137="","",AD137))*$P$138:$P$157))</f>
        <v>1</v>
      </c>
    </row>
    <row r="138" spans="1:32">
      <c r="A138" s="1" t="s">
        <v>137</v>
      </c>
      <c r="B138" t="str">
        <f t="shared" si="20"/>
        <v>¬</v>
      </c>
      <c r="D138" s="19"/>
      <c r="E138" s="15" t="s">
        <v>176</v>
      </c>
      <c r="F138" s="3" t="s">
        <v>412</v>
      </c>
      <c r="G138" s="3" t="s">
        <v>804</v>
      </c>
      <c r="H138" s="67" t="str">
        <f>IFERROR(IF(VLOOKUP(F138,tblManoeuvre[],8,FALSE)=0,"None",VLOOKUP(F138,tblManoeuvre[],8,FALSE)),"None")</f>
        <v>None</v>
      </c>
      <c r="I138" s="67"/>
      <c r="L138" s="4">
        <v>1</v>
      </c>
      <c r="M138" s="4"/>
      <c r="N138" s="4">
        <v>1</v>
      </c>
      <c r="O138" s="61">
        <f t="shared" ref="O138:O157" si="24">N138</f>
        <v>1</v>
      </c>
      <c r="P138" s="60">
        <f t="shared" ref="P138:P157" si="25">MIN(SUM(L138,M138,O138),R138)</f>
        <v>2</v>
      </c>
      <c r="Q138" s="61">
        <f>_xlfn.IFNA(VLOOKUP($F138,tblInfluence[],3,FALSE),"")</f>
        <v>1</v>
      </c>
      <c r="R138" s="61">
        <f>_xlfn.IFNA(VLOOKUP($F138,tblInfluence[],4,FALSE),"")</f>
        <v>5</v>
      </c>
      <c r="Y138" s="15" t="s">
        <v>180</v>
      </c>
      <c r="Z138" s="19"/>
      <c r="AA138" s="61" t="str">
        <f t="shared" si="22"/>
        <v>Resources</v>
      </c>
      <c r="AC138" s="60" t="str">
        <v>Retainer</v>
      </c>
      <c r="AD138" s="20" t="str">
        <v>Rhythm</v>
      </c>
      <c r="AE138" s="20">
        <f t="shared" si="23"/>
        <v>0</v>
      </c>
      <c r="AF138" s="61" cm="1">
        <f t="array" ref="AF138">IF(AC138="","",SUMPRODUCT(($F$138:$F$157=AC138)*($G$138:$G$157=IF(AD138="","",AD138))*$P$138:$P$157))</f>
        <v>1</v>
      </c>
    </row>
    <row r="139" spans="1:32">
      <c r="A139" s="1" t="s">
        <v>138</v>
      </c>
      <c r="B139" t="str">
        <f t="shared" si="20"/>
        <v>¬</v>
      </c>
      <c r="D139" s="19"/>
      <c r="E139" s="15" t="s">
        <v>177</v>
      </c>
      <c r="F139" s="3" t="s">
        <v>468</v>
      </c>
      <c r="G139" s="3" t="s">
        <v>806</v>
      </c>
      <c r="H139" s="67" t="str">
        <f>IFERROR(IF(VLOOKUP(F139,tblManoeuvre[],8,FALSE)=0,"None",VLOOKUP(F139,tblManoeuvre[],8,FALSE)),"None")</f>
        <v>None</v>
      </c>
      <c r="I139" s="67"/>
      <c r="L139" s="4">
        <v>1</v>
      </c>
      <c r="M139" s="4"/>
      <c r="N139" s="4"/>
      <c r="O139" s="61">
        <f t="shared" si="24"/>
        <v>0</v>
      </c>
      <c r="P139" s="60">
        <f t="shared" si="25"/>
        <v>1</v>
      </c>
      <c r="Q139" s="61">
        <f>_xlfn.IFNA(VLOOKUP($F139,tblInfluence[],3,FALSE),"")</f>
        <v>1</v>
      </c>
      <c r="R139" s="61">
        <f>_xlfn.IFNA(VLOOKUP($F139,tblInfluence[],4,FALSE),"")</f>
        <v>5</v>
      </c>
      <c r="Y139" s="15" t="s">
        <v>181</v>
      </c>
      <c r="Z139" s="19"/>
      <c r="AA139" s="61" t="str">
        <f t="shared" si="22"/>
        <v/>
      </c>
      <c r="AC139" s="60"/>
      <c r="AD139" s="20"/>
      <c r="AE139" s="20" t="str">
        <f t="shared" si="23"/>
        <v/>
      </c>
      <c r="AF139" s="61" t="str" cm="1">
        <f t="array" ref="AF139">IF(AC139="","",SUMPRODUCT(($F$138:$F$157=AC139)*($G$138:$G$157=IF(AD139="","",AD139))*$P$138:$P$157))</f>
        <v/>
      </c>
    </row>
    <row r="140" spans="1:32">
      <c r="A140" s="1" t="s">
        <v>139</v>
      </c>
      <c r="B140" t="str">
        <f t="shared" si="20"/>
        <v>¬</v>
      </c>
      <c r="D140" s="19"/>
      <c r="E140" s="15" t="s">
        <v>178</v>
      </c>
      <c r="F140" s="3" t="s">
        <v>468</v>
      </c>
      <c r="G140" s="3" t="s">
        <v>805</v>
      </c>
      <c r="H140" s="67" t="str">
        <f>IFERROR(IF(VLOOKUP(F140,tblManoeuvre[],8,FALSE)=0,"None",VLOOKUP(F140,tblManoeuvre[],8,FALSE)),"None")</f>
        <v>None</v>
      </c>
      <c r="I140" s="67"/>
      <c r="L140" s="4">
        <v>1</v>
      </c>
      <c r="M140" s="4"/>
      <c r="N140" s="4"/>
      <c r="O140" s="61">
        <f t="shared" si="24"/>
        <v>0</v>
      </c>
      <c r="P140" s="60">
        <f t="shared" si="25"/>
        <v>1</v>
      </c>
      <c r="Q140" s="61">
        <f>_xlfn.IFNA(VLOOKUP($F140,tblInfluence[],3,FALSE),"")</f>
        <v>1</v>
      </c>
      <c r="R140" s="61">
        <f>_xlfn.IFNA(VLOOKUP($F140,tblInfluence[],4,FALSE),"")</f>
        <v>5</v>
      </c>
      <c r="Y140" s="15" t="s">
        <v>182</v>
      </c>
      <c r="Z140" s="19"/>
      <c r="AA140" s="61" t="str">
        <f t="shared" si="22"/>
        <v/>
      </c>
      <c r="AC140" s="60"/>
      <c r="AD140" s="20"/>
      <c r="AE140" s="20" t="str">
        <f t="shared" si="23"/>
        <v/>
      </c>
      <c r="AF140" s="61" t="str" cm="1">
        <f t="array" ref="AF140">IF(AC140="","",SUMPRODUCT(($F$138:$F$157=AC140)*($G$138:$G$157=IF(AD140="","",AD140))*$P$138:$P$157))</f>
        <v/>
      </c>
    </row>
    <row r="141" spans="1:32">
      <c r="A141" s="1" t="s">
        <v>140</v>
      </c>
      <c r="B141" t="str">
        <f t="shared" si="20"/>
        <v>¬</v>
      </c>
      <c r="D141" s="19"/>
      <c r="E141" s="15" t="s">
        <v>179</v>
      </c>
      <c r="F141" s="3" t="s">
        <v>413</v>
      </c>
      <c r="G141" s="3" t="str">
        <f>IFERROR(VLOOKUP(F141,tblManoeuvre[#Data],2,FALSE)&amp;" "&amp;VLOOKUP(F141,tblManoeuvre[#Data],3,FALSE),"")</f>
        <v/>
      </c>
      <c r="H141" s="67" t="str">
        <f>IFERROR(IF(VLOOKUP(F141,tblManoeuvre[],8,FALSE)=0,"None",VLOOKUP(F141,tblManoeuvre[],8,FALSE)),"None")</f>
        <v>None</v>
      </c>
      <c r="I141" s="67"/>
      <c r="L141" s="4">
        <v>2</v>
      </c>
      <c r="M141" s="4"/>
      <c r="N141" s="4"/>
      <c r="O141" s="61">
        <f t="shared" si="24"/>
        <v>0</v>
      </c>
      <c r="P141" s="60">
        <f t="shared" si="25"/>
        <v>2</v>
      </c>
      <c r="Q141" s="61">
        <f>_xlfn.IFNA(VLOOKUP($F141,tblInfluence[],3,FALSE),"")</f>
        <v>1</v>
      </c>
      <c r="R141" s="61">
        <f>_xlfn.IFNA(VLOOKUP($F141,tblInfluence[],4,FALSE),"")</f>
        <v>5</v>
      </c>
      <c r="Y141" s="15" t="s">
        <v>183</v>
      </c>
      <c r="Z141" s="19"/>
      <c r="AA141" s="61" t="str">
        <f t="shared" si="22"/>
        <v/>
      </c>
      <c r="AC141" s="60"/>
      <c r="AD141" s="20"/>
      <c r="AE141" s="20" t="str">
        <f t="shared" si="23"/>
        <v/>
      </c>
      <c r="AF141" s="61" t="str" cm="1">
        <f t="array" ref="AF141">IF(AC141="","",SUMPRODUCT(($F$138:$F$157=AC141)*($G$138:$G$157=IF(AD141="","",AD141))*$P$138:$P$157))</f>
        <v/>
      </c>
    </row>
    <row r="142" spans="1:32">
      <c r="A142" s="1" t="s">
        <v>141</v>
      </c>
      <c r="B142" t="str">
        <f t="shared" si="20"/>
        <v>¬</v>
      </c>
      <c r="D142" s="19"/>
      <c r="E142" s="15" t="s">
        <v>180</v>
      </c>
      <c r="F142" s="3" t="s">
        <v>525</v>
      </c>
      <c r="G142" s="3" t="str">
        <f>IFERROR(VLOOKUP(F142,tblManoeuvre[#Data],2,FALSE)&amp;" "&amp;VLOOKUP(F142,tblManoeuvre[#Data],3,FALSE),"")</f>
        <v/>
      </c>
      <c r="H142" s="67" t="str">
        <f>IFERROR(IF(VLOOKUP(F142,tblManoeuvre[],8,FALSE)=0,"None",VLOOKUP(F142,tblManoeuvre[],8,FALSE)),"None")</f>
        <v>None</v>
      </c>
      <c r="I142" s="67"/>
      <c r="L142" s="4">
        <v>1</v>
      </c>
      <c r="M142" s="4"/>
      <c r="N142" s="4"/>
      <c r="O142" s="61">
        <f t="shared" si="24"/>
        <v>0</v>
      </c>
      <c r="P142" s="60">
        <f t="shared" si="25"/>
        <v>1</v>
      </c>
      <c r="Q142" s="61">
        <f>_xlfn.IFNA(VLOOKUP($F142,tblInfluence[],3,FALSE),"")</f>
        <v>1</v>
      </c>
      <c r="R142" s="61">
        <f>_xlfn.IFNA(VLOOKUP($F142,tblInfluence[],4,FALSE),"")</f>
        <v>5</v>
      </c>
      <c r="Y142" s="15" t="s">
        <v>184</v>
      </c>
      <c r="Z142" s="19"/>
      <c r="AA142" s="61" t="str">
        <f t="shared" si="22"/>
        <v/>
      </c>
      <c r="AC142" s="60"/>
      <c r="AD142" s="20"/>
      <c r="AE142" s="20" t="str">
        <f t="shared" si="23"/>
        <v/>
      </c>
      <c r="AF142" s="61" t="str" cm="1">
        <f t="array" ref="AF142">IF(AC142="","",SUMPRODUCT(($F$138:$F$157=AC142)*($G$138:$G$157=IF(AD142="","",AD142))*$P$138:$P$157))</f>
        <v/>
      </c>
    </row>
    <row r="143" spans="1:32">
      <c r="A143" s="1" t="s">
        <v>142</v>
      </c>
      <c r="B143" t="str">
        <f t="shared" si="20"/>
        <v>¬</v>
      </c>
      <c r="D143" s="19"/>
      <c r="E143" s="15" t="s">
        <v>181</v>
      </c>
      <c r="F143" s="3"/>
      <c r="G143" s="3" t="str">
        <f>IFERROR(VLOOKUP(F143,tblManoeuvre[#Data],2,FALSE)&amp;" "&amp;VLOOKUP(F143,tblManoeuvre[#Data],3,FALSE),"")</f>
        <v/>
      </c>
      <c r="H143" s="67" t="str">
        <f>IFERROR(IF(VLOOKUP(F143,tblManoeuvre[],8,FALSE)=0,"None",VLOOKUP(F143,tblManoeuvre[],8,FALSE)),"None")</f>
        <v>None</v>
      </c>
      <c r="I143" s="67"/>
      <c r="L143" s="4"/>
      <c r="M143" s="4"/>
      <c r="N143" s="4"/>
      <c r="O143" s="61">
        <f t="shared" si="24"/>
        <v>0</v>
      </c>
      <c r="P143" s="60">
        <f t="shared" si="25"/>
        <v>0</v>
      </c>
      <c r="Q143" s="61" t="str">
        <f>_xlfn.IFNA(VLOOKUP($F143,tblInfluence[],3,FALSE),"")</f>
        <v/>
      </c>
      <c r="R143" s="61" t="str">
        <f>_xlfn.IFNA(VLOOKUP($F143,tblInfluence[],4,FALSE),"")</f>
        <v/>
      </c>
      <c r="Y143" s="15" t="s">
        <v>185</v>
      </c>
      <c r="Z143" s="19"/>
      <c r="AA143" s="61" t="str">
        <f t="shared" si="22"/>
        <v/>
      </c>
      <c r="AC143" s="60"/>
      <c r="AD143" s="20"/>
      <c r="AE143" s="20" t="str">
        <f t="shared" si="23"/>
        <v/>
      </c>
      <c r="AF143" s="61" t="str" cm="1">
        <f t="array" ref="AF143">IF(AC143="","",SUMPRODUCT(($F$138:$F$157=AC143)*($G$138:$G$157=IF(AD143="","",AD143))*$P$138:$P$157))</f>
        <v/>
      </c>
    </row>
    <row r="144" spans="1:32">
      <c r="A144" s="1" t="s">
        <v>143</v>
      </c>
      <c r="B144" t="str">
        <f t="shared" si="20"/>
        <v>¬</v>
      </c>
      <c r="D144" s="19"/>
      <c r="E144" s="15" t="s">
        <v>182</v>
      </c>
      <c r="F144" s="3"/>
      <c r="G144" s="3" t="str">
        <f>IFERROR(VLOOKUP(F144,tblManoeuvre[#Data],2,FALSE)&amp;" "&amp;VLOOKUP(F144,tblManoeuvre[#Data],3,FALSE),"")</f>
        <v/>
      </c>
      <c r="H144" s="67" t="str">
        <f>IFERROR(IF(VLOOKUP(F144,tblManoeuvre[],8,FALSE)=0,"None",VLOOKUP(F144,tblManoeuvre[],8,FALSE)),"None")</f>
        <v>None</v>
      </c>
      <c r="I144" s="67"/>
      <c r="L144" s="4"/>
      <c r="M144" s="4"/>
      <c r="N144" s="4"/>
      <c r="O144" s="61">
        <f t="shared" si="24"/>
        <v>0</v>
      </c>
      <c r="P144" s="60">
        <f t="shared" si="25"/>
        <v>0</v>
      </c>
      <c r="Q144" s="61" t="str">
        <f>_xlfn.IFNA(VLOOKUP($F144,tblInfluence[],3,FALSE),"")</f>
        <v/>
      </c>
      <c r="R144" s="61" t="str">
        <f>_xlfn.IFNA(VLOOKUP($F144,tblInfluence[],4,FALSE),"")</f>
        <v/>
      </c>
      <c r="Y144" s="15" t="s">
        <v>186</v>
      </c>
      <c r="Z144" s="19"/>
      <c r="AA144" s="61" t="str">
        <f t="shared" si="22"/>
        <v/>
      </c>
      <c r="AC144" s="60"/>
      <c r="AD144" s="20"/>
      <c r="AE144" s="20" t="str">
        <f t="shared" si="23"/>
        <v/>
      </c>
      <c r="AF144" s="61" t="str" cm="1">
        <f t="array" ref="AF144">IF(AC144="","",SUMPRODUCT(($F$138:$F$157=AC144)*($G$138:$G$157=IF(AD144="","",AD144))*$P$138:$P$157))</f>
        <v/>
      </c>
    </row>
    <row r="145" spans="1:32">
      <c r="A145" s="1" t="s">
        <v>144</v>
      </c>
      <c r="B145" t="str">
        <f t="shared" ref="B145:B174" si="26">IF(AF2="","¬",AF2)</f>
        <v>Benefits of one dot Carthian Status for social bonuses and Carthian Law effects. Once per story, call a small favour.</v>
      </c>
      <c r="D145" s="19"/>
      <c r="E145" s="15" t="s">
        <v>183</v>
      </c>
      <c r="F145" s="3"/>
      <c r="G145" s="3" t="str">
        <f>IFERROR(VLOOKUP(F145,tblManoeuvre[#Data],2,FALSE)&amp;" "&amp;VLOOKUP(F145,tblManoeuvre[#Data],3,FALSE),"")</f>
        <v/>
      </c>
      <c r="H145" s="67" t="str">
        <f>IFERROR(IF(VLOOKUP(F145,tblManoeuvre[],8,FALSE)=0,"None",VLOOKUP(F145,tblManoeuvre[],8,FALSE)),"None")</f>
        <v>None</v>
      </c>
      <c r="I145" s="67"/>
      <c r="L145" s="4"/>
      <c r="M145" s="4"/>
      <c r="N145" s="4"/>
      <c r="O145" s="61">
        <f t="shared" si="24"/>
        <v>0</v>
      </c>
      <c r="P145" s="60">
        <f t="shared" si="25"/>
        <v>0</v>
      </c>
      <c r="Q145" s="61" t="str">
        <f>_xlfn.IFNA(VLOOKUP($F145,tblInfluence[],3,FALSE),"")</f>
        <v/>
      </c>
      <c r="R145" s="61" t="str">
        <f>_xlfn.IFNA(VLOOKUP($F145,tblInfluence[],4,FALSE),"")</f>
        <v/>
      </c>
      <c r="Y145" s="15" t="s">
        <v>187</v>
      </c>
      <c r="Z145" s="19"/>
      <c r="AA145" s="61" t="str">
        <f t="shared" si="22"/>
        <v/>
      </c>
      <c r="AC145" s="60"/>
      <c r="AD145" s="20"/>
      <c r="AE145" s="20" t="str">
        <f t="shared" si="23"/>
        <v/>
      </c>
      <c r="AF145" s="61" t="str" cm="1">
        <f t="array" ref="AF145">IF(AC145="","",SUMPRODUCT(($F$138:$F$157=AC145)*($G$138:$G$157=IF(AD145="","",AD145))*$P$138:$P$157))</f>
        <v/>
      </c>
    </row>
    <row r="146" spans="1:32">
      <c r="A146" s="1" t="s">
        <v>145</v>
      </c>
      <c r="B146" t="str">
        <f t="shared" si="26"/>
        <v>Known: (•) locally, (••) broadly, (•••) universally. Add dots to Social rolls on impressed targets, and to rolls to find/identify you.</v>
      </c>
      <c r="D146" s="19"/>
      <c r="E146" s="15" t="s">
        <v>184</v>
      </c>
      <c r="F146" s="3"/>
      <c r="G146" s="3" t="str">
        <f>IFERROR(VLOOKUP(F146,tblManoeuvre[#Data],2,FALSE)&amp;" "&amp;VLOOKUP(F146,tblManoeuvre[#Data],3,FALSE),"")</f>
        <v/>
      </c>
      <c r="H146" s="67" t="str">
        <f>IFERROR(IF(VLOOKUP(F146,tblManoeuvre[],8,FALSE)=0,"None",VLOOKUP(F146,tblManoeuvre[],8,FALSE)),"None")</f>
        <v>None</v>
      </c>
      <c r="I146" s="67"/>
      <c r="L146" s="4"/>
      <c r="M146" s="4"/>
      <c r="N146" s="4"/>
      <c r="O146" s="61">
        <f t="shared" si="24"/>
        <v>0</v>
      </c>
      <c r="P146" s="60">
        <f t="shared" si="25"/>
        <v>0</v>
      </c>
      <c r="Q146" s="61" t="str">
        <f>_xlfn.IFNA(VLOOKUP($F146,tblInfluence[],3,FALSE),"")</f>
        <v/>
      </c>
      <c r="R146" s="61" t="str">
        <f>_xlfn.IFNA(VLOOKUP($F146,tblInfluence[],4,FALSE),"")</f>
        <v/>
      </c>
      <c r="Y146" s="15" t="s">
        <v>188</v>
      </c>
      <c r="Z146" s="19"/>
      <c r="AA146" s="61" t="str">
        <f t="shared" si="22"/>
        <v/>
      </c>
      <c r="AC146" s="60"/>
      <c r="AD146" s="20"/>
      <c r="AE146" s="20" t="str">
        <f t="shared" si="23"/>
        <v/>
      </c>
      <c r="AF146" s="61" t="str" cm="1">
        <f t="array" ref="AF146">IF(AC146="","",SUMPRODUCT(($F$138:$F$157=AC146)*($G$138:$G$157=IF(AD146="","",AD146))*$P$138:$P$157))</f>
        <v/>
      </c>
    </row>
    <row r="147" spans="1:32">
      <c r="A147" s="1" t="s">
        <v>146</v>
      </c>
      <c r="B147" t="str">
        <f t="shared" si="26"/>
        <v>Speak, read and write a chosen language.</v>
      </c>
      <c r="D147" s="19"/>
      <c r="E147" s="15" t="s">
        <v>185</v>
      </c>
      <c r="F147" s="3"/>
      <c r="G147" s="3" t="str">
        <f>IFERROR(VLOOKUP(F147,tblManoeuvre[#Data],2,FALSE)&amp;" "&amp;VLOOKUP(F147,tblManoeuvre[#Data],3,FALSE),"")</f>
        <v/>
      </c>
      <c r="H147" s="67" t="str">
        <f>IFERROR(IF(VLOOKUP(F147,tblManoeuvre[],8,FALSE)=0,"None",VLOOKUP(F147,tblManoeuvre[],8,FALSE)),"None")</f>
        <v>None</v>
      </c>
      <c r="I147" s="67"/>
      <c r="L147" s="4"/>
      <c r="M147" s="4"/>
      <c r="N147" s="4"/>
      <c r="O147" s="61">
        <f t="shared" si="24"/>
        <v>0</v>
      </c>
      <c r="P147" s="60">
        <f t="shared" si="25"/>
        <v>0</v>
      </c>
      <c r="Q147" s="61" t="str">
        <f>_xlfn.IFNA(VLOOKUP($F147,tblInfluence[],3,FALSE),"")</f>
        <v/>
      </c>
      <c r="R147" s="61" t="str">
        <f>_xlfn.IFNA(VLOOKUP($F147,tblInfluence[],4,FALSE),"")</f>
        <v/>
      </c>
      <c r="Y147" s="15" t="s">
        <v>189</v>
      </c>
      <c r="Z147" s="19"/>
      <c r="AA147" s="61" t="str">
        <f t="shared" si="22"/>
        <v/>
      </c>
      <c r="AC147" s="60"/>
      <c r="AD147" s="20"/>
      <c r="AE147" s="20" t="str">
        <f t="shared" si="23"/>
        <v/>
      </c>
      <c r="AF147" s="61" t="str" cm="1">
        <f t="array" ref="AF147">IF(AC147="","",SUMPRODUCT(($F$138:$F$157=AC147)*($G$138:$G$157=IF(AD147="","",AD147))*$P$138:$P$157))</f>
        <v/>
      </c>
    </row>
    <row r="148" spans="1:32">
      <c r="A148" s="1" t="s">
        <v>147</v>
      </c>
      <c r="B148" t="str">
        <f t="shared" si="26"/>
        <v>Speak, read and write a chosen language.</v>
      </c>
      <c r="D148" s="19"/>
      <c r="E148" s="15" t="s">
        <v>186</v>
      </c>
      <c r="F148" s="3"/>
      <c r="G148" s="3" t="str">
        <f>IFERROR(VLOOKUP(F148,tblManoeuvre[#Data],2,FALSE)&amp;" "&amp;VLOOKUP(F148,tblManoeuvre[#Data],3,FALSE),"")</f>
        <v/>
      </c>
      <c r="H148" s="67" t="str">
        <f>IFERROR(IF(VLOOKUP(F148,tblManoeuvre[],8,FALSE)=0,"None",VLOOKUP(F148,tblManoeuvre[],8,FALSE)),"None")</f>
        <v>None</v>
      </c>
      <c r="I148" s="67"/>
      <c r="L148" s="4"/>
      <c r="M148" s="4"/>
      <c r="N148" s="4"/>
      <c r="O148" s="61">
        <f t="shared" si="24"/>
        <v>0</v>
      </c>
      <c r="P148" s="60">
        <f t="shared" si="25"/>
        <v>0</v>
      </c>
      <c r="Q148" s="61" t="str">
        <f>_xlfn.IFNA(VLOOKUP($F148,tblInfluence[],3,FALSE),"")</f>
        <v/>
      </c>
      <c r="R148" s="61" t="str">
        <f>_xlfn.IFNA(VLOOKUP($F148,tblInfluence[],4,FALSE),"")</f>
        <v/>
      </c>
      <c r="Y148" s="15" t="s">
        <v>190</v>
      </c>
      <c r="Z148" s="19"/>
      <c r="AA148" s="61" t="str">
        <f t="shared" si="22"/>
        <v/>
      </c>
      <c r="AC148" s="60"/>
      <c r="AD148" s="20"/>
      <c r="AE148" s="20" t="str">
        <f t="shared" si="23"/>
        <v/>
      </c>
      <c r="AF148" s="61" t="str" cm="1">
        <f t="array" ref="AF148">IF(AC148="","",SUMPRODUCT(($F$138:$F$157=AC148)*($G$138:$G$157=IF(AD148="","",AD148))*$P$138:$P$157))</f>
        <v/>
      </c>
    </row>
    <row r="149" spans="1:32">
      <c r="A149" s="1" t="s">
        <v>148</v>
      </c>
      <c r="B149" t="str">
        <f t="shared" si="26"/>
        <v>¬</v>
      </c>
      <c r="D149" s="19"/>
      <c r="E149" s="15" t="s">
        <v>187</v>
      </c>
      <c r="F149" s="3"/>
      <c r="G149" s="3" t="str">
        <f>IFERROR(VLOOKUP(F149,tblManoeuvre[#Data],2,FALSE)&amp;" "&amp;VLOOKUP(F149,tblManoeuvre[#Data],3,FALSE),"")</f>
        <v/>
      </c>
      <c r="H149" s="67" t="str">
        <f>IFERROR(IF(VLOOKUP(F149,tblManoeuvre[],8,FALSE)=0,"None",VLOOKUP(F149,tblManoeuvre[],8,FALSE)),"None")</f>
        <v>None</v>
      </c>
      <c r="I149" s="67"/>
      <c r="L149" s="4"/>
      <c r="M149" s="4"/>
      <c r="N149" s="4"/>
      <c r="O149" s="61">
        <f t="shared" si="24"/>
        <v>0</v>
      </c>
      <c r="P149" s="60">
        <f t="shared" si="25"/>
        <v>0</v>
      </c>
      <c r="Q149" s="61" t="str">
        <f>_xlfn.IFNA(VLOOKUP($F149,tblInfluence[],3,FALSE),"")</f>
        <v/>
      </c>
      <c r="R149" s="61" t="str">
        <f>_xlfn.IFNA(VLOOKUP($F149,tblInfluence[],4,FALSE),"")</f>
        <v/>
      </c>
      <c r="Y149" s="15" t="s">
        <v>191</v>
      </c>
      <c r="Z149" s="19"/>
      <c r="AA149" s="61" t="str">
        <f t="shared" si="22"/>
        <v/>
      </c>
      <c r="AC149" s="60"/>
      <c r="AD149" s="20"/>
      <c r="AE149" s="20" t="str">
        <f t="shared" si="23"/>
        <v/>
      </c>
      <c r="AF149" s="61" t="str" cm="1">
        <f t="array" ref="AF149">IF(AC149="","",SUMPRODUCT(($F$138:$F$157=AC149)*($G$138:$G$157=IF(AD149="","",AD149))*$P$138:$P$157))</f>
        <v/>
      </c>
    </row>
    <row r="150" spans="1:32">
      <c r="A150" s="1" t="s">
        <v>149</v>
      </c>
      <c r="B150" t="str">
        <f t="shared" si="26"/>
        <v>¬</v>
      </c>
      <c r="D150" s="19"/>
      <c r="E150" s="15" t="s">
        <v>188</v>
      </c>
      <c r="F150" s="3"/>
      <c r="G150" s="3" t="str">
        <f>IFERROR(VLOOKUP(F150,tblManoeuvre[#Data],2,FALSE)&amp;" "&amp;VLOOKUP(F150,tblManoeuvre[#Data],3,FALSE),"")</f>
        <v/>
      </c>
      <c r="H150" s="67" t="str">
        <f>IFERROR(IF(VLOOKUP(F150,tblManoeuvre[],8,FALSE)=0,"None",VLOOKUP(F150,tblManoeuvre[],8,FALSE)),"None")</f>
        <v>None</v>
      </c>
      <c r="I150" s="67"/>
      <c r="L150" s="4"/>
      <c r="M150" s="4"/>
      <c r="N150" s="4"/>
      <c r="O150" s="61">
        <f t="shared" si="24"/>
        <v>0</v>
      </c>
      <c r="P150" s="60">
        <f t="shared" si="25"/>
        <v>0</v>
      </c>
      <c r="Q150" s="61" t="str">
        <f>_xlfn.IFNA(VLOOKUP($F150,tblInfluence[],3,FALSE),"")</f>
        <v/>
      </c>
      <c r="R150" s="61" t="str">
        <f>_xlfn.IFNA(VLOOKUP($F150,tblInfluence[],4,FALSE),"")</f>
        <v/>
      </c>
      <c r="Y150" s="15" t="s">
        <v>192</v>
      </c>
      <c r="Z150" s="19"/>
      <c r="AA150" s="61" t="str">
        <f t="shared" si="22"/>
        <v/>
      </c>
      <c r="AC150" s="60"/>
      <c r="AD150" s="20"/>
      <c r="AE150" s="20" t="str">
        <f t="shared" si="23"/>
        <v/>
      </c>
      <c r="AF150" s="61" t="str" cm="1">
        <f t="array" ref="AF150">IF(AC150="","",SUMPRODUCT(($F$138:$F$157=AC150)*($G$138:$G$157=IF(AD150="","",AD150))*$P$138:$P$157))</f>
        <v/>
      </c>
    </row>
    <row r="151" spans="1:32">
      <c r="A151" s="1" t="s">
        <v>150</v>
      </c>
      <c r="B151" t="str">
        <f t="shared" si="26"/>
        <v>¬</v>
      </c>
      <c r="D151" s="19"/>
      <c r="E151" s="15" t="s">
        <v>189</v>
      </c>
      <c r="F151" s="3"/>
      <c r="G151" s="3" t="str">
        <f>IFERROR(VLOOKUP(F151,tblManoeuvre[#Data],2,FALSE)&amp;" "&amp;VLOOKUP(F151,tblManoeuvre[#Data],3,FALSE),"")</f>
        <v/>
      </c>
      <c r="H151" s="67" t="str">
        <f>IFERROR(IF(VLOOKUP(F151,tblManoeuvre[],8,FALSE)=0,"None",VLOOKUP(F151,tblManoeuvre[],8,FALSE)),"None")</f>
        <v>None</v>
      </c>
      <c r="I151" s="67"/>
      <c r="L151" s="4"/>
      <c r="M151" s="4"/>
      <c r="N151" s="4"/>
      <c r="O151" s="61">
        <f t="shared" si="24"/>
        <v>0</v>
      </c>
      <c r="P151" s="60">
        <f t="shared" si="25"/>
        <v>0</v>
      </c>
      <c r="Q151" s="61" t="str">
        <f>_xlfn.IFNA(VLOOKUP($F151,tblInfluence[],3,FALSE),"")</f>
        <v/>
      </c>
      <c r="R151" s="61" t="str">
        <f>_xlfn.IFNA(VLOOKUP($F151,tblInfluence[],4,FALSE),"")</f>
        <v/>
      </c>
      <c r="Y151" s="15" t="s">
        <v>193</v>
      </c>
      <c r="Z151" s="19"/>
      <c r="AA151" s="61" t="str">
        <f t="shared" si="22"/>
        <v/>
      </c>
      <c r="AC151" s="60"/>
      <c r="AD151" s="20"/>
      <c r="AE151" s="20" t="str">
        <f t="shared" si="23"/>
        <v/>
      </c>
      <c r="AF151" s="61" t="str" cm="1">
        <f t="array" ref="AF151">IF(AC151="","",SUMPRODUCT(($F$138:$F$157=AC151)*($G$138:$G$157=IF(AD151="","",AD151))*$P$138:$P$157))</f>
        <v/>
      </c>
    </row>
    <row r="152" spans="1:32">
      <c r="A152" s="1" t="s">
        <v>151</v>
      </c>
      <c r="B152" t="str">
        <f t="shared" si="26"/>
        <v>¬</v>
      </c>
      <c r="D152" s="19"/>
      <c r="E152" s="15" t="s">
        <v>190</v>
      </c>
      <c r="F152" s="3"/>
      <c r="G152" s="3" t="str">
        <f>IFERROR(VLOOKUP(F152,tblManoeuvre[#Data],2,FALSE)&amp;" "&amp;VLOOKUP(F152,tblManoeuvre[#Data],3,FALSE),"")</f>
        <v/>
      </c>
      <c r="H152" s="67" t="str">
        <f>IFERROR(IF(VLOOKUP(F152,tblManoeuvre[],8,FALSE)=0,"None",VLOOKUP(F152,tblManoeuvre[],8,FALSE)),"None")</f>
        <v>None</v>
      </c>
      <c r="I152" s="67"/>
      <c r="L152" s="4"/>
      <c r="M152" s="4"/>
      <c r="N152" s="4"/>
      <c r="O152" s="61">
        <f t="shared" si="24"/>
        <v>0</v>
      </c>
      <c r="P152" s="60">
        <f t="shared" si="25"/>
        <v>0</v>
      </c>
      <c r="Q152" s="61" t="str">
        <f>_xlfn.IFNA(VLOOKUP($F152,tblInfluence[],3,FALSE),"")</f>
        <v/>
      </c>
      <c r="R152" s="61" t="str">
        <f>_xlfn.IFNA(VLOOKUP($F152,tblInfluence[],4,FALSE),"")</f>
        <v/>
      </c>
      <c r="Y152" s="15" t="s">
        <v>194</v>
      </c>
      <c r="Z152" s="19"/>
      <c r="AA152" s="61" t="str">
        <f t="shared" si="22"/>
        <v/>
      </c>
      <c r="AC152" s="60"/>
      <c r="AD152" s="20"/>
      <c r="AE152" s="20" t="str">
        <f t="shared" si="23"/>
        <v/>
      </c>
      <c r="AF152" s="61" t="str" cm="1">
        <f t="array" ref="AF152">IF(AC152="","",SUMPRODUCT(($F$138:$F$157=AC152)*($G$138:$G$157=IF(AD152="","",AD152))*$P$138:$P$157))</f>
        <v/>
      </c>
    </row>
    <row r="153" spans="1:32">
      <c r="A153" s="1" t="s">
        <v>152</v>
      </c>
      <c r="B153" t="str">
        <f t="shared" si="26"/>
        <v>¬</v>
      </c>
      <c r="D153" s="19"/>
      <c r="E153" s="15" t="s">
        <v>191</v>
      </c>
      <c r="F153" s="3"/>
      <c r="G153" s="3" t="str">
        <f>IFERROR(VLOOKUP(F153,tblManoeuvre[#Data],2,FALSE)&amp;" "&amp;VLOOKUP(F153,tblManoeuvre[#Data],3,FALSE),"")</f>
        <v/>
      </c>
      <c r="H153" s="67" t="str">
        <f>IFERROR(IF(VLOOKUP(F153,tblManoeuvre[],8,FALSE)=0,"None",VLOOKUP(F153,tblManoeuvre[],8,FALSE)),"None")</f>
        <v>None</v>
      </c>
      <c r="I153" s="67"/>
      <c r="L153" s="4"/>
      <c r="M153" s="4"/>
      <c r="N153" s="4"/>
      <c r="O153" s="61">
        <f t="shared" si="24"/>
        <v>0</v>
      </c>
      <c r="P153" s="60">
        <f t="shared" si="25"/>
        <v>0</v>
      </c>
      <c r="Q153" s="61" t="str">
        <f>_xlfn.IFNA(VLOOKUP($F153,tblInfluence[],3,FALSE),"")</f>
        <v/>
      </c>
      <c r="R153" s="61" t="str">
        <f>_xlfn.IFNA(VLOOKUP($F153,tblInfluence[],4,FALSE),"")</f>
        <v/>
      </c>
      <c r="Y153" s="15" t="s">
        <v>195</v>
      </c>
      <c r="Z153" s="19"/>
      <c r="AA153" s="61" t="str">
        <f t="shared" si="22"/>
        <v/>
      </c>
      <c r="AC153" s="60"/>
      <c r="AD153" s="20"/>
      <c r="AE153" s="20" t="str">
        <f t="shared" si="23"/>
        <v/>
      </c>
      <c r="AF153" s="61" t="str" cm="1">
        <f t="array" ref="AF153">IF(AC153="","",SUMPRODUCT(($F$138:$F$157=AC153)*($G$138:$G$157=IF(AD153="","",AD153))*$P$138:$P$157))</f>
        <v/>
      </c>
    </row>
    <row r="154" spans="1:32">
      <c r="A154" s="1" t="s">
        <v>153</v>
      </c>
      <c r="B154" t="str">
        <f t="shared" si="26"/>
        <v>¬</v>
      </c>
      <c r="D154" s="19"/>
      <c r="E154" s="15" t="s">
        <v>192</v>
      </c>
      <c r="F154" s="3"/>
      <c r="G154" s="3" t="str">
        <f>IFERROR(VLOOKUP(F154,tblManoeuvre[#Data],2,FALSE)&amp;" "&amp;VLOOKUP(F154,tblManoeuvre[#Data],3,FALSE),"")</f>
        <v/>
      </c>
      <c r="H154" s="67" t="str">
        <f>IFERROR(IF(VLOOKUP(F154,tblManoeuvre[],8,FALSE)=0,"None",VLOOKUP(F154,tblManoeuvre[],8,FALSE)),"None")</f>
        <v>None</v>
      </c>
      <c r="I154" s="67"/>
      <c r="L154" s="4"/>
      <c r="M154" s="4"/>
      <c r="N154" s="4"/>
      <c r="O154" s="61">
        <f t="shared" si="24"/>
        <v>0</v>
      </c>
      <c r="P154" s="60">
        <f t="shared" si="25"/>
        <v>0</v>
      </c>
      <c r="Q154" s="61" t="str">
        <f>_xlfn.IFNA(VLOOKUP($F154,tblInfluence[],3,FALSE),"")</f>
        <v/>
      </c>
      <c r="R154" s="61" t="str">
        <f>_xlfn.IFNA(VLOOKUP($F154,tblInfluence[],4,FALSE),"")</f>
        <v/>
      </c>
    </row>
    <row r="155" spans="1:32">
      <c r="A155" s="1" t="s">
        <v>154</v>
      </c>
      <c r="B155" t="str">
        <f t="shared" si="26"/>
        <v>¬</v>
      </c>
      <c r="D155" s="19"/>
      <c r="E155" s="15" t="s">
        <v>193</v>
      </c>
      <c r="F155" s="3"/>
      <c r="G155" s="3" t="str">
        <f>IFERROR(VLOOKUP(F155,tblManoeuvre[#Data],2,FALSE)&amp;" "&amp;VLOOKUP(F155,tblManoeuvre[#Data],3,FALSE),"")</f>
        <v/>
      </c>
      <c r="H155" s="67" t="str">
        <f>IFERROR(IF(VLOOKUP(F155,tblManoeuvre[],8,FALSE)=0,"None",VLOOKUP(F155,tblManoeuvre[],8,FALSE)),"None")</f>
        <v>None</v>
      </c>
      <c r="I155" s="67"/>
      <c r="L155" s="4"/>
      <c r="M155" s="4"/>
      <c r="N155" s="4"/>
      <c r="O155" s="61">
        <f t="shared" si="24"/>
        <v>0</v>
      </c>
      <c r="P155" s="60">
        <f t="shared" si="25"/>
        <v>0</v>
      </c>
      <c r="Q155" s="61" t="str">
        <f>_xlfn.IFNA(VLOOKUP($F155,tblInfluence[],3,FALSE),"")</f>
        <v/>
      </c>
      <c r="R155" s="61" t="str">
        <f>_xlfn.IFNA(VLOOKUP($F155,tblInfluence[],4,FALSE),"")</f>
        <v/>
      </c>
      <c r="AE155" s="61">
        <f>IF(P160=5,1,0)</f>
        <v>0</v>
      </c>
    </row>
    <row r="156" spans="1:32">
      <c r="A156" s="1" t="s">
        <v>155</v>
      </c>
      <c r="B156" t="str">
        <f t="shared" si="26"/>
        <v>¬</v>
      </c>
      <c r="D156" s="19"/>
      <c r="E156" s="15" t="s">
        <v>194</v>
      </c>
      <c r="F156" s="3"/>
      <c r="G156" s="3" t="str">
        <f>IFERROR(VLOOKUP(F156,tblManoeuvre[#Data],2,FALSE)&amp;" "&amp;VLOOKUP(F156,tblManoeuvre[#Data],3,FALSE),"")</f>
        <v/>
      </c>
      <c r="H156" s="67" t="str">
        <f>IFERROR(IF(VLOOKUP(F156,tblManoeuvre[],8,FALSE)=0,"None",VLOOKUP(F156,tblManoeuvre[],8,FALSE)),"None")</f>
        <v>None</v>
      </c>
      <c r="I156" s="67"/>
      <c r="L156" s="4"/>
      <c r="M156" s="4"/>
      <c r="N156" s="4"/>
      <c r="O156" s="61">
        <f t="shared" si="24"/>
        <v>0</v>
      </c>
      <c r="P156" s="60">
        <f t="shared" si="25"/>
        <v>0</v>
      </c>
      <c r="Q156" s="61" t="str">
        <f>_xlfn.IFNA(VLOOKUP($F156,tblInfluence[],3,FALSE),"")</f>
        <v/>
      </c>
      <c r="R156" s="61" t="str">
        <f>_xlfn.IFNA(VLOOKUP($F156,tblInfluence[],4,FALSE),"")</f>
        <v/>
      </c>
      <c r="AE156" s="61" t="b">
        <f>COUNTIF(AA2:AA21,"*Honey With Vinegar*")&gt;0</f>
        <v>0</v>
      </c>
    </row>
    <row r="157" spans="1:32">
      <c r="A157" s="1" t="s">
        <v>156</v>
      </c>
      <c r="B157" t="str">
        <f t="shared" si="26"/>
        <v>¬</v>
      </c>
      <c r="D157" s="19"/>
      <c r="E157" s="15" t="s">
        <v>195</v>
      </c>
      <c r="F157" s="3"/>
      <c r="G157" s="3" t="str">
        <f>IFERROR(VLOOKUP(F157,tblManoeuvre[#Data],2,FALSE)&amp;" "&amp;VLOOKUP(F157,tblManoeuvre[#Data],3,FALSE),"")</f>
        <v/>
      </c>
      <c r="H157" s="67" t="str">
        <f>IFERROR(IF(VLOOKUP(F157,tblManoeuvre[],8,FALSE)=0,"None",VLOOKUP(F157,tblManoeuvre[],8,FALSE)),"None")</f>
        <v>None</v>
      </c>
      <c r="I157" s="67"/>
      <c r="L157" s="4"/>
      <c r="M157" s="4"/>
      <c r="N157" s="4"/>
      <c r="O157" s="61">
        <f t="shared" si="24"/>
        <v>0</v>
      </c>
      <c r="P157" s="60">
        <f t="shared" si="25"/>
        <v>0</v>
      </c>
      <c r="Q157" s="61" t="str">
        <f>_xlfn.IFNA(VLOOKUP($F157,tblInfluence[],3,FALSE),"")</f>
        <v/>
      </c>
      <c r="R157" s="61" t="str">
        <f>_xlfn.IFNA(VLOOKUP($F157,tblInfluence[],4,FALSE),"")</f>
        <v/>
      </c>
    </row>
    <row r="158" spans="1:32">
      <c r="A158" s="1" t="s">
        <v>157</v>
      </c>
      <c r="B158" t="str">
        <f t="shared" si="26"/>
        <v>¬</v>
      </c>
    </row>
    <row r="159" spans="1:32">
      <c r="A159" s="1" t="s">
        <v>158</v>
      </c>
      <c r="B159" t="str">
        <f t="shared" si="26"/>
        <v>¬</v>
      </c>
      <c r="D159" s="16" t="s">
        <v>1486</v>
      </c>
      <c r="E159" s="17"/>
      <c r="F159" s="17" t="s">
        <v>1487</v>
      </c>
      <c r="G159" s="17"/>
      <c r="H159" s="17"/>
      <c r="I159" s="17"/>
    </row>
    <row r="160" spans="1:32">
      <c r="A160" s="1" t="s">
        <v>159</v>
      </c>
      <c r="B160" t="str">
        <f t="shared" si="26"/>
        <v>¬</v>
      </c>
      <c r="D160" s="19"/>
      <c r="E160" s="15" t="s">
        <v>98</v>
      </c>
      <c r="F160" s="3"/>
      <c r="G160" s="60"/>
      <c r="H160" s="60"/>
      <c r="I160" s="60"/>
      <c r="L160" s="4"/>
      <c r="M160" s="4"/>
      <c r="N160" s="4"/>
      <c r="O160" s="61">
        <f>N160</f>
        <v>0</v>
      </c>
      <c r="P160" s="60">
        <f>MIN(SUM(L160,M160,O160),R160)</f>
        <v>0</v>
      </c>
      <c r="Q160" s="61">
        <v>1</v>
      </c>
      <c r="R160" s="61">
        <v>5</v>
      </c>
    </row>
    <row r="161" spans="1:18">
      <c r="A161" s="1" t="s">
        <v>160</v>
      </c>
      <c r="B161" t="str">
        <f t="shared" si="26"/>
        <v>¬</v>
      </c>
      <c r="D161" s="19"/>
      <c r="E161" s="15" t="s">
        <v>100</v>
      </c>
      <c r="F161" s="3"/>
      <c r="G161" s="60"/>
      <c r="H161" s="60"/>
      <c r="I161" s="60"/>
      <c r="L161" s="4"/>
      <c r="M161" s="4"/>
      <c r="N161" s="4"/>
      <c r="O161" s="61">
        <f>N161</f>
        <v>0</v>
      </c>
      <c r="P161" s="60">
        <f>MIN(SUM(L161,M161,O161),R161)</f>
        <v>0</v>
      </c>
      <c r="Q161" s="61">
        <v>1</v>
      </c>
      <c r="R161" s="61">
        <v>5</v>
      </c>
    </row>
    <row r="162" spans="1:18">
      <c r="A162" s="1" t="s">
        <v>161</v>
      </c>
      <c r="B162" t="str">
        <f t="shared" si="26"/>
        <v>¬</v>
      </c>
    </row>
    <row r="163" spans="1:18" ht="15.75" thickBot="1">
      <c r="A163" s="1" t="s">
        <v>162</v>
      </c>
      <c r="B163" t="str">
        <f t="shared" si="26"/>
        <v>¬</v>
      </c>
      <c r="D163" s="14" t="s">
        <v>1488</v>
      </c>
      <c r="E163" s="14"/>
      <c r="F163" s="14"/>
      <c r="G163" s="14"/>
      <c r="H163" s="14"/>
      <c r="I163" s="14"/>
      <c r="N163" s="60">
        <f>SUM(N165:N174)+SUM(N177:N181)+SUM(N184:N185)+SUM(N187:N191)+SUM(N194:N203)</f>
        <v>3</v>
      </c>
    </row>
    <row r="164" spans="1:18">
      <c r="A164" s="1" t="s">
        <v>163</v>
      </c>
      <c r="B164" t="str">
        <f t="shared" si="26"/>
        <v>¬</v>
      </c>
      <c r="D164" s="16" t="s">
        <v>1489</v>
      </c>
      <c r="E164" s="15" t="s">
        <v>1490</v>
      </c>
      <c r="F164" s="61" t="str">
        <f>IFERROR(IF($F$8="",VLOOKUP($F$7,tblClans[],5,FALSE),VLOOKUP($F$8,tblBloodlines[],5,FALSE)),"")</f>
        <v>Celerity</v>
      </c>
      <c r="G164" s="61" t="str">
        <f>IFERROR(IF($F$8="",VLOOKUP($F$7,tblClans[],6,FALSE),VLOOKUP($F$8,tblBloodlines[],6,FALSE)),"")</f>
        <v>Majesty</v>
      </c>
      <c r="H164" s="61" t="str">
        <f>IFERROR(IF($F$8="",VLOOKUP($F$7,tblClans[],7,FALSE),VLOOKUP($F$8,tblBloodlines[],7,FALSE)),"")</f>
        <v>Vigour</v>
      </c>
      <c r="I164" s="61" t="str">
        <f>IFERROR(IF($F$8="",VLOOKUP($F$7,tblClans[],8,FALSE),VLOOKUP($F$8,tblBloodlines[],8,FALSE)),"")</f>
        <v/>
      </c>
      <c r="L164" s="60">
        <f>3-SUM(L165:L174)-SUM(L184:L185)</f>
        <v>0</v>
      </c>
    </row>
    <row r="165" spans="1:18">
      <c r="A165" s="1" t="s">
        <v>164</v>
      </c>
      <c r="B165" t="str">
        <f t="shared" si="26"/>
        <v>¬</v>
      </c>
      <c r="D165" s="19"/>
      <c r="E165" s="15" t="s">
        <v>236</v>
      </c>
      <c r="F165" s="19"/>
      <c r="G165" s="19"/>
      <c r="H165" s="19"/>
      <c r="I165" s="19"/>
      <c r="L165" s="4"/>
      <c r="N165" s="4"/>
      <c r="O165" s="61">
        <f t="shared" ref="O165:O174" si="27">ROUNDDOWN(IF(COUNTIF($F$164:$I$164,$E165)&gt;0,N165/3,N165/4),0)</f>
        <v>0</v>
      </c>
      <c r="P165" s="60">
        <f>MIN(SUM(L165,O165),R165)</f>
        <v>0</v>
      </c>
      <c r="Q165" s="61">
        <v>0</v>
      </c>
      <c r="R165" s="61">
        <v>5</v>
      </c>
    </row>
    <row r="166" spans="1:18">
      <c r="A166" s="1" t="s">
        <v>165</v>
      </c>
      <c r="B166" t="str">
        <f t="shared" si="26"/>
        <v>¬</v>
      </c>
      <c r="D166" s="19"/>
      <c r="E166" s="15" t="s">
        <v>237</v>
      </c>
      <c r="F166" s="19"/>
      <c r="G166" s="19"/>
      <c r="H166" s="19"/>
      <c r="I166" s="19"/>
      <c r="L166" s="4"/>
      <c r="N166" s="4"/>
      <c r="O166" s="61">
        <f t="shared" si="27"/>
        <v>0</v>
      </c>
      <c r="P166" s="60">
        <f t="shared" ref="P166:P174" si="28">MIN(SUM(L166,O166),R166)</f>
        <v>0</v>
      </c>
      <c r="Q166" s="61">
        <v>0</v>
      </c>
      <c r="R166" s="61">
        <v>5</v>
      </c>
    </row>
    <row r="167" spans="1:18">
      <c r="A167" s="1" t="s">
        <v>166</v>
      </c>
      <c r="B167" t="str">
        <f t="shared" si="26"/>
        <v>¬</v>
      </c>
      <c r="D167" s="19"/>
      <c r="E167" s="15" t="s">
        <v>238</v>
      </c>
      <c r="F167" s="19"/>
      <c r="G167" s="19"/>
      <c r="H167" s="19"/>
      <c r="I167" s="19"/>
      <c r="L167" s="4">
        <v>1</v>
      </c>
      <c r="N167" s="4"/>
      <c r="O167" s="61">
        <f t="shared" si="27"/>
        <v>0</v>
      </c>
      <c r="P167" s="60">
        <f t="shared" si="28"/>
        <v>1</v>
      </c>
      <c r="Q167" s="61">
        <v>0</v>
      </c>
      <c r="R167" s="61">
        <v>5</v>
      </c>
    </row>
    <row r="168" spans="1:18">
      <c r="A168" s="1" t="s">
        <v>167</v>
      </c>
      <c r="B168" t="str">
        <f t="shared" si="26"/>
        <v>¬</v>
      </c>
      <c r="D168" s="19"/>
      <c r="E168" s="15" t="s">
        <v>239</v>
      </c>
      <c r="F168" s="19"/>
      <c r="G168" s="19"/>
      <c r="H168" s="19"/>
      <c r="I168" s="19"/>
      <c r="L168" s="4"/>
      <c r="N168" s="4"/>
      <c r="O168" s="61">
        <f t="shared" si="27"/>
        <v>0</v>
      </c>
      <c r="P168" s="60">
        <f t="shared" si="28"/>
        <v>0</v>
      </c>
      <c r="Q168" s="61">
        <v>0</v>
      </c>
      <c r="R168" s="61">
        <v>5</v>
      </c>
    </row>
    <row r="169" spans="1:18">
      <c r="A169" s="1" t="s">
        <v>168</v>
      </c>
      <c r="B169" t="str">
        <f t="shared" si="26"/>
        <v>¬</v>
      </c>
      <c r="D169" s="19"/>
      <c r="E169" s="15" t="s">
        <v>240</v>
      </c>
      <c r="F169" s="19"/>
      <c r="G169" s="19"/>
      <c r="H169" s="19"/>
      <c r="I169" s="19"/>
      <c r="L169" s="4">
        <v>1</v>
      </c>
      <c r="N169" s="4">
        <v>3</v>
      </c>
      <c r="O169" s="61">
        <f t="shared" si="27"/>
        <v>1</v>
      </c>
      <c r="P169" s="60">
        <f t="shared" si="28"/>
        <v>2</v>
      </c>
      <c r="Q169" s="61">
        <v>0</v>
      </c>
      <c r="R169" s="61">
        <v>5</v>
      </c>
    </row>
    <row r="170" spans="1:18">
      <c r="A170" s="1" t="s">
        <v>169</v>
      </c>
      <c r="B170" t="str">
        <f t="shared" si="26"/>
        <v>¬</v>
      </c>
      <c r="D170" s="19"/>
      <c r="E170" s="15" t="s">
        <v>241</v>
      </c>
      <c r="F170" s="19"/>
      <c r="G170" s="19"/>
      <c r="H170" s="19"/>
      <c r="I170" s="19"/>
      <c r="L170" s="4"/>
      <c r="N170" s="4"/>
      <c r="O170" s="61">
        <f t="shared" si="27"/>
        <v>0</v>
      </c>
      <c r="P170" s="60">
        <f t="shared" si="28"/>
        <v>0</v>
      </c>
      <c r="Q170" s="61">
        <v>0</v>
      </c>
      <c r="R170" s="61">
        <v>5</v>
      </c>
    </row>
    <row r="171" spans="1:18">
      <c r="A171" s="1" t="s">
        <v>170</v>
      </c>
      <c r="B171" t="str">
        <f t="shared" si="26"/>
        <v>¬</v>
      </c>
      <c r="D171" s="19"/>
      <c r="E171" s="15" t="s">
        <v>242</v>
      </c>
      <c r="F171" s="19"/>
      <c r="G171" s="19"/>
      <c r="H171" s="19"/>
      <c r="I171" s="19"/>
      <c r="L171" s="4"/>
      <c r="N171" s="4"/>
      <c r="O171" s="61">
        <f t="shared" si="27"/>
        <v>0</v>
      </c>
      <c r="P171" s="60">
        <f t="shared" si="28"/>
        <v>0</v>
      </c>
      <c r="Q171" s="61">
        <v>0</v>
      </c>
      <c r="R171" s="61">
        <v>5</v>
      </c>
    </row>
    <row r="172" spans="1:18">
      <c r="A172" s="1" t="s">
        <v>171</v>
      </c>
      <c r="B172" t="str">
        <f t="shared" si="26"/>
        <v>¬</v>
      </c>
      <c r="D172" s="19"/>
      <c r="E172" s="15" t="s">
        <v>243</v>
      </c>
      <c r="F172" s="19"/>
      <c r="G172" s="19"/>
      <c r="H172" s="19"/>
      <c r="I172" s="19"/>
      <c r="L172" s="4"/>
      <c r="N172" s="4"/>
      <c r="O172" s="61">
        <f t="shared" si="27"/>
        <v>0</v>
      </c>
      <c r="P172" s="60">
        <f t="shared" si="28"/>
        <v>0</v>
      </c>
      <c r="Q172" s="61">
        <v>0</v>
      </c>
      <c r="R172" s="61">
        <v>5</v>
      </c>
    </row>
    <row r="173" spans="1:18">
      <c r="A173" s="1" t="s">
        <v>172</v>
      </c>
      <c r="B173" t="str">
        <f t="shared" si="26"/>
        <v>¬</v>
      </c>
      <c r="D173" s="19"/>
      <c r="E173" s="15" t="s">
        <v>244</v>
      </c>
      <c r="F173" s="19"/>
      <c r="G173" s="19"/>
      <c r="H173" s="19"/>
      <c r="I173" s="19"/>
      <c r="L173" s="4"/>
      <c r="N173" s="4"/>
      <c r="O173" s="61">
        <f t="shared" si="27"/>
        <v>0</v>
      </c>
      <c r="P173" s="60">
        <f t="shared" si="28"/>
        <v>0</v>
      </c>
      <c r="Q173" s="61">
        <v>0</v>
      </c>
      <c r="R173" s="61">
        <v>5</v>
      </c>
    </row>
    <row r="174" spans="1:18">
      <c r="A174" s="1" t="s">
        <v>173</v>
      </c>
      <c r="B174" t="str">
        <f t="shared" si="26"/>
        <v>¬</v>
      </c>
      <c r="D174" s="19"/>
      <c r="E174" s="15" t="s">
        <v>245</v>
      </c>
      <c r="F174" s="19"/>
      <c r="G174" s="19"/>
      <c r="H174" s="19"/>
      <c r="I174" s="19"/>
      <c r="L174" s="4"/>
      <c r="N174" s="4"/>
      <c r="O174" s="61">
        <f t="shared" si="27"/>
        <v>0</v>
      </c>
      <c r="P174" s="60">
        <f t="shared" si="28"/>
        <v>0</v>
      </c>
      <c r="Q174" s="61">
        <v>0</v>
      </c>
      <c r="R174" s="61">
        <v>5</v>
      </c>
    </row>
    <row r="175" spans="1:18">
      <c r="A175" s="1" t="s">
        <v>174</v>
      </c>
      <c r="B175" t="str">
        <f>_xlfn.CONCAT(I137-H137," / ",I137)</f>
        <v>3 / 3</v>
      </c>
    </row>
    <row r="176" spans="1:18">
      <c r="A176" s="1" t="s">
        <v>175</v>
      </c>
      <c r="B176" t="str">
        <f>REPT("□",I137-H137) &amp; REPT("■",H137)</f>
        <v>□□□</v>
      </c>
      <c r="D176" s="16" t="s">
        <v>1491</v>
      </c>
      <c r="E176" s="16"/>
      <c r="F176" s="16"/>
      <c r="G176" s="16"/>
      <c r="H176" s="16"/>
      <c r="I176" s="16"/>
    </row>
    <row r="177" spans="1:18">
      <c r="A177" s="1" t="s">
        <v>176</v>
      </c>
      <c r="B177" t="str">
        <f t="shared" ref="B177:B196" si="29">IF(AC134="","¬",AC134)</f>
        <v>Allies</v>
      </c>
      <c r="D177" s="19"/>
      <c r="E177" s="15" t="s">
        <v>1492</v>
      </c>
      <c r="F177" s="3"/>
      <c r="G177" s="19"/>
      <c r="H177" s="72" t="str">
        <f>IFERROR(IF(VLOOKUP(F177,tblDisciplines[],14,FALSE)=0,"None",VLOOKUP(F177,tblDisciplines[],14,FALSE)),"None")</f>
        <v>None</v>
      </c>
      <c r="I177" s="73"/>
      <c r="N177" s="4"/>
      <c r="O177" s="61">
        <f>N177</f>
        <v>0</v>
      </c>
      <c r="P177" s="60" t="str">
        <f>IF(O177=R177,O177,"")</f>
        <v/>
      </c>
      <c r="R177" s="61" t="str">
        <f>_xlfn.IFNA(VLOOKUP(F177,tblDisciplines[],15,FALSE),"")</f>
        <v/>
      </c>
    </row>
    <row r="178" spans="1:18">
      <c r="A178" s="1" t="s">
        <v>177</v>
      </c>
      <c r="B178" t="str">
        <f t="shared" si="29"/>
        <v>Contacts</v>
      </c>
      <c r="D178" s="19"/>
      <c r="E178" s="15" t="s">
        <v>1493</v>
      </c>
      <c r="F178" s="3"/>
      <c r="G178" s="19"/>
      <c r="H178" s="72" t="str">
        <f>IFERROR(IF(VLOOKUP(F178,tblDisciplines[],14,FALSE)=0,"None",VLOOKUP(F178,tblDisciplines[],14,FALSE)),"None")</f>
        <v>None</v>
      </c>
      <c r="I178" s="73"/>
      <c r="N178" s="4"/>
      <c r="O178" s="61">
        <f>N178</f>
        <v>0</v>
      </c>
      <c r="P178" s="60" t="str">
        <f>IF(O178=R178,O178,"")</f>
        <v/>
      </c>
      <c r="R178" s="61" t="str">
        <f>_xlfn.IFNA(VLOOKUP(F178,tblDisciplines[],15,FALSE),"")</f>
        <v/>
      </c>
    </row>
    <row r="179" spans="1:18">
      <c r="A179" s="1" t="s">
        <v>178</v>
      </c>
      <c r="B179" t="str">
        <f t="shared" si="29"/>
        <v>Resources</v>
      </c>
      <c r="D179" s="19"/>
      <c r="E179" s="15" t="s">
        <v>1494</v>
      </c>
      <c r="F179" s="3"/>
      <c r="G179" s="19"/>
      <c r="H179" s="72" t="str">
        <f>IFERROR(IF(VLOOKUP(F179,tblDisciplines[],14,FALSE)=0,"None",VLOOKUP(F179,tblDisciplines[],14,FALSE)),"None")</f>
        <v>None</v>
      </c>
      <c r="I179" s="73"/>
      <c r="N179" s="4"/>
      <c r="O179" s="61">
        <f>N179</f>
        <v>0</v>
      </c>
      <c r="P179" s="60" t="str">
        <f>IF(O179=R179,O179,"")</f>
        <v/>
      </c>
      <c r="R179" s="61" t="str">
        <f>_xlfn.IFNA(VLOOKUP(F179,tblDisciplines[],15,FALSE),"")</f>
        <v/>
      </c>
    </row>
    <row r="180" spans="1:18">
      <c r="A180" s="1" t="s">
        <v>179</v>
      </c>
      <c r="B180" t="str">
        <f t="shared" si="29"/>
        <v>Retainer</v>
      </c>
      <c r="D180" s="19"/>
      <c r="E180" s="15" t="s">
        <v>1495</v>
      </c>
      <c r="F180" s="3"/>
      <c r="G180" s="19"/>
      <c r="H180" s="72" t="str">
        <f>IFERROR(IF(VLOOKUP(F180,tblDisciplines[],14,FALSE)=0,"None",VLOOKUP(F180,tblDisciplines[],14,FALSE)),"None")</f>
        <v>None</v>
      </c>
      <c r="I180" s="73"/>
      <c r="N180" s="4"/>
      <c r="O180" s="61">
        <f>N180</f>
        <v>0</v>
      </c>
      <c r="P180" s="60" t="str">
        <f>IF(O180=R180,O180,"")</f>
        <v/>
      </c>
      <c r="R180" s="61" t="str">
        <f>_xlfn.IFNA(VLOOKUP(F180,tblDisciplines[],15,FALSE),"")</f>
        <v/>
      </c>
    </row>
    <row r="181" spans="1:18">
      <c r="A181" s="1" t="s">
        <v>180</v>
      </c>
      <c r="B181" t="str">
        <f t="shared" si="29"/>
        <v>Retainer</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29"/>
        <v>¬</v>
      </c>
    </row>
    <row r="183" spans="1:18">
      <c r="A183" s="1" t="s">
        <v>182</v>
      </c>
      <c r="B183" t="str">
        <f t="shared" si="29"/>
        <v>¬</v>
      </c>
      <c r="D183" s="16" t="s">
        <v>1497</v>
      </c>
      <c r="E183" s="16"/>
      <c r="F183" s="16"/>
      <c r="G183" s="16"/>
      <c r="H183" s="16"/>
      <c r="I183" s="16"/>
    </row>
    <row r="184" spans="1:18">
      <c r="A184" s="1" t="s">
        <v>183</v>
      </c>
      <c r="B184" t="str">
        <f t="shared" si="29"/>
        <v>¬</v>
      </c>
      <c r="D184" s="19"/>
      <c r="E184" s="15" t="s">
        <v>246</v>
      </c>
      <c r="F184" s="19"/>
      <c r="G184" s="19"/>
      <c r="H184" s="19"/>
      <c r="I184" s="60" t="b">
        <f>IF(OR(F$9="Circle of the Crone",COUNTIF(F$79:F$93,"Chorister")&gt;0),TRUE,FALSE)</f>
        <v>1</v>
      </c>
      <c r="L184" s="4">
        <v>1</v>
      </c>
      <c r="N184" s="4"/>
      <c r="O184" s="61">
        <f>ROUNDDOWN(N184/4,0)</f>
        <v>0</v>
      </c>
      <c r="P184" s="60">
        <f>SUM(L184,O184)</f>
        <v>1</v>
      </c>
      <c r="Q184" s="61">
        <v>0</v>
      </c>
      <c r="R184" s="61">
        <v>5</v>
      </c>
    </row>
    <row r="185" spans="1:18">
      <c r="A185" s="1" t="s">
        <v>184</v>
      </c>
      <c r="B185" t="str">
        <f t="shared" si="29"/>
        <v>¬</v>
      </c>
      <c r="D185" s="19"/>
      <c r="E185" s="15" t="s">
        <v>247</v>
      </c>
      <c r="F185" s="19"/>
      <c r="G185" s="19"/>
      <c r="H185" s="19"/>
      <c r="I185" s="60" t="b">
        <f>IF(OR(F$9="Lancea et Sanctum",COUNTIF(F$79:F$93,"Laity")&gt;0),TRUE,FALSE)</f>
        <v>0</v>
      </c>
      <c r="L185" s="4"/>
      <c r="N185" s="4"/>
      <c r="O185" s="61">
        <f>ROUNDDOWN(N185/4,0)</f>
        <v>0</v>
      </c>
      <c r="P185" s="60">
        <f>SUM(L185,O185)</f>
        <v>0</v>
      </c>
      <c r="Q185" s="61">
        <v>0</v>
      </c>
      <c r="R185" s="61">
        <v>5</v>
      </c>
    </row>
    <row r="186" spans="1:18">
      <c r="A186" s="1" t="s">
        <v>185</v>
      </c>
      <c r="B186" t="str">
        <f t="shared" si="29"/>
        <v>¬</v>
      </c>
      <c r="D186" s="19"/>
      <c r="E186" s="19"/>
      <c r="F186" s="19"/>
      <c r="G186" s="19"/>
      <c r="H186" s="19"/>
      <c r="I186" s="19"/>
      <c r="L186" s="60">
        <f>SUM(P184:P185)-SUM(L187:L191)</f>
        <v>0</v>
      </c>
    </row>
    <row r="187" spans="1:18">
      <c r="A187" s="1" t="s">
        <v>186</v>
      </c>
      <c r="B187" t="str">
        <f t="shared" si="29"/>
        <v>¬</v>
      </c>
      <c r="D187" s="19"/>
      <c r="E187" s="15" t="s">
        <v>248</v>
      </c>
      <c r="F187" s="19"/>
      <c r="G187" s="19"/>
      <c r="H187" s="19"/>
      <c r="I187" s="19"/>
      <c r="L187" s="4"/>
      <c r="M187" s="61">
        <f>IF(AND(I184,L184&gt;=1),1,0)</f>
        <v>1</v>
      </c>
      <c r="N187" s="4"/>
      <c r="O187" s="61">
        <f>ROUNDDOWN(N187/2,0)</f>
        <v>0</v>
      </c>
      <c r="P187" s="60">
        <f>MIN(SUM(L187,M187,O187),R187)</f>
        <v>1</v>
      </c>
      <c r="Q187" s="61">
        <v>0</v>
      </c>
      <c r="R187" s="61">
        <f>MAX(P$184,P$185)</f>
        <v>1</v>
      </c>
    </row>
    <row r="188" spans="1:18">
      <c r="A188" s="1" t="s">
        <v>187</v>
      </c>
      <c r="B188" t="str">
        <f t="shared" si="29"/>
        <v>¬</v>
      </c>
      <c r="D188" s="19"/>
      <c r="E188" s="15" t="s">
        <v>249</v>
      </c>
      <c r="F188" s="19"/>
      <c r="G188" s="19"/>
      <c r="H188" s="19"/>
      <c r="I188" s="19"/>
      <c r="L188" s="4"/>
      <c r="M188" s="61"/>
      <c r="N188" s="4"/>
      <c r="O188" s="61">
        <f>ROUNDDOWN(N188/2,0)</f>
        <v>0</v>
      </c>
      <c r="P188" s="60">
        <f>MIN(SUM(L188,M188,O188),R188)</f>
        <v>0</v>
      </c>
      <c r="Q188" s="61">
        <v>0</v>
      </c>
      <c r="R188" s="61">
        <f>MAX(P$184,P$185)</f>
        <v>1</v>
      </c>
    </row>
    <row r="189" spans="1:18">
      <c r="A189" s="1" t="s">
        <v>188</v>
      </c>
      <c r="B189" t="str">
        <f t="shared" si="29"/>
        <v>¬</v>
      </c>
      <c r="D189" s="19"/>
      <c r="E189" s="15" t="s">
        <v>250</v>
      </c>
      <c r="F189" s="19"/>
      <c r="G189" s="19"/>
      <c r="H189" s="19"/>
      <c r="I189" s="19"/>
      <c r="L189" s="4">
        <v>1</v>
      </c>
      <c r="M189" s="61">
        <f>IF(AND(I185,L185&gt;=1),1,0)</f>
        <v>0</v>
      </c>
      <c r="N189" s="4"/>
      <c r="O189" s="61">
        <f>ROUNDDOWN(N189/2,0)</f>
        <v>0</v>
      </c>
      <c r="P189" s="60">
        <f>MIN(SUM(L189,M189,O189),R189)</f>
        <v>1</v>
      </c>
      <c r="Q189" s="61">
        <v>0</v>
      </c>
      <c r="R189" s="61">
        <f>MAX(P$184,P$185)</f>
        <v>1</v>
      </c>
    </row>
    <row r="190" spans="1:18">
      <c r="A190" s="1" t="s">
        <v>189</v>
      </c>
      <c r="B190" t="str">
        <f t="shared" si="29"/>
        <v>¬</v>
      </c>
      <c r="D190" s="19"/>
      <c r="E190" s="15" t="s">
        <v>251</v>
      </c>
      <c r="F190" s="19"/>
      <c r="G190" s="19"/>
      <c r="H190" s="19"/>
      <c r="I190" s="19"/>
      <c r="L190" s="4"/>
      <c r="M190" s="61">
        <f>IF(AND(I184,L184&gt;=1),1,0)</f>
        <v>1</v>
      </c>
      <c r="N190" s="4"/>
      <c r="O190" s="61">
        <f>ROUNDDOWN(N190/2,0)</f>
        <v>0</v>
      </c>
      <c r="P190" s="60">
        <f>MIN(SUM(L190,M190,O190),R190)</f>
        <v>1</v>
      </c>
      <c r="Q190" s="61">
        <v>0</v>
      </c>
      <c r="R190" s="61">
        <f>MAX(P$184,P$185)</f>
        <v>1</v>
      </c>
    </row>
    <row r="191" spans="1:18">
      <c r="A191" s="1" t="s">
        <v>190</v>
      </c>
      <c r="B191" t="str">
        <f t="shared" si="29"/>
        <v>¬</v>
      </c>
      <c r="D191" s="19"/>
      <c r="E191" s="15" t="s">
        <v>252</v>
      </c>
      <c r="F191" s="19"/>
      <c r="G191" s="19"/>
      <c r="H191" s="19"/>
      <c r="I191" s="19"/>
      <c r="L191" s="4"/>
      <c r="M191" s="61">
        <f>IF(AND(I185,L185&gt;=1),1,0)</f>
        <v>0</v>
      </c>
      <c r="N191" s="4"/>
      <c r="O191" s="61">
        <f>ROUNDDOWN(N191/2,0)</f>
        <v>0</v>
      </c>
      <c r="P191" s="60">
        <f>MIN(SUM(L191,M191,O191),R191)</f>
        <v>0</v>
      </c>
      <c r="Q191" s="61">
        <v>0</v>
      </c>
      <c r="R191" s="61">
        <f>MAX(P$184,P$185)</f>
        <v>1</v>
      </c>
    </row>
    <row r="192" spans="1:18">
      <c r="A192" s="1" t="s">
        <v>191</v>
      </c>
      <c r="B192" t="str">
        <f t="shared" si="29"/>
        <v>¬</v>
      </c>
    </row>
    <row r="193" spans="1:18">
      <c r="A193" s="1" t="s">
        <v>192</v>
      </c>
      <c r="B193" t="str">
        <f t="shared" si="29"/>
        <v>¬</v>
      </c>
      <c r="D193" s="16" t="s">
        <v>1474</v>
      </c>
      <c r="E193" s="16"/>
      <c r="F193" s="16"/>
      <c r="G193" s="16"/>
      <c r="H193" s="16"/>
      <c r="I193" s="16"/>
      <c r="L193" s="60">
        <f>SUM(P184:P185)+SUM(O187:O191)-SUM(L194:L203)</f>
        <v>0</v>
      </c>
    </row>
    <row r="194" spans="1:18">
      <c r="A194" s="1" t="s">
        <v>193</v>
      </c>
      <c r="B194" t="str">
        <f t="shared" si="29"/>
        <v>¬</v>
      </c>
      <c r="D194" s="19"/>
      <c r="E194" s="15" t="s">
        <v>1498</v>
      </c>
      <c r="F194" s="3" t="s">
        <v>1669</v>
      </c>
      <c r="G194" s="61" t="str">
        <f>_xlfn.IFNA(VLOOKUP(F194,tblDisciplines[],2,FALSE),"")</f>
        <v>Cruac</v>
      </c>
      <c r="H194" s="19"/>
      <c r="I194" s="19"/>
      <c r="L194" s="4">
        <v>1</v>
      </c>
      <c r="N194" s="4"/>
      <c r="O194" s="61">
        <f>N194</f>
        <v>0</v>
      </c>
      <c r="P194" s="60">
        <f>IF(OR(L194=R194,O194=R194),R194,MIN(SUM(L194,O194),R194))</f>
        <v>1</v>
      </c>
      <c r="R194" s="61">
        <f>_xlfn.IFNA(VLOOKUP(F194,tblDisciplines[],3,FALSE),"")</f>
        <v>1</v>
      </c>
    </row>
    <row r="195" spans="1:18">
      <c r="A195" s="1" t="s">
        <v>194</v>
      </c>
      <c r="B195" t="str">
        <f t="shared" si="29"/>
        <v>¬</v>
      </c>
      <c r="D195" s="19"/>
      <c r="E195" s="15" t="s">
        <v>1499</v>
      </c>
      <c r="F195" s="3"/>
      <c r="G195" s="61" t="str">
        <f>_xlfn.IFNA(VLOOKUP(F195,tblDisciplines[],2,FALSE),"")</f>
        <v/>
      </c>
      <c r="H195" s="19"/>
      <c r="I195" s="19"/>
      <c r="L195" s="4"/>
      <c r="N195" s="4"/>
      <c r="O195" s="61">
        <f t="shared" ref="O195:O203" si="30">N195</f>
        <v>0</v>
      </c>
      <c r="P195" s="60" t="str">
        <f t="shared" ref="P195:P203" si="31">IF(OR(L195=R195,O195=R195),R195,MIN(SUM(L195,O195),R195))</f>
        <v/>
      </c>
      <c r="R195" s="61" t="str">
        <f>_xlfn.IFNA(VLOOKUP(F195,tblDisciplines[],3,FALSE),"")</f>
        <v/>
      </c>
    </row>
    <row r="196" spans="1:18">
      <c r="A196" s="1" t="s">
        <v>195</v>
      </c>
      <c r="B196" t="str">
        <f t="shared" si="29"/>
        <v>¬</v>
      </c>
      <c r="D196" s="19"/>
      <c r="E196" s="15" t="s">
        <v>1500</v>
      </c>
      <c r="F196" s="3"/>
      <c r="G196" s="61" t="str">
        <f>_xlfn.IFNA(VLOOKUP(F196,tblDisciplines[],2,FALSE),"")</f>
        <v/>
      </c>
      <c r="H196" s="19"/>
      <c r="I196" s="19"/>
      <c r="L196" s="4"/>
      <c r="N196" s="4"/>
      <c r="O196" s="61">
        <f t="shared" si="30"/>
        <v>0</v>
      </c>
      <c r="P196" s="60" t="str">
        <f t="shared" si="31"/>
        <v/>
      </c>
      <c r="R196" s="61" t="str">
        <f>_xlfn.IFNA(VLOOKUP(F196,tblDisciplines[],3,FALSE),"")</f>
        <v/>
      </c>
    </row>
    <row r="197" spans="1:18">
      <c r="A197" s="1" t="s">
        <v>196</v>
      </c>
      <c r="B197" t="str">
        <f>IF(AD134="","¬",AD134)</f>
        <v>Street</v>
      </c>
      <c r="D197" s="19"/>
      <c r="E197" s="15" t="s">
        <v>1501</v>
      </c>
      <c r="F197" s="3"/>
      <c r="G197" s="61" t="str">
        <f>_xlfn.IFNA(VLOOKUP(F197,tblDisciplines[],2,FALSE),"")</f>
        <v/>
      </c>
      <c r="H197" s="19"/>
      <c r="I197" s="19"/>
      <c r="L197" s="4"/>
      <c r="N197" s="4"/>
      <c r="O197" s="61">
        <f t="shared" si="30"/>
        <v>0</v>
      </c>
      <c r="P197" s="60" t="str">
        <f t="shared" si="31"/>
        <v/>
      </c>
      <c r="R197" s="61" t="str">
        <f>_xlfn.IFNA(VLOOKUP(F197,tblDisciplines[],3,FALSE),"")</f>
        <v/>
      </c>
    </row>
    <row r="198" spans="1:18">
      <c r="A198" s="1" t="s">
        <v>197</v>
      </c>
      <c r="B198" t="str">
        <f t="shared" ref="B198:B216" si="32">IF(AD135="","¬",AD135)</f>
        <v>¬</v>
      </c>
      <c r="D198" s="19"/>
      <c r="E198" s="15" t="s">
        <v>1502</v>
      </c>
      <c r="F198" s="3"/>
      <c r="G198" s="61" t="str">
        <f>_xlfn.IFNA(VLOOKUP(F198,tblDisciplines[],2,FALSE),"")</f>
        <v/>
      </c>
      <c r="H198" s="19"/>
      <c r="I198" s="19"/>
      <c r="L198" s="4"/>
      <c r="N198" s="4"/>
      <c r="O198" s="61">
        <f t="shared" si="30"/>
        <v>0</v>
      </c>
      <c r="P198" s="60" t="str">
        <f t="shared" si="31"/>
        <v/>
      </c>
      <c r="R198" s="61" t="str">
        <f>_xlfn.IFNA(VLOOKUP(F198,tblDisciplines[],3,FALSE),"")</f>
        <v/>
      </c>
    </row>
    <row r="199" spans="1:18">
      <c r="A199" s="1" t="s">
        <v>198</v>
      </c>
      <c r="B199" t="str">
        <f t="shared" si="32"/>
        <v>¬</v>
      </c>
      <c r="D199" s="19"/>
      <c r="E199" s="15" t="s">
        <v>1503</v>
      </c>
      <c r="F199" s="3"/>
      <c r="G199" s="61" t="str">
        <f>_xlfn.IFNA(VLOOKUP(F199,tblDisciplines[],2,FALSE),"")</f>
        <v/>
      </c>
      <c r="H199" s="19"/>
      <c r="I199" s="19"/>
      <c r="L199" s="4"/>
      <c r="N199" s="4"/>
      <c r="O199" s="61">
        <f t="shared" si="30"/>
        <v>0</v>
      </c>
      <c r="P199" s="60" t="str">
        <f t="shared" si="31"/>
        <v/>
      </c>
      <c r="R199" s="61" t="str">
        <f>_xlfn.IFNA(VLOOKUP(F199,tblDisciplines[],3,FALSE),"")</f>
        <v/>
      </c>
    </row>
    <row r="200" spans="1:18">
      <c r="A200" s="1" t="s">
        <v>199</v>
      </c>
      <c r="B200" t="str">
        <f t="shared" si="32"/>
        <v>Melody</v>
      </c>
      <c r="D200" s="19"/>
      <c r="E200" s="15" t="s">
        <v>1504</v>
      </c>
      <c r="F200" s="3"/>
      <c r="G200" s="61" t="str">
        <f>_xlfn.IFNA(VLOOKUP(F200,tblDisciplines[],2,FALSE),"")</f>
        <v/>
      </c>
      <c r="H200" s="19"/>
      <c r="I200" s="19"/>
      <c r="L200" s="4"/>
      <c r="N200" s="4"/>
      <c r="O200" s="61">
        <f t="shared" si="30"/>
        <v>0</v>
      </c>
      <c r="P200" s="60" t="str">
        <f t="shared" si="31"/>
        <v/>
      </c>
      <c r="R200" s="61" t="str">
        <f>_xlfn.IFNA(VLOOKUP(F200,tblDisciplines[],3,FALSE),"")</f>
        <v/>
      </c>
    </row>
    <row r="201" spans="1:18">
      <c r="A201" s="1" t="s">
        <v>200</v>
      </c>
      <c r="B201" t="str">
        <f t="shared" si="32"/>
        <v>Rhythm</v>
      </c>
      <c r="D201" s="19"/>
      <c r="E201" s="15" t="s">
        <v>1505</v>
      </c>
      <c r="F201" s="3"/>
      <c r="G201" s="61" t="str">
        <f>_xlfn.IFNA(VLOOKUP(F201,tblDisciplines[],2,FALSE),"")</f>
        <v/>
      </c>
      <c r="H201" s="19"/>
      <c r="I201" s="19"/>
      <c r="L201" s="4"/>
      <c r="N201" s="4"/>
      <c r="O201" s="61">
        <f t="shared" si="30"/>
        <v>0</v>
      </c>
      <c r="P201" s="60" t="str">
        <f t="shared" si="31"/>
        <v/>
      </c>
      <c r="R201" s="61" t="str">
        <f>_xlfn.IFNA(VLOOKUP(F201,tblDisciplines[],3,FALSE),"")</f>
        <v/>
      </c>
    </row>
    <row r="202" spans="1:18">
      <c r="A202" s="1" t="s">
        <v>201</v>
      </c>
      <c r="B202" t="str">
        <f t="shared" si="32"/>
        <v>¬</v>
      </c>
      <c r="D202" s="19"/>
      <c r="E202" s="15" t="s">
        <v>1506</v>
      </c>
      <c r="F202" s="3"/>
      <c r="G202" s="61" t="str">
        <f>_xlfn.IFNA(VLOOKUP(F202,tblDisciplines[],2,FALSE),"")</f>
        <v/>
      </c>
      <c r="H202" s="19"/>
      <c r="I202" s="19"/>
      <c r="L202" s="4"/>
      <c r="N202" s="4"/>
      <c r="O202" s="61">
        <f t="shared" si="30"/>
        <v>0</v>
      </c>
      <c r="P202" s="60" t="str">
        <f t="shared" si="31"/>
        <v/>
      </c>
      <c r="R202" s="61" t="str">
        <f>_xlfn.IFNA(VLOOKUP(F202,tblDisciplines[],3,FALSE),"")</f>
        <v/>
      </c>
    </row>
    <row r="203" spans="1:18">
      <c r="A203" s="1" t="s">
        <v>202</v>
      </c>
      <c r="B203" t="str">
        <f t="shared" si="32"/>
        <v>¬</v>
      </c>
      <c r="D203" s="19"/>
      <c r="E203" s="15" t="s">
        <v>1507</v>
      </c>
      <c r="F203" s="3"/>
      <c r="G203" s="61" t="str">
        <f>_xlfn.IFNA(VLOOKUP(F203,tblDisciplines[],2,FALSE),"")</f>
        <v/>
      </c>
      <c r="H203" s="19"/>
      <c r="I203" s="19"/>
      <c r="L203" s="4"/>
      <c r="N203" s="4"/>
      <c r="O203" s="61">
        <f t="shared" si="30"/>
        <v>0</v>
      </c>
      <c r="P203" s="60" t="str">
        <f t="shared" si="31"/>
        <v/>
      </c>
      <c r="R203" s="61" t="str">
        <f>_xlfn.IFNA(VLOOKUP(F203,tblDisciplines[],3,FALSE),"")</f>
        <v/>
      </c>
    </row>
    <row r="204" spans="1:18">
      <c r="A204" s="1" t="s">
        <v>203</v>
      </c>
      <c r="B204" t="str">
        <f t="shared" si="32"/>
        <v>¬</v>
      </c>
    </row>
    <row r="205" spans="1:18">
      <c r="A205" s="1" t="s">
        <v>204</v>
      </c>
      <c r="B205" t="str">
        <f t="shared" si="32"/>
        <v>¬</v>
      </c>
      <c r="D205" s="16" t="s">
        <v>1508</v>
      </c>
      <c r="E205" s="17"/>
      <c r="F205" s="17"/>
      <c r="G205" s="17"/>
      <c r="H205" s="17"/>
      <c r="I205" s="17"/>
    </row>
    <row r="206" spans="1:18">
      <c r="A206" s="1" t="s">
        <v>205</v>
      </c>
      <c r="B206" t="str">
        <f t="shared" si="32"/>
        <v>¬</v>
      </c>
      <c r="D206" s="19"/>
      <c r="E206" s="15" t="s">
        <v>1476</v>
      </c>
      <c r="F206" s="3"/>
      <c r="G206" s="19" t="str">
        <f>IFERROR(VLOOKUP(F206,tblManoeuvre[],2,FALSE)&amp;" "&amp;VLOOKUP(F206,tblManoeuvre[],3,FALSE),"")</f>
        <v/>
      </c>
      <c r="H206" s="68" t="str">
        <f>_xlfn.IFNA(IF(VLOOKUP(F206,tblMerits[],6,FALSE)=0,"None",VLOOKUP(F206,tblMerits[],6,FALSE)),"None")</f>
        <v>None</v>
      </c>
      <c r="I206" s="69"/>
      <c r="L206" s="4"/>
      <c r="M206" s="4"/>
      <c r="N206" s="4"/>
      <c r="O206" s="61">
        <f t="shared" ref="O206:O215" si="33">N206</f>
        <v>0</v>
      </c>
      <c r="P206" s="60">
        <f t="shared" ref="P206:P215" si="34">MIN(SUM(L206,M206,O206),R206)</f>
        <v>0</v>
      </c>
      <c r="Q206" s="61" t="str">
        <f>_xlfn.IFNA(VLOOKUP($F206,tblPacts[],3,FALSE),"")</f>
        <v/>
      </c>
      <c r="R206" s="61" t="str">
        <f>_xlfn.IFNA(VLOOKUP($F206,tblPacts[],4,FALSE),"")</f>
        <v/>
      </c>
    </row>
    <row r="207" spans="1:18">
      <c r="A207" s="1" t="s">
        <v>206</v>
      </c>
      <c r="B207" t="str">
        <f t="shared" si="32"/>
        <v>¬</v>
      </c>
      <c r="D207" s="19"/>
      <c r="E207" s="15" t="s">
        <v>1477</v>
      </c>
      <c r="F207" s="3"/>
      <c r="G207" s="19" t="str">
        <f>IFERROR(VLOOKUP(F207,tblManoeuvre[],2,FALSE)&amp;" "&amp;VLOOKUP(F207,tblManoeuvre[],3,FALSE),"")</f>
        <v/>
      </c>
      <c r="H207" s="68" t="str">
        <f>_xlfn.IFNA(IF(VLOOKUP(F207,tblMerits[],6,FALSE)=0,"None",VLOOKUP(F207,tblMerits[],6,FALSE)),"None")</f>
        <v>None</v>
      </c>
      <c r="I207" s="69"/>
      <c r="L207" s="4"/>
      <c r="M207" s="4"/>
      <c r="N207" s="4"/>
      <c r="O207" s="61">
        <f t="shared" si="33"/>
        <v>0</v>
      </c>
      <c r="P207" s="60">
        <f t="shared" si="34"/>
        <v>0</v>
      </c>
      <c r="Q207" s="61" t="str">
        <f>_xlfn.IFNA(VLOOKUP($F207,tblPacts[],3,FALSE),"")</f>
        <v/>
      </c>
      <c r="R207" s="61" t="str">
        <f>_xlfn.IFNA(VLOOKUP($F207,tblPacts[],4,FALSE),"")</f>
        <v/>
      </c>
    </row>
    <row r="208" spans="1:18">
      <c r="A208" s="1" t="s">
        <v>207</v>
      </c>
      <c r="B208" t="str">
        <f t="shared" si="32"/>
        <v>¬</v>
      </c>
      <c r="D208" s="19"/>
      <c r="E208" s="15" t="s">
        <v>1478</v>
      </c>
      <c r="F208" s="3"/>
      <c r="G208" s="19" t="str">
        <f>IFERROR(VLOOKUP(F208,tblManoeuvre[],2,FALSE)&amp;" "&amp;VLOOKUP(F208,tblManoeuvre[],3,FALSE),"")</f>
        <v/>
      </c>
      <c r="H208" s="68" t="str">
        <f>_xlfn.IFNA(IF(VLOOKUP(F208,tblMerits[],6,FALSE)=0,"None",VLOOKUP(F208,tblMerits[],6,FALSE)),"None")</f>
        <v>None</v>
      </c>
      <c r="I208" s="69"/>
      <c r="L208" s="4"/>
      <c r="M208" s="4"/>
      <c r="N208" s="4"/>
      <c r="O208" s="61">
        <f t="shared" si="33"/>
        <v>0</v>
      </c>
      <c r="P208" s="60">
        <f t="shared" si="34"/>
        <v>0</v>
      </c>
      <c r="Q208" s="61" t="str">
        <f>_xlfn.IFNA(VLOOKUP($F208,tblPacts[],3,FALSE),"")</f>
        <v/>
      </c>
      <c r="R208" s="61" t="str">
        <f>_xlfn.IFNA(VLOOKUP($F208,tblPacts[],4,FALSE),"")</f>
        <v/>
      </c>
    </row>
    <row r="209" spans="1:18">
      <c r="A209" s="1" t="s">
        <v>208</v>
      </c>
      <c r="B209" t="str">
        <f t="shared" si="32"/>
        <v>¬</v>
      </c>
      <c r="D209" s="19"/>
      <c r="E209" s="15" t="s">
        <v>1479</v>
      </c>
      <c r="F209" s="3"/>
      <c r="G209" s="19" t="str">
        <f>IFERROR(VLOOKUP(F209,tblManoeuvre[],2,FALSE)&amp;" "&amp;VLOOKUP(F209,tblManoeuvre[],3,FALSE),"")</f>
        <v/>
      </c>
      <c r="H209" s="68" t="str">
        <f>_xlfn.IFNA(IF(VLOOKUP(F209,tblMerits[],6,FALSE)=0,"None",VLOOKUP(F209,tblMerits[],6,FALSE)),"None")</f>
        <v>None</v>
      </c>
      <c r="I209" s="69"/>
      <c r="L209" s="4"/>
      <c r="M209" s="4"/>
      <c r="N209" s="4"/>
      <c r="O209" s="61">
        <f t="shared" si="33"/>
        <v>0</v>
      </c>
      <c r="P209" s="60">
        <f t="shared" si="34"/>
        <v>0</v>
      </c>
      <c r="Q209" s="61" t="str">
        <f>_xlfn.IFNA(VLOOKUP($F209,tblPacts[],3,FALSE),"")</f>
        <v/>
      </c>
      <c r="R209" s="61" t="str">
        <f>_xlfn.IFNA(VLOOKUP($F209,tblPacts[],4,FALSE),"")</f>
        <v/>
      </c>
    </row>
    <row r="210" spans="1:18">
      <c r="A210" s="1" t="s">
        <v>209</v>
      </c>
      <c r="B210" t="str">
        <f t="shared" si="32"/>
        <v>¬</v>
      </c>
      <c r="D210" s="19"/>
      <c r="E210" s="15" t="s">
        <v>1480</v>
      </c>
      <c r="F210" s="3"/>
      <c r="G210" s="19" t="str">
        <f>IFERROR(VLOOKUP(F210,tblManoeuvre[],2,FALSE)&amp;" "&amp;VLOOKUP(F210,tblManoeuvre[],3,FALSE),"")</f>
        <v/>
      </c>
      <c r="H210" s="68" t="str">
        <f>_xlfn.IFNA(IF(VLOOKUP(F210,tblMerits[],6,FALSE)=0,"None",VLOOKUP(F210,tblMerits[],6,FALSE)),"None")</f>
        <v>None</v>
      </c>
      <c r="I210" s="69"/>
      <c r="L210" s="4"/>
      <c r="M210" s="4"/>
      <c r="N210" s="4"/>
      <c r="O210" s="61">
        <f t="shared" si="33"/>
        <v>0</v>
      </c>
      <c r="P210" s="60">
        <f t="shared" si="34"/>
        <v>0</v>
      </c>
      <c r="Q210" s="61" t="str">
        <f>_xlfn.IFNA(VLOOKUP($F210,tblPacts[],3,FALSE),"")</f>
        <v/>
      </c>
      <c r="R210" s="61" t="str">
        <f>_xlfn.IFNA(VLOOKUP($F210,tblPacts[],4,FALSE),"")</f>
        <v/>
      </c>
    </row>
    <row r="211" spans="1:18">
      <c r="A211" s="1" t="s">
        <v>210</v>
      </c>
      <c r="B211" t="str">
        <f t="shared" si="32"/>
        <v>¬</v>
      </c>
      <c r="D211" s="19"/>
      <c r="E211" s="15" t="s">
        <v>1481</v>
      </c>
      <c r="F211" s="3"/>
      <c r="G211" s="19" t="str">
        <f>IFERROR(VLOOKUP(F211,tblManoeuvre[],2,FALSE)&amp;" "&amp;VLOOKUP(F211,tblManoeuvre[],3,FALSE),"")</f>
        <v/>
      </c>
      <c r="H211" s="68" t="str">
        <f>_xlfn.IFNA(IF(VLOOKUP(F211,tblMerits[],6,FALSE)=0,"None",VLOOKUP(F211,tblMerits[],6,FALSE)),"None")</f>
        <v>None</v>
      </c>
      <c r="I211" s="69"/>
      <c r="L211" s="4"/>
      <c r="M211" s="4"/>
      <c r="N211" s="4"/>
      <c r="O211" s="61">
        <f t="shared" si="33"/>
        <v>0</v>
      </c>
      <c r="P211" s="60">
        <f t="shared" si="34"/>
        <v>0</v>
      </c>
      <c r="Q211" s="61" t="str">
        <f>_xlfn.IFNA(VLOOKUP($F211,tblPacts[],3,FALSE),"")</f>
        <v/>
      </c>
      <c r="R211" s="61" t="str">
        <f>_xlfn.IFNA(VLOOKUP($F211,tblPacts[],4,FALSE),"")</f>
        <v/>
      </c>
    </row>
    <row r="212" spans="1:18">
      <c r="A212" s="1" t="s">
        <v>211</v>
      </c>
      <c r="B212" t="str">
        <f t="shared" si="32"/>
        <v>¬</v>
      </c>
      <c r="D212" s="19"/>
      <c r="E212" s="15" t="s">
        <v>1482</v>
      </c>
      <c r="F212" s="3"/>
      <c r="G212" s="19" t="str">
        <f>IFERROR(VLOOKUP(F212,tblManoeuvre[],2,FALSE)&amp;" "&amp;VLOOKUP(F212,tblManoeuvre[],3,FALSE),"")</f>
        <v/>
      </c>
      <c r="H212" s="68" t="str">
        <f>_xlfn.IFNA(IF(VLOOKUP(F212,tblMerits[],6,FALSE)=0,"None",VLOOKUP(F212,tblMerits[],6,FALSE)),"None")</f>
        <v>None</v>
      </c>
      <c r="I212" s="69"/>
      <c r="L212" s="4"/>
      <c r="M212" s="4"/>
      <c r="N212" s="4"/>
      <c r="O212" s="61">
        <f t="shared" si="33"/>
        <v>0</v>
      </c>
      <c r="P212" s="60">
        <f t="shared" si="34"/>
        <v>0</v>
      </c>
      <c r="Q212" s="61" t="str">
        <f>_xlfn.IFNA(VLOOKUP($F212,tblPacts[],3,FALSE),"")</f>
        <v/>
      </c>
      <c r="R212" s="61" t="str">
        <f>_xlfn.IFNA(VLOOKUP($F212,tblPacts[],4,FALSE),"")</f>
        <v/>
      </c>
    </row>
    <row r="213" spans="1:18">
      <c r="A213" s="1" t="s">
        <v>212</v>
      </c>
      <c r="B213" t="str">
        <f t="shared" si="32"/>
        <v>¬</v>
      </c>
      <c r="D213" s="19"/>
      <c r="E213" s="15" t="s">
        <v>1483</v>
      </c>
      <c r="F213" s="3"/>
      <c r="G213" s="19" t="str">
        <f>IFERROR(VLOOKUP(F213,tblManoeuvre[],2,FALSE)&amp;" "&amp;VLOOKUP(F213,tblManoeuvre[],3,FALSE),"")</f>
        <v/>
      </c>
      <c r="H213" s="68" t="str">
        <f>_xlfn.IFNA(IF(VLOOKUP(F213,tblMerits[],6,FALSE)=0,"None",VLOOKUP(F213,tblMerits[],6,FALSE)),"None")</f>
        <v>None</v>
      </c>
      <c r="I213" s="69"/>
      <c r="L213" s="4"/>
      <c r="M213" s="4"/>
      <c r="N213" s="4"/>
      <c r="O213" s="61">
        <f t="shared" si="33"/>
        <v>0</v>
      </c>
      <c r="P213" s="60">
        <f t="shared" si="34"/>
        <v>0</v>
      </c>
      <c r="Q213" s="61" t="str">
        <f>_xlfn.IFNA(VLOOKUP($F213,tblPacts[],3,FALSE),"")</f>
        <v/>
      </c>
      <c r="R213" s="61" t="str">
        <f>_xlfn.IFNA(VLOOKUP($F213,tblPacts[],4,FALSE),"")</f>
        <v/>
      </c>
    </row>
    <row r="214" spans="1:18">
      <c r="A214" s="1" t="s">
        <v>213</v>
      </c>
      <c r="B214" t="str">
        <f t="shared" si="32"/>
        <v>¬</v>
      </c>
      <c r="D214" s="19"/>
      <c r="E214" s="15" t="s">
        <v>1484</v>
      </c>
      <c r="F214" s="3"/>
      <c r="G214" s="19" t="str">
        <f>IFERROR(VLOOKUP(F214,tblManoeuvre[],2,FALSE)&amp;" "&amp;VLOOKUP(F214,tblManoeuvre[],3,FALSE),"")</f>
        <v/>
      </c>
      <c r="H214" s="68" t="str">
        <f>_xlfn.IFNA(IF(VLOOKUP(F214,tblMerits[],6,FALSE)=0,"None",VLOOKUP(F214,tblMerits[],6,FALSE)),"None")</f>
        <v>None</v>
      </c>
      <c r="I214" s="69"/>
      <c r="L214" s="4"/>
      <c r="M214" s="4"/>
      <c r="N214" s="4"/>
      <c r="O214" s="61">
        <f t="shared" si="33"/>
        <v>0</v>
      </c>
      <c r="P214" s="60">
        <f t="shared" si="34"/>
        <v>0</v>
      </c>
      <c r="Q214" s="61" t="str">
        <f>_xlfn.IFNA(VLOOKUP($F214,tblPacts[],3,FALSE),"")</f>
        <v/>
      </c>
      <c r="R214" s="61" t="str">
        <f>_xlfn.IFNA(VLOOKUP($F214,tblPacts[],4,FALSE),"")</f>
        <v/>
      </c>
    </row>
    <row r="215" spans="1:18">
      <c r="A215" s="1" t="s">
        <v>214</v>
      </c>
      <c r="B215" t="str">
        <f t="shared" si="32"/>
        <v>¬</v>
      </c>
      <c r="D215" s="19"/>
      <c r="E215" s="15" t="s">
        <v>1485</v>
      </c>
      <c r="F215" s="3"/>
      <c r="G215" s="19" t="str">
        <f>IFERROR(VLOOKUP(F215,tblManoeuvre[],2,FALSE)&amp;" "&amp;VLOOKUP(F215,tblManoeuvre[],3,FALSE),"")</f>
        <v/>
      </c>
      <c r="H215" s="68" t="str">
        <f>_xlfn.IFNA(IF(VLOOKUP(F215,tblMerits[],6,FALSE)=0,"None",VLOOKUP(F215,tblMerits[],6,FALSE)),"None")</f>
        <v>None</v>
      </c>
      <c r="I215" s="69"/>
      <c r="L215" s="4"/>
      <c r="M215" s="4"/>
      <c r="N215" s="4"/>
      <c r="O215" s="61">
        <f t="shared" si="33"/>
        <v>0</v>
      </c>
      <c r="P215" s="60">
        <f t="shared" si="34"/>
        <v>0</v>
      </c>
      <c r="Q215" s="61" t="str">
        <f>_xlfn.IFNA(VLOOKUP($F215,tblPacts[],3,FALSE),"")</f>
        <v/>
      </c>
      <c r="R215" s="61" t="str">
        <f>_xlfn.IFNA(VLOOKUP($F215,tblPacts[],4,FALSE),"")</f>
        <v/>
      </c>
    </row>
    <row r="216" spans="1:18">
      <c r="A216" s="1" t="s">
        <v>215</v>
      </c>
      <c r="B216" t="str">
        <f t="shared" si="32"/>
        <v>¬</v>
      </c>
    </row>
    <row r="217" spans="1:18">
      <c r="A217" s="1" t="s">
        <v>216</v>
      </c>
      <c r="B217" t="str">
        <f>IF(OR(AF134=0,AF134=""),"",REPT("●",AF134))</f>
        <v>●●</v>
      </c>
      <c r="D217" s="16" t="s">
        <v>1509</v>
      </c>
      <c r="E217" s="16"/>
      <c r="F217" s="16"/>
      <c r="G217" s="16"/>
      <c r="H217" s="16"/>
      <c r="I217" s="16"/>
    </row>
    <row r="218" spans="1:18">
      <c r="A218" s="1" t="s">
        <v>217</v>
      </c>
      <c r="B218" t="str">
        <f t="shared" ref="B218:B236" si="35">IF(OR(AF135=0,AF135=""),"",REPT("●",AF135))</f>
        <v>●●</v>
      </c>
      <c r="D218" s="19"/>
      <c r="E218" s="15" t="s">
        <v>353</v>
      </c>
      <c r="F218" s="19"/>
      <c r="G218" s="19"/>
      <c r="H218" s="19"/>
      <c r="I218" s="19"/>
      <c r="M218" s="61">
        <f>IF(COUNTIF(F79:F93,"Giant")&gt;0,1,0)+IF(COUNTIF(F79:F93,"Small-Framed")&gt;0,-1,0)</f>
        <v>0</v>
      </c>
      <c r="P218" s="60">
        <f>5+M218</f>
        <v>5</v>
      </c>
    </row>
    <row r="219" spans="1:18">
      <c r="A219" s="1" t="s">
        <v>218</v>
      </c>
      <c r="B219" t="str">
        <f t="shared" si="35"/>
        <v>●</v>
      </c>
      <c r="D219" s="19"/>
      <c r="E219" s="15" t="s">
        <v>354</v>
      </c>
      <c r="F219" s="19"/>
      <c r="G219" s="19"/>
      <c r="H219" s="19"/>
      <c r="I219" s="19"/>
      <c r="P219" s="60">
        <f ca="1">VLOOKUP("Size",INDIRECT($AH$1),2,FALSE)+VLOOKUP("Strength",INDIRECT($AH$1),2,FALSE)+VLOOKUP("Dexterity",INDIRECT($AH$1),2,FALSE)+VLOOKUP("Vigour",INDIRECT($AH$1),2,FALSE)</f>
        <v>10</v>
      </c>
    </row>
    <row r="220" spans="1:18">
      <c r="A220" s="1" t="s">
        <v>219</v>
      </c>
      <c r="B220" t="str">
        <f t="shared" si="35"/>
        <v>●</v>
      </c>
      <c r="D220" s="19"/>
      <c r="E220" s="15" t="s">
        <v>355</v>
      </c>
      <c r="F220" s="19"/>
      <c r="G220" s="19"/>
      <c r="H220" s="19"/>
      <c r="I220" s="19"/>
      <c r="P220" s="60">
        <f ca="1">MIN(VLOOKUP("Dexterity",INDIRECT($AH$1),2,FALSE),VLOOKUP("Wits",INDIRECT($AH$1),2,FALSE))+VLOOKUP("Athletics",INDIRECT($AH$1),2,FALSE)</f>
        <v>6</v>
      </c>
    </row>
    <row r="221" spans="1:18">
      <c r="A221" s="1" t="s">
        <v>220</v>
      </c>
      <c r="B221" t="str">
        <f t="shared" si="35"/>
        <v>●</v>
      </c>
      <c r="D221" s="19"/>
      <c r="E221" s="15" t="s">
        <v>52</v>
      </c>
      <c r="F221" s="19"/>
      <c r="G221" s="19"/>
      <c r="H221" s="19"/>
      <c r="I221" s="19"/>
      <c r="P221" s="60">
        <f ca="1">VLOOKUP("Size",INDIRECT($AH$1),2,FALSE)+VLOOKUP("Stamina",INDIRECT($AH$1),2,FALSE)+VLOOKUP("Resilience",INDIRECT($AH$1),2,FALSE)</f>
        <v>7</v>
      </c>
    </row>
    <row r="222" spans="1:18">
      <c r="A222" s="1" t="s">
        <v>221</v>
      </c>
      <c r="B222" t="str">
        <f t="shared" si="35"/>
        <v/>
      </c>
      <c r="D222" s="19"/>
      <c r="E222" s="19"/>
      <c r="F222" s="19"/>
      <c r="G222" s="19"/>
      <c r="H222" s="15" t="s">
        <v>1510</v>
      </c>
      <c r="I222" s="19"/>
      <c r="L222" s="4"/>
    </row>
    <row r="223" spans="1:18">
      <c r="A223" s="1" t="s">
        <v>222</v>
      </c>
      <c r="B223" t="str">
        <f t="shared" si="35"/>
        <v/>
      </c>
      <c r="D223" s="19"/>
      <c r="E223" s="15" t="s">
        <v>1511</v>
      </c>
      <c r="F223" s="7"/>
      <c r="G223" s="19"/>
      <c r="H223" s="15" t="s">
        <v>1512</v>
      </c>
      <c r="I223" s="19"/>
      <c r="L223" s="4">
        <v>1</v>
      </c>
    </row>
    <row r="224" spans="1:18">
      <c r="A224" s="1" t="s">
        <v>223</v>
      </c>
      <c r="B224" t="str">
        <f t="shared" si="35"/>
        <v/>
      </c>
      <c r="D224" s="19"/>
      <c r="E224" s="15" t="s">
        <v>1513</v>
      </c>
      <c r="F224" s="7"/>
      <c r="G224" s="19"/>
      <c r="H224" s="15" t="s">
        <v>1514</v>
      </c>
      <c r="I224" s="19"/>
      <c r="L224" s="4"/>
    </row>
    <row r="225" spans="1:12">
      <c r="A225" s="1" t="s">
        <v>224</v>
      </c>
      <c r="B225" t="str">
        <f t="shared" si="35"/>
        <v/>
      </c>
      <c r="D225" s="19"/>
      <c r="E225" s="15" t="s">
        <v>1515</v>
      </c>
      <c r="F225" s="7"/>
      <c r="G225" s="19"/>
      <c r="H225" s="15" t="s">
        <v>1516</v>
      </c>
      <c r="I225" s="19"/>
      <c r="L225" s="4"/>
    </row>
    <row r="226" spans="1:12">
      <c r="A226" s="1" t="s">
        <v>225</v>
      </c>
      <c r="B226" t="str">
        <f t="shared" si="35"/>
        <v/>
      </c>
      <c r="D226" s="19"/>
      <c r="E226" s="15" t="s">
        <v>1517</v>
      </c>
      <c r="F226" s="7"/>
      <c r="G226" s="19"/>
      <c r="H226" s="19"/>
      <c r="I226" s="19"/>
    </row>
    <row r="227" spans="1:12">
      <c r="A227" s="1" t="s">
        <v>226</v>
      </c>
      <c r="B227" t="str">
        <f t="shared" si="35"/>
        <v/>
      </c>
      <c r="D227" s="19"/>
      <c r="E227" s="15" t="s">
        <v>1518</v>
      </c>
      <c r="F227" s="7" t="s">
        <v>1670</v>
      </c>
      <c r="G227" s="19"/>
      <c r="H227" s="19"/>
      <c r="I227" s="19"/>
    </row>
    <row r="228" spans="1:12">
      <c r="A228" s="1" t="s">
        <v>227</v>
      </c>
      <c r="B228" t="str">
        <f t="shared" si="35"/>
        <v/>
      </c>
      <c r="D228" s="19"/>
      <c r="E228" s="15" t="s">
        <v>1519</v>
      </c>
      <c r="F228" s="7" t="s">
        <v>1671</v>
      </c>
      <c r="G228" s="19"/>
      <c r="H228" s="19"/>
      <c r="I228" s="19"/>
    </row>
    <row r="229" spans="1:12">
      <c r="A229" s="1" t="s">
        <v>228</v>
      </c>
      <c r="B229" t="str">
        <f t="shared" si="35"/>
        <v/>
      </c>
      <c r="D229" s="19"/>
      <c r="E229" s="15" t="s">
        <v>1520</v>
      </c>
      <c r="F229" s="7"/>
      <c r="G229" s="19"/>
      <c r="H229" s="19"/>
      <c r="I229" s="19"/>
    </row>
    <row r="230" spans="1:12">
      <c r="A230" s="1" t="s">
        <v>229</v>
      </c>
      <c r="B230" t="str">
        <f t="shared" si="35"/>
        <v/>
      </c>
      <c r="D230" s="19"/>
      <c r="E230" s="15" t="s">
        <v>1521</v>
      </c>
      <c r="F230" s="7"/>
      <c r="G230" s="19"/>
      <c r="H230" s="19"/>
      <c r="I230" s="19"/>
    </row>
    <row r="231" spans="1:12">
      <c r="A231" s="1" t="s">
        <v>230</v>
      </c>
      <c r="B231" t="str">
        <f t="shared" si="35"/>
        <v/>
      </c>
      <c r="D231" s="19"/>
      <c r="E231" s="15" t="s">
        <v>1522</v>
      </c>
      <c r="F231" s="7"/>
      <c r="G231" s="19"/>
      <c r="H231" s="19"/>
      <c r="I231" s="19"/>
    </row>
    <row r="232" spans="1:12">
      <c r="A232" s="1" t="s">
        <v>231</v>
      </c>
      <c r="B232" t="str">
        <f t="shared" si="35"/>
        <v/>
      </c>
      <c r="D232" s="19"/>
      <c r="E232" s="15" t="s">
        <v>1523</v>
      </c>
      <c r="F232" s="7"/>
      <c r="G232" s="19"/>
      <c r="H232" s="19"/>
      <c r="I232" s="19"/>
    </row>
    <row r="233" spans="1:12">
      <c r="A233" s="1" t="s">
        <v>232</v>
      </c>
      <c r="B233" t="str">
        <f t="shared" si="35"/>
        <v/>
      </c>
      <c r="D233" s="19"/>
      <c r="E233" s="19"/>
      <c r="F233" s="19"/>
      <c r="G233" s="19"/>
      <c r="H233" s="19"/>
      <c r="I233" s="19"/>
    </row>
    <row r="234" spans="1:12">
      <c r="A234" s="1" t="s">
        <v>233</v>
      </c>
      <c r="B234" t="str">
        <f t="shared" si="35"/>
        <v/>
      </c>
      <c r="D234" s="19"/>
      <c r="E234" s="15" t="s">
        <v>343</v>
      </c>
      <c r="F234" s="61" t="str">
        <f>_xlfn.IFNA(VLOOKUP(F7,tblClans[],4,FALSE),"")</f>
        <v>Wanton Curse</v>
      </c>
      <c r="G234" s="19"/>
      <c r="H234" s="74" t="str">
        <f>_xlfn.IFNA(VLOOKUP(F234,tblBanes[],2,FALSE),"")</f>
        <v>Hungry at 5 or fewer Vitae, Starving at 3 or fewer. Dramatic Failures on feeding cause Persistent Dependent Condition toward a mortal NPC.</v>
      </c>
      <c r="I234" s="74"/>
    </row>
    <row r="235" spans="1:12">
      <c r="A235" s="1" t="s">
        <v>234</v>
      </c>
      <c r="B235" t="str">
        <f t="shared" si="35"/>
        <v/>
      </c>
      <c r="D235" s="19"/>
      <c r="E235" s="15" t="s">
        <v>344</v>
      </c>
      <c r="F235" s="19"/>
      <c r="G235" s="19"/>
      <c r="H235" s="19"/>
      <c r="I235" s="19"/>
    </row>
    <row r="236" spans="1:12">
      <c r="A236" s="1" t="s">
        <v>235</v>
      </c>
      <c r="B236" t="str">
        <f t="shared" si="35"/>
        <v/>
      </c>
      <c r="D236" s="19"/>
      <c r="E236" s="15" t="s">
        <v>345</v>
      </c>
      <c r="F236" s="3" t="s">
        <v>439</v>
      </c>
      <c r="G236" s="19"/>
      <c r="H236" s="70" t="str">
        <f>_xlfn.IFNA(VLOOKUP(F236,tblBanes[],2,FALSE),"")</f>
        <v>Surrounded by vermin; all Social rolls fail except Intimidation; WP can dismiss.</v>
      </c>
      <c r="I236" s="71"/>
    </row>
    <row r="237" spans="1:12">
      <c r="A237" s="1" t="s">
        <v>236</v>
      </c>
      <c r="B237" t="str">
        <f ca="1">_xlfn.LET(_xlpm.v,VLOOKUP(tblCharDataCyrus[[#This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_xlfn.LET(_xlpm.v,VLOOKUP(tblCharDataCyrus[[#This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_xlfn.LET(_xlpm.v,VLOOKUP(tblCharDataCyrus[[#This Row],[Field]],INDIRECT($AH$1),2,FALSE),IF(OR(_xlpm.v=0,_xlpm.v=""),"-",REPT("●",_xlpm.v)))</f>
        <v>●</v>
      </c>
      <c r="D239" s="19"/>
      <c r="E239" s="19"/>
      <c r="F239" s="19"/>
      <c r="G239" s="19"/>
      <c r="H239" s="19"/>
      <c r="I239" s="19"/>
    </row>
    <row r="240" spans="1:12">
      <c r="A240" s="1" t="s">
        <v>239</v>
      </c>
      <c r="B240" t="str">
        <f ca="1">_xlfn.LET(_xlpm.v,VLOOKUP(tblCharDataCyrus[[#This Row],[Field]],INDIRECT($AH$1),2,FALSE),IF(OR(_xlpm.v=0,_xlpm.v=""),"-",REPT("●",_xlpm.v)))</f>
        <v>-</v>
      </c>
      <c r="D240" s="19"/>
      <c r="E240" s="15" t="s">
        <v>360</v>
      </c>
      <c r="F240" s="62"/>
      <c r="G240" s="63"/>
      <c r="H240" s="63"/>
      <c r="I240" s="64"/>
    </row>
    <row r="241" spans="1:9">
      <c r="A241" s="1" t="s">
        <v>240</v>
      </c>
      <c r="B241" t="str">
        <f ca="1">_xlfn.LET(_xlpm.v,VLOOKUP(tblCharDataCyrus[[#This Row],[Field]],INDIRECT($AH$1),2,FALSE),IF(OR(_xlpm.v=0,_xlpm.v=""),"-",REPT("●",_xlpm.v)))</f>
        <v>●●</v>
      </c>
      <c r="D241" s="19"/>
      <c r="E241" s="15" t="s">
        <v>361</v>
      </c>
      <c r="F241" s="62"/>
      <c r="G241" s="63"/>
      <c r="H241" s="63"/>
      <c r="I241" s="64"/>
    </row>
    <row r="242" spans="1:9">
      <c r="A242" s="1" t="s">
        <v>241</v>
      </c>
      <c r="B242" t="str">
        <f ca="1">_xlfn.LET(_xlpm.v,VLOOKUP(tblCharDataCyrus[[#This Row],[Field]],INDIRECT($AH$1),2,FALSE),IF(OR(_xlpm.v=0,_xlpm.v=""),"-",REPT("●",_xlpm.v)))</f>
        <v>-</v>
      </c>
      <c r="D242" s="19"/>
      <c r="E242" s="15" t="s">
        <v>362</v>
      </c>
      <c r="F242" s="62"/>
      <c r="G242" s="63"/>
      <c r="H242" s="63"/>
      <c r="I242" s="64"/>
    </row>
    <row r="243" spans="1:9">
      <c r="A243" s="1" t="s">
        <v>242</v>
      </c>
      <c r="B243" t="str">
        <f ca="1">_xlfn.LET(_xlpm.v,VLOOKUP(tblCharDataCyrus[[#This Row],[Field]],INDIRECT($AH$1),2,FALSE),IF(OR(_xlpm.v=0,_xlpm.v=""),"-",REPT("●",_xlpm.v)))</f>
        <v>-</v>
      </c>
      <c r="D243" s="19"/>
      <c r="E243" s="19"/>
      <c r="F243" s="19"/>
      <c r="G243" s="19"/>
      <c r="H243" s="19"/>
      <c r="I243" s="19"/>
    </row>
    <row r="244" spans="1:9">
      <c r="A244" s="1" t="s">
        <v>243</v>
      </c>
      <c r="B244" t="str">
        <f ca="1">_xlfn.LET(_xlpm.v,VLOOKUP(tblCharDataCyrus[[#This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Fame</v>
      </c>
      <c r="G244" s="63"/>
      <c r="H244" s="63"/>
      <c r="I244" s="64"/>
    </row>
    <row r="245" spans="1:9">
      <c r="A245" s="1" t="s">
        <v>244</v>
      </c>
      <c r="B245" t="str">
        <f ca="1">_xlfn.LET(_xlpm.v,VLOOKUP(tblCharDataCyrus[[#This Row],[Field]],INDIRECT($AH$1),2,FALSE),IF(OR(_xlpm.v=0,_xlpm.v=""),"-",REPT("●",_xlpm.v)))</f>
        <v>-</v>
      </c>
      <c r="D245" s="19"/>
      <c r="E245" s="15" t="s">
        <v>1524</v>
      </c>
      <c r="F245" s="62"/>
      <c r="G245" s="63"/>
      <c r="H245" s="63"/>
      <c r="I245" s="64"/>
    </row>
    <row r="246" spans="1:9">
      <c r="A246" s="1" t="s">
        <v>245</v>
      </c>
      <c r="B246" t="str">
        <f ca="1">_xlfn.LET(_xlpm.v,VLOOKUP(tblCharDataCyrus[[#This Row],[Field]],INDIRECT($AH$1),2,FALSE),IF(OR(_xlpm.v=0,_xlpm.v=""),"-",REPT("●",_xlpm.v)))</f>
        <v>-</v>
      </c>
    </row>
    <row r="247" spans="1:9">
      <c r="A247" s="1" t="s">
        <v>246</v>
      </c>
      <c r="B247" t="str">
        <f ca="1">_xlfn.LET(_xlpm.v,VLOOKUP(tblCharDataCyrus[[#This Row],[Field]],INDIRECT($AH$1),2,FALSE),IF(OR(_xlpm.v=0,_xlpm.v=""),"-",REPT("●",_xlpm.v)))</f>
        <v>●</v>
      </c>
      <c r="D247" s="16" t="s">
        <v>1525</v>
      </c>
      <c r="E247" s="16"/>
      <c r="F247" s="16" t="s">
        <v>1526</v>
      </c>
      <c r="G247" s="16" t="s">
        <v>1527</v>
      </c>
      <c r="H247" s="16"/>
      <c r="I247" s="16"/>
    </row>
    <row r="248" spans="1:9">
      <c r="A248" s="1" t="s">
        <v>247</v>
      </c>
      <c r="B248" t="str">
        <f ca="1">_xlfn.LET(_xlpm.v,VLOOKUP(tblCharDataCyrus[[#This Row],[Field]],INDIRECT($AH$1),2,FALSE),IF(OR(_xlpm.v=0,_xlpm.v=""),"-",REPT("●",_xlpm.v)))</f>
        <v>-</v>
      </c>
      <c r="D248" s="19"/>
      <c r="E248" s="15" t="s">
        <v>1528</v>
      </c>
      <c r="F248" s="7"/>
      <c r="G248" s="7"/>
      <c r="H248" s="19"/>
      <c r="I248" s="19" t="s">
        <v>1529</v>
      </c>
    </row>
    <row r="249" spans="1:9">
      <c r="A249" s="1" t="s">
        <v>248</v>
      </c>
      <c r="B249" t="str">
        <f ca="1">_xlfn.LET(_xlpm.v,VLOOKUP(tblCharDataCyrus[[#This Row],[Field]],INDIRECT($AH$1),2,FALSE),IF(OR(_xlpm.v=0,_xlpm.v=""),"-",REPT("●",_xlpm.v)))</f>
        <v>●</v>
      </c>
      <c r="D249" s="19"/>
      <c r="E249" s="15" t="s">
        <v>1530</v>
      </c>
      <c r="F249" s="7"/>
      <c r="G249" s="7"/>
      <c r="H249" s="19"/>
      <c r="I249" s="19" t="s">
        <v>1531</v>
      </c>
    </row>
    <row r="250" spans="1:9">
      <c r="A250" s="1" t="s">
        <v>249</v>
      </c>
      <c r="B250" t="str">
        <f ca="1">_xlfn.LET(_xlpm.v,VLOOKUP(tblCharDataCyrus[[#This Row],[Field]],INDIRECT($AH$1),2,FALSE),IF(OR(_xlpm.v=0,_xlpm.v=""),"-",REPT("●",_xlpm.v)))</f>
        <v>-</v>
      </c>
      <c r="D250" s="19" t="s">
        <v>1532</v>
      </c>
      <c r="E250" s="15" t="s">
        <v>1533</v>
      </c>
      <c r="F250" s="7"/>
      <c r="G250" s="7"/>
      <c r="H250" s="19"/>
      <c r="I250" s="19"/>
    </row>
    <row r="251" spans="1:9">
      <c r="A251" s="1" t="s">
        <v>250</v>
      </c>
      <c r="B251" t="str">
        <f ca="1">_xlfn.LET(_xlpm.v,VLOOKUP(tblCharDataCyrus[[#This Row],[Field]],INDIRECT($AH$1),2,FALSE),IF(OR(_xlpm.v=0,_xlpm.v=""),"-",REPT("●",_xlpm.v)))</f>
        <v>●</v>
      </c>
      <c r="D251" s="19" t="s">
        <v>1532</v>
      </c>
      <c r="E251" s="15" t="s">
        <v>1534</v>
      </c>
      <c r="F251" s="7"/>
      <c r="G251" s="7"/>
      <c r="H251" s="19"/>
      <c r="I251" s="19"/>
    </row>
    <row r="252" spans="1:9">
      <c r="A252" s="1" t="s">
        <v>251</v>
      </c>
      <c r="B252" t="str">
        <f ca="1">_xlfn.LET(_xlpm.v,VLOOKUP(tblCharDataCyrus[[#This Row],[Field]],INDIRECT($AH$1),2,FALSE),IF(OR(_xlpm.v=0,_xlpm.v=""),"-",REPT("●",_xlpm.v)))</f>
        <v>●</v>
      </c>
      <c r="D252" s="19" t="s">
        <v>1532</v>
      </c>
      <c r="E252" s="15" t="s">
        <v>1535</v>
      </c>
      <c r="F252" s="7"/>
      <c r="G252" s="7"/>
      <c r="H252" s="19"/>
      <c r="I252" s="19"/>
    </row>
    <row r="253" spans="1:9">
      <c r="A253" s="1" t="s">
        <v>252</v>
      </c>
      <c r="B253" t="str">
        <f ca="1">_xlfn.LET(_xlpm.v,VLOOKUP(tblCharDataCyrus[[#This Row],[Field]],INDIRECT($AH$1),2,FALSE),IF(OR(_xlpm.v=0,_xlpm.v=""),"-",REPT("●",_xlpm.v)))</f>
        <v>-</v>
      </c>
      <c r="D253" s="19" t="s">
        <v>1532</v>
      </c>
      <c r="E253" s="15" t="s">
        <v>1536</v>
      </c>
      <c r="F253" s="7"/>
      <c r="G253" s="7"/>
      <c r="H253" s="19"/>
      <c r="I253" s="19"/>
    </row>
    <row r="254" spans="1:9">
      <c r="A254" s="1" t="s">
        <v>253</v>
      </c>
      <c r="B254" t="str">
        <f t="shared" ref="B254:B283" si="36">IF(AD44="","¬",AD44)</f>
        <v>Celerity ●</v>
      </c>
      <c r="D254" s="19" t="s">
        <v>1532</v>
      </c>
      <c r="E254" s="15" t="s">
        <v>1537</v>
      </c>
      <c r="F254" s="7"/>
      <c r="G254" s="7"/>
      <c r="H254" s="19"/>
      <c r="I254" s="19"/>
    </row>
    <row r="255" spans="1:9">
      <c r="A255" s="1" t="s">
        <v>254</v>
      </c>
      <c r="B255" t="str">
        <f t="shared" si="36"/>
        <v>Majesty ● | Awe</v>
      </c>
      <c r="D255" s="19" t="s">
        <v>1532</v>
      </c>
      <c r="E255" s="15" t="s">
        <v>1538</v>
      </c>
      <c r="F255" s="7"/>
      <c r="G255" s="7"/>
      <c r="H255" s="19"/>
      <c r="I255" s="19"/>
    </row>
    <row r="256" spans="1:9">
      <c r="A256" s="1" t="s">
        <v>255</v>
      </c>
      <c r="B256" t="str">
        <f t="shared" si="36"/>
        <v>Majesty ●● | Confidant</v>
      </c>
      <c r="D256" s="19" t="s">
        <v>1532</v>
      </c>
      <c r="E256" s="15" t="s">
        <v>1539</v>
      </c>
      <c r="F256" s="7"/>
      <c r="G256" s="7"/>
      <c r="H256" s="19"/>
      <c r="I256" s="19"/>
    </row>
    <row r="257" spans="1:9">
      <c r="A257" s="1" t="s">
        <v>256</v>
      </c>
      <c r="B257" t="str">
        <f t="shared" si="36"/>
        <v>Blood Sorcery | Creation ●</v>
      </c>
      <c r="D257" s="19" t="s">
        <v>1532</v>
      </c>
      <c r="E257" s="15" t="s">
        <v>1540</v>
      </c>
      <c r="F257" s="7"/>
      <c r="G257" s="7"/>
      <c r="H257" s="19"/>
      <c r="I257" s="19"/>
    </row>
    <row r="258" spans="1:9">
      <c r="A258" s="1" t="s">
        <v>257</v>
      </c>
      <c r="B258" t="str">
        <f t="shared" si="36"/>
        <v>Blood Sorcery | Divination ●</v>
      </c>
      <c r="D258" s="19" t="s">
        <v>1532</v>
      </c>
      <c r="E258" s="15" t="s">
        <v>1541</v>
      </c>
      <c r="F258" s="7"/>
      <c r="G258" s="7"/>
      <c r="H258" s="19"/>
      <c r="I258" s="19"/>
    </row>
    <row r="259" spans="1:9">
      <c r="A259" s="1" t="s">
        <v>258</v>
      </c>
      <c r="B259" t="str">
        <f t="shared" si="36"/>
        <v>Blood Sorcery | Protection ●</v>
      </c>
      <c r="D259" s="19" t="s">
        <v>1532</v>
      </c>
      <c r="E259" s="15" t="s">
        <v>1542</v>
      </c>
      <c r="F259" s="7"/>
      <c r="G259" s="7"/>
      <c r="H259" s="19"/>
      <c r="I259" s="19"/>
    </row>
    <row r="260" spans="1:9">
      <c r="A260" s="1" t="s">
        <v>259</v>
      </c>
      <c r="B260" t="str">
        <f t="shared" si="36"/>
        <v>Cruac ● | Taste of Knowledge</v>
      </c>
      <c r="D260" s="19" t="s">
        <v>1532</v>
      </c>
      <c r="E260" s="15" t="s">
        <v>1543</v>
      </c>
      <c r="F260" s="7"/>
      <c r="G260" s="7"/>
      <c r="H260" s="19"/>
      <c r="I260" s="19"/>
    </row>
    <row r="261" spans="1:9">
      <c r="A261" s="1" t="s">
        <v>260</v>
      </c>
      <c r="B261" t="str">
        <f t="shared" si="36"/>
        <v>¬</v>
      </c>
      <c r="D261" s="19" t="s">
        <v>1532</v>
      </c>
      <c r="E261" s="15" t="s">
        <v>1544</v>
      </c>
      <c r="F261" s="7"/>
      <c r="G261" s="7"/>
      <c r="H261" s="19"/>
      <c r="I261" s="19"/>
    </row>
    <row r="262" spans="1:9">
      <c r="A262" s="1" t="s">
        <v>261</v>
      </c>
      <c r="B262" t="str">
        <f t="shared" si="36"/>
        <v>¬</v>
      </c>
      <c r="D262" s="19" t="s">
        <v>1532</v>
      </c>
      <c r="E262" s="15" t="s">
        <v>1545</v>
      </c>
      <c r="F262" s="7"/>
      <c r="G262" s="7"/>
      <c r="H262" s="19"/>
      <c r="I262" s="19"/>
    </row>
    <row r="263" spans="1:9">
      <c r="A263" s="1" t="s">
        <v>262</v>
      </c>
      <c r="B263" t="str">
        <f t="shared" si="36"/>
        <v>¬</v>
      </c>
      <c r="D263" s="19" t="s">
        <v>1532</v>
      </c>
      <c r="E263" s="15" t="s">
        <v>1546</v>
      </c>
      <c r="F263" s="7"/>
      <c r="G263" s="7"/>
      <c r="H263" s="19"/>
      <c r="I263" s="19"/>
    </row>
    <row r="264" spans="1:9">
      <c r="A264" s="1" t="s">
        <v>263</v>
      </c>
      <c r="B264" t="str">
        <f t="shared" si="36"/>
        <v>¬</v>
      </c>
      <c r="D264" s="19" t="s">
        <v>1532</v>
      </c>
      <c r="E264" s="15" t="s">
        <v>1547</v>
      </c>
      <c r="F264" s="7"/>
      <c r="G264" s="7"/>
      <c r="H264" s="19"/>
      <c r="I264" s="19"/>
    </row>
    <row r="265" spans="1:9">
      <c r="A265" s="1" t="s">
        <v>264</v>
      </c>
      <c r="B265" t="str">
        <f t="shared" si="36"/>
        <v>¬</v>
      </c>
      <c r="D265" s="19" t="s">
        <v>1532</v>
      </c>
      <c r="E265" s="15" t="s">
        <v>1548</v>
      </c>
      <c r="F265" s="7"/>
      <c r="G265" s="7"/>
      <c r="H265" s="19"/>
      <c r="I265" s="19"/>
    </row>
    <row r="266" spans="1:9">
      <c r="A266" s="1" t="s">
        <v>265</v>
      </c>
      <c r="B266" t="str">
        <f t="shared" si="36"/>
        <v>¬</v>
      </c>
      <c r="D266" s="19" t="s">
        <v>1532</v>
      </c>
      <c r="E266" s="15" t="s">
        <v>1549</v>
      </c>
      <c r="F266" s="7"/>
      <c r="G266" s="7"/>
      <c r="H266" s="19"/>
      <c r="I266" s="19"/>
    </row>
    <row r="267" spans="1:9">
      <c r="A267" s="1" t="s">
        <v>266</v>
      </c>
      <c r="B267" t="str">
        <f t="shared" si="36"/>
        <v>¬</v>
      </c>
      <c r="D267" s="19" t="s">
        <v>1532</v>
      </c>
      <c r="E267" s="15" t="s">
        <v>1550</v>
      </c>
      <c r="F267" s="7"/>
      <c r="G267" s="7"/>
      <c r="H267" s="19"/>
      <c r="I267" s="19"/>
    </row>
    <row r="268" spans="1:9">
      <c r="A268" s="1" t="s">
        <v>267</v>
      </c>
      <c r="B268" t="str">
        <f t="shared" si="36"/>
        <v>¬</v>
      </c>
      <c r="D268" s="19" t="s">
        <v>1532</v>
      </c>
      <c r="E268" s="15" t="s">
        <v>1551</v>
      </c>
      <c r="F268" s="7"/>
      <c r="G268" s="7"/>
      <c r="H268" s="19"/>
      <c r="I268" s="19"/>
    </row>
    <row r="269" spans="1:9">
      <c r="A269" s="1" t="s">
        <v>268</v>
      </c>
      <c r="B269" t="str">
        <f t="shared" si="36"/>
        <v>¬</v>
      </c>
      <c r="D269" s="19" t="s">
        <v>1532</v>
      </c>
      <c r="E269" s="15" t="s">
        <v>1552</v>
      </c>
      <c r="F269" s="7"/>
      <c r="G269" s="7"/>
      <c r="H269" s="19"/>
      <c r="I269" s="19"/>
    </row>
    <row r="270" spans="1:9">
      <c r="A270" s="1" t="s">
        <v>269</v>
      </c>
      <c r="B270" t="str">
        <f t="shared" si="36"/>
        <v>¬</v>
      </c>
      <c r="D270" s="19" t="s">
        <v>1532</v>
      </c>
      <c r="E270" s="15" t="s">
        <v>1553</v>
      </c>
      <c r="F270" s="7"/>
      <c r="G270" s="7"/>
      <c r="H270" s="19"/>
      <c r="I270" s="19"/>
    </row>
    <row r="271" spans="1:9">
      <c r="A271" s="1" t="s">
        <v>270</v>
      </c>
      <c r="B271" t="str">
        <f t="shared" si="36"/>
        <v>¬</v>
      </c>
      <c r="D271" s="19" t="s">
        <v>1532</v>
      </c>
      <c r="E271" s="15" t="s">
        <v>1554</v>
      </c>
      <c r="F271" s="7"/>
      <c r="G271" s="7"/>
      <c r="H271" s="19"/>
      <c r="I271" s="19"/>
    </row>
    <row r="272" spans="1:9">
      <c r="A272" s="1" t="s">
        <v>271</v>
      </c>
      <c r="B272" t="str">
        <f t="shared" si="36"/>
        <v>¬</v>
      </c>
      <c r="D272" s="19" t="s">
        <v>1532</v>
      </c>
      <c r="E272" s="15" t="s">
        <v>1555</v>
      </c>
      <c r="F272" s="7"/>
      <c r="G272" s="7"/>
      <c r="H272" s="19"/>
      <c r="I272" s="19"/>
    </row>
    <row r="273" spans="1:14">
      <c r="A273" s="1" t="s">
        <v>272</v>
      </c>
      <c r="B273" t="str">
        <f t="shared" si="36"/>
        <v>¬</v>
      </c>
      <c r="D273" s="19" t="s">
        <v>1532</v>
      </c>
      <c r="E273" s="15" t="s">
        <v>1556</v>
      </c>
      <c r="F273" s="7"/>
      <c r="G273" s="7"/>
      <c r="H273" s="19"/>
      <c r="I273" s="19"/>
    </row>
    <row r="274" spans="1:14">
      <c r="A274" s="1" t="s">
        <v>273</v>
      </c>
      <c r="B274" t="str">
        <f t="shared" si="36"/>
        <v>¬</v>
      </c>
      <c r="D274" s="19" t="s">
        <v>1532</v>
      </c>
      <c r="E274" s="15" t="s">
        <v>1557</v>
      </c>
      <c r="F274" s="7"/>
      <c r="G274" s="7"/>
      <c r="H274" s="19"/>
      <c r="I274" s="19"/>
    </row>
    <row r="275" spans="1:14">
      <c r="A275" s="1" t="s">
        <v>274</v>
      </c>
      <c r="B275" t="str">
        <f t="shared" si="36"/>
        <v>¬</v>
      </c>
      <c r="D275" s="19" t="s">
        <v>1532</v>
      </c>
      <c r="E275" s="15" t="s">
        <v>1558</v>
      </c>
      <c r="F275" s="7"/>
      <c r="G275" s="7"/>
      <c r="H275" s="19"/>
      <c r="I275" s="19"/>
    </row>
    <row r="276" spans="1:14">
      <c r="A276" s="1" t="s">
        <v>275</v>
      </c>
      <c r="B276" t="str">
        <f t="shared" si="36"/>
        <v>¬</v>
      </c>
      <c r="D276" s="19" t="s">
        <v>1532</v>
      </c>
      <c r="E276" s="15" t="s">
        <v>1559</v>
      </c>
      <c r="F276" s="7"/>
      <c r="G276" s="7"/>
      <c r="H276" s="19"/>
      <c r="I276" s="19"/>
    </row>
    <row r="277" spans="1:14">
      <c r="A277" s="1" t="s">
        <v>276</v>
      </c>
      <c r="B277" t="str">
        <f t="shared" si="36"/>
        <v>¬</v>
      </c>
      <c r="D277" s="19" t="s">
        <v>1532</v>
      </c>
      <c r="E277" s="15" t="s">
        <v>1560</v>
      </c>
      <c r="F277" s="7"/>
      <c r="G277" s="7"/>
      <c r="H277" s="19"/>
      <c r="I277" s="19"/>
    </row>
    <row r="278" spans="1:14">
      <c r="A278" s="1" t="s">
        <v>277</v>
      </c>
      <c r="B278" t="str">
        <f t="shared" si="36"/>
        <v>¬</v>
      </c>
    </row>
    <row r="279" spans="1:14">
      <c r="A279" s="1" t="s">
        <v>278</v>
      </c>
      <c r="B279" t="str">
        <f t="shared" si="36"/>
        <v>¬</v>
      </c>
      <c r="D279" s="16" t="s">
        <v>1561</v>
      </c>
      <c r="E279" s="16"/>
      <c r="F279" s="16" t="s">
        <v>1347</v>
      </c>
      <c r="G279" s="16" t="s">
        <v>1348</v>
      </c>
      <c r="H279" s="16" t="s">
        <v>1349</v>
      </c>
      <c r="I279" s="16" t="s">
        <v>1350</v>
      </c>
      <c r="N279" s="60">
        <f ca="1">SUM(N280:N282)</f>
        <v>3</v>
      </c>
    </row>
    <row r="280" spans="1:14">
      <c r="A280" s="1" t="s">
        <v>279</v>
      </c>
      <c r="B280" t="str">
        <f t="shared" si="36"/>
        <v>¬</v>
      </c>
      <c r="D280" s="61" t="str" cm="1">
        <f t="array" aca="1" ref="D280" ca="1">INDEX(Attendance!$C$14:$GP$44,
       MATCH($F$4, Attendance!$C$14:$C$44, 0),
       MATCH(1, (Attendance!$C$12:$GP$12=$E280) * (Attendance!$C$13:$GP$13="Paid"), 0)
)</f>
        <v>PayID</v>
      </c>
      <c r="E280" s="41">
        <v>46054</v>
      </c>
      <c r="F280" s="61" cm="1">
        <f t="array" aca="1" ref="F280" ca="1">N(INDEX(Attendance!$C$14:$GP$104,
       MATCH($F$4, Attendance!$C$14:$C$104, 0),
       MATCH(1, (Attendance!$C$12:$GP$12=$E280) * (Attendance!$C$13:$GP$13=$F$279), 0)
))</f>
        <v>3</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0</v>
      </c>
      <c r="I280" s="61" t="str" cm="1">
        <f t="array" aca="1" ref="I280" ca="1">INDEX(Attendance!$C$14:$GP$44,
       MATCH($F$4, Attendance!$C$14:$C$44, 0),
       MATCH(1, (Attendance!$C$12:$GP$12=$E280) * (Attendance!$C$13:$GP$13=$I$279), 0)
)</f>
        <v>Quiet</v>
      </c>
      <c r="K280" s="18"/>
      <c r="L280" s="18"/>
      <c r="M280" s="18" t="s">
        <v>1562</v>
      </c>
      <c r="N280" s="61">
        <f ca="1">SUM(F$280:F$316)</f>
        <v>3</v>
      </c>
    </row>
    <row r="281" spans="1:14">
      <c r="A281" s="1" t="s">
        <v>280</v>
      </c>
      <c r="B281" t="str">
        <f t="shared" si="36"/>
        <v>¬</v>
      </c>
      <c r="D281" s="61" t="str" cm="1">
        <f t="array" aca="1" ref="D281" ca="1">INDEX(Attendance!$C$14:$GP$44,
       MATCH($F$4, Attendance!$C$14:$C$44, 0),
       MATCH(1, (Attendance!$C$12:$GP$12=$E281) * (Attendance!$C$13:$GP$13="Paid"), 0)
)</f>
        <v> </v>
      </c>
      <c r="E281" s="42">
        <f t="shared" ref="E281:E316" si="37">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6"/>
        <v>¬</v>
      </c>
      <c r="D282" s="61" t="str" cm="1">
        <f t="array" aca="1" ref="D282" ca="1">INDEX(Attendance!$C$14:$GP$44,
       MATCH($F$4, Attendance!$C$14:$C$44, 0),
       MATCH(1, (Attendance!$C$12:$GP$12=$E282) * (Attendance!$C$13:$GP$13="Paid"), 0)
)</f>
        <v> </v>
      </c>
      <c r="E282" s="42">
        <f t="shared" si="37"/>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0</v>
      </c>
    </row>
    <row r="283" spans="1:14">
      <c r="A283" s="1" t="s">
        <v>282</v>
      </c>
      <c r="B283" t="str">
        <f t="shared" si="36"/>
        <v>¬</v>
      </c>
      <c r="D283" s="61" t="str" cm="1">
        <f t="array" aca="1" ref="D283" ca="1">INDEX(Attendance!$C$14:$GP$44,
       MATCH($F$4, Attendance!$C$14:$C$44, 0),
       MATCH(1, (Attendance!$C$12:$GP$12=$E283) * (Attendance!$C$13:$GP$13="Paid"), 0)
)</f>
        <v> </v>
      </c>
      <c r="E283" s="42">
        <f t="shared" si="37"/>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8">IF(AE44="","¬",AE44)</f>
        <v>Cost: 1 V per effect  •  Pool: -  •  Reflexive  •  1 turn</v>
      </c>
      <c r="D284" s="61" t="str" cm="1">
        <f t="array" aca="1" ref="D284" ca="1">INDEX(Attendance!$C$14:$GP$44,
       MATCH($F$4, Attendance!$C$14:$C$44, 0),
       MATCH(1, (Attendance!$C$12:$GP$12=$E284) * (Attendance!$C$13:$GP$13="Paid"), 0)
)</f>
        <v> </v>
      </c>
      <c r="E284" s="42">
        <f t="shared" si="37"/>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8"/>
        <v>Cost: -  •  Pool: -  •  Instant  •  Scene</v>
      </c>
      <c r="D285" s="61" t="str" cm="1">
        <f t="array" aca="1" ref="D285" ca="1">INDEX(Attendance!$C$14:$GP$44,
       MATCH($F$4, Attendance!$C$14:$C$44, 0),
       MATCH(1, (Attendance!$C$12:$GP$12=$E285) * (Attendance!$C$13:$GP$13="Paid"), 0)
)</f>
        <v> </v>
      </c>
      <c r="E285" s="42">
        <f t="shared" si="37"/>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8"/>
        <v>Cost: - (req: Awed)   •  Pool: 8  v Resolve + BP  •  Contested</v>
      </c>
      <c r="D286" s="61" t="str" cm="1">
        <f t="array" aca="1" ref="D286" ca="1">INDEX(Attendance!$C$14:$GP$44,
       MATCH($F$4, Attendance!$C$14:$C$44, 0),
       MATCH(1, (Attendance!$C$12:$GP$12=$E286) * (Attendance!$C$13:$GP$13="Paid"), 0)
)</f>
        <v> </v>
      </c>
      <c r="E286" s="42">
        <f t="shared" si="37"/>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8"/>
        <v>¬</v>
      </c>
      <c r="D287" s="61" t="str" cm="1">
        <f t="array" aca="1" ref="D287" ca="1">INDEX(Attendance!$C$14:$GP$44,
       MATCH($F$4, Attendance!$C$14:$C$44, 0),
       MATCH(1, (Attendance!$C$12:$GP$12=$E287) * (Attendance!$C$13:$GP$13="Paid"), 0)
)</f>
        <v> </v>
      </c>
      <c r="E287" s="42">
        <f t="shared" si="37"/>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8"/>
        <v>¬</v>
      </c>
      <c r="D288" s="61" t="str" cm="1">
        <f t="array" aca="1" ref="D288" ca="1">INDEX(Attendance!$C$14:$GP$44,
       MATCH($F$4, Attendance!$C$14:$C$44, 0),
       MATCH(1, (Attendance!$C$12:$GP$12=$E288) * (Attendance!$C$13:$GP$13="Paid"), 0)
)</f>
        <v> </v>
      </c>
      <c r="E288" s="42">
        <f t="shared" si="37"/>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8"/>
        <v>¬</v>
      </c>
      <c r="D289" s="61" t="str" cm="1">
        <f t="array" aca="1" ref="D289" ca="1">INDEX(Attendance!$C$14:$GP$44,
       MATCH($F$4, Attendance!$C$14:$C$44, 0),
       MATCH(1, (Attendance!$C$12:$GP$12=$E289) * (Attendance!$C$13:$GP$13="Paid"), 0)
)</f>
        <v> </v>
      </c>
      <c r="E289" s="42">
        <f t="shared" si="37"/>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8"/>
        <v>Cost: 1 V 1 Successes  •  Pool: 5  •  Ritual  •  1 night</v>
      </c>
      <c r="D290" s="61" t="str" cm="1">
        <f t="array" aca="1" ref="D290" ca="1">INDEX(Attendance!$C$14:$GP$44,
       MATCH($F$4, Attendance!$C$14:$C$44, 0),
       MATCH(1, (Attendance!$C$12:$GP$12=$E290) * (Attendance!$C$13:$GP$13="Paid"), 0)
)</f>
        <v> </v>
      </c>
      <c r="E290" s="42">
        <f t="shared" si="37"/>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8"/>
        <v>¬</v>
      </c>
      <c r="D291" s="61" t="str" cm="1">
        <f t="array" aca="1" ref="D291" ca="1">INDEX(Attendance!$C$14:$GP$44,
       MATCH($F$4, Attendance!$C$14:$C$44, 0),
       MATCH(1, (Attendance!$C$12:$GP$12=$E291) * (Attendance!$C$13:$GP$13="Paid"), 0)
)</f>
        <v> </v>
      </c>
      <c r="E291" s="42">
        <f t="shared" si="37"/>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8"/>
        <v>¬</v>
      </c>
      <c r="D292" s="61" t="str" cm="1">
        <f t="array" aca="1" ref="D292" ca="1">INDEX(Attendance!$C$14:$GP$44,
       MATCH($F$4, Attendance!$C$14:$C$44, 0),
       MATCH(1, (Attendance!$C$12:$GP$12=$E292) * (Attendance!$C$13:$GP$13="Paid"), 0)
)</f>
        <v> </v>
      </c>
      <c r="E292" s="42">
        <f t="shared" si="37"/>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8"/>
        <v>¬</v>
      </c>
      <c r="D293" s="61" t="str" cm="1">
        <f t="array" aca="1" ref="D293" ca="1">INDEX(Attendance!$C$14:$GP$44,
       MATCH($F$4, Attendance!$C$14:$C$44, 0),
       MATCH(1, (Attendance!$C$12:$GP$12=$E293) * (Attendance!$C$13:$GP$13="Paid"), 0)
)</f>
        <v> </v>
      </c>
      <c r="E293" s="42">
        <f t="shared" si="37"/>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8"/>
        <v>¬</v>
      </c>
      <c r="D294" s="61" t="str" cm="1">
        <f t="array" aca="1" ref="D294" ca="1">INDEX(Attendance!$C$14:$GP$44,
       MATCH($F$4, Attendance!$C$14:$C$44, 0),
       MATCH(1, (Attendance!$C$12:$GP$12=$E294) * (Attendance!$C$13:$GP$13="Paid"), 0)
)</f>
        <v> </v>
      </c>
      <c r="E294" s="42">
        <f t="shared" si="37"/>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8"/>
        <v>¬</v>
      </c>
      <c r="D295" s="61" t="str" cm="1">
        <f t="array" aca="1" ref="D295" ca="1">INDEX(Attendance!$C$14:$GP$44,
       MATCH($F$4, Attendance!$C$14:$C$44, 0),
       MATCH(1, (Attendance!$C$12:$GP$12=$E295) * (Attendance!$C$13:$GP$13="Paid"), 0)
)</f>
        <v> </v>
      </c>
      <c r="E295" s="42">
        <f t="shared" si="37"/>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8"/>
        <v>¬</v>
      </c>
      <c r="D296" s="61" t="str" cm="1">
        <f t="array" aca="1" ref="D296" ca="1">INDEX(Attendance!$C$14:$GP$44,
       MATCH($F$4, Attendance!$C$14:$C$44, 0),
       MATCH(1, (Attendance!$C$12:$GP$12=$E296) * (Attendance!$C$13:$GP$13="Paid"), 0)
)</f>
        <v> </v>
      </c>
      <c r="E296" s="42">
        <f t="shared" si="37"/>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8"/>
        <v>¬</v>
      </c>
      <c r="D297" s="61" t="str" cm="1">
        <f t="array" aca="1" ref="D297" ca="1">INDEX(Attendance!$C$14:$GP$44,
       MATCH($F$4, Attendance!$C$14:$C$44, 0),
       MATCH(1, (Attendance!$C$12:$GP$12=$E297) * (Attendance!$C$13:$GP$13="Paid"), 0)
)</f>
        <v> </v>
      </c>
      <c r="E297" s="42">
        <f t="shared" si="37"/>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8"/>
        <v>¬</v>
      </c>
      <c r="D298" s="61" t="str" cm="1">
        <f t="array" aca="1" ref="D298" ca="1">INDEX(Attendance!$C$14:$GP$44,
       MATCH($F$4, Attendance!$C$14:$C$44, 0),
       MATCH(1, (Attendance!$C$12:$GP$12=$E298) * (Attendance!$C$13:$GP$13="Paid"), 0)
)</f>
        <v> </v>
      </c>
      <c r="E298" s="42">
        <f t="shared" si="37"/>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8"/>
        <v>¬</v>
      </c>
      <c r="D299" s="61" t="str" cm="1">
        <f t="array" aca="1" ref="D299" ca="1">INDEX(Attendance!$C$14:$GP$44,
       MATCH($F$4, Attendance!$C$14:$C$44, 0),
       MATCH(1, (Attendance!$C$12:$GP$12=$E299) * (Attendance!$C$13:$GP$13="Paid"), 0)
)</f>
        <v> </v>
      </c>
      <c r="E299" s="42">
        <f t="shared" si="37"/>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8"/>
        <v>¬</v>
      </c>
      <c r="D300" s="61" t="str" cm="1">
        <f t="array" aca="1" ref="D300" ca="1">INDEX(Attendance!$C$14:$GP$44,
       MATCH($F$4, Attendance!$C$14:$C$44, 0),
       MATCH(1, (Attendance!$C$12:$GP$12=$E300) * (Attendance!$C$13:$GP$13="Paid"), 0)
)</f>
        <v> </v>
      </c>
      <c r="E300" s="42">
        <f t="shared" si="37"/>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8"/>
        <v>¬</v>
      </c>
      <c r="D301" s="61" t="str" cm="1">
        <f t="array" aca="1" ref="D301" ca="1">INDEX(Attendance!$C$14:$GP$44,
       MATCH($F$4, Attendance!$C$14:$C$44, 0),
       MATCH(1, (Attendance!$C$12:$GP$12=$E301) * (Attendance!$C$13:$GP$13="Paid"), 0)
)</f>
        <v> </v>
      </c>
      <c r="E301" s="42">
        <f t="shared" si="37"/>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8"/>
        <v>¬</v>
      </c>
      <c r="D302" s="61" t="str" cm="1">
        <f t="array" aca="1" ref="D302" ca="1">INDEX(Attendance!$C$14:$GP$44,
       MATCH($F$4, Attendance!$C$14:$C$44, 0),
       MATCH(1, (Attendance!$C$12:$GP$12=$E302) * (Attendance!$C$13:$GP$13="Paid"), 0)
)</f>
        <v> </v>
      </c>
      <c r="E302" s="42">
        <f t="shared" si="37"/>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8"/>
        <v>¬</v>
      </c>
      <c r="D303" s="61" t="str" cm="1">
        <f t="array" aca="1" ref="D303" ca="1">INDEX(Attendance!$C$14:$GP$44,
       MATCH($F$4, Attendance!$C$14:$C$44, 0),
       MATCH(1, (Attendance!$C$12:$GP$12=$E303) * (Attendance!$C$13:$GP$13="Paid"), 0)
)</f>
        <v> </v>
      </c>
      <c r="E303" s="42">
        <f t="shared" si="37"/>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8"/>
        <v>¬</v>
      </c>
      <c r="D304" s="61" t="str" cm="1">
        <f t="array" aca="1" ref="D304" ca="1">INDEX(Attendance!$C$14:$GP$44,
       MATCH($F$4, Attendance!$C$14:$C$44, 0),
       MATCH(1, (Attendance!$C$12:$GP$12=$E304) * (Attendance!$C$13:$GP$13="Paid"), 0)
)</f>
        <v> </v>
      </c>
      <c r="E304" s="42">
        <f t="shared" si="37"/>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8"/>
        <v>¬</v>
      </c>
      <c r="D305" s="61" t="str" cm="1">
        <f t="array" aca="1" ref="D305" ca="1">INDEX(Attendance!$C$14:$GP$44,
       MATCH($F$4, Attendance!$C$14:$C$44, 0),
       MATCH(1, (Attendance!$C$12:$GP$12=$E305) * (Attendance!$C$13:$GP$13="Paid"), 0)
)</f>
        <v> </v>
      </c>
      <c r="E305" s="42">
        <f t="shared" si="37"/>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8"/>
        <v>¬</v>
      </c>
      <c r="D306" s="61" t="str" cm="1">
        <f t="array" aca="1" ref="D306" ca="1">INDEX(Attendance!$C$14:$GP$44,
       MATCH($F$4, Attendance!$C$14:$C$44, 0),
       MATCH(1, (Attendance!$C$12:$GP$12=$E306) * (Attendance!$C$13:$GP$13="Paid"), 0)
)</f>
        <v> </v>
      </c>
      <c r="E306" s="42">
        <f t="shared" si="37"/>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8"/>
        <v>¬</v>
      </c>
      <c r="D307" s="61" t="str" cm="1">
        <f t="array" aca="1" ref="D307" ca="1">INDEX(Attendance!$C$14:$GP$44,
       MATCH($F$4, Attendance!$C$14:$C$44, 0),
       MATCH(1, (Attendance!$C$12:$GP$12=$E307) * (Attendance!$C$13:$GP$13="Paid"), 0)
)</f>
        <v> </v>
      </c>
      <c r="E307" s="42">
        <f t="shared" si="37"/>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8"/>
        <v>¬</v>
      </c>
      <c r="D308" s="61" t="str" cm="1">
        <f t="array" aca="1" ref="D308" ca="1">INDEX(Attendance!$C$14:$GP$44,
       MATCH($F$4, Attendance!$C$14:$C$44, 0),
       MATCH(1, (Attendance!$C$12:$GP$12=$E308) * (Attendance!$C$13:$GP$13="Paid"), 0)
)</f>
        <v> </v>
      </c>
      <c r="E308" s="42">
        <f t="shared" si="37"/>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8"/>
        <v>¬</v>
      </c>
      <c r="D309" s="61" t="str" cm="1">
        <f t="array" aca="1" ref="D309" ca="1">INDEX(Attendance!$C$14:$GP$44,
       MATCH($F$4, Attendance!$C$14:$C$44, 0),
       MATCH(1, (Attendance!$C$12:$GP$12=$E309) * (Attendance!$C$13:$GP$13="Paid"), 0)
)</f>
        <v> </v>
      </c>
      <c r="E309" s="42">
        <f t="shared" si="37"/>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8"/>
        <v>¬</v>
      </c>
      <c r="D310" s="61" t="str" cm="1">
        <f t="array" aca="1" ref="D310" ca="1">INDEX(Attendance!$C$14:$GP$44,
       MATCH($F$4, Attendance!$C$14:$C$44, 0),
       MATCH(1, (Attendance!$C$12:$GP$12=$E310) * (Attendance!$C$13:$GP$13="Paid"), 0)
)</f>
        <v> </v>
      </c>
      <c r="E310" s="42">
        <f t="shared" si="37"/>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8"/>
        <v>¬</v>
      </c>
      <c r="D311" s="61" t="str" cm="1">
        <f t="array" aca="1" ref="D311" ca="1">INDEX(Attendance!$C$14:$GP$44,
       MATCH($F$4, Attendance!$C$14:$C$44, 0),
       MATCH(1, (Attendance!$C$12:$GP$12=$E311) * (Attendance!$C$13:$GP$13="Paid"), 0)
)</f>
        <v> </v>
      </c>
      <c r="E311" s="42">
        <f t="shared" si="37"/>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8"/>
        <v>¬</v>
      </c>
      <c r="D312" s="61" t="str" cm="1">
        <f t="array" aca="1" ref="D312" ca="1">INDEX(Attendance!$C$14:$GP$44,
       MATCH($F$4, Attendance!$C$14:$C$44, 0),
       MATCH(1, (Attendance!$C$12:$GP$12=$E312) * (Attendance!$C$13:$GP$13="Paid"), 0)
)</f>
        <v> </v>
      </c>
      <c r="E312" s="42">
        <f t="shared" si="37"/>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8"/>
        <v>¬</v>
      </c>
      <c r="D313" s="61" t="str" cm="1">
        <f t="array" aca="1" ref="D313" ca="1">INDEX(Attendance!$C$14:$GP$44,
       MATCH($F$4, Attendance!$C$14:$C$44, 0),
       MATCH(1, (Attendance!$C$12:$GP$12=$E313) * (Attendance!$C$13:$GP$13="Paid"), 0)
)</f>
        <v> </v>
      </c>
      <c r="E313" s="42">
        <f t="shared" si="37"/>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39">IF(AF44="","¬",AF44)</f>
        <v>Persistent improved Defence or Dodge. Activate for supernatural speed benefits. Unnatural Grace: add Celerity dots as bonus dice to non-combat speed-based pools.</v>
      </c>
      <c r="D314" s="61" t="str" cm="1">
        <f t="array" aca="1" ref="D314" ca="1">INDEX(Attendance!$C$14:$GP$44,
       MATCH($F$4, Attendance!$C$14:$C$44, 0),
       MATCH(1, (Attendance!$C$12:$GP$12=$E314) * (Attendance!$C$13:$GP$13="Paid"), 0)
)</f>
        <v> </v>
      </c>
      <c r="E314" s="42">
        <f t="shared" si="37"/>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39"/>
        <v>Become centre of attention. Subjects become Awed.</v>
      </c>
      <c r="D315" s="61" t="str" cm="1">
        <f t="array" aca="1" ref="D315" ca="1">INDEX(Attendance!$C$14:$GP$44,
       MATCH($F$4, Attendance!$C$14:$C$44, 0),
       MATCH(1, (Attendance!$C$12:$GP$12=$E315) * (Attendance!$C$13:$GP$13="Paid"), 0)
)</f>
        <v> </v>
      </c>
      <c r="E315" s="42">
        <f t="shared" si="37"/>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39"/>
        <v>Impose Charmed Condition.</v>
      </c>
      <c r="D316" s="61" t="str" cm="1">
        <f t="array" aca="1" ref="D316" ca="1">INDEX(Attendance!$C$14:$GP$44,
       MATCH($F$4, Attendance!$C$14:$C$44, 0),
       MATCH(1, (Attendance!$C$12:$GP$12=$E316) * (Attendance!$C$13:$GP$13="Paid"), 0)
)</f>
        <v> </v>
      </c>
      <c r="E316" s="42">
        <f t="shared" si="37"/>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39"/>
        <v>Summon liquids, dead organic matter, sensory phenomena. Bonus/penalty = Potency.</v>
      </c>
    </row>
    <row r="318" spans="1:9">
      <c r="A318" s="1" t="s">
        <v>317</v>
      </c>
      <c r="B318" t="str">
        <f t="shared" si="39"/>
        <v>Glimpse fragmented details about intended actions. Learn basic info about a target.</v>
      </c>
    </row>
    <row r="319" spans="1:9">
      <c r="A319" s="1" t="s">
        <v>318</v>
      </c>
      <c r="B319" t="str">
        <f t="shared" si="39"/>
        <v>Subtract Potency from ritual rolls targeting subject. Heal bashing in vampires. Protect from the Kiss (add Potency to resistance).</v>
      </c>
    </row>
    <row r="320" spans="1:9">
      <c r="A320" s="1" t="s">
        <v>319</v>
      </c>
      <c r="B320" t="str">
        <f t="shared" si="39"/>
        <v>Absorb one Skill at rating 1 (or +1) from vessel's blood</v>
      </c>
    </row>
    <row r="321" spans="1:2">
      <c r="A321" s="1" t="s">
        <v>320</v>
      </c>
      <c r="B321" t="str">
        <f t="shared" si="39"/>
        <v>¬</v>
      </c>
    </row>
    <row r="322" spans="1:2">
      <c r="A322" s="1" t="s">
        <v>321</v>
      </c>
      <c r="B322" t="str">
        <f t="shared" si="39"/>
        <v>¬</v>
      </c>
    </row>
    <row r="323" spans="1:2">
      <c r="A323" s="1" t="s">
        <v>322</v>
      </c>
      <c r="B323" t="str">
        <f t="shared" si="39"/>
        <v>¬</v>
      </c>
    </row>
    <row r="324" spans="1:2">
      <c r="A324" s="1" t="s">
        <v>323</v>
      </c>
      <c r="B324" t="str">
        <f t="shared" si="39"/>
        <v>¬</v>
      </c>
    </row>
    <row r="325" spans="1:2">
      <c r="A325" s="1" t="s">
        <v>324</v>
      </c>
      <c r="B325" t="str">
        <f t="shared" si="39"/>
        <v>¬</v>
      </c>
    </row>
    <row r="326" spans="1:2">
      <c r="A326" s="1" t="s">
        <v>325</v>
      </c>
      <c r="B326" t="str">
        <f t="shared" si="39"/>
        <v>¬</v>
      </c>
    </row>
    <row r="327" spans="1:2">
      <c r="A327" s="1" t="s">
        <v>326</v>
      </c>
      <c r="B327" t="str">
        <f t="shared" si="39"/>
        <v>¬</v>
      </c>
    </row>
    <row r="328" spans="1:2">
      <c r="A328" s="1" t="s">
        <v>327</v>
      </c>
      <c r="B328" t="str">
        <f t="shared" si="39"/>
        <v>¬</v>
      </c>
    </row>
    <row r="329" spans="1:2">
      <c r="A329" s="1" t="s">
        <v>328</v>
      </c>
      <c r="B329" t="str">
        <f t="shared" si="39"/>
        <v>¬</v>
      </c>
    </row>
    <row r="330" spans="1:2">
      <c r="A330" s="1" t="s">
        <v>329</v>
      </c>
      <c r="B330" t="str">
        <f t="shared" si="39"/>
        <v>¬</v>
      </c>
    </row>
    <row r="331" spans="1:2">
      <c r="A331" s="1" t="s">
        <v>330</v>
      </c>
      <c r="B331" t="str">
        <f t="shared" si="39"/>
        <v>¬</v>
      </c>
    </row>
    <row r="332" spans="1:2">
      <c r="A332" s="1" t="s">
        <v>331</v>
      </c>
      <c r="B332" t="str">
        <f t="shared" si="39"/>
        <v>¬</v>
      </c>
    </row>
    <row r="333" spans="1:2">
      <c r="A333" s="1" t="s">
        <v>332</v>
      </c>
      <c r="B333" t="str">
        <f t="shared" si="39"/>
        <v>¬</v>
      </c>
    </row>
    <row r="334" spans="1:2">
      <c r="A334" s="1" t="s">
        <v>333</v>
      </c>
      <c r="B334" t="str">
        <f t="shared" si="39"/>
        <v>¬</v>
      </c>
    </row>
    <row r="335" spans="1:2">
      <c r="A335" s="1" t="s">
        <v>334</v>
      </c>
      <c r="B335" t="str">
        <f t="shared" si="39"/>
        <v>¬</v>
      </c>
    </row>
    <row r="336" spans="1:2">
      <c r="A336" s="1" t="s">
        <v>335</v>
      </c>
      <c r="B336" t="str">
        <f t="shared" si="39"/>
        <v>¬</v>
      </c>
    </row>
    <row r="337" spans="1:2">
      <c r="A337" s="1" t="s">
        <v>336</v>
      </c>
      <c r="B337" t="str">
        <f t="shared" si="39"/>
        <v>¬</v>
      </c>
    </row>
    <row r="338" spans="1:2">
      <c r="A338" s="1" t="s">
        <v>337</v>
      </c>
      <c r="B338" t="str">
        <f t="shared" si="39"/>
        <v>¬</v>
      </c>
    </row>
    <row r="339" spans="1:2">
      <c r="A339" s="1" t="s">
        <v>338</v>
      </c>
      <c r="B339" t="str">
        <f t="shared" si="39"/>
        <v>¬</v>
      </c>
    </row>
    <row r="340" spans="1:2">
      <c r="A340" s="1" t="s">
        <v>339</v>
      </c>
      <c r="B340" t="str">
        <f t="shared" si="39"/>
        <v>¬</v>
      </c>
    </row>
    <row r="341" spans="1:2">
      <c r="A341" s="1" t="s">
        <v>340</v>
      </c>
      <c r="B341" t="str">
        <f t="shared" si="39"/>
        <v>¬</v>
      </c>
    </row>
    <row r="342" spans="1:2">
      <c r="A342" s="1" t="s">
        <v>341</v>
      </c>
      <c r="B342" t="str">
        <f t="shared" si="39"/>
        <v>¬</v>
      </c>
    </row>
    <row r="343" spans="1:2">
      <c r="A343" s="1" t="s">
        <v>342</v>
      </c>
      <c r="B343" t="str">
        <f t="shared" si="39"/>
        <v>¬</v>
      </c>
    </row>
    <row r="344" spans="1:2">
      <c r="A344" s="1" t="s">
        <v>343</v>
      </c>
      <c r="B344" s="8" t="str">
        <f>IF(VLOOKUP(tblCharDataCyrus[[#This Row],[Field]],$E$2:$F$361,2,FALSE)="","¬",VLOOKUP(tblCharDataCyrus[[#This Row],[Field]],$E$2:$F$361,2,FALSE))</f>
        <v>Wanton Curse</v>
      </c>
    </row>
    <row r="345" spans="1:2">
      <c r="A345" s="1" t="s">
        <v>344</v>
      </c>
      <c r="B345" s="8" t="str">
        <f>IF(VLOOKUP(tblCharDataCyrus[[#This Row],[Field]],$E$2:$F$361,2,FALSE)="","¬",VLOOKUP(tblCharDataCyrus[[#This Row],[Field]],$E$2:$F$361,2,FALSE))</f>
        <v>¬</v>
      </c>
    </row>
    <row r="346" spans="1:2">
      <c r="A346" s="1" t="s">
        <v>345</v>
      </c>
      <c r="B346" s="8" t="str">
        <f>IF(VLOOKUP(tblCharDataCyrus[[#This Row],[Field]],$E$2:$F$361,2,FALSE)="","¬",VLOOKUP(tblCharDataCyrus[[#This Row],[Field]],$E$2:$F$361,2,FALSE))</f>
        <v>Rat King/Queen</v>
      </c>
    </row>
    <row r="347" spans="1:2">
      <c r="A347" s="1" t="s">
        <v>346</v>
      </c>
      <c r="B347" s="8" t="str">
        <f>IF(VLOOKUP(tblCharDataCyrus[[#This Row],[Field]],$E$2:$F$361,2,FALSE)="","¬",VLOOKUP(tblCharDataCyrus[[#This Row],[Field]],$E$2:$F$361,2,FALSE))</f>
        <v>¬</v>
      </c>
    </row>
    <row r="348" spans="1:2">
      <c r="A348" s="1" t="s">
        <v>347</v>
      </c>
      <c r="B348" s="8" t="str">
        <f>IF(VLOOKUP(tblCharDataCyrus[[#This Row],[Field]],$E$2:$F$361,2,FALSE)="","¬",VLOOKUP(tblCharDataCyrus[[#This Row],[Field]],$E$2:$F$361,2,FALSE))</f>
        <v>¬</v>
      </c>
    </row>
    <row r="349" spans="1:2">
      <c r="A349" s="1" t="s">
        <v>348</v>
      </c>
      <c r="B349" t="str">
        <f>_xlfn.IFNA(VLOOKUP(B344,$F$234:$I$238,3,FALSE),"")</f>
        <v>Hungry at 5 or fewer Vitae, Starving at 3 or fewer. Dramatic Failures on feeding cause Persistent Dependent Condition toward a mortal NPC.</v>
      </c>
    </row>
    <row r="350" spans="1:2">
      <c r="A350" s="1" t="s">
        <v>349</v>
      </c>
      <c r="B350" t="str">
        <f>_xlfn.IFNA(VLOOKUP(B345,$F$234:$I$238,3,FALSE),"¬")</f>
        <v>¬</v>
      </c>
    </row>
    <row r="351" spans="1:2">
      <c r="A351" s="1" t="s">
        <v>350</v>
      </c>
      <c r="B351" t="str">
        <f>_xlfn.IFNA(VLOOKUP(B346,$F$234:$I$238,3,FALSE),"")</f>
        <v>Surrounded by vermin; all Social rolls fail except Intimidation; WP can dismiss.</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10</v>
      </c>
    </row>
    <row r="356" spans="1:2">
      <c r="A356" s="1" t="s">
        <v>355</v>
      </c>
      <c r="B356">
        <f ca="1">P220</f>
        <v>6</v>
      </c>
    </row>
    <row r="357" spans="1:2">
      <c r="A357" s="1" t="s">
        <v>356</v>
      </c>
      <c r="B357" t="str">
        <f>IF(F10="","¬",VLOOKUP(F10,tblAnchors[],2,FALSE))</f>
        <v>Put yourself out for another's pleasure.</v>
      </c>
    </row>
    <row r="358" spans="1:2">
      <c r="A358" s="1" t="s">
        <v>357</v>
      </c>
      <c r="B358" t="str">
        <f>IF(F10="","¬",VLOOKUP(F10,tblAnchors[],3,FALSE))</f>
        <v>Be the last one dancing when the party is on fire.</v>
      </c>
    </row>
    <row r="359" spans="1:2">
      <c r="A359" s="1" t="s">
        <v>358</v>
      </c>
      <c r="B359" t="str">
        <f>IF(F11="","¬",VLOOKUP(F11,tblAnchors[],2,FALSE))</f>
        <v>Ingratiate yourself to a new social clique.</v>
      </c>
    </row>
    <row r="360" spans="1:2">
      <c r="A360" s="1" t="s">
        <v>359</v>
      </c>
      <c r="B360" t="str">
        <f>IF(F11="","¬",VLOOKUP(F11,tblAnchors[],3,FALSE))</f>
        <v>Burn an important bridge to guarantee acceptance in a new group.</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mid 30s</v>
      </c>
    </row>
    <row r="365" spans="1:2">
      <c r="A365" s="1" t="s">
        <v>364</v>
      </c>
      <c r="B365" t="str">
        <f>_xlfn.LET(_xlpm.a,IF(F244="","",F244),_xlpm.b,IF(F245="","",F245),IF(AND(_xlpm.a&lt;&gt;"",_xlpm.b&lt;&gt;""),_xlpm.a&amp;", "&amp;_xlpm.b,IF(_xlpm.a&lt;&gt;"",_xlpm.a,IF(_xlpm.b&lt;&gt;"",_xlpm.b,""))))</f>
        <v>Fame</v>
      </c>
    </row>
  </sheetData>
  <mergeCells count="89">
    <mergeCell ref="F240:I240"/>
    <mergeCell ref="F241:I241"/>
    <mergeCell ref="F242:I242"/>
    <mergeCell ref="F244:I244"/>
    <mergeCell ref="F245:I245"/>
    <mergeCell ref="H238:I238"/>
    <mergeCell ref="H208:I208"/>
    <mergeCell ref="H209:I209"/>
    <mergeCell ref="H210:I210"/>
    <mergeCell ref="H211:I211"/>
    <mergeCell ref="H212:I212"/>
    <mergeCell ref="H213:I213"/>
    <mergeCell ref="H214:I214"/>
    <mergeCell ref="H215:I215"/>
    <mergeCell ref="H234:I234"/>
    <mergeCell ref="H236:I236"/>
    <mergeCell ref="H237:I237"/>
    <mergeCell ref="H207:I207"/>
    <mergeCell ref="H153:I153"/>
    <mergeCell ref="H154:I154"/>
    <mergeCell ref="H155:I155"/>
    <mergeCell ref="H156:I156"/>
    <mergeCell ref="H157:I157"/>
    <mergeCell ref="H177:I177"/>
    <mergeCell ref="H178:I178"/>
    <mergeCell ref="H179:I179"/>
    <mergeCell ref="H180:I180"/>
    <mergeCell ref="H181:I181"/>
    <mergeCell ref="H206:I206"/>
    <mergeCell ref="H152:I152"/>
    <mergeCell ref="H141:I141"/>
    <mergeCell ref="H142:I142"/>
    <mergeCell ref="H143:I143"/>
    <mergeCell ref="H144:I144"/>
    <mergeCell ref="H145:I145"/>
    <mergeCell ref="H146:I146"/>
    <mergeCell ref="H147:I147"/>
    <mergeCell ref="H148:I148"/>
    <mergeCell ref="H149:I149"/>
    <mergeCell ref="H150:I150"/>
    <mergeCell ref="H151:I151"/>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11:I111"/>
    <mergeCell ref="H98:I98"/>
    <mergeCell ref="H101:I101"/>
    <mergeCell ref="H102:I102"/>
    <mergeCell ref="H103:I103"/>
    <mergeCell ref="H104:I104"/>
    <mergeCell ref="H105:I105"/>
    <mergeCell ref="H106:I106"/>
    <mergeCell ref="H107:I107"/>
    <mergeCell ref="H108:I108"/>
    <mergeCell ref="H109:I109"/>
    <mergeCell ref="H110:I110"/>
    <mergeCell ref="H97:I97"/>
    <mergeCell ref="H86:I86"/>
    <mergeCell ref="H87:I87"/>
    <mergeCell ref="H88:I88"/>
    <mergeCell ref="H89:I89"/>
    <mergeCell ref="H90:I90"/>
    <mergeCell ref="H91:I91"/>
    <mergeCell ref="H92:I92"/>
    <mergeCell ref="H93:I93"/>
    <mergeCell ref="H94:I94"/>
    <mergeCell ref="H95:I95"/>
    <mergeCell ref="H96:I96"/>
    <mergeCell ref="H85:I85"/>
    <mergeCell ref="O8:P8"/>
    <mergeCell ref="O9:P9"/>
    <mergeCell ref="O10:P10"/>
    <mergeCell ref="O11:P11"/>
    <mergeCell ref="O12:P12"/>
    <mergeCell ref="H79:I79"/>
    <mergeCell ref="H80:I80"/>
    <mergeCell ref="H81:I81"/>
    <mergeCell ref="H82:I82"/>
    <mergeCell ref="H83:I83"/>
    <mergeCell ref="H84:I84"/>
  </mergeCells>
  <dataValidations count="15">
    <dataValidation type="list" allowBlank="1" showInputMessage="1" showErrorMessage="1" sqref="G248:G277" xr:uid="{301C9973-F968-42F7-9832-5A8CF94E49D9}">
      <formula1>$I$248:$I$249</formula1>
    </dataValidation>
    <dataValidation type="list" allowBlank="1" showInputMessage="1" showErrorMessage="1" sqref="F101:F120" xr:uid="{D864FB50-FB69-42A5-8515-0B43DDD5D82D}">
      <formula1>lstManoeuvres</formula1>
    </dataValidation>
    <dataValidation type="list" allowBlank="1" showInputMessage="1" showErrorMessage="1" sqref="F236:F238" xr:uid="{4798DCEE-C2A5-4CF5-A40E-F141355E5DBF}">
      <formula1>lstBanes</formula1>
    </dataValidation>
    <dataValidation type="list" allowBlank="1" showInputMessage="1" showErrorMessage="1" sqref="F206:F215" xr:uid="{D6EB002D-95E9-4310-99FC-877F45A18A00}">
      <formula1>lstPacts</formula1>
    </dataValidation>
    <dataValidation type="list" allowBlank="1" showInputMessage="1" showErrorMessage="1" sqref="G12:G13" xr:uid="{74FDF11D-51A4-4228-87E4-29351A38FA24}">
      <formula1>lstStatus</formula1>
    </dataValidation>
    <dataValidation type="list" allowBlank="1" showInputMessage="1" showErrorMessage="1" sqref="F194:F205 F207:F215 F177" xr:uid="{D0E52947-99AB-445C-BE0E-ADEF595CA20D}">
      <formula1>lstRites</formula1>
    </dataValidation>
    <dataValidation type="list" allowBlank="1" showInputMessage="1" showErrorMessage="1" sqref="F178:F181" xr:uid="{7FC5CDF6-6B1F-4CC7-A0D6-3B0E9F741B32}">
      <formula1>lstDevotions</formula1>
    </dataValidation>
    <dataValidation type="list" allowBlank="1" showInputMessage="1" showErrorMessage="1" sqref="F17:F21" xr:uid="{A5E93087-D4BB-4586-B1BA-02564FE8FC28}">
      <formula1>"TRUE,FALSE"</formula1>
    </dataValidation>
    <dataValidation type="list" allowBlank="1" showInputMessage="1" showErrorMessage="1" sqref="F24" xr:uid="{86C01CCD-570D-47CE-A7A7-5121413CD06D}">
      <formula1>$D$7:$D$8</formula1>
    </dataValidation>
    <dataValidation type="list" allowBlank="1" showInputMessage="1" showErrorMessage="1" sqref="F7" xr:uid="{4583A679-29F7-4F69-AE6F-855185A8BB8F}">
      <formula1>lstClan</formula1>
    </dataValidation>
    <dataValidation type="list" allowBlank="1" showInputMessage="1" showErrorMessage="1" sqref="F9" xr:uid="{0BDFB1C2-5859-4155-BFB5-62578203BA4A}">
      <formula1>lstCovenant</formula1>
    </dataValidation>
    <dataValidation type="list" allowBlank="1" showInputMessage="1" showErrorMessage="1" sqref="F8" xr:uid="{385F452E-89C8-4636-994D-BC82B7C188DE}">
      <formula1>lstBloodlines</formula1>
    </dataValidation>
    <dataValidation type="list" allowBlank="1" showInputMessage="1" showErrorMessage="1" sqref="F10:F11" xr:uid="{3DFF9848-B5CB-498B-9C52-2FCC6B45708F}">
      <formula1>lstNature</formula1>
    </dataValidation>
    <dataValidation type="list" allowBlank="1" showInputMessage="1" showErrorMessage="1" sqref="I25 I30 I35 I41 I51 I61" xr:uid="{3057ED48-D8ED-45A9-B1B9-DD8FD72F7255}">
      <formula1>lstPriority</formula1>
    </dataValidation>
    <dataValidation type="list" allowBlank="1" showInputMessage="1" showErrorMessage="1" sqref="F79:F98" xr:uid="{4CCC2842-50D9-4AEA-9AE9-FB8F2F083F3D}">
      <formula1>lstMerits</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84390E87-1CC8-4992-AD2A-AA90BCF971CA}">
          <x14:formula1>
            <xm:f>'Lookup-Domain'!$A$2:$A$8</xm:f>
          </x14:formula1>
          <xm:sqref>F161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C1A1A-26D1-4A01-A960-F56BC0AE96A4}">
  <dimension ref="A1:AK365"/>
  <sheetViews>
    <sheetView zoomScale="70" zoomScaleNormal="70" workbookViewId="0">
      <pane ySplit="1" topLeftCell="A2" activePane="bottomLeft" state="frozen"/>
      <selection pane="bottomLeft" activeCell="D65" sqref="D65"/>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Night Doctor Surgery</v>
      </c>
      <c r="AC2" s="60" t="str" cm="1">
        <f t="array" ref="AC2:AC6">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Carthian Pull</v>
      </c>
      <c r="AD2" s="20" t="str">
        <f>IF(AC2="","¬",_xlfn.LET(_xlpm.base,IFERROR(LEFT(AC2,FIND(" (",AC2)-1),AC2),IFERROR(VLOOKUP(_xlpm.base,tblManoeuvre[],2,FALSE) &amp; " " &amp; REPT("●",VLOOKUP(_xlpm.base,tblManoeuvre[],3,FALSE)) &amp; " | " &amp; AC2,AC2 &amp; " " &amp; REPT("●",VLOOKUP(_xlpm.base,$F$79:$P$120,11,FALSE)))))</f>
        <v>Carthian Pull ●</v>
      </c>
      <c r="AE2" s="20"/>
      <c r="AF2" s="20" t="str">
        <f>IF(LEN(AC2)=0,"¬",_xlfn.LET(_xlpm.base,IFERROR(LEFT(AC2,FIND(" (",AC2)-1),AC2),IFERROR(VLOOKUP(_xlpm.base,tblMerits[],5,FALSE),IFERROR(VLOOKUP(_xlpm.base,tblManoeuvre[],9,FALSE),"¬"))))</f>
        <v>Monthly, access Carthian Status in dots of Allies, Contacts, Haven or Herd.</v>
      </c>
      <c r="AI2" s="15" t="s">
        <v>25</v>
      </c>
      <c r="AJ2" s="61">
        <f t="shared" ref="AJ2:AJ58" si="1">VLOOKUP(AI2,$E$3:$P$221,12,FALSE)</f>
        <v>0</v>
      </c>
      <c r="AK2" s="61">
        <f>IF(AJ2=0,IF(COUNTIF($E$42:$E$49,AI2)&gt;0,-3,-1),AJ2)</f>
        <v>-3</v>
      </c>
    </row>
    <row r="3" spans="1:37">
      <c r="A3" s="1" t="s">
        <v>2</v>
      </c>
      <c r="B3">
        <f ca="1">N3</f>
        <v>3</v>
      </c>
      <c r="D3" s="19"/>
      <c r="E3" s="15" t="s">
        <v>4</v>
      </c>
      <c r="F3" s="3" t="s">
        <v>821</v>
      </c>
      <c r="G3" s="18"/>
      <c r="H3" s="18"/>
      <c r="I3" s="18" t="s">
        <v>1425</v>
      </c>
      <c r="N3" s="60">
        <f ca="1">10+SUM(N4:N6)-SUM(N7)</f>
        <v>3</v>
      </c>
      <c r="Y3" s="15" t="s">
        <v>115</v>
      </c>
      <c r="Z3" s="19"/>
      <c r="AA3" s="61" t="str">
        <f t="shared" si="0"/>
        <v>Carthian Pull</v>
      </c>
      <c r="AC3" s="60" t="str">
        <v>Night Doctor Surgery</v>
      </c>
      <c r="AD3" s="20" t="str">
        <f>IF(AC3="","¬",_xlfn.LET(_xlpm.base,IFERROR(LEFT(AC3,FIND(" (",AC3)-1),AC3),IFERROR(VLOOKUP(_xlpm.base,tblManoeuvre[],2,FALSE) &amp; " " &amp; REPT("●",VLOOKUP(_xlpm.base,tblManoeuvre[],3,FALSE)) &amp; " | " &amp; AC3,AC3 &amp; " " &amp; REPT("●",VLOOKUP(_xlpm.base,$F$79:$P$120,11,FALSE)))))</f>
        <v>Night Doctor Surgery ●●●</v>
      </c>
      <c r="AE3" s="20"/>
      <c r="AF3" s="20" t="str">
        <f>IF(LEN(AC3)=0,"¬",_xlfn.LET(_xlpm.base,IFERROR(LEFT(AC3,FIND(" (",AC3)-1),AC3),IFERROR(VLOOKUP(_xlpm.base,tblMerits[],5,FALSE),IFERROR(VLOOKUP(_xlpm.base,tblManoeuvre[],9,FALSE),"¬"))))</f>
        <v>Intelligence + Medicine for an hour to reduce vampire's lethal to bashing.</v>
      </c>
      <c r="AI3" s="15" t="s">
        <v>41</v>
      </c>
      <c r="AJ3" s="61">
        <f t="shared" si="1"/>
        <v>0</v>
      </c>
      <c r="AK3" s="61">
        <f>IF(AJ3=0,IF(COUNTIF($E$42:$E$49,AI3)&gt;0,-3,-1),AJ3)</f>
        <v>-1</v>
      </c>
    </row>
    <row r="4" spans="1:37">
      <c r="A4" s="1" t="s">
        <v>3</v>
      </c>
      <c r="B4">
        <f ca="1">SUM(N3:N9)</f>
        <v>20</v>
      </c>
      <c r="D4" s="19"/>
      <c r="E4" s="15" t="s">
        <v>5</v>
      </c>
      <c r="F4" s="3" t="s">
        <v>822</v>
      </c>
      <c r="G4" s="18"/>
      <c r="H4" s="18"/>
      <c r="I4" s="18" t="s">
        <v>1426</v>
      </c>
      <c r="N4" s="61">
        <f>K73*2</f>
        <v>2</v>
      </c>
      <c r="Y4" s="15" t="s">
        <v>116</v>
      </c>
      <c r="Z4" s="19"/>
      <c r="AA4" s="61" t="str">
        <f t="shared" si="0"/>
        <v/>
      </c>
      <c r="AC4" s="60" t="str">
        <v>Honing - Competitive</v>
      </c>
      <c r="AD4" s="20" t="str">
        <f>IF(AC4="","¬",_xlfn.LET(_xlpm.base,IFERROR(LEFT(AC4,FIND(" (",AC4)-1),AC4),IFERROR(VLOOKUP(_xlpm.base,tblManoeuvre[],2,FALSE) &amp; " " &amp; REPT("●",VLOOKUP(_xlpm.base,tblManoeuvre[],3,FALSE)) &amp; " | " &amp; AC4,AC4 &amp; " " &amp; REPT("●",VLOOKUP(_xlpm.base,$F$79:$P$120,11,FALSE)))))</f>
        <v>Three Heads of Kerberos ● | Honing - Competitive</v>
      </c>
      <c r="AE4" s="20"/>
      <c r="AF4" s="20" t="str">
        <f>IF(LEN(AC4)=0,"¬",_xlfn.LET(_xlpm.base,IFERROR(LEFT(AC4,FIND(" (",AC4)-1),AC4),IFERROR(VLOOKUP(_xlpm.base,tblMerits[],5,FALSE),IFERROR(VLOOKUP(_xlpm.base,tblManoeuvre[],9,FALSE),"¬"))))</f>
        <v>Add this Merit's dots to your dice pool when lashing out with the chosen Aspect.</v>
      </c>
      <c r="AI4" s="15" t="s">
        <v>236</v>
      </c>
      <c r="AJ4" s="61">
        <f t="shared" si="1"/>
        <v>0</v>
      </c>
      <c r="AK4" s="61">
        <f>AJ4</f>
        <v>0</v>
      </c>
    </row>
    <row r="5" spans="1:37">
      <c r="A5" s="1" t="s">
        <v>4</v>
      </c>
      <c r="B5" t="str">
        <f>IF(VLOOKUP(tblCharDataDoc[[#This Row],[Field]],$E$2:$F$362,2,FALSE)="","¬",VLOOKUP(tblCharDataDoc[[#This Row],[Field]],$E$2:$F$362,2,FALSE))</f>
        <v>Jessica BC</v>
      </c>
      <c r="D5" s="19"/>
      <c r="E5" s="15" t="s">
        <v>6</v>
      </c>
      <c r="F5" s="3" t="s">
        <v>823</v>
      </c>
      <c r="G5" s="18"/>
      <c r="H5" s="18"/>
      <c r="I5" s="18" t="s">
        <v>1427</v>
      </c>
      <c r="N5" s="61">
        <f>N16</f>
        <v>0</v>
      </c>
      <c r="Y5" s="15" t="s">
        <v>117</v>
      </c>
      <c r="Z5" s="19"/>
      <c r="AA5" s="61" t="str">
        <f t="shared" si="0"/>
        <v/>
      </c>
      <c r="AC5" s="60" t="str">
        <v>Internalising - Competitive</v>
      </c>
      <c r="AD5" s="20" t="str">
        <f>IF(AC5="","¬",_xlfn.LET(_xlpm.base,IFERROR(LEFT(AC5,FIND(" (",AC5)-1),AC5),IFERROR(VLOOKUP(_xlpm.base,tblManoeuvre[],2,FALSE) &amp; " " &amp; REPT("●",VLOOKUP(_xlpm.base,tblManoeuvre[],3,FALSE)) &amp; " | " &amp; AC5,AC5 &amp; " " &amp; REPT("●",VLOOKUP(_xlpm.base,$F$79:$P$120,11,FALSE)))))</f>
        <v>Three Heads of Kerberos ●● | Internalising - Competitive</v>
      </c>
      <c r="AE5" s="20"/>
      <c r="AF5" s="20" t="str">
        <f>IF(LEN(AC5)=0,"¬",_xlfn.LET(_xlpm.base,IFERROR(LEFT(AC5,FIND(" (",AC5)-1),AC5),IFERROR(VLOOKUP(_xlpm.base,tblMerits[],5,FALSE),IFERROR(VLOOKUP(_xlpm.base,tblManoeuvre[],9,FALSE),"¬"))))</f>
        <v>Voluntarily take the chosen Aspect's Condition at any time to resolve it for Beats.</v>
      </c>
      <c r="AI5" s="15" t="s">
        <v>33</v>
      </c>
      <c r="AJ5" s="61">
        <f t="shared" si="1"/>
        <v>2</v>
      </c>
      <c r="AK5" s="61">
        <f>IF(AJ5=0,IF(COUNTIF($E$42:$E$49,AI5)&gt;0,-3,-1),AJ5)</f>
        <v>2</v>
      </c>
    </row>
    <row r="6" spans="1:37">
      <c r="A6" s="1" t="s">
        <v>5</v>
      </c>
      <c r="B6" t="str">
        <f>IF(VLOOKUP(tblCharDataDoc[[#This Row],[Field]],$E$2:$F$362,2,FALSE)="","¬",VLOOKUP(tblCharDataDoc[[#This Row],[Field]],$E$2:$F$362,2,FALSE))</f>
        <v>Margaret 'Doc' Kane</v>
      </c>
      <c r="D6" s="19"/>
      <c r="E6" s="15" t="s">
        <v>7</v>
      </c>
      <c r="F6" s="3" t="s">
        <v>369</v>
      </c>
      <c r="G6" s="18"/>
      <c r="H6" s="18"/>
      <c r="I6" s="18" t="s">
        <v>1347</v>
      </c>
      <c r="N6" s="61">
        <f ca="1">N279</f>
        <v>3</v>
      </c>
      <c r="Y6" s="15" t="s">
        <v>118</v>
      </c>
      <c r="Z6" s="19"/>
      <c r="AA6" s="61" t="str">
        <f t="shared" si="0"/>
        <v/>
      </c>
      <c r="AC6" s="60" t="str">
        <v>Cowing - Competitive</v>
      </c>
      <c r="AD6" s="20" t="str">
        <f>IF(AC6="","¬",_xlfn.LET(_xlpm.base,IFERROR(LEFT(AC6,FIND(" (",AC6)-1),AC6),IFERROR(VLOOKUP(_xlpm.base,tblManoeuvre[],2,FALSE) &amp; " " &amp; REPT("●",VLOOKUP(_xlpm.base,tblManoeuvre[],3,FALSE)) &amp; " | " &amp; AC6,AC6 &amp; " " &amp; REPT("●",VLOOKUP(_xlpm.base,$F$79:$P$120,11,FALSE)))))</f>
        <v>Three Heads of Kerberos ●●● | Cowing - Competitive</v>
      </c>
      <c r="AE6" s="20"/>
      <c r="AF6" s="20" t="str">
        <f>IF(LEN(AC6)=0,"¬",_xlfn.LET(_xlpm.base,IFERROR(LEFT(AC6,FIND(" (",AC6)-1),AC6),IFERROR(VLOOKUP(_xlpm.base,tblMerits[],5,FALSE),IFERROR(VLOOKUP(_xlpm.base,tblManoeuvre[],9,FALSE),"¬"))))</f>
        <v>On a successful lash out, forgo the normal Condition to instead impose Subservient, limited to commands fitting the chosen Aspect.</v>
      </c>
      <c r="AI6" s="15" t="s">
        <v>237</v>
      </c>
      <c r="AJ6" s="61">
        <f t="shared" si="1"/>
        <v>0</v>
      </c>
      <c r="AK6" s="61">
        <f>AJ6</f>
        <v>0</v>
      </c>
    </row>
    <row r="7" spans="1:37">
      <c r="A7" s="1" t="s">
        <v>6</v>
      </c>
      <c r="B7" t="str">
        <f>IF(VLOOKUP(tblCharDataDoc[[#This Row],[Field]],$E$2:$F$362,2,FALSE)="","¬",VLOOKUP(tblCharDataDoc[[#This Row],[Field]],$E$2:$F$362,2,FALSE))</f>
        <v xml:space="preserve">Ex-Millitary Night Doctor </v>
      </c>
      <c r="D7" s="19" t="str">
        <f>VLOOKUP(F7,tblClans[],3,FALSE)</f>
        <v>Stamina</v>
      </c>
      <c r="E7" s="15" t="s">
        <v>8</v>
      </c>
      <c r="F7" s="3" t="s">
        <v>491</v>
      </c>
      <c r="G7" s="18"/>
      <c r="H7" s="18"/>
      <c r="I7" s="18"/>
      <c r="N7" s="60">
        <f>SUM(N8:N12)</f>
        <v>12</v>
      </c>
      <c r="Y7" s="15" t="s">
        <v>119</v>
      </c>
      <c r="Z7" s="19"/>
      <c r="AA7" s="61" t="str">
        <f t="shared" si="0"/>
        <v/>
      </c>
      <c r="AC7" s="60"/>
      <c r="AD7" s="20" t="str">
        <f>IF(AC7="","¬",_xlfn.LET(_xlpm.base,IFERROR(LEFT(AC7,FIND(" (",AC7)-1),AC7),IFERROR(VLOOKUP(_xlpm.base,tblManoeuvre[],2,FALSE) &amp; " " &amp; REPT("●",VLOOKUP(_xlpm.base,tblManoeuvre[],3,FALSE)) &amp; " | " &amp; AC7,AC7 &amp; " " &amp; REPT("●",VLOOKUP(_xlpm.base,$F$79:$P$120,11,FALSE)))))</f>
        <v>¬</v>
      </c>
      <c r="AE7" s="20"/>
      <c r="AF7" s="20" t="str">
        <f>IF(LEN(AC7)=0,"¬",_xlfn.LET(_xlpm.base,IFERROR(LEFT(AC7,FIND(" (",AC7)-1),AC7),IFERROR(VLOOKUP(_xlpm.base,tblMerits[],5,FALSE),IFERROR(VLOOKUP(_xlpm.base,tblManoeuvre[],9,FALSE),"¬"))))</f>
        <v>¬</v>
      </c>
      <c r="AI7" s="15" t="s">
        <v>49</v>
      </c>
      <c r="AJ7" s="61">
        <f t="shared" si="1"/>
        <v>2</v>
      </c>
      <c r="AK7" s="61">
        <f>AJ7</f>
        <v>2</v>
      </c>
    </row>
    <row r="8" spans="1:37">
      <c r="A8" s="1" t="s">
        <v>7</v>
      </c>
      <c r="B8" t="str">
        <f>IF(VLOOKUP(tblCharDataDoc[[#This Row],[Field]],$E$2:$F$362,2,FALSE)="","¬",LOWER(VLOOKUP(tblCharDataDoc[[#This Row],[Field]],$E$2:$F$362,2,FALSE)))</f>
        <v>she/her</v>
      </c>
      <c r="D8" s="19" t="str">
        <f>VLOOKUP(F7,tblClans[],2,FALSE)</f>
        <v>Composure</v>
      </c>
      <c r="E8" s="15" t="s">
        <v>10</v>
      </c>
      <c r="F8" s="3" t="s">
        <v>824</v>
      </c>
      <c r="G8" s="61" t="b">
        <f>IFERROR(IF(OR(AND(VLOOKUP(F8,tblBloodlines[],2,FALSE)="",VLOOKUP(F8,tblBloodlines[],3,FALSE)="",VLOOKUP(F8,tblBloodlines[],4,FALSE)=""),AND(VLOOKUP(F8,tblBloodlines[],2,FALSE)="",VLOOKUP(F8,tblBloodlines[],3,FALSE)="",F9=VLOOKUP(F8,tblBloodlines[],4,FALSE)),F7=VLOOKUP(F8,tblBloodlines[],2,FALSE),F7=VLOOKUP(F8,tblBloodlines[],3,FALSE)),TRUE,FALSE),"")</f>
        <v>1</v>
      </c>
      <c r="H8" s="18"/>
      <c r="I8" s="18" t="s">
        <v>1428</v>
      </c>
      <c r="N8" s="61">
        <f>N23</f>
        <v>0</v>
      </c>
      <c r="O8" s="65">
        <f>N8/SUM(N$7:N$12)</f>
        <v>0</v>
      </c>
      <c r="P8" s="66"/>
      <c r="Y8" s="15" t="s">
        <v>120</v>
      </c>
      <c r="Z8" s="19"/>
      <c r="AA8" s="61" t="str">
        <f t="shared" si="0"/>
        <v/>
      </c>
      <c r="AC8" s="60"/>
      <c r="AD8" s="20" t="str">
        <f>IF(AC8="","¬",_xlfn.LET(_xlpm.base,IFERROR(LEFT(AC8,FIND(" (",AC8)-1),AC8),IFERROR(VLOOKUP(_xlpm.base,tblManoeuvre[],2,FALSE) &amp; " " &amp; REPT("●",VLOOKUP(_xlpm.base,tblManoeuvre[],3,FALSE)) &amp; " | " &amp; AC8,AC8 &amp; " " &amp; REPT("●",VLOOKUP(_xlpm.base,$F$79:$P$120,11,FALSE)))))</f>
        <v>¬</v>
      </c>
      <c r="AE8" s="20"/>
      <c r="AF8" s="20" t="str">
        <f>IF(LEN(AC8)=0,"¬",_xlfn.LET(_xlpm.base,IFERROR(LEFT(AC8,FIND(" (",AC8)-1),AC8),IFERROR(VLOOKUP(_xlpm.base,tblMerits[],5,FALSE),IFERROR(VLOOKUP(_xlpm.base,tblManoeuvre[],9,FALSE),"¬"))))</f>
        <v>¬</v>
      </c>
      <c r="AI8" s="15" t="s">
        <v>34</v>
      </c>
      <c r="AJ8" s="61">
        <f t="shared" si="1"/>
        <v>2</v>
      </c>
      <c r="AK8" s="61">
        <f>IF(AJ8=0,IF(COUNTIF($E$42:$E$49,AI8)&gt;0,-3,-1),AJ8)</f>
        <v>2</v>
      </c>
    </row>
    <row r="9" spans="1:37">
      <c r="A9" s="1" t="s">
        <v>8</v>
      </c>
      <c r="B9" t="str">
        <f>IF(VLOOKUP(tblCharDataDoc[[#This Row],[Field]],$E$2:$F$362,2,FALSE)="","¬",VLOOKUP(tblCharDataDoc[[#This Row],[Field]],$E$2:$F$362,2,FALSE))</f>
        <v>Gangrel</v>
      </c>
      <c r="D9" s="19"/>
      <c r="E9" s="15" t="s">
        <v>11</v>
      </c>
      <c r="F9" s="3" t="s">
        <v>607</v>
      </c>
      <c r="G9" s="18"/>
      <c r="H9" s="18"/>
      <c r="I9" s="18" t="s">
        <v>1429</v>
      </c>
      <c r="N9" s="61">
        <f>N40+T40</f>
        <v>0</v>
      </c>
      <c r="O9" s="65">
        <f>N9/SUM(N$7:N$12)</f>
        <v>0</v>
      </c>
      <c r="P9" s="66"/>
      <c r="Y9" s="15" t="s">
        <v>121</v>
      </c>
      <c r="Z9" s="19"/>
      <c r="AA9" s="61" t="str">
        <f t="shared" si="0"/>
        <v/>
      </c>
      <c r="AC9" s="60"/>
      <c r="AD9" s="20" t="str">
        <f>IF(AC9="","¬",_xlfn.LET(_xlpm.base,IFERROR(LEFT(AC9,FIND(" (",AC9)-1),AC9),IFERROR(VLOOKUP(_xlpm.base,tblManoeuvre[],2,FALSE) &amp; " " &amp; REPT("●",VLOOKUP(_xlpm.base,tblManoeuvre[],3,FALSE)) &amp; " | " &amp; AC9,AC9 &amp; " " &amp; REPT("●",VLOOKUP(_xlpm.base,$F$79:$P$120,11,FALSE)))))</f>
        <v>¬</v>
      </c>
      <c r="AE9" s="20"/>
      <c r="AF9" s="20" t="str">
        <f>IF(LEN(AC9)=0,"¬",_xlfn.LET(_xlpm.base,IFERROR(LEFT(AC9,FIND(" (",AC9)-1),AC9),IFERROR(VLOOKUP(_xlpm.base,tblMerits[],5,FALSE),IFERROR(VLOOKUP(_xlpm.base,tblManoeuvre[],9,FALSE),"¬"))))</f>
        <v>¬</v>
      </c>
      <c r="AI9" s="15" t="s">
        <v>238</v>
      </c>
      <c r="AJ9" s="61">
        <f t="shared" si="1"/>
        <v>0</v>
      </c>
      <c r="AK9" s="61">
        <f>AJ9</f>
        <v>0</v>
      </c>
    </row>
    <row r="10" spans="1:37">
      <c r="A10" s="1" t="s">
        <v>9</v>
      </c>
      <c r="B10" t="str">
        <f>CONCATENATE(Elements,B9," icon.svg")</f>
        <v>D:\Terra Mortis\Character Sheets\Sheet Elements\Gangrel icon.svg</v>
      </c>
      <c r="D10" s="19"/>
      <c r="E10" s="15" t="s">
        <v>13</v>
      </c>
      <c r="F10" s="3" t="s">
        <v>558</v>
      </c>
      <c r="G10" s="18"/>
      <c r="H10" s="18"/>
      <c r="I10" s="18" t="s">
        <v>1430</v>
      </c>
      <c r="N10" s="61">
        <f>N77</f>
        <v>3</v>
      </c>
      <c r="O10" s="65">
        <f>N10/SUM(N$7:N$12)</f>
        <v>0.125</v>
      </c>
      <c r="P10" s="66"/>
      <c r="Y10" s="15" t="s">
        <v>122</v>
      </c>
      <c r="Z10" s="19"/>
      <c r="AA10" s="61" t="str">
        <f t="shared" si="0"/>
        <v/>
      </c>
      <c r="AC10" s="60"/>
      <c r="AD10" s="20" t="str">
        <f>IF(AC10="","¬",_xlfn.LET(_xlpm.base,IFERROR(LEFT(AC10,FIND(" (",AC10)-1),AC10),IFERROR(VLOOKUP(_xlpm.base,tblManoeuvre[],2,FALSE) &amp; " " &amp; REPT("●",VLOOKUP(_xlpm.base,tblManoeuvre[],3,FALSE)) &amp; " | " &amp; AC10,AC10 &amp; " " &amp; REPT("●",VLOOKUP(_xlpm.base,$F$79:$P$120,11,FALSE)))))</f>
        <v>¬</v>
      </c>
      <c r="AE10" s="20"/>
      <c r="AF10" s="20" t="str">
        <f>IF(LEN(AC10)=0,"¬",_xlfn.LET(_xlpm.base,IFERROR(LEFT(AC10,FIND(" (",AC10)-1),AC10),IFERROR(VLOOKUP(_xlpm.base,tblMerits[],5,FALSE),IFERROR(VLOOKUP(_xlpm.base,tblManoeuvre[],9,FALSE),"¬"))))</f>
        <v>¬</v>
      </c>
      <c r="AI10" s="15" t="s">
        <v>24</v>
      </c>
      <c r="AJ10" s="61">
        <f t="shared" si="1"/>
        <v>3</v>
      </c>
      <c r="AK10" s="61">
        <f>AJ10+IFERROR(INDEX($V$26:$V$38,MATCH(AI10,$E$26:$E$38,0)),0)</f>
        <v>3</v>
      </c>
    </row>
    <row r="11" spans="1:37">
      <c r="A11" s="1" t="s">
        <v>10</v>
      </c>
      <c r="B11" t="str">
        <f>IF(VLOOKUP(tblCharDataDoc[[#This Row],[Field]],$E$2:$F$362,2,FALSE)="","¬",VLOOKUP(tblCharDataDoc[[#This Row],[Field]],$E$2:$F$362,2,FALSE))</f>
        <v>Kerberos</v>
      </c>
      <c r="D11" s="19"/>
      <c r="E11" s="15" t="s">
        <v>14</v>
      </c>
      <c r="F11" s="3" t="s">
        <v>685</v>
      </c>
      <c r="G11" s="18"/>
      <c r="H11" s="18"/>
      <c r="I11" s="18" t="s">
        <v>1431</v>
      </c>
      <c r="N11" s="61">
        <f>N163</f>
        <v>9</v>
      </c>
      <c r="O11" s="65">
        <f>N11/SUM(N$7:N$12)</f>
        <v>0.375</v>
      </c>
      <c r="P11" s="66"/>
      <c r="Y11" s="15" t="s">
        <v>123</v>
      </c>
      <c r="Z11" s="19"/>
      <c r="AA11" s="61" t="str">
        <f t="shared" si="0"/>
        <v/>
      </c>
      <c r="AC11" s="60"/>
      <c r="AD11" s="20" t="str">
        <f>IF(AC11="","¬",_xlfn.LET(_xlpm.base,IFERROR(LEFT(AC11,FIND(" (",AC11)-1),AC11),IFERROR(VLOOKUP(_xlpm.base,tblManoeuvre[],2,FALSE) &amp; " " &amp; REPT("●",VLOOKUP(_xlpm.base,tblManoeuvre[],3,FALSE)) &amp; " | " &amp; AC11,AC11 &amp; " " &amp; REPT("●",VLOOKUP(_xlpm.base,$F$79:$P$120,11,FALSE)))))</f>
        <v>¬</v>
      </c>
      <c r="AE11" s="20"/>
      <c r="AF11" s="20" t="str">
        <f>IF(LEN(AC11)=0,"¬",_xlfn.LET(_xlpm.base,IFERROR(LEFT(AC11,FIND(" (",AC11)-1),AC11),IFERROR(VLOOKUP(_xlpm.base,tblMerits[],5,FALSE),IFERROR(VLOOKUP(_xlpm.base,tblManoeuvre[],9,FALSE),"¬"))))</f>
        <v>¬</v>
      </c>
      <c r="AI11" s="15" t="s">
        <v>26</v>
      </c>
      <c r="AJ11" s="61">
        <f t="shared" si="1"/>
        <v>0</v>
      </c>
      <c r="AK11" s="61">
        <f>IF(AJ11=0,IF(COUNTIF($E$42:$E$49,AI11)&gt;0,-3,-1),AJ11)</f>
        <v>-3</v>
      </c>
    </row>
    <row r="12" spans="1:37">
      <c r="A12" s="1" t="s">
        <v>11</v>
      </c>
      <c r="B12" t="str">
        <f>IF(VLOOKUP(tblCharDataDoc[[#This Row],[Field]],$E$2:$F$362,2,FALSE)="","¬",VLOOKUP(tblCharDataDoc[[#This Row],[Field]],$E$2:$F$362,2,FALSE))</f>
        <v>Carthian Movement</v>
      </c>
      <c r="D12" s="19"/>
      <c r="E12" s="15" t="s">
        <v>15</v>
      </c>
      <c r="F12" s="3" t="s">
        <v>825</v>
      </c>
      <c r="G12" s="3" t="s">
        <v>1672</v>
      </c>
      <c r="H12" s="18"/>
      <c r="I12" s="18" t="s">
        <v>1432</v>
      </c>
      <c r="N12" s="61">
        <f>N71</f>
        <v>0</v>
      </c>
      <c r="O12" s="65">
        <f>N12/SUM(N$7:N$12)</f>
        <v>0</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0</v>
      </c>
      <c r="AK12" s="61">
        <f>IF(AJ12=0,IF(COUNTIF($E$42:$E$49,AI12)&gt;0,-3,-1),AJ12)</f>
        <v>-3</v>
      </c>
    </row>
    <row r="13" spans="1:37">
      <c r="A13" s="1" t="s">
        <v>12</v>
      </c>
      <c r="B13" t="str">
        <f>_xlfn.IFNA(CONCATENATE(Elements,VLOOKUP(B12,tblCovenantShortName[#Data],2,FALSE)," icon.svg"),"")</f>
        <v>D:\Terra Mortis\Character Sheets\Sheet Elements\Carthian icon.svg</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0</v>
      </c>
      <c r="AK13" s="61">
        <f t="shared" ref="AK13:AK19" si="2">AJ13</f>
        <v>0</v>
      </c>
    </row>
    <row r="14" spans="1:37">
      <c r="A14" s="1" t="s">
        <v>13</v>
      </c>
      <c r="B14" t="str">
        <f>IF(VLOOKUP(tblCharDataDoc[[#This Row],[Field]],$E$2:$F$362,2,FALSE)="","¬",VLOOKUP(tblCharDataDoc[[#This Row],[Field]],$E$2:$F$362,2,FALSE))</f>
        <v>Authoritarian</v>
      </c>
      <c r="D14" s="19"/>
      <c r="E14" s="15" t="s">
        <v>1433</v>
      </c>
      <c r="F14" s="28"/>
      <c r="G14" s="3"/>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0</v>
      </c>
      <c r="AK14" s="61">
        <f t="shared" si="2"/>
        <v>0</v>
      </c>
    </row>
    <row r="15" spans="1:37">
      <c r="A15" s="1" t="s">
        <v>14</v>
      </c>
      <c r="B15" t="str">
        <f>IF(VLOOKUP(tblCharDataDoc[[#This Row],[Field]],$E$2:$F$362,2,FALSE)="","¬",VLOOKUP(tblCharDataDoc[[#This Row],[Field]],$E$2:$F$362,2,FALSE))</f>
        <v>Rebel</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4</v>
      </c>
      <c r="AK15" s="61">
        <f t="shared" ca="1" si="2"/>
        <v>4</v>
      </c>
    </row>
    <row r="16" spans="1:37" ht="15.75" thickBot="1">
      <c r="A16" s="1" t="s">
        <v>15</v>
      </c>
      <c r="B16" t="str">
        <f ca="1">_xlfn.LET(_xlpm.a,VLOOKUP(tblCharDataDoc[[#This Row],[Field]],$E$2:$F$362,2,FALSE),_xlpm.b,VLOOKUP(OFFSET(tblCharDataDoc[[#This Row],[Field]],1,0),$E$2:$F$362,2,FALSE),IF(AND(_xlpm.a&lt;&gt;"",_xlpm.b&lt;&gt;""),_xlpm.a&amp;" &amp; "&amp;_xlpm.b,IF(_xlpm.a&lt;&gt;"",_xlpm.a,IF(_xlpm.b&lt;&gt;"",_xlpm.b,"¬"))))</f>
        <v>Protector</v>
      </c>
      <c r="D16" s="14" t="s">
        <v>1427</v>
      </c>
      <c r="E16" s="14"/>
      <c r="F16" s="14"/>
      <c r="G16" s="14"/>
      <c r="H16" s="14"/>
      <c r="I16" s="14"/>
      <c r="N16" s="60">
        <f>SUM(N17:N21)</f>
        <v>0</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REPT("●",IFERROR(INDEX($P$26:$P$38,MATCH(tblCharDataDoc[[#This Row],[Field]],$E$26:$E$38,0)),0))&amp;REPT("○",IFERROR(INDEX($V$26:$V$38,MATCH(tblCharDataDoc[[#This Row],[Field]],$E$26:$E$38,0)),0))</f>
        <v>●●●</v>
      </c>
      <c r="D17" s="19"/>
      <c r="E17" s="15" t="s">
        <v>1435</v>
      </c>
      <c r="F17" s="3"/>
      <c r="G17" s="19"/>
      <c r="H17" s="19"/>
      <c r="I17" s="19"/>
      <c r="N17" s="61">
        <f>IF(F17=TRUE,3,0)</f>
        <v>0</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2</v>
      </c>
      <c r="AK17" s="61">
        <f>AJ17+IFERROR(INDEX($V$26:$V$38,MATCH(AI17,$E$26:$E$38,0)),0)</f>
        <v>2</v>
      </c>
    </row>
    <row r="18" spans="1:37">
      <c r="A18" s="1" t="s">
        <v>17</v>
      </c>
      <c r="B18" t="str">
        <f>REPT("●",IFERROR(INDEX($P$26:$P$38,MATCH(tblCharDataDoc[[#This Row],[Field]],$E$26:$E$38,0)),0))&amp;REPT("○",IFERROR(INDEX($V$26:$V$38,MATCH(tblCharDataDoc[[#This Row],[Field]],$E$26:$E$38,0)),0))</f>
        <v>●●</v>
      </c>
      <c r="D18" s="19"/>
      <c r="E18" s="15" t="s">
        <v>1436</v>
      </c>
      <c r="F18" s="3"/>
      <c r="G18" s="19"/>
      <c r="H18" s="19"/>
      <c r="I18" s="19"/>
      <c r="N18" s="61">
        <f>IF(F18=TRUE,3,0)</f>
        <v>0</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0</v>
      </c>
      <c r="AK18" s="61">
        <f t="shared" si="2"/>
        <v>0</v>
      </c>
    </row>
    <row r="19" spans="1:37">
      <c r="A19" s="1" t="s">
        <v>18</v>
      </c>
      <c r="B19" t="str">
        <f>REPT("●",IFERROR(INDEX($P$26:$P$38,MATCH(tblCharDataDoc[[#This Row],[Field]],$E$26:$E$38,0)),0))&amp;REPT("○",IFERROR(INDEX($V$26:$V$38,MATCH(tblCharDataDoc[[#This Row],[Field]],$E$26:$E$38,0)),0))</f>
        <v>●●</v>
      </c>
      <c r="D19" s="19"/>
      <c r="E19" s="15" t="s">
        <v>1437</v>
      </c>
      <c r="F19" s="3"/>
      <c r="G19" s="19"/>
      <c r="H19" s="19"/>
      <c r="I19" s="19"/>
      <c r="N19" s="61">
        <f>IF(F19=TRUE,3,0)</f>
        <v>0</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0</v>
      </c>
      <c r="AK19" s="61">
        <f t="shared" si="2"/>
        <v>0</v>
      </c>
    </row>
    <row r="20" spans="1:37">
      <c r="A20" s="1" t="s">
        <v>19</v>
      </c>
      <c r="B20" t="str">
        <f>REPT("●",IFERROR(INDEX($P$26:$P$38,MATCH(tblCharDataDoc[[#This Row],[Field]],$E$26:$E$38,0)),0))&amp;REPT("○",IFERROR(INDEX($V$26:$V$38,MATCH(tblCharDataDoc[[#This Row],[Field]],$E$26:$E$38,0)),0))</f>
        <v>●●</v>
      </c>
      <c r="D20" s="19"/>
      <c r="E20" s="15" t="s">
        <v>1438</v>
      </c>
      <c r="F20" s="3"/>
      <c r="G20" s="19"/>
      <c r="H20" s="19"/>
      <c r="I20" s="19"/>
      <c r="N20" s="61">
        <f>IF(F20=TRUE,3,0)</f>
        <v>0</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REPT("●",IFERROR(INDEX($P$26:$P$38,MATCH(tblCharDataDoc[[#This Row],[Field]],$E$26:$E$38,0)),0))&amp;REPT("○",IFERROR(INDEX($V$26:$V$38,MATCH(tblCharDataDoc[[#This Row],[Field]],$E$26:$E$38,0)),0))</f>
        <v>●●</v>
      </c>
      <c r="D21" s="19"/>
      <c r="E21" s="15" t="s">
        <v>11</v>
      </c>
      <c r="F21" s="3"/>
      <c r="G21" s="19"/>
      <c r="H21" s="19"/>
      <c r="I21" s="19"/>
      <c r="N21" s="61">
        <f>IF(F21=TRUE,3,0)</f>
        <v>0</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3</v>
      </c>
      <c r="AK21" s="61">
        <f>IF(AJ21=0,IF(COUNTIF($E$42:$E$49,AI21)&gt;0,-3,-1),AJ21)</f>
        <v>3</v>
      </c>
    </row>
    <row r="22" spans="1:37">
      <c r="A22" s="1" t="s">
        <v>21</v>
      </c>
      <c r="B22" t="str">
        <f>REPT("●",IFERROR(INDEX($P$26:$P$38,MATCH(tblCharDataDoc[[#This Row],[Field]],$E$26:$E$38,0)),0))&amp;REPT("○",IFERROR(INDEX($V$26:$V$38,MATCH(tblCharDataDoc[[#This Row],[Field]],$E$26:$E$38,0)),0))</f>
        <v>●●○</v>
      </c>
      <c r="Y22" s="15" t="s">
        <v>1439</v>
      </c>
      <c r="Z22" s="61" t="str">
        <f>IFERROR(VLOOKUP(AA22,tblManoeuvre[],2,FALSE),"")</f>
        <v>Three Heads of Kerberos</v>
      </c>
      <c r="AA22" s="61" t="str">
        <f t="shared" ref="AA22:AA41" si="3">_xlfn.LET(_xlpm.name,VLOOKUP(Y22,$E$2:$F$362,2,FALSE),_xlpm.paid,_xlfn.IFNA(VLOOKUP(_xlpm.name,$F$79:$Q$120,11,FALSE)&gt;=VLOOKUP(_xlpm.name,$F$79:$Q$120,12,FALSE),FALSE),IF(AND(_xlpm.name&lt;&gt;"",_xlpm.paid),_xlpm.name,""))</f>
        <v>Honing - Competitive</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0</v>
      </c>
      <c r="AK22" s="61">
        <f>IF(AJ22=0,IF(COUNTIF($E$42:$E$49,AI22)&gt;0,-3,-1),AJ22)</f>
        <v>-1</v>
      </c>
    </row>
    <row r="23" spans="1:37" ht="15.75" thickBot="1">
      <c r="A23" s="1" t="s">
        <v>22</v>
      </c>
      <c r="B23" t="str">
        <f>REPT("●",IFERROR(INDEX($P$26:$P$38,MATCH(tblCharDataDoc[[#This Row],[Field]],$E$26:$E$38,0)),0))&amp;REPT("○",IFERROR(INDEX($V$26:$V$38,MATCH(tblCharDataDoc[[#This Row],[Field]],$E$26:$E$38,0)),0))</f>
        <v>●●●</v>
      </c>
      <c r="D23" s="14" t="s">
        <v>1440</v>
      </c>
      <c r="E23" s="14"/>
      <c r="F23" s="14"/>
      <c r="G23" s="14"/>
      <c r="H23" s="14"/>
      <c r="I23" s="14"/>
      <c r="N23" s="60">
        <f>SUM(N26:N28,N31:N33,N36:N38)</f>
        <v>0</v>
      </c>
      <c r="Y23" s="15" t="s">
        <v>1441</v>
      </c>
      <c r="Z23" s="61" t="str">
        <f>IFERROR(VLOOKUP(AA23,tblManoeuvre[],2,FALSE),"")</f>
        <v>Three Heads of Kerberos</v>
      </c>
      <c r="AA23" s="61" t="str">
        <f t="shared" si="3"/>
        <v>Internalising - Competitive</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0</v>
      </c>
      <c r="AK23" s="61">
        <f>IF(AJ23=0,VLOOKUP(AI23,$E$42:$Q$69,13,FALSE),AJ23)</f>
        <v>0</v>
      </c>
    </row>
    <row r="24" spans="1:37">
      <c r="A24" s="1" t="s">
        <v>23</v>
      </c>
      <c r="B24" t="str">
        <f>REPT("●",IFERROR(INDEX($P$26:$P$38,MATCH(tblCharDataDoc[[#This Row],[Field]],$E$26:$E$38,0)),0))&amp;REPT("○",IFERROR(INDEX($V$26:$V$38,MATCH(tblCharDataDoc[[#This Row],[Field]],$E$26:$E$38,0)),0))</f>
        <v>●●●</v>
      </c>
      <c r="E24" s="15" t="s">
        <v>1442</v>
      </c>
      <c r="F24" s="3" t="s">
        <v>24</v>
      </c>
      <c r="Y24" s="15" t="s">
        <v>1443</v>
      </c>
      <c r="Z24" s="61" t="str">
        <f>IFERROR(VLOOKUP(AA24,tblManoeuvre[],2,FALSE),"")</f>
        <v>Three Heads of Kerberos</v>
      </c>
      <c r="AA24" s="61" t="str">
        <f t="shared" si="3"/>
        <v>Cowing - Competitive</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8</v>
      </c>
      <c r="AK24" s="61">
        <f ca="1">AJ24</f>
        <v>8</v>
      </c>
    </row>
    <row r="25" spans="1:37">
      <c r="A25" s="1" t="s">
        <v>24</v>
      </c>
      <c r="B25" t="str">
        <f>REPT("●",IFERROR(INDEX($P$26:$P$38,MATCH(tblCharDataDoc[[#This Row],[Field]],$E$26:$E$38,0)),0))&amp;REPT("○",IFERROR(INDEX($V$26:$V$38,MATCH(tblCharDataDoc[[#This Row],[Field]],$E$26:$E$38,0)),0))</f>
        <v>●●●</v>
      </c>
      <c r="D25" s="16" t="s">
        <v>1444</v>
      </c>
      <c r="E25" s="17"/>
      <c r="F25" s="17"/>
      <c r="G25" s="17" t="s">
        <v>1445</v>
      </c>
      <c r="H25" s="16" t="s">
        <v>1446</v>
      </c>
      <c r="I25" s="3" t="s">
        <v>1567</v>
      </c>
      <c r="L25" s="60">
        <f>IF(I25="",0,VLOOKUP(I25,tblPriority[#Data],2,FALSE))-SUM(L26:L28)</f>
        <v>0</v>
      </c>
      <c r="Y25" s="15" t="s">
        <v>1447</v>
      </c>
      <c r="Z25" s="61" t="str">
        <f>IFERROR(VLOOKUP(AA25,tblManoeuvre[],2,FALSE),"")</f>
        <v/>
      </c>
      <c r="AA25" s="61" t="str">
        <f t="shared" si="3"/>
        <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6</v>
      </c>
      <c r="AK25" s="61">
        <f>AJ25</f>
        <v>6</v>
      </c>
    </row>
    <row r="26" spans="1:37">
      <c r="A26" s="1" t="s">
        <v>25</v>
      </c>
      <c r="B26" t="str">
        <f>REPT("●",IFERROR(INDEX($P$42:$P$69,MATCH(tblCharDataDoc[[#This Row],[Field]],$E$42:$E$69,0)),0))&amp;REPT("○",IFERROR(INDEX($V$42:$V$69,MATCH(tblCharDataDoc[[#This Row],[Field]],$E$42:$E$69,0)),0))&amp;IF(IFERROR(INDEX($W$42:$W$69,MATCH(tblCharDataDoc[[#This Row],[Field]],$E$42:$E$69,0)),0)=1,"†","")</f>
        <v/>
      </c>
      <c r="D26" s="18"/>
      <c r="E26" s="15" t="s">
        <v>16</v>
      </c>
      <c r="F26" s="18"/>
      <c r="G26" s="3"/>
      <c r="H26" s="18"/>
      <c r="I26" s="18"/>
      <c r="L26" s="3">
        <v>2</v>
      </c>
      <c r="M26" s="60">
        <f>IF(E26=$F$24,2,1)</f>
        <v>1</v>
      </c>
      <c r="N26" s="3"/>
      <c r="O26" s="61">
        <f>ROUNDDOWN(N26/4,0)</f>
        <v>0</v>
      </c>
      <c r="P26" s="60">
        <f>MIN(SUM(L26,M26,O26),R26)</f>
        <v>3</v>
      </c>
      <c r="R26" s="61">
        <v>5</v>
      </c>
      <c r="U26" s="4"/>
      <c r="V26" s="61">
        <f>U26</f>
        <v>0</v>
      </c>
      <c r="Y26" s="15" t="s">
        <v>1449</v>
      </c>
      <c r="Z26" s="61" t="str">
        <f>IFERROR(VLOOKUP(AA26,tblManoeuvre[],2,FALSE),"")</f>
        <v/>
      </c>
      <c r="AA26" s="61" t="str">
        <f t="shared" si="3"/>
        <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3</v>
      </c>
      <c r="AK26" s="61">
        <f>AJ26+IFERROR(INDEX($V$26:$V$38,MATCH(AI26,$E$26:$E$38,0)),0)</f>
        <v>3</v>
      </c>
    </row>
    <row r="27" spans="1:37">
      <c r="A27" s="1" t="s">
        <v>26</v>
      </c>
      <c r="B27" t="str">
        <f>REPT("●",IFERROR(INDEX($P$42:$P$69,MATCH(tblCharDataDoc[[#This Row],[Field]],$E$42:$E$69,0)),0))&amp;REPT("○",IFERROR(INDEX($V$42:$V$69,MATCH(tblCharDataDoc[[#This Row],[Field]],$E$42:$E$69,0)),0))&amp;IF(IFERROR(INDEX($W$42:$W$69,MATCH(tblCharDataDoc[[#This Row],[Field]],$E$42:$E$69,0)),0)=1,"†","")</f>
        <v/>
      </c>
      <c r="D27" s="18"/>
      <c r="E27" s="15" t="s">
        <v>17</v>
      </c>
      <c r="F27" s="18"/>
      <c r="G27" s="3"/>
      <c r="H27" s="18"/>
      <c r="I27" s="18"/>
      <c r="L27" s="3">
        <v>1</v>
      </c>
      <c r="M27" s="60">
        <f>IF(E27=$F$24,2,1)</f>
        <v>1</v>
      </c>
      <c r="N27" s="3"/>
      <c r="O27" s="61">
        <f>ROUNDDOWN(N27/4,0)</f>
        <v>0</v>
      </c>
      <c r="P27" s="60">
        <f>MIN(SUM(L27,M27,O27),R27)</f>
        <v>2</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3</v>
      </c>
      <c r="AK27" s="61">
        <f>IF(AJ27=0,IF(COUNTIF($E$42:$E$49,AI27)&gt;0,-3,-1),AJ27)</f>
        <v>3</v>
      </c>
    </row>
    <row r="28" spans="1:37">
      <c r="A28" s="1" t="s">
        <v>27</v>
      </c>
      <c r="B28" t="str">
        <f>REPT("●",IFERROR(INDEX($P$42:$P$69,MATCH(tblCharDataDoc[[#This Row],[Field]],$E$42:$E$69,0)),0))&amp;REPT("○",IFERROR(INDEX($V$42:$V$69,MATCH(tblCharDataDoc[[#This Row],[Field]],$E$42:$E$69,0)),0))&amp;IF(IFERROR(INDEX($W$42:$W$69,MATCH(tblCharDataDoc[[#This Row],[Field]],$E$42:$E$69,0)),0)=1,"†","")</f>
        <v/>
      </c>
      <c r="D28" s="18"/>
      <c r="E28" s="15" t="s">
        <v>18</v>
      </c>
      <c r="F28" s="18"/>
      <c r="G28" s="3"/>
      <c r="H28" s="18"/>
      <c r="I28" s="18"/>
      <c r="L28" s="3">
        <v>1</v>
      </c>
      <c r="M28" s="60">
        <f>IF(E28=$F$24,2,1)</f>
        <v>1</v>
      </c>
      <c r="N28" s="3"/>
      <c r="O28" s="61">
        <f>ROUNDDOWN(N28/4,0)</f>
        <v>0</v>
      </c>
      <c r="P28" s="60">
        <f>MIN(SUM(L28,M28,O28),R28)</f>
        <v>2</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0</v>
      </c>
      <c r="AK28" s="61">
        <f>IF(AJ28=0,IF(COUNTIF($E$42:$E$49,AI28)&gt;0,-3,-1),AJ28)</f>
        <v>-3</v>
      </c>
    </row>
    <row r="29" spans="1:37">
      <c r="A29" s="1" t="s">
        <v>28</v>
      </c>
      <c r="B29" t="str">
        <f>REPT("●",IFERROR(INDEX($P$42:$P$69,MATCH(tblCharDataDoc[[#This Row],[Field]],$E$42:$E$69,0)),0))&amp;REPT("○",IFERROR(INDEX($V$42:$V$69,MATCH(tblCharDataDoc[[#This Row],[Field]],$E$42:$E$69,0)),0))&amp;IF(IFERROR(INDEX($W$42:$W$69,MATCH(tblCharDataDoc[[#This Row],[Field]],$E$42:$E$69,0)),0)=1,"†","")</f>
        <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0</v>
      </c>
      <c r="AK29" s="61">
        <f>IF(AJ29=0,IF(COUNTIF($E$42:$E$49,AI29)&gt;0,-3,-1),AJ29)</f>
        <v>-1</v>
      </c>
    </row>
    <row r="30" spans="1:37">
      <c r="A30" s="1" t="s">
        <v>29</v>
      </c>
      <c r="B30" t="str">
        <f>REPT("●",IFERROR(INDEX($P$42:$P$69,MATCH(tblCharDataDoc[[#This Row],[Field]],$E$42:$E$69,0)),0))&amp;REPT("○",IFERROR(INDEX($V$42:$V$69,MATCH(tblCharDataDoc[[#This Row],[Field]],$E$42:$E$69,0)),0))&amp;IF(IFERROR(INDEX($W$42:$W$69,MATCH(tblCharDataDoc[[#This Row],[Field]],$E$42:$E$69,0)),0)=1,"†","")</f>
        <v>●●●†</v>
      </c>
      <c r="D30" s="16" t="s">
        <v>1453</v>
      </c>
      <c r="E30" s="17"/>
      <c r="F30" s="17"/>
      <c r="G30" s="17" t="s">
        <v>1445</v>
      </c>
      <c r="H30" s="16" t="s">
        <v>1446</v>
      </c>
      <c r="I30" s="3" t="s">
        <v>1566</v>
      </c>
      <c r="L30" s="60">
        <f>IF(I30="",0,VLOOKUP(I30,tblPriority[#Data],2,FALSE))-SUM(L31:L33)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3</v>
      </c>
      <c r="AK30" s="61">
        <f>AJ30</f>
        <v>3</v>
      </c>
    </row>
    <row r="31" spans="1:37">
      <c r="A31" s="1" t="s">
        <v>30</v>
      </c>
      <c r="B31" t="str">
        <f>REPT("●",IFERROR(INDEX($P$42:$P$69,MATCH(tblCharDataDoc[[#This Row],[Field]],$E$42:$E$69,0)),0))&amp;REPT("○",IFERROR(INDEX($V$42:$V$69,MATCH(tblCharDataDoc[[#This Row],[Field]],$E$42:$E$69,0)),0))&amp;IF(IFERROR(INDEX($W$42:$W$69,MATCH(tblCharDataDoc[[#This Row],[Field]],$E$42:$E$69,0)),0)=1,"†","")</f>
        <v/>
      </c>
      <c r="D31" s="18"/>
      <c r="E31" s="15" t="s">
        <v>19</v>
      </c>
      <c r="F31" s="18"/>
      <c r="G31" s="3"/>
      <c r="H31" s="18"/>
      <c r="I31" s="18"/>
      <c r="L31" s="3">
        <v>1</v>
      </c>
      <c r="M31" s="60">
        <f>IF(E31=$F$24,2,1)</f>
        <v>1</v>
      </c>
      <c r="N31" s="3"/>
      <c r="O31" s="61">
        <f>ROUNDDOWN(N31/4,0)</f>
        <v>0</v>
      </c>
      <c r="P31" s="60">
        <f>MIN(SUM(L31,M31,O31),R31)</f>
        <v>2</v>
      </c>
      <c r="R31" s="61">
        <v>5</v>
      </c>
      <c r="U31" s="4"/>
      <c r="V31" s="61">
        <f>$P$174+U31</f>
        <v>0</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3</v>
      </c>
      <c r="AK31" s="61">
        <f>AJ31+IFERROR(INDEX($V$26:$V$38,MATCH(AI31,$E$26:$E$38,0)),0)</f>
        <v>3</v>
      </c>
    </row>
    <row r="32" spans="1:37">
      <c r="A32" s="1" t="s">
        <v>31</v>
      </c>
      <c r="B32" t="str">
        <f>REPT("●",IFERROR(INDEX($P$42:$P$69,MATCH(tblCharDataDoc[[#This Row],[Field]],$E$42:$E$69,0)),0))&amp;REPT("○",IFERROR(INDEX($V$42:$V$69,MATCH(tblCharDataDoc[[#This Row],[Field]],$E$42:$E$69,0)),0))&amp;IF(IFERROR(INDEX($W$42:$W$69,MATCH(tblCharDataDoc[[#This Row],[Field]],$E$42:$E$69,0)),0)=1,"†","")</f>
        <v>●●●</v>
      </c>
      <c r="D32" s="18"/>
      <c r="E32" s="15" t="s">
        <v>20</v>
      </c>
      <c r="F32" s="18"/>
      <c r="G32" s="3"/>
      <c r="H32" s="18"/>
      <c r="I32" s="18"/>
      <c r="L32" s="3">
        <v>1</v>
      </c>
      <c r="M32" s="60">
        <f>IF(E32=$F$24,2,1)</f>
        <v>1</v>
      </c>
      <c r="N32" s="3"/>
      <c r="O32" s="61">
        <f>ROUNDDOWN(N32/4,0)</f>
        <v>0</v>
      </c>
      <c r="P32" s="60">
        <f>MIN(SUM(L32,M32,O32),R32)</f>
        <v>2</v>
      </c>
      <c r="R32" s="61">
        <v>5</v>
      </c>
      <c r="U32" s="4"/>
      <c r="V32" s="61">
        <f>U32</f>
        <v>0</v>
      </c>
      <c r="Y32" s="15" t="s">
        <v>1456</v>
      </c>
      <c r="Z32" s="61" t="str">
        <f>IFERROR(VLOOKUP(AA32,tblManoeuvre[],2,FALSE),"")</f>
        <v/>
      </c>
      <c r="AA32" s="61" t="str">
        <f t="shared" si="3"/>
        <v/>
      </c>
      <c r="AI32" s="15" t="s">
        <v>29</v>
      </c>
      <c r="AJ32" s="61">
        <f t="shared" si="1"/>
        <v>3</v>
      </c>
      <c r="AK32" s="61">
        <f>IF(AJ32=0,VLOOKUP(AI32,$E$42:$Q$69,13,FALSE),AJ32)</f>
        <v>3</v>
      </c>
    </row>
    <row r="33" spans="1:37">
      <c r="A33" s="1" t="s">
        <v>32</v>
      </c>
      <c r="B33" t="str">
        <f>REPT("●",IFERROR(INDEX($P$42:$P$69,MATCH(tblCharDataDoc[[#This Row],[Field]],$E$42:$E$69,0)),0))&amp;REPT("○",IFERROR(INDEX($V$42:$V$69,MATCH(tblCharDataDoc[[#This Row],[Field]],$E$42:$E$69,0)),0))&amp;IF(IFERROR(INDEX($W$42:$W$69,MATCH(tblCharDataDoc[[#This Row],[Field]],$E$42:$E$69,0)),0)=1,"†","")</f>
        <v>●</v>
      </c>
      <c r="D33" s="18"/>
      <c r="E33" s="15" t="s">
        <v>21</v>
      </c>
      <c r="F33" s="18"/>
      <c r="G33" s="3"/>
      <c r="H33" s="18"/>
      <c r="I33" s="18"/>
      <c r="L33" s="3">
        <v>1</v>
      </c>
      <c r="M33" s="60">
        <f>IF(E33=$F$24,2,1)</f>
        <v>1</v>
      </c>
      <c r="N33" s="3"/>
      <c r="O33" s="61">
        <f>ROUNDDOWN(N33/4,0)</f>
        <v>0</v>
      </c>
      <c r="P33" s="60">
        <f>MIN(SUM(L33,M33,O33),R33)</f>
        <v>2</v>
      </c>
      <c r="R33" s="61">
        <v>5</v>
      </c>
      <c r="U33" s="4"/>
      <c r="V33" s="61">
        <f>$P$173+U33</f>
        <v>1</v>
      </c>
      <c r="Y33" s="15" t="s">
        <v>1457</v>
      </c>
      <c r="Z33" s="61" t="str">
        <f>IFERROR(VLOOKUP(AA33,tblManoeuvre[],2,FALSE),"")</f>
        <v/>
      </c>
      <c r="AA33" s="61" t="str">
        <f t="shared" si="3"/>
        <v/>
      </c>
      <c r="AI33" s="15" t="s">
        <v>241</v>
      </c>
      <c r="AJ33" s="61">
        <f t="shared" si="1"/>
        <v>0</v>
      </c>
      <c r="AK33" s="61">
        <f>AJ33</f>
        <v>0</v>
      </c>
    </row>
    <row r="34" spans="1:37">
      <c r="A34" s="1" t="s">
        <v>33</v>
      </c>
      <c r="B34" t="str">
        <f>REPT("●",IFERROR(INDEX($P$42:$P$69,MATCH(tblCharDataDoc[[#This Row],[Field]],$E$42:$E$69,0)),0))&amp;REPT("○",IFERROR(INDEX($V$42:$V$69,MATCH(tblCharDataDoc[[#This Row],[Field]],$E$42:$E$69,0)),0))&amp;IF(IFERROR(INDEX($W$42:$W$69,MATCH(tblCharDataDoc[[#This Row],[Field]],$E$42:$E$69,0)),0)=1,"†","")</f>
        <v>●●</v>
      </c>
      <c r="Y34" s="15" t="s">
        <v>1458</v>
      </c>
      <c r="Z34" s="61" t="str">
        <f>IFERROR(VLOOKUP(AA34,tblManoeuvre[],2,FALSE),"")</f>
        <v/>
      </c>
      <c r="AA34" s="61" t="str">
        <f t="shared" si="3"/>
        <v/>
      </c>
      <c r="AI34" s="15" t="s">
        <v>242</v>
      </c>
      <c r="AJ34" s="61">
        <f t="shared" si="1"/>
        <v>0</v>
      </c>
      <c r="AK34" s="61">
        <f>AJ34</f>
        <v>0</v>
      </c>
    </row>
    <row r="35" spans="1:37">
      <c r="A35" s="1" t="s">
        <v>34</v>
      </c>
      <c r="B35" t="str">
        <f>REPT("●",IFERROR(INDEX($P$42:$P$69,MATCH(tblCharDataDoc[[#This Row],[Field]],$E$42:$E$69,0)),0))&amp;REPT("○",IFERROR(INDEX($V$42:$V$69,MATCH(tblCharDataDoc[[#This Row],[Field]],$E$42:$E$69,0)),0))&amp;IF(IFERROR(INDEX($W$42:$W$69,MATCH(tblCharDataDoc[[#This Row],[Field]],$E$42:$E$69,0)),0)=1,"†","")</f>
        <v>●●</v>
      </c>
      <c r="D35" s="16" t="s">
        <v>1459</v>
      </c>
      <c r="E35" s="17"/>
      <c r="F35" s="17"/>
      <c r="G35" s="17" t="s">
        <v>1445</v>
      </c>
      <c r="H35" s="16" t="s">
        <v>1446</v>
      </c>
      <c r="I35" s="3" t="s">
        <v>1565</v>
      </c>
      <c r="L35" s="60">
        <f>IF(I35="",0,VLOOKUP(I35,tblPriority[#Data],2,FALSE))-SUM(L36:L38)</f>
        <v>0</v>
      </c>
      <c r="Y35" s="15" t="s">
        <v>1460</v>
      </c>
      <c r="Z35" s="61" t="str">
        <f>IFERROR(VLOOKUP(AA35,tblManoeuvre[],2,FALSE),"")</f>
        <v/>
      </c>
      <c r="AA35" s="61" t="str">
        <f t="shared" si="3"/>
        <v/>
      </c>
      <c r="AI35" s="15" t="s">
        <v>30</v>
      </c>
      <c r="AJ35" s="61">
        <f t="shared" si="1"/>
        <v>0</v>
      </c>
      <c r="AK35" s="61">
        <f>IF(AJ35=0,IF(COUNTIF($E$42:$E$49,AI35)&gt;0,-3,-1),AJ35)</f>
        <v>-3</v>
      </c>
    </row>
    <row r="36" spans="1:37">
      <c r="A36" s="1" t="s">
        <v>35</v>
      </c>
      <c r="B36" t="str">
        <f>REPT("●",IFERROR(INDEX($P$42:$P$69,MATCH(tblCharDataDoc[[#This Row],[Field]],$E$42:$E$69,0)),0))&amp;REPT("○",IFERROR(INDEX($V$42:$V$69,MATCH(tblCharDataDoc[[#This Row],[Field]],$E$42:$E$69,0)),0))&amp;IF(IFERROR(INDEX($W$42:$W$69,MATCH(tblCharDataDoc[[#This Row],[Field]],$E$42:$E$69,0)),0)=1,"†","")</f>
        <v/>
      </c>
      <c r="D36" s="18"/>
      <c r="E36" s="15" t="s">
        <v>22</v>
      </c>
      <c r="F36" s="18"/>
      <c r="G36" s="3"/>
      <c r="H36" s="18"/>
      <c r="I36" s="18"/>
      <c r="L36" s="3">
        <v>2</v>
      </c>
      <c r="M36" s="60">
        <f>IF(E36=$F$24,2,1)</f>
        <v>1</v>
      </c>
      <c r="N36" s="3"/>
      <c r="O36" s="61">
        <f>ROUNDDOWN(N36/4,0)</f>
        <v>0</v>
      </c>
      <c r="P36" s="60">
        <f>MIN(SUM(L36,M36,O36),R36)</f>
        <v>3</v>
      </c>
      <c r="R36" s="61">
        <v>5</v>
      </c>
      <c r="U36" s="4"/>
      <c r="V36" s="61">
        <f>U36</f>
        <v>0</v>
      </c>
      <c r="Y36" s="15" t="s">
        <v>1461</v>
      </c>
      <c r="Z36" s="61" t="str">
        <f>IFERROR(VLOOKUP(AA36,tblManoeuvre[],2,FALSE),"")</f>
        <v/>
      </c>
      <c r="AA36" s="61" t="str">
        <f t="shared" si="3"/>
        <v/>
      </c>
      <c r="AI36" s="15" t="s">
        <v>45</v>
      </c>
      <c r="AJ36" s="61">
        <f t="shared" si="1"/>
        <v>2</v>
      </c>
      <c r="AK36" s="61">
        <f>IF(AJ36=0,IF(COUNTIF($E$42:$E$49,AI36)&gt;0,-3,-1),AJ36)</f>
        <v>2</v>
      </c>
    </row>
    <row r="37" spans="1:37">
      <c r="A37" s="1" t="s">
        <v>36</v>
      </c>
      <c r="B37" t="str">
        <f>REPT("●",IFERROR(INDEX($P$42:$P$69,MATCH(tblCharDataDoc[[#This Row],[Field]],$E$42:$E$69,0)),0))&amp;REPT("○",IFERROR(INDEX($V$42:$V$69,MATCH(tblCharDataDoc[[#This Row],[Field]],$E$42:$E$69,0)),0))&amp;IF(IFERROR(INDEX($W$42:$W$69,MATCH(tblCharDataDoc[[#This Row],[Field]],$E$42:$E$69,0)),0)=1,"†","")</f>
        <v/>
      </c>
      <c r="D37" s="18"/>
      <c r="E37" s="15" t="s">
        <v>23</v>
      </c>
      <c r="F37" s="18"/>
      <c r="G37" s="3"/>
      <c r="H37" s="18"/>
      <c r="I37" s="18"/>
      <c r="L37" s="3">
        <v>2</v>
      </c>
      <c r="M37" s="60">
        <f>IF(E37=$F$24,2,1)</f>
        <v>1</v>
      </c>
      <c r="N37" s="3"/>
      <c r="O37" s="61">
        <f>ROUNDDOWN(N37/4,0)</f>
        <v>0</v>
      </c>
      <c r="P37" s="60">
        <f>MIN(SUM(L37,M37,O37),R37)</f>
        <v>3</v>
      </c>
      <c r="R37" s="61">
        <v>5</v>
      </c>
      <c r="U37" s="4"/>
      <c r="V37" s="61">
        <f>U37</f>
        <v>0</v>
      </c>
      <c r="Y37" s="15" t="s">
        <v>1462</v>
      </c>
      <c r="Z37" s="61" t="str">
        <f>IFERROR(VLOOKUP(AA37,tblManoeuvre[],2,FALSE),"")</f>
        <v/>
      </c>
      <c r="AA37" s="61" t="str">
        <f t="shared" si="3"/>
        <v/>
      </c>
      <c r="AI37" s="15" t="s">
        <v>31</v>
      </c>
      <c r="AJ37" s="61">
        <f t="shared" si="1"/>
        <v>3</v>
      </c>
      <c r="AK37" s="61">
        <f>IF(AJ37=0,IF(COUNTIF($E$42:$E$49,AI37)&gt;0,-3,-1),AJ37)</f>
        <v>3</v>
      </c>
    </row>
    <row r="38" spans="1:37">
      <c r="A38" s="1" t="s">
        <v>37</v>
      </c>
      <c r="B38" t="str">
        <f>REPT("●",IFERROR(INDEX($P$42:$P$69,MATCH(tblCharDataDoc[[#This Row],[Field]],$E$42:$E$69,0)),0))&amp;REPT("○",IFERROR(INDEX($V$42:$V$69,MATCH(tblCharDataDoc[[#This Row],[Field]],$E$42:$E$69,0)),0))&amp;IF(IFERROR(INDEX($W$42:$W$69,MATCH(tblCharDataDoc[[#This Row],[Field]],$E$42:$E$69,0)),0)=1,"†","")</f>
        <v/>
      </c>
      <c r="D38" s="18"/>
      <c r="E38" s="15" t="s">
        <v>24</v>
      </c>
      <c r="F38" s="18"/>
      <c r="G38" s="3"/>
      <c r="H38" s="18"/>
      <c r="I38" s="18"/>
      <c r="L38" s="3">
        <v>1</v>
      </c>
      <c r="M38" s="60">
        <f>IF(E38=$F$24,2,1)</f>
        <v>2</v>
      </c>
      <c r="N38" s="3"/>
      <c r="O38" s="61">
        <f>ROUNDDOWN(N38/4,0)</f>
        <v>0</v>
      </c>
      <c r="P38" s="60">
        <f>MIN(SUM(L38,M38,O38),R38)</f>
        <v>3</v>
      </c>
      <c r="R38" s="61">
        <v>5</v>
      </c>
      <c r="U38" s="4"/>
      <c r="V38" s="61">
        <f>U38</f>
        <v>0</v>
      </c>
      <c r="Y38" s="15" t="s">
        <v>1463</v>
      </c>
      <c r="Z38" s="61" t="str">
        <f>IFERROR(VLOOKUP(AA38,tblManoeuvre[],2,FALSE),"")</f>
        <v/>
      </c>
      <c r="AA38" s="61" t="str">
        <f t="shared" si="3"/>
        <v/>
      </c>
      <c r="AI38" s="15" t="s">
        <v>22</v>
      </c>
      <c r="AJ38" s="61">
        <f t="shared" si="1"/>
        <v>3</v>
      </c>
      <c r="AK38" s="61">
        <f>AJ38+IFERROR(INDEX($V$26:$V$38,MATCH(AI38,$E$26:$E$38,0)),0)</f>
        <v>3</v>
      </c>
    </row>
    <row r="39" spans="1:37">
      <c r="A39" s="1" t="s">
        <v>38</v>
      </c>
      <c r="B39" t="str">
        <f>REPT("●",IFERROR(INDEX($P$42:$P$69,MATCH(tblCharDataDoc[[#This Row],[Field]],$E$42:$E$69,0)),0))&amp;REPT("○",IFERROR(INDEX($V$42:$V$69,MATCH(tblCharDataDoc[[#This Row],[Field]],$E$42:$E$69,0)),0))&amp;IF(IFERROR(INDEX($W$42:$W$69,MATCH(tblCharDataDoc[[#This Row],[Field]],$E$42:$E$69,0)),0)=1,"†","")</f>
        <v/>
      </c>
      <c r="Y39" s="15" t="s">
        <v>1464</v>
      </c>
      <c r="Z39" s="61" t="str">
        <f>IFERROR(VLOOKUP(AA39,tblManoeuvre[],2,FALSE),"")</f>
        <v/>
      </c>
      <c r="AA39" s="61" t="str">
        <f t="shared" si="3"/>
        <v/>
      </c>
      <c r="AI39" s="15" t="s">
        <v>243</v>
      </c>
      <c r="AJ39" s="61">
        <f t="shared" si="1"/>
        <v>1</v>
      </c>
      <c r="AK39" s="61">
        <f>AJ39</f>
        <v>1</v>
      </c>
    </row>
    <row r="40" spans="1:37" ht="15.75" thickBot="1">
      <c r="A40" s="1" t="s">
        <v>39</v>
      </c>
      <c r="B40" t="str">
        <f>REPT("●",IFERROR(INDEX($P$42:$P$69,MATCH(tblCharDataDoc[[#This Row],[Field]],$E$42:$E$69,0)),0))&amp;REPT("○",IFERROR(INDEX($V$42:$V$69,MATCH(tblCharDataDoc[[#This Row],[Field]],$E$42:$E$69,0)),0))&amp;IF(IFERROR(INDEX($W$42:$W$69,MATCH(tblCharDataDoc[[#This Row],[Field]],$E$42:$E$69,0)),0)=1,"†","")</f>
        <v/>
      </c>
      <c r="D40" s="14" t="s">
        <v>1465</v>
      </c>
      <c r="E40" s="14"/>
      <c r="F40" s="14"/>
      <c r="G40" s="14"/>
      <c r="H40" s="14"/>
      <c r="I40" s="14"/>
      <c r="N40" s="60">
        <f>SUM(N42:N49,N52:N59,N62:N69)</f>
        <v>0</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1"/>
        <v>0</v>
      </c>
      <c r="AK40" s="61">
        <f>AJ40</f>
        <v>0</v>
      </c>
    </row>
    <row r="41" spans="1:37">
      <c r="A41" s="1" t="s">
        <v>40</v>
      </c>
      <c r="B41" t="str">
        <f>REPT("●",IFERROR(INDEX($P$42:$P$69,MATCH(tblCharDataDoc[[#This Row],[Field]],$E$42:$E$69,0)),0))&amp;REPT("○",IFERROR(INDEX($V$42:$V$69,MATCH(tblCharDataDoc[[#This Row],[Field]],$E$42:$E$69,0)),0))&amp;IF(IFERROR(INDEX($W$42:$W$69,MATCH(tblCharDataDoc[[#This Row],[Field]],$E$42:$E$69,0)),0)=1,"†","")</f>
        <v/>
      </c>
      <c r="D41" s="16" t="s">
        <v>1444</v>
      </c>
      <c r="E41" s="17"/>
      <c r="F41" s="17"/>
      <c r="G41" s="17" t="s">
        <v>1467</v>
      </c>
      <c r="H41" s="16" t="s">
        <v>1446</v>
      </c>
      <c r="I41" s="3" t="s">
        <v>1567</v>
      </c>
      <c r="L41" s="60">
        <f>IF(I41="",0,VLOOKUP(I41,tblPriority[#Data],3,FALSE))-SUM(L42:L49)</f>
        <v>0</v>
      </c>
      <c r="T41" s="60">
        <f>MAX(3+IF(P161&gt;=3,2,0)-SUM(T42:T49,T52:T59,T62:T69),0)</f>
        <v>0</v>
      </c>
      <c r="Y41" s="15" t="s">
        <v>1468</v>
      </c>
      <c r="Z41" s="61" t="str">
        <f>IFERROR(VLOOKUP(AA41,tblManoeuvre[],2,FALSE),"")</f>
        <v/>
      </c>
      <c r="AA41" s="61" t="str">
        <f t="shared" si="3"/>
        <v/>
      </c>
      <c r="AI41" s="15" t="s">
        <v>244</v>
      </c>
      <c r="AJ41" s="61">
        <f t="shared" si="1"/>
        <v>1</v>
      </c>
      <c r="AK41" s="61">
        <f>AJ41</f>
        <v>1</v>
      </c>
    </row>
    <row r="42" spans="1:37">
      <c r="A42" s="1" t="s">
        <v>41</v>
      </c>
      <c r="B42" t="str">
        <f>REPT("●",IFERROR(INDEX($P$42:$P$69,MATCH(tblCharDataDoc[[#This Row],[Field]],$E$42:$E$69,0)),0))&amp;REPT("○",IFERROR(INDEX($V$42:$V$69,MATCH(tblCharDataDoc[[#This Row],[Field]],$E$42:$E$69,0)),0))&amp;IF(IFERROR(INDEX($W$42:$W$69,MATCH(tblCharDataDoc[[#This Row],[Field]],$E$42:$E$69,0)),0)=1,"†","")</f>
        <v/>
      </c>
      <c r="D42" s="18"/>
      <c r="E42" s="15" t="s">
        <v>25</v>
      </c>
      <c r="F42" s="18"/>
      <c r="G42" s="3"/>
      <c r="H42" s="18"/>
      <c r="I42" s="18"/>
      <c r="L42" s="4"/>
      <c r="M42" s="60"/>
      <c r="N42" s="4"/>
      <c r="O42" s="61">
        <f>ROUNDDOWN(N42/2,0)</f>
        <v>0</v>
      </c>
      <c r="P42" s="60">
        <f t="shared" ref="P42:P49" si="4">MIN(SUM(L42,M42,O42),R42)</f>
        <v>0</v>
      </c>
      <c r="R42" s="61">
        <v>5</v>
      </c>
      <c r="T42" s="4"/>
      <c r="U42" s="4"/>
      <c r="V42" s="61">
        <f t="shared" ref="V42:V49" si="5">U42</f>
        <v>0</v>
      </c>
      <c r="W42" s="4"/>
      <c r="AI42" s="15" t="s">
        <v>18</v>
      </c>
      <c r="AJ42" s="61">
        <f t="shared" si="1"/>
        <v>2</v>
      </c>
      <c r="AK42" s="61">
        <f>AJ42+IFERROR(INDEX($V$26:$V$38,MATCH(AI42,$E$26:$E$38,0)),0)</f>
        <v>2</v>
      </c>
    </row>
    <row r="43" spans="1:37">
      <c r="A43" s="1" t="s">
        <v>42</v>
      </c>
      <c r="B43" t="str">
        <f>REPT("●",IFERROR(INDEX($P$42:$P$69,MATCH(tblCharDataDoc[[#This Row],[Field]],$E$42:$E$69,0)),0))&amp;REPT("○",IFERROR(INDEX($V$42:$V$69,MATCH(tblCharDataDoc[[#This Row],[Field]],$E$42:$E$69,0)),0))&amp;IF(IFERROR(INDEX($W$42:$W$69,MATCH(tblCharDataDoc[[#This Row],[Field]],$E$42:$E$69,0)),0)=1,"†","")</f>
        <v>●●●†</v>
      </c>
      <c r="D43" s="18"/>
      <c r="E43" s="15" t="s">
        <v>26</v>
      </c>
      <c r="F43" s="18"/>
      <c r="G43" s="3"/>
      <c r="H43" s="18"/>
      <c r="I43" s="18"/>
      <c r="L43" s="4"/>
      <c r="M43" s="60"/>
      <c r="N43" s="4"/>
      <c r="O43" s="61">
        <f t="shared" ref="O43:O49" si="6">ROUNDDOWN(N43/2,0)</f>
        <v>0</v>
      </c>
      <c r="P43" s="60">
        <f t="shared" si="4"/>
        <v>0</v>
      </c>
      <c r="R43" s="61">
        <v>5</v>
      </c>
      <c r="T43" s="4"/>
      <c r="U43" s="4"/>
      <c r="V43" s="61">
        <f t="shared" si="5"/>
        <v>0</v>
      </c>
      <c r="W43" s="4"/>
      <c r="AI43" s="15" t="s">
        <v>32</v>
      </c>
      <c r="AJ43" s="61">
        <f t="shared" si="1"/>
        <v>1</v>
      </c>
      <c r="AK43" s="61">
        <f>IF(AJ43=0,IF(COUNTIF($E$42:$E$49,AI43)&gt;0,-3,-1),AJ43)</f>
        <v>1</v>
      </c>
    </row>
    <row r="44" spans="1:37">
      <c r="A44" s="1" t="s">
        <v>43</v>
      </c>
      <c r="B44" t="str">
        <f>REPT("●",IFERROR(INDEX($P$42:$P$69,MATCH(tblCharDataDoc[[#This Row],[Field]],$E$42:$E$69,0)),0))&amp;REPT("○",IFERROR(INDEX($V$42:$V$69,MATCH(tblCharDataDoc[[#This Row],[Field]],$E$42:$E$69,0)),0))&amp;IF(IFERROR(INDEX($W$42:$W$69,MATCH(tblCharDataDoc[[#This Row],[Field]],$E$42:$E$69,0)),0)=1,"†","")</f>
        <v/>
      </c>
      <c r="D44" s="18"/>
      <c r="E44" s="15" t="s">
        <v>27</v>
      </c>
      <c r="F44" s="18"/>
      <c r="G44" s="3"/>
      <c r="H44" s="18"/>
      <c r="I44" s="18"/>
      <c r="L44" s="4"/>
      <c r="M44" s="60"/>
      <c r="N44" s="4"/>
      <c r="O44" s="61">
        <f t="shared" si="6"/>
        <v>0</v>
      </c>
      <c r="P44" s="60">
        <f t="shared" si="4"/>
        <v>0</v>
      </c>
      <c r="R44" s="61">
        <v>5</v>
      </c>
      <c r="T44" s="4"/>
      <c r="U44" s="4"/>
      <c r="V44" s="61">
        <f t="shared" si="5"/>
        <v>0</v>
      </c>
      <c r="W44" s="4"/>
      <c r="Y44" s="15">
        <v>1</v>
      </c>
      <c r="Z44" s="61" t="s">
        <v>236</v>
      </c>
      <c r="AA44" s="60" t="str" cm="1">
        <f t="array" ref="AA44">IF(OR(Y44=0,Y44=""),"",IF(VLOOKUP(Z44,$AI$1:$AJ$58,2,FALSE)&gt;=Y44,INDEX(tblDisciplines[Name],MATCH(1,(tblDisciplines[Discipline]=Z44)*(tblDisciplines[Rank]=Y44),0)),""))</f>
        <v/>
      </c>
      <c r="AC44" s="60" t="str" cm="1">
        <f t="array" ref="AC44:AC50">IFERROR(_xlfn.VSTACK(IFERROR(_xlfn._xlws.FILTER(AA44:AA121,AA44:AA121&lt;&gt;""),""),IFERROR(_xlfn._xlws.SORT(_xlfn._xlws.FILTER(AA123:AA132,AA123:AA132&lt;&gt;"")),"")),"")</f>
        <v>Awe</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Majesty ● | Awe</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  •  Pool: -  •  Instant  •  Scene</v>
      </c>
      <c r="AF44" s="20" t="str">
        <f>IF(AC44="","",IFERROR(VLOOKUP(AC44,tblDisciplines[],12,FALSE),VLOOKUP(AC44,tblPacts[],5,FALSE)))</f>
        <v>Become centre of attention. Subjects become Awed.</v>
      </c>
      <c r="AI44" s="15" t="s">
        <v>353</v>
      </c>
      <c r="AJ44" s="61">
        <f t="shared" si="1"/>
        <v>5</v>
      </c>
      <c r="AK44" s="61">
        <f>AJ44</f>
        <v>5</v>
      </c>
    </row>
    <row r="45" spans="1:37">
      <c r="A45" s="1" t="s">
        <v>44</v>
      </c>
      <c r="B45" t="str">
        <f>REPT("●",IFERROR(INDEX($P$42:$P$69,MATCH(tblCharDataDoc[[#This Row],[Field]],$E$42:$E$69,0)),0))&amp;REPT("○",IFERROR(INDEX($V$42:$V$69,MATCH(tblCharDataDoc[[#This Row],[Field]],$E$42:$E$69,0)),0))&amp;IF(IFERROR(INDEX($W$42:$W$69,MATCH(tblCharDataDoc[[#This Row],[Field]],$E$42:$E$69,0)),0)=1,"†","")</f>
        <v>●●●†</v>
      </c>
      <c r="D45" s="18"/>
      <c r="E45" s="15" t="s">
        <v>28</v>
      </c>
      <c r="F45" s="18"/>
      <c r="G45" s="3"/>
      <c r="H45" s="18"/>
      <c r="I45" s="18"/>
      <c r="L45" s="4"/>
      <c r="M45" s="60"/>
      <c r="N45" s="4"/>
      <c r="O45" s="61">
        <f t="shared" si="6"/>
        <v>0</v>
      </c>
      <c r="P45" s="60">
        <f t="shared" si="4"/>
        <v>0</v>
      </c>
      <c r="R45" s="61">
        <v>5</v>
      </c>
      <c r="T45" s="4"/>
      <c r="U45" s="4"/>
      <c r="V45" s="61">
        <f t="shared" si="5"/>
        <v>0</v>
      </c>
      <c r="W45" s="4"/>
      <c r="Y45" s="15">
        <v>2</v>
      </c>
      <c r="Z45" s="61" t="s">
        <v>236</v>
      </c>
      <c r="AA45" s="60" t="str" cm="1">
        <f t="array" ref="AA45">IF(OR(Y45=0,Y45=""),"",IF(VLOOKUP(Z45,$AI$1:$AJ$58,2,FALSE)&gt;=Y45,INDEX(tblDisciplines[Name],MATCH(1,(tblDisciplines[Discipline]=Z45)*(tblDisciplines[Rank]=Y45),0)),""))</f>
        <v/>
      </c>
      <c r="AC45" s="60" t="str">
        <v>Confidant</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Majesty ●● | Confidant</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 (req: Awed)   •  Pool: 9  v Resolve + BP  •  Contested</v>
      </c>
      <c r="AF45" s="20" t="str">
        <f>IF(AC45="","",IFERROR(VLOOKUP(AC45,tblDisciplines[],12,FALSE),VLOOKUP(AC45,tblPacts[],5,FALSE)))</f>
        <v>Impose Charmed Condition.</v>
      </c>
      <c r="AI45" s="15" t="s">
        <v>46</v>
      </c>
      <c r="AJ45" s="61">
        <f t="shared" si="1"/>
        <v>0</v>
      </c>
      <c r="AK45" s="61">
        <f>IF(AJ45=0,IF(COUNTIF($E$42:$E$49,AI45)&gt;0,-3,-1),AJ45)</f>
        <v>-1</v>
      </c>
    </row>
    <row r="46" spans="1:37">
      <c r="A46" s="1" t="s">
        <v>45</v>
      </c>
      <c r="B46" t="str">
        <f>REPT("●",IFERROR(INDEX($P$42:$P$69,MATCH(tblCharDataDoc[[#This Row],[Field]],$E$42:$E$69,0)),0))&amp;REPT("○",IFERROR(INDEX($V$42:$V$69,MATCH(tblCharDataDoc[[#This Row],[Field]],$E$42:$E$69,0)),0))&amp;IF(IFERROR(INDEX($W$42:$W$69,MATCH(tblCharDataDoc[[#This Row],[Field]],$E$42:$E$69,0)),0)=1,"†","")</f>
        <v>●●</v>
      </c>
      <c r="D46" s="18"/>
      <c r="E46" s="15" t="s">
        <v>29</v>
      </c>
      <c r="F46" s="18"/>
      <c r="G46" s="3" t="s">
        <v>827</v>
      </c>
      <c r="H46" s="18"/>
      <c r="I46" s="18"/>
      <c r="L46" s="4">
        <v>3</v>
      </c>
      <c r="M46" s="60"/>
      <c r="N46" s="4"/>
      <c r="O46" s="61">
        <f t="shared" si="6"/>
        <v>0</v>
      </c>
      <c r="P46" s="60">
        <f t="shared" si="4"/>
        <v>3</v>
      </c>
      <c r="R46" s="61">
        <v>5</v>
      </c>
      <c r="T46" s="4">
        <v>1</v>
      </c>
      <c r="U46" s="4"/>
      <c r="V46" s="61">
        <f t="shared" si="5"/>
        <v>0</v>
      </c>
      <c r="W46" s="4">
        <v>1</v>
      </c>
      <c r="Y46" s="15">
        <v>3</v>
      </c>
      <c r="Z46" s="61" t="s">
        <v>236</v>
      </c>
      <c r="AA46" s="60" t="str" cm="1">
        <f t="array" ref="AA46">IF(OR(Y46=0,Y46=""),"",IF(VLOOKUP(Z46,$AI$1:$AJ$58,2,FALSE)&gt;=Y46,INDEX(tblDisciplines[Name],MATCH(1,(tblDisciplines[Discipline]=Z46)*(tblDisciplines[Rank]=Y46),0)),""))</f>
        <v/>
      </c>
      <c r="AC46" s="60" t="str">
        <v>Green Eyes</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Majesty ●●● | Green Eyes</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1 V (req: Charmed / Enthralled)   •  Pool: -  •  Instant  •  Scene</v>
      </c>
      <c r="AF46" s="20" t="str">
        <f>IF(AC46="","",IFERROR(VLOOKUP(AC46,tblDisciplines[],12,FALSE),VLOOKUP(AC46,tblPacts[],5,FALSE)))</f>
        <v>Shift emotions (1 V, any number of Charmed/Enthralled targets); rage/fear causes frenzy with no resist roll (Ride the Wave normal). Requests: 1 V per target, must be spoken and heard.</v>
      </c>
      <c r="AI46" s="15" t="s">
        <v>354</v>
      </c>
      <c r="AJ46" s="61">
        <f t="shared" ca="1" si="1"/>
        <v>9</v>
      </c>
      <c r="AK46" s="61">
        <f ca="1">AJ46</f>
        <v>9</v>
      </c>
    </row>
    <row r="47" spans="1:37">
      <c r="A47" s="1" t="s">
        <v>46</v>
      </c>
      <c r="B47" t="str">
        <f>REPT("●",IFERROR(INDEX($P$42:$P$69,MATCH(tblCharDataDoc[[#This Row],[Field]],$E$42:$E$69,0)),0))&amp;REPT("○",IFERROR(INDEX($V$42:$V$69,MATCH(tblCharDataDoc[[#This Row],[Field]],$E$42:$E$69,0)),0))&amp;IF(IFERROR(INDEX($W$42:$W$69,MATCH(tblCharDataDoc[[#This Row],[Field]],$E$42:$E$69,0)),0)=1,"†","")</f>
        <v/>
      </c>
      <c r="D47" s="18"/>
      <c r="E47" s="15" t="s">
        <v>30</v>
      </c>
      <c r="F47" s="18"/>
      <c r="G47" s="3"/>
      <c r="H47" s="18"/>
      <c r="I47" s="18"/>
      <c r="L47" s="4"/>
      <c r="M47" s="60"/>
      <c r="N47" s="4"/>
      <c r="O47" s="61">
        <f t="shared" si="6"/>
        <v>0</v>
      </c>
      <c r="P47" s="60">
        <f t="shared" si="4"/>
        <v>0</v>
      </c>
      <c r="R47" s="61">
        <v>5</v>
      </c>
      <c r="T47" s="4"/>
      <c r="U47" s="4"/>
      <c r="V47" s="61">
        <f t="shared" si="5"/>
        <v>0</v>
      </c>
      <c r="W47" s="4"/>
      <c r="Y47" s="15">
        <v>4</v>
      </c>
      <c r="Z47" s="61" t="s">
        <v>236</v>
      </c>
      <c r="AA47" s="60" t="str" cm="1">
        <f t="array" ref="AA47">IF(OR(Y47=0,Y47=""),"",IF(VLOOKUP(Z47,$AI$1:$AJ$58,2,FALSE)&gt;=Y47,INDEX(tblDisciplines[Name],MATCH(1,(tblDisciplines[Discipline]=Z47)*(tblDisciplines[Rank]=Y47),0)),""))</f>
        <v/>
      </c>
      <c r="AC47" s="60" t="str">
        <v>Unmarked Grave</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Protean ● | Unmarked Grave</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Cost: Varies  •  Pool: -  •  Instant  •  Indefinite</v>
      </c>
      <c r="AF47" s="20" t="str">
        <f>IF(AC47="","",IFERROR(VLOOKUP(AC47,tblDisciplines[],12,FALSE),VLOOKUP(AC47,tblPacts[],5,FALSE)))</f>
        <v>Merge with soil.</v>
      </c>
      <c r="AI47" s="15" t="s">
        <v>21</v>
      </c>
      <c r="AJ47" s="61">
        <f t="shared" si="1"/>
        <v>2</v>
      </c>
      <c r="AK47" s="61">
        <f>AJ47+IFERROR(INDEX($V$26:$V$38,MATCH(AI47,$E$26:$E$38,0)),0)</f>
        <v>3</v>
      </c>
    </row>
    <row r="48" spans="1:37">
      <c r="A48" s="1" t="s">
        <v>47</v>
      </c>
      <c r="B48" t="str">
        <f>REPT("●",IFERROR(INDEX($P$42:$P$69,MATCH(tblCharDataDoc[[#This Row],[Field]],$E$42:$E$69,0)),0))&amp;REPT("○",IFERROR(INDEX($V$42:$V$69,MATCH(tblCharDataDoc[[#This Row],[Field]],$E$42:$E$69,0)),0))&amp;IF(IFERROR(INDEX($W$42:$W$69,MATCH(tblCharDataDoc[[#This Row],[Field]],$E$42:$E$69,0)),0)=1,"†","")</f>
        <v>●</v>
      </c>
      <c r="D48" s="18"/>
      <c r="E48" s="15" t="s">
        <v>31</v>
      </c>
      <c r="F48" s="18"/>
      <c r="G48" s="3" t="s">
        <v>607</v>
      </c>
      <c r="H48" s="18"/>
      <c r="I48" s="18"/>
      <c r="L48" s="4">
        <v>3</v>
      </c>
      <c r="M48" s="60"/>
      <c r="N48" s="4"/>
      <c r="O48" s="61">
        <f t="shared" si="6"/>
        <v>0</v>
      </c>
      <c r="P48" s="60">
        <f t="shared" si="4"/>
        <v>3</v>
      </c>
      <c r="R48" s="61">
        <v>5</v>
      </c>
      <c r="T48" s="4">
        <v>1</v>
      </c>
      <c r="U48" s="4"/>
      <c r="V48" s="61">
        <f t="shared" si="5"/>
        <v>0</v>
      </c>
      <c r="W48" s="4"/>
      <c r="Y48" s="15">
        <v>5</v>
      </c>
      <c r="Z48" s="61" t="s">
        <v>236</v>
      </c>
      <c r="AA48" s="60" t="str" cm="1">
        <f t="array" ref="AA48">IF(OR(Y48=0,Y48=""),"",IF(VLOOKUP(Z48,$AI$1:$AJ$58,2,FALSE)&gt;=Y48,INDEX(tblDisciplines[Name],MATCH(1,(tblDisciplines[Discipline]=Z48)*(tblDisciplines[Rank]=Y48),0)),""))</f>
        <v/>
      </c>
      <c r="AC48" s="60" t="str">
        <v>Resilience 1</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Resilience ●</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Cost: 1 V per effect  •  Pool: -  •  Reflexive  •  1 turn</v>
      </c>
      <c r="AF48" s="20" t="str">
        <f>IF(AC48="","",IFERROR(VLOOKUP(AC48,tblDisciplines[],12,FALSE),VLOOKUP(AC48,tblPacts[],5,FALSE)))</f>
        <v>Downgrade damage and increase Stamina. Improve Armour and Defences. Unnatural Fortitude: add Resilience dots as bonus dice to non-combat Stamina pools.</v>
      </c>
      <c r="AI48" s="15" t="s">
        <v>38</v>
      </c>
      <c r="AJ48" s="61">
        <f t="shared" si="1"/>
        <v>0</v>
      </c>
      <c r="AK48" s="61">
        <f>IF(AJ48=0,IF(COUNTIF($E$42:$E$49,AI48)&gt;0,-3,-1),AJ48)</f>
        <v>-1</v>
      </c>
    </row>
    <row r="49" spans="1:37">
      <c r="A49" s="1" t="s">
        <v>48</v>
      </c>
      <c r="B49" t="str">
        <f>REPT("●",IFERROR(INDEX($P$42:$P$69,MATCH(tblCharDataDoc[[#This Row],[Field]],$E$42:$E$69,0)),0))&amp;REPT("○",IFERROR(INDEX($V$42:$V$69,MATCH(tblCharDataDoc[[#This Row],[Field]],$E$42:$E$69,0)),0))&amp;IF(IFERROR(INDEX($W$42:$W$69,MATCH(tblCharDataDoc[[#This Row],[Field]],$E$42:$E$69,0)),0)=1,"†","")</f>
        <v>●●</v>
      </c>
      <c r="D49" s="18"/>
      <c r="E49" s="15" t="s">
        <v>32</v>
      </c>
      <c r="F49" s="18"/>
      <c r="G49" s="3"/>
      <c r="H49" s="18"/>
      <c r="I49" s="18"/>
      <c r="L49" s="4">
        <v>1</v>
      </c>
      <c r="M49" s="60"/>
      <c r="N49" s="4"/>
      <c r="O49" s="61">
        <f t="shared" si="6"/>
        <v>0</v>
      </c>
      <c r="P49" s="60">
        <f t="shared" si="4"/>
        <v>1</v>
      </c>
      <c r="R49" s="61">
        <v>5</v>
      </c>
      <c r="T49" s="4"/>
      <c r="U49" s="4"/>
      <c r="V49" s="61">
        <f t="shared" si="5"/>
        <v>0</v>
      </c>
      <c r="W49" s="4"/>
      <c r="Y49" s="15">
        <v>1</v>
      </c>
      <c r="Z49" s="61" t="s">
        <v>237</v>
      </c>
      <c r="AA49" s="60" t="str" cm="1">
        <f t="array" ref="AA49">IF(OR(Y49=0,Y49=""),"",IF(VLOOKUP(Z49,$AI$1:$AJ$58,2,FALSE)&gt;=Y49,INDEX(tblDisciplines[Name],MATCH(1,(tblDisciplines[Discipline]=Z49)*(tblDisciplines[Rank]=Y49),0)),""))</f>
        <v/>
      </c>
      <c r="AC49" s="60" t="str">
        <v>Enfeebling Aura</v>
      </c>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Devotion  | Enfeebling Aura</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Cost: 1 V  •  Pool: 9  v Composure + BP  •  Contested  •  Scene</v>
      </c>
      <c r="AF49" s="20" t="str">
        <f>IF(AC49="","",IFERROR(VLOOKUP(AC49,tblDisciplines[],12,FALSE),VLOOKUP(AC49,tblPacts[],5,FALSE)))</f>
        <v>Sacrifice Majesty dots for the scene to remove equal dots of victim's Celerity, Resilience, or Vigour (any combination), up to successes.</v>
      </c>
      <c r="AI49" s="15" t="s">
        <v>47</v>
      </c>
      <c r="AJ49" s="61">
        <f t="shared" si="1"/>
        <v>1</v>
      </c>
      <c r="AK49" s="61">
        <f>IF(AJ49=0,IF(COUNTIF($E$42:$E$49,AI49)&gt;0,-3,-1),AJ49)</f>
        <v>1</v>
      </c>
    </row>
    <row r="50" spans="1:37">
      <c r="A50" s="1" t="s">
        <v>49</v>
      </c>
      <c r="B50" t="str">
        <f ca="1">REPT("●",VLOOKUP(tblCharDataDoc[[#This Row],[Field]],INDIRECT($AH$1),2,FALSE)) &amp; REPT("○",10-VLOOKUP(tblCharDataDoc[[#This Row],[Field]],INDIRECT($AH$1),2,FALSE))</f>
        <v>●●○○○○○○○○</v>
      </c>
      <c r="Y50" s="15">
        <v>2</v>
      </c>
      <c r="Z50" s="61" t="s">
        <v>237</v>
      </c>
      <c r="AA50" s="60" t="str" cm="1">
        <f t="array" ref="AA50">IF(OR(Y50=0,Y50=""),"",IF(VLOOKUP(Z50,$AI$1:$AJ$58,2,FALSE)&gt;=Y50,INDEX(tblDisciplines[Name],MATCH(1,(tblDisciplines[Discipline]=Z50)*(tblDisciplines[Rank]=Y50),0)),""))</f>
        <v/>
      </c>
      <c r="AC50" s="60" t="str">
        <v/>
      </c>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
      </c>
      <c r="AF50" s="20" t="str">
        <f>IF(AC50="","",IFERROR(VLOOKUP(AC50,tblDisciplines[],12,FALSE),VLOOKUP(AC50,tblPacts[],5,FALSE)))</f>
        <v/>
      </c>
      <c r="AI50" s="15" t="s">
        <v>19</v>
      </c>
      <c r="AJ50" s="61">
        <f t="shared" si="1"/>
        <v>2</v>
      </c>
      <c r="AK50" s="61">
        <f>AJ50+IFERROR(INDEX($V$26:$V$38,MATCH(AI50,$E$26:$E$38,0)),0)</f>
        <v>2</v>
      </c>
    </row>
    <row r="51" spans="1:37">
      <c r="A51" s="1" t="s">
        <v>50</v>
      </c>
      <c r="B51">
        <f>P72</f>
        <v>2</v>
      </c>
      <c r="D51" s="16" t="s">
        <v>1453</v>
      </c>
      <c r="E51" s="17"/>
      <c r="F51" s="17"/>
      <c r="G51" s="17" t="s">
        <v>1467</v>
      </c>
      <c r="H51" s="16" t="s">
        <v>1446</v>
      </c>
      <c r="I51" s="3" t="s">
        <v>1566</v>
      </c>
      <c r="L51" s="60">
        <f>IF(I51="",0,VLOOKUP(I51,tblPriority[#Data],3,FALSE))-SUM(L52:L59)</f>
        <v>0</v>
      </c>
      <c r="Y51" s="15">
        <v>3</v>
      </c>
      <c r="Z51" s="61" t="s">
        <v>237</v>
      </c>
      <c r="AA51" s="60" t="str" cm="1">
        <f t="array" ref="AA51">IF(OR(Y51=0,Y51=""),"",IF(VLOOKUP(Z51,$AI$1:$AJ$58,2,FALSE)&gt;=Y51,INDEX(tblDisciplines[Name],MATCH(1,(tblDisciplines[Discipline]=Z51)*(tblDisciplines[Rank]=Y51),0)),""))</f>
        <v/>
      </c>
      <c r="AC51" s="60"/>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
      </c>
      <c r="AF51" s="20" t="str">
        <f>IF(AC51="","",IFERROR(VLOOKUP(AC51,tblDisciplines[],12,FALSE),VLOOKUP(AC51,tblPacts[],5,FALSE)))</f>
        <v/>
      </c>
      <c r="AI51" s="15" t="s">
        <v>48</v>
      </c>
      <c r="AJ51" s="61">
        <f t="shared" si="1"/>
        <v>2</v>
      </c>
      <c r="AK51" s="61">
        <f>IF(AJ51=0,IF(COUNTIF($E$42:$E$49,AI51)&gt;0,-3,-1),AJ51)</f>
        <v>2</v>
      </c>
    </row>
    <row r="52" spans="1:37">
      <c r="A52" s="1" t="s">
        <v>51</v>
      </c>
      <c r="B52" t="str">
        <f>_xlfn.IFNA(VLOOKUP(P72,tblBloodPotency[#Data],5,FALSE),"")</f>
        <v>†</v>
      </c>
      <c r="D52" s="18"/>
      <c r="E52" s="15" t="s">
        <v>33</v>
      </c>
      <c r="F52" s="18"/>
      <c r="G52" s="3"/>
      <c r="H52" s="18"/>
      <c r="I52" s="18"/>
      <c r="L52" s="4">
        <v>2</v>
      </c>
      <c r="M52" s="60"/>
      <c r="N52" s="4"/>
      <c r="O52" s="61">
        <f>ROUNDDOWN(N52/2,0)</f>
        <v>0</v>
      </c>
      <c r="P52" s="60">
        <f t="shared" ref="P52:P59" si="7">MIN(SUM(L52,M52,O52),R52)</f>
        <v>2</v>
      </c>
      <c r="R52" s="61">
        <v>5</v>
      </c>
      <c r="T52" s="4"/>
      <c r="U52" s="4"/>
      <c r="V52" s="61">
        <f t="shared" ref="V52:V59" si="8">U52</f>
        <v>0</v>
      </c>
      <c r="W52" s="4"/>
      <c r="Y52" s="15">
        <v>4</v>
      </c>
      <c r="Z52" s="61" t="s">
        <v>237</v>
      </c>
      <c r="AA52" s="60" t="str" cm="1">
        <f t="array" ref="AA52">IF(OR(Y52=0,Y52=""),"",IF(VLOOKUP(Z52,$AI$1:$AJ$58,2,FALSE)&gt;=Y52,INDEX(tblDisciplines[Name],MATCH(1,(tblDisciplines[Discipline]=Z52)*(tblDisciplines[Rank]=Y52),0)),""))</f>
        <v/>
      </c>
      <c r="AC52" s="60"/>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
      </c>
      <c r="AF52" s="20" t="str">
        <f>IF(AC52="","",IFERROR(VLOOKUP(AC52,tblDisciplines[],12,FALSE),VLOOKUP(AC52,tblPacts[],5,FALSE)))</f>
        <v/>
      </c>
      <c r="AI52" s="15" t="s">
        <v>39</v>
      </c>
      <c r="AJ52" s="61">
        <f t="shared" si="1"/>
        <v>0</v>
      </c>
      <c r="AK52" s="61">
        <f>IF(AJ52=0,IF(COUNTIF($E$42:$E$49,AI52)&gt;0,-3,-1),AJ52)</f>
        <v>-1</v>
      </c>
    </row>
    <row r="53" spans="1:37">
      <c r="A53" s="1" t="s">
        <v>52</v>
      </c>
      <c r="B53" t="str">
        <f ca="1">REPT("□",P221) &amp; REPT("■",15-P221)</f>
        <v>□□□□□□□□■■■■■■■</v>
      </c>
      <c r="D53" s="18"/>
      <c r="E53" s="15" t="s">
        <v>34</v>
      </c>
      <c r="F53" s="18"/>
      <c r="G53" s="3"/>
      <c r="H53" s="18"/>
      <c r="I53" s="18"/>
      <c r="L53" s="4">
        <v>2</v>
      </c>
      <c r="M53" s="60"/>
      <c r="N53" s="4"/>
      <c r="O53" s="61">
        <f t="shared" ref="O53:O59" si="9">ROUNDDOWN(N53/2,0)</f>
        <v>0</v>
      </c>
      <c r="P53" s="60">
        <f t="shared" si="7"/>
        <v>2</v>
      </c>
      <c r="R53" s="61">
        <v>5</v>
      </c>
      <c r="T53" s="4"/>
      <c r="U53" s="4"/>
      <c r="V53" s="61">
        <f t="shared" si="8"/>
        <v>0</v>
      </c>
      <c r="W53" s="4"/>
      <c r="Y53" s="15">
        <v>5</v>
      </c>
      <c r="Z53" s="61" t="s">
        <v>237</v>
      </c>
      <c r="AA53" s="60" t="str" cm="1">
        <f t="array" ref="AA53">IF(OR(Y53=0,Y53=""),"",IF(VLOOKUP(Z53,$AI$1:$AJ$58,2,FALSE)&gt;=Y53,INDEX(tblDisciplines[Name],MATCH(1,(tblDisciplines[Discipline]=Z53)*(tblDisciplines[Rank]=Y53),0)),""))</f>
        <v/>
      </c>
      <c r="AC53" s="60"/>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
      </c>
      <c r="AF53" s="20" t="str">
        <f>IF(AC53="","",IFERROR(VLOOKUP(AC53,tblDisciplines[],12,FALSE),VLOOKUP(AC53,tblPacts[],5,FALSE)))</f>
        <v/>
      </c>
      <c r="AI53" s="15" t="s">
        <v>247</v>
      </c>
      <c r="AJ53" s="61">
        <f t="shared" si="1"/>
        <v>0</v>
      </c>
      <c r="AK53" s="61">
        <f>AJ53</f>
        <v>0</v>
      </c>
    </row>
    <row r="54" spans="1:37">
      <c r="A54" s="1" t="s">
        <v>53</v>
      </c>
      <c r="B54" t="str">
        <f>_xlfn.CONCAT(P74-L224," / ",P74)</f>
        <v>5 / 5</v>
      </c>
      <c r="D54" s="18"/>
      <c r="E54" s="15" t="s">
        <v>35</v>
      </c>
      <c r="F54" s="18"/>
      <c r="G54" s="3"/>
      <c r="H54" s="18"/>
      <c r="I54" s="18"/>
      <c r="L54" s="4"/>
      <c r="M54" s="60"/>
      <c r="N54" s="4"/>
      <c r="O54" s="61">
        <f t="shared" si="9"/>
        <v>0</v>
      </c>
      <c r="P54" s="60">
        <f t="shared" si="7"/>
        <v>0</v>
      </c>
      <c r="R54" s="61">
        <v>5</v>
      </c>
      <c r="T54" s="4"/>
      <c r="U54" s="4"/>
      <c r="V54" s="61">
        <f t="shared" si="8"/>
        <v>0</v>
      </c>
      <c r="W54" s="4"/>
      <c r="Y54" s="15">
        <f>P167</f>
        <v>0</v>
      </c>
      <c r="Z54" s="61" t="s">
        <v>238</v>
      </c>
      <c r="AA54" s="60" t="str" cm="1">
        <f t="array" ref="AA54">IF(OR(Y54=0,Y54=""),"",IF(VLOOKUP(Z54,$AI$1:$AJ$58,2,FALSE)&gt;=Y54,INDEX(tblDisciplines[Name],MATCH(1,(tblDisciplines[Discipline]=Z54)*(tblDisciplines[Rank]=Y54),0)),""))</f>
        <v/>
      </c>
      <c r="AC54" s="60"/>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
      </c>
      <c r="AF54" s="20" t="str">
        <f>IF(AC54="","",IFERROR(VLOOKUP(AC54,tblDisciplines[],12,FALSE),VLOOKUP(AC54,tblPacts[],5,FALSE)))</f>
        <v/>
      </c>
      <c r="AI54" s="15" t="s">
        <v>252</v>
      </c>
      <c r="AJ54" s="61">
        <f t="shared" si="1"/>
        <v>0</v>
      </c>
      <c r="AK54" s="61">
        <f>AJ54</f>
        <v>0</v>
      </c>
    </row>
    <row r="55" spans="1:37">
      <c r="A55" s="1" t="s">
        <v>54</v>
      </c>
      <c r="B55" t="str">
        <f>REPT("□",P74) &amp; REPT("■",10-P74)</f>
        <v>□□□□□■■■■■</v>
      </c>
      <c r="D55" s="18"/>
      <c r="E55" s="15" t="s">
        <v>36</v>
      </c>
      <c r="F55" s="18"/>
      <c r="G55" s="3"/>
      <c r="H55" s="18"/>
      <c r="I55" s="18"/>
      <c r="L55" s="4"/>
      <c r="M55" s="60"/>
      <c r="N55" s="4"/>
      <c r="O55" s="61">
        <f t="shared" si="9"/>
        <v>0</v>
      </c>
      <c r="P55" s="60">
        <f t="shared" si="7"/>
        <v>0</v>
      </c>
      <c r="R55" s="61">
        <v>5</v>
      </c>
      <c r="T55" s="4"/>
      <c r="U55" s="4"/>
      <c r="V55" s="61">
        <f t="shared" si="8"/>
        <v>0</v>
      </c>
      <c r="W55" s="4"/>
      <c r="Y55" s="15">
        <v>1</v>
      </c>
      <c r="Z55" s="61" t="s">
        <v>239</v>
      </c>
      <c r="AA55" s="60" t="str" cm="1">
        <f t="array" ref="AA55">IF(OR(Y55=0,Y55=""),"",IF(VLOOKUP(Z55,$AI$1:$AJ$58,2,FALSE)&gt;=Y55,INDEX(tblDisciplines[Name],MATCH(1,(tblDisciplines[Discipline]=Z55)*(tblDisciplines[Rank]=Y55),0)),""))</f>
        <v/>
      </c>
      <c r="AC55" s="60"/>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
      </c>
      <c r="AF55" s="20" t="str">
        <f>IF(AC55="","",IFERROR(VLOOKUP(AC55,tblDisciplines[],12,FALSE),VLOOKUP(AC55,tblPacts[],5,FALSE)))</f>
        <v/>
      </c>
      <c r="AI55" s="15" t="s">
        <v>245</v>
      </c>
      <c r="AJ55" s="61">
        <f t="shared" si="1"/>
        <v>0</v>
      </c>
      <c r="AK55" s="61">
        <f>AJ55+IFERROR(INDEX($V$26:$V$38,MATCH(AI55,$E$26:$E$38,0)),0)</f>
        <v>0</v>
      </c>
    </row>
    <row r="56" spans="1:37">
      <c r="A56" s="1" t="s">
        <v>55</v>
      </c>
      <c r="B56" t="str">
        <f ca="1">_xlfn.CONCAT(P75-L223," / ",P75)</f>
        <v>11 / 11</v>
      </c>
      <c r="D56" s="19"/>
      <c r="E56" s="15" t="s">
        <v>37</v>
      </c>
      <c r="F56" s="18"/>
      <c r="G56" s="3"/>
      <c r="H56" s="18"/>
      <c r="I56" s="18"/>
      <c r="L56" s="4"/>
      <c r="M56" s="60"/>
      <c r="N56" s="4"/>
      <c r="O56" s="61">
        <f t="shared" si="9"/>
        <v>0</v>
      </c>
      <c r="P56" s="60">
        <f t="shared" si="7"/>
        <v>0</v>
      </c>
      <c r="R56" s="61">
        <v>5</v>
      </c>
      <c r="T56" s="4"/>
      <c r="U56" s="4"/>
      <c r="V56" s="61">
        <f t="shared" si="8"/>
        <v>0</v>
      </c>
      <c r="W56" s="4"/>
      <c r="Y56" s="15">
        <v>2</v>
      </c>
      <c r="Z56" s="61" t="s">
        <v>239</v>
      </c>
      <c r="AA56" s="60" t="str" cm="1">
        <f t="array" ref="AA56">IF(OR(Y56=0,Y56=""),"",IF(VLOOKUP(Z56,$AI$1:$AJ$58,2,FALSE)&gt;=Y56,INDEX(tblDisciplines[Name],MATCH(1,(tblDisciplines[Discipline]=Z56)*(tblDisciplines[Rank]=Y56),0)),""))</f>
        <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1"/>
        <v>0</v>
      </c>
      <c r="AK56" s="61">
        <f>IF(AJ56=0,IF(COUNTIF($E$42:$E$49,AI56)&gt;0,-3,-1),AJ56)</f>
        <v>-1</v>
      </c>
    </row>
    <row r="57" spans="1:37">
      <c r="A57" s="1" t="s">
        <v>56</v>
      </c>
      <c r="B57" t="str">
        <f ca="1">REPT("□",P75-L223) &amp; REPT("■",20-P75+L223)</f>
        <v>□□□□□□□□□□□■■■■■■■■■</v>
      </c>
      <c r="D57" s="19"/>
      <c r="E57" s="15" t="s">
        <v>38</v>
      </c>
      <c r="F57" s="18"/>
      <c r="G57" s="3"/>
      <c r="H57" s="18"/>
      <c r="I57" s="18"/>
      <c r="L57" s="4"/>
      <c r="M57" s="60"/>
      <c r="N57" s="4"/>
      <c r="O57" s="61">
        <f t="shared" si="9"/>
        <v>0</v>
      </c>
      <c r="P57" s="60">
        <f t="shared" si="7"/>
        <v>0</v>
      </c>
      <c r="R57" s="61">
        <v>5</v>
      </c>
      <c r="T57" s="4"/>
      <c r="U57" s="4"/>
      <c r="V57" s="61">
        <f t="shared" si="8"/>
        <v>0</v>
      </c>
      <c r="W57" s="4"/>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1"/>
        <v>5</v>
      </c>
      <c r="AK57" s="61">
        <f>AJ57</f>
        <v>5</v>
      </c>
    </row>
    <row r="58" spans="1:37">
      <c r="A58" s="1" t="s">
        <v>57</v>
      </c>
      <c r="B58">
        <f ca="1">VLOOKUP(VLOOKUP("Blood Potency", INDIRECT($AH$1),2,FALSE),tblBloodPotency[#Data],3,FALSE)</f>
        <v>2</v>
      </c>
      <c r="D58" s="19"/>
      <c r="E58" s="15" t="s">
        <v>39</v>
      </c>
      <c r="F58" s="18"/>
      <c r="G58" s="3"/>
      <c r="H58" s="18"/>
      <c r="I58" s="18"/>
      <c r="L58" s="4"/>
      <c r="M58" s="60"/>
      <c r="N58" s="4"/>
      <c r="O58" s="61">
        <f t="shared" si="9"/>
        <v>0</v>
      </c>
      <c r="P58" s="60">
        <f t="shared" si="7"/>
        <v>0</v>
      </c>
      <c r="R58" s="61">
        <v>5</v>
      </c>
      <c r="T58" s="4"/>
      <c r="U58" s="4"/>
      <c r="V58" s="61">
        <f t="shared" si="8"/>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1"/>
        <v>2</v>
      </c>
      <c r="AK58" s="61">
        <f>AJ58+IFERROR(INDEX($V$26:$V$38,MATCH(AI58,$E$26:$E$38,0)),0)</f>
        <v>2</v>
      </c>
    </row>
    <row r="59" spans="1:37">
      <c r="A59" s="1" t="s">
        <v>58</v>
      </c>
      <c r="B59" t="str">
        <f ca="1">VLOOKUP(VLOOKUP("Blood Potency", INDIRECT($AH$1),2,FALSE),tblBloodPotency[#Data],4,FALSE)</f>
        <v>Animals</v>
      </c>
      <c r="D59" s="19"/>
      <c r="E59" s="15" t="s">
        <v>40</v>
      </c>
      <c r="F59" s="18"/>
      <c r="G59" s="3"/>
      <c r="H59" s="18"/>
      <c r="I59" s="18"/>
      <c r="L59" s="4"/>
      <c r="M59" s="60"/>
      <c r="N59" s="4"/>
      <c r="O59" s="61">
        <f t="shared" si="9"/>
        <v>0</v>
      </c>
      <c r="P59" s="60">
        <f t="shared" si="7"/>
        <v>0</v>
      </c>
      <c r="R59" s="61">
        <v>5</v>
      </c>
      <c r="T59" s="4"/>
      <c r="U59" s="4"/>
      <c r="V59" s="61">
        <f t="shared" si="8"/>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0">IFERROR(IF(VLOOKUP(SUBSTITUTE(A60," Spec",""),$E$42:$G$69,3,FALSE)=0,"",VLOOKUP(SUBSTITUTE(A60," Spec",""),$E$42:$G$69,3,FALSE)),"")</f>
        <v/>
      </c>
      <c r="Y60" s="15">
        <v>1</v>
      </c>
      <c r="Z60" s="61" t="s">
        <v>240</v>
      </c>
      <c r="AA60" s="60" t="str" cm="1">
        <f t="array" ref="AA60">IF(OR(Y60=0,Y60=""),"",IF(VLOOKUP(Z60,$AI$1:$AJ$58,2,FALSE)&gt;=Y60,INDEX(tblDisciplines[Name],MATCH(1,(tblDisciplines[Discipline]=Z60)*(tblDisciplines[Rank]=Y60),0)),""))</f>
        <v>Awe</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0"/>
        <v/>
      </c>
      <c r="D61" s="16" t="s">
        <v>1459</v>
      </c>
      <c r="E61" s="17"/>
      <c r="F61" s="17"/>
      <c r="G61" s="17" t="s">
        <v>1467</v>
      </c>
      <c r="H61" s="16" t="s">
        <v>1446</v>
      </c>
      <c r="I61" s="3" t="s">
        <v>1565</v>
      </c>
      <c r="L61" s="60">
        <f>IF(I61="",0,VLOOKUP(I61,tblPriority[#Data],3,FALSE))-SUM(L62:L69)</f>
        <v>0</v>
      </c>
      <c r="Y61" s="15">
        <v>2</v>
      </c>
      <c r="Z61" s="61" t="s">
        <v>240</v>
      </c>
      <c r="AA61" s="60" t="str" cm="1">
        <f t="array" ref="AA61">IF(OR(Y61=0,Y61=""),"",IF(VLOOKUP(Z61,$AI$1:$AJ$58,2,FALSE)&gt;=Y61,INDEX(tblDisciplines[Name],MATCH(1,(tblDisciplines[Discipline]=Z61)*(tblDisciplines[Rank]=Y61),0)),""))</f>
        <v>Confidant</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0"/>
        <v/>
      </c>
      <c r="D62" s="18"/>
      <c r="E62" s="15" t="s">
        <v>41</v>
      </c>
      <c r="F62" s="18"/>
      <c r="G62" s="3"/>
      <c r="H62" s="18"/>
      <c r="I62" s="18"/>
      <c r="L62" s="4"/>
      <c r="M62" s="60"/>
      <c r="N62" s="4"/>
      <c r="O62" s="61">
        <f>ROUNDDOWN(N62/2,0)</f>
        <v>0</v>
      </c>
      <c r="P62" s="60">
        <f t="shared" ref="P62:P69" si="11">MIN(SUM(L62,M62,O62),R62)</f>
        <v>0</v>
      </c>
      <c r="R62" s="61">
        <v>5</v>
      </c>
      <c r="T62" s="4"/>
      <c r="U62" s="4"/>
      <c r="V62" s="61">
        <f t="shared" ref="V62:V69" si="12">U62</f>
        <v>0</v>
      </c>
      <c r="W62" s="4"/>
      <c r="Y62" s="15">
        <v>3</v>
      </c>
      <c r="Z62" s="61" t="s">
        <v>240</v>
      </c>
      <c r="AA62" s="60" t="str" cm="1">
        <f t="array" ref="AA62">IF(OR(Y62=0,Y62=""),"",IF(VLOOKUP(Z62,$AI$1:$AJ$58,2,FALSE)&gt;=Y62,INDEX(tblDisciplines[Name],MATCH(1,(tblDisciplines[Discipline]=Z62)*(tblDisciplines[Rank]=Y62),0)),""))</f>
        <v>Green Eyes</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0"/>
        <v/>
      </c>
      <c r="D63" s="58" t="s">
        <v>1673</v>
      </c>
      <c r="E63" s="15" t="s">
        <v>42</v>
      </c>
      <c r="F63" s="18"/>
      <c r="G63" s="3" t="s">
        <v>828</v>
      </c>
      <c r="H63" s="18"/>
      <c r="I63" s="18"/>
      <c r="L63" s="4">
        <v>3</v>
      </c>
      <c r="M63" s="60"/>
      <c r="N63" s="4"/>
      <c r="O63" s="61">
        <f t="shared" ref="O63:O69" si="13">ROUNDDOWN(N63/2,0)</f>
        <v>0</v>
      </c>
      <c r="P63" s="60">
        <f t="shared" si="11"/>
        <v>3</v>
      </c>
      <c r="R63" s="61">
        <v>5</v>
      </c>
      <c r="T63" s="4">
        <v>2</v>
      </c>
      <c r="U63" s="4"/>
      <c r="V63" s="61">
        <f t="shared" si="12"/>
        <v>0</v>
      </c>
      <c r="W63" s="4">
        <v>1</v>
      </c>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0"/>
        <v>Surgery</v>
      </c>
      <c r="D64" s="19"/>
      <c r="E64" s="15" t="s">
        <v>43</v>
      </c>
      <c r="F64" s="18"/>
      <c r="G64" s="3"/>
      <c r="H64" s="18"/>
      <c r="I64" s="18"/>
      <c r="L64" s="4"/>
      <c r="M64" s="60"/>
      <c r="N64" s="4"/>
      <c r="O64" s="61">
        <f t="shared" si="13"/>
        <v>0</v>
      </c>
      <c r="P64" s="60">
        <f t="shared" si="11"/>
        <v>0</v>
      </c>
      <c r="R64" s="61">
        <v>5</v>
      </c>
      <c r="T64" s="4"/>
      <c r="U64" s="4"/>
      <c r="V64" s="61">
        <f t="shared" si="12"/>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0"/>
        <v/>
      </c>
      <c r="D65" s="58" t="s">
        <v>1673</v>
      </c>
      <c r="E65" s="15" t="s">
        <v>44</v>
      </c>
      <c r="F65" s="18"/>
      <c r="G65" s="3" t="s">
        <v>829</v>
      </c>
      <c r="H65" s="18"/>
      <c r="I65" s="18"/>
      <c r="L65" s="4">
        <v>3</v>
      </c>
      <c r="M65" s="60"/>
      <c r="N65" s="4"/>
      <c r="O65" s="61">
        <f t="shared" si="13"/>
        <v>0</v>
      </c>
      <c r="P65" s="60">
        <f t="shared" si="11"/>
        <v>3</v>
      </c>
      <c r="R65" s="61">
        <v>5</v>
      </c>
      <c r="T65" s="4">
        <v>1</v>
      </c>
      <c r="U65" s="4"/>
      <c r="V65" s="61">
        <f t="shared" si="12"/>
        <v>0</v>
      </c>
      <c r="W65" s="4">
        <v>1</v>
      </c>
      <c r="Y65" s="15">
        <v>1</v>
      </c>
      <c r="Z65" s="61" t="s">
        <v>241</v>
      </c>
      <c r="AA65" s="60" t="str" cm="1">
        <f t="array" ref="AA65">IF(OR(Y65=0,Y65=""),"",IF(VLOOKUP(Z65,$AI$1:$AJ$58,2,FALSE)&gt;=Y65,INDEX(tblDisciplines[Name],MATCH(1,(tblDisciplines[Discipline]=Z65)*(tblDisciplines[Rank]=Y65),0)),""))</f>
        <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0"/>
        <v>Carthian Movement</v>
      </c>
      <c r="D66" s="19"/>
      <c r="E66" s="15" t="s">
        <v>45</v>
      </c>
      <c r="F66" s="18"/>
      <c r="G66" s="3"/>
      <c r="H66" s="18"/>
      <c r="I66" s="18"/>
      <c r="L66" s="4">
        <v>2</v>
      </c>
      <c r="M66" s="60"/>
      <c r="N66" s="4"/>
      <c r="O66" s="61">
        <f t="shared" si="13"/>
        <v>0</v>
      </c>
      <c r="P66" s="60">
        <f t="shared" si="11"/>
        <v>2</v>
      </c>
      <c r="R66" s="61">
        <v>5</v>
      </c>
      <c r="T66" s="4"/>
      <c r="U66" s="4"/>
      <c r="V66" s="61">
        <f t="shared" si="12"/>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0"/>
        <v/>
      </c>
      <c r="D67" s="19"/>
      <c r="E67" s="15" t="s">
        <v>46</v>
      </c>
      <c r="F67" s="18"/>
      <c r="G67" s="3"/>
      <c r="H67" s="18"/>
      <c r="I67" s="18"/>
      <c r="L67" s="4"/>
      <c r="M67" s="60"/>
      <c r="N67" s="4"/>
      <c r="O67" s="61">
        <f t="shared" si="13"/>
        <v>0</v>
      </c>
      <c r="P67" s="60">
        <f t="shared" si="11"/>
        <v>0</v>
      </c>
      <c r="R67" s="61">
        <v>5</v>
      </c>
      <c r="T67" s="4"/>
      <c r="U67" s="4"/>
      <c r="V67" s="61">
        <f t="shared" si="12"/>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0"/>
        <v/>
      </c>
      <c r="D68" s="18"/>
      <c r="E68" s="15" t="s">
        <v>47</v>
      </c>
      <c r="F68" s="18"/>
      <c r="G68" s="3"/>
      <c r="H68" s="18"/>
      <c r="I68" s="18"/>
      <c r="L68" s="4">
        <v>1</v>
      </c>
      <c r="M68" s="60"/>
      <c r="N68" s="4"/>
      <c r="O68" s="61">
        <f t="shared" si="13"/>
        <v>0</v>
      </c>
      <c r="P68" s="60">
        <f t="shared" si="11"/>
        <v>1</v>
      </c>
      <c r="R68" s="61">
        <v>5</v>
      </c>
      <c r="T68" s="4"/>
      <c r="U68" s="4"/>
      <c r="V68" s="61">
        <f t="shared" si="12"/>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0"/>
        <v/>
      </c>
      <c r="D69" s="18"/>
      <c r="E69" s="15" t="s">
        <v>48</v>
      </c>
      <c r="F69" s="18"/>
      <c r="G69" s="3"/>
      <c r="H69" s="18"/>
      <c r="I69" s="18"/>
      <c r="L69" s="4">
        <v>2</v>
      </c>
      <c r="M69" s="60"/>
      <c r="N69" s="4"/>
      <c r="O69" s="61">
        <f t="shared" si="13"/>
        <v>0</v>
      </c>
      <c r="P69" s="60">
        <f t="shared" si="11"/>
        <v>2</v>
      </c>
      <c r="R69" s="61">
        <v>5</v>
      </c>
      <c r="T69" s="4"/>
      <c r="U69" s="4"/>
      <c r="V69" s="61">
        <f t="shared" si="12"/>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0"/>
        <v/>
      </c>
      <c r="Y70" s="15">
        <v>1</v>
      </c>
      <c r="Z70" s="61" t="s">
        <v>242</v>
      </c>
      <c r="AA70" s="60" t="str" cm="1">
        <f t="array" ref="AA70">IF(OR(Y70=0,Y70=""),"",IF(VLOOKUP(Z70,$AI$1:$AJ$58,2,FALSE)&gt;=Y70,INDEX(tblDisciplines[Name],MATCH(1,(tblDisciplines[Discipline]=Z70)*(tblDisciplines[Rank]=Y70),0)),""))</f>
        <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0"/>
        <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0"/>
        <v/>
      </c>
      <c r="D72" s="19"/>
      <c r="E72" s="15" t="s">
        <v>49</v>
      </c>
      <c r="F72" s="19"/>
      <c r="G72" s="19"/>
      <c r="H72" s="19"/>
      <c r="I72" s="19"/>
      <c r="K72" s="4"/>
      <c r="L72" s="4">
        <v>5</v>
      </c>
      <c r="M72" s="60">
        <v>1</v>
      </c>
      <c r="N72" s="4"/>
      <c r="O72" s="61">
        <f>ROUNDDOWN(N72/5,0)</f>
        <v>0</v>
      </c>
      <c r="P72" s="60">
        <f>MIN(SUM(K72*-1,ROUNDDOWN(L72/5,0),M72,O72),R72)</f>
        <v>2</v>
      </c>
      <c r="R72" s="61">
        <v>2</v>
      </c>
      <c r="Y72" s="15">
        <v>3</v>
      </c>
      <c r="Z72" s="61" t="s">
        <v>242</v>
      </c>
      <c r="AA72" s="60" t="str" cm="1">
        <f t="array" ref="AA72">IF(OR(Y72=0,Y72=""),"",IF(VLOOKUP(Z72,$AI$1:$AJ$58,2,FALSE)&gt;=Y72,INDEX(tblDisciplines[Name],MATCH(1,(tblDisciplines[Discipline]=Z72)*(tblDisciplines[Rank]=Y72),0)),""))</f>
        <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0"/>
        <v/>
      </c>
      <c r="D73" s="19"/>
      <c r="E73" s="15" t="s">
        <v>1448</v>
      </c>
      <c r="F73" s="19"/>
      <c r="G73" s="19"/>
      <c r="H73" s="19"/>
      <c r="I73" s="19"/>
      <c r="K73" s="4">
        <v>1</v>
      </c>
      <c r="M73" s="60">
        <v>7</v>
      </c>
      <c r="N73" s="4"/>
      <c r="O73" s="61">
        <f>ROUNDDOWN(N73/2,0)</f>
        <v>0</v>
      </c>
      <c r="P73" s="60">
        <f>MIN(SUM(K73*-1,M73,O73),R73)</f>
        <v>6</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0"/>
        <v/>
      </c>
      <c r="D74" s="19"/>
      <c r="E74" s="15" t="s">
        <v>53</v>
      </c>
      <c r="F74" s="19"/>
      <c r="G74" s="19"/>
      <c r="H74" s="19"/>
      <c r="I74" s="19"/>
      <c r="K74" s="4"/>
      <c r="M74" s="60">
        <f>P28+P38</f>
        <v>5</v>
      </c>
      <c r="N74" s="4"/>
      <c r="O74" s="61">
        <f>N74</f>
        <v>0</v>
      </c>
      <c r="P74" s="60">
        <f>MIN(SUM(K74*-1,M74,O74),R74)</f>
        <v>5</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0"/>
        <v/>
      </c>
      <c r="D75" s="19"/>
      <c r="E75" s="15" t="s">
        <v>55</v>
      </c>
      <c r="F75" s="19"/>
      <c r="G75" s="19"/>
      <c r="H75" s="19"/>
      <c r="I75" s="19"/>
      <c r="P75" s="60">
        <f ca="1">VLOOKUP(VLOOKUP("Blood Potency",INDIRECT($AH$1),2,FALSE),tblBloodPotency[],2,FALSE)</f>
        <v>11</v>
      </c>
      <c r="Y75" s="15">
        <v>1</v>
      </c>
      <c r="Z75" s="61" t="s">
        <v>243</v>
      </c>
      <c r="AA75" s="60" t="str" cm="1">
        <f t="array" ref="AA75">IF(OR(Y75=0,Y75=""),"",IF(VLOOKUP(Z75,$AI$1:$AJ$58,2,FALSE)&gt;=Y75,INDEX(tblDisciplines[Name],MATCH(1,(tblDisciplines[Discipline]=Z75)*(tblDisciplines[Rank]=Y75),0)),""))</f>
        <v>Unmarked Grave</v>
      </c>
    </row>
    <row r="76" spans="1:32">
      <c r="A76" s="1" t="s">
        <v>75</v>
      </c>
      <c r="B76" t="str">
        <f t="shared" si="10"/>
        <v/>
      </c>
      <c r="Y76" s="15">
        <v>2</v>
      </c>
      <c r="Z76" s="61" t="s">
        <v>243</v>
      </c>
      <c r="AA76" s="60" t="str" cm="1">
        <f t="array" ref="AA76">IF(OR(Y76=0,Y76=""),"",IF(VLOOKUP(Z76,$AI$1:$AJ$58,2,FALSE)&gt;=Y76,INDEX(tblDisciplines[Name],MATCH(1,(tblDisciplines[Discipline]=Z76)*(tblDisciplines[Rank]=Y76),0)),""))</f>
        <v/>
      </c>
    </row>
    <row r="77" spans="1:32" ht="15.75" thickBot="1">
      <c r="A77" s="1" t="s">
        <v>76</v>
      </c>
      <c r="B77" t="str">
        <f t="shared" si="10"/>
        <v>Weakness, Confidant</v>
      </c>
      <c r="D77" s="14" t="s">
        <v>1470</v>
      </c>
      <c r="E77" s="14"/>
      <c r="F77" s="14"/>
      <c r="G77" s="14"/>
      <c r="H77" s="14"/>
      <c r="I77" s="14"/>
      <c r="N77" s="60">
        <f>SUM(N79:N98,N101:N120,N206:N215,N132:N135,N138:N157,N160:N161)</f>
        <v>3</v>
      </c>
      <c r="Y77" s="15">
        <v>3</v>
      </c>
      <c r="Z77" s="61" t="s">
        <v>243</v>
      </c>
      <c r="AA77" s="60" t="str" cm="1">
        <f t="array" ref="AA77">IF(OR(Y77=0,Y77=""),"",IF(VLOOKUP(Z77,$AI$1:$AJ$58,2,FALSE)&gt;=Y77,INDEX(tblDisciplines[Name],MATCH(1,(tblDisciplines[Discipline]=Z77)*(tblDisciplines[Rank]=Y77),0)),""))</f>
        <v/>
      </c>
    </row>
    <row r="78" spans="1:32">
      <c r="A78" s="1" t="s">
        <v>77</v>
      </c>
      <c r="B78" t="str">
        <f t="shared" si="10"/>
        <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0"/>
        <v>Veiled Threats</v>
      </c>
      <c r="D79" s="19"/>
      <c r="E79" s="15" t="s">
        <v>114</v>
      </c>
      <c r="F79" s="3" t="s">
        <v>1674</v>
      </c>
      <c r="G79" s="3"/>
      <c r="H79" s="67" t="str">
        <f>_xlfn.IFNA(IF(VLOOKUP(F79,tblMerits[],6,FALSE)=0,"None",VLOOKUP(F79,tblMerits[],6,FALSE)),"None")</f>
        <v>Carthian Status 2</v>
      </c>
      <c r="I79" s="67"/>
      <c r="L79" s="4">
        <v>1</v>
      </c>
      <c r="M79" s="4">
        <v>2</v>
      </c>
      <c r="N79" s="4"/>
      <c r="O79" s="61">
        <f>N79</f>
        <v>0</v>
      </c>
      <c r="P79" s="60">
        <f t="shared" ref="P79:P98" si="14">MIN(SUM(L79,M79,O79),R79)</f>
        <v>3</v>
      </c>
      <c r="Q79" s="61">
        <f>_xlfn.IFNA(VLOOKUP($F79,tblMerits[],3,FALSE),"")</f>
        <v>3</v>
      </c>
      <c r="R79" s="61">
        <f>_xlfn.IFNA(VLOOKUP($F79,tblMerits[],4,FALSE),"")</f>
        <v>3</v>
      </c>
      <c r="Y79" s="15">
        <v>5</v>
      </c>
      <c r="Z79" s="61" t="s">
        <v>243</v>
      </c>
      <c r="AA79" s="60" t="str" cm="1">
        <f t="array" ref="AA79">IF(OR(Y79=0,Y79=""),"",IF(VLOOKUP(Z79,$AI$1:$AJ$58,2,FALSE)&gt;=Y79,INDEX(tblDisciplines[Name],MATCH(1,(tblDisciplines[Discipline]=Z79)*(tblDisciplines[Rank]=Y79),0)),""))</f>
        <v/>
      </c>
    </row>
    <row r="80" spans="1:32">
      <c r="A80" s="1" t="s">
        <v>79</v>
      </c>
      <c r="B80" t="str">
        <f t="shared" si="10"/>
        <v/>
      </c>
      <c r="D80" s="19"/>
      <c r="E80" s="15" t="s">
        <v>115</v>
      </c>
      <c r="F80" s="3" t="s">
        <v>1675</v>
      </c>
      <c r="G80" s="3"/>
      <c r="H80" s="67" t="str">
        <f>_xlfn.IFNA(IF(VLOOKUP(F80,tblMerits[],6,FALSE)=0,"None",VLOOKUP(F80,tblMerits[],6,FALSE)),"None")</f>
        <v>Carthian Status 1</v>
      </c>
      <c r="I80" s="67"/>
      <c r="L80" s="4">
        <v>1</v>
      </c>
      <c r="M80" s="4"/>
      <c r="N80" s="4"/>
      <c r="O80" s="61">
        <f t="shared" ref="O80:O98" si="15">N80</f>
        <v>0</v>
      </c>
      <c r="P80" s="60">
        <f t="shared" si="14"/>
        <v>1</v>
      </c>
      <c r="Q80" s="61">
        <f>_xlfn.IFNA(VLOOKUP($F80,tblMerits[],3,FALSE),"")</f>
        <v>1</v>
      </c>
      <c r="R80" s="61">
        <f>_xlfn.IFNA(VLOOKUP($F80,tblMerits[],4,FALSE),"")</f>
        <v>1</v>
      </c>
      <c r="Y80" s="15">
        <f>P173</f>
        <v>1</v>
      </c>
      <c r="Z80" s="61" t="s">
        <v>244</v>
      </c>
      <c r="AA80" s="60" t="str" cm="1">
        <f t="array" ref="AA80">IF(OR(Y80=0,Y80=""),"",IF(VLOOKUP(Z80,$AI$1:$AJ$58,2,FALSE)&gt;=Y80,INDEX(tblDisciplines[Name],MATCH(1,(tblDisciplines[Discipline]=Z80)*(tblDisciplines[Rank]=Y80),0)),""))</f>
        <v>Resilience 1</v>
      </c>
    </row>
    <row r="81" spans="1:27">
      <c r="A81" s="1" t="s">
        <v>80</v>
      </c>
      <c r="B81" t="str">
        <f t="shared" si="10"/>
        <v/>
      </c>
      <c r="D81" s="19"/>
      <c r="E81" s="15" t="s">
        <v>116</v>
      </c>
      <c r="F81" s="3"/>
      <c r="G81" s="3"/>
      <c r="H81" s="67" t="str">
        <f>_xlfn.IFNA(IF(VLOOKUP(F81,tblMerits[],6,FALSE)=0,"None",VLOOKUP(F81,tblMerits[],6,FALSE)),"None")</f>
        <v>None</v>
      </c>
      <c r="I81" s="67"/>
      <c r="L81" s="4"/>
      <c r="M81" s="4"/>
      <c r="N81" s="4"/>
      <c r="O81" s="61">
        <f t="shared" si="15"/>
        <v>0</v>
      </c>
      <c r="P81" s="60">
        <f t="shared" si="14"/>
        <v>0</v>
      </c>
      <c r="Q81" s="61" t="str">
        <f>_xlfn.IFNA(VLOOKUP($F81,tblMerits[],3,FALSE),"")</f>
        <v/>
      </c>
      <c r="R81" s="61" t="str">
        <f>_xlfn.IFNA(VLOOKUP($F81,tblMerits[],4,FALSE),"")</f>
        <v/>
      </c>
      <c r="Y81" s="15">
        <f>P174</f>
        <v>0</v>
      </c>
      <c r="Z81" s="61" t="s">
        <v>245</v>
      </c>
      <c r="AA81" s="60" t="str" cm="1">
        <f t="array" ref="AA81">IF(OR(Y81=0,Y81=""),"",IF(VLOOKUP(Z81,$AI$1:$AJ$58,2,FALSE)&gt;=Y81,INDEX(tblDisciplines[Name],MATCH(1,(tblDisciplines[Discipline]=Z81)*(tblDisciplines[Rank]=Y81),0)),""))</f>
        <v/>
      </c>
    </row>
    <row r="82" spans="1:27">
      <c r="A82" s="1" t="s">
        <v>81</v>
      </c>
      <c r="B82" t="str">
        <f t="shared" si="10"/>
        <v/>
      </c>
      <c r="D82" s="19"/>
      <c r="E82" s="15" t="s">
        <v>117</v>
      </c>
      <c r="F82" s="3"/>
      <c r="G82" s="3"/>
      <c r="H82" s="67" t="str">
        <f>_xlfn.IFNA(IF(VLOOKUP(F82,tblMerits[],6,FALSE)=0,"None",VLOOKUP(F82,tblMerits[],6,FALSE)),"None")</f>
        <v>None</v>
      </c>
      <c r="I82" s="67"/>
      <c r="L82" s="4"/>
      <c r="M82" s="4"/>
      <c r="N82" s="4"/>
      <c r="O82" s="61">
        <f t="shared" si="15"/>
        <v>0</v>
      </c>
      <c r="P82" s="60">
        <f t="shared" si="14"/>
        <v>0</v>
      </c>
      <c r="Q82" s="61" t="str">
        <f>_xlfn.IFNA(VLOOKUP($F82,tblMerits[],3,FALSE),"")</f>
        <v/>
      </c>
      <c r="R82" s="61" t="str">
        <f>_xlfn.IFNA(VLOOKUP($F82,tblMerits[],4,FALSE),"")</f>
        <v/>
      </c>
      <c r="Y82" s="61" t="s">
        <v>1472</v>
      </c>
      <c r="Z82" s="19"/>
      <c r="AA82" s="60" t="str">
        <f>IF(P177="","",F177)</f>
        <v>Enfeebling Aura</v>
      </c>
    </row>
    <row r="83" spans="1:27">
      <c r="A83" s="1" t="s">
        <v>82</v>
      </c>
      <c r="B83" t="str">
        <f t="shared" si="10"/>
        <v/>
      </c>
      <c r="D83" s="19"/>
      <c r="E83" s="15" t="s">
        <v>118</v>
      </c>
      <c r="F83" s="3"/>
      <c r="G83" s="3"/>
      <c r="H83" s="67" t="str">
        <f>_xlfn.IFNA(IF(VLOOKUP(F83,tblMerits[],6,FALSE)=0,"None",VLOOKUP(F83,tblMerits[],6,FALSE)),"None")</f>
        <v>None</v>
      </c>
      <c r="I83" s="67"/>
      <c r="L83" s="4"/>
      <c r="M83" s="4"/>
      <c r="N83" s="4"/>
      <c r="O83" s="61">
        <f t="shared" si="15"/>
        <v>0</v>
      </c>
      <c r="P83" s="60">
        <f t="shared" si="14"/>
        <v>0</v>
      </c>
      <c r="Q83" s="61" t="str">
        <f>_xlfn.IFNA(VLOOKUP($F83,tblMerits[],3,FALSE),"")</f>
        <v/>
      </c>
      <c r="R83" s="61" t="str">
        <f>_xlfn.IFNA(VLOOKUP($F83,tblMerits[],4,FALSE),"")</f>
        <v/>
      </c>
      <c r="Y83" s="61" t="s">
        <v>1472</v>
      </c>
      <c r="Z83" s="19"/>
      <c r="AA83" s="60" t="str">
        <f>IF(P178="","",F178)</f>
        <v/>
      </c>
    </row>
    <row r="84" spans="1:27">
      <c r="A84" s="1" t="s">
        <v>83</v>
      </c>
      <c r="B84">
        <f>P124</f>
        <v>2</v>
      </c>
      <c r="D84" s="19"/>
      <c r="E84" s="15" t="s">
        <v>119</v>
      </c>
      <c r="F84" s="3"/>
      <c r="G84" s="3"/>
      <c r="H84" s="67" t="str">
        <f>_xlfn.IFNA(IF(VLOOKUP(F84,tblMerits[],6,FALSE)=0,"None",VLOOKUP(F84,tblMerits[],6,FALSE)),"None")</f>
        <v>None</v>
      </c>
      <c r="I84" s="67"/>
      <c r="L84" s="4"/>
      <c r="M84" s="4"/>
      <c r="N84" s="4"/>
      <c r="O84" s="61">
        <f t="shared" si="15"/>
        <v>0</v>
      </c>
      <c r="P84" s="60">
        <f t="shared" si="14"/>
        <v>0</v>
      </c>
      <c r="Q84" s="61" t="str">
        <f>_xlfn.IFNA(VLOOKUP($F84,tblMerits[],3,FALSE),"")</f>
        <v/>
      </c>
      <c r="R84" s="61" t="str">
        <f>_xlfn.IFNA(VLOOKUP($F84,tblMerits[],4,FALSE),"")</f>
        <v/>
      </c>
      <c r="Y84" s="61" t="s">
        <v>1472</v>
      </c>
      <c r="Z84" s="19"/>
      <c r="AA84" s="60" t="str">
        <f>IF(P179="","",F179)</f>
        <v/>
      </c>
    </row>
    <row r="85" spans="1:27">
      <c r="A85" s="1" t="s">
        <v>84</v>
      </c>
      <c r="B85">
        <f>P125</f>
        <v>1</v>
      </c>
      <c r="D85" s="19"/>
      <c r="E85" s="15" t="s">
        <v>120</v>
      </c>
      <c r="F85" s="3"/>
      <c r="G85" s="3"/>
      <c r="H85" s="67" t="str">
        <f>_xlfn.IFNA(IF(VLOOKUP(F85,tblMerits[],6,FALSE)=0,"None",VLOOKUP(F85,tblMerits[],6,FALSE)),"None")</f>
        <v>None</v>
      </c>
      <c r="I85" s="67"/>
      <c r="L85" s="4"/>
      <c r="M85" s="4"/>
      <c r="N85" s="4"/>
      <c r="O85" s="61">
        <f t="shared" si="15"/>
        <v>0</v>
      </c>
      <c r="P85" s="60">
        <f t="shared" si="14"/>
        <v>0</v>
      </c>
      <c r="Q85" s="61" t="str">
        <f>_xlfn.IFNA(VLOOKUP($F85,tblMerits[],3,FALSE),"")</f>
        <v/>
      </c>
      <c r="R85" s="61" t="str">
        <f>_xlfn.IFNA(VLOOKUP($F85,tblMerits[],4,FALSE),"")</f>
        <v/>
      </c>
      <c r="Y85" s="61" t="s">
        <v>1472</v>
      </c>
      <c r="Z85" s="19"/>
      <c r="AA85" s="60" t="str">
        <f>IF(P180="","",F180)</f>
        <v/>
      </c>
    </row>
    <row r="86" spans="1:27">
      <c r="A86" s="1" t="s">
        <v>85</v>
      </c>
      <c r="B86">
        <f>P126</f>
        <v>2</v>
      </c>
      <c r="D86" s="19"/>
      <c r="E86" s="15" t="s">
        <v>121</v>
      </c>
      <c r="F86" s="3"/>
      <c r="G86" s="3"/>
      <c r="H86" s="67" t="str">
        <f>_xlfn.IFNA(IF(VLOOKUP(F86,tblMerits[],6,FALSE)=0,"None",VLOOKUP(F86,tblMerits[],6,FALSE)),"None")</f>
        <v>None</v>
      </c>
      <c r="I86" s="67"/>
      <c r="L86" s="4"/>
      <c r="M86" s="4"/>
      <c r="N86" s="4"/>
      <c r="O86" s="61">
        <f t="shared" si="15"/>
        <v>0</v>
      </c>
      <c r="P86" s="60">
        <f t="shared" si="14"/>
        <v>0</v>
      </c>
      <c r="Q86" s="61" t="str">
        <f>_xlfn.IFNA(VLOOKUP($F86,tblMerits[],3,FALSE),"")</f>
        <v/>
      </c>
      <c r="R86" s="61" t="str">
        <f>_xlfn.IFNA(VLOOKUP($F86,tblMerits[],4,FALSE),"")</f>
        <v/>
      </c>
      <c r="Y86" s="61" t="s">
        <v>1472</v>
      </c>
      <c r="Z86" s="19"/>
      <c r="AA86" s="60" t="str">
        <f>IF(P181="","",F181)</f>
        <v/>
      </c>
    </row>
    <row r="87" spans="1:27">
      <c r="A87" s="1" t="s">
        <v>86</v>
      </c>
      <c r="B87" t="str">
        <f>IF(F126="","¬",F126)</f>
        <v>Carthian</v>
      </c>
      <c r="D87" s="19"/>
      <c r="E87" s="15" t="s">
        <v>122</v>
      </c>
      <c r="F87" s="3"/>
      <c r="G87" s="3"/>
      <c r="H87" s="67" t="str">
        <f>_xlfn.IFNA(IF(VLOOKUP(F87,tblMerits[],6,FALSE)=0,"None",VLOOKUP(F87,tblMerits[],6,FALSE)),"None")</f>
        <v>None</v>
      </c>
      <c r="I87" s="67"/>
      <c r="L87" s="4"/>
      <c r="M87" s="4"/>
      <c r="N87" s="4"/>
      <c r="O87" s="61">
        <f t="shared" si="15"/>
        <v>0</v>
      </c>
      <c r="P87" s="60">
        <f t="shared" si="14"/>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
      </c>
    </row>
    <row r="88" spans="1:27">
      <c r="A88" s="1" t="s">
        <v>87</v>
      </c>
      <c r="B88" t="str">
        <f>REPT("●",P126)</f>
        <v>●●</v>
      </c>
      <c r="D88" s="19"/>
      <c r="E88" s="15" t="s">
        <v>123</v>
      </c>
      <c r="F88" s="3"/>
      <c r="G88" s="3"/>
      <c r="H88" s="67" t="str">
        <f>_xlfn.IFNA(IF(VLOOKUP(F88,tblMerits[],6,FALSE)=0,"None",VLOOKUP(F88,tblMerits[],6,FALSE)),"None")</f>
        <v>None</v>
      </c>
      <c r="I88" s="67"/>
      <c r="L88" s="4"/>
      <c r="M88" s="4"/>
      <c r="N88" s="4"/>
      <c r="O88" s="61">
        <f t="shared" si="15"/>
        <v>0</v>
      </c>
      <c r="P88" s="60">
        <f t="shared" si="14"/>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Crone</v>
      </c>
      <c r="D89" s="19"/>
      <c r="E89" s="15" t="s">
        <v>124</v>
      </c>
      <c r="F89" s="3"/>
      <c r="G89" s="3"/>
      <c r="H89" s="67" t="str">
        <f>_xlfn.IFNA(IF(VLOOKUP(F89,tblMerits[],6,FALSE)=0,"None",VLOOKUP(F89,tblMerits[],6,FALSE)),"None")</f>
        <v>None</v>
      </c>
      <c r="I89" s="67"/>
      <c r="L89" s="4"/>
      <c r="M89" s="4"/>
      <c r="N89" s="4"/>
      <c r="O89" s="61">
        <f t="shared" si="15"/>
        <v>0</v>
      </c>
      <c r="P89" s="60">
        <f t="shared" si="14"/>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_xlfn.IFNA(IF(VLOOKUP(F90,tblMerits[],6,FALSE)=0,"None",VLOOKUP(F90,tblMerits[],6,FALSE)),"None")</f>
        <v>None</v>
      </c>
      <c r="I90" s="67"/>
      <c r="L90" s="4"/>
      <c r="M90" s="4"/>
      <c r="N90" s="4"/>
      <c r="O90" s="61">
        <f t="shared" si="15"/>
        <v>0</v>
      </c>
      <c r="P90" s="60">
        <f t="shared" si="14"/>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Invictus</v>
      </c>
      <c r="D91" s="19"/>
      <c r="E91" s="15" t="s">
        <v>126</v>
      </c>
      <c r="F91" s="3"/>
      <c r="G91" s="3"/>
      <c r="H91" s="67" t="str">
        <f>_xlfn.IFNA(IF(VLOOKUP(F91,tblMerits[],6,FALSE)=0,"None",VLOOKUP(F91,tblMerits[],6,FALSE)),"None")</f>
        <v>None</v>
      </c>
      <c r="I91" s="67"/>
      <c r="L91" s="4"/>
      <c r="M91" s="4"/>
      <c r="N91" s="4"/>
      <c r="O91" s="61">
        <f t="shared" si="15"/>
        <v>0</v>
      </c>
      <c r="P91" s="60">
        <f t="shared" si="14"/>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5"/>
        <v>0</v>
      </c>
      <c r="P92" s="60">
        <f t="shared" si="14"/>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Lance</v>
      </c>
      <c r="D93" s="19"/>
      <c r="E93" s="15" t="s">
        <v>128</v>
      </c>
      <c r="F93" s="3"/>
      <c r="G93" s="3"/>
      <c r="H93" s="67" t="str">
        <f>_xlfn.IFNA(IF(VLOOKUP(F93,tblMerits[],6,FALSE)=0,"None",VLOOKUP(F93,tblMerits[],6,FALSE)),"None")</f>
        <v>None</v>
      </c>
      <c r="I93" s="67"/>
      <c r="L93" s="4"/>
      <c r="M93" s="4"/>
      <c r="N93" s="4"/>
      <c r="O93" s="61">
        <f t="shared" si="15"/>
        <v>0</v>
      </c>
      <c r="P93" s="60">
        <f t="shared" si="14"/>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5"/>
        <v>0</v>
      </c>
      <c r="P94" s="60">
        <f t="shared" si="14"/>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5"/>
        <v>0</v>
      </c>
      <c r="P95" s="60">
        <f t="shared" si="14"/>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5"/>
        <v>0</v>
      </c>
      <c r="P96" s="60">
        <f t="shared" si="14"/>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5"/>
        <v>0</v>
      </c>
      <c r="P97" s="60">
        <f t="shared" si="14"/>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5"/>
        <v>0</v>
      </c>
      <c r="P98" s="60">
        <f t="shared" si="14"/>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t="s">
        <v>1676</v>
      </c>
      <c r="G101" s="60" t="str">
        <f>IFERROR(VLOOKUP(F101,tblManoeuvre[],2,FALSE)&amp;" "&amp;VLOOKUP(F101,tblManoeuvre[],3,FALSE),"")</f>
        <v>Three Heads of Kerberos 1</v>
      </c>
      <c r="H101" s="67" t="str">
        <f>IFERROR(IF(VLOOKUP(F101,tblManoeuvre[],8,FALSE)=0,"None",VLOOKUP(F101,tblManoeuvre[],8,FALSE)),"None")</f>
        <v>Kerberos Bloodline</v>
      </c>
      <c r="I101" s="67"/>
      <c r="L101" s="4"/>
      <c r="M101" s="4"/>
      <c r="N101" s="4">
        <v>1</v>
      </c>
      <c r="O101" s="61">
        <f t="shared" ref="O101:O120" si="16">N101</f>
        <v>1</v>
      </c>
      <c r="P101" s="60">
        <f t="shared" ref="P101:P120" si="17">MIN(SUM(L101,M101,O101),R101)</f>
        <v>1</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Combat Medic</v>
      </c>
      <c r="D102" s="19"/>
      <c r="E102" s="15" t="s">
        <v>1441</v>
      </c>
      <c r="F102" s="3" t="s">
        <v>1677</v>
      </c>
      <c r="G102" s="60" t="str">
        <f>IFERROR(VLOOKUP(F102,tblManoeuvre[],2,FALSE)&amp;" "&amp;VLOOKUP(F102,tblManoeuvre[],3,FALSE),"")</f>
        <v>Three Heads of Kerberos 2</v>
      </c>
      <c r="H102" s="67" t="str">
        <f>IFERROR(IF(VLOOKUP(F102,tblManoeuvre[],8,FALSE)=0,"None",VLOOKUP(F102,tblManoeuvre[],8,FALSE)),"None")</f>
        <v>Kerberos Bloodline</v>
      </c>
      <c r="I102" s="67"/>
      <c r="L102" s="4"/>
      <c r="M102" s="4"/>
      <c r="N102" s="4">
        <v>1</v>
      </c>
      <c r="O102" s="61">
        <f t="shared" si="16"/>
        <v>1</v>
      </c>
      <c r="P102" s="60">
        <f t="shared" si="17"/>
        <v>1</v>
      </c>
      <c r="Q102" s="61">
        <v>1</v>
      </c>
      <c r="R102" s="61">
        <v>1</v>
      </c>
      <c r="Y102" s="15">
        <v>1</v>
      </c>
      <c r="Z102" s="61" t="s">
        <v>251</v>
      </c>
      <c r="AA102" s="60" t="str" cm="1">
        <f t="array" ref="AA102">IF(VLOOKUP(Z102,$AI$1:$AJ$58,2,FALSE)&gt;=Y102,INDEX(tblDisciplines[Name],MATCH(1,(tblDisciplines[Discipline]=Z102)*(tblDisciplines[Rank]=Y102),0)),"")</f>
        <v/>
      </c>
    </row>
    <row r="103" spans="1:27">
      <c r="A103" s="1" t="s">
        <v>102</v>
      </c>
      <c r="B103">
        <f>P73</f>
        <v>6</v>
      </c>
      <c r="D103" s="19"/>
      <c r="E103" s="15" t="s">
        <v>1443</v>
      </c>
      <c r="F103" s="3" t="s">
        <v>1678</v>
      </c>
      <c r="G103" s="60" t="str">
        <f>IFERROR(VLOOKUP(F103,tblManoeuvre[],2,FALSE)&amp;" "&amp;VLOOKUP(F103,tblManoeuvre[],3,FALSE),"")</f>
        <v>Three Heads of Kerberos 3</v>
      </c>
      <c r="H103" s="67" t="str">
        <f>IFERROR(IF(VLOOKUP(F103,tblManoeuvre[],8,FALSE)=0,"None",VLOOKUP(F103,tblManoeuvre[],8,FALSE)),"None")</f>
        <v>Kerberos Bloodline</v>
      </c>
      <c r="I103" s="67"/>
      <c r="L103" s="4"/>
      <c r="M103" s="4"/>
      <c r="N103" s="4">
        <v>1</v>
      </c>
      <c r="O103" s="61">
        <f t="shared" si="16"/>
        <v>1</v>
      </c>
      <c r="P103" s="60">
        <f t="shared" si="17"/>
        <v>1</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c r="G104" s="60" t="str">
        <f>IFERROR(VLOOKUP(F104,tblManoeuvre[],2,FALSE)&amp;" "&amp;VLOOKUP(F104,tblManoeuvre[],3,FALSE),"")</f>
        <v/>
      </c>
      <c r="H104" s="67" t="str">
        <f>IFERROR(IF(VLOOKUP(F104,tblManoeuvre[],8,FALSE)=0,"None",VLOOKUP(F104,tblManoeuvre[],8,FALSE)),"None")</f>
        <v>None</v>
      </c>
      <c r="I104" s="67"/>
      <c r="L104" s="4"/>
      <c r="M104" s="4"/>
      <c r="N104" s="4"/>
      <c r="O104" s="61">
        <f t="shared" si="16"/>
        <v>0</v>
      </c>
      <c r="P104" s="60">
        <f t="shared" si="17"/>
        <v>0</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c r="G105" s="60" t="str">
        <f>IFERROR(VLOOKUP(F105,tblManoeuvre[],2,FALSE)&amp;" "&amp;VLOOKUP(F105,tblManoeuvre[],3,FALSE),"")</f>
        <v/>
      </c>
      <c r="H105" s="67" t="str">
        <f>IFERROR(IF(VLOOKUP(F105,tblManoeuvre[],8,FALSE)=0,"None",VLOOKUP(F105,tblManoeuvre[],8,FALSE)),"None")</f>
        <v>None</v>
      </c>
      <c r="I105" s="67"/>
      <c r="L105" s="4"/>
      <c r="M105" s="4"/>
      <c r="N105" s="4"/>
      <c r="O105" s="61">
        <f t="shared" si="16"/>
        <v>0</v>
      </c>
      <c r="P105" s="60">
        <f t="shared" si="17"/>
        <v>0</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IFERROR(VLOOKUP(F106,tblManoeuvre[],2,FALSE)&amp;" "&amp;VLOOKUP(F106,tblManoeuvre[],3,FALSE),"")</f>
        <v/>
      </c>
      <c r="H106" s="67" t="str">
        <f>IFERROR(IF(VLOOKUP(F106,tblManoeuvre[],8,FALSE)=0,"None",VLOOKUP(F106,tblManoeuvre[],8,FALSE)),"None")</f>
        <v>None</v>
      </c>
      <c r="I106" s="67"/>
      <c r="L106" s="4"/>
      <c r="M106" s="4"/>
      <c r="N106" s="4"/>
      <c r="O106" s="61">
        <f t="shared" si="16"/>
        <v>0</v>
      </c>
      <c r="P106" s="60">
        <f t="shared" si="17"/>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IFERROR(VLOOKUP(F107,tblManoeuvre[],2,FALSE)&amp;" "&amp;VLOOKUP(F107,tblManoeuvre[],3,FALSE),"")</f>
        <v/>
      </c>
      <c r="H107" s="67" t="str">
        <f>IFERROR(IF(VLOOKUP(F107,tblManoeuvre[],8,FALSE)=0,"None",VLOOKUP(F107,tblManoeuvre[],8,FALSE)),"None")</f>
        <v>None</v>
      </c>
      <c r="I107" s="67"/>
      <c r="L107" s="4"/>
      <c r="M107" s="4"/>
      <c r="N107" s="4"/>
      <c r="O107" s="61">
        <f t="shared" si="16"/>
        <v>0</v>
      </c>
      <c r="P107" s="60">
        <f t="shared" si="17"/>
        <v>0</v>
      </c>
      <c r="Q107" s="61">
        <v>1</v>
      </c>
      <c r="R107" s="61">
        <v>1</v>
      </c>
      <c r="Y107" s="15">
        <v>1</v>
      </c>
      <c r="Z107" s="61" t="s">
        <v>252</v>
      </c>
      <c r="AA107" s="60" t="str" cm="1">
        <f t="array" ref="AA107">IF(VLOOKUP(Z107,$AI$1:$AJ$58,2,FALSE)&gt;=Y107,INDEX(tblDisciplines[Name],MATCH(1,(tblDisciplines[Discipline]=Z107)*(tblDisciplines[Rank]=Y107),0)),"")</f>
        <v/>
      </c>
    </row>
    <row r="108" spans="1:27">
      <c r="A108" s="1" t="s">
        <v>107</v>
      </c>
      <c r="B108" t="str">
        <f>IF($P$73&gt;=7,"●","○") &amp; IF(F226&lt;&gt;""," (" &amp; F226 &amp; ")","")</f>
        <v>○</v>
      </c>
      <c r="D108" s="19"/>
      <c r="E108" s="15" t="s">
        <v>1452</v>
      </c>
      <c r="F108" s="3"/>
      <c r="G108" s="60" t="str">
        <f>IFERROR(VLOOKUP(F108,tblManoeuvre[],2,FALSE)&amp;" "&amp;VLOOKUP(F108,tblManoeuvre[],3,FALSE),"")</f>
        <v/>
      </c>
      <c r="H108" s="67" t="str">
        <f>IFERROR(IF(VLOOKUP(F108,tblManoeuvre[],8,FALSE)=0,"None",VLOOKUP(F108,tblManoeuvre[],8,FALSE)),"None")</f>
        <v>None</v>
      </c>
      <c r="I108" s="67"/>
      <c r="L108" s="4"/>
      <c r="M108" s="4"/>
      <c r="N108" s="4"/>
      <c r="O108" s="61">
        <f t="shared" si="16"/>
        <v>0</v>
      </c>
      <c r="P108" s="60">
        <f t="shared" si="17"/>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v>
      </c>
      <c r="D109" s="19"/>
      <c r="E109" s="15" t="s">
        <v>1454</v>
      </c>
      <c r="F109" s="3"/>
      <c r="G109" s="60" t="str">
        <f>IFERROR(VLOOKUP(F109,tblManoeuvre[],2,FALSE)&amp;" "&amp;VLOOKUP(F109,tblManoeuvre[],3,FALSE),"")</f>
        <v/>
      </c>
      <c r="H109" s="67" t="str">
        <f>IFERROR(IF(VLOOKUP(F109,tblManoeuvre[],8,FALSE)=0,"None",VLOOKUP(F109,tblManoeuvre[],8,FALSE)),"None")</f>
        <v>None</v>
      </c>
      <c r="I109" s="67"/>
      <c r="L109" s="4"/>
      <c r="M109" s="4"/>
      <c r="N109" s="4"/>
      <c r="O109" s="61">
        <f t="shared" si="16"/>
        <v>0</v>
      </c>
      <c r="P109" s="60">
        <f t="shared" si="17"/>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v>
      </c>
      <c r="D110" s="19"/>
      <c r="E110" s="15" t="s">
        <v>1455</v>
      </c>
      <c r="F110" s="3"/>
      <c r="G110" s="60" t="str">
        <f>IFERROR(VLOOKUP(F110,tblManoeuvre[],2,FALSE)&amp;" "&amp;VLOOKUP(F110,tblManoeuvre[],3,FALSE),"")</f>
        <v/>
      </c>
      <c r="H110" s="67" t="str">
        <f>IFERROR(IF(VLOOKUP(F110,tblManoeuvre[],8,FALSE)=0,"None",VLOOKUP(F110,tblManoeuvre[],8,FALSE)),"None")</f>
        <v>None</v>
      </c>
      <c r="I110" s="67"/>
      <c r="L110" s="4"/>
      <c r="M110" s="4"/>
      <c r="N110" s="4"/>
      <c r="O110" s="61">
        <f t="shared" si="16"/>
        <v>0</v>
      </c>
      <c r="P110" s="60">
        <f t="shared" si="17"/>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t="str">
        <f>IFERROR(VLOOKUP(F111,tblManoeuvre[],2,FALSE)&amp;" "&amp;VLOOKUP(F111,tblManoeuvre[],3,FALSE),"")</f>
        <v/>
      </c>
      <c r="H111" s="67" t="str">
        <f>IFERROR(IF(VLOOKUP(F111,tblManoeuvre[],8,FALSE)=0,"None",VLOOKUP(F111,tblManoeuvre[],8,FALSE)),"None")</f>
        <v>None</v>
      </c>
      <c r="I111" s="67"/>
      <c r="L111" s="4"/>
      <c r="M111" s="4"/>
      <c r="N111" s="4"/>
      <c r="O111" s="61">
        <f t="shared" si="16"/>
        <v>0</v>
      </c>
      <c r="P111" s="60">
        <f t="shared" si="17"/>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t="str">
        <f>IFERROR(VLOOKUP(F112,tblManoeuvre[],2,FALSE)&amp;" "&amp;VLOOKUP(F112,tblManoeuvre[],3,FALSE),"")</f>
        <v/>
      </c>
      <c r="H112" s="67" t="str">
        <f>IFERROR(IF(VLOOKUP(F112,tblManoeuvre[],8,FALSE)=0,"None",VLOOKUP(F112,tblManoeuvre[],8,FALSE)),"None")</f>
        <v>None</v>
      </c>
      <c r="I112" s="67"/>
      <c r="L112" s="4"/>
      <c r="M112" s="4"/>
      <c r="N112" s="4"/>
      <c r="O112" s="61">
        <f t="shared" si="16"/>
        <v>0</v>
      </c>
      <c r="P112" s="60">
        <f t="shared" si="17"/>
        <v>0</v>
      </c>
      <c r="Q112" s="61">
        <v>1</v>
      </c>
      <c r="R112" s="61">
        <v>1</v>
      </c>
      <c r="Y112" s="61" t="s">
        <v>1474</v>
      </c>
      <c r="Z112" s="61" t="str">
        <f t="shared" ref="Z112:Z121" si="18">G194</f>
        <v/>
      </c>
      <c r="AA112" s="60" t="str">
        <f t="shared" ref="AA112:AA121" si="19">IF(P194="","",F194)</f>
        <v/>
      </c>
    </row>
    <row r="113" spans="1:27">
      <c r="A113" s="1" t="s">
        <v>112</v>
      </c>
      <c r="B113" t="str">
        <f>IF($P$73&gt;=2,"●","○") &amp; IF(F231&lt;&gt;""," (" &amp; F231 &amp; ")","")</f>
        <v>●</v>
      </c>
      <c r="D113" s="19"/>
      <c r="E113" s="15" t="s">
        <v>1458</v>
      </c>
      <c r="F113" s="3"/>
      <c r="G113" s="60" t="str">
        <f>IFERROR(VLOOKUP(F113,tblManoeuvre[],2,FALSE)&amp;" "&amp;VLOOKUP(F113,tblManoeuvre[],3,FALSE),"")</f>
        <v/>
      </c>
      <c r="H113" s="67" t="str">
        <f>IFERROR(IF(VLOOKUP(F113,tblManoeuvre[],8,FALSE)=0,"None",VLOOKUP(F113,tblManoeuvre[],8,FALSE)),"None")</f>
        <v>None</v>
      </c>
      <c r="I113" s="67"/>
      <c r="L113" s="4"/>
      <c r="M113" s="4"/>
      <c r="N113" s="4"/>
      <c r="O113" s="61">
        <f t="shared" si="16"/>
        <v>0</v>
      </c>
      <c r="P113" s="60">
        <f t="shared" si="17"/>
        <v>0</v>
      </c>
      <c r="Q113" s="61">
        <v>1</v>
      </c>
      <c r="R113" s="61">
        <v>1</v>
      </c>
      <c r="Y113" s="61" t="s">
        <v>1474</v>
      </c>
      <c r="Z113" s="61" t="str">
        <f t="shared" si="18"/>
        <v/>
      </c>
      <c r="AA113" s="60" t="str">
        <f t="shared" si="19"/>
        <v/>
      </c>
    </row>
    <row r="114" spans="1:27">
      <c r="A114" s="1" t="s">
        <v>113</v>
      </c>
      <c r="B114" t="str">
        <f>IF($P$73&gt;=1,"●","○") &amp; IF(F232&lt;&gt;""," (" &amp; F232 &amp; ")","")</f>
        <v>●</v>
      </c>
      <c r="D114" s="19"/>
      <c r="E114" s="15" t="s">
        <v>1460</v>
      </c>
      <c r="F114" s="3"/>
      <c r="G114" s="60" t="str">
        <f>IFERROR(VLOOKUP(F114,tblManoeuvre[],2,FALSE)&amp;" "&amp;VLOOKUP(F114,tblManoeuvre[],3,FALSE),"")</f>
        <v/>
      </c>
      <c r="H114" s="67" t="str">
        <f>IFERROR(IF(VLOOKUP(F114,tblManoeuvre[],8,FALSE)=0,"None",VLOOKUP(F114,tblManoeuvre[],8,FALSE)),"None")</f>
        <v>None</v>
      </c>
      <c r="I114" s="67"/>
      <c r="L114" s="4"/>
      <c r="M114" s="4"/>
      <c r="N114" s="4"/>
      <c r="O114" s="61">
        <f t="shared" si="16"/>
        <v>0</v>
      </c>
      <c r="P114" s="60">
        <f t="shared" si="17"/>
        <v>0</v>
      </c>
      <c r="Q114" s="61">
        <v>1</v>
      </c>
      <c r="R114" s="61">
        <v>1</v>
      </c>
      <c r="Y114" s="61" t="s">
        <v>1474</v>
      </c>
      <c r="Z114" s="61" t="str">
        <f t="shared" si="18"/>
        <v/>
      </c>
      <c r="AA114" s="60" t="str">
        <f t="shared" si="19"/>
        <v/>
      </c>
    </row>
    <row r="115" spans="1:27">
      <c r="A115" s="1" t="s">
        <v>114</v>
      </c>
      <c r="B115" t="str">
        <f t="shared" ref="B115:B144" si="20">IF(AD2="","¬",AD2)</f>
        <v>Carthian Pull ●</v>
      </c>
      <c r="D115" s="19"/>
      <c r="E115" s="15" t="s">
        <v>1461</v>
      </c>
      <c r="F115" s="3"/>
      <c r="G115" s="60" t="str">
        <f>IFERROR(VLOOKUP(F115,tblManoeuvre[],2,FALSE)&amp;" "&amp;VLOOKUP(F115,tblManoeuvre[],3,FALSE),"")</f>
        <v/>
      </c>
      <c r="H115" s="67" t="str">
        <f>IFERROR(IF(VLOOKUP(F115,tblManoeuvre[],8,FALSE)=0,"None",VLOOKUP(F115,tblManoeuvre[],8,FALSE)),"None")</f>
        <v>None</v>
      </c>
      <c r="I115" s="67"/>
      <c r="L115" s="4"/>
      <c r="M115" s="4"/>
      <c r="N115" s="4"/>
      <c r="O115" s="61">
        <f t="shared" si="16"/>
        <v>0</v>
      </c>
      <c r="P115" s="60">
        <f t="shared" si="17"/>
        <v>0</v>
      </c>
      <c r="Q115" s="61">
        <v>1</v>
      </c>
      <c r="R115" s="61">
        <v>1</v>
      </c>
      <c r="Y115" s="61" t="s">
        <v>1474</v>
      </c>
      <c r="Z115" s="61" t="str">
        <f t="shared" si="18"/>
        <v/>
      </c>
      <c r="AA115" s="60" t="str">
        <f t="shared" si="19"/>
        <v/>
      </c>
    </row>
    <row r="116" spans="1:27">
      <c r="A116" s="1" t="s">
        <v>115</v>
      </c>
      <c r="B116" t="str">
        <f t="shared" si="20"/>
        <v>Night Doctor Surgery ●●●</v>
      </c>
      <c r="D116" s="19"/>
      <c r="E116" s="15" t="s">
        <v>1462</v>
      </c>
      <c r="F116" s="3"/>
      <c r="G116" s="60" t="str">
        <f>IFERROR(VLOOKUP(F116,tblManoeuvre[],2,FALSE)&amp;" "&amp;VLOOKUP(F116,tblManoeuvre[],3,FALSE),"")</f>
        <v/>
      </c>
      <c r="H116" s="67" t="str">
        <f>IFERROR(IF(VLOOKUP(F116,tblManoeuvre[],8,FALSE)=0,"None",VLOOKUP(F116,tblManoeuvre[],8,FALSE)),"None")</f>
        <v>None</v>
      </c>
      <c r="I116" s="67"/>
      <c r="L116" s="4"/>
      <c r="M116" s="4"/>
      <c r="N116" s="4"/>
      <c r="O116" s="61">
        <f t="shared" si="16"/>
        <v>0</v>
      </c>
      <c r="P116" s="60">
        <f t="shared" si="17"/>
        <v>0</v>
      </c>
      <c r="Q116" s="61">
        <v>1</v>
      </c>
      <c r="R116" s="61">
        <v>1</v>
      </c>
      <c r="Y116" s="61" t="s">
        <v>1474</v>
      </c>
      <c r="Z116" s="61" t="str">
        <f t="shared" si="18"/>
        <v/>
      </c>
      <c r="AA116" s="60" t="str">
        <f t="shared" si="19"/>
        <v/>
      </c>
    </row>
    <row r="117" spans="1:27">
      <c r="A117" s="1" t="s">
        <v>116</v>
      </c>
      <c r="B117" t="str">
        <f t="shared" si="20"/>
        <v>Three Heads of Kerberos ● | Honing - Competitive</v>
      </c>
      <c r="D117" s="19"/>
      <c r="E117" s="15" t="s">
        <v>1463</v>
      </c>
      <c r="F117" s="3"/>
      <c r="G117" s="60" t="str">
        <f>IFERROR(VLOOKUP(F117,tblManoeuvre[],2,FALSE)&amp;" "&amp;VLOOKUP(F117,tblManoeuvre[],3,FALSE),"")</f>
        <v/>
      </c>
      <c r="H117" s="67" t="str">
        <f>IFERROR(IF(VLOOKUP(F117,tblManoeuvre[],8,FALSE)=0,"None",VLOOKUP(F117,tblManoeuvre[],8,FALSE)),"None")</f>
        <v>None</v>
      </c>
      <c r="I117" s="67"/>
      <c r="L117" s="4"/>
      <c r="M117" s="4"/>
      <c r="N117" s="4"/>
      <c r="O117" s="61">
        <f t="shared" si="16"/>
        <v>0</v>
      </c>
      <c r="P117" s="60">
        <f t="shared" si="17"/>
        <v>0</v>
      </c>
      <c r="Q117" s="61">
        <v>1</v>
      </c>
      <c r="R117" s="61">
        <v>1</v>
      </c>
      <c r="Y117" s="61" t="s">
        <v>1474</v>
      </c>
      <c r="Z117" s="61" t="str">
        <f t="shared" si="18"/>
        <v/>
      </c>
      <c r="AA117" s="60" t="str">
        <f t="shared" si="19"/>
        <v/>
      </c>
    </row>
    <row r="118" spans="1:27">
      <c r="A118" s="1" t="s">
        <v>117</v>
      </c>
      <c r="B118" t="str">
        <f t="shared" si="20"/>
        <v>Three Heads of Kerberos ●● | Internalising - Competitive</v>
      </c>
      <c r="D118" s="19"/>
      <c r="E118" s="15" t="s">
        <v>1464</v>
      </c>
      <c r="F118" s="3"/>
      <c r="G118" s="60" t="str">
        <f>IFERROR(VLOOKUP(F118,tblManoeuvre[],2,FALSE)&amp;" "&amp;VLOOKUP(F118,tblManoeuvre[],3,FALSE),"")</f>
        <v/>
      </c>
      <c r="H118" s="67" t="str">
        <f>IFERROR(IF(VLOOKUP(F118,tblManoeuvre[],8,FALSE)=0,"None",VLOOKUP(F118,tblManoeuvre[],8,FALSE)),"None")</f>
        <v>None</v>
      </c>
      <c r="I118" s="67"/>
      <c r="L118" s="4"/>
      <c r="M118" s="4"/>
      <c r="N118" s="4"/>
      <c r="O118" s="61">
        <f t="shared" si="16"/>
        <v>0</v>
      </c>
      <c r="P118" s="60">
        <f t="shared" si="17"/>
        <v>0</v>
      </c>
      <c r="Q118" s="61">
        <v>1</v>
      </c>
      <c r="R118" s="61">
        <v>1</v>
      </c>
      <c r="Y118" s="61" t="s">
        <v>1474</v>
      </c>
      <c r="Z118" s="61" t="str">
        <f t="shared" si="18"/>
        <v/>
      </c>
      <c r="AA118" s="60" t="str">
        <f t="shared" si="19"/>
        <v/>
      </c>
    </row>
    <row r="119" spans="1:27">
      <c r="A119" s="1" t="s">
        <v>118</v>
      </c>
      <c r="B119" t="str">
        <f t="shared" si="20"/>
        <v>Three Heads of Kerberos ●●● | Cowing - Competitive</v>
      </c>
      <c r="D119" s="19"/>
      <c r="E119" s="15" t="s">
        <v>1466</v>
      </c>
      <c r="F119" s="3"/>
      <c r="G119" s="60" t="str">
        <f>IFERROR(VLOOKUP(F119,tblManoeuvre[],2,FALSE)&amp;" "&amp;VLOOKUP(F119,tblManoeuvre[],3,FALSE),"")</f>
        <v/>
      </c>
      <c r="H119" s="67" t="str">
        <f>IFERROR(IF(VLOOKUP(F119,tblManoeuvre[],8,FALSE)=0,"None",VLOOKUP(F119,tblManoeuvre[],8,FALSE)),"None")</f>
        <v>None</v>
      </c>
      <c r="I119" s="67"/>
      <c r="L119" s="4"/>
      <c r="M119" s="4"/>
      <c r="N119" s="4"/>
      <c r="O119" s="61">
        <f t="shared" si="16"/>
        <v>0</v>
      </c>
      <c r="P119" s="60">
        <f t="shared" si="17"/>
        <v>0</v>
      </c>
      <c r="Q119" s="61">
        <v>1</v>
      </c>
      <c r="R119" s="61">
        <v>1</v>
      </c>
      <c r="Y119" s="61" t="s">
        <v>1474</v>
      </c>
      <c r="Z119" s="61" t="str">
        <f t="shared" si="18"/>
        <v/>
      </c>
      <c r="AA119" s="60" t="str">
        <f t="shared" si="19"/>
        <v/>
      </c>
    </row>
    <row r="120" spans="1:27">
      <c r="A120" s="1" t="s">
        <v>119</v>
      </c>
      <c r="B120" t="str">
        <f t="shared" si="20"/>
        <v>¬</v>
      </c>
      <c r="D120" s="19"/>
      <c r="E120" s="15" t="s">
        <v>1468</v>
      </c>
      <c r="F120" s="3"/>
      <c r="G120" s="60" t="str">
        <f>IFERROR(VLOOKUP(F120,tblManoeuvre[],2,FALSE)&amp;" "&amp;VLOOKUP(F120,tblManoeuvre[],3,FALSE),"")</f>
        <v/>
      </c>
      <c r="H120" s="67" t="str">
        <f>IFERROR(IF(VLOOKUP(F120,tblManoeuvre[],8,FALSE)=0,"None",VLOOKUP(F120,tblManoeuvre[],8,FALSE)),"None")</f>
        <v>None</v>
      </c>
      <c r="I120" s="67"/>
      <c r="L120" s="4"/>
      <c r="M120" s="4"/>
      <c r="N120" s="4"/>
      <c r="O120" s="61">
        <f t="shared" si="16"/>
        <v>0</v>
      </c>
      <c r="P120" s="60">
        <f t="shared" si="17"/>
        <v>0</v>
      </c>
      <c r="Q120" s="61">
        <v>1</v>
      </c>
      <c r="R120" s="61">
        <v>1</v>
      </c>
      <c r="Y120" s="61" t="s">
        <v>1474</v>
      </c>
      <c r="Z120" s="61" t="str">
        <f t="shared" si="18"/>
        <v/>
      </c>
      <c r="AA120" s="60" t="str">
        <f t="shared" si="19"/>
        <v/>
      </c>
    </row>
    <row r="121" spans="1:27">
      <c r="A121" s="1" t="s">
        <v>120</v>
      </c>
      <c r="B121" t="str">
        <f t="shared" si="20"/>
        <v>¬</v>
      </c>
      <c r="Y121" s="61" t="s">
        <v>1474</v>
      </c>
      <c r="Z121" s="61" t="str">
        <f t="shared" si="18"/>
        <v/>
      </c>
      <c r="AA121" s="60" t="str">
        <f t="shared" si="19"/>
        <v/>
      </c>
    </row>
    <row r="122" spans="1:27" ht="15.75" thickBot="1">
      <c r="A122" s="1" t="s">
        <v>121</v>
      </c>
      <c r="B122" t="str">
        <f t="shared" si="20"/>
        <v>¬</v>
      </c>
      <c r="D122" s="14" t="s">
        <v>1475</v>
      </c>
      <c r="E122" s="14"/>
      <c r="F122" s="14"/>
      <c r="G122" s="14"/>
      <c r="H122" s="14"/>
      <c r="I122" s="14"/>
    </row>
    <row r="123" spans="1:27">
      <c r="A123" s="1" t="s">
        <v>122</v>
      </c>
      <c r="B123" t="str">
        <f t="shared" si="20"/>
        <v>¬</v>
      </c>
      <c r="D123" s="16" t="s">
        <v>927</v>
      </c>
      <c r="E123" s="17"/>
      <c r="F123" s="17"/>
      <c r="G123" s="17"/>
      <c r="H123" s="17"/>
      <c r="I123" s="17"/>
      <c r="Y123" s="15" t="s">
        <v>1476</v>
      </c>
      <c r="Z123" s="19"/>
      <c r="AA123" s="61" t="str">
        <f t="shared" ref="AA123:AA132" si="21">_xlfn.LET(_xlpm.name,VLOOKUP(Y123,$E$2:$F$362,2,FALSE),_xlpm.paid,_xlfn.IFNA(VLOOKUP(_xlpm.name,$F$121:$Q$215,11,FALSE)&gt;=VLOOKUP(_xlpm.name,$F$121:$Q$215,12,FALSE),FALSE),IF(AND(_xlpm.name&lt;&gt;"",_xlpm.paid),_xlpm.name,""))</f>
        <v/>
      </c>
    </row>
    <row r="124" spans="1:27">
      <c r="A124" s="1" t="s">
        <v>123</v>
      </c>
      <c r="B124" t="str">
        <f t="shared" si="20"/>
        <v>¬</v>
      </c>
      <c r="D124" s="19"/>
      <c r="E124" s="15" t="s">
        <v>83</v>
      </c>
      <c r="F124" s="19"/>
      <c r="G124" s="19"/>
      <c r="H124" s="19"/>
      <c r="I124" s="19"/>
      <c r="L124" s="4">
        <v>2</v>
      </c>
      <c r="M124" s="61">
        <f>IFERROR(VLOOKUP(G13,tblEffectiveStatus[#Data],2,FALSE),0)</f>
        <v>0</v>
      </c>
      <c r="P124" s="60">
        <f>MIN(L124+M124,R124)</f>
        <v>2</v>
      </c>
      <c r="R124" s="61">
        <v>10</v>
      </c>
      <c r="Y124" s="15" t="s">
        <v>1477</v>
      </c>
      <c r="Z124" s="19"/>
      <c r="AA124" s="61" t="str">
        <f t="shared" si="21"/>
        <v/>
      </c>
    </row>
    <row r="125" spans="1:27">
      <c r="A125" s="1" t="s">
        <v>124</v>
      </c>
      <c r="B125" t="str">
        <f t="shared" si="20"/>
        <v>¬</v>
      </c>
      <c r="D125" s="19"/>
      <c r="E125" s="15" t="str">
        <f>IF(F7="","Clan Status",F7&amp;" Status")</f>
        <v>Gangrel Status</v>
      </c>
      <c r="F125" s="19"/>
      <c r="G125" s="19"/>
      <c r="H125" s="19"/>
      <c r="I125" s="19"/>
      <c r="L125" s="4">
        <v>1</v>
      </c>
      <c r="P125" s="60">
        <f>IF(L125="",0,MIN(L125,R125))</f>
        <v>1</v>
      </c>
      <c r="R125" s="61">
        <v>5</v>
      </c>
      <c r="Y125" s="15" t="s">
        <v>1478</v>
      </c>
      <c r="Z125" s="19"/>
      <c r="AA125" s="61" t="str">
        <f t="shared" si="21"/>
        <v/>
      </c>
    </row>
    <row r="126" spans="1:27">
      <c r="A126" s="1" t="s">
        <v>125</v>
      </c>
      <c r="B126" t="str">
        <f t="shared" si="20"/>
        <v>¬</v>
      </c>
      <c r="D126" s="19"/>
      <c r="E126" s="15" t="str">
        <f>IF(F9="","",F9&amp;" Status")</f>
        <v>Carthian Movement Status</v>
      </c>
      <c r="F126" s="19" t="str">
        <f>IF(F9="","",VLOOKUP(F9,tblCovenantShortName[#Data],2,FALSE))</f>
        <v>Carthian</v>
      </c>
      <c r="G126" s="19"/>
      <c r="H126" s="19"/>
      <c r="I126" s="19"/>
      <c r="L126" s="4">
        <v>2</v>
      </c>
      <c r="P126" s="60">
        <f>L126</f>
        <v>2</v>
      </c>
      <c r="R126" s="61">
        <f>5-SUM(L127:L129)</f>
        <v>5</v>
      </c>
      <c r="Y126" s="15" t="s">
        <v>1479</v>
      </c>
      <c r="Z126" s="19"/>
      <c r="AA126" s="61" t="str">
        <f t="shared" si="21"/>
        <v/>
      </c>
    </row>
    <row r="127" spans="1:27">
      <c r="A127" s="1" t="s">
        <v>126</v>
      </c>
      <c r="B127" t="str">
        <f t="shared" si="20"/>
        <v>¬</v>
      </c>
      <c r="D127" s="19"/>
      <c r="E127" s="15" t="str" cm="1">
        <f t="array" ref="E127">IF(F9="","",IFERROR(INDEX(Lists!$F$2:$F$5,SMALL(IF(Lists!$F$2:$F$5&lt;&gt;$F$9,ROW(Lists!$F$2:$F$5)-ROW(Lists!$F$2)+1),1))&amp;" Status",""))</f>
        <v>Circle of the Crone Status</v>
      </c>
      <c r="F127" s="19" t="str" cm="1">
        <f t="array" ref="F127">IF(F9="","",IFERROR(VLOOKUP(INDEX(Lists!$F$2:$F$5,SMALL(IF(Lists!$F$2:$F$5&lt;&gt;$F$9,ROW(Lists!$F$2:$F$5)-ROW(Lists!$F$2)+1),1)),tblCovenantShortName[],2,FALSE),""))</f>
        <v>Crone</v>
      </c>
      <c r="G127" s="19"/>
      <c r="H127" s="19"/>
      <c r="I127" s="19"/>
      <c r="L127" s="4"/>
      <c r="P127" s="60">
        <f>L127</f>
        <v>0</v>
      </c>
      <c r="R127" s="61">
        <f>MAX(0,MIN(P126-1,5-L126-L128-L129))</f>
        <v>1</v>
      </c>
      <c r="Y127" s="15" t="s">
        <v>1480</v>
      </c>
      <c r="Z127" s="19"/>
      <c r="AA127" s="61" t="str">
        <f t="shared" si="21"/>
        <v/>
      </c>
    </row>
    <row r="128" spans="1:27">
      <c r="A128" s="1" t="s">
        <v>127</v>
      </c>
      <c r="B128" t="str">
        <f t="shared" si="20"/>
        <v>¬</v>
      </c>
      <c r="D128" s="19"/>
      <c r="E128" s="15" t="str" cm="1">
        <f t="array" ref="E128">IF(F9="","",IFERROR(INDEX(Lists!$F$2:$F$5,SMALL(IF(Lists!$F$2:$F$5&lt;&gt;$F$9,ROW(Lists!$F$2:$F$5)-ROW(Lists!$F$2)+1),2))&amp;" Status",""))</f>
        <v>Invictus Status</v>
      </c>
      <c r="F128" s="19" t="str" cm="1">
        <f t="array" ref="F128">IF(F9="","",IFERROR(VLOOKUP(INDEX(Lists!$F$2:$F$5,SMALL(IF(Lists!$F$2:$F$5&lt;&gt;$F$9,ROW(Lists!$F$2:$F$5)-ROW(Lists!$F$2)+1),2)),tblCovenantShortName[],2,FALSE),""))</f>
        <v>Invictus</v>
      </c>
      <c r="G128" s="19"/>
      <c r="H128" s="19"/>
      <c r="I128" s="19"/>
      <c r="L128" s="4"/>
      <c r="P128" s="60">
        <f>L128</f>
        <v>0</v>
      </c>
      <c r="R128" s="61">
        <f>MAX(0,MIN(P126-1,5-L126-L127-L129))</f>
        <v>1</v>
      </c>
      <c r="Y128" s="15" t="s">
        <v>1481</v>
      </c>
      <c r="Z128" s="19"/>
      <c r="AA128" s="61" t="str">
        <f t="shared" si="21"/>
        <v/>
      </c>
    </row>
    <row r="129" spans="1:32">
      <c r="A129" s="1" t="s">
        <v>128</v>
      </c>
      <c r="B129" t="str">
        <f t="shared" si="20"/>
        <v>¬</v>
      </c>
      <c r="D129" s="19"/>
      <c r="E129" s="15" t="str" cm="1">
        <f t="array" ref="E129">IF(F9="","",IFERROR(INDEX(Lists!$F$2:$F$5,SMALL(IF(Lists!$F$2:$F$5&lt;&gt;$F$9,ROW(Lists!$F$2:$F$5)-ROW(Lists!$F$2)+1),3))&amp;" Status",""))</f>
        <v>Lancea et Sanctum Status</v>
      </c>
      <c r="F129" s="19" t="str" cm="1">
        <f t="array" ref="F129">IF(F9="","",IFERROR(VLOOKUP(INDEX(Lists!$F$2:$F$5,SMALL(IF(Lists!$F$2:$F$5&lt;&gt;$F$9,ROW(Lists!$F$2:$F$5)-ROW(Lists!$F$2)+1),3)),tblCovenantShortName[],2,FALSE),""))</f>
        <v>Lance</v>
      </c>
      <c r="G129" s="19"/>
      <c r="H129" s="19"/>
      <c r="I129" s="19"/>
      <c r="L129" s="4"/>
      <c r="P129" s="60">
        <f>L129</f>
        <v>0</v>
      </c>
      <c r="R129" s="61">
        <f>MAX(0,MIN(P126-1,5-L126-L127-L128))</f>
        <v>1</v>
      </c>
      <c r="Y129" s="15" t="s">
        <v>1482</v>
      </c>
      <c r="Z129" s="19"/>
      <c r="AA129" s="61" t="str">
        <f t="shared" si="21"/>
        <v/>
      </c>
    </row>
    <row r="130" spans="1:32">
      <c r="A130" s="1" t="s">
        <v>129</v>
      </c>
      <c r="B130" t="str">
        <f t="shared" si="20"/>
        <v>¬</v>
      </c>
      <c r="Y130" s="15" t="s">
        <v>1483</v>
      </c>
      <c r="Z130" s="19"/>
      <c r="AA130" s="61" t="str">
        <f t="shared" si="21"/>
        <v/>
      </c>
    </row>
    <row r="131" spans="1:32">
      <c r="A131" s="1" t="s">
        <v>130</v>
      </c>
      <c r="B131" t="str">
        <f t="shared" si="20"/>
        <v>¬</v>
      </c>
      <c r="D131" s="16" t="s">
        <v>1475</v>
      </c>
      <c r="E131" s="17"/>
      <c r="F131" s="16" t="s">
        <v>1446</v>
      </c>
      <c r="G131" s="17"/>
      <c r="H131" s="17"/>
      <c r="I131" s="17"/>
      <c r="Y131" s="15" t="s">
        <v>1484</v>
      </c>
      <c r="Z131" s="19"/>
      <c r="AA131" s="61" t="str">
        <f t="shared" si="21"/>
        <v/>
      </c>
    </row>
    <row r="132" spans="1:32">
      <c r="A132" s="1" t="s">
        <v>131</v>
      </c>
      <c r="B132" t="str">
        <f t="shared" si="20"/>
        <v>¬</v>
      </c>
      <c r="D132" s="19"/>
      <c r="E132" s="15" t="s">
        <v>94</v>
      </c>
      <c r="F132" s="3"/>
      <c r="G132" s="19"/>
      <c r="H132" s="19"/>
      <c r="I132" s="19"/>
      <c r="L132" s="4"/>
      <c r="M132" s="4"/>
      <c r="N132" s="4"/>
      <c r="O132" s="61">
        <f>N132</f>
        <v>0</v>
      </c>
      <c r="P132" s="60">
        <f>MIN(SUM(L132,M132,O132),R132)</f>
        <v>0</v>
      </c>
      <c r="Q132" s="61">
        <f>_xlfn.IFNA(VLOOKUP($E132,tblDomain[],3,FALSE),"")</f>
        <v>1</v>
      </c>
      <c r="R132" s="61">
        <f>_xlfn.IFNA(VLOOKUP($E132,tblDomain[],4,FALSE),"")</f>
        <v>5</v>
      </c>
      <c r="Y132" s="15" t="s">
        <v>1485</v>
      </c>
      <c r="Z132" s="19"/>
      <c r="AA132" s="61" t="str">
        <f t="shared" si="21"/>
        <v/>
      </c>
    </row>
    <row r="133" spans="1:32">
      <c r="A133" s="1" t="s">
        <v>132</v>
      </c>
      <c r="B133" t="str">
        <f t="shared" si="20"/>
        <v>¬</v>
      </c>
      <c r="D133" s="19"/>
      <c r="E133" s="15" t="s">
        <v>95</v>
      </c>
      <c r="F133" s="3"/>
      <c r="G133" s="19"/>
      <c r="H133" s="19"/>
      <c r="I133" s="19"/>
      <c r="L133" s="4"/>
      <c r="M133" s="4"/>
      <c r="N133" s="4"/>
      <c r="O133" s="61">
        <f>N133</f>
        <v>0</v>
      </c>
      <c r="P133" s="60">
        <f>MIN(SUM(L133,M133,O133),R133)</f>
        <v>0</v>
      </c>
      <c r="Q133" s="61">
        <f>_xlfn.IFNA(VLOOKUP($E133,tblDomain[],3,FALSE),"")</f>
        <v>1</v>
      </c>
      <c r="R133" s="61">
        <f>_xlfn.IFNA(VLOOKUP($E133,tblDomain[],4,FALSE),"")</f>
        <v>5</v>
      </c>
    </row>
    <row r="134" spans="1:32">
      <c r="A134" s="1" t="s">
        <v>133</v>
      </c>
      <c r="B134" t="str">
        <f t="shared" si="20"/>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2">_xlfn.LET(_xlpm.name,VLOOKUP(Y134,$E$2:$F$362,2,FALSE),_xlpm.note,VLOOKUP(Y134,$E$2:$G$362,3,FALSE),_xlpm.row,MATCH(Y134,$E$138:$E$157,0),_xlpm.dots,INDEX($P$138:$P$157,_xlpm.row),_xlpm.max,INDEX($Q$138:$Q$157,_xlpm.row),_xlpm.paid,_xlfn.IFNA(_xlpm.dots&gt;=_xlpm.max,FALSE),IF(AND(_xlpm.name&lt;&gt;"",_xlpm.paid),IF(_xlpm.note="",_xlpm.name,_xlpm.name&amp;" ("&amp;_xlpm.note&amp;")"),""))</f>
        <v>Contacts (health, politics)</v>
      </c>
      <c r="AC134" s="60" t="str" cm="1">
        <f t="array" ref="AC134">_xlfn.LET(_xlpm.raw,IFERROR(_xlfn.VSTACK(IFERROR(_xlfn._xlws.SORT(_xlfn._xlws.FILTER(AA134:AA211,AA134:AA211&lt;&gt;"")),""),IFERROR(_xlfn._xlws.SORT(_xlfn._xlws.FILTER(AA213:AA222,AA213:AA222&lt;&gt;"")),"")),""),_xlpm.sorted,IFERROR(_xlfn._xlws.FILTER(_xlpm.raw,_xlpm.raw&lt;&gt;""),""),IFERROR(LEFT(_xlpm.sorted,FIND(" (",_xlpm.sorted)-1),_xlpm.sorted))</f>
        <v>Contacts</v>
      </c>
      <c r="AD134" s="20" t="str" cm="1">
        <f t="array" ref="AD134">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health, politics</v>
      </c>
      <c r="AE134" s="20">
        <f t="shared" ref="AE134:AE153" si="23">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0</v>
      </c>
      <c r="AF134" s="61" cm="1">
        <f t="array" ref="AF134">IF(AC134="","",SUMPRODUCT(($F$138:$F$157=AC134)*($G$138:$G$157=IF(AD134="","",AD134))*$P$138:$P$157))</f>
        <v>2</v>
      </c>
    </row>
    <row r="135" spans="1:32">
      <c r="A135" s="1" t="s">
        <v>134</v>
      </c>
      <c r="B135" t="str">
        <f t="shared" si="20"/>
        <v>¬</v>
      </c>
      <c r="D135" s="19"/>
      <c r="E135" s="15" t="s">
        <v>97</v>
      </c>
      <c r="F135" s="19"/>
      <c r="G135" s="19"/>
      <c r="H135" s="19"/>
      <c r="I135" s="19"/>
      <c r="L135" s="4"/>
      <c r="M135" s="4"/>
      <c r="N135" s="4"/>
      <c r="O135" s="61">
        <f>N135</f>
        <v>0</v>
      </c>
      <c r="P135" s="60">
        <f>MIN(SUM(L135,M135,O135),R135)</f>
        <v>0</v>
      </c>
      <c r="Q135" s="61">
        <f>_xlfn.IFNA(VLOOKUP($E135,tblDomain[],3,FALSE),"")</f>
        <v>1</v>
      </c>
      <c r="R135" s="61">
        <f>_xlfn.IFNA(VLOOKUP($E135,tblDomain[],4,FALSE),"")</f>
        <v>5</v>
      </c>
      <c r="Y135" s="15" t="s">
        <v>177</v>
      </c>
      <c r="Z135" s="19"/>
      <c r="AA135" s="61" t="str">
        <f t="shared" si="22"/>
        <v/>
      </c>
      <c r="AC135" s="60"/>
      <c r="AD135" s="20"/>
      <c r="AE135" s="20" t="str">
        <f t="shared" si="23"/>
        <v/>
      </c>
      <c r="AF135" s="61" t="str" cm="1">
        <f t="array" ref="AF135">IF(AC135="","",SUMPRODUCT(($F$138:$F$157=AC135)*($G$138:$G$157=IF(AD135="","",AD135))*$P$138:$P$157))</f>
        <v/>
      </c>
    </row>
    <row r="136" spans="1:32">
      <c r="A136" s="1" t="s">
        <v>135</v>
      </c>
      <c r="B136" t="str">
        <f t="shared" si="20"/>
        <v>¬</v>
      </c>
      <c r="Y136" s="15" t="s">
        <v>178</v>
      </c>
      <c r="Z136" s="19"/>
      <c r="AA136" s="61" t="str">
        <f t="shared" si="22"/>
        <v/>
      </c>
      <c r="AC136" s="60"/>
      <c r="AD136" s="20"/>
      <c r="AE136" s="20" t="str">
        <f t="shared" si="23"/>
        <v/>
      </c>
      <c r="AF136" s="61" t="str" cm="1">
        <f t="array" ref="AF136">IF(AC136="","",SUMPRODUCT(($F$138:$F$157=AC136)*($G$138:$G$157=IF(AD136="","",AD136))*$P$138:$P$157))</f>
        <v/>
      </c>
    </row>
    <row r="137" spans="1:32">
      <c r="A137" s="1" t="s">
        <v>136</v>
      </c>
      <c r="B137" t="str">
        <f t="shared" si="20"/>
        <v>¬</v>
      </c>
      <c r="D137" s="16" t="s">
        <v>174</v>
      </c>
      <c r="E137" s="17"/>
      <c r="F137" s="17"/>
      <c r="G137" s="17"/>
      <c r="H137" s="61">
        <f>L225</f>
        <v>0</v>
      </c>
      <c r="I137" s="61">
        <f>SUM(AE134:AE155)+SUM(P125:P129)</f>
        <v>3</v>
      </c>
      <c r="Y137" s="15" t="s">
        <v>179</v>
      </c>
      <c r="Z137" s="19"/>
      <c r="AA137" s="61" t="str">
        <f t="shared" si="22"/>
        <v/>
      </c>
      <c r="AC137" s="60"/>
      <c r="AD137" s="20"/>
      <c r="AE137" s="20" t="str">
        <f t="shared" si="23"/>
        <v/>
      </c>
      <c r="AF137" s="61" t="str" cm="1">
        <f t="array" ref="AF137">IF(AC137="","",SUMPRODUCT(($F$138:$F$157=AC137)*($G$138:$G$157=IF(AD137="","",AD137))*$P$138:$P$157))</f>
        <v/>
      </c>
    </row>
    <row r="138" spans="1:32">
      <c r="A138" s="1" t="s">
        <v>137</v>
      </c>
      <c r="B138" t="str">
        <f t="shared" si="20"/>
        <v>¬</v>
      </c>
      <c r="D138" s="19"/>
      <c r="E138" s="15" t="s">
        <v>176</v>
      </c>
      <c r="F138" s="3" t="s">
        <v>413</v>
      </c>
      <c r="G138" s="3" t="s">
        <v>841</v>
      </c>
      <c r="H138" s="67" t="str">
        <f>IFERROR(IF(VLOOKUP(F138,tblManoeuvre[],8,FALSE)=0,"None",VLOOKUP(F138,tblManoeuvre[],8,FALSE)),"None")</f>
        <v>None</v>
      </c>
      <c r="I138" s="67"/>
      <c r="L138" s="4"/>
      <c r="M138" s="4">
        <v>2</v>
      </c>
      <c r="N138" s="4"/>
      <c r="O138" s="61">
        <f t="shared" ref="O138:O157" si="24">N138</f>
        <v>0</v>
      </c>
      <c r="P138" s="60">
        <f t="shared" ref="P138:P157" si="25">MIN(SUM(L138,M138,O138),R138)</f>
        <v>2</v>
      </c>
      <c r="Q138" s="61">
        <f>_xlfn.IFNA(VLOOKUP($F138,tblInfluence[],3,FALSE),"")</f>
        <v>1</v>
      </c>
      <c r="R138" s="61">
        <f>_xlfn.IFNA(VLOOKUP($F138,tblInfluence[],4,FALSE),"")</f>
        <v>5</v>
      </c>
      <c r="Y138" s="15" t="s">
        <v>180</v>
      </c>
      <c r="Z138" s="19"/>
      <c r="AA138" s="61" t="str">
        <f t="shared" si="22"/>
        <v/>
      </c>
      <c r="AC138" s="60"/>
      <c r="AD138" s="20"/>
      <c r="AE138" s="20" t="str">
        <f t="shared" si="23"/>
        <v/>
      </c>
      <c r="AF138" s="61" t="str" cm="1">
        <f t="array" ref="AF138">IF(AC138="","",SUMPRODUCT(($F$138:$F$157=AC138)*($G$138:$G$157=IF(AD138="","",AD138))*$P$138:$P$157))</f>
        <v/>
      </c>
    </row>
    <row r="139" spans="1:32">
      <c r="A139" s="1" t="s">
        <v>138</v>
      </c>
      <c r="B139" t="str">
        <f t="shared" si="20"/>
        <v>¬</v>
      </c>
      <c r="D139" s="19"/>
      <c r="E139" s="15" t="s">
        <v>177</v>
      </c>
      <c r="F139" s="3"/>
      <c r="G139" s="3"/>
      <c r="H139" s="67" t="str">
        <f>IFERROR(IF(VLOOKUP(F139,tblManoeuvre[],8,FALSE)=0,"None",VLOOKUP(F139,tblManoeuvre[],8,FALSE)),"None")</f>
        <v>None</v>
      </c>
      <c r="I139" s="67"/>
      <c r="L139" s="4"/>
      <c r="M139" s="4"/>
      <c r="N139" s="4"/>
      <c r="O139" s="61">
        <f t="shared" si="24"/>
        <v>0</v>
      </c>
      <c r="P139" s="60">
        <f t="shared" si="25"/>
        <v>0</v>
      </c>
      <c r="Q139" s="61" t="str">
        <f>_xlfn.IFNA(VLOOKUP($F139,tblInfluence[],3,FALSE),"")</f>
        <v/>
      </c>
      <c r="R139" s="61" t="str">
        <f>_xlfn.IFNA(VLOOKUP($F139,tblInfluence[],4,FALSE),"")</f>
        <v/>
      </c>
      <c r="Y139" s="15" t="s">
        <v>181</v>
      </c>
      <c r="Z139" s="19"/>
      <c r="AA139" s="61" t="str">
        <f t="shared" si="22"/>
        <v/>
      </c>
      <c r="AC139" s="60"/>
      <c r="AD139" s="20"/>
      <c r="AE139" s="20" t="str">
        <f t="shared" si="23"/>
        <v/>
      </c>
      <c r="AF139" s="61" t="str" cm="1">
        <f t="array" ref="AF139">IF(AC139="","",SUMPRODUCT(($F$138:$F$157=AC139)*($G$138:$G$157=IF(AD139="","",AD139))*$P$138:$P$157))</f>
        <v/>
      </c>
    </row>
    <row r="140" spans="1:32">
      <c r="A140" s="1" t="s">
        <v>139</v>
      </c>
      <c r="B140" t="str">
        <f t="shared" si="20"/>
        <v>¬</v>
      </c>
      <c r="D140" s="19"/>
      <c r="E140" s="15" t="s">
        <v>178</v>
      </c>
      <c r="F140" s="3"/>
      <c r="G140" s="3"/>
      <c r="H140" s="67" t="str">
        <f>IFERROR(IF(VLOOKUP(F140,tblManoeuvre[],8,FALSE)=0,"None",VLOOKUP(F140,tblManoeuvre[],8,FALSE)),"None")</f>
        <v>None</v>
      </c>
      <c r="I140" s="67"/>
      <c r="L140" s="4"/>
      <c r="M140" s="4"/>
      <c r="N140" s="4"/>
      <c r="O140" s="61">
        <f t="shared" si="24"/>
        <v>0</v>
      </c>
      <c r="P140" s="60">
        <f t="shared" si="25"/>
        <v>0</v>
      </c>
      <c r="Q140" s="61" t="str">
        <f>_xlfn.IFNA(VLOOKUP($F140,tblInfluence[],3,FALSE),"")</f>
        <v/>
      </c>
      <c r="R140" s="61" t="str">
        <f>_xlfn.IFNA(VLOOKUP($F140,tblInfluence[],4,FALSE),"")</f>
        <v/>
      </c>
      <c r="Y140" s="15" t="s">
        <v>182</v>
      </c>
      <c r="Z140" s="19"/>
      <c r="AA140" s="61" t="str">
        <f t="shared" si="22"/>
        <v/>
      </c>
      <c r="AC140" s="60"/>
      <c r="AD140" s="20"/>
      <c r="AE140" s="20" t="str">
        <f t="shared" si="23"/>
        <v/>
      </c>
      <c r="AF140" s="61" t="str" cm="1">
        <f t="array" ref="AF140">IF(AC140="","",SUMPRODUCT(($F$138:$F$157=AC140)*($G$138:$G$157=IF(AD140="","",AD140))*$P$138:$P$157))</f>
        <v/>
      </c>
    </row>
    <row r="141" spans="1:32">
      <c r="A141" s="1" t="s">
        <v>140</v>
      </c>
      <c r="B141" t="str">
        <f t="shared" si="20"/>
        <v>¬</v>
      </c>
      <c r="D141" s="19"/>
      <c r="E141" s="15" t="s">
        <v>179</v>
      </c>
      <c r="F141" s="3"/>
      <c r="G141" s="3" t="str">
        <f>IFERROR(VLOOKUP(F141,tblManoeuvre[#Data],2,FALSE)&amp;" "&amp;VLOOKUP(F141,tblManoeuvre[#Data],3,FALSE),"")</f>
        <v/>
      </c>
      <c r="H141" s="67" t="str">
        <f>IFERROR(IF(VLOOKUP(F141,tblManoeuvre[],8,FALSE)=0,"None",VLOOKUP(F141,tblManoeuvre[],8,FALSE)),"None")</f>
        <v>None</v>
      </c>
      <c r="I141" s="67"/>
      <c r="L141" s="4"/>
      <c r="M141" s="4"/>
      <c r="N141" s="4"/>
      <c r="O141" s="61">
        <f t="shared" si="24"/>
        <v>0</v>
      </c>
      <c r="P141" s="60">
        <f t="shared" si="25"/>
        <v>0</v>
      </c>
      <c r="Q141" s="61" t="str">
        <f>_xlfn.IFNA(VLOOKUP($F141,tblInfluence[],3,FALSE),"")</f>
        <v/>
      </c>
      <c r="R141" s="61" t="str">
        <f>_xlfn.IFNA(VLOOKUP($F141,tblInfluence[],4,FALSE),"")</f>
        <v/>
      </c>
      <c r="Y141" s="15" t="s">
        <v>183</v>
      </c>
      <c r="Z141" s="19"/>
      <c r="AA141" s="61" t="str">
        <f t="shared" si="22"/>
        <v/>
      </c>
      <c r="AC141" s="60"/>
      <c r="AD141" s="20"/>
      <c r="AE141" s="20" t="str">
        <f t="shared" si="23"/>
        <v/>
      </c>
      <c r="AF141" s="61" t="str" cm="1">
        <f t="array" ref="AF141">IF(AC141="","",SUMPRODUCT(($F$138:$F$157=AC141)*($G$138:$G$157=IF(AD141="","",AD141))*$P$138:$P$157))</f>
        <v/>
      </c>
    </row>
    <row r="142" spans="1:32">
      <c r="A142" s="1" t="s">
        <v>141</v>
      </c>
      <c r="B142" t="str">
        <f t="shared" si="20"/>
        <v>¬</v>
      </c>
      <c r="D142" s="19"/>
      <c r="E142" s="15" t="s">
        <v>180</v>
      </c>
      <c r="F142" s="3"/>
      <c r="G142" s="3" t="str">
        <f>IFERROR(VLOOKUP(F142,tblManoeuvre[#Data],2,FALSE)&amp;" "&amp;VLOOKUP(F142,tblManoeuvre[#Data],3,FALSE),"")</f>
        <v/>
      </c>
      <c r="H142" s="67" t="str">
        <f>IFERROR(IF(VLOOKUP(F142,tblManoeuvre[],8,FALSE)=0,"None",VLOOKUP(F142,tblManoeuvre[],8,FALSE)),"None")</f>
        <v>None</v>
      </c>
      <c r="I142" s="67"/>
      <c r="L142" s="4"/>
      <c r="M142" s="4"/>
      <c r="N142" s="4"/>
      <c r="O142" s="61">
        <f t="shared" si="24"/>
        <v>0</v>
      </c>
      <c r="P142" s="60">
        <f t="shared" si="25"/>
        <v>0</v>
      </c>
      <c r="Q142" s="61" t="str">
        <f>_xlfn.IFNA(VLOOKUP($F142,tblInfluence[],3,FALSE),"")</f>
        <v/>
      </c>
      <c r="R142" s="61" t="str">
        <f>_xlfn.IFNA(VLOOKUP($F142,tblInfluence[],4,FALSE),"")</f>
        <v/>
      </c>
      <c r="Y142" s="15" t="s">
        <v>184</v>
      </c>
      <c r="Z142" s="19"/>
      <c r="AA142" s="61" t="str">
        <f t="shared" si="22"/>
        <v/>
      </c>
      <c r="AC142" s="60"/>
      <c r="AD142" s="20"/>
      <c r="AE142" s="20" t="str">
        <f t="shared" si="23"/>
        <v/>
      </c>
      <c r="AF142" s="61" t="str" cm="1">
        <f t="array" ref="AF142">IF(AC142="","",SUMPRODUCT(($F$138:$F$157=AC142)*($G$138:$G$157=IF(AD142="","",AD142))*$P$138:$P$157))</f>
        <v/>
      </c>
    </row>
    <row r="143" spans="1:32">
      <c r="A143" s="1" t="s">
        <v>142</v>
      </c>
      <c r="B143" t="str">
        <f t="shared" si="20"/>
        <v>¬</v>
      </c>
      <c r="D143" s="19"/>
      <c r="E143" s="15" t="s">
        <v>181</v>
      </c>
      <c r="F143" s="3"/>
      <c r="G143" s="3" t="str">
        <f>IFERROR(VLOOKUP(F143,tblManoeuvre[#Data],2,FALSE)&amp;" "&amp;VLOOKUP(F143,tblManoeuvre[#Data],3,FALSE),"")</f>
        <v/>
      </c>
      <c r="H143" s="67" t="str">
        <f>IFERROR(IF(VLOOKUP(F143,tblManoeuvre[],8,FALSE)=0,"None",VLOOKUP(F143,tblManoeuvre[],8,FALSE)),"None")</f>
        <v>None</v>
      </c>
      <c r="I143" s="67"/>
      <c r="L143" s="4"/>
      <c r="M143" s="4"/>
      <c r="N143" s="4"/>
      <c r="O143" s="61">
        <f t="shared" si="24"/>
        <v>0</v>
      </c>
      <c r="P143" s="60">
        <f t="shared" si="25"/>
        <v>0</v>
      </c>
      <c r="Q143" s="61" t="str">
        <f>_xlfn.IFNA(VLOOKUP($F143,tblInfluence[],3,FALSE),"")</f>
        <v/>
      </c>
      <c r="R143" s="61" t="str">
        <f>_xlfn.IFNA(VLOOKUP($F143,tblInfluence[],4,FALSE),"")</f>
        <v/>
      </c>
      <c r="Y143" s="15" t="s">
        <v>185</v>
      </c>
      <c r="Z143" s="19"/>
      <c r="AA143" s="61" t="str">
        <f t="shared" si="22"/>
        <v/>
      </c>
      <c r="AC143" s="60"/>
      <c r="AD143" s="20"/>
      <c r="AE143" s="20" t="str">
        <f t="shared" si="23"/>
        <v/>
      </c>
      <c r="AF143" s="61" t="str" cm="1">
        <f t="array" ref="AF143">IF(AC143="","",SUMPRODUCT(($F$138:$F$157=AC143)*($G$138:$G$157=IF(AD143="","",AD143))*$P$138:$P$157))</f>
        <v/>
      </c>
    </row>
    <row r="144" spans="1:32">
      <c r="A144" s="1" t="s">
        <v>143</v>
      </c>
      <c r="B144" t="str">
        <f t="shared" si="20"/>
        <v>¬</v>
      </c>
      <c r="D144" s="19"/>
      <c r="E144" s="15" t="s">
        <v>182</v>
      </c>
      <c r="F144" s="3"/>
      <c r="G144" s="3" t="str">
        <f>IFERROR(VLOOKUP(F144,tblManoeuvre[#Data],2,FALSE)&amp;" "&amp;VLOOKUP(F144,tblManoeuvre[#Data],3,FALSE),"")</f>
        <v/>
      </c>
      <c r="H144" s="67" t="str">
        <f>IFERROR(IF(VLOOKUP(F144,tblManoeuvre[],8,FALSE)=0,"None",VLOOKUP(F144,tblManoeuvre[],8,FALSE)),"None")</f>
        <v>None</v>
      </c>
      <c r="I144" s="67"/>
      <c r="L144" s="4"/>
      <c r="M144" s="4"/>
      <c r="N144" s="4"/>
      <c r="O144" s="61">
        <f t="shared" si="24"/>
        <v>0</v>
      </c>
      <c r="P144" s="60">
        <f t="shared" si="25"/>
        <v>0</v>
      </c>
      <c r="Q144" s="61" t="str">
        <f>_xlfn.IFNA(VLOOKUP($F144,tblInfluence[],3,FALSE),"")</f>
        <v/>
      </c>
      <c r="R144" s="61" t="str">
        <f>_xlfn.IFNA(VLOOKUP($F144,tblInfluence[],4,FALSE),"")</f>
        <v/>
      </c>
      <c r="Y144" s="15" t="s">
        <v>186</v>
      </c>
      <c r="Z144" s="19"/>
      <c r="AA144" s="61" t="str">
        <f t="shared" si="22"/>
        <v/>
      </c>
      <c r="AC144" s="60"/>
      <c r="AD144" s="20"/>
      <c r="AE144" s="20" t="str">
        <f t="shared" si="23"/>
        <v/>
      </c>
      <c r="AF144" s="61" t="str" cm="1">
        <f t="array" ref="AF144">IF(AC144="","",SUMPRODUCT(($F$138:$F$157=AC144)*($G$138:$G$157=IF(AD144="","",AD144))*$P$138:$P$157))</f>
        <v/>
      </c>
    </row>
    <row r="145" spans="1:32">
      <c r="A145" s="1" t="s">
        <v>144</v>
      </c>
      <c r="B145" t="str">
        <f t="shared" ref="B145:B174" si="26">IF(AF2="","¬",AF2)</f>
        <v>Monthly, access Carthian Status in dots of Allies, Contacts, Haven or Herd.</v>
      </c>
      <c r="D145" s="19"/>
      <c r="E145" s="15" t="s">
        <v>183</v>
      </c>
      <c r="F145" s="3"/>
      <c r="G145" s="3" t="str">
        <f>IFERROR(VLOOKUP(F145,tblManoeuvre[#Data],2,FALSE)&amp;" "&amp;VLOOKUP(F145,tblManoeuvre[#Data],3,FALSE),"")</f>
        <v/>
      </c>
      <c r="H145" s="67" t="str">
        <f>IFERROR(IF(VLOOKUP(F145,tblManoeuvre[],8,FALSE)=0,"None",VLOOKUP(F145,tblManoeuvre[],8,FALSE)),"None")</f>
        <v>None</v>
      </c>
      <c r="I145" s="67"/>
      <c r="L145" s="4"/>
      <c r="M145" s="4"/>
      <c r="N145" s="4"/>
      <c r="O145" s="61">
        <f t="shared" si="24"/>
        <v>0</v>
      </c>
      <c r="P145" s="60">
        <f t="shared" si="25"/>
        <v>0</v>
      </c>
      <c r="Q145" s="61" t="str">
        <f>_xlfn.IFNA(VLOOKUP($F145,tblInfluence[],3,FALSE),"")</f>
        <v/>
      </c>
      <c r="R145" s="61" t="str">
        <f>_xlfn.IFNA(VLOOKUP($F145,tblInfluence[],4,FALSE),"")</f>
        <v/>
      </c>
      <c r="Y145" s="15" t="s">
        <v>187</v>
      </c>
      <c r="Z145" s="19"/>
      <c r="AA145" s="61" t="str">
        <f t="shared" si="22"/>
        <v/>
      </c>
      <c r="AC145" s="60"/>
      <c r="AD145" s="20"/>
      <c r="AE145" s="20" t="str">
        <f t="shared" si="23"/>
        <v/>
      </c>
      <c r="AF145" s="61" t="str" cm="1">
        <f t="array" ref="AF145">IF(AC145="","",SUMPRODUCT(($F$138:$F$157=AC145)*($G$138:$G$157=IF(AD145="","",AD145))*$P$138:$P$157))</f>
        <v/>
      </c>
    </row>
    <row r="146" spans="1:32">
      <c r="A146" s="1" t="s">
        <v>145</v>
      </c>
      <c r="B146" t="str">
        <f t="shared" si="26"/>
        <v>Intelligence + Medicine for an hour to reduce vampire's lethal to bashing.</v>
      </c>
      <c r="D146" s="19"/>
      <c r="E146" s="15" t="s">
        <v>184</v>
      </c>
      <c r="F146" s="3"/>
      <c r="G146" s="3" t="str">
        <f>IFERROR(VLOOKUP(F146,tblManoeuvre[#Data],2,FALSE)&amp;" "&amp;VLOOKUP(F146,tblManoeuvre[#Data],3,FALSE),"")</f>
        <v/>
      </c>
      <c r="H146" s="67" t="str">
        <f>IFERROR(IF(VLOOKUP(F146,tblManoeuvre[],8,FALSE)=0,"None",VLOOKUP(F146,tblManoeuvre[],8,FALSE)),"None")</f>
        <v>None</v>
      </c>
      <c r="I146" s="67"/>
      <c r="L146" s="4"/>
      <c r="M146" s="4"/>
      <c r="N146" s="4"/>
      <c r="O146" s="61">
        <f t="shared" si="24"/>
        <v>0</v>
      </c>
      <c r="P146" s="60">
        <f t="shared" si="25"/>
        <v>0</v>
      </c>
      <c r="Q146" s="61" t="str">
        <f>_xlfn.IFNA(VLOOKUP($F146,tblInfluence[],3,FALSE),"")</f>
        <v/>
      </c>
      <c r="R146" s="61" t="str">
        <f>_xlfn.IFNA(VLOOKUP($F146,tblInfluence[],4,FALSE),"")</f>
        <v/>
      </c>
      <c r="Y146" s="15" t="s">
        <v>188</v>
      </c>
      <c r="Z146" s="19"/>
      <c r="AA146" s="61" t="str">
        <f t="shared" si="22"/>
        <v/>
      </c>
      <c r="AC146" s="60"/>
      <c r="AD146" s="20"/>
      <c r="AE146" s="20" t="str">
        <f t="shared" si="23"/>
        <v/>
      </c>
      <c r="AF146" s="61" t="str" cm="1">
        <f t="array" ref="AF146">IF(AC146="","",SUMPRODUCT(($F$138:$F$157=AC146)*($G$138:$G$157=IF(AD146="","",AD146))*$P$138:$P$157))</f>
        <v/>
      </c>
    </row>
    <row r="147" spans="1:32">
      <c r="A147" s="1" t="s">
        <v>146</v>
      </c>
      <c r="B147" t="str">
        <f t="shared" si="26"/>
        <v>Add this Merit's dots to your dice pool when lashing out with the chosen Aspect.</v>
      </c>
      <c r="D147" s="19"/>
      <c r="E147" s="15" t="s">
        <v>185</v>
      </c>
      <c r="F147" s="3"/>
      <c r="G147" s="3" t="str">
        <f>IFERROR(VLOOKUP(F147,tblManoeuvre[#Data],2,FALSE)&amp;" "&amp;VLOOKUP(F147,tblManoeuvre[#Data],3,FALSE),"")</f>
        <v/>
      </c>
      <c r="H147" s="67" t="str">
        <f>IFERROR(IF(VLOOKUP(F147,tblManoeuvre[],8,FALSE)=0,"None",VLOOKUP(F147,tblManoeuvre[],8,FALSE)),"None")</f>
        <v>None</v>
      </c>
      <c r="I147" s="67"/>
      <c r="L147" s="4"/>
      <c r="M147" s="4"/>
      <c r="N147" s="4"/>
      <c r="O147" s="61">
        <f t="shared" si="24"/>
        <v>0</v>
      </c>
      <c r="P147" s="60">
        <f t="shared" si="25"/>
        <v>0</v>
      </c>
      <c r="Q147" s="61" t="str">
        <f>_xlfn.IFNA(VLOOKUP($F147,tblInfluence[],3,FALSE),"")</f>
        <v/>
      </c>
      <c r="R147" s="61" t="str">
        <f>_xlfn.IFNA(VLOOKUP($F147,tblInfluence[],4,FALSE),"")</f>
        <v/>
      </c>
      <c r="Y147" s="15" t="s">
        <v>189</v>
      </c>
      <c r="Z147" s="19"/>
      <c r="AA147" s="61" t="str">
        <f t="shared" si="22"/>
        <v/>
      </c>
      <c r="AC147" s="60"/>
      <c r="AD147" s="20"/>
      <c r="AE147" s="20" t="str">
        <f t="shared" si="23"/>
        <v/>
      </c>
      <c r="AF147" s="61" t="str" cm="1">
        <f t="array" ref="AF147">IF(AC147="","",SUMPRODUCT(($F$138:$F$157=AC147)*($G$138:$G$157=IF(AD147="","",AD147))*$P$138:$P$157))</f>
        <v/>
      </c>
    </row>
    <row r="148" spans="1:32">
      <c r="A148" s="1" t="s">
        <v>147</v>
      </c>
      <c r="B148" t="str">
        <f t="shared" si="26"/>
        <v>Voluntarily take the chosen Aspect's Condition at any time to resolve it for Beats.</v>
      </c>
      <c r="D148" s="19"/>
      <c r="E148" s="15" t="s">
        <v>186</v>
      </c>
      <c r="F148" s="3"/>
      <c r="G148" s="3" t="str">
        <f>IFERROR(VLOOKUP(F148,tblManoeuvre[#Data],2,FALSE)&amp;" "&amp;VLOOKUP(F148,tblManoeuvre[#Data],3,FALSE),"")</f>
        <v/>
      </c>
      <c r="H148" s="67" t="str">
        <f>IFERROR(IF(VLOOKUP(F148,tblManoeuvre[],8,FALSE)=0,"None",VLOOKUP(F148,tblManoeuvre[],8,FALSE)),"None")</f>
        <v>None</v>
      </c>
      <c r="I148" s="67"/>
      <c r="L148" s="4"/>
      <c r="M148" s="4"/>
      <c r="N148" s="4"/>
      <c r="O148" s="61">
        <f t="shared" si="24"/>
        <v>0</v>
      </c>
      <c r="P148" s="60">
        <f t="shared" si="25"/>
        <v>0</v>
      </c>
      <c r="Q148" s="61" t="str">
        <f>_xlfn.IFNA(VLOOKUP($F148,tblInfluence[],3,FALSE),"")</f>
        <v/>
      </c>
      <c r="R148" s="61" t="str">
        <f>_xlfn.IFNA(VLOOKUP($F148,tblInfluence[],4,FALSE),"")</f>
        <v/>
      </c>
      <c r="Y148" s="15" t="s">
        <v>190</v>
      </c>
      <c r="Z148" s="19"/>
      <c r="AA148" s="61" t="str">
        <f t="shared" si="22"/>
        <v/>
      </c>
      <c r="AC148" s="60"/>
      <c r="AD148" s="20"/>
      <c r="AE148" s="20" t="str">
        <f t="shared" si="23"/>
        <v/>
      </c>
      <c r="AF148" s="61" t="str" cm="1">
        <f t="array" ref="AF148">IF(AC148="","",SUMPRODUCT(($F$138:$F$157=AC148)*($G$138:$G$157=IF(AD148="","",AD148))*$P$138:$P$157))</f>
        <v/>
      </c>
    </row>
    <row r="149" spans="1:32">
      <c r="A149" s="1" t="s">
        <v>148</v>
      </c>
      <c r="B149" t="str">
        <f t="shared" si="26"/>
        <v>On a successful lash out, forgo the normal Condition to instead impose Subservient, limited to commands fitting the chosen Aspect.</v>
      </c>
      <c r="D149" s="19"/>
      <c r="E149" s="15" t="s">
        <v>187</v>
      </c>
      <c r="F149" s="3"/>
      <c r="G149" s="3" t="str">
        <f>IFERROR(VLOOKUP(F149,tblManoeuvre[#Data],2,FALSE)&amp;" "&amp;VLOOKUP(F149,tblManoeuvre[#Data],3,FALSE),"")</f>
        <v/>
      </c>
      <c r="H149" s="67" t="str">
        <f>IFERROR(IF(VLOOKUP(F149,tblManoeuvre[],8,FALSE)=0,"None",VLOOKUP(F149,tblManoeuvre[],8,FALSE)),"None")</f>
        <v>None</v>
      </c>
      <c r="I149" s="67"/>
      <c r="L149" s="4"/>
      <c r="M149" s="4"/>
      <c r="N149" s="4"/>
      <c r="O149" s="61">
        <f t="shared" si="24"/>
        <v>0</v>
      </c>
      <c r="P149" s="60">
        <f t="shared" si="25"/>
        <v>0</v>
      </c>
      <c r="Q149" s="61" t="str">
        <f>_xlfn.IFNA(VLOOKUP($F149,tblInfluence[],3,FALSE),"")</f>
        <v/>
      </c>
      <c r="R149" s="61" t="str">
        <f>_xlfn.IFNA(VLOOKUP($F149,tblInfluence[],4,FALSE),"")</f>
        <v/>
      </c>
      <c r="Y149" s="15" t="s">
        <v>191</v>
      </c>
      <c r="Z149" s="19"/>
      <c r="AA149" s="61" t="str">
        <f t="shared" si="22"/>
        <v/>
      </c>
      <c r="AC149" s="60"/>
      <c r="AD149" s="20"/>
      <c r="AE149" s="20" t="str">
        <f t="shared" si="23"/>
        <v/>
      </c>
      <c r="AF149" s="61" t="str" cm="1">
        <f t="array" ref="AF149">IF(AC149="","",SUMPRODUCT(($F$138:$F$157=AC149)*($G$138:$G$157=IF(AD149="","",AD149))*$P$138:$P$157))</f>
        <v/>
      </c>
    </row>
    <row r="150" spans="1:32">
      <c r="A150" s="1" t="s">
        <v>149</v>
      </c>
      <c r="B150" t="str">
        <f t="shared" si="26"/>
        <v>¬</v>
      </c>
      <c r="D150" s="19"/>
      <c r="E150" s="15" t="s">
        <v>188</v>
      </c>
      <c r="F150" s="3"/>
      <c r="G150" s="3" t="str">
        <f>IFERROR(VLOOKUP(F150,tblManoeuvre[#Data],2,FALSE)&amp;" "&amp;VLOOKUP(F150,tblManoeuvre[#Data],3,FALSE),"")</f>
        <v/>
      </c>
      <c r="H150" s="67" t="str">
        <f>IFERROR(IF(VLOOKUP(F150,tblManoeuvre[],8,FALSE)=0,"None",VLOOKUP(F150,tblManoeuvre[],8,FALSE)),"None")</f>
        <v>None</v>
      </c>
      <c r="I150" s="67"/>
      <c r="L150" s="4"/>
      <c r="M150" s="4"/>
      <c r="N150" s="4"/>
      <c r="O150" s="61">
        <f t="shared" si="24"/>
        <v>0</v>
      </c>
      <c r="P150" s="60">
        <f t="shared" si="25"/>
        <v>0</v>
      </c>
      <c r="Q150" s="61" t="str">
        <f>_xlfn.IFNA(VLOOKUP($F150,tblInfluence[],3,FALSE),"")</f>
        <v/>
      </c>
      <c r="R150" s="61" t="str">
        <f>_xlfn.IFNA(VLOOKUP($F150,tblInfluence[],4,FALSE),"")</f>
        <v/>
      </c>
      <c r="Y150" s="15" t="s">
        <v>192</v>
      </c>
      <c r="Z150" s="19"/>
      <c r="AA150" s="61" t="str">
        <f t="shared" si="22"/>
        <v/>
      </c>
      <c r="AC150" s="60"/>
      <c r="AD150" s="20"/>
      <c r="AE150" s="20" t="str">
        <f t="shared" si="23"/>
        <v/>
      </c>
      <c r="AF150" s="61" t="str" cm="1">
        <f t="array" ref="AF150">IF(AC150="","",SUMPRODUCT(($F$138:$F$157=AC150)*($G$138:$G$157=IF(AD150="","",AD150))*$P$138:$P$157))</f>
        <v/>
      </c>
    </row>
    <row r="151" spans="1:32">
      <c r="A151" s="1" t="s">
        <v>150</v>
      </c>
      <c r="B151" t="str">
        <f t="shared" si="26"/>
        <v>¬</v>
      </c>
      <c r="D151" s="19"/>
      <c r="E151" s="15" t="s">
        <v>189</v>
      </c>
      <c r="F151" s="3"/>
      <c r="G151" s="3" t="str">
        <f>IFERROR(VLOOKUP(F151,tblManoeuvre[#Data],2,FALSE)&amp;" "&amp;VLOOKUP(F151,tblManoeuvre[#Data],3,FALSE),"")</f>
        <v/>
      </c>
      <c r="H151" s="67" t="str">
        <f>IFERROR(IF(VLOOKUP(F151,tblManoeuvre[],8,FALSE)=0,"None",VLOOKUP(F151,tblManoeuvre[],8,FALSE)),"None")</f>
        <v>None</v>
      </c>
      <c r="I151" s="67"/>
      <c r="L151" s="4"/>
      <c r="M151" s="4"/>
      <c r="N151" s="4"/>
      <c r="O151" s="61">
        <f t="shared" si="24"/>
        <v>0</v>
      </c>
      <c r="P151" s="60">
        <f t="shared" si="25"/>
        <v>0</v>
      </c>
      <c r="Q151" s="61" t="str">
        <f>_xlfn.IFNA(VLOOKUP($F151,tblInfluence[],3,FALSE),"")</f>
        <v/>
      </c>
      <c r="R151" s="61" t="str">
        <f>_xlfn.IFNA(VLOOKUP($F151,tblInfluence[],4,FALSE),"")</f>
        <v/>
      </c>
      <c r="Y151" s="15" t="s">
        <v>193</v>
      </c>
      <c r="Z151" s="19"/>
      <c r="AA151" s="61" t="str">
        <f t="shared" si="22"/>
        <v/>
      </c>
      <c r="AC151" s="60"/>
      <c r="AD151" s="20"/>
      <c r="AE151" s="20" t="str">
        <f t="shared" si="23"/>
        <v/>
      </c>
      <c r="AF151" s="61" t="str" cm="1">
        <f t="array" ref="AF151">IF(AC151="","",SUMPRODUCT(($F$138:$F$157=AC151)*($G$138:$G$157=IF(AD151="","",AD151))*$P$138:$P$157))</f>
        <v/>
      </c>
    </row>
    <row r="152" spans="1:32">
      <c r="A152" s="1" t="s">
        <v>151</v>
      </c>
      <c r="B152" t="str">
        <f t="shared" si="26"/>
        <v>¬</v>
      </c>
      <c r="D152" s="19"/>
      <c r="E152" s="15" t="s">
        <v>190</v>
      </c>
      <c r="F152" s="3"/>
      <c r="G152" s="3" t="str">
        <f>IFERROR(VLOOKUP(F152,tblManoeuvre[#Data],2,FALSE)&amp;" "&amp;VLOOKUP(F152,tblManoeuvre[#Data],3,FALSE),"")</f>
        <v/>
      </c>
      <c r="H152" s="67" t="str">
        <f>IFERROR(IF(VLOOKUP(F152,tblManoeuvre[],8,FALSE)=0,"None",VLOOKUP(F152,tblManoeuvre[],8,FALSE)),"None")</f>
        <v>None</v>
      </c>
      <c r="I152" s="67"/>
      <c r="L152" s="4"/>
      <c r="M152" s="4"/>
      <c r="N152" s="4"/>
      <c r="O152" s="61">
        <f t="shared" si="24"/>
        <v>0</v>
      </c>
      <c r="P152" s="60">
        <f t="shared" si="25"/>
        <v>0</v>
      </c>
      <c r="Q152" s="61" t="str">
        <f>_xlfn.IFNA(VLOOKUP($F152,tblInfluence[],3,FALSE),"")</f>
        <v/>
      </c>
      <c r="R152" s="61" t="str">
        <f>_xlfn.IFNA(VLOOKUP($F152,tblInfluence[],4,FALSE),"")</f>
        <v/>
      </c>
      <c r="Y152" s="15" t="s">
        <v>194</v>
      </c>
      <c r="Z152" s="19"/>
      <c r="AA152" s="61" t="str">
        <f t="shared" si="22"/>
        <v/>
      </c>
      <c r="AC152" s="60"/>
      <c r="AD152" s="20"/>
      <c r="AE152" s="20" t="str">
        <f t="shared" si="23"/>
        <v/>
      </c>
      <c r="AF152" s="61" t="str" cm="1">
        <f t="array" ref="AF152">IF(AC152="","",SUMPRODUCT(($F$138:$F$157=AC152)*($G$138:$G$157=IF(AD152="","",AD152))*$P$138:$P$157))</f>
        <v/>
      </c>
    </row>
    <row r="153" spans="1:32">
      <c r="A153" s="1" t="s">
        <v>152</v>
      </c>
      <c r="B153" t="str">
        <f t="shared" si="26"/>
        <v>¬</v>
      </c>
      <c r="D153" s="19"/>
      <c r="E153" s="15" t="s">
        <v>191</v>
      </c>
      <c r="F153" s="3"/>
      <c r="G153" s="3" t="str">
        <f>IFERROR(VLOOKUP(F153,tblManoeuvre[#Data],2,FALSE)&amp;" "&amp;VLOOKUP(F153,tblManoeuvre[#Data],3,FALSE),"")</f>
        <v/>
      </c>
      <c r="H153" s="67" t="str">
        <f>IFERROR(IF(VLOOKUP(F153,tblManoeuvre[],8,FALSE)=0,"None",VLOOKUP(F153,tblManoeuvre[],8,FALSE)),"None")</f>
        <v>None</v>
      </c>
      <c r="I153" s="67"/>
      <c r="L153" s="4"/>
      <c r="M153" s="4"/>
      <c r="N153" s="4"/>
      <c r="O153" s="61">
        <f t="shared" si="24"/>
        <v>0</v>
      </c>
      <c r="P153" s="60">
        <f t="shared" si="25"/>
        <v>0</v>
      </c>
      <c r="Q153" s="61" t="str">
        <f>_xlfn.IFNA(VLOOKUP($F153,tblInfluence[],3,FALSE),"")</f>
        <v/>
      </c>
      <c r="R153" s="61" t="str">
        <f>_xlfn.IFNA(VLOOKUP($F153,tblInfluence[],4,FALSE),"")</f>
        <v/>
      </c>
      <c r="Y153" s="15" t="s">
        <v>195</v>
      </c>
      <c r="Z153" s="19"/>
      <c r="AA153" s="61" t="str">
        <f t="shared" si="22"/>
        <v/>
      </c>
      <c r="AC153" s="60"/>
      <c r="AD153" s="20"/>
      <c r="AE153" s="20" t="str">
        <f t="shared" si="23"/>
        <v/>
      </c>
      <c r="AF153" s="61" t="str" cm="1">
        <f t="array" ref="AF153">IF(AC153="","",SUMPRODUCT(($F$138:$F$157=AC153)*($G$138:$G$157=IF(AD153="","",AD153))*$P$138:$P$157))</f>
        <v/>
      </c>
    </row>
    <row r="154" spans="1:32">
      <c r="A154" s="1" t="s">
        <v>153</v>
      </c>
      <c r="B154" t="str">
        <f t="shared" si="26"/>
        <v>¬</v>
      </c>
      <c r="D154" s="19"/>
      <c r="E154" s="15" t="s">
        <v>192</v>
      </c>
      <c r="F154" s="3"/>
      <c r="G154" s="3" t="str">
        <f>IFERROR(VLOOKUP(F154,tblManoeuvre[#Data],2,FALSE)&amp;" "&amp;VLOOKUP(F154,tblManoeuvre[#Data],3,FALSE),"")</f>
        <v/>
      </c>
      <c r="H154" s="67" t="str">
        <f>IFERROR(IF(VLOOKUP(F154,tblManoeuvre[],8,FALSE)=0,"None",VLOOKUP(F154,tblManoeuvre[],8,FALSE)),"None")</f>
        <v>None</v>
      </c>
      <c r="I154" s="67"/>
      <c r="L154" s="4"/>
      <c r="M154" s="4"/>
      <c r="N154" s="4"/>
      <c r="O154" s="61">
        <f t="shared" si="24"/>
        <v>0</v>
      </c>
      <c r="P154" s="60">
        <f t="shared" si="25"/>
        <v>0</v>
      </c>
      <c r="Q154" s="61" t="str">
        <f>_xlfn.IFNA(VLOOKUP($F154,tblInfluence[],3,FALSE),"")</f>
        <v/>
      </c>
      <c r="R154" s="61" t="str">
        <f>_xlfn.IFNA(VLOOKUP($F154,tblInfluence[],4,FALSE),"")</f>
        <v/>
      </c>
    </row>
    <row r="155" spans="1:32">
      <c r="A155" s="1" t="s">
        <v>154</v>
      </c>
      <c r="B155" t="str">
        <f t="shared" si="26"/>
        <v>¬</v>
      </c>
      <c r="D155" s="19"/>
      <c r="E155" s="15" t="s">
        <v>193</v>
      </c>
      <c r="F155" s="3"/>
      <c r="G155" s="3" t="str">
        <f>IFERROR(VLOOKUP(F155,tblManoeuvre[#Data],2,FALSE)&amp;" "&amp;VLOOKUP(F155,tblManoeuvre[#Data],3,FALSE),"")</f>
        <v/>
      </c>
      <c r="H155" s="67" t="str">
        <f>IFERROR(IF(VLOOKUP(F155,tblManoeuvre[],8,FALSE)=0,"None",VLOOKUP(F155,tblManoeuvre[],8,FALSE)),"None")</f>
        <v>None</v>
      </c>
      <c r="I155" s="67"/>
      <c r="L155" s="4"/>
      <c r="M155" s="4"/>
      <c r="N155" s="4"/>
      <c r="O155" s="61">
        <f t="shared" si="24"/>
        <v>0</v>
      </c>
      <c r="P155" s="60">
        <f t="shared" si="25"/>
        <v>0</v>
      </c>
      <c r="Q155" s="61" t="str">
        <f>_xlfn.IFNA(VLOOKUP($F155,tblInfluence[],3,FALSE),"")</f>
        <v/>
      </c>
      <c r="R155" s="61" t="str">
        <f>_xlfn.IFNA(VLOOKUP($F155,tblInfluence[],4,FALSE),"")</f>
        <v/>
      </c>
      <c r="AE155" s="61">
        <f>IF(P160=5,1,0)</f>
        <v>0</v>
      </c>
    </row>
    <row r="156" spans="1:32">
      <c r="A156" s="1" t="s">
        <v>155</v>
      </c>
      <c r="B156" t="str">
        <f t="shared" si="26"/>
        <v>¬</v>
      </c>
      <c r="D156" s="19"/>
      <c r="E156" s="15" t="s">
        <v>194</v>
      </c>
      <c r="F156" s="3"/>
      <c r="G156" s="3" t="str">
        <f>IFERROR(VLOOKUP(F156,tblManoeuvre[#Data],2,FALSE)&amp;" "&amp;VLOOKUP(F156,tblManoeuvre[#Data],3,FALSE),"")</f>
        <v/>
      </c>
      <c r="H156" s="67" t="str">
        <f>IFERROR(IF(VLOOKUP(F156,tblManoeuvre[],8,FALSE)=0,"None",VLOOKUP(F156,tblManoeuvre[],8,FALSE)),"None")</f>
        <v>None</v>
      </c>
      <c r="I156" s="67"/>
      <c r="L156" s="4"/>
      <c r="M156" s="4"/>
      <c r="N156" s="4"/>
      <c r="O156" s="61">
        <f t="shared" si="24"/>
        <v>0</v>
      </c>
      <c r="P156" s="60">
        <f t="shared" si="25"/>
        <v>0</v>
      </c>
      <c r="Q156" s="61" t="str">
        <f>_xlfn.IFNA(VLOOKUP($F156,tblInfluence[],3,FALSE),"")</f>
        <v/>
      </c>
      <c r="R156" s="61" t="str">
        <f>_xlfn.IFNA(VLOOKUP($F156,tblInfluence[],4,FALSE),"")</f>
        <v/>
      </c>
      <c r="AE156" s="61" t="b">
        <f>COUNTIF(AA2:AA21,"*Honey With Vinegar*")&gt;0</f>
        <v>0</v>
      </c>
    </row>
    <row r="157" spans="1:32">
      <c r="A157" s="1" t="s">
        <v>156</v>
      </c>
      <c r="B157" t="str">
        <f t="shared" si="26"/>
        <v>¬</v>
      </c>
      <c r="D157" s="19"/>
      <c r="E157" s="15" t="s">
        <v>195</v>
      </c>
      <c r="F157" s="3"/>
      <c r="G157" s="3" t="str">
        <f>IFERROR(VLOOKUP(F157,tblManoeuvre[#Data],2,FALSE)&amp;" "&amp;VLOOKUP(F157,tblManoeuvre[#Data],3,FALSE),"")</f>
        <v/>
      </c>
      <c r="H157" s="67" t="str">
        <f>IFERROR(IF(VLOOKUP(F157,tblManoeuvre[],8,FALSE)=0,"None",VLOOKUP(F157,tblManoeuvre[],8,FALSE)),"None")</f>
        <v>None</v>
      </c>
      <c r="I157" s="67"/>
      <c r="L157" s="4"/>
      <c r="M157" s="4"/>
      <c r="N157" s="4"/>
      <c r="O157" s="61">
        <f t="shared" si="24"/>
        <v>0</v>
      </c>
      <c r="P157" s="60">
        <f t="shared" si="25"/>
        <v>0</v>
      </c>
      <c r="Q157" s="61" t="str">
        <f>_xlfn.IFNA(VLOOKUP($F157,tblInfluence[],3,FALSE),"")</f>
        <v/>
      </c>
      <c r="R157" s="61" t="str">
        <f>_xlfn.IFNA(VLOOKUP($F157,tblInfluence[],4,FALSE),"")</f>
        <v/>
      </c>
    </row>
    <row r="158" spans="1:32">
      <c r="A158" s="1" t="s">
        <v>157</v>
      </c>
      <c r="B158" t="str">
        <f t="shared" si="26"/>
        <v>¬</v>
      </c>
    </row>
    <row r="159" spans="1:32">
      <c r="A159" s="1" t="s">
        <v>158</v>
      </c>
      <c r="B159" t="str">
        <f t="shared" si="26"/>
        <v>¬</v>
      </c>
      <c r="D159" s="16" t="s">
        <v>1486</v>
      </c>
      <c r="E159" s="17"/>
      <c r="F159" s="17" t="s">
        <v>1487</v>
      </c>
      <c r="G159" s="17"/>
      <c r="H159" s="17"/>
      <c r="I159" s="17"/>
    </row>
    <row r="160" spans="1:32">
      <c r="A160" s="1" t="s">
        <v>159</v>
      </c>
      <c r="B160" t="str">
        <f t="shared" si="26"/>
        <v>¬</v>
      </c>
      <c r="D160" s="19"/>
      <c r="E160" s="15" t="s">
        <v>98</v>
      </c>
      <c r="F160" s="3" t="str">
        <f>IFERROR(VLOOKUP(E160,tblManoeuvre[#Data],2,FALSE)&amp;" "&amp;VLOOKUP(E160,tblManoeuvre[#Data],3,FALSE),"")</f>
        <v/>
      </c>
      <c r="G160" s="60"/>
      <c r="H160" s="60"/>
      <c r="I160" s="60"/>
      <c r="L160" s="4"/>
      <c r="M160" s="4"/>
      <c r="N160" s="4"/>
      <c r="O160" s="61">
        <f>N160</f>
        <v>0</v>
      </c>
      <c r="P160" s="60">
        <f>MIN(SUM(L160,M160,O160),R160)</f>
        <v>0</v>
      </c>
      <c r="Q160" s="61">
        <v>1</v>
      </c>
      <c r="R160" s="61">
        <v>5</v>
      </c>
    </row>
    <row r="161" spans="1:18">
      <c r="A161" s="1" t="s">
        <v>160</v>
      </c>
      <c r="B161" t="str">
        <f t="shared" si="26"/>
        <v>¬</v>
      </c>
      <c r="D161" s="19"/>
      <c r="E161" s="15" t="s">
        <v>100</v>
      </c>
      <c r="F161" s="3" t="s">
        <v>830</v>
      </c>
      <c r="G161" s="60"/>
      <c r="H161" s="60"/>
      <c r="I161" s="60"/>
      <c r="L161" s="4">
        <v>3</v>
      </c>
      <c r="M161" s="4"/>
      <c r="N161" s="4"/>
      <c r="O161" s="61">
        <f>N161</f>
        <v>0</v>
      </c>
      <c r="P161" s="60">
        <f>MIN(SUM(L161,M161,O161),R161)</f>
        <v>3</v>
      </c>
      <c r="Q161" s="61">
        <v>1</v>
      </c>
      <c r="R161" s="61">
        <v>5</v>
      </c>
    </row>
    <row r="162" spans="1:18">
      <c r="A162" s="1" t="s">
        <v>161</v>
      </c>
      <c r="B162" t="str">
        <f t="shared" si="26"/>
        <v>¬</v>
      </c>
    </row>
    <row r="163" spans="1:18" ht="15.75" thickBot="1">
      <c r="A163" s="1" t="s">
        <v>162</v>
      </c>
      <c r="B163" t="str">
        <f t="shared" si="26"/>
        <v>¬</v>
      </c>
      <c r="D163" s="14" t="s">
        <v>1488</v>
      </c>
      <c r="E163" s="14"/>
      <c r="F163" s="14"/>
      <c r="G163" s="14"/>
      <c r="H163" s="14"/>
      <c r="I163" s="14"/>
      <c r="N163" s="60">
        <f>SUM(N165:N174)+SUM(N177:N181)+SUM(N184:N185)+SUM(N187:N191)+SUM(N194:N203)</f>
        <v>9</v>
      </c>
    </row>
    <row r="164" spans="1:18">
      <c r="A164" s="1" t="s">
        <v>163</v>
      </c>
      <c r="B164" t="str">
        <f t="shared" si="26"/>
        <v>¬</v>
      </c>
      <c r="D164" s="16" t="s">
        <v>1489</v>
      </c>
      <c r="E164" s="15" t="s">
        <v>1490</v>
      </c>
      <c r="F164" s="61" t="str">
        <f>IFERROR(IF($F$8="",VLOOKUP($F$7,tblClans[#Data],5,FALSE),VLOOKUP($F$8,tblBloodlines[#Data],5,FALSE)),"")</f>
        <v>Animalism</v>
      </c>
      <c r="G164" s="61" t="str">
        <f>IFERROR(IF($F$8="",VLOOKUP($F$7,tblClans[#Data],6,FALSE),VLOOKUP($F$8,tblBloodlines[#Data],6,FALSE)),"")</f>
        <v>Majesty</v>
      </c>
      <c r="H164" s="61" t="str">
        <f>IFERROR(IF($F$8="",VLOOKUP($F$7,tblClans[],7,FALSE),VLOOKUP($F$8,tblBloodlines[],7,FALSE)),"")</f>
        <v>Protean</v>
      </c>
      <c r="I164" s="61" t="str">
        <f>IFERROR(IF($F$8="",VLOOKUP($F$7,tblClans[],8,FALSE),VLOOKUP($F$8,tblBloodlines[],8,FALSE)),"")</f>
        <v>Resilience</v>
      </c>
      <c r="L164" s="60">
        <f>3-SUM(L165:L174)-SUM(L184:L185)</f>
        <v>0</v>
      </c>
    </row>
    <row r="165" spans="1:18">
      <c r="A165" s="1" t="s">
        <v>164</v>
      </c>
      <c r="B165" t="str">
        <f t="shared" si="26"/>
        <v>¬</v>
      </c>
      <c r="D165" s="19"/>
      <c r="E165" s="15" t="s">
        <v>236</v>
      </c>
      <c r="F165" s="19"/>
      <c r="G165" s="19"/>
      <c r="H165" s="19"/>
      <c r="I165" s="19"/>
      <c r="L165" s="4"/>
      <c r="N165" s="4"/>
      <c r="O165" s="61">
        <f t="shared" ref="O165:O174" si="27">ROUNDDOWN(IF(COUNTIF($F$164:$I$164,$E165)&gt;0,N165/3,N165/4),0)</f>
        <v>0</v>
      </c>
      <c r="P165" s="60">
        <f>MIN(SUM(L165,O165),R165)</f>
        <v>0</v>
      </c>
      <c r="Q165" s="61">
        <v>0</v>
      </c>
      <c r="R165" s="61">
        <v>5</v>
      </c>
    </row>
    <row r="166" spans="1:18">
      <c r="A166" s="1" t="s">
        <v>165</v>
      </c>
      <c r="B166" t="str">
        <f t="shared" si="26"/>
        <v>¬</v>
      </c>
      <c r="D166" s="19"/>
      <c r="E166" s="15" t="s">
        <v>237</v>
      </c>
      <c r="F166" s="19"/>
      <c r="G166" s="19"/>
      <c r="H166" s="19"/>
      <c r="I166" s="19"/>
      <c r="L166" s="4"/>
      <c r="N166" s="4"/>
      <c r="O166" s="61">
        <f t="shared" si="27"/>
        <v>0</v>
      </c>
      <c r="P166" s="60">
        <f t="shared" ref="P166:P174" si="28">MIN(SUM(L166,O166),R166)</f>
        <v>0</v>
      </c>
      <c r="Q166" s="61">
        <v>0</v>
      </c>
      <c r="R166" s="61">
        <v>5</v>
      </c>
    </row>
    <row r="167" spans="1:18">
      <c r="A167" s="1" t="s">
        <v>166</v>
      </c>
      <c r="B167" t="str">
        <f t="shared" si="26"/>
        <v>¬</v>
      </c>
      <c r="D167" s="19"/>
      <c r="E167" s="15" t="s">
        <v>238</v>
      </c>
      <c r="F167" s="19"/>
      <c r="G167" s="19"/>
      <c r="H167" s="19"/>
      <c r="I167" s="19"/>
      <c r="L167" s="4"/>
      <c r="N167" s="4"/>
      <c r="O167" s="61">
        <f t="shared" si="27"/>
        <v>0</v>
      </c>
      <c r="P167" s="60">
        <f t="shared" si="28"/>
        <v>0</v>
      </c>
      <c r="Q167" s="61">
        <v>0</v>
      </c>
      <c r="R167" s="61">
        <v>5</v>
      </c>
    </row>
    <row r="168" spans="1:18">
      <c r="A168" s="1" t="s">
        <v>167</v>
      </c>
      <c r="B168" t="str">
        <f t="shared" si="26"/>
        <v>¬</v>
      </c>
      <c r="D168" s="19"/>
      <c r="E168" s="15" t="s">
        <v>239</v>
      </c>
      <c r="F168" s="19"/>
      <c r="G168" s="19"/>
      <c r="H168" s="19"/>
      <c r="I168" s="19"/>
      <c r="L168" s="4"/>
      <c r="N168" s="4"/>
      <c r="O168" s="61">
        <f t="shared" si="27"/>
        <v>0</v>
      </c>
      <c r="P168" s="60">
        <f t="shared" si="28"/>
        <v>0</v>
      </c>
      <c r="Q168" s="61">
        <v>0</v>
      </c>
      <c r="R168" s="61">
        <v>5</v>
      </c>
    </row>
    <row r="169" spans="1:18">
      <c r="A169" s="1" t="s">
        <v>168</v>
      </c>
      <c r="B169" t="str">
        <f t="shared" si="26"/>
        <v>¬</v>
      </c>
      <c r="D169" s="19"/>
      <c r="E169" s="15" t="s">
        <v>240</v>
      </c>
      <c r="F169" s="19"/>
      <c r="G169" s="19"/>
      <c r="H169" s="19"/>
      <c r="I169" s="19"/>
      <c r="L169" s="4">
        <v>1</v>
      </c>
      <c r="N169" s="4">
        <v>6</v>
      </c>
      <c r="O169" s="61">
        <f t="shared" si="27"/>
        <v>2</v>
      </c>
      <c r="P169" s="60">
        <f t="shared" si="28"/>
        <v>3</v>
      </c>
      <c r="Q169" s="61">
        <v>0</v>
      </c>
      <c r="R169" s="61">
        <v>5</v>
      </c>
    </row>
    <row r="170" spans="1:18">
      <c r="A170" s="1" t="s">
        <v>169</v>
      </c>
      <c r="B170" t="str">
        <f t="shared" si="26"/>
        <v>¬</v>
      </c>
      <c r="D170" s="19"/>
      <c r="E170" s="15" t="s">
        <v>241</v>
      </c>
      <c r="F170" s="19"/>
      <c r="G170" s="19"/>
      <c r="H170" s="19"/>
      <c r="I170" s="19"/>
      <c r="L170" s="4"/>
      <c r="N170" s="4"/>
      <c r="O170" s="61">
        <f t="shared" si="27"/>
        <v>0</v>
      </c>
      <c r="P170" s="60">
        <f t="shared" si="28"/>
        <v>0</v>
      </c>
      <c r="Q170" s="61">
        <v>0</v>
      </c>
      <c r="R170" s="61">
        <v>5</v>
      </c>
    </row>
    <row r="171" spans="1:18">
      <c r="A171" s="1" t="s">
        <v>170</v>
      </c>
      <c r="B171" t="str">
        <f t="shared" si="26"/>
        <v>¬</v>
      </c>
      <c r="D171" s="19"/>
      <c r="E171" s="15" t="s">
        <v>242</v>
      </c>
      <c r="F171" s="19"/>
      <c r="G171" s="19"/>
      <c r="H171" s="19"/>
      <c r="I171" s="19"/>
      <c r="L171" s="4"/>
      <c r="N171" s="4"/>
      <c r="O171" s="61">
        <f t="shared" si="27"/>
        <v>0</v>
      </c>
      <c r="P171" s="60">
        <f t="shared" si="28"/>
        <v>0</v>
      </c>
      <c r="Q171" s="61">
        <v>0</v>
      </c>
      <c r="R171" s="61">
        <v>5</v>
      </c>
    </row>
    <row r="172" spans="1:18">
      <c r="A172" s="1" t="s">
        <v>171</v>
      </c>
      <c r="B172" t="str">
        <f t="shared" si="26"/>
        <v>¬</v>
      </c>
      <c r="D172" s="19"/>
      <c r="E172" s="15" t="s">
        <v>243</v>
      </c>
      <c r="F172" s="19"/>
      <c r="G172" s="19"/>
      <c r="H172" s="19"/>
      <c r="I172" s="19"/>
      <c r="L172" s="4">
        <v>1</v>
      </c>
      <c r="N172" s="4"/>
      <c r="O172" s="61">
        <f t="shared" si="27"/>
        <v>0</v>
      </c>
      <c r="P172" s="60">
        <f t="shared" si="28"/>
        <v>1</v>
      </c>
      <c r="Q172" s="61">
        <v>0</v>
      </c>
      <c r="R172" s="61">
        <v>5</v>
      </c>
    </row>
    <row r="173" spans="1:18">
      <c r="A173" s="1" t="s">
        <v>172</v>
      </c>
      <c r="B173" t="str">
        <f t="shared" si="26"/>
        <v>¬</v>
      </c>
      <c r="D173" s="19"/>
      <c r="E173" s="15" t="s">
        <v>244</v>
      </c>
      <c r="F173" s="19"/>
      <c r="G173" s="19"/>
      <c r="H173" s="19"/>
      <c r="I173" s="19"/>
      <c r="L173" s="4">
        <v>1</v>
      </c>
      <c r="N173" s="4"/>
      <c r="O173" s="61">
        <f t="shared" si="27"/>
        <v>0</v>
      </c>
      <c r="P173" s="60">
        <f t="shared" si="28"/>
        <v>1</v>
      </c>
      <c r="Q173" s="61">
        <v>0</v>
      </c>
      <c r="R173" s="61">
        <v>5</v>
      </c>
    </row>
    <row r="174" spans="1:18">
      <c r="A174" s="1" t="s">
        <v>173</v>
      </c>
      <c r="B174" t="str">
        <f t="shared" si="26"/>
        <v>¬</v>
      </c>
      <c r="D174" s="19"/>
      <c r="E174" s="15" t="s">
        <v>245</v>
      </c>
      <c r="F174" s="19"/>
      <c r="G174" s="19"/>
      <c r="H174" s="19"/>
      <c r="I174" s="19"/>
      <c r="L174" s="4"/>
      <c r="N174" s="4"/>
      <c r="O174" s="61">
        <f t="shared" si="27"/>
        <v>0</v>
      </c>
      <c r="P174" s="60">
        <f t="shared" si="28"/>
        <v>0</v>
      </c>
      <c r="Q174" s="61">
        <v>0</v>
      </c>
      <c r="R174" s="61">
        <v>5</v>
      </c>
    </row>
    <row r="175" spans="1:18">
      <c r="A175" s="1" t="s">
        <v>174</v>
      </c>
      <c r="B175" t="str">
        <f>_xlfn.CONCAT(I137-H137," / ",I137)</f>
        <v>3 / 3</v>
      </c>
    </row>
    <row r="176" spans="1:18">
      <c r="A176" s="1" t="s">
        <v>175</v>
      </c>
      <c r="B176" t="str">
        <f>REPT("□",I137-H137) &amp; REPT("■",H137)</f>
        <v>□□□</v>
      </c>
      <c r="D176" s="16" t="s">
        <v>1491</v>
      </c>
      <c r="E176" s="16"/>
      <c r="F176" s="16"/>
      <c r="G176" s="16"/>
      <c r="H176" s="16"/>
      <c r="I176" s="16"/>
    </row>
    <row r="177" spans="1:18">
      <c r="A177" s="1" t="s">
        <v>176</v>
      </c>
      <c r="B177" t="str">
        <f t="shared" ref="B177:B196" si="29">IF(AC134="","¬",AC134)</f>
        <v>Contacts</v>
      </c>
      <c r="D177" s="19"/>
      <c r="E177" s="15" t="s">
        <v>1492</v>
      </c>
      <c r="F177" s="3" t="s">
        <v>1679</v>
      </c>
      <c r="G177" s="19"/>
      <c r="H177" s="72" t="str">
        <f>IFERROR(IF(VLOOKUP(F177,tblDisciplines[],14,FALSE)=0,"None",VLOOKUP(F177,tblDisciplines[],14,FALSE)),"None")</f>
        <v>Maje 1, Resl 1</v>
      </c>
      <c r="I177" s="73"/>
      <c r="N177" s="4">
        <v>3</v>
      </c>
      <c r="O177" s="61">
        <f>N177</f>
        <v>3</v>
      </c>
      <c r="P177" s="60">
        <f>IF(O177=R177,O177,"")</f>
        <v>3</v>
      </c>
      <c r="R177" s="61">
        <f>_xlfn.IFNA(VLOOKUP(F177,tblDisciplines[],15,FALSE),"")</f>
        <v>3</v>
      </c>
    </row>
    <row r="178" spans="1:18">
      <c r="A178" s="1" t="s">
        <v>177</v>
      </c>
      <c r="B178" t="str">
        <f t="shared" si="29"/>
        <v>¬</v>
      </c>
      <c r="D178" s="19"/>
      <c r="E178" s="15" t="s">
        <v>1493</v>
      </c>
      <c r="F178" s="3"/>
      <c r="G178" s="19"/>
      <c r="H178" s="72" t="str">
        <f>IFERROR(IF(VLOOKUP(F178,tblDisciplines[],14,FALSE)=0,"None",VLOOKUP(F178,tblDisciplines[],14,FALSE)),"None")</f>
        <v>None</v>
      </c>
      <c r="I178" s="73"/>
      <c r="N178" s="4"/>
      <c r="O178" s="61">
        <f>N178</f>
        <v>0</v>
      </c>
      <c r="P178" s="60" t="str">
        <f>IF(O178=R178,O178,"")</f>
        <v/>
      </c>
      <c r="R178" s="61" t="str">
        <f>_xlfn.IFNA(VLOOKUP(F178,tblDisciplines[],15,FALSE),"")</f>
        <v/>
      </c>
    </row>
    <row r="179" spans="1:18">
      <c r="A179" s="1" t="s">
        <v>178</v>
      </c>
      <c r="B179" t="str">
        <f t="shared" si="29"/>
        <v>¬</v>
      </c>
      <c r="D179" s="19"/>
      <c r="E179" s="15" t="s">
        <v>1494</v>
      </c>
      <c r="F179" s="3"/>
      <c r="G179" s="19"/>
      <c r="H179" s="72" t="str">
        <f>IFERROR(IF(VLOOKUP(F179,tblDisciplines[],14,FALSE)=0,"None",VLOOKUP(F179,tblDisciplines[],14,FALSE)),"None")</f>
        <v>None</v>
      </c>
      <c r="I179" s="73"/>
      <c r="N179" s="4"/>
      <c r="O179" s="61">
        <f>N179</f>
        <v>0</v>
      </c>
      <c r="P179" s="60" t="str">
        <f>IF(O179=R179,O179,"")</f>
        <v/>
      </c>
      <c r="R179" s="61" t="str">
        <f>_xlfn.IFNA(VLOOKUP(F179,tblDisciplines[],15,FALSE),"")</f>
        <v/>
      </c>
    </row>
    <row r="180" spans="1:18">
      <c r="A180" s="1" t="s">
        <v>179</v>
      </c>
      <c r="B180" t="str">
        <f t="shared" si="29"/>
        <v>¬</v>
      </c>
      <c r="D180" s="19"/>
      <c r="E180" s="15" t="s">
        <v>1495</v>
      </c>
      <c r="F180" s="3"/>
      <c r="G180" s="19"/>
      <c r="H180" s="72" t="str">
        <f>IFERROR(IF(VLOOKUP(F180,tblDisciplines[],14,FALSE)=0,"None",VLOOKUP(F180,tblDisciplines[],14,FALSE)),"None")</f>
        <v>None</v>
      </c>
      <c r="I180" s="73"/>
      <c r="N180" s="4"/>
      <c r="O180" s="61">
        <f>N180</f>
        <v>0</v>
      </c>
      <c r="P180" s="60" t="str">
        <f>IF(O180=R180,O180,"")</f>
        <v/>
      </c>
      <c r="R180" s="61" t="str">
        <f>_xlfn.IFNA(VLOOKUP(F180,tblDisciplines[],15,FALSE),"")</f>
        <v/>
      </c>
    </row>
    <row r="181" spans="1:18">
      <c r="A181" s="1" t="s">
        <v>180</v>
      </c>
      <c r="B181" t="str">
        <f t="shared" si="29"/>
        <v>¬</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29"/>
        <v>¬</v>
      </c>
    </row>
    <row r="183" spans="1:18">
      <c r="A183" s="1" t="s">
        <v>182</v>
      </c>
      <c r="B183" t="str">
        <f t="shared" si="29"/>
        <v>¬</v>
      </c>
      <c r="D183" s="16" t="s">
        <v>1497</v>
      </c>
      <c r="E183" s="16"/>
      <c r="F183" s="16"/>
      <c r="G183" s="16"/>
      <c r="H183" s="16"/>
      <c r="I183" s="16"/>
    </row>
    <row r="184" spans="1:18">
      <c r="A184" s="1" t="s">
        <v>183</v>
      </c>
      <c r="B184" t="str">
        <f t="shared" si="29"/>
        <v>¬</v>
      </c>
      <c r="D184" s="19"/>
      <c r="E184" s="15" t="s">
        <v>246</v>
      </c>
      <c r="F184" s="19"/>
      <c r="G184" s="19"/>
      <c r="H184" s="19"/>
      <c r="I184" s="60" t="b">
        <f>IF(OR(F$9="Circle of the Crone",COUNTIF(F$79:F$93,"Chorister")&gt;0),TRUE,FALSE)</f>
        <v>0</v>
      </c>
      <c r="L184" s="4"/>
      <c r="N184" s="4"/>
      <c r="O184" s="61">
        <f>ROUNDDOWN(N184/4,0)</f>
        <v>0</v>
      </c>
      <c r="P184" s="60">
        <f>SUM(L184,O184)</f>
        <v>0</v>
      </c>
      <c r="Q184" s="61">
        <v>0</v>
      </c>
      <c r="R184" s="61">
        <v>5</v>
      </c>
    </row>
    <row r="185" spans="1:18">
      <c r="A185" s="1" t="s">
        <v>184</v>
      </c>
      <c r="B185" t="str">
        <f t="shared" si="29"/>
        <v>¬</v>
      </c>
      <c r="D185" s="19"/>
      <c r="E185" s="15" t="s">
        <v>247</v>
      </c>
      <c r="F185" s="19"/>
      <c r="G185" s="19"/>
      <c r="H185" s="19"/>
      <c r="I185" s="60" t="b">
        <f>IF(OR(F$9="Lancea et Sanctum",COUNTIF(F$79:F$93,"Laity")&gt;0),TRUE,FALSE)</f>
        <v>0</v>
      </c>
      <c r="L185" s="4"/>
      <c r="N185" s="4"/>
      <c r="O185" s="61">
        <f>ROUNDDOWN(N185/4,0)</f>
        <v>0</v>
      </c>
      <c r="P185" s="60">
        <f>SUM(L185,O185)</f>
        <v>0</v>
      </c>
      <c r="Q185" s="61">
        <v>0</v>
      </c>
      <c r="R185" s="61">
        <v>5</v>
      </c>
    </row>
    <row r="186" spans="1:18">
      <c r="A186" s="1" t="s">
        <v>185</v>
      </c>
      <c r="B186" t="str">
        <f t="shared" si="29"/>
        <v>¬</v>
      </c>
      <c r="D186" s="19"/>
      <c r="E186" s="19"/>
      <c r="F186" s="19"/>
      <c r="G186" s="19"/>
      <c r="H186" s="19"/>
      <c r="I186" s="19"/>
      <c r="L186" s="60">
        <f>SUM(P184:P185)-SUM(L187:L191)</f>
        <v>0</v>
      </c>
    </row>
    <row r="187" spans="1:18">
      <c r="A187" s="1" t="s">
        <v>186</v>
      </c>
      <c r="B187" t="str">
        <f t="shared" si="29"/>
        <v>¬</v>
      </c>
      <c r="D187" s="19"/>
      <c r="E187" s="15" t="s">
        <v>248</v>
      </c>
      <c r="F187" s="19"/>
      <c r="G187" s="19"/>
      <c r="H187" s="19"/>
      <c r="I187" s="19"/>
      <c r="L187" s="4"/>
      <c r="M187" s="61">
        <f>IF(AND(I184,L184&gt;=1),1,0)</f>
        <v>0</v>
      </c>
      <c r="N187" s="4"/>
      <c r="O187" s="61">
        <f>ROUNDDOWN(N187/2,0)</f>
        <v>0</v>
      </c>
      <c r="P187" s="60">
        <f>MIN(SUM(L187,M187,O187),R187)</f>
        <v>0</v>
      </c>
      <c r="Q187" s="61">
        <v>0</v>
      </c>
      <c r="R187" s="61">
        <f>MAX(P$184,P$185)</f>
        <v>0</v>
      </c>
    </row>
    <row r="188" spans="1:18">
      <c r="A188" s="1" t="s">
        <v>187</v>
      </c>
      <c r="B188" t="str">
        <f t="shared" si="29"/>
        <v>¬</v>
      </c>
      <c r="D188" s="19"/>
      <c r="E188" s="15" t="s">
        <v>249</v>
      </c>
      <c r="F188" s="19"/>
      <c r="G188" s="19"/>
      <c r="H188" s="19"/>
      <c r="I188" s="19"/>
      <c r="L188" s="4"/>
      <c r="M188" s="61"/>
      <c r="N188" s="4"/>
      <c r="O188" s="61">
        <f>ROUNDDOWN(N188/2,0)</f>
        <v>0</v>
      </c>
      <c r="P188" s="60">
        <f>MIN(SUM(L188,M188,O188),R188)</f>
        <v>0</v>
      </c>
      <c r="Q188" s="61">
        <v>0</v>
      </c>
      <c r="R188" s="61">
        <f>MAX(P$184,P$185)</f>
        <v>0</v>
      </c>
    </row>
    <row r="189" spans="1:18">
      <c r="A189" s="1" t="s">
        <v>188</v>
      </c>
      <c r="B189" t="str">
        <f t="shared" si="29"/>
        <v>¬</v>
      </c>
      <c r="D189" s="19"/>
      <c r="E189" s="15" t="s">
        <v>250</v>
      </c>
      <c r="F189" s="19"/>
      <c r="G189" s="19"/>
      <c r="H189" s="19"/>
      <c r="I189" s="19"/>
      <c r="L189" s="4"/>
      <c r="M189" s="61">
        <f>IF(AND(I185,L185&gt;=1),1,0)</f>
        <v>0</v>
      </c>
      <c r="N189" s="4"/>
      <c r="O189" s="61">
        <f>ROUNDDOWN(N189/2,0)</f>
        <v>0</v>
      </c>
      <c r="P189" s="60">
        <f>MIN(SUM(L189,M189,O189),R189)</f>
        <v>0</v>
      </c>
      <c r="Q189" s="61">
        <v>0</v>
      </c>
      <c r="R189" s="61">
        <f>MAX(P$184,P$185)</f>
        <v>0</v>
      </c>
    </row>
    <row r="190" spans="1:18">
      <c r="A190" s="1" t="s">
        <v>189</v>
      </c>
      <c r="B190" t="str">
        <f t="shared" si="29"/>
        <v>¬</v>
      </c>
      <c r="D190" s="19"/>
      <c r="E190" s="15" t="s">
        <v>251</v>
      </c>
      <c r="F190" s="19"/>
      <c r="G190" s="19"/>
      <c r="H190" s="19"/>
      <c r="I190" s="19"/>
      <c r="L190" s="4"/>
      <c r="M190" s="61">
        <f>IF(AND(I184,L184&gt;=1),1,0)</f>
        <v>0</v>
      </c>
      <c r="N190" s="4"/>
      <c r="O190" s="61">
        <f>ROUNDDOWN(N190/2,0)</f>
        <v>0</v>
      </c>
      <c r="P190" s="60">
        <f>MIN(SUM(L190,M190,O190),R190)</f>
        <v>0</v>
      </c>
      <c r="Q190" s="61">
        <v>0</v>
      </c>
      <c r="R190" s="61">
        <f>MAX(P$184,P$185)</f>
        <v>0</v>
      </c>
    </row>
    <row r="191" spans="1:18">
      <c r="A191" s="1" t="s">
        <v>190</v>
      </c>
      <c r="B191" t="str">
        <f t="shared" si="29"/>
        <v>¬</v>
      </c>
      <c r="D191" s="19"/>
      <c r="E191" s="15" t="s">
        <v>252</v>
      </c>
      <c r="F191" s="19"/>
      <c r="G191" s="19"/>
      <c r="H191" s="19"/>
      <c r="I191" s="19"/>
      <c r="L191" s="4"/>
      <c r="M191" s="61">
        <f>IF(AND(I185,L185&gt;=1),1,0)</f>
        <v>0</v>
      </c>
      <c r="N191" s="4"/>
      <c r="O191" s="61">
        <f>ROUNDDOWN(N191/2,0)</f>
        <v>0</v>
      </c>
      <c r="P191" s="60">
        <f>MIN(SUM(L191,M191,O191),R191)</f>
        <v>0</v>
      </c>
      <c r="Q191" s="61">
        <v>0</v>
      </c>
      <c r="R191" s="61">
        <f>MAX(P$184,P$185)</f>
        <v>0</v>
      </c>
    </row>
    <row r="192" spans="1:18">
      <c r="A192" s="1" t="s">
        <v>191</v>
      </c>
      <c r="B192" t="str">
        <f t="shared" si="29"/>
        <v>¬</v>
      </c>
    </row>
    <row r="193" spans="1:18">
      <c r="A193" s="1" t="s">
        <v>192</v>
      </c>
      <c r="B193" t="str">
        <f t="shared" si="29"/>
        <v>¬</v>
      </c>
      <c r="D193" s="16" t="s">
        <v>1474</v>
      </c>
      <c r="E193" s="16"/>
      <c r="F193" s="16"/>
      <c r="G193" s="16"/>
      <c r="H193" s="16"/>
      <c r="I193" s="16"/>
      <c r="L193" s="60">
        <f>SUM(P184:P185)+SUM(O187:O191)</f>
        <v>0</v>
      </c>
    </row>
    <row r="194" spans="1:18">
      <c r="A194" s="1" t="s">
        <v>193</v>
      </c>
      <c r="B194" t="str">
        <f t="shared" si="29"/>
        <v>¬</v>
      </c>
      <c r="D194" s="19"/>
      <c r="E194" s="15" t="s">
        <v>1498</v>
      </c>
      <c r="F194" s="3"/>
      <c r="G194" s="61" t="str">
        <f>_xlfn.IFNA(VLOOKUP(F194,tblDisciplines[#Data],2,FALSE),"")</f>
        <v/>
      </c>
      <c r="H194" s="19"/>
      <c r="I194" s="19"/>
      <c r="L194" s="4"/>
      <c r="N194" s="4"/>
      <c r="O194" s="61">
        <f>N194</f>
        <v>0</v>
      </c>
      <c r="P194" s="60" t="str">
        <f>IF(OR(L194=R194,O194=R194),R194,MIN(SUM(L194,O194),R194))</f>
        <v/>
      </c>
      <c r="R194" s="61" t="str">
        <f>_xlfn.IFNA(VLOOKUP(F194,tblDisciplines[],3,FALSE),"")</f>
        <v/>
      </c>
    </row>
    <row r="195" spans="1:18">
      <c r="A195" s="1" t="s">
        <v>194</v>
      </c>
      <c r="B195" t="str">
        <f t="shared" si="29"/>
        <v>¬</v>
      </c>
      <c r="D195" s="19"/>
      <c r="E195" s="15" t="s">
        <v>1499</v>
      </c>
      <c r="F195" s="3"/>
      <c r="G195" s="61" t="str">
        <f>_xlfn.IFNA(VLOOKUP(F195,tblDisciplines[#Data],2,FALSE),"")</f>
        <v/>
      </c>
      <c r="H195" s="19"/>
      <c r="I195" s="19"/>
      <c r="L195" s="4"/>
      <c r="N195" s="4"/>
      <c r="O195" s="61">
        <f t="shared" ref="O195:O203" si="30">N195</f>
        <v>0</v>
      </c>
      <c r="P195" s="60" t="str">
        <f t="shared" ref="P195:P203" si="31">IF(OR(L195=R195,O195=R195),R195,MIN(SUM(L195,O195),R195))</f>
        <v/>
      </c>
      <c r="R195" s="61" t="str">
        <f>_xlfn.IFNA(VLOOKUP(F195,tblDisciplines[],3,FALSE),"")</f>
        <v/>
      </c>
    </row>
    <row r="196" spans="1:18">
      <c r="A196" s="1" t="s">
        <v>195</v>
      </c>
      <c r="B196" t="str">
        <f t="shared" si="29"/>
        <v>¬</v>
      </c>
      <c r="D196" s="19"/>
      <c r="E196" s="15" t="s">
        <v>1500</v>
      </c>
      <c r="F196" s="3"/>
      <c r="G196" s="61" t="str">
        <f>_xlfn.IFNA(VLOOKUP(F196,tblDisciplines[#Data],2,FALSE),"")</f>
        <v/>
      </c>
      <c r="H196" s="19"/>
      <c r="I196" s="19"/>
      <c r="L196" s="4"/>
      <c r="N196" s="4"/>
      <c r="O196" s="61">
        <f t="shared" si="30"/>
        <v>0</v>
      </c>
      <c r="P196" s="60" t="str">
        <f t="shared" si="31"/>
        <v/>
      </c>
      <c r="R196" s="61" t="str">
        <f>_xlfn.IFNA(VLOOKUP(F196,tblDisciplines[],3,FALSE),"")</f>
        <v/>
      </c>
    </row>
    <row r="197" spans="1:18">
      <c r="A197" s="1" t="s">
        <v>196</v>
      </c>
      <c r="B197" t="str">
        <f>IF(AD134="","¬",AD134)</f>
        <v>health, politics</v>
      </c>
      <c r="D197" s="19"/>
      <c r="E197" s="15" t="s">
        <v>1501</v>
      </c>
      <c r="F197" s="3"/>
      <c r="G197" s="61" t="str">
        <f>_xlfn.IFNA(VLOOKUP(F197,tblDisciplines[#Data],2,FALSE),"")</f>
        <v/>
      </c>
      <c r="H197" s="19"/>
      <c r="I197" s="19"/>
      <c r="L197" s="4"/>
      <c r="N197" s="4"/>
      <c r="O197" s="61">
        <f t="shared" si="30"/>
        <v>0</v>
      </c>
      <c r="P197" s="60" t="str">
        <f t="shared" si="31"/>
        <v/>
      </c>
      <c r="R197" s="61" t="str">
        <f>_xlfn.IFNA(VLOOKUP(F197,tblDisciplines[],3,FALSE),"")</f>
        <v/>
      </c>
    </row>
    <row r="198" spans="1:18">
      <c r="A198" s="1" t="s">
        <v>197</v>
      </c>
      <c r="B198" t="str">
        <f t="shared" ref="B198:B216" si="32">IF(AD135="","¬",AD135)</f>
        <v>¬</v>
      </c>
      <c r="D198" s="19"/>
      <c r="E198" s="15" t="s">
        <v>1502</v>
      </c>
      <c r="F198" s="3"/>
      <c r="G198" s="61" t="str">
        <f>_xlfn.IFNA(VLOOKUP(F198,tblDisciplines[#Data],2,FALSE),"")</f>
        <v/>
      </c>
      <c r="H198" s="19"/>
      <c r="I198" s="19"/>
      <c r="L198" s="4"/>
      <c r="N198" s="4"/>
      <c r="O198" s="61">
        <f t="shared" si="30"/>
        <v>0</v>
      </c>
      <c r="P198" s="60" t="str">
        <f t="shared" si="31"/>
        <v/>
      </c>
      <c r="R198" s="61" t="str">
        <f>_xlfn.IFNA(VLOOKUP(F198,tblDisciplines[],3,FALSE),"")</f>
        <v/>
      </c>
    </row>
    <row r="199" spans="1:18">
      <c r="A199" s="1" t="s">
        <v>198</v>
      </c>
      <c r="B199" t="str">
        <f t="shared" si="32"/>
        <v>¬</v>
      </c>
      <c r="D199" s="19"/>
      <c r="E199" s="15" t="s">
        <v>1503</v>
      </c>
      <c r="F199" s="3"/>
      <c r="G199" s="61" t="str">
        <f>_xlfn.IFNA(VLOOKUP(F199,tblDisciplines[#Data],2,FALSE),"")</f>
        <v/>
      </c>
      <c r="H199" s="19"/>
      <c r="I199" s="19"/>
      <c r="L199" s="4"/>
      <c r="N199" s="4"/>
      <c r="O199" s="61">
        <f t="shared" si="30"/>
        <v>0</v>
      </c>
      <c r="P199" s="60" t="str">
        <f t="shared" si="31"/>
        <v/>
      </c>
      <c r="R199" s="61" t="str">
        <f>_xlfn.IFNA(VLOOKUP(F199,tblDisciplines[],3,FALSE),"")</f>
        <v/>
      </c>
    </row>
    <row r="200" spans="1:18">
      <c r="A200" s="1" t="s">
        <v>199</v>
      </c>
      <c r="B200" t="str">
        <f t="shared" si="32"/>
        <v>¬</v>
      </c>
      <c r="D200" s="19"/>
      <c r="E200" s="15" t="s">
        <v>1504</v>
      </c>
      <c r="F200" s="3"/>
      <c r="G200" s="61" t="str">
        <f>_xlfn.IFNA(VLOOKUP(F200,tblDisciplines[#Data],2,FALSE),"")</f>
        <v/>
      </c>
      <c r="H200" s="19"/>
      <c r="I200" s="19"/>
      <c r="L200" s="4"/>
      <c r="N200" s="4"/>
      <c r="O200" s="61">
        <f t="shared" si="30"/>
        <v>0</v>
      </c>
      <c r="P200" s="60" t="str">
        <f t="shared" si="31"/>
        <v/>
      </c>
      <c r="R200" s="61" t="str">
        <f>_xlfn.IFNA(VLOOKUP(F200,tblDisciplines[],3,FALSE),"")</f>
        <v/>
      </c>
    </row>
    <row r="201" spans="1:18">
      <c r="A201" s="1" t="s">
        <v>200</v>
      </c>
      <c r="B201" t="str">
        <f t="shared" si="32"/>
        <v>¬</v>
      </c>
      <c r="D201" s="19"/>
      <c r="E201" s="15" t="s">
        <v>1505</v>
      </c>
      <c r="F201" s="3"/>
      <c r="G201" s="61" t="str">
        <f>_xlfn.IFNA(VLOOKUP(F201,tblDisciplines[#Data],2,FALSE),"")</f>
        <v/>
      </c>
      <c r="H201" s="19"/>
      <c r="I201" s="19"/>
      <c r="L201" s="4"/>
      <c r="N201" s="4"/>
      <c r="O201" s="61">
        <f t="shared" si="30"/>
        <v>0</v>
      </c>
      <c r="P201" s="60" t="str">
        <f t="shared" si="31"/>
        <v/>
      </c>
      <c r="R201" s="61" t="str">
        <f>_xlfn.IFNA(VLOOKUP(F201,tblDisciplines[],3,FALSE),"")</f>
        <v/>
      </c>
    </row>
    <row r="202" spans="1:18">
      <c r="A202" s="1" t="s">
        <v>201</v>
      </c>
      <c r="B202" t="str">
        <f t="shared" si="32"/>
        <v>¬</v>
      </c>
      <c r="D202" s="19"/>
      <c r="E202" s="15" t="s">
        <v>1506</v>
      </c>
      <c r="F202" s="3"/>
      <c r="G202" s="61" t="str">
        <f>_xlfn.IFNA(VLOOKUP(F202,tblDisciplines[#Data],2,FALSE),"")</f>
        <v/>
      </c>
      <c r="H202" s="19"/>
      <c r="I202" s="19"/>
      <c r="L202" s="4"/>
      <c r="N202" s="4"/>
      <c r="O202" s="61">
        <f t="shared" si="30"/>
        <v>0</v>
      </c>
      <c r="P202" s="60" t="str">
        <f t="shared" si="31"/>
        <v/>
      </c>
      <c r="R202" s="61" t="str">
        <f>_xlfn.IFNA(VLOOKUP(F202,tblDisciplines[],3,FALSE),"")</f>
        <v/>
      </c>
    </row>
    <row r="203" spans="1:18">
      <c r="A203" s="1" t="s">
        <v>202</v>
      </c>
      <c r="B203" t="str">
        <f t="shared" si="32"/>
        <v>¬</v>
      </c>
      <c r="D203" s="19"/>
      <c r="E203" s="15" t="s">
        <v>1507</v>
      </c>
      <c r="F203" s="3"/>
      <c r="G203" s="61" t="str">
        <f>_xlfn.IFNA(VLOOKUP(F203,tblDisciplines[#Data],2,FALSE),"")</f>
        <v/>
      </c>
      <c r="H203" s="19"/>
      <c r="I203" s="19"/>
      <c r="L203" s="4"/>
      <c r="N203" s="4"/>
      <c r="O203" s="61">
        <f t="shared" si="30"/>
        <v>0</v>
      </c>
      <c r="P203" s="60" t="str">
        <f t="shared" si="31"/>
        <v/>
      </c>
      <c r="R203" s="61" t="str">
        <f>_xlfn.IFNA(VLOOKUP(F203,tblDisciplines[],3,FALSE),"")</f>
        <v/>
      </c>
    </row>
    <row r="204" spans="1:18">
      <c r="A204" s="1" t="s">
        <v>203</v>
      </c>
      <c r="B204" t="str">
        <f t="shared" si="32"/>
        <v>¬</v>
      </c>
    </row>
    <row r="205" spans="1:18">
      <c r="A205" s="1" t="s">
        <v>204</v>
      </c>
      <c r="B205" t="str">
        <f t="shared" si="32"/>
        <v>¬</v>
      </c>
      <c r="D205" s="16" t="s">
        <v>1508</v>
      </c>
      <c r="E205" s="17"/>
      <c r="F205" s="17"/>
      <c r="G205" s="17"/>
      <c r="H205" s="17"/>
      <c r="I205" s="17"/>
    </row>
    <row r="206" spans="1:18">
      <c r="A206" s="1" t="s">
        <v>205</v>
      </c>
      <c r="B206" t="str">
        <f t="shared" si="32"/>
        <v>¬</v>
      </c>
      <c r="D206" s="19"/>
      <c r="E206" s="15" t="s">
        <v>1476</v>
      </c>
      <c r="F206" s="3"/>
      <c r="G206" s="19" t="str">
        <f>IFERROR(VLOOKUP(F206,tblManoeuvre[#Data],2,FALSE)&amp;" "&amp;VLOOKUP(F206,tblManoeuvre[#Data],3,FALSE),"")</f>
        <v/>
      </c>
      <c r="H206" s="68" t="str">
        <f>_xlfn.IFNA(IF(VLOOKUP(F206,tblMerits[],6,FALSE)=0,"None",VLOOKUP(F206,tblMerits[],6,FALSE)),"None")</f>
        <v>None</v>
      </c>
      <c r="I206" s="69"/>
      <c r="L206" s="4"/>
      <c r="M206" s="4"/>
      <c r="N206" s="4"/>
      <c r="O206" s="61">
        <f t="shared" ref="O206:O215" si="33">N206</f>
        <v>0</v>
      </c>
      <c r="P206" s="60">
        <f t="shared" ref="P206:P215" si="34">MIN(SUM(L206,M206,O206),R206)</f>
        <v>0</v>
      </c>
      <c r="Q206" s="61" t="str">
        <f>_xlfn.IFNA(VLOOKUP($F206,tblPacts[],3,FALSE),"")</f>
        <v/>
      </c>
      <c r="R206" s="61" t="str">
        <f>_xlfn.IFNA(VLOOKUP($F206,tblPacts[],4,FALSE),"")</f>
        <v/>
      </c>
    </row>
    <row r="207" spans="1:18">
      <c r="A207" s="1" t="s">
        <v>206</v>
      </c>
      <c r="B207" t="str">
        <f t="shared" si="32"/>
        <v>¬</v>
      </c>
      <c r="D207" s="19"/>
      <c r="E207" s="15" t="s">
        <v>1477</v>
      </c>
      <c r="F207" s="3"/>
      <c r="G207" s="19" t="str">
        <f>IFERROR(VLOOKUP(F207,tblManoeuvre[#Data],2,FALSE)&amp;" "&amp;VLOOKUP(F207,tblManoeuvre[#Data],3,FALSE),"")</f>
        <v/>
      </c>
      <c r="H207" s="68" t="str">
        <f>_xlfn.IFNA(IF(VLOOKUP(F207,tblMerits[],6,FALSE)=0,"None",VLOOKUP(F207,tblMerits[],6,FALSE)),"None")</f>
        <v>None</v>
      </c>
      <c r="I207" s="69"/>
      <c r="L207" s="4"/>
      <c r="M207" s="4"/>
      <c r="N207" s="4"/>
      <c r="O207" s="61">
        <f t="shared" si="33"/>
        <v>0</v>
      </c>
      <c r="P207" s="60">
        <f t="shared" si="34"/>
        <v>0</v>
      </c>
      <c r="Q207" s="61" t="str">
        <f>_xlfn.IFNA(VLOOKUP($F207,tblPacts[],3,FALSE),"")</f>
        <v/>
      </c>
      <c r="R207" s="61" t="str">
        <f>_xlfn.IFNA(VLOOKUP($F207,tblPacts[],4,FALSE),"")</f>
        <v/>
      </c>
    </row>
    <row r="208" spans="1:18">
      <c r="A208" s="1" t="s">
        <v>207</v>
      </c>
      <c r="B208" t="str">
        <f t="shared" si="32"/>
        <v>¬</v>
      </c>
      <c r="D208" s="19"/>
      <c r="E208" s="15" t="s">
        <v>1478</v>
      </c>
      <c r="F208" s="3"/>
      <c r="G208" s="19" t="str">
        <f>IFERROR(VLOOKUP(F208,tblManoeuvre[#Data],2,FALSE)&amp;" "&amp;VLOOKUP(F208,tblManoeuvre[#Data],3,FALSE),"")</f>
        <v/>
      </c>
      <c r="H208" s="68" t="str">
        <f>_xlfn.IFNA(IF(VLOOKUP(F208,tblMerits[],6,FALSE)=0,"None",VLOOKUP(F208,tblMerits[],6,FALSE)),"None")</f>
        <v>None</v>
      </c>
      <c r="I208" s="69"/>
      <c r="L208" s="4"/>
      <c r="M208" s="4"/>
      <c r="N208" s="4"/>
      <c r="O208" s="61">
        <f t="shared" si="33"/>
        <v>0</v>
      </c>
      <c r="P208" s="60">
        <f t="shared" si="34"/>
        <v>0</v>
      </c>
      <c r="Q208" s="61" t="str">
        <f>_xlfn.IFNA(VLOOKUP($F208,tblPacts[],3,FALSE),"")</f>
        <v/>
      </c>
      <c r="R208" s="61" t="str">
        <f>_xlfn.IFNA(VLOOKUP($F208,tblPacts[],4,FALSE),"")</f>
        <v/>
      </c>
    </row>
    <row r="209" spans="1:18">
      <c r="A209" s="1" t="s">
        <v>208</v>
      </c>
      <c r="B209" t="str">
        <f t="shared" si="32"/>
        <v>¬</v>
      </c>
      <c r="D209" s="19"/>
      <c r="E209" s="15" t="s">
        <v>1479</v>
      </c>
      <c r="F209" s="3"/>
      <c r="G209" s="19" t="str">
        <f>IFERROR(VLOOKUP(F209,tblManoeuvre[#Data],2,FALSE)&amp;" "&amp;VLOOKUP(F209,tblManoeuvre[#Data],3,FALSE),"")</f>
        <v/>
      </c>
      <c r="H209" s="68" t="str">
        <f>_xlfn.IFNA(IF(VLOOKUP(F209,tblMerits[],6,FALSE)=0,"None",VLOOKUP(F209,tblMerits[],6,FALSE)),"None")</f>
        <v>None</v>
      </c>
      <c r="I209" s="69"/>
      <c r="L209" s="4"/>
      <c r="M209" s="4"/>
      <c r="N209" s="4"/>
      <c r="O209" s="61">
        <f t="shared" si="33"/>
        <v>0</v>
      </c>
      <c r="P209" s="60">
        <f t="shared" si="34"/>
        <v>0</v>
      </c>
      <c r="Q209" s="61" t="str">
        <f>_xlfn.IFNA(VLOOKUP($F209,tblPacts[],3,FALSE),"")</f>
        <v/>
      </c>
      <c r="R209" s="61" t="str">
        <f>_xlfn.IFNA(VLOOKUP($F209,tblPacts[],4,FALSE),"")</f>
        <v/>
      </c>
    </row>
    <row r="210" spans="1:18">
      <c r="A210" s="1" t="s">
        <v>209</v>
      </c>
      <c r="B210" t="str">
        <f t="shared" si="32"/>
        <v>¬</v>
      </c>
      <c r="D210" s="19"/>
      <c r="E210" s="15" t="s">
        <v>1480</v>
      </c>
      <c r="F210" s="3"/>
      <c r="G210" s="19" t="str">
        <f>IFERROR(VLOOKUP(F210,tblManoeuvre[#Data],2,FALSE)&amp;" "&amp;VLOOKUP(F210,tblManoeuvre[#Data],3,FALSE),"")</f>
        <v/>
      </c>
      <c r="H210" s="68" t="str">
        <f>_xlfn.IFNA(IF(VLOOKUP(F210,tblMerits[],6,FALSE)=0,"None",VLOOKUP(F210,tblMerits[],6,FALSE)),"None")</f>
        <v>None</v>
      </c>
      <c r="I210" s="69"/>
      <c r="L210" s="4"/>
      <c r="M210" s="4"/>
      <c r="N210" s="4"/>
      <c r="O210" s="61">
        <f t="shared" si="33"/>
        <v>0</v>
      </c>
      <c r="P210" s="60">
        <f t="shared" si="34"/>
        <v>0</v>
      </c>
      <c r="Q210" s="61" t="str">
        <f>_xlfn.IFNA(VLOOKUP($F210,tblPacts[],3,FALSE),"")</f>
        <v/>
      </c>
      <c r="R210" s="61" t="str">
        <f>_xlfn.IFNA(VLOOKUP($F210,tblPacts[],4,FALSE),"")</f>
        <v/>
      </c>
    </row>
    <row r="211" spans="1:18">
      <c r="A211" s="1" t="s">
        <v>210</v>
      </c>
      <c r="B211" t="str">
        <f t="shared" si="32"/>
        <v>¬</v>
      </c>
      <c r="D211" s="19"/>
      <c r="E211" s="15" t="s">
        <v>1481</v>
      </c>
      <c r="F211" s="3"/>
      <c r="G211" s="19" t="str">
        <f>IFERROR(VLOOKUP(F211,tblManoeuvre[#Data],2,FALSE)&amp;" "&amp;VLOOKUP(F211,tblManoeuvre[#Data],3,FALSE),"")</f>
        <v/>
      </c>
      <c r="H211" s="68" t="str">
        <f>_xlfn.IFNA(IF(VLOOKUP(F211,tblMerits[],6,FALSE)=0,"None",VLOOKUP(F211,tblMerits[],6,FALSE)),"None")</f>
        <v>None</v>
      </c>
      <c r="I211" s="69"/>
      <c r="L211" s="4"/>
      <c r="M211" s="4"/>
      <c r="N211" s="4"/>
      <c r="O211" s="61">
        <f t="shared" si="33"/>
        <v>0</v>
      </c>
      <c r="P211" s="60">
        <f t="shared" si="34"/>
        <v>0</v>
      </c>
      <c r="Q211" s="61" t="str">
        <f>_xlfn.IFNA(VLOOKUP($F211,tblPacts[],3,FALSE),"")</f>
        <v/>
      </c>
      <c r="R211" s="61" t="str">
        <f>_xlfn.IFNA(VLOOKUP($F211,tblPacts[],4,FALSE),"")</f>
        <v/>
      </c>
    </row>
    <row r="212" spans="1:18">
      <c r="A212" s="1" t="s">
        <v>211</v>
      </c>
      <c r="B212" t="str">
        <f t="shared" si="32"/>
        <v>¬</v>
      </c>
      <c r="D212" s="19"/>
      <c r="E212" s="15" t="s">
        <v>1482</v>
      </c>
      <c r="F212" s="3"/>
      <c r="G212" s="19" t="str">
        <f>IFERROR(VLOOKUP(F212,tblManoeuvre[#Data],2,FALSE)&amp;" "&amp;VLOOKUP(F212,tblManoeuvre[#Data],3,FALSE),"")</f>
        <v/>
      </c>
      <c r="H212" s="68" t="str">
        <f>_xlfn.IFNA(IF(VLOOKUP(F212,tblMerits[],6,FALSE)=0,"None",VLOOKUP(F212,tblMerits[],6,FALSE)),"None")</f>
        <v>None</v>
      </c>
      <c r="I212" s="69"/>
      <c r="L212" s="4"/>
      <c r="M212" s="4"/>
      <c r="N212" s="4"/>
      <c r="O212" s="61">
        <f t="shared" si="33"/>
        <v>0</v>
      </c>
      <c r="P212" s="60">
        <f t="shared" si="34"/>
        <v>0</v>
      </c>
      <c r="Q212" s="61" t="str">
        <f>_xlfn.IFNA(VLOOKUP($F212,tblPacts[],3,FALSE),"")</f>
        <v/>
      </c>
      <c r="R212" s="61" t="str">
        <f>_xlfn.IFNA(VLOOKUP($F212,tblPacts[],4,FALSE),"")</f>
        <v/>
      </c>
    </row>
    <row r="213" spans="1:18">
      <c r="A213" s="1" t="s">
        <v>212</v>
      </c>
      <c r="B213" t="str">
        <f t="shared" si="32"/>
        <v>¬</v>
      </c>
      <c r="D213" s="19"/>
      <c r="E213" s="15" t="s">
        <v>1483</v>
      </c>
      <c r="F213" s="3"/>
      <c r="G213" s="19" t="str">
        <f>IFERROR(VLOOKUP(F213,tblManoeuvre[#Data],2,FALSE)&amp;" "&amp;VLOOKUP(F213,tblManoeuvre[#Data],3,FALSE),"")</f>
        <v/>
      </c>
      <c r="H213" s="68" t="str">
        <f>_xlfn.IFNA(IF(VLOOKUP(F213,tblMerits[],6,FALSE)=0,"None",VLOOKUP(F213,tblMerits[],6,FALSE)),"None")</f>
        <v>None</v>
      </c>
      <c r="I213" s="69"/>
      <c r="L213" s="4"/>
      <c r="M213" s="4"/>
      <c r="N213" s="4"/>
      <c r="O213" s="61">
        <f t="shared" si="33"/>
        <v>0</v>
      </c>
      <c r="P213" s="60">
        <f t="shared" si="34"/>
        <v>0</v>
      </c>
      <c r="Q213" s="61" t="str">
        <f>_xlfn.IFNA(VLOOKUP($F213,tblPacts[],3,FALSE),"")</f>
        <v/>
      </c>
      <c r="R213" s="61" t="str">
        <f>_xlfn.IFNA(VLOOKUP($F213,tblPacts[],4,FALSE),"")</f>
        <v/>
      </c>
    </row>
    <row r="214" spans="1:18">
      <c r="A214" s="1" t="s">
        <v>213</v>
      </c>
      <c r="B214" t="str">
        <f t="shared" si="32"/>
        <v>¬</v>
      </c>
      <c r="D214" s="19"/>
      <c r="E214" s="15" t="s">
        <v>1484</v>
      </c>
      <c r="F214" s="3"/>
      <c r="G214" s="19" t="str">
        <f>IFERROR(VLOOKUP(F214,tblManoeuvre[#Data],2,FALSE)&amp;" "&amp;VLOOKUP(F214,tblManoeuvre[#Data],3,FALSE),"")</f>
        <v/>
      </c>
      <c r="H214" s="68" t="str">
        <f>_xlfn.IFNA(IF(VLOOKUP(F214,tblMerits[],6,FALSE)=0,"None",VLOOKUP(F214,tblMerits[],6,FALSE)),"None")</f>
        <v>None</v>
      </c>
      <c r="I214" s="69"/>
      <c r="L214" s="4"/>
      <c r="M214" s="4"/>
      <c r="N214" s="4"/>
      <c r="O214" s="61">
        <f t="shared" si="33"/>
        <v>0</v>
      </c>
      <c r="P214" s="60">
        <f t="shared" si="34"/>
        <v>0</v>
      </c>
      <c r="Q214" s="61" t="str">
        <f>_xlfn.IFNA(VLOOKUP($F214,tblPacts[],3,FALSE),"")</f>
        <v/>
      </c>
      <c r="R214" s="61" t="str">
        <f>_xlfn.IFNA(VLOOKUP($F214,tblPacts[],4,FALSE),"")</f>
        <v/>
      </c>
    </row>
    <row r="215" spans="1:18">
      <c r="A215" s="1" t="s">
        <v>214</v>
      </c>
      <c r="B215" t="str">
        <f t="shared" si="32"/>
        <v>¬</v>
      </c>
      <c r="D215" s="19"/>
      <c r="E215" s="15" t="s">
        <v>1485</v>
      </c>
      <c r="F215" s="3"/>
      <c r="G215" s="19" t="str">
        <f>IFERROR(VLOOKUP(F215,tblManoeuvre[#Data],2,FALSE)&amp;" "&amp;VLOOKUP(F215,tblManoeuvre[#Data],3,FALSE),"")</f>
        <v/>
      </c>
      <c r="H215" s="68" t="str">
        <f>_xlfn.IFNA(IF(VLOOKUP(F215,tblMerits[],6,FALSE)=0,"None",VLOOKUP(F215,tblMerits[],6,FALSE)),"None")</f>
        <v>None</v>
      </c>
      <c r="I215" s="69"/>
      <c r="L215" s="4"/>
      <c r="M215" s="4"/>
      <c r="N215" s="4"/>
      <c r="O215" s="61">
        <f t="shared" si="33"/>
        <v>0</v>
      </c>
      <c r="P215" s="60">
        <f t="shared" si="34"/>
        <v>0</v>
      </c>
      <c r="Q215" s="61" t="str">
        <f>_xlfn.IFNA(VLOOKUP($F215,tblPacts[],3,FALSE),"")</f>
        <v/>
      </c>
      <c r="R215" s="61" t="str">
        <f>_xlfn.IFNA(VLOOKUP($F215,tblPacts[],4,FALSE),"")</f>
        <v/>
      </c>
    </row>
    <row r="216" spans="1:18">
      <c r="A216" s="1" t="s">
        <v>215</v>
      </c>
      <c r="B216" t="str">
        <f t="shared" si="32"/>
        <v>¬</v>
      </c>
    </row>
    <row r="217" spans="1:18">
      <c r="A217" s="1" t="s">
        <v>216</v>
      </c>
      <c r="B217" t="str">
        <f>IF(OR(AF134=0,AF134=""),"",REPT("●",AF134))</f>
        <v>●●</v>
      </c>
      <c r="D217" s="16" t="s">
        <v>1509</v>
      </c>
      <c r="E217" s="16"/>
      <c r="F217" s="16"/>
      <c r="G217" s="16"/>
      <c r="H217" s="16"/>
      <c r="I217" s="16"/>
    </row>
    <row r="218" spans="1:18">
      <c r="A218" s="1" t="s">
        <v>217</v>
      </c>
      <c r="B218" t="str">
        <f t="shared" ref="B218:B236" si="35">IF(OR(AF135=0,AF135=""),"",REPT("●",AF135))</f>
        <v/>
      </c>
      <c r="D218" s="19"/>
      <c r="E218" s="15" t="s">
        <v>353</v>
      </c>
      <c r="F218" s="19"/>
      <c r="G218" s="19"/>
      <c r="H218" s="19"/>
      <c r="I218" s="19"/>
      <c r="M218" s="61">
        <f>IF(COUNTIF(F79:F93,"Giant")&gt;0,1,0)+IF(COUNTIF(F79:F93,"Small-Framed")&gt;0,-1,0)</f>
        <v>0</v>
      </c>
      <c r="P218" s="60">
        <f>5+M218</f>
        <v>5</v>
      </c>
    </row>
    <row r="219" spans="1:18">
      <c r="A219" s="1" t="s">
        <v>218</v>
      </c>
      <c r="B219" t="str">
        <f t="shared" si="35"/>
        <v/>
      </c>
      <c r="D219" s="19"/>
      <c r="E219" s="15" t="s">
        <v>354</v>
      </c>
      <c r="F219" s="19"/>
      <c r="G219" s="19"/>
      <c r="H219" s="19"/>
      <c r="I219" s="19"/>
      <c r="P219" s="60">
        <f ca="1">VLOOKUP("Size",INDIRECT($AH$1),2,FALSE)+VLOOKUP("Strength",INDIRECT($AH$1),2,FALSE)+VLOOKUP("Dexterity",INDIRECT($AH$1),2,FALSE)+VLOOKUP("Vigour",INDIRECT($AH$1),2,FALSE)</f>
        <v>9</v>
      </c>
    </row>
    <row r="220" spans="1:18">
      <c r="A220" s="1" t="s">
        <v>219</v>
      </c>
      <c r="B220" t="str">
        <f t="shared" si="35"/>
        <v/>
      </c>
      <c r="D220" s="19"/>
      <c r="E220" s="15" t="s">
        <v>355</v>
      </c>
      <c r="F220" s="19"/>
      <c r="G220" s="19"/>
      <c r="H220" s="19"/>
      <c r="I220" s="19"/>
      <c r="P220" s="60">
        <f ca="1">MIN(VLOOKUP("Dexterity",INDIRECT($AH$1),2,FALSE),VLOOKUP("Wits",INDIRECT($AH$1),2,FALSE))+VLOOKUP("Athletics",INDIRECT($AH$1),2,FALSE)</f>
        <v>4</v>
      </c>
    </row>
    <row r="221" spans="1:18">
      <c r="A221" s="1" t="s">
        <v>220</v>
      </c>
      <c r="B221" t="str">
        <f t="shared" si="35"/>
        <v/>
      </c>
      <c r="D221" s="19"/>
      <c r="E221" s="15" t="s">
        <v>52</v>
      </c>
      <c r="F221" s="19"/>
      <c r="G221" s="19"/>
      <c r="H221" s="19"/>
      <c r="I221" s="19"/>
      <c r="P221" s="60">
        <f ca="1">VLOOKUP("Size",INDIRECT($AH$1),2,FALSE)+VLOOKUP("Stamina",INDIRECT($AH$1),2,FALSE)+VLOOKUP("Resilience",INDIRECT($AH$1),2,FALSE)</f>
        <v>8</v>
      </c>
    </row>
    <row r="222" spans="1:18">
      <c r="A222" s="1" t="s">
        <v>221</v>
      </c>
      <c r="B222" t="str">
        <f t="shared" si="35"/>
        <v/>
      </c>
      <c r="D222" s="19"/>
      <c r="E222" s="19"/>
      <c r="F222" s="19"/>
      <c r="G222" s="19"/>
      <c r="H222" s="15" t="s">
        <v>1510</v>
      </c>
      <c r="I222" s="19"/>
      <c r="L222" s="4"/>
    </row>
    <row r="223" spans="1:18">
      <c r="A223" s="1" t="s">
        <v>222</v>
      </c>
      <c r="B223" t="str">
        <f t="shared" si="35"/>
        <v/>
      </c>
      <c r="D223" s="19"/>
      <c r="E223" s="15" t="s">
        <v>1511</v>
      </c>
      <c r="F223" s="7"/>
      <c r="G223" s="19"/>
      <c r="H223" s="15" t="s">
        <v>1512</v>
      </c>
      <c r="I223" s="19"/>
      <c r="L223" s="4"/>
    </row>
    <row r="224" spans="1:18">
      <c r="A224" s="1" t="s">
        <v>223</v>
      </c>
      <c r="B224" t="str">
        <f t="shared" si="35"/>
        <v/>
      </c>
      <c r="D224" s="19"/>
      <c r="E224" s="15" t="s">
        <v>1513</v>
      </c>
      <c r="F224" s="7"/>
      <c r="G224" s="19"/>
      <c r="H224" s="15" t="s">
        <v>1514</v>
      </c>
      <c r="I224" s="19"/>
      <c r="L224" s="4"/>
    </row>
    <row r="225" spans="1:12">
      <c r="A225" s="1" t="s">
        <v>224</v>
      </c>
      <c r="B225" t="str">
        <f t="shared" si="35"/>
        <v/>
      </c>
      <c r="D225" s="19"/>
      <c r="E225" s="15" t="s">
        <v>1515</v>
      </c>
      <c r="F225" s="7"/>
      <c r="G225" s="19"/>
      <c r="H225" s="15" t="s">
        <v>1516</v>
      </c>
      <c r="I225" s="19"/>
      <c r="L225" s="4"/>
    </row>
    <row r="226" spans="1:12">
      <c r="A226" s="1" t="s">
        <v>225</v>
      </c>
      <c r="B226" t="str">
        <f t="shared" si="35"/>
        <v/>
      </c>
      <c r="D226" s="19"/>
      <c r="E226" s="15" t="s">
        <v>1517</v>
      </c>
      <c r="F226" s="7"/>
      <c r="G226" s="19"/>
      <c r="H226" s="19"/>
      <c r="I226" s="19"/>
    </row>
    <row r="227" spans="1:12">
      <c r="A227" s="1" t="s">
        <v>226</v>
      </c>
      <c r="B227" t="str">
        <f t="shared" si="35"/>
        <v/>
      </c>
      <c r="D227" s="19"/>
      <c r="E227" s="15" t="s">
        <v>1518</v>
      </c>
      <c r="F227" s="7"/>
      <c r="G227" s="19"/>
      <c r="H227" s="19"/>
      <c r="I227" s="19"/>
    </row>
    <row r="228" spans="1:12">
      <c r="A228" s="1" t="s">
        <v>227</v>
      </c>
      <c r="B228" t="str">
        <f t="shared" si="35"/>
        <v/>
      </c>
      <c r="D228" s="19"/>
      <c r="E228" s="15" t="s">
        <v>1519</v>
      </c>
      <c r="F228" s="7"/>
      <c r="G228" s="19"/>
      <c r="H228" s="19"/>
      <c r="I228" s="19"/>
    </row>
    <row r="229" spans="1:12">
      <c r="A229" s="1" t="s">
        <v>228</v>
      </c>
      <c r="B229" t="str">
        <f t="shared" si="35"/>
        <v/>
      </c>
      <c r="D229" s="19"/>
      <c r="E229" s="15" t="s">
        <v>1520</v>
      </c>
      <c r="F229" s="7"/>
      <c r="G229" s="19"/>
      <c r="H229" s="19"/>
      <c r="I229" s="19"/>
    </row>
    <row r="230" spans="1:12">
      <c r="A230" s="1" t="s">
        <v>229</v>
      </c>
      <c r="B230" t="str">
        <f t="shared" si="35"/>
        <v/>
      </c>
      <c r="D230" s="19"/>
      <c r="E230" s="15" t="s">
        <v>1521</v>
      </c>
      <c r="F230" s="7"/>
      <c r="G230" s="19"/>
      <c r="H230" s="19"/>
      <c r="I230" s="19"/>
    </row>
    <row r="231" spans="1:12">
      <c r="A231" s="1" t="s">
        <v>230</v>
      </c>
      <c r="B231" t="str">
        <f t="shared" si="35"/>
        <v/>
      </c>
      <c r="D231" s="19"/>
      <c r="E231" s="15" t="s">
        <v>1522</v>
      </c>
      <c r="F231" s="7"/>
      <c r="G231" s="19"/>
      <c r="H231" s="19"/>
      <c r="I231" s="19"/>
    </row>
    <row r="232" spans="1:12">
      <c r="A232" s="1" t="s">
        <v>231</v>
      </c>
      <c r="B232" t="str">
        <f t="shared" si="35"/>
        <v/>
      </c>
      <c r="D232" s="19"/>
      <c r="E232" s="15" t="s">
        <v>1523</v>
      </c>
      <c r="F232" s="7"/>
      <c r="G232" s="19"/>
      <c r="H232" s="19"/>
      <c r="I232" s="19"/>
    </row>
    <row r="233" spans="1:12">
      <c r="A233" s="1" t="s">
        <v>232</v>
      </c>
      <c r="B233" t="str">
        <f t="shared" si="35"/>
        <v/>
      </c>
      <c r="D233" s="19"/>
      <c r="E233" s="19"/>
      <c r="F233" s="19"/>
      <c r="G233" s="19"/>
      <c r="H233" s="19"/>
      <c r="I233" s="19"/>
    </row>
    <row r="234" spans="1:12">
      <c r="A234" s="1" t="s">
        <v>233</v>
      </c>
      <c r="B234" t="str">
        <f t="shared" si="35"/>
        <v/>
      </c>
      <c r="D234" s="19"/>
      <c r="E234" s="15" t="s">
        <v>343</v>
      </c>
      <c r="F234" s="61" t="str">
        <f>_xlfn.IFNA(VLOOKUP(F7,tblClans[],4,FALSE),"")</f>
        <v>Feral Curse</v>
      </c>
      <c r="G234" s="19"/>
      <c r="H234" s="74" t="str">
        <f>_xlfn.IFNA(VLOOKUP(F234,tblBanes[],2,FALSE),"")</f>
        <v>Frenzy resistance dice pools capped by Humanity (doesn't affect Riding the Wave).</v>
      </c>
      <c r="I234" s="74"/>
    </row>
    <row r="235" spans="1:12">
      <c r="A235" s="1" t="s">
        <v>234</v>
      </c>
      <c r="B235" t="str">
        <f t="shared" si="35"/>
        <v/>
      </c>
      <c r="D235" s="19"/>
      <c r="E235" s="15" t="s">
        <v>344</v>
      </c>
      <c r="F235" s="19"/>
      <c r="G235" s="19"/>
      <c r="H235" s="19"/>
      <c r="I235" s="19"/>
    </row>
    <row r="236" spans="1:12">
      <c r="A236" s="1" t="s">
        <v>235</v>
      </c>
      <c r="B236" t="str">
        <f t="shared" si="35"/>
        <v/>
      </c>
      <c r="D236" s="19"/>
      <c r="E236" s="15" t="s">
        <v>345</v>
      </c>
      <c r="F236" s="3" t="s">
        <v>439</v>
      </c>
      <c r="G236" s="19"/>
      <c r="H236" s="70" t="str">
        <f>_xlfn.IFNA(VLOOKUP(F236,tblBanes[],2,FALSE),"")</f>
        <v>Surrounded by vermin; all Social rolls fail except Intimidation; WP can dismiss.</v>
      </c>
      <c r="I236" s="71"/>
    </row>
    <row r="237" spans="1:12">
      <c r="A237" s="1" t="s">
        <v>236</v>
      </c>
      <c r="B237" t="str">
        <f ca="1">_xlfn.LET(_xlpm.v,VLOOKUP(tblCharDataDoc[[#This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_xlfn.LET(_xlpm.v,VLOOKUP(tblCharDataDoc[[#This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_xlfn.LET(_xlpm.v,VLOOKUP(tblCharDataDoc[[#This Row],[Field]],INDIRECT($AH$1),2,FALSE),IF(OR(_xlpm.v=0,_xlpm.v=""),"-",REPT("●",_xlpm.v)))</f>
        <v>-</v>
      </c>
      <c r="D239" s="19"/>
      <c r="E239" s="19"/>
      <c r="F239" s="19"/>
      <c r="G239" s="19"/>
      <c r="H239" s="19"/>
      <c r="I239" s="19"/>
    </row>
    <row r="240" spans="1:12">
      <c r="A240" s="1" t="s">
        <v>239</v>
      </c>
      <c r="B240" t="str">
        <f ca="1">_xlfn.LET(_xlpm.v,VLOOKUP(tblCharDataDoc[[#This Row],[Field]],INDIRECT($AH$1),2,FALSE),IF(OR(_xlpm.v=0,_xlpm.v=""),"-",REPT("●",_xlpm.v)))</f>
        <v>-</v>
      </c>
      <c r="D240" s="19"/>
      <c r="E240" s="15" t="s">
        <v>360</v>
      </c>
      <c r="F240" s="62"/>
      <c r="G240" s="63"/>
      <c r="H240" s="63"/>
      <c r="I240" s="64"/>
    </row>
    <row r="241" spans="1:9">
      <c r="A241" s="1" t="s">
        <v>240</v>
      </c>
      <c r="B241" t="str">
        <f ca="1">_xlfn.LET(_xlpm.v,VLOOKUP(tblCharDataDoc[[#This Row],[Field]],INDIRECT($AH$1),2,FALSE),IF(OR(_xlpm.v=0,_xlpm.v=""),"-",REPT("●",_xlpm.v)))</f>
        <v>●●●</v>
      </c>
      <c r="D241" s="19"/>
      <c r="E241" s="15" t="s">
        <v>361</v>
      </c>
      <c r="F241" s="62"/>
      <c r="G241" s="63"/>
      <c r="H241" s="63"/>
      <c r="I241" s="64"/>
    </row>
    <row r="242" spans="1:9">
      <c r="A242" s="1" t="s">
        <v>241</v>
      </c>
      <c r="B242" t="str">
        <f ca="1">_xlfn.LET(_xlpm.v,VLOOKUP(tblCharDataDoc[[#This Row],[Field]],INDIRECT($AH$1),2,FALSE),IF(OR(_xlpm.v=0,_xlpm.v=""),"-",REPT("●",_xlpm.v)))</f>
        <v>-</v>
      </c>
      <c r="D242" s="19"/>
      <c r="E242" s="15" t="s">
        <v>362</v>
      </c>
      <c r="F242" s="62"/>
      <c r="G242" s="63"/>
      <c r="H242" s="63"/>
      <c r="I242" s="64"/>
    </row>
    <row r="243" spans="1:9">
      <c r="A243" s="1" t="s">
        <v>242</v>
      </c>
      <c r="B243" t="str">
        <f ca="1">_xlfn.LET(_xlpm.v,VLOOKUP(tblCharDataDoc[[#This Row],[Field]],INDIRECT($AH$1),2,FALSE),IF(OR(_xlpm.v=0,_xlpm.v=""),"-",REPT("●",_xlpm.v)))</f>
        <v>-</v>
      </c>
      <c r="D243" s="19"/>
      <c r="E243" s="19"/>
      <c r="F243" s="19"/>
      <c r="G243" s="19"/>
      <c r="H243" s="19"/>
      <c r="I243" s="19"/>
    </row>
    <row r="244" spans="1:9">
      <c r="A244" s="1" t="s">
        <v>243</v>
      </c>
      <c r="B244" t="str">
        <f ca="1">_xlfn.LET(_xlpm.v,VLOOKUP(tblCharDataDoc[[#This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_xlfn.LET(_xlpm.v,VLOOKUP(tblCharDataDoc[[#This Row],[Field]],INDIRECT($AH$1),2,FALSE),IF(OR(_xlpm.v=0,_xlpm.v=""),"-",REPT("●",_xlpm.v)))</f>
        <v>●</v>
      </c>
      <c r="D245" s="19"/>
      <c r="E245" s="15" t="s">
        <v>1524</v>
      </c>
      <c r="F245" s="62"/>
      <c r="G245" s="63"/>
      <c r="H245" s="63"/>
      <c r="I245" s="64"/>
    </row>
    <row r="246" spans="1:9">
      <c r="A246" s="1" t="s">
        <v>245</v>
      </c>
      <c r="B246" t="str">
        <f ca="1">_xlfn.LET(_xlpm.v,VLOOKUP(tblCharDataDoc[[#This Row],[Field]],INDIRECT($AH$1),2,FALSE),IF(OR(_xlpm.v=0,_xlpm.v=""),"-",REPT("●",_xlpm.v)))</f>
        <v>-</v>
      </c>
    </row>
    <row r="247" spans="1:9">
      <c r="A247" s="1" t="s">
        <v>246</v>
      </c>
      <c r="B247" t="str">
        <f ca="1">_xlfn.LET(_xlpm.v,VLOOKUP(tblCharDataDoc[[#This Row],[Field]],INDIRECT($AH$1),2,FALSE),IF(OR(_xlpm.v=0,_xlpm.v=""),"-",REPT("●",_xlpm.v)))</f>
        <v>-</v>
      </c>
      <c r="D247" s="16" t="s">
        <v>1525</v>
      </c>
      <c r="E247" s="16"/>
      <c r="F247" s="16" t="s">
        <v>1526</v>
      </c>
      <c r="G247" s="16" t="s">
        <v>1527</v>
      </c>
      <c r="H247" s="16"/>
      <c r="I247" s="16"/>
    </row>
    <row r="248" spans="1:9">
      <c r="A248" s="1" t="s">
        <v>247</v>
      </c>
      <c r="B248" t="str">
        <f ca="1">_xlfn.LET(_xlpm.v,VLOOKUP(tblCharDataDoc[[#This Row],[Field]],INDIRECT($AH$1),2,FALSE),IF(OR(_xlpm.v=0,_xlpm.v=""),"-",REPT("●",_xlpm.v)))</f>
        <v>-</v>
      </c>
      <c r="D248" s="19"/>
      <c r="E248" s="15" t="s">
        <v>1528</v>
      </c>
      <c r="F248" s="7"/>
      <c r="G248" s="7"/>
      <c r="H248" s="19"/>
      <c r="I248" s="19" t="s">
        <v>1529</v>
      </c>
    </row>
    <row r="249" spans="1:9">
      <c r="A249" s="1" t="s">
        <v>248</v>
      </c>
      <c r="B249" t="str">
        <f ca="1">_xlfn.LET(_xlpm.v,VLOOKUP(tblCharDataDoc[[#This Row],[Field]],INDIRECT($AH$1),2,FALSE),IF(OR(_xlpm.v=0,_xlpm.v=""),"-",REPT("●",_xlpm.v)))</f>
        <v>-</v>
      </c>
      <c r="D249" s="19"/>
      <c r="E249" s="15" t="s">
        <v>1530</v>
      </c>
      <c r="F249" s="7"/>
      <c r="G249" s="7"/>
      <c r="H249" s="19"/>
      <c r="I249" s="19" t="s">
        <v>1531</v>
      </c>
    </row>
    <row r="250" spans="1:9">
      <c r="A250" s="1" t="s">
        <v>249</v>
      </c>
      <c r="B250" t="str">
        <f ca="1">_xlfn.LET(_xlpm.v,VLOOKUP(tblCharDataDoc[[#This Row],[Field]],INDIRECT($AH$1),2,FALSE),IF(OR(_xlpm.v=0,_xlpm.v=""),"-",REPT("●",_xlpm.v)))</f>
        <v>-</v>
      </c>
      <c r="D250" s="19" t="s">
        <v>1532</v>
      </c>
      <c r="E250" s="15" t="s">
        <v>1533</v>
      </c>
      <c r="F250" s="7"/>
      <c r="G250" s="7"/>
      <c r="H250" s="19"/>
      <c r="I250" s="19"/>
    </row>
    <row r="251" spans="1:9">
      <c r="A251" s="1" t="s">
        <v>250</v>
      </c>
      <c r="B251" t="str">
        <f ca="1">_xlfn.LET(_xlpm.v,VLOOKUP(tblCharDataDoc[[#This Row],[Field]],INDIRECT($AH$1),2,FALSE),IF(OR(_xlpm.v=0,_xlpm.v=""),"-",REPT("●",_xlpm.v)))</f>
        <v>-</v>
      </c>
      <c r="D251" s="19" t="s">
        <v>1532</v>
      </c>
      <c r="E251" s="15" t="s">
        <v>1534</v>
      </c>
      <c r="F251" s="7"/>
      <c r="G251" s="7"/>
      <c r="H251" s="19"/>
      <c r="I251" s="19"/>
    </row>
    <row r="252" spans="1:9">
      <c r="A252" s="1" t="s">
        <v>251</v>
      </c>
      <c r="B252" t="str">
        <f ca="1">_xlfn.LET(_xlpm.v,VLOOKUP(tblCharDataDoc[[#This Row],[Field]],INDIRECT($AH$1),2,FALSE),IF(OR(_xlpm.v=0,_xlpm.v=""),"-",REPT("●",_xlpm.v)))</f>
        <v>-</v>
      </c>
      <c r="D252" s="19" t="s">
        <v>1532</v>
      </c>
      <c r="E252" s="15" t="s">
        <v>1535</v>
      </c>
      <c r="F252" s="7"/>
      <c r="G252" s="7"/>
      <c r="H252" s="19"/>
      <c r="I252" s="19"/>
    </row>
    <row r="253" spans="1:9">
      <c r="A253" s="1" t="s">
        <v>252</v>
      </c>
      <c r="B253" t="str">
        <f ca="1">_xlfn.LET(_xlpm.v,VLOOKUP(tblCharDataDoc[[#This Row],[Field]],INDIRECT($AH$1),2,FALSE),IF(OR(_xlpm.v=0,_xlpm.v=""),"-",REPT("●",_xlpm.v)))</f>
        <v>-</v>
      </c>
      <c r="D253" s="19" t="s">
        <v>1532</v>
      </c>
      <c r="E253" s="15" t="s">
        <v>1536</v>
      </c>
      <c r="F253" s="7"/>
      <c r="G253" s="7"/>
      <c r="H253" s="19"/>
      <c r="I253" s="19"/>
    </row>
    <row r="254" spans="1:9">
      <c r="A254" s="1" t="s">
        <v>253</v>
      </c>
      <c r="B254" t="str">
        <f t="shared" ref="B254:B283" si="36">IF(AD44="","¬",AD44)</f>
        <v>Majesty ● | Awe</v>
      </c>
      <c r="D254" s="19" t="s">
        <v>1532</v>
      </c>
      <c r="E254" s="15" t="s">
        <v>1537</v>
      </c>
      <c r="F254" s="7"/>
      <c r="G254" s="7"/>
      <c r="H254" s="19"/>
      <c r="I254" s="19"/>
    </row>
    <row r="255" spans="1:9">
      <c r="A255" s="1" t="s">
        <v>254</v>
      </c>
      <c r="B255" t="str">
        <f t="shared" si="36"/>
        <v>Majesty ●● | Confidant</v>
      </c>
      <c r="D255" s="19" t="s">
        <v>1532</v>
      </c>
      <c r="E255" s="15" t="s">
        <v>1538</v>
      </c>
      <c r="F255" s="7"/>
      <c r="G255" s="7"/>
      <c r="H255" s="19"/>
      <c r="I255" s="19"/>
    </row>
    <row r="256" spans="1:9">
      <c r="A256" s="1" t="s">
        <v>255</v>
      </c>
      <c r="B256" t="str">
        <f t="shared" si="36"/>
        <v>Majesty ●●● | Green Eyes</v>
      </c>
      <c r="D256" s="19" t="s">
        <v>1532</v>
      </c>
      <c r="E256" s="15" t="s">
        <v>1539</v>
      </c>
      <c r="F256" s="7"/>
      <c r="G256" s="7"/>
      <c r="H256" s="19"/>
      <c r="I256" s="19"/>
    </row>
    <row r="257" spans="1:9">
      <c r="A257" s="1" t="s">
        <v>256</v>
      </c>
      <c r="B257" t="str">
        <f t="shared" si="36"/>
        <v>Protean ● | Unmarked Grave</v>
      </c>
      <c r="D257" s="19" t="s">
        <v>1532</v>
      </c>
      <c r="E257" s="15" t="s">
        <v>1540</v>
      </c>
      <c r="F257" s="7"/>
      <c r="G257" s="7"/>
      <c r="H257" s="19"/>
      <c r="I257" s="19"/>
    </row>
    <row r="258" spans="1:9">
      <c r="A258" s="1" t="s">
        <v>257</v>
      </c>
      <c r="B258" t="str">
        <f t="shared" si="36"/>
        <v>Resilience ●</v>
      </c>
      <c r="D258" s="19" t="s">
        <v>1532</v>
      </c>
      <c r="E258" s="15" t="s">
        <v>1541</v>
      </c>
      <c r="F258" s="7"/>
      <c r="G258" s="7"/>
      <c r="H258" s="19"/>
      <c r="I258" s="19"/>
    </row>
    <row r="259" spans="1:9">
      <c r="A259" s="1" t="s">
        <v>258</v>
      </c>
      <c r="B259" t="str">
        <f t="shared" si="36"/>
        <v>Devotion  | Enfeebling Aura</v>
      </c>
      <c r="D259" s="19" t="s">
        <v>1532</v>
      </c>
      <c r="E259" s="15" t="s">
        <v>1542</v>
      </c>
      <c r="F259" s="7"/>
      <c r="G259" s="7"/>
      <c r="H259" s="19"/>
      <c r="I259" s="19"/>
    </row>
    <row r="260" spans="1:9">
      <c r="A260" s="1" t="s">
        <v>259</v>
      </c>
      <c r="B260" t="str">
        <f t="shared" si="36"/>
        <v>¬</v>
      </c>
      <c r="D260" s="19" t="s">
        <v>1532</v>
      </c>
      <c r="E260" s="15" t="s">
        <v>1543</v>
      </c>
      <c r="F260" s="7"/>
      <c r="G260" s="7"/>
      <c r="H260" s="19"/>
      <c r="I260" s="19"/>
    </row>
    <row r="261" spans="1:9">
      <c r="A261" s="1" t="s">
        <v>260</v>
      </c>
      <c r="B261" t="str">
        <f t="shared" si="36"/>
        <v>¬</v>
      </c>
      <c r="D261" s="19" t="s">
        <v>1532</v>
      </c>
      <c r="E261" s="15" t="s">
        <v>1544</v>
      </c>
      <c r="F261" s="7"/>
      <c r="G261" s="7"/>
      <c r="H261" s="19"/>
      <c r="I261" s="19"/>
    </row>
    <row r="262" spans="1:9">
      <c r="A262" s="1" t="s">
        <v>261</v>
      </c>
      <c r="B262" t="str">
        <f t="shared" si="36"/>
        <v>¬</v>
      </c>
      <c r="D262" s="19" t="s">
        <v>1532</v>
      </c>
      <c r="E262" s="15" t="s">
        <v>1545</v>
      </c>
      <c r="F262" s="7"/>
      <c r="G262" s="7"/>
      <c r="H262" s="19"/>
      <c r="I262" s="19"/>
    </row>
    <row r="263" spans="1:9">
      <c r="A263" s="1" t="s">
        <v>262</v>
      </c>
      <c r="B263" t="str">
        <f t="shared" si="36"/>
        <v>¬</v>
      </c>
      <c r="D263" s="19" t="s">
        <v>1532</v>
      </c>
      <c r="E263" s="15" t="s">
        <v>1546</v>
      </c>
      <c r="F263" s="7"/>
      <c r="G263" s="7"/>
      <c r="H263" s="19"/>
      <c r="I263" s="19"/>
    </row>
    <row r="264" spans="1:9">
      <c r="A264" s="1" t="s">
        <v>263</v>
      </c>
      <c r="B264" t="str">
        <f t="shared" si="36"/>
        <v>¬</v>
      </c>
      <c r="D264" s="19" t="s">
        <v>1532</v>
      </c>
      <c r="E264" s="15" t="s">
        <v>1547</v>
      </c>
      <c r="F264" s="7"/>
      <c r="G264" s="7"/>
      <c r="H264" s="19"/>
      <c r="I264" s="19"/>
    </row>
    <row r="265" spans="1:9">
      <c r="A265" s="1" t="s">
        <v>264</v>
      </c>
      <c r="B265" t="str">
        <f t="shared" si="36"/>
        <v>¬</v>
      </c>
      <c r="D265" s="19" t="s">
        <v>1532</v>
      </c>
      <c r="E265" s="15" t="s">
        <v>1548</v>
      </c>
      <c r="F265" s="7"/>
      <c r="G265" s="7"/>
      <c r="H265" s="19"/>
      <c r="I265" s="19"/>
    </row>
    <row r="266" spans="1:9">
      <c r="A266" s="1" t="s">
        <v>265</v>
      </c>
      <c r="B266" t="str">
        <f t="shared" si="36"/>
        <v>¬</v>
      </c>
      <c r="D266" s="19" t="s">
        <v>1532</v>
      </c>
      <c r="E266" s="15" t="s">
        <v>1549</v>
      </c>
      <c r="F266" s="7"/>
      <c r="G266" s="7"/>
      <c r="H266" s="19"/>
      <c r="I266" s="19"/>
    </row>
    <row r="267" spans="1:9">
      <c r="A267" s="1" t="s">
        <v>266</v>
      </c>
      <c r="B267" t="str">
        <f t="shared" si="36"/>
        <v>¬</v>
      </c>
      <c r="D267" s="19" t="s">
        <v>1532</v>
      </c>
      <c r="E267" s="15" t="s">
        <v>1550</v>
      </c>
      <c r="F267" s="7"/>
      <c r="G267" s="7"/>
      <c r="H267" s="19"/>
      <c r="I267" s="19"/>
    </row>
    <row r="268" spans="1:9">
      <c r="A268" s="1" t="s">
        <v>267</v>
      </c>
      <c r="B268" t="str">
        <f t="shared" si="36"/>
        <v>¬</v>
      </c>
      <c r="D268" s="19" t="s">
        <v>1532</v>
      </c>
      <c r="E268" s="15" t="s">
        <v>1551</v>
      </c>
      <c r="F268" s="7"/>
      <c r="G268" s="7"/>
      <c r="H268" s="19"/>
      <c r="I268" s="19"/>
    </row>
    <row r="269" spans="1:9">
      <c r="A269" s="1" t="s">
        <v>268</v>
      </c>
      <c r="B269" t="str">
        <f t="shared" si="36"/>
        <v>¬</v>
      </c>
      <c r="D269" s="19" t="s">
        <v>1532</v>
      </c>
      <c r="E269" s="15" t="s">
        <v>1552</v>
      </c>
      <c r="F269" s="7"/>
      <c r="G269" s="7"/>
      <c r="H269" s="19"/>
      <c r="I269" s="19"/>
    </row>
    <row r="270" spans="1:9">
      <c r="A270" s="1" t="s">
        <v>269</v>
      </c>
      <c r="B270" t="str">
        <f t="shared" si="36"/>
        <v>¬</v>
      </c>
      <c r="D270" s="19" t="s">
        <v>1532</v>
      </c>
      <c r="E270" s="15" t="s">
        <v>1553</v>
      </c>
      <c r="F270" s="7"/>
      <c r="G270" s="7"/>
      <c r="H270" s="19"/>
      <c r="I270" s="19"/>
    </row>
    <row r="271" spans="1:9">
      <c r="A271" s="1" t="s">
        <v>270</v>
      </c>
      <c r="B271" t="str">
        <f t="shared" si="36"/>
        <v>¬</v>
      </c>
      <c r="D271" s="19" t="s">
        <v>1532</v>
      </c>
      <c r="E271" s="15" t="s">
        <v>1554</v>
      </c>
      <c r="F271" s="7"/>
      <c r="G271" s="7"/>
      <c r="H271" s="19"/>
      <c r="I271" s="19"/>
    </row>
    <row r="272" spans="1:9">
      <c r="A272" s="1" t="s">
        <v>271</v>
      </c>
      <c r="B272" t="str">
        <f t="shared" si="36"/>
        <v>¬</v>
      </c>
      <c r="D272" s="19" t="s">
        <v>1532</v>
      </c>
      <c r="E272" s="15" t="s">
        <v>1555</v>
      </c>
      <c r="F272" s="7"/>
      <c r="G272" s="7"/>
      <c r="H272" s="19"/>
      <c r="I272" s="19"/>
    </row>
    <row r="273" spans="1:14">
      <c r="A273" s="1" t="s">
        <v>272</v>
      </c>
      <c r="B273" t="str">
        <f t="shared" si="36"/>
        <v>¬</v>
      </c>
      <c r="D273" s="19" t="s">
        <v>1532</v>
      </c>
      <c r="E273" s="15" t="s">
        <v>1556</v>
      </c>
      <c r="F273" s="7"/>
      <c r="G273" s="7"/>
      <c r="H273" s="19"/>
      <c r="I273" s="19"/>
    </row>
    <row r="274" spans="1:14">
      <c r="A274" s="1" t="s">
        <v>273</v>
      </c>
      <c r="B274" t="str">
        <f t="shared" si="36"/>
        <v>¬</v>
      </c>
      <c r="D274" s="19" t="s">
        <v>1532</v>
      </c>
      <c r="E274" s="15" t="s">
        <v>1557</v>
      </c>
      <c r="F274" s="7"/>
      <c r="G274" s="7"/>
      <c r="H274" s="19"/>
      <c r="I274" s="19"/>
    </row>
    <row r="275" spans="1:14">
      <c r="A275" s="1" t="s">
        <v>274</v>
      </c>
      <c r="B275" t="str">
        <f t="shared" si="36"/>
        <v>¬</v>
      </c>
      <c r="D275" s="19" t="s">
        <v>1532</v>
      </c>
      <c r="E275" s="15" t="s">
        <v>1558</v>
      </c>
      <c r="F275" s="7"/>
      <c r="G275" s="7"/>
      <c r="H275" s="19"/>
      <c r="I275" s="19"/>
    </row>
    <row r="276" spans="1:14">
      <c r="A276" s="1" t="s">
        <v>275</v>
      </c>
      <c r="B276" t="str">
        <f t="shared" si="36"/>
        <v>¬</v>
      </c>
      <c r="D276" s="19" t="s">
        <v>1532</v>
      </c>
      <c r="E276" s="15" t="s">
        <v>1559</v>
      </c>
      <c r="F276" s="7"/>
      <c r="G276" s="7"/>
      <c r="H276" s="19"/>
      <c r="I276" s="19"/>
    </row>
    <row r="277" spans="1:14">
      <c r="A277" s="1" t="s">
        <v>276</v>
      </c>
      <c r="B277" t="str">
        <f t="shared" si="36"/>
        <v>¬</v>
      </c>
      <c r="D277" s="19" t="s">
        <v>1532</v>
      </c>
      <c r="E277" s="15" t="s">
        <v>1560</v>
      </c>
      <c r="F277" s="7"/>
      <c r="G277" s="7"/>
      <c r="H277" s="19"/>
      <c r="I277" s="19"/>
    </row>
    <row r="278" spans="1:14">
      <c r="A278" s="1" t="s">
        <v>277</v>
      </c>
      <c r="B278" t="str">
        <f t="shared" si="36"/>
        <v>¬</v>
      </c>
    </row>
    <row r="279" spans="1:14">
      <c r="A279" s="1" t="s">
        <v>278</v>
      </c>
      <c r="B279" t="str">
        <f t="shared" si="36"/>
        <v>¬</v>
      </c>
      <c r="D279" s="16" t="s">
        <v>1561</v>
      </c>
      <c r="E279" s="16"/>
      <c r="F279" s="16" t="s">
        <v>1347</v>
      </c>
      <c r="G279" s="16" t="s">
        <v>1348</v>
      </c>
      <c r="H279" s="16" t="s">
        <v>1349</v>
      </c>
      <c r="I279" s="16" t="s">
        <v>1350</v>
      </c>
      <c r="N279" s="60">
        <f ca="1">SUM(N280:N282)</f>
        <v>3</v>
      </c>
    </row>
    <row r="280" spans="1:14">
      <c r="A280" s="1" t="s">
        <v>279</v>
      </c>
      <c r="B280" t="str">
        <f t="shared" si="36"/>
        <v>¬</v>
      </c>
      <c r="D280" s="61" t="str" cm="1">
        <f t="array" aca="1" ref="D280" ca="1">INDEX(Attendance!$C$14:$GP$44,
       MATCH($F$4, Attendance!$C$14:$C$44, 0),
       MATCH(1, (Attendance!$C$12:$GP$12=$E280) * (Attendance!$C$13:$GP$13="Paid"), 0)
)</f>
        <v>Cash</v>
      </c>
      <c r="E280" s="41">
        <v>46054</v>
      </c>
      <c r="F280" s="61" cm="1">
        <f t="array" aca="1" ref="F280" ca="1">N(INDEX(Attendance!$C$14:$GP$104,
       MATCH($F$4, Attendance!$C$14:$C$104, 0),
       MATCH(1, (Attendance!$C$12:$GP$12=$E280) * (Attendance!$C$13:$GP$13=$F$279), 0)
))</f>
        <v>3</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0</v>
      </c>
      <c r="I280" s="61" t="str" cm="1">
        <f t="array" aca="1" ref="I280" ca="1">INDEX(Attendance!$C$14:$GP$44,
       MATCH($F$4, Attendance!$C$14:$C$44, 0),
       MATCH(1, (Attendance!$C$12:$GP$12=$E280) * (Attendance!$C$13:$GP$13=$I$279), 0)
)</f>
        <v>Quiet</v>
      </c>
      <c r="K280" s="18"/>
      <c r="L280" s="18"/>
      <c r="M280" s="18" t="s">
        <v>1562</v>
      </c>
      <c r="N280" s="61">
        <f ca="1">SUM(F$280:F$316)</f>
        <v>3</v>
      </c>
    </row>
    <row r="281" spans="1:14">
      <c r="A281" s="1" t="s">
        <v>280</v>
      </c>
      <c r="B281" t="str">
        <f t="shared" si="36"/>
        <v>¬</v>
      </c>
      <c r="D281" s="61" t="str" cm="1">
        <f t="array" aca="1" ref="D281" ca="1">INDEX(Attendance!$C$14:$GP$44,
       MATCH($F$4, Attendance!$C$14:$C$44, 0),
       MATCH(1, (Attendance!$C$12:$GP$12=$E281) * (Attendance!$C$13:$GP$13="Paid"), 0)
)</f>
        <v> </v>
      </c>
      <c r="E281" s="42">
        <f t="shared" ref="E281:E316" si="37">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6"/>
        <v>¬</v>
      </c>
      <c r="D282" s="61" t="str" cm="1">
        <f t="array" aca="1" ref="D282" ca="1">INDEX(Attendance!$C$14:$GP$44,
       MATCH($F$4, Attendance!$C$14:$C$44, 0),
       MATCH(1, (Attendance!$C$12:$GP$12=$E282) * (Attendance!$C$13:$GP$13="Paid"), 0)
)</f>
        <v> </v>
      </c>
      <c r="E282" s="42">
        <f t="shared" si="37"/>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0</v>
      </c>
    </row>
    <row r="283" spans="1:14">
      <c r="A283" s="1" t="s">
        <v>282</v>
      </c>
      <c r="B283" t="str">
        <f t="shared" si="36"/>
        <v>¬</v>
      </c>
      <c r="D283" s="61" t="str" cm="1">
        <f t="array" aca="1" ref="D283" ca="1">INDEX(Attendance!$C$14:$GP$44,
       MATCH($F$4, Attendance!$C$14:$C$44, 0),
       MATCH(1, (Attendance!$C$12:$GP$12=$E283) * (Attendance!$C$13:$GP$13="Paid"), 0)
)</f>
        <v> </v>
      </c>
      <c r="E283" s="42">
        <f t="shared" si="37"/>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8">IF(AE44="","¬",AE44)</f>
        <v>Cost: -  •  Pool: -  •  Instant  •  Scene</v>
      </c>
      <c r="D284" s="61" t="str" cm="1">
        <f t="array" aca="1" ref="D284" ca="1">INDEX(Attendance!$C$14:$GP$44,
       MATCH($F$4, Attendance!$C$14:$C$44, 0),
       MATCH(1, (Attendance!$C$12:$GP$12=$E284) * (Attendance!$C$13:$GP$13="Paid"), 0)
)</f>
        <v> </v>
      </c>
      <c r="E284" s="42">
        <f t="shared" si="37"/>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8"/>
        <v>Cost: - (req: Awed)   •  Pool: 9  v Resolve + BP  •  Contested</v>
      </c>
      <c r="D285" s="61" t="str" cm="1">
        <f t="array" aca="1" ref="D285" ca="1">INDEX(Attendance!$C$14:$GP$44,
       MATCH($F$4, Attendance!$C$14:$C$44, 0),
       MATCH(1, (Attendance!$C$12:$GP$12=$E285) * (Attendance!$C$13:$GP$13="Paid"), 0)
)</f>
        <v> </v>
      </c>
      <c r="E285" s="42">
        <f t="shared" si="37"/>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8"/>
        <v>Cost: 1 V (req: Charmed / Enthralled)   •  Pool: -  •  Instant  •  Scene</v>
      </c>
      <c r="D286" s="61" t="str" cm="1">
        <f t="array" aca="1" ref="D286" ca="1">INDEX(Attendance!$C$14:$GP$44,
       MATCH($F$4, Attendance!$C$14:$C$44, 0),
       MATCH(1, (Attendance!$C$12:$GP$12=$E286) * (Attendance!$C$13:$GP$13="Paid"), 0)
)</f>
        <v> </v>
      </c>
      <c r="E286" s="42">
        <f t="shared" si="37"/>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8"/>
        <v>Cost: Varies  •  Pool: -  •  Instant  •  Indefinite</v>
      </c>
      <c r="D287" s="61" t="str" cm="1">
        <f t="array" aca="1" ref="D287" ca="1">INDEX(Attendance!$C$14:$GP$44,
       MATCH($F$4, Attendance!$C$14:$C$44, 0),
       MATCH(1, (Attendance!$C$12:$GP$12=$E287) * (Attendance!$C$13:$GP$13="Paid"), 0)
)</f>
        <v> </v>
      </c>
      <c r="E287" s="42">
        <f t="shared" si="37"/>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8"/>
        <v>Cost: 1 V per effect  •  Pool: -  •  Reflexive  •  1 turn</v>
      </c>
      <c r="D288" s="61" t="str" cm="1">
        <f t="array" aca="1" ref="D288" ca="1">INDEX(Attendance!$C$14:$GP$44,
       MATCH($F$4, Attendance!$C$14:$C$44, 0),
       MATCH(1, (Attendance!$C$12:$GP$12=$E288) * (Attendance!$C$13:$GP$13="Paid"), 0)
)</f>
        <v> </v>
      </c>
      <c r="E288" s="42">
        <f t="shared" si="37"/>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8"/>
        <v>Cost: 1 V  •  Pool: 9  v Composure + BP  •  Contested  •  Scene</v>
      </c>
      <c r="D289" s="61" t="str" cm="1">
        <f t="array" aca="1" ref="D289" ca="1">INDEX(Attendance!$C$14:$GP$44,
       MATCH($F$4, Attendance!$C$14:$C$44, 0),
       MATCH(1, (Attendance!$C$12:$GP$12=$E289) * (Attendance!$C$13:$GP$13="Paid"), 0)
)</f>
        <v> </v>
      </c>
      <c r="E289" s="42">
        <f t="shared" si="37"/>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8"/>
        <v>¬</v>
      </c>
      <c r="D290" s="61" t="str" cm="1">
        <f t="array" aca="1" ref="D290" ca="1">INDEX(Attendance!$C$14:$GP$44,
       MATCH($F$4, Attendance!$C$14:$C$44, 0),
       MATCH(1, (Attendance!$C$12:$GP$12=$E290) * (Attendance!$C$13:$GP$13="Paid"), 0)
)</f>
        <v> </v>
      </c>
      <c r="E290" s="42">
        <f t="shared" si="37"/>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8"/>
        <v>¬</v>
      </c>
      <c r="D291" s="61" t="str" cm="1">
        <f t="array" aca="1" ref="D291" ca="1">INDEX(Attendance!$C$14:$GP$44,
       MATCH($F$4, Attendance!$C$14:$C$44, 0),
       MATCH(1, (Attendance!$C$12:$GP$12=$E291) * (Attendance!$C$13:$GP$13="Paid"), 0)
)</f>
        <v> </v>
      </c>
      <c r="E291" s="42">
        <f t="shared" si="37"/>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8"/>
        <v>¬</v>
      </c>
      <c r="D292" s="61" t="str" cm="1">
        <f t="array" aca="1" ref="D292" ca="1">INDEX(Attendance!$C$14:$GP$44,
       MATCH($F$4, Attendance!$C$14:$C$44, 0),
       MATCH(1, (Attendance!$C$12:$GP$12=$E292) * (Attendance!$C$13:$GP$13="Paid"), 0)
)</f>
        <v> </v>
      </c>
      <c r="E292" s="42">
        <f t="shared" si="37"/>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8"/>
        <v>¬</v>
      </c>
      <c r="D293" s="61" t="str" cm="1">
        <f t="array" aca="1" ref="D293" ca="1">INDEX(Attendance!$C$14:$GP$44,
       MATCH($F$4, Attendance!$C$14:$C$44, 0),
       MATCH(1, (Attendance!$C$12:$GP$12=$E293) * (Attendance!$C$13:$GP$13="Paid"), 0)
)</f>
        <v> </v>
      </c>
      <c r="E293" s="42">
        <f t="shared" si="37"/>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8"/>
        <v>¬</v>
      </c>
      <c r="D294" s="61" t="str" cm="1">
        <f t="array" aca="1" ref="D294" ca="1">INDEX(Attendance!$C$14:$GP$44,
       MATCH($F$4, Attendance!$C$14:$C$44, 0),
       MATCH(1, (Attendance!$C$12:$GP$12=$E294) * (Attendance!$C$13:$GP$13="Paid"), 0)
)</f>
        <v> </v>
      </c>
      <c r="E294" s="42">
        <f t="shared" si="37"/>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8"/>
        <v>¬</v>
      </c>
      <c r="D295" s="61" t="str" cm="1">
        <f t="array" aca="1" ref="D295" ca="1">INDEX(Attendance!$C$14:$GP$44,
       MATCH($F$4, Attendance!$C$14:$C$44, 0),
       MATCH(1, (Attendance!$C$12:$GP$12=$E295) * (Attendance!$C$13:$GP$13="Paid"), 0)
)</f>
        <v> </v>
      </c>
      <c r="E295" s="42">
        <f t="shared" si="37"/>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8"/>
        <v>¬</v>
      </c>
      <c r="D296" s="61" t="str" cm="1">
        <f t="array" aca="1" ref="D296" ca="1">INDEX(Attendance!$C$14:$GP$44,
       MATCH($F$4, Attendance!$C$14:$C$44, 0),
       MATCH(1, (Attendance!$C$12:$GP$12=$E296) * (Attendance!$C$13:$GP$13="Paid"), 0)
)</f>
        <v> </v>
      </c>
      <c r="E296" s="42">
        <f t="shared" si="37"/>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8"/>
        <v>¬</v>
      </c>
      <c r="D297" s="61" t="str" cm="1">
        <f t="array" aca="1" ref="D297" ca="1">INDEX(Attendance!$C$14:$GP$44,
       MATCH($F$4, Attendance!$C$14:$C$44, 0),
       MATCH(1, (Attendance!$C$12:$GP$12=$E297) * (Attendance!$C$13:$GP$13="Paid"), 0)
)</f>
        <v> </v>
      </c>
      <c r="E297" s="42">
        <f t="shared" si="37"/>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8"/>
        <v>¬</v>
      </c>
      <c r="D298" s="61" t="str" cm="1">
        <f t="array" aca="1" ref="D298" ca="1">INDEX(Attendance!$C$14:$GP$44,
       MATCH($F$4, Attendance!$C$14:$C$44, 0),
       MATCH(1, (Attendance!$C$12:$GP$12=$E298) * (Attendance!$C$13:$GP$13="Paid"), 0)
)</f>
        <v> </v>
      </c>
      <c r="E298" s="42">
        <f t="shared" si="37"/>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8"/>
        <v>¬</v>
      </c>
      <c r="D299" s="61" t="str" cm="1">
        <f t="array" aca="1" ref="D299" ca="1">INDEX(Attendance!$C$14:$GP$44,
       MATCH($F$4, Attendance!$C$14:$C$44, 0),
       MATCH(1, (Attendance!$C$12:$GP$12=$E299) * (Attendance!$C$13:$GP$13="Paid"), 0)
)</f>
        <v> </v>
      </c>
      <c r="E299" s="42">
        <f t="shared" si="37"/>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8"/>
        <v>¬</v>
      </c>
      <c r="D300" s="61" t="str" cm="1">
        <f t="array" aca="1" ref="D300" ca="1">INDEX(Attendance!$C$14:$GP$44,
       MATCH($F$4, Attendance!$C$14:$C$44, 0),
       MATCH(1, (Attendance!$C$12:$GP$12=$E300) * (Attendance!$C$13:$GP$13="Paid"), 0)
)</f>
        <v> </v>
      </c>
      <c r="E300" s="42">
        <f t="shared" si="37"/>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8"/>
        <v>¬</v>
      </c>
      <c r="D301" s="61" t="str" cm="1">
        <f t="array" aca="1" ref="D301" ca="1">INDEX(Attendance!$C$14:$GP$44,
       MATCH($F$4, Attendance!$C$14:$C$44, 0),
       MATCH(1, (Attendance!$C$12:$GP$12=$E301) * (Attendance!$C$13:$GP$13="Paid"), 0)
)</f>
        <v> </v>
      </c>
      <c r="E301" s="42">
        <f t="shared" si="37"/>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8"/>
        <v>¬</v>
      </c>
      <c r="D302" s="61" t="str" cm="1">
        <f t="array" aca="1" ref="D302" ca="1">INDEX(Attendance!$C$14:$GP$44,
       MATCH($F$4, Attendance!$C$14:$C$44, 0),
       MATCH(1, (Attendance!$C$12:$GP$12=$E302) * (Attendance!$C$13:$GP$13="Paid"), 0)
)</f>
        <v> </v>
      </c>
      <c r="E302" s="42">
        <f t="shared" si="37"/>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8"/>
        <v>¬</v>
      </c>
      <c r="D303" s="61" t="str" cm="1">
        <f t="array" aca="1" ref="D303" ca="1">INDEX(Attendance!$C$14:$GP$44,
       MATCH($F$4, Attendance!$C$14:$C$44, 0),
       MATCH(1, (Attendance!$C$12:$GP$12=$E303) * (Attendance!$C$13:$GP$13="Paid"), 0)
)</f>
        <v> </v>
      </c>
      <c r="E303" s="42">
        <f t="shared" si="37"/>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8"/>
        <v>¬</v>
      </c>
      <c r="D304" s="61" t="str" cm="1">
        <f t="array" aca="1" ref="D304" ca="1">INDEX(Attendance!$C$14:$GP$44,
       MATCH($F$4, Attendance!$C$14:$C$44, 0),
       MATCH(1, (Attendance!$C$12:$GP$12=$E304) * (Attendance!$C$13:$GP$13="Paid"), 0)
)</f>
        <v> </v>
      </c>
      <c r="E304" s="42">
        <f t="shared" si="37"/>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8"/>
        <v>¬</v>
      </c>
      <c r="D305" s="61" t="str" cm="1">
        <f t="array" aca="1" ref="D305" ca="1">INDEX(Attendance!$C$14:$GP$44,
       MATCH($F$4, Attendance!$C$14:$C$44, 0),
       MATCH(1, (Attendance!$C$12:$GP$12=$E305) * (Attendance!$C$13:$GP$13="Paid"), 0)
)</f>
        <v> </v>
      </c>
      <c r="E305" s="42">
        <f t="shared" si="37"/>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8"/>
        <v>¬</v>
      </c>
      <c r="D306" s="61" t="str" cm="1">
        <f t="array" aca="1" ref="D306" ca="1">INDEX(Attendance!$C$14:$GP$44,
       MATCH($F$4, Attendance!$C$14:$C$44, 0),
       MATCH(1, (Attendance!$C$12:$GP$12=$E306) * (Attendance!$C$13:$GP$13="Paid"), 0)
)</f>
        <v> </v>
      </c>
      <c r="E306" s="42">
        <f t="shared" si="37"/>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8"/>
        <v>¬</v>
      </c>
      <c r="D307" s="61" t="str" cm="1">
        <f t="array" aca="1" ref="D307" ca="1">INDEX(Attendance!$C$14:$GP$44,
       MATCH($F$4, Attendance!$C$14:$C$44, 0),
       MATCH(1, (Attendance!$C$12:$GP$12=$E307) * (Attendance!$C$13:$GP$13="Paid"), 0)
)</f>
        <v> </v>
      </c>
      <c r="E307" s="42">
        <f t="shared" si="37"/>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8"/>
        <v>¬</v>
      </c>
      <c r="D308" s="61" t="str" cm="1">
        <f t="array" aca="1" ref="D308" ca="1">INDEX(Attendance!$C$14:$GP$44,
       MATCH($F$4, Attendance!$C$14:$C$44, 0),
       MATCH(1, (Attendance!$C$12:$GP$12=$E308) * (Attendance!$C$13:$GP$13="Paid"), 0)
)</f>
        <v> </v>
      </c>
      <c r="E308" s="42">
        <f t="shared" si="37"/>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8"/>
        <v>¬</v>
      </c>
      <c r="D309" s="61" t="str" cm="1">
        <f t="array" aca="1" ref="D309" ca="1">INDEX(Attendance!$C$14:$GP$44,
       MATCH($F$4, Attendance!$C$14:$C$44, 0),
       MATCH(1, (Attendance!$C$12:$GP$12=$E309) * (Attendance!$C$13:$GP$13="Paid"), 0)
)</f>
        <v> </v>
      </c>
      <c r="E309" s="42">
        <f t="shared" si="37"/>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8"/>
        <v>¬</v>
      </c>
      <c r="D310" s="61" t="str" cm="1">
        <f t="array" aca="1" ref="D310" ca="1">INDEX(Attendance!$C$14:$GP$44,
       MATCH($F$4, Attendance!$C$14:$C$44, 0),
       MATCH(1, (Attendance!$C$12:$GP$12=$E310) * (Attendance!$C$13:$GP$13="Paid"), 0)
)</f>
        <v> </v>
      </c>
      <c r="E310" s="42">
        <f t="shared" si="37"/>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8"/>
        <v>¬</v>
      </c>
      <c r="D311" s="61" t="str" cm="1">
        <f t="array" aca="1" ref="D311" ca="1">INDEX(Attendance!$C$14:$GP$44,
       MATCH($F$4, Attendance!$C$14:$C$44, 0),
       MATCH(1, (Attendance!$C$12:$GP$12=$E311) * (Attendance!$C$13:$GP$13="Paid"), 0)
)</f>
        <v> </v>
      </c>
      <c r="E311" s="42">
        <f t="shared" si="37"/>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8"/>
        <v>¬</v>
      </c>
      <c r="D312" s="61" t="str" cm="1">
        <f t="array" aca="1" ref="D312" ca="1">INDEX(Attendance!$C$14:$GP$44,
       MATCH($F$4, Attendance!$C$14:$C$44, 0),
       MATCH(1, (Attendance!$C$12:$GP$12=$E312) * (Attendance!$C$13:$GP$13="Paid"), 0)
)</f>
        <v> </v>
      </c>
      <c r="E312" s="42">
        <f t="shared" si="37"/>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8"/>
        <v>¬</v>
      </c>
      <c r="D313" s="61" t="str" cm="1">
        <f t="array" aca="1" ref="D313" ca="1">INDEX(Attendance!$C$14:$GP$44,
       MATCH($F$4, Attendance!$C$14:$C$44, 0),
       MATCH(1, (Attendance!$C$12:$GP$12=$E313) * (Attendance!$C$13:$GP$13="Paid"), 0)
)</f>
        <v> </v>
      </c>
      <c r="E313" s="42">
        <f t="shared" si="37"/>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39">IF(AF44="","¬",AF44)</f>
        <v>Become centre of attention. Subjects become Awed.</v>
      </c>
      <c r="D314" s="61" t="str" cm="1">
        <f t="array" aca="1" ref="D314" ca="1">INDEX(Attendance!$C$14:$GP$44,
       MATCH($F$4, Attendance!$C$14:$C$44, 0),
       MATCH(1, (Attendance!$C$12:$GP$12=$E314) * (Attendance!$C$13:$GP$13="Paid"), 0)
)</f>
        <v> </v>
      </c>
      <c r="E314" s="42">
        <f t="shared" si="37"/>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39"/>
        <v>Impose Charmed Condition.</v>
      </c>
      <c r="D315" s="61" t="str" cm="1">
        <f t="array" aca="1" ref="D315" ca="1">INDEX(Attendance!$C$14:$GP$44,
       MATCH($F$4, Attendance!$C$14:$C$44, 0),
       MATCH(1, (Attendance!$C$12:$GP$12=$E315) * (Attendance!$C$13:$GP$13="Paid"), 0)
)</f>
        <v> </v>
      </c>
      <c r="E315" s="42">
        <f t="shared" si="37"/>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39"/>
        <v>Shift emotions (1 V, any number of Charmed/Enthralled targets); rage/fear causes frenzy with no resist roll (Ride the Wave normal). Requests: 1 V per target, must be spoken and heard.</v>
      </c>
      <c r="D316" s="61" t="str" cm="1">
        <f t="array" aca="1" ref="D316" ca="1">INDEX(Attendance!$C$14:$GP$44,
       MATCH($F$4, Attendance!$C$14:$C$44, 0),
       MATCH(1, (Attendance!$C$12:$GP$12=$E316) * (Attendance!$C$13:$GP$13="Paid"), 0)
)</f>
        <v> </v>
      </c>
      <c r="E316" s="42">
        <f t="shared" si="37"/>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39"/>
        <v>Merge with soil.</v>
      </c>
    </row>
    <row r="318" spans="1:9">
      <c r="A318" s="1" t="s">
        <v>317</v>
      </c>
      <c r="B318" t="str">
        <f t="shared" si="39"/>
        <v>Downgrade damage and increase Stamina. Improve Armour and Defences. Unnatural Fortitude: add Resilience dots as bonus dice to non-combat Stamina pools.</v>
      </c>
    </row>
    <row r="319" spans="1:9">
      <c r="A319" s="1" t="s">
        <v>318</v>
      </c>
      <c r="B319" t="str">
        <f t="shared" si="39"/>
        <v>Sacrifice Majesty dots for the scene to remove equal dots of victim's Celerity, Resilience, or Vigour (any combination), up to successes.</v>
      </c>
    </row>
    <row r="320" spans="1:9">
      <c r="A320" s="1" t="s">
        <v>319</v>
      </c>
      <c r="B320" t="str">
        <f t="shared" si="39"/>
        <v>¬</v>
      </c>
    </row>
    <row r="321" spans="1:2">
      <c r="A321" s="1" t="s">
        <v>320</v>
      </c>
      <c r="B321" t="str">
        <f t="shared" si="39"/>
        <v>¬</v>
      </c>
    </row>
    <row r="322" spans="1:2">
      <c r="A322" s="1" t="s">
        <v>321</v>
      </c>
      <c r="B322" t="str">
        <f t="shared" si="39"/>
        <v>¬</v>
      </c>
    </row>
    <row r="323" spans="1:2">
      <c r="A323" s="1" t="s">
        <v>322</v>
      </c>
      <c r="B323" t="str">
        <f t="shared" si="39"/>
        <v>¬</v>
      </c>
    </row>
    <row r="324" spans="1:2">
      <c r="A324" s="1" t="s">
        <v>323</v>
      </c>
      <c r="B324" t="str">
        <f t="shared" si="39"/>
        <v>¬</v>
      </c>
    </row>
    <row r="325" spans="1:2">
      <c r="A325" s="1" t="s">
        <v>324</v>
      </c>
      <c r="B325" t="str">
        <f t="shared" si="39"/>
        <v>¬</v>
      </c>
    </row>
    <row r="326" spans="1:2">
      <c r="A326" s="1" t="s">
        <v>325</v>
      </c>
      <c r="B326" t="str">
        <f t="shared" si="39"/>
        <v>¬</v>
      </c>
    </row>
    <row r="327" spans="1:2">
      <c r="A327" s="1" t="s">
        <v>326</v>
      </c>
      <c r="B327" t="str">
        <f t="shared" si="39"/>
        <v>¬</v>
      </c>
    </row>
    <row r="328" spans="1:2">
      <c r="A328" s="1" t="s">
        <v>327</v>
      </c>
      <c r="B328" t="str">
        <f t="shared" si="39"/>
        <v>¬</v>
      </c>
    </row>
    <row r="329" spans="1:2">
      <c r="A329" s="1" t="s">
        <v>328</v>
      </c>
      <c r="B329" t="str">
        <f t="shared" si="39"/>
        <v>¬</v>
      </c>
    </row>
    <row r="330" spans="1:2">
      <c r="A330" s="1" t="s">
        <v>329</v>
      </c>
      <c r="B330" t="str">
        <f t="shared" si="39"/>
        <v>¬</v>
      </c>
    </row>
    <row r="331" spans="1:2">
      <c r="A331" s="1" t="s">
        <v>330</v>
      </c>
      <c r="B331" t="str">
        <f t="shared" si="39"/>
        <v>¬</v>
      </c>
    </row>
    <row r="332" spans="1:2">
      <c r="A332" s="1" t="s">
        <v>331</v>
      </c>
      <c r="B332" t="str">
        <f t="shared" si="39"/>
        <v>¬</v>
      </c>
    </row>
    <row r="333" spans="1:2">
      <c r="A333" s="1" t="s">
        <v>332</v>
      </c>
      <c r="B333" t="str">
        <f t="shared" si="39"/>
        <v>¬</v>
      </c>
    </row>
    <row r="334" spans="1:2">
      <c r="A334" s="1" t="s">
        <v>333</v>
      </c>
      <c r="B334" t="str">
        <f t="shared" si="39"/>
        <v>¬</v>
      </c>
    </row>
    <row r="335" spans="1:2">
      <c r="A335" s="1" t="s">
        <v>334</v>
      </c>
      <c r="B335" t="str">
        <f t="shared" si="39"/>
        <v>¬</v>
      </c>
    </row>
    <row r="336" spans="1:2">
      <c r="A336" s="1" t="s">
        <v>335</v>
      </c>
      <c r="B336" t="str">
        <f t="shared" si="39"/>
        <v>¬</v>
      </c>
    </row>
    <row r="337" spans="1:2">
      <c r="A337" s="1" t="s">
        <v>336</v>
      </c>
      <c r="B337" t="str">
        <f t="shared" si="39"/>
        <v>¬</v>
      </c>
    </row>
    <row r="338" spans="1:2">
      <c r="A338" s="1" t="s">
        <v>337</v>
      </c>
      <c r="B338" t="str">
        <f t="shared" si="39"/>
        <v>¬</v>
      </c>
    </row>
    <row r="339" spans="1:2">
      <c r="A339" s="1" t="s">
        <v>338</v>
      </c>
      <c r="B339" t="str">
        <f t="shared" si="39"/>
        <v>¬</v>
      </c>
    </row>
    <row r="340" spans="1:2">
      <c r="A340" s="1" t="s">
        <v>339</v>
      </c>
      <c r="B340" t="str">
        <f t="shared" si="39"/>
        <v>¬</v>
      </c>
    </row>
    <row r="341" spans="1:2">
      <c r="A341" s="1" t="s">
        <v>340</v>
      </c>
      <c r="B341" t="str">
        <f t="shared" si="39"/>
        <v>¬</v>
      </c>
    </row>
    <row r="342" spans="1:2">
      <c r="A342" s="1" t="s">
        <v>341</v>
      </c>
      <c r="B342" t="str">
        <f t="shared" si="39"/>
        <v>¬</v>
      </c>
    </row>
    <row r="343" spans="1:2">
      <c r="A343" s="1" t="s">
        <v>342</v>
      </c>
      <c r="B343" t="str">
        <f t="shared" si="39"/>
        <v>¬</v>
      </c>
    </row>
    <row r="344" spans="1:2">
      <c r="A344" s="1" t="s">
        <v>343</v>
      </c>
      <c r="B344" s="8" t="str">
        <f>IF(VLOOKUP(tblCharDataDoc[[#This Row],[Field]],$E$2:$F$361,2,FALSE)="","¬",VLOOKUP(tblCharDataDoc[[#This Row],[Field]],$E$2:$F$361,2,FALSE))</f>
        <v>Feral Curse</v>
      </c>
    </row>
    <row r="345" spans="1:2">
      <c r="A345" s="1" t="s">
        <v>344</v>
      </c>
      <c r="B345" s="8" t="str">
        <f>IF(VLOOKUP(tblCharDataDoc[[#This Row],[Field]],$E$2:$F$361,2,FALSE)="","¬",VLOOKUP(tblCharDataDoc[[#This Row],[Field]],$E$2:$F$361,2,FALSE))</f>
        <v>¬</v>
      </c>
    </row>
    <row r="346" spans="1:2">
      <c r="A346" s="1" t="s">
        <v>345</v>
      </c>
      <c r="B346" s="8" t="str">
        <f>IF(VLOOKUP(tblCharDataDoc[[#This Row],[Field]],$E$2:$F$361,2,FALSE)="","¬",VLOOKUP(tblCharDataDoc[[#This Row],[Field]],$E$2:$F$361,2,FALSE))</f>
        <v>Rat King/Queen</v>
      </c>
    </row>
    <row r="347" spans="1:2">
      <c r="A347" s="1" t="s">
        <v>346</v>
      </c>
      <c r="B347" s="8" t="str">
        <f>IF(VLOOKUP(tblCharDataDoc[[#This Row],[Field]],$E$2:$F$361,2,FALSE)="","¬",VLOOKUP(tblCharDataDoc[[#This Row],[Field]],$E$2:$F$361,2,FALSE))</f>
        <v>¬</v>
      </c>
    </row>
    <row r="348" spans="1:2">
      <c r="A348" s="1" t="s">
        <v>347</v>
      </c>
      <c r="B348" s="8" t="str">
        <f>IF(VLOOKUP(tblCharDataDoc[[#This Row],[Field]],$E$2:$F$361,2,FALSE)="","¬",VLOOKUP(tblCharDataDoc[[#This Row],[Field]],$E$2:$F$361,2,FALSE))</f>
        <v>¬</v>
      </c>
    </row>
    <row r="349" spans="1:2">
      <c r="A349" s="1" t="s">
        <v>348</v>
      </c>
      <c r="B349" t="str">
        <f>_xlfn.IFNA(VLOOKUP(B344,$F$234:$I$238,3,FALSE),"")</f>
        <v>Frenzy resistance dice pools capped by Humanity (doesn't affect Riding the Wave).</v>
      </c>
    </row>
    <row r="350" spans="1:2">
      <c r="A350" s="1" t="s">
        <v>349</v>
      </c>
      <c r="B350" t="str">
        <f>_xlfn.IFNA(VLOOKUP(B345,$F$234:$I$238,3,FALSE),"¬")</f>
        <v>¬</v>
      </c>
    </row>
    <row r="351" spans="1:2">
      <c r="A351" s="1" t="s">
        <v>350</v>
      </c>
      <c r="B351" t="str">
        <f>_xlfn.IFNA(VLOOKUP(B346,$F$234:$I$238,3,FALSE),"")</f>
        <v>Surrounded by vermin; all Social rolls fail except Intimidation; WP can dismiss.</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9</v>
      </c>
    </row>
    <row r="356" spans="1:2">
      <c r="A356" s="1" t="s">
        <v>355</v>
      </c>
      <c r="B356">
        <f ca="1">P220</f>
        <v>4</v>
      </c>
    </row>
    <row r="357" spans="1:2">
      <c r="A357" s="1" t="s">
        <v>356</v>
      </c>
      <c r="B357" t="str">
        <f>IF(F10="","¬",VLOOKUP(F10,tblAnchors[],2,FALSE))</f>
        <v>Cow someone into submission.</v>
      </c>
    </row>
    <row r="358" spans="1:2">
      <c r="A358" s="1" t="s">
        <v>357</v>
      </c>
      <c r="B358" t="str">
        <f>IF(F10="","¬",VLOOKUP(F10,tblAnchors[],3,FALSE))</f>
        <v>Commit a widespread hit against a rival's mortal connections.</v>
      </c>
    </row>
    <row r="359" spans="1:2">
      <c r="A359" s="1" t="s">
        <v>358</v>
      </c>
      <c r="B359" t="str">
        <f>IF(F11="","¬",VLOOKUP(F11,tblAnchors[],2,FALSE))</f>
        <v>Openly flout a tradition.</v>
      </c>
    </row>
    <row r="360" spans="1:2">
      <c r="A360" s="1" t="s">
        <v>359</v>
      </c>
      <c r="B360" t="str">
        <f>IF(F11="","¬",VLOOKUP(F11,tblAnchors[],3,FALSE))</f>
        <v>Openly flout a Kindred Tradition or a covenant taboo.</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
      </c>
    </row>
    <row r="365" spans="1:2">
      <c r="A365" s="1" t="s">
        <v>364</v>
      </c>
      <c r="B365" t="str">
        <f>_xlfn.LET(_xlpm.a,IF(F244="","",F244),_xlpm.b,IF(F245="","",F245),IF(AND(_xlpm.a&lt;&gt;"",_xlpm.b&lt;&gt;""),_xlpm.a&amp;", "&amp;_xlpm.b,IF(_xlpm.a&lt;&gt;"",_xlpm.a,IF(_xlpm.b&lt;&gt;"",_xlpm.b,""))))</f>
        <v/>
      </c>
    </row>
  </sheetData>
  <mergeCells count="89">
    <mergeCell ref="F240:I240"/>
    <mergeCell ref="F241:I241"/>
    <mergeCell ref="F242:I242"/>
    <mergeCell ref="F244:I244"/>
    <mergeCell ref="F245:I245"/>
    <mergeCell ref="H238:I238"/>
    <mergeCell ref="H208:I208"/>
    <mergeCell ref="H209:I209"/>
    <mergeCell ref="H210:I210"/>
    <mergeCell ref="H211:I211"/>
    <mergeCell ref="H212:I212"/>
    <mergeCell ref="H213:I213"/>
    <mergeCell ref="H214:I214"/>
    <mergeCell ref="H215:I215"/>
    <mergeCell ref="H234:I234"/>
    <mergeCell ref="H236:I236"/>
    <mergeCell ref="H237:I237"/>
    <mergeCell ref="H207:I207"/>
    <mergeCell ref="H153:I153"/>
    <mergeCell ref="H154:I154"/>
    <mergeCell ref="H155:I155"/>
    <mergeCell ref="H156:I156"/>
    <mergeCell ref="H157:I157"/>
    <mergeCell ref="H177:I177"/>
    <mergeCell ref="H178:I178"/>
    <mergeCell ref="H179:I179"/>
    <mergeCell ref="H180:I180"/>
    <mergeCell ref="H181:I181"/>
    <mergeCell ref="H206:I206"/>
    <mergeCell ref="H152:I152"/>
    <mergeCell ref="H141:I141"/>
    <mergeCell ref="H142:I142"/>
    <mergeCell ref="H143:I143"/>
    <mergeCell ref="H144:I144"/>
    <mergeCell ref="H145:I145"/>
    <mergeCell ref="H146:I146"/>
    <mergeCell ref="H147:I147"/>
    <mergeCell ref="H148:I148"/>
    <mergeCell ref="H149:I149"/>
    <mergeCell ref="H150:I150"/>
    <mergeCell ref="H151:I151"/>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11:I111"/>
    <mergeCell ref="H98:I98"/>
    <mergeCell ref="H101:I101"/>
    <mergeCell ref="H102:I102"/>
    <mergeCell ref="H103:I103"/>
    <mergeCell ref="H104:I104"/>
    <mergeCell ref="H105:I105"/>
    <mergeCell ref="H106:I106"/>
    <mergeCell ref="H107:I107"/>
    <mergeCell ref="H108:I108"/>
    <mergeCell ref="H109:I109"/>
    <mergeCell ref="H110:I110"/>
    <mergeCell ref="H97:I97"/>
    <mergeCell ref="H86:I86"/>
    <mergeCell ref="H87:I87"/>
    <mergeCell ref="H88:I88"/>
    <mergeCell ref="H89:I89"/>
    <mergeCell ref="H90:I90"/>
    <mergeCell ref="H91:I91"/>
    <mergeCell ref="H92:I92"/>
    <mergeCell ref="H93:I93"/>
    <mergeCell ref="H94:I94"/>
    <mergeCell ref="H95:I95"/>
    <mergeCell ref="H96:I96"/>
    <mergeCell ref="H85:I85"/>
    <mergeCell ref="O8:P8"/>
    <mergeCell ref="O9:P9"/>
    <mergeCell ref="O10:P10"/>
    <mergeCell ref="O11:P11"/>
    <mergeCell ref="O12:P12"/>
    <mergeCell ref="H79:I79"/>
    <mergeCell ref="H80:I80"/>
    <mergeCell ref="H81:I81"/>
    <mergeCell ref="H82:I82"/>
    <mergeCell ref="H83:I83"/>
    <mergeCell ref="H84:I84"/>
  </mergeCells>
  <dataValidations count="14">
    <dataValidation type="list" allowBlank="1" showInputMessage="1" showErrorMessage="1" sqref="G248:G277" xr:uid="{D9657338-0898-48D2-B0B8-EBD3CEF912FD}">
      <formula1>$I$248:$I$249</formula1>
    </dataValidation>
    <dataValidation type="list" allowBlank="1" showInputMessage="1" showErrorMessage="1" sqref="F79:F98" xr:uid="{62228B63-1971-4D89-8A97-E2C89992FA97}">
      <formula1>lstMerits</formula1>
    </dataValidation>
    <dataValidation type="list" allowBlank="1" showInputMessage="1" showErrorMessage="1" sqref="F236:F238" xr:uid="{577C3AEF-F095-429D-AAD3-2EF308271747}">
      <formula1>lstBanes</formula1>
    </dataValidation>
    <dataValidation type="list" allowBlank="1" showInputMessage="1" showErrorMessage="1" sqref="F206:F215" xr:uid="{703C8CD8-AF77-4616-9EDD-9166BE94A758}">
      <formula1>lstPacts</formula1>
    </dataValidation>
    <dataValidation type="list" allowBlank="1" showInputMessage="1" showErrorMessage="1" sqref="G12:G13" xr:uid="{8266917E-58F3-48B2-9CB1-437C8407D42C}">
      <formula1>lstStatus</formula1>
    </dataValidation>
    <dataValidation type="list" allowBlank="1" showInputMessage="1" showErrorMessage="1" sqref="F194:F205 F207:F215" xr:uid="{7B2C9C70-8A06-4D34-BBE3-22ACCA075ADE}">
      <formula1>lstRites</formula1>
    </dataValidation>
    <dataValidation type="list" allowBlank="1" showInputMessage="1" showErrorMessage="1" sqref="F177:F181" xr:uid="{2E8F6225-2842-486D-94D6-6E9F68C68F32}">
      <formula1>lstDevotions</formula1>
    </dataValidation>
    <dataValidation type="list" allowBlank="1" showInputMessage="1" showErrorMessage="1" sqref="F17:F21" xr:uid="{A5AC3632-481F-44DA-88DF-3DE05A0F98C8}">
      <formula1>"TRUE,FALSE"</formula1>
    </dataValidation>
    <dataValidation type="list" allowBlank="1" showInputMessage="1" showErrorMessage="1" sqref="F24" xr:uid="{98C2EB40-2708-4549-9FC6-459FAA8CC648}">
      <formula1>$D$7:$D$8</formula1>
    </dataValidation>
    <dataValidation type="list" allowBlank="1" showInputMessage="1" showErrorMessage="1" sqref="I25 I30 I35 I41 I51 I61" xr:uid="{7A04A966-D761-4A75-BEF7-E31683B28E0E}">
      <formula1>lstPriority</formula1>
    </dataValidation>
    <dataValidation type="list" allowBlank="1" showInputMessage="1" showErrorMessage="1" sqref="F10:F11" xr:uid="{1685DC44-C6B3-4BB4-AF20-43C3B749EF52}">
      <formula1>lstNature</formula1>
    </dataValidation>
    <dataValidation type="list" allowBlank="1" showInputMessage="1" showErrorMessage="1" sqref="F8" xr:uid="{725AFDBB-B055-4B5C-AAC4-1A5CFB77BA47}">
      <formula1>lstBloodlines</formula1>
    </dataValidation>
    <dataValidation type="list" allowBlank="1" showInputMessage="1" showErrorMessage="1" sqref="F9" xr:uid="{6A5EFEBE-C86B-492F-A5DC-9C045C618BF8}">
      <formula1>lstCovenant</formula1>
    </dataValidation>
    <dataValidation type="list" allowBlank="1" showInputMessage="1" showErrorMessage="1" sqref="F7" xr:uid="{CCB1C642-BBAA-4877-BE4C-F6CA4A5E9A3F}">
      <formula1>lstClan</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85E51-7EF1-488F-994B-88EC0EA6B238}">
  <dimension ref="A1:AK365"/>
  <sheetViews>
    <sheetView zoomScale="70" zoomScaleNormal="70" workbookViewId="0">
      <pane ySplit="1" topLeftCell="A2" activePane="bottomLeft" state="frozen"/>
      <selection pane="bottomLeft" activeCell="H10" sqref="H10"/>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Flock</v>
      </c>
      <c r="AC2" s="60" t="str" cm="1">
        <f t="array" ref="AC2:AC3">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Flock</v>
      </c>
      <c r="AD2" s="20" t="str">
        <f>IF(AC2="","¬",_xlfn.LET(_xlpm.base,IFERROR(LEFT(AC2,FIND(" (",AC2)-1),AC2),IFERROR(VLOOKUP(_xlpm.base,tblManoeuvre[],2,FALSE) &amp; " " &amp; REPT("●",VLOOKUP(_xlpm.base,tblManoeuvre[],3,FALSE)) &amp; " | " &amp; AC2,AC2 &amp; " " &amp; REPT("●",VLOOKUP(_xlpm.base,$F$79:$P$120,11,FALSE)))))</f>
        <v>Flock ●●●</v>
      </c>
      <c r="AE2" s="20"/>
      <c r="AF2" s="20" t="str">
        <f>IF(LEN(AC2)=0,"¬",_xlfn.LET(_xlpm.base,IFERROR(LEFT(AC2,FIND(" (",AC2)-1),AC2),IFERROR(VLOOKUP(_xlpm.base,tblMerits[],5,FALSE),IFERROR(VLOOKUP(_xlpm.base,tblManoeuvre[],9,FALSE),"¬"))))</f>
        <v>Herd serves as Willpower source. Dots apply as additional Herd dots.</v>
      </c>
      <c r="AI2" s="15" t="s">
        <v>25</v>
      </c>
      <c r="AJ2" s="61">
        <f t="shared" ref="AJ2:AJ58" si="1">VLOOKUP(AI2,$E$3:$P$221,12,FALSE)</f>
        <v>4</v>
      </c>
      <c r="AK2" s="61">
        <f>IF(AJ2=0,IF(COUNTIF($E$42:$E$49,AI2)&gt;0,-3,-1),AJ2)</f>
        <v>4</v>
      </c>
    </row>
    <row r="3" spans="1:37">
      <c r="A3" s="1" t="s">
        <v>2</v>
      </c>
      <c r="B3">
        <f ca="1">N3</f>
        <v>11</v>
      </c>
      <c r="D3" s="19"/>
      <c r="E3" s="15" t="s">
        <v>4</v>
      </c>
      <c r="F3" s="3" t="s">
        <v>850</v>
      </c>
      <c r="G3" s="18"/>
      <c r="H3" s="18"/>
      <c r="I3" s="18" t="s">
        <v>1425</v>
      </c>
      <c r="N3" s="60">
        <f ca="1">10+SUM(N4:N6)-SUM(N7)</f>
        <v>11</v>
      </c>
      <c r="Y3" s="15" t="s">
        <v>115</v>
      </c>
      <c r="Z3" s="19"/>
      <c r="AA3" s="61" t="str">
        <f t="shared" si="0"/>
        <v>Stigmata</v>
      </c>
      <c r="AC3" s="60" t="str">
        <v>Stigmata</v>
      </c>
      <c r="AD3" s="20" t="str">
        <f>IF(AC3="","¬",_xlfn.LET(_xlpm.base,IFERROR(LEFT(AC3,FIND(" (",AC3)-1),AC3),IFERROR(VLOOKUP(_xlpm.base,tblManoeuvre[],2,FALSE) &amp; " " &amp; REPT("●",VLOOKUP(_xlpm.base,tblManoeuvre[],3,FALSE)) &amp; " | " &amp; AC3,AC3 &amp; " " &amp; REPT("●",VLOOKUP(_xlpm.base,$F$79:$P$120,11,FALSE)))))</f>
        <v>Stigmata ●</v>
      </c>
      <c r="AE3" s="20"/>
      <c r="AF3" s="20" t="str">
        <f>IF(LEN(AC3)=0,"¬",_xlfn.LET(_xlpm.base,IFERROR(LEFT(AC3,FIND(" (",AC3)-1),AC3),IFERROR(VLOOKUP(_xlpm.base,tblMerits[],5,FALSE),IFERROR(VLOOKUP(_xlpm.base,tblManoeuvre[],9,FALSE),"¬"))))</f>
        <v>Bleed dots in Vitae weekly (or at will for Willpower). This Vitae inspires without addiction or bonding, bolstering Theban Sorcery and Willpower.</v>
      </c>
      <c r="AI3" s="15" t="s">
        <v>41</v>
      </c>
      <c r="AJ3" s="61">
        <f t="shared" si="1"/>
        <v>0</v>
      </c>
      <c r="AK3" s="61">
        <f>IF(AJ3=0,IF(COUNTIF($E$42:$E$49,AI3)&gt;0,-3,-1),AJ3)</f>
        <v>-1</v>
      </c>
    </row>
    <row r="4" spans="1:37">
      <c r="A4" s="1" t="s">
        <v>3</v>
      </c>
      <c r="B4">
        <f ca="1">SUM(N3:N9)</f>
        <v>46</v>
      </c>
      <c r="D4" s="19"/>
      <c r="E4" s="15" t="s">
        <v>5</v>
      </c>
      <c r="F4" s="3" t="s">
        <v>851</v>
      </c>
      <c r="G4" s="18"/>
      <c r="H4" s="18"/>
      <c r="I4" s="18" t="s">
        <v>1426</v>
      </c>
      <c r="N4" s="61">
        <f>K73*2</f>
        <v>6</v>
      </c>
      <c r="Y4" s="15" t="s">
        <v>116</v>
      </c>
      <c r="Z4" s="19"/>
      <c r="AA4" s="61" t="str">
        <f t="shared" si="0"/>
        <v/>
      </c>
      <c r="AC4" s="60"/>
      <c r="AD4" s="20" t="str">
        <f>IF(AC4="","¬",_xlfn.LET(_xlpm.base,IFERROR(LEFT(AC4,FIND(" (",AC4)-1),AC4),IFERROR(VLOOKUP(_xlpm.base,tblManoeuvre[],2,FALSE) &amp; " " &amp; REPT("●",VLOOKUP(_xlpm.base,tblManoeuvre[],3,FALSE)) &amp; " | " &amp; AC4,AC4 &amp; " " &amp; REPT("●",VLOOKUP(_xlpm.base,$F$79:$P$120,11,FALSE)))))</f>
        <v>¬</v>
      </c>
      <c r="AE4" s="20"/>
      <c r="AF4" s="20" t="str">
        <f>IF(LEN(AC4)=0,"¬",_xlfn.LET(_xlpm.base,IFERROR(LEFT(AC4,FIND(" (",AC4)-1),AC4),IFERROR(VLOOKUP(_xlpm.base,tblMerits[],5,FALSE),IFERROR(VLOOKUP(_xlpm.base,tblManoeuvre[],9,FALSE),"¬"))))</f>
        <v>¬</v>
      </c>
      <c r="AI4" s="15" t="s">
        <v>236</v>
      </c>
      <c r="AJ4" s="61">
        <f t="shared" si="1"/>
        <v>0</v>
      </c>
      <c r="AK4" s="61">
        <f>AJ4</f>
        <v>0</v>
      </c>
    </row>
    <row r="5" spans="1:37">
      <c r="A5" s="1" t="s">
        <v>4</v>
      </c>
      <c r="B5" t="str">
        <f>IF(VLOOKUP(tblCharDataEdna[[#This Row],[Field]],$E$2:$F$362,2,FALSE)="","¬",VLOOKUP(tblCharDataEdna[[#This Row],[Field]],$E$2:$F$362,2,FALSE))</f>
        <v>Arlo V</v>
      </c>
      <c r="D5" s="19"/>
      <c r="E5" s="15" t="s">
        <v>6</v>
      </c>
      <c r="F5" s="3" t="s">
        <v>852</v>
      </c>
      <c r="G5" s="18"/>
      <c r="H5" s="18"/>
      <c r="I5" s="18" t="s">
        <v>1427</v>
      </c>
      <c r="N5" s="61">
        <f>N16</f>
        <v>6</v>
      </c>
      <c r="Y5" s="15" t="s">
        <v>117</v>
      </c>
      <c r="Z5" s="19"/>
      <c r="AA5" s="61" t="str">
        <f t="shared" si="0"/>
        <v/>
      </c>
      <c r="AC5" s="60"/>
      <c r="AD5" s="20" t="str">
        <f>IF(AC5="","¬",_xlfn.LET(_xlpm.base,IFERROR(LEFT(AC5,FIND(" (",AC5)-1),AC5),IFERROR(VLOOKUP(_xlpm.base,tblManoeuvre[],2,FALSE) &amp; " " &amp; REPT("●",VLOOKUP(_xlpm.base,tblManoeuvre[],3,FALSE)) &amp; " | " &amp; AC5,AC5 &amp; " " &amp; REPT("●",VLOOKUP(_xlpm.base,$F$79:$P$120,11,FALSE)))))</f>
        <v>¬</v>
      </c>
      <c r="AE5" s="20"/>
      <c r="AF5" s="20" t="str">
        <f>IF(LEN(AC5)=0,"¬",_xlfn.LET(_xlpm.base,IFERROR(LEFT(AC5,FIND(" (",AC5)-1),AC5),IFERROR(VLOOKUP(_xlpm.base,tblMerits[],5,FALSE),IFERROR(VLOOKUP(_xlpm.base,tblManoeuvre[],9,FALSE),"¬"))))</f>
        <v>¬</v>
      </c>
      <c r="AI5" s="15" t="s">
        <v>33</v>
      </c>
      <c r="AJ5" s="61">
        <f t="shared" si="1"/>
        <v>0</v>
      </c>
      <c r="AK5" s="61">
        <f>IF(AJ5=0,IF(COUNTIF($E$42:$E$49,AI5)&gt;0,-3,-1),AJ5)</f>
        <v>-1</v>
      </c>
    </row>
    <row r="6" spans="1:37">
      <c r="A6" s="1" t="s">
        <v>5</v>
      </c>
      <c r="B6" t="str">
        <f>IF(VLOOKUP(tblCharDataEdna[[#This Row],[Field]],$E$2:$F$362,2,FALSE)="","¬",VLOOKUP(tblCharDataEdna[[#This Row],[Field]],$E$2:$F$362,2,FALSE))</f>
        <v>Edna Judge</v>
      </c>
      <c r="D6" s="19"/>
      <c r="E6" s="15" t="s">
        <v>7</v>
      </c>
      <c r="F6" s="3" t="s">
        <v>369</v>
      </c>
      <c r="G6" s="18"/>
      <c r="H6" s="18"/>
      <c r="I6" s="18" t="s">
        <v>1347</v>
      </c>
      <c r="N6" s="61">
        <f ca="1">N279</f>
        <v>3</v>
      </c>
      <c r="Y6" s="15" t="s">
        <v>118</v>
      </c>
      <c r="Z6" s="19"/>
      <c r="AA6" s="61" t="str">
        <f t="shared" si="0"/>
        <v/>
      </c>
      <c r="AC6" s="60"/>
      <c r="AD6" s="20" t="str">
        <f>IF(AC6="","¬",_xlfn.LET(_xlpm.base,IFERROR(LEFT(AC6,FIND(" (",AC6)-1),AC6),IFERROR(VLOOKUP(_xlpm.base,tblManoeuvre[],2,FALSE) &amp; " " &amp; REPT("●",VLOOKUP(_xlpm.base,tblManoeuvre[],3,FALSE)) &amp; " | " &amp; AC6,AC6 &amp; " " &amp; REPT("●",VLOOKUP(_xlpm.base,$F$79:$P$120,11,FALSE)))))</f>
        <v>¬</v>
      </c>
      <c r="AE6" s="20"/>
      <c r="AF6" s="20" t="str">
        <f>IF(LEN(AC6)=0,"¬",_xlfn.LET(_xlpm.base,IFERROR(LEFT(AC6,FIND(" (",AC6)-1),AC6),IFERROR(VLOOKUP(_xlpm.base,tblMerits[],5,FALSE),IFERROR(VLOOKUP(_xlpm.base,tblManoeuvre[],9,FALSE),"¬"))))</f>
        <v>¬</v>
      </c>
      <c r="AI6" s="15" t="s">
        <v>237</v>
      </c>
      <c r="AJ6" s="61">
        <f t="shared" si="1"/>
        <v>0</v>
      </c>
      <c r="AK6" s="61">
        <f>AJ6</f>
        <v>0</v>
      </c>
    </row>
    <row r="7" spans="1:37">
      <c r="A7" s="1" t="s">
        <v>6</v>
      </c>
      <c r="B7" t="str">
        <f>IF(VLOOKUP(tblCharDataEdna[[#This Row],[Field]],$E$2:$F$362,2,FALSE)="","¬",VLOOKUP(tblCharDataEdna[[#This Row],[Field]],$E$2:$F$362,2,FALSE))</f>
        <v>Mother Heretic</v>
      </c>
      <c r="D7" s="19" t="str">
        <f>VLOOKUP(F7,tblClans[],3,FALSE)</f>
        <v>Strength</v>
      </c>
      <c r="E7" s="15" t="s">
        <v>8</v>
      </c>
      <c r="F7" s="3" t="s">
        <v>680</v>
      </c>
      <c r="G7" s="18"/>
      <c r="H7" s="18"/>
      <c r="I7" s="18"/>
      <c r="N7" s="60">
        <f>SUM(N8:N12)</f>
        <v>14</v>
      </c>
      <c r="Y7" s="15" t="s">
        <v>119</v>
      </c>
      <c r="Z7" s="19"/>
      <c r="AA7" s="61" t="str">
        <f t="shared" si="0"/>
        <v/>
      </c>
      <c r="AC7" s="60"/>
      <c r="AD7" s="20" t="str">
        <f>IF(AC7="","¬",_xlfn.LET(_xlpm.base,IFERROR(LEFT(AC7,FIND(" (",AC7)-1),AC7),IFERROR(VLOOKUP(_xlpm.base,tblManoeuvre[],2,FALSE) &amp; " " &amp; REPT("●",VLOOKUP(_xlpm.base,tblManoeuvre[],3,FALSE)) &amp; " | " &amp; AC7,AC7 &amp; " " &amp; REPT("●",VLOOKUP(_xlpm.base,$F$79:$P$120,11,FALSE)))))</f>
        <v>¬</v>
      </c>
      <c r="AE7" s="20"/>
      <c r="AF7" s="20" t="str">
        <f>IF(LEN(AC7)=0,"¬",_xlfn.LET(_xlpm.base,IFERROR(LEFT(AC7,FIND(" (",AC7)-1),AC7),IFERROR(VLOOKUP(_xlpm.base,tblMerits[],5,FALSE),IFERROR(VLOOKUP(_xlpm.base,tblManoeuvre[],9,FALSE),"¬"))))</f>
        <v>¬</v>
      </c>
      <c r="AI7" s="15" t="s">
        <v>49</v>
      </c>
      <c r="AJ7" s="61">
        <f t="shared" si="1"/>
        <v>1</v>
      </c>
      <c r="AK7" s="61">
        <f>AJ7</f>
        <v>1</v>
      </c>
    </row>
    <row r="8" spans="1:37">
      <c r="A8" s="1" t="s">
        <v>7</v>
      </c>
      <c r="B8" t="str">
        <f>IF(VLOOKUP(tblCharDataEdna[[#This Row],[Field]],$E$2:$F$362,2,FALSE)="","¬",LOWER(VLOOKUP(tblCharDataEdna[[#This Row],[Field]],$E$2:$F$362,2,FALSE)))</f>
        <v>she/her</v>
      </c>
      <c r="D8" s="19" t="str">
        <f>VLOOKUP(F7,tblClans[],2,FALSE)</f>
        <v>Composure</v>
      </c>
      <c r="E8" s="15" t="s">
        <v>10</v>
      </c>
      <c r="F8" s="3"/>
      <c r="G8" s="61" t="str">
        <f>IFERROR(IF(OR(AND(VLOOKUP(F8,tblBloodlines[],2,FALSE)="",VLOOKUP(F8,tblBloodlines[],3,FALSE)="",VLOOKUP(F8,tblBloodlines[],4,FALSE)=""),AND(VLOOKUP(F8,tblBloodlines[],2,FALSE)="",VLOOKUP(F8,tblBloodlines[],3,FALSE)="",F9=VLOOKUP(F8,tblBloodlines[],4,FALSE)),F7=VLOOKUP(F8,tblBloodlines[],2,FALSE),F7=VLOOKUP(F8,tblBloodlines[],3,FALSE)),TRUE,FALSE),"")</f>
        <v/>
      </c>
      <c r="H8" s="18"/>
      <c r="I8" s="18" t="s">
        <v>1428</v>
      </c>
      <c r="N8" s="61">
        <f>N23</f>
        <v>0</v>
      </c>
      <c r="O8" s="65">
        <f>N8/SUM(N$7:N$12)</f>
        <v>0</v>
      </c>
      <c r="P8" s="66"/>
      <c r="Y8" s="15" t="s">
        <v>120</v>
      </c>
      <c r="Z8" s="19"/>
      <c r="AA8" s="61" t="str">
        <f t="shared" si="0"/>
        <v/>
      </c>
      <c r="AC8" s="60"/>
      <c r="AD8" s="20" t="str">
        <f>IF(AC8="","¬",_xlfn.LET(_xlpm.base,IFERROR(LEFT(AC8,FIND(" (",AC8)-1),AC8),IFERROR(VLOOKUP(_xlpm.base,tblManoeuvre[],2,FALSE) &amp; " " &amp; REPT("●",VLOOKUP(_xlpm.base,tblManoeuvre[],3,FALSE)) &amp; " | " &amp; AC8,AC8 &amp; " " &amp; REPT("●",VLOOKUP(_xlpm.base,$F$79:$P$120,11,FALSE)))))</f>
        <v>¬</v>
      </c>
      <c r="AE8" s="20"/>
      <c r="AF8" s="20" t="str">
        <f>IF(LEN(AC8)=0,"¬",_xlfn.LET(_xlpm.base,IFERROR(LEFT(AC8,FIND(" (",AC8)-1),AC8),IFERROR(VLOOKUP(_xlpm.base,tblMerits[],5,FALSE),IFERROR(VLOOKUP(_xlpm.base,tblManoeuvre[],9,FALSE),"¬"))))</f>
        <v>¬</v>
      </c>
      <c r="AI8" s="15" t="s">
        <v>34</v>
      </c>
      <c r="AJ8" s="61">
        <f t="shared" si="1"/>
        <v>0</v>
      </c>
      <c r="AK8" s="61">
        <f>IF(AJ8=0,IF(COUNTIF($E$42:$E$49,AI8)&gt;0,-3,-1),AJ8)</f>
        <v>-1</v>
      </c>
    </row>
    <row r="9" spans="1:37">
      <c r="A9" s="1" t="s">
        <v>8</v>
      </c>
      <c r="B9" t="str">
        <f>IF(VLOOKUP(tblCharDataEdna[[#This Row],[Field]],$E$2:$F$362,2,FALSE)="","¬",VLOOKUP(tblCharDataEdna[[#This Row],[Field]],$E$2:$F$362,2,FALSE))</f>
        <v>Nosferatu</v>
      </c>
      <c r="D9" s="19"/>
      <c r="E9" s="15" t="s">
        <v>11</v>
      </c>
      <c r="F9" s="3" t="s">
        <v>556</v>
      </c>
      <c r="G9" s="18"/>
      <c r="H9" s="18"/>
      <c r="I9" s="18" t="s">
        <v>1429</v>
      </c>
      <c r="N9" s="61">
        <f>N40+T40</f>
        <v>6</v>
      </c>
      <c r="O9" s="65">
        <f>N9/SUM(N$7:N$12)</f>
        <v>0.21428571428571427</v>
      </c>
      <c r="P9" s="66"/>
      <c r="Y9" s="15" t="s">
        <v>121</v>
      </c>
      <c r="Z9" s="19"/>
      <c r="AA9" s="61" t="str">
        <f t="shared" si="0"/>
        <v/>
      </c>
      <c r="AC9" s="60"/>
      <c r="AD9" s="20" t="str">
        <f>IF(AC9="","¬",_xlfn.LET(_xlpm.base,IFERROR(LEFT(AC9,FIND(" (",AC9)-1),AC9),IFERROR(VLOOKUP(_xlpm.base,tblManoeuvre[],2,FALSE) &amp; " " &amp; REPT("●",VLOOKUP(_xlpm.base,tblManoeuvre[],3,FALSE)) &amp; " | " &amp; AC9,AC9 &amp; " " &amp; REPT("●",VLOOKUP(_xlpm.base,$F$79:$P$120,11,FALSE)))))</f>
        <v>¬</v>
      </c>
      <c r="AE9" s="20"/>
      <c r="AF9" s="20" t="str">
        <f>IF(LEN(AC9)=0,"¬",_xlfn.LET(_xlpm.base,IFERROR(LEFT(AC9,FIND(" (",AC9)-1),AC9),IFERROR(VLOOKUP(_xlpm.base,tblMerits[],5,FALSE),IFERROR(VLOOKUP(_xlpm.base,tblManoeuvre[],9,FALSE),"¬"))))</f>
        <v>¬</v>
      </c>
      <c r="AI9" s="15" t="s">
        <v>238</v>
      </c>
      <c r="AJ9" s="61">
        <f t="shared" si="1"/>
        <v>0</v>
      </c>
      <c r="AK9" s="61">
        <f>AJ9</f>
        <v>0</v>
      </c>
    </row>
    <row r="10" spans="1:37">
      <c r="A10" s="1" t="s">
        <v>9</v>
      </c>
      <c r="B10" t="str">
        <f>CONCATENATE(Elements,B9," icon.svg")</f>
        <v>D:\Terra Mortis\Character Sheets\Sheet Elements\Nosferatu icon.svg</v>
      </c>
      <c r="D10" s="19"/>
      <c r="E10" s="15" t="s">
        <v>13</v>
      </c>
      <c r="F10" s="3" t="s">
        <v>853</v>
      </c>
      <c r="G10" s="18"/>
      <c r="H10" s="18"/>
      <c r="I10" s="18" t="s">
        <v>1430</v>
      </c>
      <c r="N10" s="61">
        <f>N77</f>
        <v>0</v>
      </c>
      <c r="O10" s="65">
        <f>N10/SUM(N$7:N$12)</f>
        <v>0</v>
      </c>
      <c r="P10" s="66"/>
      <c r="Y10" s="15" t="s">
        <v>122</v>
      </c>
      <c r="Z10" s="19"/>
      <c r="AA10" s="61" t="str">
        <f t="shared" si="0"/>
        <v/>
      </c>
      <c r="AC10" s="60"/>
      <c r="AD10" s="20" t="str">
        <f>IF(AC10="","¬",_xlfn.LET(_xlpm.base,IFERROR(LEFT(AC10,FIND(" (",AC10)-1),AC10),IFERROR(VLOOKUP(_xlpm.base,tblManoeuvre[],2,FALSE) &amp; " " &amp; REPT("●",VLOOKUP(_xlpm.base,tblManoeuvre[],3,FALSE)) &amp; " | " &amp; AC10,AC10 &amp; " " &amp; REPT("●",VLOOKUP(_xlpm.base,$F$79:$P$120,11,FALSE)))))</f>
        <v>¬</v>
      </c>
      <c r="AE10" s="20"/>
      <c r="AF10" s="20" t="str">
        <f>IF(LEN(AC10)=0,"¬",_xlfn.LET(_xlpm.base,IFERROR(LEFT(AC10,FIND(" (",AC10)-1),AC10),IFERROR(VLOOKUP(_xlpm.base,tblMerits[],5,FALSE),IFERROR(VLOOKUP(_xlpm.base,tblManoeuvre[],9,FALSE),"¬"))))</f>
        <v>¬</v>
      </c>
      <c r="AI10" s="15" t="s">
        <v>24</v>
      </c>
      <c r="AJ10" s="61">
        <f t="shared" si="1"/>
        <v>4</v>
      </c>
      <c r="AK10" s="61">
        <f>AJ10+IFERROR(INDEX($V$26:$V$38,MATCH(AI10,$E$26:$E$38,0)),0)</f>
        <v>4</v>
      </c>
    </row>
    <row r="11" spans="1:37">
      <c r="A11" s="1" t="s">
        <v>10</v>
      </c>
      <c r="B11" t="str">
        <f>IF(VLOOKUP(tblCharDataEdna[[#This Row],[Field]],$E$2:$F$362,2,FALSE)="","¬",VLOOKUP(tblCharDataEdna[[#This Row],[Field]],$E$2:$F$362,2,FALSE))</f>
        <v>¬</v>
      </c>
      <c r="D11" s="19"/>
      <c r="E11" s="15" t="s">
        <v>14</v>
      </c>
      <c r="F11" s="3" t="s">
        <v>558</v>
      </c>
      <c r="G11" s="18"/>
      <c r="H11" s="18"/>
      <c r="I11" s="18" t="s">
        <v>1431</v>
      </c>
      <c r="N11" s="61">
        <f>N163</f>
        <v>8</v>
      </c>
      <c r="O11" s="65">
        <f>N11/SUM(N$7:N$12)</f>
        <v>0.2857142857142857</v>
      </c>
      <c r="P11" s="66"/>
      <c r="Y11" s="15" t="s">
        <v>123</v>
      </c>
      <c r="Z11" s="19"/>
      <c r="AA11" s="61" t="str">
        <f t="shared" si="0"/>
        <v/>
      </c>
      <c r="AC11" s="60"/>
      <c r="AD11" s="20" t="str">
        <f>IF(AC11="","¬",_xlfn.LET(_xlpm.base,IFERROR(LEFT(AC11,FIND(" (",AC11)-1),AC11),IFERROR(VLOOKUP(_xlpm.base,tblManoeuvre[],2,FALSE) &amp; " " &amp; REPT("●",VLOOKUP(_xlpm.base,tblManoeuvre[],3,FALSE)) &amp; " | " &amp; AC11,AC11 &amp; " " &amp; REPT("●",VLOOKUP(_xlpm.base,$F$79:$P$120,11,FALSE)))))</f>
        <v>¬</v>
      </c>
      <c r="AE11" s="20"/>
      <c r="AF11" s="20" t="str">
        <f>IF(LEN(AC11)=0,"¬",_xlfn.LET(_xlpm.base,IFERROR(LEFT(AC11,FIND(" (",AC11)-1),AC11),IFERROR(VLOOKUP(_xlpm.base,tblMerits[],5,FALSE),IFERROR(VLOOKUP(_xlpm.base,tblManoeuvre[],9,FALSE),"¬"))))</f>
        <v>¬</v>
      </c>
      <c r="AI11" s="15" t="s">
        <v>26</v>
      </c>
      <c r="AJ11" s="61">
        <f t="shared" si="1"/>
        <v>0</v>
      </c>
      <c r="AK11" s="61">
        <f>IF(AJ11=0,IF(COUNTIF($E$42:$E$49,AI11)&gt;0,-3,-1),AJ11)</f>
        <v>-3</v>
      </c>
    </row>
    <row r="12" spans="1:37">
      <c r="A12" s="1" t="s">
        <v>11</v>
      </c>
      <c r="B12" t="str">
        <f>IF(VLOOKUP(tblCharDataEdna[[#This Row],[Field]],$E$2:$F$362,2,FALSE)="","¬",VLOOKUP(tblCharDataEdna[[#This Row],[Field]],$E$2:$F$362,2,FALSE))</f>
        <v>Lancea et Sanctum</v>
      </c>
      <c r="D12" s="19"/>
      <c r="E12" s="15" t="s">
        <v>15</v>
      </c>
      <c r="F12" s="3" t="s">
        <v>854</v>
      </c>
      <c r="G12" s="3" t="s">
        <v>854</v>
      </c>
      <c r="H12" s="18"/>
      <c r="I12" s="18" t="s">
        <v>1432</v>
      </c>
      <c r="N12" s="61">
        <f>N71</f>
        <v>0</v>
      </c>
      <c r="O12" s="65">
        <f>N12/SUM(N$7:N$12)</f>
        <v>0</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2</v>
      </c>
      <c r="AK12" s="61">
        <f>IF(AJ12=0,IF(COUNTIF($E$42:$E$49,AI12)&gt;0,-3,-1),AJ12)</f>
        <v>2</v>
      </c>
    </row>
    <row r="13" spans="1:37">
      <c r="A13" s="1" t="s">
        <v>12</v>
      </c>
      <c r="B13" t="str">
        <f>_xlfn.IFNA(CONCATENATE(Elements,VLOOKUP(B12,tblCovenantShortName[#Data],2,FALSE)," icon.svg"),"")</f>
        <v>D:\Terra Mortis\Character Sheets\Sheet Elements\Lance icon.svg</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0</v>
      </c>
      <c r="AK13" s="61">
        <f t="shared" ref="AK13:AK19" si="2">AJ13</f>
        <v>0</v>
      </c>
    </row>
    <row r="14" spans="1:37">
      <c r="A14" s="1" t="s">
        <v>13</v>
      </c>
      <c r="B14" t="str">
        <f>IF(VLOOKUP(tblCharDataEdna[[#This Row],[Field]],$E$2:$F$362,2,FALSE)="","¬",VLOOKUP(tblCharDataEdna[[#This Row],[Field]],$E$2:$F$362,2,FALSE))</f>
        <v>Visionary</v>
      </c>
      <c r="D14" s="19"/>
      <c r="E14" s="15" t="s">
        <v>1433</v>
      </c>
      <c r="F14" s="28">
        <v>17504</v>
      </c>
      <c r="G14" s="3" t="s">
        <v>870</v>
      </c>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0</v>
      </c>
      <c r="AK14" s="61">
        <f t="shared" si="2"/>
        <v>0</v>
      </c>
    </row>
    <row r="15" spans="1:37">
      <c r="A15" s="1" t="s">
        <v>14</v>
      </c>
      <c r="B15" t="str">
        <f>IF(VLOOKUP(tblCharDataEdna[[#This Row],[Field]],$E$2:$F$362,2,FALSE)="","¬",VLOOKUP(tblCharDataEdna[[#This Row],[Field]],$E$2:$F$362,2,FALSE))</f>
        <v>Authoritarian</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2</v>
      </c>
      <c r="AK15" s="61">
        <f t="shared" ca="1" si="2"/>
        <v>2</v>
      </c>
    </row>
    <row r="16" spans="1:37" ht="15.75" thickBot="1">
      <c r="A16" s="1" t="s">
        <v>15</v>
      </c>
      <c r="B16" t="str">
        <f ca="1">_xlfn.LET(_xlpm.a,VLOOKUP(tblCharDataEdna[[#This Row],[Field]],$E$2:$F$362,2,FALSE),_xlpm.b,VLOOKUP(OFFSET(tblCharDataEdna[[#This Row],[Field]],1,0),$E$2:$F$362,2,FALSE),IF(AND(_xlpm.a&lt;&gt;"",_xlpm.b&lt;&gt;""),_xlpm.a&amp;" &amp; "&amp;_xlpm.b,IF(_xlpm.a&lt;&gt;"",_xlpm.a,IF(_xlpm.b&lt;&gt;"",_xlpm.b,"¬"))))</f>
        <v>Primogen</v>
      </c>
      <c r="D16" s="14" t="s">
        <v>1427</v>
      </c>
      <c r="E16" s="14"/>
      <c r="F16" s="14"/>
      <c r="G16" s="14"/>
      <c r="H16" s="14"/>
      <c r="I16" s="14"/>
      <c r="N16" s="60">
        <f>SUM(N17:N21)</f>
        <v>6</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REPT("●",IFERROR(INDEX($P$26:$P$38,MATCH(tblCharDataEdna[[#This Row],[Field]],$E$26:$E$38,0)),0))&amp;REPT("○",IFERROR(INDEX($V$26:$V$38,MATCH(tblCharDataEdna[[#This Row],[Field]],$E$26:$E$38,0)),0))</f>
        <v>●●</v>
      </c>
      <c r="D17" s="19"/>
      <c r="E17" s="15" t="s">
        <v>1435</v>
      </c>
      <c r="F17" s="3" t="b">
        <v>1</v>
      </c>
      <c r="G17" s="19"/>
      <c r="H17" s="19"/>
      <c r="I17" s="19"/>
      <c r="N17" s="61">
        <f>IF(F17=TRUE,3,0)</f>
        <v>3</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2</v>
      </c>
      <c r="AK17" s="61">
        <f>AJ17+IFERROR(INDEX($V$26:$V$38,MATCH(AI17,$E$26:$E$38,0)),0)</f>
        <v>2</v>
      </c>
    </row>
    <row r="18" spans="1:37">
      <c r="A18" s="1" t="s">
        <v>17</v>
      </c>
      <c r="B18" t="str">
        <f>REPT("●",IFERROR(INDEX($P$26:$P$38,MATCH(tblCharDataEdna[[#This Row],[Field]],$E$26:$E$38,0)),0))&amp;REPT("○",IFERROR(INDEX($V$26:$V$38,MATCH(tblCharDataEdna[[#This Row],[Field]],$E$26:$E$38,0)),0))</f>
        <v>●●●</v>
      </c>
      <c r="D18" s="19"/>
      <c r="E18" s="15" t="s">
        <v>1436</v>
      </c>
      <c r="F18" s="3" t="b">
        <v>1</v>
      </c>
      <c r="G18" s="19"/>
      <c r="H18" s="19"/>
      <c r="I18" s="19"/>
      <c r="N18" s="61">
        <f>IF(F18=TRUE,3,0)</f>
        <v>3</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1</v>
      </c>
      <c r="AK18" s="61">
        <f t="shared" si="2"/>
        <v>1</v>
      </c>
    </row>
    <row r="19" spans="1:37">
      <c r="A19" s="1" t="s">
        <v>18</v>
      </c>
      <c r="B19" t="str">
        <f>REPT("●",IFERROR(INDEX($P$26:$P$38,MATCH(tblCharDataEdna[[#This Row],[Field]],$E$26:$E$38,0)),0))&amp;REPT("○",IFERROR(INDEX($V$26:$V$38,MATCH(tblCharDataEdna[[#This Row],[Field]],$E$26:$E$38,0)),0))</f>
        <v>●●</v>
      </c>
      <c r="D19" s="19"/>
      <c r="E19" s="15" t="s">
        <v>1437</v>
      </c>
      <c r="F19" s="3"/>
      <c r="G19" s="19"/>
      <c r="H19" s="19"/>
      <c r="I19" s="19"/>
      <c r="N19" s="61">
        <f>IF(F19=TRUE,3,0)</f>
        <v>0</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0</v>
      </c>
      <c r="AK19" s="61">
        <f t="shared" si="2"/>
        <v>0</v>
      </c>
    </row>
    <row r="20" spans="1:37">
      <c r="A20" s="1" t="s">
        <v>19</v>
      </c>
      <c r="B20" t="str">
        <f>REPT("●",IFERROR(INDEX($P$26:$P$38,MATCH(tblCharDataEdna[[#This Row],[Field]],$E$26:$E$38,0)),0))&amp;REPT("○",IFERROR(INDEX($V$26:$V$38,MATCH(tblCharDataEdna[[#This Row],[Field]],$E$26:$E$38,0)),0))</f>
        <v>●</v>
      </c>
      <c r="D20" s="19"/>
      <c r="E20" s="15" t="s">
        <v>1438</v>
      </c>
      <c r="F20" s="3"/>
      <c r="G20" s="19"/>
      <c r="H20" s="19"/>
      <c r="I20" s="19"/>
      <c r="N20" s="61">
        <f>IF(F20=TRUE,3,0)</f>
        <v>0</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REPT("●",IFERROR(INDEX($P$26:$P$38,MATCH(tblCharDataEdna[[#This Row],[Field]],$E$26:$E$38,0)),0))&amp;REPT("○",IFERROR(INDEX($V$26:$V$38,MATCH(tblCharDataEdna[[#This Row],[Field]],$E$26:$E$38,0)),0))</f>
        <v>●●</v>
      </c>
      <c r="D21" s="19"/>
      <c r="E21" s="15" t="s">
        <v>11</v>
      </c>
      <c r="F21" s="3"/>
      <c r="G21" s="19"/>
      <c r="H21" s="19"/>
      <c r="I21" s="19"/>
      <c r="N21" s="61">
        <f>IF(F21=TRUE,3,0)</f>
        <v>0</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2</v>
      </c>
      <c r="AK21" s="61">
        <f>IF(AJ21=0,IF(COUNTIF($E$42:$E$49,AI21)&gt;0,-3,-1),AJ21)</f>
        <v>2</v>
      </c>
    </row>
    <row r="22" spans="1:37">
      <c r="A22" s="1" t="s">
        <v>21</v>
      </c>
      <c r="B22" t="str">
        <f>REPT("●",IFERROR(INDEX($P$26:$P$38,MATCH(tblCharDataEdna[[#This Row],[Field]],$E$26:$E$38,0)),0))&amp;REPT("○",IFERROR(INDEX($V$26:$V$38,MATCH(tblCharDataEdna[[#This Row],[Field]],$E$26:$E$38,0)),0))</f>
        <v>●●●</v>
      </c>
      <c r="Y22" s="15" t="s">
        <v>1439</v>
      </c>
      <c r="Z22" s="61" t="str">
        <f>IFERROR(VLOOKUP(AA22,tblManoeuvre[],2,FALSE),"")</f>
        <v/>
      </c>
      <c r="AA22" s="61" t="str">
        <f t="shared" ref="AA22:AA41" si="3">_xlfn.LET(_xlpm.name,VLOOKUP(Y22,$E$2:$F$362,2,FALSE),_xlpm.paid,_xlfn.IFNA(VLOOKUP(_xlpm.name,$F$79:$Q$120,11,FALSE)&gt;=VLOOKUP(_xlpm.name,$F$79:$Q$120,12,FALSE),FALSE),IF(AND(_xlpm.name&lt;&gt;"",_xlpm.paid),_xlpm.name,""))</f>
        <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3</v>
      </c>
      <c r="AK22" s="61">
        <f>IF(AJ22=0,IF(COUNTIF($E$42:$E$49,AI22)&gt;0,-3,-1),AJ22)</f>
        <v>3</v>
      </c>
    </row>
    <row r="23" spans="1:37" ht="15.75" thickBot="1">
      <c r="A23" s="1" t="s">
        <v>22</v>
      </c>
      <c r="B23" t="str">
        <f>REPT("●",IFERROR(INDEX($P$26:$P$38,MATCH(tblCharDataEdna[[#This Row],[Field]],$E$26:$E$38,0)),0))&amp;REPT("○",IFERROR(INDEX($V$26:$V$38,MATCH(tblCharDataEdna[[#This Row],[Field]],$E$26:$E$38,0)),0))</f>
        <v>●●●</v>
      </c>
      <c r="D23" s="14" t="s">
        <v>1440</v>
      </c>
      <c r="E23" s="14"/>
      <c r="F23" s="14"/>
      <c r="G23" s="14"/>
      <c r="H23" s="14"/>
      <c r="I23" s="14"/>
      <c r="N23" s="60">
        <f>SUM(N26:N28,N31:N33,N36:N38)</f>
        <v>0</v>
      </c>
      <c r="Y23" s="15" t="s">
        <v>1441</v>
      </c>
      <c r="Z23" s="61" t="str">
        <f>IFERROR(VLOOKUP(AA23,tblManoeuvre[],2,FALSE),"")</f>
        <v/>
      </c>
      <c r="AA23" s="61" t="str">
        <f t="shared" si="3"/>
        <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0</v>
      </c>
      <c r="AK23" s="61">
        <f>IF(AJ23=0,VLOOKUP(AI23,$E$42:$Q$69,13,FALSE),AJ23)</f>
        <v>0</v>
      </c>
    </row>
    <row r="24" spans="1:37">
      <c r="A24" s="1" t="s">
        <v>23</v>
      </c>
      <c r="B24" t="str">
        <f>REPT("●",IFERROR(INDEX($P$26:$P$38,MATCH(tblCharDataEdna[[#This Row],[Field]],$E$26:$E$38,0)),0))&amp;REPT("○",IFERROR(INDEX($V$26:$V$38,MATCH(tblCharDataEdna[[#This Row],[Field]],$E$26:$E$38,0)),0))</f>
        <v>●●</v>
      </c>
      <c r="E24" s="15" t="s">
        <v>1442</v>
      </c>
      <c r="F24" s="3" t="s">
        <v>24</v>
      </c>
      <c r="Y24" s="15" t="s">
        <v>1443</v>
      </c>
      <c r="Z24" s="61" t="str">
        <f>IFERROR(VLOOKUP(AA24,tblManoeuvre[],2,FALSE),"")</f>
        <v/>
      </c>
      <c r="AA24" s="61" t="str">
        <f t="shared" si="3"/>
        <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8</v>
      </c>
      <c r="AK24" s="61">
        <f ca="1">AJ24</f>
        <v>8</v>
      </c>
    </row>
    <row r="25" spans="1:37">
      <c r="A25" s="1" t="s">
        <v>24</v>
      </c>
      <c r="B25" t="str">
        <f>REPT("●",IFERROR(INDEX($P$26:$P$38,MATCH(tblCharDataEdna[[#This Row],[Field]],$E$26:$E$38,0)),0))&amp;REPT("○",IFERROR(INDEX($V$26:$V$38,MATCH(tblCharDataEdna[[#This Row],[Field]],$E$26:$E$38,0)),0))</f>
        <v>●●●●</v>
      </c>
      <c r="D25" s="16" t="s">
        <v>1444</v>
      </c>
      <c r="E25" s="17"/>
      <c r="F25" s="17"/>
      <c r="G25" s="17" t="s">
        <v>1445</v>
      </c>
      <c r="H25" s="16" t="s">
        <v>1446</v>
      </c>
      <c r="I25" s="3" t="s">
        <v>1567</v>
      </c>
      <c r="L25" s="60">
        <f>IF(I25="",0,VLOOKUP(I25,tblPriority[#Data],2,FALSE))-SUM(L26:L28)</f>
        <v>0</v>
      </c>
      <c r="Y25" s="15" t="s">
        <v>1447</v>
      </c>
      <c r="Z25" s="61" t="str">
        <f>IFERROR(VLOOKUP(AA25,tblManoeuvre[],2,FALSE),"")</f>
        <v/>
      </c>
      <c r="AA25" s="61" t="str">
        <f t="shared" si="3"/>
        <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4</v>
      </c>
      <c r="AK25" s="61">
        <f>AJ25</f>
        <v>4</v>
      </c>
    </row>
    <row r="26" spans="1:37">
      <c r="A26" s="1" t="s">
        <v>25</v>
      </c>
      <c r="B26" t="str">
        <f>REPT("●",IFERROR(INDEX($P$42:$P$69,MATCH(tblCharDataEdna[[#This Row],[Field]],$E$42:$E$69,0)),0))&amp;REPT("○",IFERROR(INDEX($V$42:$V$69,MATCH(tblCharDataEdna[[#This Row],[Field]],$E$42:$E$69,0)),0))&amp;IF(IFERROR(INDEX($W$42:$W$69,MATCH(tblCharDataEdna[[#This Row],[Field]],$E$42:$E$69,0)),0)=1,"†","")</f>
        <v>●●●●</v>
      </c>
      <c r="D26" s="18"/>
      <c r="E26" s="15" t="s">
        <v>16</v>
      </c>
      <c r="F26" s="18"/>
      <c r="G26" s="3"/>
      <c r="H26" s="18"/>
      <c r="I26" s="18"/>
      <c r="L26" s="3">
        <v>1</v>
      </c>
      <c r="M26" s="60">
        <f>IF(E26=$F$24,2,1)</f>
        <v>1</v>
      </c>
      <c r="N26" s="3"/>
      <c r="O26" s="61">
        <f>ROUNDDOWN(N26/4,0)</f>
        <v>0</v>
      </c>
      <c r="P26" s="60">
        <f>MIN(SUM(L26,M26,O26),R26)</f>
        <v>2</v>
      </c>
      <c r="R26" s="61">
        <v>5</v>
      </c>
      <c r="U26" s="4"/>
      <c r="V26" s="61">
        <f>U26</f>
        <v>0</v>
      </c>
      <c r="Y26" s="15" t="s">
        <v>1449</v>
      </c>
      <c r="Z26" s="61" t="str">
        <f>IFERROR(VLOOKUP(AA26,tblManoeuvre[],2,FALSE),"")</f>
        <v/>
      </c>
      <c r="AA26" s="61" t="str">
        <f t="shared" si="3"/>
        <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2</v>
      </c>
      <c r="AK26" s="61">
        <f>AJ26+IFERROR(INDEX($V$26:$V$38,MATCH(AI26,$E$26:$E$38,0)),0)</f>
        <v>2</v>
      </c>
    </row>
    <row r="27" spans="1:37">
      <c r="A27" s="1" t="s">
        <v>26</v>
      </c>
      <c r="B27" t="str">
        <f>REPT("●",IFERROR(INDEX($P$42:$P$69,MATCH(tblCharDataEdna[[#This Row],[Field]],$E$42:$E$69,0)),0))&amp;REPT("○",IFERROR(INDEX($V$42:$V$69,MATCH(tblCharDataEdna[[#This Row],[Field]],$E$42:$E$69,0)),0))&amp;IF(IFERROR(INDEX($W$42:$W$69,MATCH(tblCharDataEdna[[#This Row],[Field]],$E$42:$E$69,0)),0)=1,"†","")</f>
        <v/>
      </c>
      <c r="D27" s="18"/>
      <c r="E27" s="15" t="s">
        <v>17</v>
      </c>
      <c r="F27" s="18"/>
      <c r="G27" s="3"/>
      <c r="H27" s="18"/>
      <c r="I27" s="18"/>
      <c r="L27" s="3">
        <v>2</v>
      </c>
      <c r="M27" s="60">
        <f>IF(E27=$F$24,2,1)</f>
        <v>1</v>
      </c>
      <c r="N27" s="3"/>
      <c r="O27" s="61">
        <f>ROUNDDOWN(N27/4,0)</f>
        <v>0</v>
      </c>
      <c r="P27" s="60">
        <f>MIN(SUM(L27,M27,O27),R27)</f>
        <v>3</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3</v>
      </c>
      <c r="AK27" s="61">
        <f>IF(AJ27=0,IF(COUNTIF($E$42:$E$49,AI27)&gt;0,-3,-1),AJ27)</f>
        <v>3</v>
      </c>
    </row>
    <row r="28" spans="1:37">
      <c r="A28" s="1" t="s">
        <v>27</v>
      </c>
      <c r="B28" t="str">
        <f>REPT("●",IFERROR(INDEX($P$42:$P$69,MATCH(tblCharDataEdna[[#This Row],[Field]],$E$42:$E$69,0)),0))&amp;REPT("○",IFERROR(INDEX($V$42:$V$69,MATCH(tblCharDataEdna[[#This Row],[Field]],$E$42:$E$69,0)),0))&amp;IF(IFERROR(INDEX($W$42:$W$69,MATCH(tblCharDataEdna[[#This Row],[Field]],$E$42:$E$69,0)),0)=1,"†","")</f>
        <v>●●</v>
      </c>
      <c r="D28" s="18"/>
      <c r="E28" s="15" t="s">
        <v>18</v>
      </c>
      <c r="F28" s="18"/>
      <c r="G28" s="3"/>
      <c r="H28" s="18"/>
      <c r="I28" s="18"/>
      <c r="L28" s="3">
        <v>1</v>
      </c>
      <c r="M28" s="60">
        <f>IF(E28=$F$24,2,1)</f>
        <v>1</v>
      </c>
      <c r="N28" s="3"/>
      <c r="O28" s="61">
        <f>ROUNDDOWN(N28/4,0)</f>
        <v>0</v>
      </c>
      <c r="P28" s="60">
        <f>MIN(SUM(L28,M28,O28),R28)</f>
        <v>2</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0</v>
      </c>
      <c r="AK28" s="61">
        <f>IF(AJ28=0,IF(COUNTIF($E$42:$E$49,AI28)&gt;0,-3,-1),AJ28)</f>
        <v>-3</v>
      </c>
    </row>
    <row r="29" spans="1:37">
      <c r="A29" s="1" t="s">
        <v>28</v>
      </c>
      <c r="B29" t="str">
        <f>REPT("●",IFERROR(INDEX($P$42:$P$69,MATCH(tblCharDataEdna[[#This Row],[Field]],$E$42:$E$69,0)),0))&amp;REPT("○",IFERROR(INDEX($V$42:$V$69,MATCH(tblCharDataEdna[[#This Row],[Field]],$E$42:$E$69,0)),0))&amp;IF(IFERROR(INDEX($W$42:$W$69,MATCH(tblCharDataEdna[[#This Row],[Field]],$E$42:$E$69,0)),0)=1,"†","")</f>
        <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2</v>
      </c>
      <c r="AK29" s="61">
        <f>IF(AJ29=0,IF(COUNTIF($E$42:$E$49,AI29)&gt;0,-3,-1),AJ29)</f>
        <v>2</v>
      </c>
    </row>
    <row r="30" spans="1:37">
      <c r="A30" s="1" t="s">
        <v>29</v>
      </c>
      <c r="B30" t="str">
        <f>REPT("●",IFERROR(INDEX($P$42:$P$69,MATCH(tblCharDataEdna[[#This Row],[Field]],$E$42:$E$69,0)),0))&amp;REPT("○",IFERROR(INDEX($V$42:$V$69,MATCH(tblCharDataEdna[[#This Row],[Field]],$E$42:$E$69,0)),0))&amp;IF(IFERROR(INDEX($W$42:$W$69,MATCH(tblCharDataEdna[[#This Row],[Field]],$E$42:$E$69,0)),0)=1,"†","")</f>
        <v/>
      </c>
      <c r="D30" s="16" t="s">
        <v>1453</v>
      </c>
      <c r="E30" s="17"/>
      <c r="F30" s="17"/>
      <c r="G30" s="17" t="s">
        <v>1445</v>
      </c>
      <c r="H30" s="16" t="s">
        <v>1446</v>
      </c>
      <c r="I30" s="3" t="s">
        <v>1566</v>
      </c>
      <c r="L30" s="60">
        <f>IF(I30="",0,VLOOKUP(I30,tblPriority[#Data],2,FALSE))-SUM(L31:L33)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0</v>
      </c>
      <c r="AK30" s="61">
        <f>AJ30</f>
        <v>0</v>
      </c>
    </row>
    <row r="31" spans="1:37">
      <c r="A31" s="1" t="s">
        <v>30</v>
      </c>
      <c r="B31" t="str">
        <f>REPT("●",IFERROR(INDEX($P$42:$P$69,MATCH(tblCharDataEdna[[#This Row],[Field]],$E$42:$E$69,0)),0))&amp;REPT("○",IFERROR(INDEX($V$42:$V$69,MATCH(tblCharDataEdna[[#This Row],[Field]],$E$42:$E$69,0)),0))&amp;IF(IFERROR(INDEX($W$42:$W$69,MATCH(tblCharDataEdna[[#This Row],[Field]],$E$42:$E$69,0)),0)=1,"†","")</f>
        <v>●●</v>
      </c>
      <c r="D31" s="18"/>
      <c r="E31" s="15" t="s">
        <v>19</v>
      </c>
      <c r="F31" s="18"/>
      <c r="G31" s="3"/>
      <c r="H31" s="18"/>
      <c r="I31" s="18"/>
      <c r="L31" s="3"/>
      <c r="M31" s="60">
        <f>IF(E31=$F$24,2,1)</f>
        <v>1</v>
      </c>
      <c r="N31" s="3"/>
      <c r="O31" s="61">
        <f>ROUNDDOWN(N31/4,0)</f>
        <v>0</v>
      </c>
      <c r="P31" s="60">
        <f>MIN(SUM(L31,M31,O31),R31)</f>
        <v>1</v>
      </c>
      <c r="R31" s="61">
        <v>5</v>
      </c>
      <c r="U31" s="4"/>
      <c r="V31" s="61">
        <f>$P$174+U31</f>
        <v>0</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2</v>
      </c>
      <c r="AK31" s="61">
        <f>AJ31+IFERROR(INDEX($V$26:$V$38,MATCH(AI31,$E$26:$E$38,0)),0)</f>
        <v>2</v>
      </c>
    </row>
    <row r="32" spans="1:37">
      <c r="A32" s="1" t="s">
        <v>31</v>
      </c>
      <c r="B32" t="str">
        <f>REPT("●",IFERROR(INDEX($P$42:$P$69,MATCH(tblCharDataEdna[[#This Row],[Field]],$E$42:$E$69,0)),0))&amp;REPT("○",IFERROR(INDEX($V$42:$V$69,MATCH(tblCharDataEdna[[#This Row],[Field]],$E$42:$E$69,0)),0))&amp;IF(IFERROR(INDEX($W$42:$W$69,MATCH(tblCharDataEdna[[#This Row],[Field]],$E$42:$E$69,0)),0)=1,"†","")</f>
        <v>●●●</v>
      </c>
      <c r="D32" s="18"/>
      <c r="E32" s="15" t="s">
        <v>20</v>
      </c>
      <c r="F32" s="18"/>
      <c r="G32" s="3"/>
      <c r="H32" s="18"/>
      <c r="I32" s="18"/>
      <c r="L32" s="3">
        <v>1</v>
      </c>
      <c r="M32" s="60">
        <f>IF(E32=$F$24,2,1)</f>
        <v>1</v>
      </c>
      <c r="N32" s="3"/>
      <c r="O32" s="61">
        <f>ROUNDDOWN(N32/4,0)</f>
        <v>0</v>
      </c>
      <c r="P32" s="60">
        <f>MIN(SUM(L32,M32,O32),R32)</f>
        <v>2</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REPT("●",IFERROR(INDEX($P$42:$P$69,MATCH(tblCharDataEdna[[#This Row],[Field]],$E$42:$E$69,0)),0))&amp;REPT("○",IFERROR(INDEX($V$42:$V$69,MATCH(tblCharDataEdna[[#This Row],[Field]],$E$42:$E$69,0)),0))&amp;IF(IFERROR(INDEX($W$42:$W$69,MATCH(tblCharDataEdna[[#This Row],[Field]],$E$42:$E$69,0)),0)=1,"†","")</f>
        <v/>
      </c>
      <c r="D33" s="18"/>
      <c r="E33" s="15" t="s">
        <v>21</v>
      </c>
      <c r="F33" s="18"/>
      <c r="G33" s="3"/>
      <c r="H33" s="18"/>
      <c r="I33" s="18"/>
      <c r="L33" s="3">
        <v>2</v>
      </c>
      <c r="M33" s="60">
        <f>IF(E33=$F$24,2,1)</f>
        <v>1</v>
      </c>
      <c r="N33" s="3"/>
      <c r="O33" s="61">
        <f>ROUNDDOWN(N33/4,0)</f>
        <v>0</v>
      </c>
      <c r="P33" s="60">
        <f>MIN(SUM(L33,M33,O33),R33)</f>
        <v>3</v>
      </c>
      <c r="R33" s="61">
        <v>5</v>
      </c>
      <c r="U33" s="4"/>
      <c r="V33" s="61">
        <f>$P$173+U33</f>
        <v>0</v>
      </c>
      <c r="Y33" s="15" t="s">
        <v>1457</v>
      </c>
      <c r="Z33" s="61" t="str">
        <f>IFERROR(VLOOKUP(AA33,tblManoeuvre[],2,FALSE),"")</f>
        <v/>
      </c>
      <c r="AA33" s="61" t="str">
        <f t="shared" si="3"/>
        <v/>
      </c>
      <c r="AI33" s="15" t="s">
        <v>241</v>
      </c>
      <c r="AJ33" s="61">
        <f t="shared" si="1"/>
        <v>2</v>
      </c>
      <c r="AK33" s="61">
        <f>AJ33</f>
        <v>2</v>
      </c>
    </row>
    <row r="34" spans="1:37">
      <c r="A34" s="1" t="s">
        <v>33</v>
      </c>
      <c r="B34" t="str">
        <f>REPT("●",IFERROR(INDEX($P$42:$P$69,MATCH(tblCharDataEdna[[#This Row],[Field]],$E$42:$E$69,0)),0))&amp;REPT("○",IFERROR(INDEX($V$42:$V$69,MATCH(tblCharDataEdna[[#This Row],[Field]],$E$42:$E$69,0)),0))&amp;IF(IFERROR(INDEX($W$42:$W$69,MATCH(tblCharDataEdna[[#This Row],[Field]],$E$42:$E$69,0)),0)=1,"†","")</f>
        <v/>
      </c>
      <c r="Y34" s="15" t="s">
        <v>1458</v>
      </c>
      <c r="Z34" s="61" t="str">
        <f>IFERROR(VLOOKUP(AA34,tblManoeuvre[],2,FALSE),"")</f>
        <v/>
      </c>
      <c r="AA34" s="61" t="str">
        <f t="shared" si="3"/>
        <v/>
      </c>
      <c r="AI34" s="15" t="s">
        <v>242</v>
      </c>
      <c r="AJ34" s="61">
        <f t="shared" si="1"/>
        <v>2</v>
      </c>
      <c r="AK34" s="61">
        <f>AJ34</f>
        <v>2</v>
      </c>
    </row>
    <row r="35" spans="1:37">
      <c r="A35" s="1" t="s">
        <v>34</v>
      </c>
      <c r="B35" t="str">
        <f>REPT("●",IFERROR(INDEX($P$42:$P$69,MATCH(tblCharDataEdna[[#This Row],[Field]],$E$42:$E$69,0)),0))&amp;REPT("○",IFERROR(INDEX($V$42:$V$69,MATCH(tblCharDataEdna[[#This Row],[Field]],$E$42:$E$69,0)),0))&amp;IF(IFERROR(INDEX($W$42:$W$69,MATCH(tblCharDataEdna[[#This Row],[Field]],$E$42:$E$69,0)),0)=1,"†","")</f>
        <v/>
      </c>
      <c r="D35" s="16" t="s">
        <v>1459</v>
      </c>
      <c r="E35" s="17"/>
      <c r="F35" s="17"/>
      <c r="G35" s="17" t="s">
        <v>1445</v>
      </c>
      <c r="H35" s="16" t="s">
        <v>1446</v>
      </c>
      <c r="I35" s="3" t="s">
        <v>1565</v>
      </c>
      <c r="L35" s="60">
        <f>IF(I35="",0,VLOOKUP(I35,tblPriority[#Data],2,FALSE))-SUM(L36:L38)</f>
        <v>0</v>
      </c>
      <c r="Y35" s="15" t="s">
        <v>1460</v>
      </c>
      <c r="Z35" s="61" t="str">
        <f>IFERROR(VLOOKUP(AA35,tblManoeuvre[],2,FALSE),"")</f>
        <v/>
      </c>
      <c r="AA35" s="61" t="str">
        <f t="shared" si="3"/>
        <v/>
      </c>
      <c r="AI35" s="15" t="s">
        <v>30</v>
      </c>
      <c r="AJ35" s="61">
        <f t="shared" si="1"/>
        <v>2</v>
      </c>
      <c r="AK35" s="61">
        <f>IF(AJ35=0,IF(COUNTIF($E$42:$E$49,AI35)&gt;0,-3,-1),AJ35)</f>
        <v>2</v>
      </c>
    </row>
    <row r="36" spans="1:37">
      <c r="A36" s="1" t="s">
        <v>35</v>
      </c>
      <c r="B36" t="str">
        <f>REPT("●",IFERROR(INDEX($P$42:$P$69,MATCH(tblCharDataEdna[[#This Row],[Field]],$E$42:$E$69,0)),0))&amp;REPT("○",IFERROR(INDEX($V$42:$V$69,MATCH(tblCharDataEdna[[#This Row],[Field]],$E$42:$E$69,0)),0))&amp;IF(IFERROR(INDEX($W$42:$W$69,MATCH(tblCharDataEdna[[#This Row],[Field]],$E$42:$E$69,0)),0)=1,"†","")</f>
        <v/>
      </c>
      <c r="D36" s="18"/>
      <c r="E36" s="15" t="s">
        <v>22</v>
      </c>
      <c r="F36" s="18"/>
      <c r="G36" s="3"/>
      <c r="H36" s="18"/>
      <c r="I36" s="18"/>
      <c r="L36" s="3">
        <v>2</v>
      </c>
      <c r="M36" s="60">
        <f>IF(E36=$F$24,2,1)</f>
        <v>1</v>
      </c>
      <c r="N36" s="3"/>
      <c r="O36" s="61">
        <f>ROUNDDOWN(N36/4,0)</f>
        <v>0</v>
      </c>
      <c r="P36" s="60">
        <f>MIN(SUM(L36,M36,O36),R36)</f>
        <v>3</v>
      </c>
      <c r="R36" s="61">
        <v>5</v>
      </c>
      <c r="U36" s="4"/>
      <c r="V36" s="61">
        <f>U36</f>
        <v>0</v>
      </c>
      <c r="Y36" s="15" t="s">
        <v>1461</v>
      </c>
      <c r="Z36" s="61" t="str">
        <f>IFERROR(VLOOKUP(AA36,tblManoeuvre[],2,FALSE),"")</f>
        <v/>
      </c>
      <c r="AA36" s="61" t="str">
        <f t="shared" si="3"/>
        <v/>
      </c>
      <c r="AI36" s="15" t="s">
        <v>45</v>
      </c>
      <c r="AJ36" s="61">
        <f t="shared" si="1"/>
        <v>0</v>
      </c>
      <c r="AK36" s="61">
        <f>IF(AJ36=0,IF(COUNTIF($E$42:$E$49,AI36)&gt;0,-3,-1),AJ36)</f>
        <v>-1</v>
      </c>
    </row>
    <row r="37" spans="1:37">
      <c r="A37" s="1" t="s">
        <v>36</v>
      </c>
      <c r="B37" t="str">
        <f>REPT("●",IFERROR(INDEX($P$42:$P$69,MATCH(tblCharDataEdna[[#This Row],[Field]],$E$42:$E$69,0)),0))&amp;REPT("○",IFERROR(INDEX($V$42:$V$69,MATCH(tblCharDataEdna[[#This Row],[Field]],$E$42:$E$69,0)),0))&amp;IF(IFERROR(INDEX($W$42:$W$69,MATCH(tblCharDataEdna[[#This Row],[Field]],$E$42:$E$69,0)),0)=1,"†","")</f>
        <v/>
      </c>
      <c r="D37" s="18"/>
      <c r="E37" s="15" t="s">
        <v>23</v>
      </c>
      <c r="F37" s="18"/>
      <c r="G37" s="3"/>
      <c r="H37" s="18"/>
      <c r="I37" s="18"/>
      <c r="L37" s="3">
        <v>1</v>
      </c>
      <c r="M37" s="60">
        <f>IF(E37=$F$24,2,1)</f>
        <v>1</v>
      </c>
      <c r="N37" s="3"/>
      <c r="O37" s="61">
        <f>ROUNDDOWN(N37/4,0)</f>
        <v>0</v>
      </c>
      <c r="P37" s="60">
        <f>MIN(SUM(L37,M37,O37),R37)</f>
        <v>2</v>
      </c>
      <c r="R37" s="61">
        <v>5</v>
      </c>
      <c r="U37" s="4"/>
      <c r="V37" s="61">
        <f>U37</f>
        <v>0</v>
      </c>
      <c r="Y37" s="15" t="s">
        <v>1462</v>
      </c>
      <c r="Z37" s="61" t="str">
        <f>IFERROR(VLOOKUP(AA37,tblManoeuvre[],2,FALSE),"")</f>
        <v/>
      </c>
      <c r="AA37" s="61" t="str">
        <f t="shared" si="3"/>
        <v/>
      </c>
      <c r="AI37" s="15" t="s">
        <v>31</v>
      </c>
      <c r="AJ37" s="61">
        <f t="shared" si="1"/>
        <v>3</v>
      </c>
      <c r="AK37" s="61">
        <f>IF(AJ37=0,IF(COUNTIF($E$42:$E$49,AI37)&gt;0,-3,-1),AJ37)</f>
        <v>3</v>
      </c>
    </row>
    <row r="38" spans="1:37">
      <c r="A38" s="1" t="s">
        <v>37</v>
      </c>
      <c r="B38" t="str">
        <f>REPT("●",IFERROR(INDEX($P$42:$P$69,MATCH(tblCharDataEdna[[#This Row],[Field]],$E$42:$E$69,0)),0))&amp;REPT("○",IFERROR(INDEX($V$42:$V$69,MATCH(tblCharDataEdna[[#This Row],[Field]],$E$42:$E$69,0)),0))&amp;IF(IFERROR(INDEX($W$42:$W$69,MATCH(tblCharDataEdna[[#This Row],[Field]],$E$42:$E$69,0)),0)=1,"†","")</f>
        <v>●●</v>
      </c>
      <c r="D38" s="18"/>
      <c r="E38" s="15" t="s">
        <v>24</v>
      </c>
      <c r="F38" s="18"/>
      <c r="G38" s="3"/>
      <c r="H38" s="18"/>
      <c r="I38" s="18"/>
      <c r="L38" s="3">
        <v>2</v>
      </c>
      <c r="M38" s="60">
        <f>IF(E38=$F$24,2,1)</f>
        <v>2</v>
      </c>
      <c r="N38" s="3"/>
      <c r="O38" s="61">
        <f>ROUNDDOWN(N38/4,0)</f>
        <v>0</v>
      </c>
      <c r="P38" s="60">
        <f>MIN(SUM(L38,M38,O38),R38)</f>
        <v>4</v>
      </c>
      <c r="R38" s="61">
        <v>5</v>
      </c>
      <c r="U38" s="4"/>
      <c r="V38" s="61">
        <f>U38</f>
        <v>0</v>
      </c>
      <c r="Y38" s="15" t="s">
        <v>1463</v>
      </c>
      <c r="Z38" s="61" t="str">
        <f>IFERROR(VLOOKUP(AA38,tblManoeuvre[],2,FALSE),"")</f>
        <v/>
      </c>
      <c r="AA38" s="61" t="str">
        <f t="shared" si="3"/>
        <v/>
      </c>
      <c r="AI38" s="15" t="s">
        <v>22</v>
      </c>
      <c r="AJ38" s="61">
        <f t="shared" si="1"/>
        <v>3</v>
      </c>
      <c r="AK38" s="61">
        <f>AJ38+IFERROR(INDEX($V$26:$V$38,MATCH(AI38,$E$26:$E$38,0)),0)</f>
        <v>3</v>
      </c>
    </row>
    <row r="39" spans="1:37">
      <c r="A39" s="1" t="s">
        <v>38</v>
      </c>
      <c r="B39" t="str">
        <f>REPT("●",IFERROR(INDEX($P$42:$P$69,MATCH(tblCharDataEdna[[#This Row],[Field]],$E$42:$E$69,0)),0))&amp;REPT("○",IFERROR(INDEX($V$42:$V$69,MATCH(tblCharDataEdna[[#This Row],[Field]],$E$42:$E$69,0)),0))&amp;IF(IFERROR(INDEX($W$42:$W$69,MATCH(tblCharDataEdna[[#This Row],[Field]],$E$42:$E$69,0)),0)=1,"†","")</f>
        <v>●●</v>
      </c>
      <c r="Y39" s="15" t="s">
        <v>1464</v>
      </c>
      <c r="Z39" s="61" t="str">
        <f>IFERROR(VLOOKUP(AA39,tblManoeuvre[],2,FALSE),"")</f>
        <v/>
      </c>
      <c r="AA39" s="61" t="str">
        <f t="shared" si="3"/>
        <v/>
      </c>
      <c r="AI39" s="15" t="s">
        <v>243</v>
      </c>
      <c r="AJ39" s="61">
        <f t="shared" si="1"/>
        <v>0</v>
      </c>
      <c r="AK39" s="61">
        <f>AJ39</f>
        <v>0</v>
      </c>
    </row>
    <row r="40" spans="1:37" ht="15.75" thickBot="1">
      <c r="A40" s="1" t="s">
        <v>39</v>
      </c>
      <c r="B40" t="str">
        <f>REPT("●",IFERROR(INDEX($P$42:$P$69,MATCH(tblCharDataEdna[[#This Row],[Field]],$E$42:$E$69,0)),0))&amp;REPT("○",IFERROR(INDEX($V$42:$V$69,MATCH(tblCharDataEdna[[#This Row],[Field]],$E$42:$E$69,0)),0))&amp;IF(IFERROR(INDEX($W$42:$W$69,MATCH(tblCharDataEdna[[#This Row],[Field]],$E$42:$E$69,0)),0)=1,"†","")</f>
        <v/>
      </c>
      <c r="D40" s="14" t="s">
        <v>1465</v>
      </c>
      <c r="E40" s="14"/>
      <c r="F40" s="14"/>
      <c r="G40" s="14"/>
      <c r="H40" s="14"/>
      <c r="I40" s="14"/>
      <c r="N40" s="60">
        <f>SUM(N42:N49,N52:N59,N62:N69)</f>
        <v>6</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1"/>
        <v>1</v>
      </c>
      <c r="AK40" s="61">
        <f>AJ40</f>
        <v>1</v>
      </c>
    </row>
    <row r="41" spans="1:37">
      <c r="A41" s="1" t="s">
        <v>40</v>
      </c>
      <c r="B41" t="str">
        <f>REPT("●",IFERROR(INDEX($P$42:$P$69,MATCH(tblCharDataEdna[[#This Row],[Field]],$E$42:$E$69,0)),0))&amp;REPT("○",IFERROR(INDEX($V$42:$V$69,MATCH(tblCharDataEdna[[#This Row],[Field]],$E$42:$E$69,0)),0))&amp;IF(IFERROR(INDEX($W$42:$W$69,MATCH(tblCharDataEdna[[#This Row],[Field]],$E$42:$E$69,0)),0)=1,"†","")</f>
        <v/>
      </c>
      <c r="D41" s="16" t="s">
        <v>1444</v>
      </c>
      <c r="E41" s="17"/>
      <c r="F41" s="17"/>
      <c r="G41" s="17" t="s">
        <v>1467</v>
      </c>
      <c r="H41" s="16" t="s">
        <v>1446</v>
      </c>
      <c r="I41" s="3" t="s">
        <v>1565</v>
      </c>
      <c r="L41" s="60">
        <f>IF(I41="",0,VLOOKUP(I41,tblPriority[#Data],3,FALSE))-SUM(L42:L49)</f>
        <v>0</v>
      </c>
      <c r="T41" s="60">
        <f>MAX(3+IF(P161&gt;=3,2,0)-SUM(T42:T49,T52:T59,T62:T69),0)</f>
        <v>0</v>
      </c>
      <c r="Y41" s="15" t="s">
        <v>1468</v>
      </c>
      <c r="Z41" s="61" t="str">
        <f>IFERROR(VLOOKUP(AA41,tblManoeuvre[],2,FALSE),"")</f>
        <v/>
      </c>
      <c r="AA41" s="61" t="str">
        <f t="shared" si="3"/>
        <v/>
      </c>
      <c r="AI41" s="15" t="s">
        <v>244</v>
      </c>
      <c r="AJ41" s="61">
        <f t="shared" si="1"/>
        <v>0</v>
      </c>
      <c r="AK41" s="61">
        <f>AJ41</f>
        <v>0</v>
      </c>
    </row>
    <row r="42" spans="1:37">
      <c r="A42" s="1" t="s">
        <v>41</v>
      </c>
      <c r="B42" t="str">
        <f>REPT("●",IFERROR(INDEX($P$42:$P$69,MATCH(tblCharDataEdna[[#This Row],[Field]],$E$42:$E$69,0)),0))&amp;REPT("○",IFERROR(INDEX($V$42:$V$69,MATCH(tblCharDataEdna[[#This Row],[Field]],$E$42:$E$69,0)),0))&amp;IF(IFERROR(INDEX($W$42:$W$69,MATCH(tblCharDataEdna[[#This Row],[Field]],$E$42:$E$69,0)),0)=1,"†","")</f>
        <v/>
      </c>
      <c r="D42" s="18"/>
      <c r="E42" s="15" t="s">
        <v>25</v>
      </c>
      <c r="F42" s="18"/>
      <c r="G42" s="3" t="s">
        <v>856</v>
      </c>
      <c r="H42" s="18"/>
      <c r="I42" s="18"/>
      <c r="L42" s="4">
        <v>4</v>
      </c>
      <c r="M42" s="60"/>
      <c r="N42" s="4"/>
      <c r="O42" s="61">
        <f>ROUNDDOWN(N42/2,0)</f>
        <v>0</v>
      </c>
      <c r="P42" s="60">
        <f t="shared" ref="P42:P49" si="4">MIN(SUM(L42,M42,O42),R42)</f>
        <v>4</v>
      </c>
      <c r="R42" s="61">
        <v>5</v>
      </c>
      <c r="T42" s="4">
        <v>1</v>
      </c>
      <c r="U42" s="4"/>
      <c r="V42" s="61">
        <f t="shared" ref="V42:V49" si="5">U42</f>
        <v>0</v>
      </c>
      <c r="W42" s="4"/>
      <c r="AI42" s="15" t="s">
        <v>18</v>
      </c>
      <c r="AJ42" s="61">
        <f t="shared" si="1"/>
        <v>2</v>
      </c>
      <c r="AK42" s="61">
        <f>AJ42+IFERROR(INDEX($V$26:$V$38,MATCH(AI42,$E$26:$E$38,0)),0)</f>
        <v>2</v>
      </c>
    </row>
    <row r="43" spans="1:37">
      <c r="A43" s="1" t="s">
        <v>42</v>
      </c>
      <c r="B43" t="str">
        <f>REPT("●",IFERROR(INDEX($P$42:$P$69,MATCH(tblCharDataEdna[[#This Row],[Field]],$E$42:$E$69,0)),0))&amp;REPT("○",IFERROR(INDEX($V$42:$V$69,MATCH(tblCharDataEdna[[#This Row],[Field]],$E$42:$E$69,0)),0))&amp;IF(IFERROR(INDEX($W$42:$W$69,MATCH(tblCharDataEdna[[#This Row],[Field]],$E$42:$E$69,0)),0)=1,"†","")</f>
        <v>●●</v>
      </c>
      <c r="D43" s="18"/>
      <c r="E43" s="15" t="s">
        <v>26</v>
      </c>
      <c r="F43" s="18"/>
      <c r="G43" s="3"/>
      <c r="H43" s="18"/>
      <c r="I43" s="18"/>
      <c r="L43" s="4"/>
      <c r="M43" s="60"/>
      <c r="N43" s="4"/>
      <c r="O43" s="61">
        <f t="shared" ref="O43:O49" si="6">ROUNDDOWN(N43/2,0)</f>
        <v>0</v>
      </c>
      <c r="P43" s="60">
        <f t="shared" si="4"/>
        <v>0</v>
      </c>
      <c r="R43" s="61">
        <v>5</v>
      </c>
      <c r="T43" s="4"/>
      <c r="U43" s="4"/>
      <c r="V43" s="61">
        <f t="shared" si="5"/>
        <v>0</v>
      </c>
      <c r="W43" s="4"/>
      <c r="AI43" s="15" t="s">
        <v>32</v>
      </c>
      <c r="AJ43" s="61">
        <f t="shared" si="1"/>
        <v>0</v>
      </c>
      <c r="AK43" s="61">
        <f>IF(AJ43=0,IF(COUNTIF($E$42:$E$49,AI43)&gt;0,-3,-1),AJ43)</f>
        <v>-3</v>
      </c>
    </row>
    <row r="44" spans="1:37">
      <c r="A44" s="1" t="s">
        <v>43</v>
      </c>
      <c r="B44" t="str">
        <f>REPT("●",IFERROR(INDEX($P$42:$P$69,MATCH(tblCharDataEdna[[#This Row],[Field]],$E$42:$E$69,0)),0))&amp;REPT("○",IFERROR(INDEX($V$42:$V$69,MATCH(tblCharDataEdna[[#This Row],[Field]],$E$42:$E$69,0)),0))&amp;IF(IFERROR(INDEX($W$42:$W$69,MATCH(tblCharDataEdna[[#This Row],[Field]],$E$42:$E$69,0)),0)=1,"†","")</f>
        <v>●●●</v>
      </c>
      <c r="D44" s="18"/>
      <c r="E44" s="15" t="s">
        <v>27</v>
      </c>
      <c r="F44" s="18"/>
      <c r="G44" s="3"/>
      <c r="H44" s="18"/>
      <c r="I44" s="18"/>
      <c r="L44" s="4">
        <v>2</v>
      </c>
      <c r="M44" s="60"/>
      <c r="N44" s="4"/>
      <c r="O44" s="61">
        <f t="shared" si="6"/>
        <v>0</v>
      </c>
      <c r="P44" s="60">
        <f t="shared" si="4"/>
        <v>2</v>
      </c>
      <c r="R44" s="61">
        <v>5</v>
      </c>
      <c r="T44" s="4"/>
      <c r="U44" s="4"/>
      <c r="V44" s="61">
        <f t="shared" si="5"/>
        <v>0</v>
      </c>
      <c r="W44" s="4"/>
      <c r="Y44" s="15">
        <v>1</v>
      </c>
      <c r="Z44" s="61" t="s">
        <v>236</v>
      </c>
      <c r="AA44" s="60" t="str" cm="1">
        <f t="array" ref="AA44">IF(OR(Y44=0,Y44=""),"",IF(VLOOKUP(Z44,$AI$1:$AJ$58,2,FALSE)&gt;=Y44,INDEX(tblDisciplines[Name],MATCH(1,(tblDisciplines[Discipline]=Z44)*(tblDisciplines[Rank]=Y44),0)),""))</f>
        <v/>
      </c>
      <c r="AC44" s="60" t="str" cm="1">
        <f t="array" ref="AC44:AC51">IFERROR(_xlfn.VSTACK(IFERROR(_xlfn._xlws.FILTER(AA44:AA121,AA44:AA121&lt;&gt;""),""),IFERROR(_xlfn._xlws.SORT(_xlfn._xlws.FILTER(AA123:AA132,AA123:AA132&lt;&gt;"")),"")),"")</f>
        <v>Dread Presence</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Nightmare ● | Dread Presence</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  •  Pool: -  •  Instant  •  Scene</v>
      </c>
      <c r="AF44" s="20" t="str">
        <f>IF(AC44="","",IFERROR(VLOOKUP(AC44,tblDisciplines[],12,FALSE),VLOOKUP(AC44,tblPacts[],5,FALSE)))</f>
        <v>Conjure brief illusions. Improve Intimidation. Prevent foes spending Willpower.</v>
      </c>
      <c r="AI44" s="15" t="s">
        <v>353</v>
      </c>
      <c r="AJ44" s="61">
        <f t="shared" si="1"/>
        <v>5</v>
      </c>
      <c r="AK44" s="61">
        <f>AJ44</f>
        <v>5</v>
      </c>
    </row>
    <row r="45" spans="1:37">
      <c r="A45" s="1" t="s">
        <v>44</v>
      </c>
      <c r="B45" t="str">
        <f>REPT("●",IFERROR(INDEX($P$42:$P$69,MATCH(tblCharDataEdna[[#This Row],[Field]],$E$42:$E$69,0)),0))&amp;REPT("○",IFERROR(INDEX($V$42:$V$69,MATCH(tblCharDataEdna[[#This Row],[Field]],$E$42:$E$69,0)),0))&amp;IF(IFERROR(INDEX($W$42:$W$69,MATCH(tblCharDataEdna[[#This Row],[Field]],$E$42:$E$69,0)),0)=1,"†","")</f>
        <v>●●●</v>
      </c>
      <c r="D45" s="18"/>
      <c r="E45" s="15" t="s">
        <v>28</v>
      </c>
      <c r="F45" s="18"/>
      <c r="G45" s="3"/>
      <c r="H45" s="18"/>
      <c r="I45" s="18"/>
      <c r="L45" s="4"/>
      <c r="M45" s="60"/>
      <c r="N45" s="4"/>
      <c r="O45" s="61">
        <f t="shared" si="6"/>
        <v>0</v>
      </c>
      <c r="P45" s="60">
        <f t="shared" si="4"/>
        <v>0</v>
      </c>
      <c r="R45" s="61">
        <v>5</v>
      </c>
      <c r="T45" s="4"/>
      <c r="U45" s="4"/>
      <c r="V45" s="61">
        <f t="shared" si="5"/>
        <v>0</v>
      </c>
      <c r="W45" s="4"/>
      <c r="Y45" s="15">
        <v>2</v>
      </c>
      <c r="Z45" s="61" t="s">
        <v>236</v>
      </c>
      <c r="AA45" s="60" t="str" cm="1">
        <f t="array" ref="AA45">IF(OR(Y45=0,Y45=""),"",IF(VLOOKUP(Z45,$AI$1:$AJ$58,2,FALSE)&gt;=Y45,INDEX(tblDisciplines[Name],MATCH(1,(tblDisciplines[Discipline]=Z45)*(tblDisciplines[Rank]=Y45),0)),""))</f>
        <v/>
      </c>
      <c r="AC45" s="60" t="str">
        <v>Face of the Beast</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Nightmare ●● | Face of the Beast</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1 V  •  Pool: 7  v Composure + BP  •  Contested  •  Instant</v>
      </c>
      <c r="AF45" s="20" t="str">
        <f>IF(AC45="","",IFERROR(VLOOKUP(AC45,tblDisciplines[],12,FALSE),VLOOKUP(AC45,tblPacts[],5,FALSE)))</f>
        <v>Impose Frightened Condition. Cause fleeing.</v>
      </c>
      <c r="AI45" s="15" t="s">
        <v>46</v>
      </c>
      <c r="AJ45" s="61">
        <f t="shared" si="1"/>
        <v>0</v>
      </c>
      <c r="AK45" s="61">
        <f>IF(AJ45=0,IF(COUNTIF($E$42:$E$49,AI45)&gt;0,-3,-1),AJ45)</f>
        <v>-1</v>
      </c>
    </row>
    <row r="46" spans="1:37">
      <c r="A46" s="1" t="s">
        <v>45</v>
      </c>
      <c r="B46" t="str">
        <f>REPT("●",IFERROR(INDEX($P$42:$P$69,MATCH(tblCharDataEdna[[#This Row],[Field]],$E$42:$E$69,0)),0))&amp;REPT("○",IFERROR(INDEX($V$42:$V$69,MATCH(tblCharDataEdna[[#This Row],[Field]],$E$42:$E$69,0)),0))&amp;IF(IFERROR(INDEX($W$42:$W$69,MATCH(tblCharDataEdna[[#This Row],[Field]],$E$42:$E$69,0)),0)=1,"†","")</f>
        <v/>
      </c>
      <c r="D46" s="18"/>
      <c r="E46" s="15" t="s">
        <v>29</v>
      </c>
      <c r="F46" s="18"/>
      <c r="G46" s="3"/>
      <c r="H46" s="18"/>
      <c r="I46" s="18"/>
      <c r="L46" s="4"/>
      <c r="M46" s="60"/>
      <c r="N46" s="4"/>
      <c r="O46" s="61">
        <f t="shared" si="6"/>
        <v>0</v>
      </c>
      <c r="P46" s="60">
        <f t="shared" si="4"/>
        <v>0</v>
      </c>
      <c r="R46" s="61">
        <v>5</v>
      </c>
      <c r="T46" s="4"/>
      <c r="U46" s="4"/>
      <c r="V46" s="61">
        <f t="shared" si="5"/>
        <v>0</v>
      </c>
      <c r="W46" s="4"/>
      <c r="Y46" s="15">
        <v>3</v>
      </c>
      <c r="Z46" s="61" t="s">
        <v>236</v>
      </c>
      <c r="AA46" s="60" t="str" cm="1">
        <f t="array" ref="AA46">IF(OR(Y46=0,Y46=""),"",IF(VLOOKUP(Z46,$AI$1:$AJ$58,2,FALSE)&gt;=Y46,INDEX(tblDisciplines[Name],MATCH(1,(tblDisciplines[Discipline]=Z46)*(tblDisciplines[Rank]=Y46),0)),""))</f>
        <v/>
      </c>
      <c r="AC46" s="60" t="str">
        <v>Face in the Crowd</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Obfuscate ● | Face in the Crowd</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  •  Pool: -  •  Instant  •  Scene</v>
      </c>
      <c r="AF46" s="20" t="str">
        <f>IF(AC46="","",IFERROR(VLOOKUP(AC46,tblDisciplines[],12,FALSE),VLOOKUP(AC46,tblPacts[],5,FALSE)))</f>
        <v>Blend into surroundings, visible but unnoticeable. Predatory aura fully on or off. Leaving combat: Wits + Composure - Obfuscate to notice; auto Clash of Wills vs Auspex.</v>
      </c>
      <c r="AI46" s="15" t="s">
        <v>354</v>
      </c>
      <c r="AJ46" s="61">
        <f t="shared" ca="1" si="1"/>
        <v>8</v>
      </c>
      <c r="AK46" s="61">
        <f ca="1">AJ46</f>
        <v>8</v>
      </c>
    </row>
    <row r="47" spans="1:37">
      <c r="A47" s="1" t="s">
        <v>46</v>
      </c>
      <c r="B47" t="str">
        <f>REPT("●",IFERROR(INDEX($P$42:$P$69,MATCH(tblCharDataEdna[[#This Row],[Field]],$E$42:$E$69,0)),0))&amp;REPT("○",IFERROR(INDEX($V$42:$V$69,MATCH(tblCharDataEdna[[#This Row],[Field]],$E$42:$E$69,0)),0))&amp;IF(IFERROR(INDEX($W$42:$W$69,MATCH(tblCharDataEdna[[#This Row],[Field]],$E$42:$E$69,0)),0)=1,"†","")</f>
        <v/>
      </c>
      <c r="D47" s="18"/>
      <c r="E47" s="15" t="s">
        <v>30</v>
      </c>
      <c r="F47" s="18"/>
      <c r="G47" s="3"/>
      <c r="H47" s="18"/>
      <c r="I47" s="18"/>
      <c r="L47" s="4">
        <v>2</v>
      </c>
      <c r="M47" s="60"/>
      <c r="N47" s="4"/>
      <c r="O47" s="61">
        <f t="shared" si="6"/>
        <v>0</v>
      </c>
      <c r="P47" s="60">
        <f t="shared" si="4"/>
        <v>2</v>
      </c>
      <c r="R47" s="61">
        <v>5</v>
      </c>
      <c r="T47" s="4"/>
      <c r="U47" s="4"/>
      <c r="V47" s="61">
        <f t="shared" si="5"/>
        <v>0</v>
      </c>
      <c r="W47" s="4"/>
      <c r="Y47" s="15">
        <v>4</v>
      </c>
      <c r="Z47" s="61" t="s">
        <v>236</v>
      </c>
      <c r="AA47" s="60" t="str" cm="1">
        <f t="array" ref="AA47">IF(OR(Y47=0,Y47=""),"",IF(VLOOKUP(Z47,$AI$1:$AJ$58,2,FALSE)&gt;=Y47,INDEX(tblDisciplines[Name],MATCH(1,(tblDisciplines[Discipline]=Z47)*(tblDisciplines[Rank]=Y47),0)),""))</f>
        <v/>
      </c>
      <c r="AC47" s="60" t="str">
        <v>Touch of Shadow</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Obfuscate ●● | Touch of Shadow</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Cost: 1 V  •  Pool: 7  •  Instant  •  Scene</v>
      </c>
      <c r="AF47" s="20" t="str">
        <f>IF(AC47="","",IFERROR(VLOOKUP(AC47,tblDisciplines[],12,FALSE),VLOOKUP(AC47,tblPacts[],5,FALSE)))</f>
        <v>Cast Face in the Crowd on object or person. Free and unlimited duration on carried/worn objects if not drawing attention.</v>
      </c>
      <c r="AI47" s="15" t="s">
        <v>21</v>
      </c>
      <c r="AJ47" s="61">
        <f t="shared" si="1"/>
        <v>3</v>
      </c>
      <c r="AK47" s="61">
        <f>AJ47+IFERROR(INDEX($V$26:$V$38,MATCH(AI47,$E$26:$E$38,0)),0)</f>
        <v>3</v>
      </c>
    </row>
    <row r="48" spans="1:37">
      <c r="A48" s="1" t="s">
        <v>47</v>
      </c>
      <c r="B48" t="str">
        <f>REPT("●",IFERROR(INDEX($P$42:$P$69,MATCH(tblCharDataEdna[[#This Row],[Field]],$E$42:$E$69,0)),0))&amp;REPT("○",IFERROR(INDEX($V$42:$V$69,MATCH(tblCharDataEdna[[#This Row],[Field]],$E$42:$E$69,0)),0))&amp;IF(IFERROR(INDEX($W$42:$W$69,MATCH(tblCharDataEdna[[#This Row],[Field]],$E$42:$E$69,0)),0)=1,"†","")</f>
        <v/>
      </c>
      <c r="D48" s="18"/>
      <c r="E48" s="15" t="s">
        <v>31</v>
      </c>
      <c r="F48" s="18"/>
      <c r="G48" s="3"/>
      <c r="H48" s="18"/>
      <c r="I48" s="18"/>
      <c r="L48" s="4">
        <v>3</v>
      </c>
      <c r="M48" s="60"/>
      <c r="N48" s="4"/>
      <c r="O48" s="61">
        <f t="shared" si="6"/>
        <v>0</v>
      </c>
      <c r="P48" s="60">
        <f t="shared" si="4"/>
        <v>3</v>
      </c>
      <c r="R48" s="61">
        <v>5</v>
      </c>
      <c r="T48" s="4"/>
      <c r="U48" s="4"/>
      <c r="V48" s="61">
        <f t="shared" si="5"/>
        <v>0</v>
      </c>
      <c r="W48" s="4"/>
      <c r="Y48" s="15">
        <v>5</v>
      </c>
      <c r="Z48" s="61" t="s">
        <v>236</v>
      </c>
      <c r="AA48" s="60" t="str" cm="1">
        <f t="array" ref="AA48">IF(OR(Y48=0,Y48=""),"",IF(VLOOKUP(Z48,$AI$1:$AJ$58,2,FALSE)&gt;=Y48,INDEX(tblDisciplines[Name],MATCH(1,(tblDisciplines[Discipline]=Z48)*(tblDisciplines[Rank]=Y48),0)),""))</f>
        <v/>
      </c>
      <c r="AC48" s="60" t="str">
        <v>Divination 1</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Blood Sorcery | Divination ●</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v>
      </c>
      <c r="AF48" s="20" t="str">
        <f>IF(AC48="","",IFERROR(VLOOKUP(AC48,tblDisciplines[],12,FALSE),VLOOKUP(AC48,tblPacts[],5,FALSE)))</f>
        <v>Glimpse fragmented details about intended actions. Learn basic info about a target.</v>
      </c>
      <c r="AI48" s="15" t="s">
        <v>38</v>
      </c>
      <c r="AJ48" s="61">
        <f t="shared" si="1"/>
        <v>2</v>
      </c>
      <c r="AK48" s="61">
        <f>IF(AJ48=0,IF(COUNTIF($E$42:$E$49,AI48)&gt;0,-3,-1),AJ48)</f>
        <v>2</v>
      </c>
    </row>
    <row r="49" spans="1:37">
      <c r="A49" s="1" t="s">
        <v>48</v>
      </c>
      <c r="B49" t="str">
        <f>REPT("●",IFERROR(INDEX($P$42:$P$69,MATCH(tblCharDataEdna[[#This Row],[Field]],$E$42:$E$69,0)),0))&amp;REPT("○",IFERROR(INDEX($V$42:$V$69,MATCH(tblCharDataEdna[[#This Row],[Field]],$E$42:$E$69,0)),0))&amp;IF(IFERROR(INDEX($W$42:$W$69,MATCH(tblCharDataEdna[[#This Row],[Field]],$E$42:$E$69,0)),0)=1,"†","")</f>
        <v>●●</v>
      </c>
      <c r="D49" s="18"/>
      <c r="E49" s="15" t="s">
        <v>32</v>
      </c>
      <c r="F49" s="18"/>
      <c r="G49" s="3"/>
      <c r="H49" s="18"/>
      <c r="I49" s="18"/>
      <c r="L49" s="4"/>
      <c r="M49" s="60"/>
      <c r="N49" s="4"/>
      <c r="O49" s="61">
        <f t="shared" si="6"/>
        <v>0</v>
      </c>
      <c r="P49" s="60">
        <f t="shared" si="4"/>
        <v>0</v>
      </c>
      <c r="R49" s="61">
        <v>5</v>
      </c>
      <c r="T49" s="4"/>
      <c r="U49" s="4"/>
      <c r="V49" s="61">
        <f t="shared" si="5"/>
        <v>0</v>
      </c>
      <c r="W49" s="4"/>
      <c r="Y49" s="15">
        <v>1</v>
      </c>
      <c r="Z49" s="61" t="s">
        <v>237</v>
      </c>
      <c r="AA49" s="60" t="str" cm="1">
        <f t="array" ref="AA49">IF(OR(Y49=0,Y49=""),"",IF(VLOOKUP(Z49,$AI$1:$AJ$58,2,FALSE)&gt;=Y49,INDEX(tblDisciplines[Name],MATCH(1,(tblDisciplines[Discipline]=Z49)*(tblDisciplines[Rank]=Y49),0)),""))</f>
        <v/>
      </c>
      <c r="AC49" s="60" t="str">
        <v>Protection 1</v>
      </c>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Blood Sorcery | Protection ●</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v>
      </c>
      <c r="AF49" s="20" t="str">
        <f>IF(AC49="","",IFERROR(VLOOKUP(AC49,tblDisciplines[],12,FALSE),VLOOKUP(AC49,tblPacts[],5,FALSE)))</f>
        <v>Subtract Potency from ritual rolls targeting subject. Heal bashing in vampires. Protect from the Kiss (add Potency to resistance).</v>
      </c>
      <c r="AI49" s="15" t="s">
        <v>47</v>
      </c>
      <c r="AJ49" s="61">
        <f t="shared" si="1"/>
        <v>0</v>
      </c>
      <c r="AK49" s="61">
        <f>IF(AJ49=0,IF(COUNTIF($E$42:$E$49,AI49)&gt;0,-3,-1),AJ49)</f>
        <v>-1</v>
      </c>
    </row>
    <row r="50" spans="1:37">
      <c r="A50" s="1" t="s">
        <v>49</v>
      </c>
      <c r="B50" t="str">
        <f ca="1">REPT("●",VLOOKUP(tblCharDataEdna[[#This Row],[Field]],INDIRECT($AH$1),2,FALSE)) &amp; REPT("○",10-VLOOKUP(tblCharDataEdna[[#This Row],[Field]],INDIRECT($AH$1),2,FALSE)) &amp; REPT("○",10-VLOOKUP(tblCharDataEdna[[#This Row],[Field]],INDIRECT($AH$1),2,FALSE))</f>
        <v>●○○○○○○○○○○○○○○○○○○</v>
      </c>
      <c r="Y50" s="15">
        <v>2</v>
      </c>
      <c r="Z50" s="61" t="s">
        <v>237</v>
      </c>
      <c r="AA50" s="60" t="str" cm="1">
        <f t="array" ref="AA50">IF(OR(Y50=0,Y50=""),"",IF(VLOOKUP(Z50,$AI$1:$AJ$58,2,FALSE)&gt;=Y50,INDEX(tblDisciplines[Name],MATCH(1,(tblDisciplines[Discipline]=Z50)*(tblDisciplines[Rank]=Y50),0)),""))</f>
        <v/>
      </c>
      <c r="AC50" s="60" t="str">
        <v>Transmutation 1</v>
      </c>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Blood Sorcery | Transmutation ●</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v>
      </c>
      <c r="AF50" s="20" t="str">
        <f>IF(AC50="","",IFERROR(VLOOKUP(AC50,tblDisciplines[],12,FALSE),VLOOKUP(AC50,tblPacts[],5,FALSE)))</f>
        <v>Minor cosmetic changes to living subjects. Warp dead matter. Animate liquids.</v>
      </c>
      <c r="AI50" s="15" t="s">
        <v>19</v>
      </c>
      <c r="AJ50" s="61">
        <f t="shared" si="1"/>
        <v>1</v>
      </c>
      <c r="AK50" s="61">
        <f>AJ50+IFERROR(INDEX($V$26:$V$38,MATCH(AI50,$E$26:$E$38,0)),0)</f>
        <v>1</v>
      </c>
    </row>
    <row r="51" spans="1:37">
      <c r="A51" s="1" t="s">
        <v>50</v>
      </c>
      <c r="B51">
        <f>P72</f>
        <v>1</v>
      </c>
      <c r="D51" s="16" t="s">
        <v>1453</v>
      </c>
      <c r="E51" s="17"/>
      <c r="F51" s="17"/>
      <c r="G51" s="17" t="s">
        <v>1467</v>
      </c>
      <c r="H51" s="16" t="s">
        <v>1446</v>
      </c>
      <c r="I51" s="3" t="s">
        <v>1566</v>
      </c>
      <c r="L51" s="60">
        <f>IF(I51="",0,VLOOKUP(I51,tblPriority[#Data],3,FALSE))-SUM(L52:L59)</f>
        <v>0</v>
      </c>
      <c r="Y51" s="15">
        <v>3</v>
      </c>
      <c r="Z51" s="61" t="s">
        <v>237</v>
      </c>
      <c r="AA51" s="60" t="str" cm="1">
        <f t="array" ref="AA51">IF(OR(Y51=0,Y51=""),"",IF(VLOOKUP(Z51,$AI$1:$AJ$58,2,FALSE)&gt;=Y51,INDEX(tblDisciplines[Name],MATCH(1,(tblDisciplines[Discipline]=Z51)*(tblDisciplines[Rank]=Y51),0)),""))</f>
        <v/>
      </c>
      <c r="AC51" s="60" t="str">
        <v/>
      </c>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
      </c>
      <c r="AF51" s="20" t="str">
        <f>IF(AC51="","",IFERROR(VLOOKUP(AC51,tblDisciplines[],12,FALSE),VLOOKUP(AC51,tblPacts[],5,FALSE)))</f>
        <v/>
      </c>
      <c r="AI51" s="15" t="s">
        <v>48</v>
      </c>
      <c r="AJ51" s="61">
        <f t="shared" si="1"/>
        <v>2</v>
      </c>
      <c r="AK51" s="61">
        <f>IF(AJ51=0,IF(COUNTIF($E$42:$E$49,AI51)&gt;0,-3,-1),AJ51)</f>
        <v>2</v>
      </c>
    </row>
    <row r="52" spans="1:37">
      <c r="A52" s="1" t="s">
        <v>51</v>
      </c>
      <c r="B52" t="str">
        <f>_xlfn.IFNA(VLOOKUP(P72,tblBloodPotency[#Data],5,FALSE),"")</f>
        <v/>
      </c>
      <c r="D52" s="18"/>
      <c r="E52" s="15" t="s">
        <v>33</v>
      </c>
      <c r="F52" s="18"/>
      <c r="G52" s="3"/>
      <c r="H52" s="18"/>
      <c r="I52" s="18"/>
      <c r="L52" s="4"/>
      <c r="M52" s="60"/>
      <c r="N52" s="4"/>
      <c r="O52" s="61">
        <f>ROUNDDOWN(N52/2,0)</f>
        <v>0</v>
      </c>
      <c r="P52" s="60">
        <f t="shared" ref="P52:P59" si="7">MIN(SUM(L52,M52,O52),R52)</f>
        <v>0</v>
      </c>
      <c r="R52" s="61">
        <v>5</v>
      </c>
      <c r="T52" s="4"/>
      <c r="U52" s="4"/>
      <c r="V52" s="61">
        <f t="shared" ref="V52:V59" si="8">U52</f>
        <v>0</v>
      </c>
      <c r="W52" s="4"/>
      <c r="Y52" s="15">
        <v>4</v>
      </c>
      <c r="Z52" s="61" t="s">
        <v>237</v>
      </c>
      <c r="AA52" s="60" t="str" cm="1">
        <f t="array" ref="AA52">IF(OR(Y52=0,Y52=""),"",IF(VLOOKUP(Z52,$AI$1:$AJ$58,2,FALSE)&gt;=Y52,INDEX(tblDisciplines[Name],MATCH(1,(tblDisciplines[Discipline]=Z52)*(tblDisciplines[Rank]=Y52),0)),""))</f>
        <v/>
      </c>
      <c r="AC52" s="60"/>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
      </c>
      <c r="AF52" s="20" t="str">
        <f>IF(AC52="","",IFERROR(VLOOKUP(AC52,tblDisciplines[],12,FALSE),VLOOKUP(AC52,tblPacts[],5,FALSE)))</f>
        <v/>
      </c>
      <c r="AI52" s="15" t="s">
        <v>39</v>
      </c>
      <c r="AJ52" s="61">
        <f t="shared" si="1"/>
        <v>0</v>
      </c>
      <c r="AK52" s="61">
        <f>IF(AJ52=0,IF(COUNTIF($E$42:$E$49,AI52)&gt;0,-3,-1),AJ52)</f>
        <v>-1</v>
      </c>
    </row>
    <row r="53" spans="1:37">
      <c r="A53" s="1" t="s">
        <v>52</v>
      </c>
      <c r="B53" t="str">
        <f ca="1">REPT("□",P221) &amp; REPT("■",15-P221)</f>
        <v>□□□□□□□□■■■■■■■</v>
      </c>
      <c r="D53" s="18"/>
      <c r="E53" s="15" t="s">
        <v>34</v>
      </c>
      <c r="F53" s="18"/>
      <c r="G53" s="3"/>
      <c r="H53" s="18"/>
      <c r="I53" s="18"/>
      <c r="L53" s="4"/>
      <c r="M53" s="60"/>
      <c r="N53" s="4"/>
      <c r="O53" s="61">
        <f t="shared" ref="O53:O59" si="9">ROUNDDOWN(N53/2,0)</f>
        <v>0</v>
      </c>
      <c r="P53" s="60">
        <f t="shared" si="7"/>
        <v>0</v>
      </c>
      <c r="R53" s="61">
        <v>5</v>
      </c>
      <c r="T53" s="4"/>
      <c r="U53" s="4"/>
      <c r="V53" s="61">
        <f t="shared" si="8"/>
        <v>0</v>
      </c>
      <c r="W53" s="4"/>
      <c r="Y53" s="15">
        <v>5</v>
      </c>
      <c r="Z53" s="61" t="s">
        <v>237</v>
      </c>
      <c r="AA53" s="60" t="str" cm="1">
        <f t="array" ref="AA53">IF(OR(Y53=0,Y53=""),"",IF(VLOOKUP(Z53,$AI$1:$AJ$58,2,FALSE)&gt;=Y53,INDEX(tblDisciplines[Name],MATCH(1,(tblDisciplines[Discipline]=Z53)*(tblDisciplines[Rank]=Y53),0)),""))</f>
        <v/>
      </c>
      <c r="AC53" s="60"/>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
      </c>
      <c r="AF53" s="20" t="str">
        <f>IF(AC53="","",IFERROR(VLOOKUP(AC53,tblDisciplines[],12,FALSE),VLOOKUP(AC53,tblPacts[],5,FALSE)))</f>
        <v/>
      </c>
      <c r="AI53" s="15" t="s">
        <v>247</v>
      </c>
      <c r="AJ53" s="61">
        <f t="shared" si="1"/>
        <v>1</v>
      </c>
      <c r="AK53" s="61">
        <f>AJ53</f>
        <v>1</v>
      </c>
    </row>
    <row r="54" spans="1:37">
      <c r="A54" s="1" t="s">
        <v>53</v>
      </c>
      <c r="B54" t="str">
        <f>_xlfn.CONCAT(P74-L224," / ",P74)</f>
        <v>6 / 6</v>
      </c>
      <c r="D54" s="18"/>
      <c r="E54" s="15" t="s">
        <v>35</v>
      </c>
      <c r="F54" s="18"/>
      <c r="G54" s="3"/>
      <c r="H54" s="18"/>
      <c r="I54" s="18"/>
      <c r="L54" s="4"/>
      <c r="M54" s="60"/>
      <c r="N54" s="4"/>
      <c r="O54" s="61">
        <f t="shared" si="9"/>
        <v>0</v>
      </c>
      <c r="P54" s="60">
        <f t="shared" si="7"/>
        <v>0</v>
      </c>
      <c r="R54" s="61">
        <v>5</v>
      </c>
      <c r="T54" s="4"/>
      <c r="U54" s="4"/>
      <c r="V54" s="61">
        <f t="shared" si="8"/>
        <v>0</v>
      </c>
      <c r="W54" s="4"/>
      <c r="Y54" s="15">
        <f>P167</f>
        <v>0</v>
      </c>
      <c r="Z54" s="61" t="s">
        <v>238</v>
      </c>
      <c r="AA54" s="60" t="str" cm="1">
        <f t="array" ref="AA54">IF(OR(Y54=0,Y54=""),"",IF(VLOOKUP(Z54,$AI$1:$AJ$58,2,FALSE)&gt;=Y54,INDEX(tblDisciplines[Name],MATCH(1,(tblDisciplines[Discipline]=Z54)*(tblDisciplines[Rank]=Y54),0)),""))</f>
        <v/>
      </c>
      <c r="AC54" s="60"/>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
      </c>
      <c r="AF54" s="20" t="str">
        <f>IF(AC54="","",IFERROR(VLOOKUP(AC54,tblDisciplines[],12,FALSE),VLOOKUP(AC54,tblPacts[],5,FALSE)))</f>
        <v/>
      </c>
      <c r="AI54" s="15" t="s">
        <v>252</v>
      </c>
      <c r="AJ54" s="61">
        <f t="shared" si="1"/>
        <v>1</v>
      </c>
      <c r="AK54" s="61">
        <f>AJ54</f>
        <v>1</v>
      </c>
    </row>
    <row r="55" spans="1:37">
      <c r="A55" s="1" t="s">
        <v>54</v>
      </c>
      <c r="B55" t="str">
        <f>REPT("□",P74) &amp; REPT("■",10-P74)</f>
        <v>□□□□□□■■■■</v>
      </c>
      <c r="D55" s="18"/>
      <c r="E55" s="15" t="s">
        <v>36</v>
      </c>
      <c r="F55" s="18"/>
      <c r="G55" s="3"/>
      <c r="H55" s="18"/>
      <c r="I55" s="18"/>
      <c r="L55" s="4"/>
      <c r="M55" s="60"/>
      <c r="N55" s="4"/>
      <c r="O55" s="61">
        <f t="shared" si="9"/>
        <v>0</v>
      </c>
      <c r="P55" s="60">
        <f t="shared" si="7"/>
        <v>0</v>
      </c>
      <c r="R55" s="61">
        <v>5</v>
      </c>
      <c r="T55" s="4"/>
      <c r="U55" s="4"/>
      <c r="V55" s="61">
        <f t="shared" si="8"/>
        <v>0</v>
      </c>
      <c r="W55" s="4"/>
      <c r="Y55" s="15">
        <v>1</v>
      </c>
      <c r="Z55" s="61" t="s">
        <v>239</v>
      </c>
      <c r="AA55" s="60" t="str" cm="1">
        <f t="array" ref="AA55">IF(OR(Y55=0,Y55=""),"",IF(VLOOKUP(Z55,$AI$1:$AJ$58,2,FALSE)&gt;=Y55,INDEX(tblDisciplines[Name],MATCH(1,(tblDisciplines[Discipline]=Z55)*(tblDisciplines[Rank]=Y55),0)),""))</f>
        <v/>
      </c>
      <c r="AC55" s="60"/>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
      </c>
      <c r="AF55" s="20" t="str">
        <f>IF(AC55="","",IFERROR(VLOOKUP(AC55,tblDisciplines[],12,FALSE),VLOOKUP(AC55,tblPacts[],5,FALSE)))</f>
        <v/>
      </c>
      <c r="AI55" s="15" t="s">
        <v>245</v>
      </c>
      <c r="AJ55" s="61">
        <f t="shared" si="1"/>
        <v>0</v>
      </c>
      <c r="AK55" s="61">
        <f>AJ55+IFERROR(INDEX($V$26:$V$38,MATCH(AI55,$E$26:$E$38,0)),0)</f>
        <v>0</v>
      </c>
    </row>
    <row r="56" spans="1:37">
      <c r="A56" s="1" t="s">
        <v>55</v>
      </c>
      <c r="B56" t="str">
        <f ca="1">_xlfn.CONCAT(P75-L223," / ",P75)</f>
        <v>9 / 10</v>
      </c>
      <c r="D56" s="19"/>
      <c r="E56" s="15" t="s">
        <v>37</v>
      </c>
      <c r="F56" s="18"/>
      <c r="G56" s="3" t="s">
        <v>857</v>
      </c>
      <c r="H56" s="18"/>
      <c r="I56" s="18"/>
      <c r="L56" s="4">
        <v>2</v>
      </c>
      <c r="M56" s="60"/>
      <c r="N56" s="4"/>
      <c r="O56" s="61">
        <f t="shared" si="9"/>
        <v>0</v>
      </c>
      <c r="P56" s="60">
        <f t="shared" si="7"/>
        <v>2</v>
      </c>
      <c r="R56" s="61">
        <v>5</v>
      </c>
      <c r="T56" s="4">
        <v>1</v>
      </c>
      <c r="U56" s="4"/>
      <c r="V56" s="61">
        <f t="shared" si="8"/>
        <v>0</v>
      </c>
      <c r="W56" s="4"/>
      <c r="Y56" s="15">
        <v>2</v>
      </c>
      <c r="Z56" s="61" t="s">
        <v>239</v>
      </c>
      <c r="AA56" s="60" t="str" cm="1">
        <f t="array" ref="AA56">IF(OR(Y56=0,Y56=""),"",IF(VLOOKUP(Z56,$AI$1:$AJ$58,2,FALSE)&gt;=Y56,INDEX(tblDisciplines[Name],MATCH(1,(tblDisciplines[Discipline]=Z56)*(tblDisciplines[Rank]=Y56),0)),""))</f>
        <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1"/>
        <v>0</v>
      </c>
      <c r="AK56" s="61">
        <f>IF(AJ56=0,IF(COUNTIF($E$42:$E$49,AI56)&gt;0,-3,-1),AJ56)</f>
        <v>-1</v>
      </c>
    </row>
    <row r="57" spans="1:37">
      <c r="A57" s="1" t="s">
        <v>56</v>
      </c>
      <c r="B57" t="str">
        <f ca="1">REPT("□",P75-L223) &amp; REPT("■",20-P75+L223)</f>
        <v>□□□□□□□□□■■■■■■■■■■■</v>
      </c>
      <c r="D57" s="19"/>
      <c r="E57" s="15" t="s">
        <v>38</v>
      </c>
      <c r="F57" s="18"/>
      <c r="G57" s="3"/>
      <c r="H57" s="18"/>
      <c r="I57" s="18"/>
      <c r="L57" s="4">
        <v>2</v>
      </c>
      <c r="M57" s="60"/>
      <c r="N57" s="4"/>
      <c r="O57" s="61">
        <f t="shared" si="9"/>
        <v>0</v>
      </c>
      <c r="P57" s="60">
        <f t="shared" si="7"/>
        <v>2</v>
      </c>
      <c r="R57" s="61">
        <v>5</v>
      </c>
      <c r="T57" s="4"/>
      <c r="U57" s="4"/>
      <c r="V57" s="61">
        <f t="shared" si="8"/>
        <v>0</v>
      </c>
      <c r="W57" s="4"/>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1"/>
        <v>6</v>
      </c>
      <c r="AK57" s="61">
        <f>AJ57</f>
        <v>6</v>
      </c>
    </row>
    <row r="58" spans="1:37">
      <c r="A58" s="1" t="s">
        <v>57</v>
      </c>
      <c r="B58">
        <f ca="1">VLOOKUP(VLOOKUP("Blood Potency", INDIRECT($AH$1),2,FALSE),tblBloodPotency[#Data],3,FALSE)</f>
        <v>1</v>
      </c>
      <c r="D58" s="19"/>
      <c r="E58" s="15" t="s">
        <v>39</v>
      </c>
      <c r="F58" s="18"/>
      <c r="G58" s="3"/>
      <c r="H58" s="18"/>
      <c r="I58" s="18"/>
      <c r="L58" s="4"/>
      <c r="M58" s="60"/>
      <c r="N58" s="4"/>
      <c r="O58" s="61">
        <f t="shared" si="9"/>
        <v>0</v>
      </c>
      <c r="P58" s="60">
        <f t="shared" si="7"/>
        <v>0</v>
      </c>
      <c r="R58" s="61">
        <v>5</v>
      </c>
      <c r="T58" s="4"/>
      <c r="U58" s="4"/>
      <c r="V58" s="61">
        <f t="shared" si="8"/>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1"/>
        <v>3</v>
      </c>
      <c r="AK58" s="61">
        <f>AJ58+IFERROR(INDEX($V$26:$V$38,MATCH(AI58,$E$26:$E$38,0)),0)</f>
        <v>3</v>
      </c>
    </row>
    <row r="59" spans="1:37">
      <c r="A59" s="1" t="s">
        <v>58</v>
      </c>
      <c r="B59" t="str">
        <f ca="1">VLOOKUP(VLOOKUP("Blood Potency", INDIRECT($AH$1),2,FALSE),tblBloodPotency[#Data],4,FALSE)</f>
        <v>Animals</v>
      </c>
      <c r="D59" s="19"/>
      <c r="E59" s="15" t="s">
        <v>40</v>
      </c>
      <c r="F59" s="18"/>
      <c r="G59" s="3"/>
      <c r="H59" s="18"/>
      <c r="I59" s="18"/>
      <c r="L59" s="4"/>
      <c r="M59" s="60"/>
      <c r="N59" s="4"/>
      <c r="O59" s="61">
        <f t="shared" si="9"/>
        <v>0</v>
      </c>
      <c r="P59" s="60">
        <f t="shared" si="7"/>
        <v>0</v>
      </c>
      <c r="R59" s="61">
        <v>5</v>
      </c>
      <c r="T59" s="4"/>
      <c r="U59" s="4"/>
      <c r="V59" s="61">
        <f t="shared" si="8"/>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0">IFERROR(IF(VLOOKUP(SUBSTITUTE(A60," Spec",""),$E$42:$G$69,3,FALSE)=0,"",VLOOKUP(SUBSTITUTE(A60," Spec",""),$E$42:$G$69,3,FALSE)),"")</f>
        <v>Religion</v>
      </c>
      <c r="Y60" s="15">
        <v>1</v>
      </c>
      <c r="Z60" s="61" t="s">
        <v>240</v>
      </c>
      <c r="AA60" s="60" t="str" cm="1">
        <f t="array" ref="AA60">IF(OR(Y60=0,Y60=""),"",IF(VLOOKUP(Z60,$AI$1:$AJ$58,2,FALSE)&gt;=Y60,INDEX(tblDisciplines[Name],MATCH(1,(tblDisciplines[Discipline]=Z60)*(tblDisciplines[Rank]=Y60),0)),""))</f>
        <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0"/>
        <v/>
      </c>
      <c r="D61" s="16" t="s">
        <v>1459</v>
      </c>
      <c r="E61" s="17"/>
      <c r="F61" s="17"/>
      <c r="G61" s="17" t="s">
        <v>1467</v>
      </c>
      <c r="H61" s="16" t="s">
        <v>1446</v>
      </c>
      <c r="I61" s="3" t="s">
        <v>1567</v>
      </c>
      <c r="L61" s="60">
        <f>IF(I61="",0,VLOOKUP(I61,tblPriority[#Data],3,FALSE))-SUM(L62:L69)</f>
        <v>0</v>
      </c>
      <c r="Y61" s="15">
        <v>2</v>
      </c>
      <c r="Z61" s="61" t="s">
        <v>240</v>
      </c>
      <c r="AA61" s="60" t="str" cm="1">
        <f t="array" ref="AA61">IF(OR(Y61=0,Y61=""),"",IF(VLOOKUP(Z61,$AI$1:$AJ$58,2,FALSE)&gt;=Y61,INDEX(tblDisciplines[Name],MATCH(1,(tblDisciplines[Discipline]=Z61)*(tblDisciplines[Rank]=Y61),0)),""))</f>
        <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0"/>
        <v/>
      </c>
      <c r="D62" s="18"/>
      <c r="E62" s="15" t="s">
        <v>41</v>
      </c>
      <c r="F62" s="18"/>
      <c r="G62" s="3"/>
      <c r="H62" s="18"/>
      <c r="I62" s="18"/>
      <c r="L62" s="4"/>
      <c r="M62" s="60"/>
      <c r="N62" s="4"/>
      <c r="O62" s="61">
        <f>ROUNDDOWN(N62/2,0)</f>
        <v>0</v>
      </c>
      <c r="P62" s="60">
        <f t="shared" ref="P62:P69" si="11">MIN(SUM(L62,M62,O62),R62)</f>
        <v>0</v>
      </c>
      <c r="R62" s="61">
        <v>5</v>
      </c>
      <c r="T62" s="4"/>
      <c r="U62" s="4"/>
      <c r="V62" s="61">
        <f t="shared" ref="V62:V69" si="12">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0"/>
        <v/>
      </c>
      <c r="D63" s="19"/>
      <c r="E63" s="15" t="s">
        <v>42</v>
      </c>
      <c r="F63" s="18"/>
      <c r="G63" s="3" t="s">
        <v>858</v>
      </c>
      <c r="H63" s="18"/>
      <c r="I63" s="18"/>
      <c r="L63" s="4">
        <v>2</v>
      </c>
      <c r="M63" s="60"/>
      <c r="N63" s="4"/>
      <c r="O63" s="61">
        <f t="shared" ref="O63:O69" si="13">ROUNDDOWN(N63/2,0)</f>
        <v>0</v>
      </c>
      <c r="P63" s="60">
        <f t="shared" si="11"/>
        <v>2</v>
      </c>
      <c r="R63" s="61">
        <v>5</v>
      </c>
      <c r="T63" s="4">
        <v>1</v>
      </c>
      <c r="U63" s="4"/>
      <c r="V63" s="61">
        <f t="shared" si="12"/>
        <v>0</v>
      </c>
      <c r="W63" s="4"/>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0"/>
        <v/>
      </c>
      <c r="D64" s="19"/>
      <c r="E64" s="15" t="s">
        <v>43</v>
      </c>
      <c r="F64" s="18"/>
      <c r="G64" s="3"/>
      <c r="H64" s="18"/>
      <c r="I64" s="18"/>
      <c r="L64" s="4"/>
      <c r="M64" s="60"/>
      <c r="N64" s="4">
        <v>6</v>
      </c>
      <c r="O64" s="61">
        <f t="shared" si="13"/>
        <v>3</v>
      </c>
      <c r="P64" s="60">
        <f t="shared" si="11"/>
        <v>3</v>
      </c>
      <c r="R64" s="61">
        <v>5</v>
      </c>
      <c r="T64" s="4"/>
      <c r="U64" s="4"/>
      <c r="V64" s="61">
        <f t="shared" si="12"/>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0"/>
        <v/>
      </c>
      <c r="D65" s="19"/>
      <c r="E65" s="15" t="s">
        <v>44</v>
      </c>
      <c r="F65" s="18"/>
      <c r="G65" s="3"/>
      <c r="H65" s="18"/>
      <c r="I65" s="18"/>
      <c r="L65" s="4">
        <v>3</v>
      </c>
      <c r="M65" s="60"/>
      <c r="N65" s="4"/>
      <c r="O65" s="61">
        <f t="shared" si="13"/>
        <v>0</v>
      </c>
      <c r="P65" s="60">
        <f t="shared" si="11"/>
        <v>3</v>
      </c>
      <c r="R65" s="61">
        <v>5</v>
      </c>
      <c r="T65" s="4"/>
      <c r="U65" s="4"/>
      <c r="V65" s="61">
        <f t="shared" si="12"/>
        <v>0</v>
      </c>
      <c r="W65" s="4"/>
      <c r="Y65" s="15">
        <v>1</v>
      </c>
      <c r="Z65" s="61" t="s">
        <v>241</v>
      </c>
      <c r="AA65" s="60" t="str" cm="1">
        <f t="array" ref="AA65">IF(OR(Y65=0,Y65=""),"",IF(VLOOKUP(Z65,$AI$1:$AJ$58,2,FALSE)&gt;=Y65,INDEX(tblDisciplines[Name],MATCH(1,(tblDisciplines[Discipline]=Z65)*(tblDisciplines[Rank]=Y65),0)),""))</f>
        <v>Dread Presence</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0"/>
        <v/>
      </c>
      <c r="D66" s="19"/>
      <c r="E66" s="15" t="s">
        <v>45</v>
      </c>
      <c r="F66" s="18"/>
      <c r="G66" s="3"/>
      <c r="H66" s="18"/>
      <c r="I66" s="18"/>
      <c r="L66" s="4"/>
      <c r="M66" s="60"/>
      <c r="N66" s="4"/>
      <c r="O66" s="61">
        <f t="shared" si="13"/>
        <v>0</v>
      </c>
      <c r="P66" s="60">
        <f t="shared" si="11"/>
        <v>0</v>
      </c>
      <c r="R66" s="61">
        <v>5</v>
      </c>
      <c r="T66" s="4"/>
      <c r="U66" s="4"/>
      <c r="V66" s="61">
        <f t="shared" si="12"/>
        <v>0</v>
      </c>
      <c r="W66" s="4"/>
      <c r="Y66" s="15">
        <v>2</v>
      </c>
      <c r="Z66" s="61" t="s">
        <v>241</v>
      </c>
      <c r="AA66" s="60" t="str" cm="1">
        <f t="array" ref="AA66">IF(OR(Y66=0,Y66=""),"",IF(VLOOKUP(Z66,$AI$1:$AJ$58,2,FALSE)&gt;=Y66,INDEX(tblDisciplines[Name],MATCH(1,(tblDisciplines[Discipline]=Z66)*(tblDisciplines[Rank]=Y66),0)),""))</f>
        <v>Face of the Beast</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0"/>
        <v/>
      </c>
      <c r="D67" s="19"/>
      <c r="E67" s="15" t="s">
        <v>46</v>
      </c>
      <c r="F67" s="18"/>
      <c r="G67" s="3"/>
      <c r="H67" s="18"/>
      <c r="I67" s="18"/>
      <c r="L67" s="4"/>
      <c r="M67" s="60"/>
      <c r="N67" s="4"/>
      <c r="O67" s="61">
        <f t="shared" si="13"/>
        <v>0</v>
      </c>
      <c r="P67" s="60">
        <f t="shared" si="11"/>
        <v>0</v>
      </c>
      <c r="R67" s="61">
        <v>5</v>
      </c>
      <c r="T67" s="4"/>
      <c r="U67" s="4"/>
      <c r="V67" s="61">
        <f t="shared" si="12"/>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0"/>
        <v/>
      </c>
      <c r="D68" s="18"/>
      <c r="E68" s="15" t="s">
        <v>47</v>
      </c>
      <c r="F68" s="18"/>
      <c r="G68" s="3"/>
      <c r="H68" s="18"/>
      <c r="I68" s="18"/>
      <c r="L68" s="4"/>
      <c r="M68" s="60"/>
      <c r="N68" s="4"/>
      <c r="O68" s="61">
        <f t="shared" si="13"/>
        <v>0</v>
      </c>
      <c r="P68" s="60">
        <f t="shared" si="11"/>
        <v>0</v>
      </c>
      <c r="R68" s="61">
        <v>5</v>
      </c>
      <c r="T68" s="4"/>
      <c r="U68" s="4"/>
      <c r="V68" s="61">
        <f t="shared" si="12"/>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0"/>
        <v/>
      </c>
      <c r="D69" s="18"/>
      <c r="E69" s="15" t="s">
        <v>48</v>
      </c>
      <c r="F69" s="18"/>
      <c r="G69" s="3"/>
      <c r="H69" s="18"/>
      <c r="I69" s="18"/>
      <c r="L69" s="4">
        <v>2</v>
      </c>
      <c r="M69" s="60"/>
      <c r="N69" s="4"/>
      <c r="O69" s="61">
        <f t="shared" si="13"/>
        <v>0</v>
      </c>
      <c r="P69" s="60">
        <f t="shared" si="11"/>
        <v>2</v>
      </c>
      <c r="R69" s="61">
        <v>5</v>
      </c>
      <c r="T69" s="4"/>
      <c r="U69" s="4"/>
      <c r="V69" s="61">
        <f t="shared" si="12"/>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0"/>
        <v/>
      </c>
      <c r="Y70" s="15">
        <v>1</v>
      </c>
      <c r="Z70" s="61" t="s">
        <v>242</v>
      </c>
      <c r="AA70" s="60" t="str" cm="1">
        <f t="array" ref="AA70">IF(OR(Y70=0,Y70=""),"",IF(VLOOKUP(Z70,$AI$1:$AJ$58,2,FALSE)&gt;=Y70,INDEX(tblDisciplines[Name],MATCH(1,(tblDisciplines[Discipline]=Z70)*(tblDisciplines[Rank]=Y70),0)),""))</f>
        <v>Face in the Crowd</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0"/>
        <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Touch of Shadow</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0"/>
        <v>Concealment</v>
      </c>
      <c r="D72" s="19"/>
      <c r="E72" s="15" t="s">
        <v>49</v>
      </c>
      <c r="F72" s="19"/>
      <c r="G72" s="19"/>
      <c r="H72" s="19"/>
      <c r="I72" s="19"/>
      <c r="K72" s="4"/>
      <c r="L72" s="4"/>
      <c r="M72" s="60">
        <v>1</v>
      </c>
      <c r="N72" s="4"/>
      <c r="O72" s="61">
        <f>ROUNDDOWN(N72/5,0)</f>
        <v>0</v>
      </c>
      <c r="P72" s="60">
        <f>MIN(SUM(K72*-1,ROUNDDOWN(L72/5,0),M72,O72),R72)</f>
        <v>1</v>
      </c>
      <c r="R72" s="61">
        <v>2</v>
      </c>
      <c r="Y72" s="15">
        <v>3</v>
      </c>
      <c r="Z72" s="61" t="s">
        <v>242</v>
      </c>
      <c r="AA72" s="60" t="str" cm="1">
        <f t="array" ref="AA72">IF(OR(Y72=0,Y72=""),"",IF(VLOOKUP(Z72,$AI$1:$AJ$58,2,FALSE)&gt;=Y72,INDEX(tblDisciplines[Name],MATCH(1,(tblDisciplines[Discipline]=Z72)*(tblDisciplines[Rank]=Y72),0)),""))</f>
        <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0"/>
        <v/>
      </c>
      <c r="D73" s="19"/>
      <c r="E73" s="15" t="s">
        <v>1448</v>
      </c>
      <c r="F73" s="19"/>
      <c r="G73" s="19"/>
      <c r="H73" s="19"/>
      <c r="I73" s="19"/>
      <c r="K73" s="4">
        <v>3</v>
      </c>
      <c r="M73" s="60">
        <v>7</v>
      </c>
      <c r="N73" s="4"/>
      <c r="O73" s="61">
        <f>ROUNDDOWN(N73/2,0)</f>
        <v>0</v>
      </c>
      <c r="P73" s="60">
        <f>MIN(SUM(K73*-1,M73,O73),R73)</f>
        <v>4</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0"/>
        <v/>
      </c>
      <c r="D74" s="19"/>
      <c r="E74" s="15" t="s">
        <v>53</v>
      </c>
      <c r="F74" s="19"/>
      <c r="G74" s="19"/>
      <c r="H74" s="19"/>
      <c r="I74" s="19"/>
      <c r="K74" s="4"/>
      <c r="M74" s="60">
        <f>P28+P38</f>
        <v>6</v>
      </c>
      <c r="N74" s="4"/>
      <c r="O74" s="61">
        <f>N74</f>
        <v>0</v>
      </c>
      <c r="P74" s="60">
        <f>MIN(SUM(K74*-1,M74,O74),R74)</f>
        <v>6</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0"/>
        <v/>
      </c>
      <c r="D75" s="19"/>
      <c r="E75" s="15" t="s">
        <v>55</v>
      </c>
      <c r="F75" s="19"/>
      <c r="G75" s="19"/>
      <c r="H75" s="19"/>
      <c r="I75" s="19"/>
      <c r="P75" s="60">
        <f ca="1">VLOOKUP(VLOOKUP("Blood Potency",INDIRECT($AH$1),2,FALSE),tblBloodPotency[],2,FALSE)</f>
        <v>10</v>
      </c>
      <c r="Y75" s="15">
        <v>1</v>
      </c>
      <c r="Z75" s="61" t="s">
        <v>243</v>
      </c>
      <c r="AA75" s="60" t="str" cm="1">
        <f t="array" ref="AA75">IF(OR(Y75=0,Y75=""),"",IF(VLOOKUP(Z75,$AI$1:$AJ$58,2,FALSE)&gt;=Y75,INDEX(tblDisciplines[Name],MATCH(1,(tblDisciplines[Discipline]=Z75)*(tblDisciplines[Rank]=Y75),0)),""))</f>
        <v/>
      </c>
    </row>
    <row r="76" spans="1:32">
      <c r="A76" s="1" t="s">
        <v>75</v>
      </c>
      <c r="B76" t="str">
        <f t="shared" si="10"/>
        <v/>
      </c>
      <c r="Y76" s="15">
        <v>2</v>
      </c>
      <c r="Z76" s="61" t="s">
        <v>243</v>
      </c>
      <c r="AA76" s="60" t="str" cm="1">
        <f t="array" ref="AA76">IF(OR(Y76=0,Y76=""),"",IF(VLOOKUP(Z76,$AI$1:$AJ$58,2,FALSE)&gt;=Y76,INDEX(tblDisciplines[Name],MATCH(1,(tblDisciplines[Discipline]=Z76)*(tblDisciplines[Rank]=Y76),0)),""))</f>
        <v/>
      </c>
    </row>
    <row r="77" spans="1:32" ht="15.75" thickBot="1">
      <c r="A77" s="1" t="s">
        <v>76</v>
      </c>
      <c r="B77" t="str">
        <f t="shared" si="10"/>
        <v>Prosetylisation</v>
      </c>
      <c r="D77" s="14" t="s">
        <v>1470</v>
      </c>
      <c r="E77" s="14"/>
      <c r="F77" s="14"/>
      <c r="G77" s="14"/>
      <c r="H77" s="14"/>
      <c r="I77" s="14"/>
      <c r="N77" s="60">
        <f>SUM(N79:N98,N101:N120,N206:N215,N132:N135,N138:N157,N160:N161)</f>
        <v>0</v>
      </c>
      <c r="Y77" s="15">
        <v>3</v>
      </c>
      <c r="Z77" s="61" t="s">
        <v>243</v>
      </c>
      <c r="AA77" s="60" t="str" cm="1">
        <f t="array" ref="AA77">IF(OR(Y77=0,Y77=""),"",IF(VLOOKUP(Z77,$AI$1:$AJ$58,2,FALSE)&gt;=Y77,INDEX(tblDisciplines[Name],MATCH(1,(tblDisciplines[Discipline]=Z77)*(tblDisciplines[Rank]=Y77),0)),""))</f>
        <v/>
      </c>
    </row>
    <row r="78" spans="1:32">
      <c r="A78" s="1" t="s">
        <v>77</v>
      </c>
      <c r="B78" t="str">
        <f t="shared" si="10"/>
        <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0"/>
        <v/>
      </c>
      <c r="D79" s="19"/>
      <c r="E79" s="15" t="s">
        <v>114</v>
      </c>
      <c r="F79" s="3" t="s">
        <v>1680</v>
      </c>
      <c r="G79" s="3"/>
      <c r="H79" s="67" t="str">
        <f>_xlfn.IFNA(IF(VLOOKUP(F79,tblMerits[],6,FALSE)=0,"None",VLOOKUP(F79,tblMerits[],6,FALSE)),"None")</f>
        <v>Herd</v>
      </c>
      <c r="I79" s="67"/>
      <c r="L79" s="4">
        <v>3</v>
      </c>
      <c r="M79" s="4"/>
      <c r="N79" s="4"/>
      <c r="O79" s="61">
        <f>N79</f>
        <v>0</v>
      </c>
      <c r="P79" s="60">
        <f t="shared" ref="P79:P98" si="14">MIN(SUM(L79,M79,O79),R79)</f>
        <v>3</v>
      </c>
      <c r="Q79" s="61">
        <f>_xlfn.IFNA(VLOOKUP($F79,tblMerits[],3,FALSE),"")</f>
        <v>1</v>
      </c>
      <c r="R79" s="61">
        <f>_xlfn.IFNA(VLOOKUP($F79,tblMerits[],4,FALSE),"")</f>
        <v>5</v>
      </c>
      <c r="Y79" s="15">
        <v>5</v>
      </c>
      <c r="Z79" s="61" t="s">
        <v>243</v>
      </c>
      <c r="AA79" s="60" t="str" cm="1">
        <f t="array" ref="AA79">IF(OR(Y79=0,Y79=""),"",IF(VLOOKUP(Z79,$AI$1:$AJ$58,2,FALSE)&gt;=Y79,INDEX(tblDisciplines[Name],MATCH(1,(tblDisciplines[Discipline]=Z79)*(tblDisciplines[Rank]=Y79),0)),""))</f>
        <v/>
      </c>
    </row>
    <row r="80" spans="1:32">
      <c r="A80" s="1" t="s">
        <v>79</v>
      </c>
      <c r="B80" t="str">
        <f t="shared" si="10"/>
        <v/>
      </c>
      <c r="D80" s="19"/>
      <c r="E80" s="15" t="s">
        <v>115</v>
      </c>
      <c r="F80" s="3" t="s">
        <v>1681</v>
      </c>
      <c r="G80" s="3"/>
      <c r="H80" s="67" t="str">
        <f>_xlfn.IFNA(IF(VLOOKUP(F80,tblMerits[],6,FALSE)=0,"None",VLOOKUP(F80,tblMerits[],6,FALSE)),"None")</f>
        <v>Lancea Status 1, Humanity 3 + Merit rating (or mortal)</v>
      </c>
      <c r="I80" s="67"/>
      <c r="L80" s="4">
        <v>1</v>
      </c>
      <c r="M80" s="4"/>
      <c r="N80" s="4"/>
      <c r="O80" s="61">
        <f t="shared" ref="O80:O98" si="15">N80</f>
        <v>0</v>
      </c>
      <c r="P80" s="60">
        <f t="shared" si="14"/>
        <v>1</v>
      </c>
      <c r="Q80" s="61">
        <f>_xlfn.IFNA(VLOOKUP($F80,tblMerits[],3,FALSE),"")</f>
        <v>1</v>
      </c>
      <c r="R80" s="61">
        <f>_xlfn.IFNA(VLOOKUP($F80,tblMerits[],4,FALSE),"")</f>
        <v>5</v>
      </c>
      <c r="Y80" s="15">
        <f>P173</f>
        <v>0</v>
      </c>
      <c r="Z80" s="61" t="s">
        <v>244</v>
      </c>
      <c r="AA80" s="60" t="str" cm="1">
        <f t="array" ref="AA80">IF(OR(Y80=0,Y80=""),"",IF(VLOOKUP(Z80,$AI$1:$AJ$58,2,FALSE)&gt;=Y80,INDEX(tblDisciplines[Name],MATCH(1,(tblDisciplines[Discipline]=Z80)*(tblDisciplines[Rank]=Y80),0)),""))</f>
        <v/>
      </c>
    </row>
    <row r="81" spans="1:27">
      <c r="A81" s="1" t="s">
        <v>80</v>
      </c>
      <c r="B81" t="str">
        <f t="shared" si="10"/>
        <v/>
      </c>
      <c r="D81" s="19"/>
      <c r="E81" s="15" t="s">
        <v>116</v>
      </c>
      <c r="F81" s="3"/>
      <c r="G81" s="3"/>
      <c r="H81" s="67" t="str">
        <f>_xlfn.IFNA(IF(VLOOKUP(F81,tblMerits[],6,FALSE)=0,"None",VLOOKUP(F81,tblMerits[],6,FALSE)),"None")</f>
        <v>None</v>
      </c>
      <c r="I81" s="67"/>
      <c r="L81" s="4"/>
      <c r="M81" s="4"/>
      <c r="N81" s="4"/>
      <c r="O81" s="61">
        <f t="shared" si="15"/>
        <v>0</v>
      </c>
      <c r="P81" s="60">
        <f t="shared" si="14"/>
        <v>0</v>
      </c>
      <c r="Q81" s="61" t="str">
        <f>_xlfn.IFNA(VLOOKUP($F81,tblMerits[],3,FALSE),"")</f>
        <v/>
      </c>
      <c r="R81" s="61" t="str">
        <f>_xlfn.IFNA(VLOOKUP($F81,tblMerits[],4,FALSE),"")</f>
        <v/>
      </c>
      <c r="Y81" s="15">
        <f>P174</f>
        <v>0</v>
      </c>
      <c r="Z81" s="61" t="s">
        <v>245</v>
      </c>
      <c r="AA81" s="60" t="str" cm="1">
        <f t="array" ref="AA81">IF(OR(Y81=0,Y81=""),"",IF(VLOOKUP(Z81,$AI$1:$AJ$58,2,FALSE)&gt;=Y81,INDEX(tblDisciplines[Name],MATCH(1,(tblDisciplines[Discipline]=Z81)*(tblDisciplines[Rank]=Y81),0)),""))</f>
        <v/>
      </c>
    </row>
    <row r="82" spans="1:27">
      <c r="A82" s="1" t="s">
        <v>81</v>
      </c>
      <c r="B82" t="str">
        <f t="shared" si="10"/>
        <v/>
      </c>
      <c r="D82" s="19"/>
      <c r="E82" s="15" t="s">
        <v>117</v>
      </c>
      <c r="F82" s="3"/>
      <c r="G82" s="3"/>
      <c r="H82" s="67" t="str">
        <f>_xlfn.IFNA(IF(VLOOKUP(F82,tblMerits[],6,FALSE)=0,"None",VLOOKUP(F82,tblMerits[],6,FALSE)),"None")</f>
        <v>None</v>
      </c>
      <c r="I82" s="67"/>
      <c r="L82" s="4"/>
      <c r="M82" s="4"/>
      <c r="N82" s="4"/>
      <c r="O82" s="61">
        <f t="shared" si="15"/>
        <v>0</v>
      </c>
      <c r="P82" s="60">
        <f t="shared" si="14"/>
        <v>0</v>
      </c>
      <c r="Q82" s="61" t="str">
        <f>_xlfn.IFNA(VLOOKUP($F82,tblMerits[],3,FALSE),"")</f>
        <v/>
      </c>
      <c r="R82" s="61" t="str">
        <f>_xlfn.IFNA(VLOOKUP($F82,tblMerits[],4,FALSE),"")</f>
        <v/>
      </c>
      <c r="Y82" s="61" t="s">
        <v>1472</v>
      </c>
      <c r="Z82" s="19"/>
      <c r="AA82" s="60" t="str">
        <f>IF(P177="","",F177)</f>
        <v/>
      </c>
    </row>
    <row r="83" spans="1:27">
      <c r="A83" s="1" t="s">
        <v>82</v>
      </c>
      <c r="B83" t="str">
        <f t="shared" si="10"/>
        <v/>
      </c>
      <c r="D83" s="19"/>
      <c r="E83" s="15" t="s">
        <v>118</v>
      </c>
      <c r="F83" s="3"/>
      <c r="G83" s="3"/>
      <c r="H83" s="67" t="str">
        <f>_xlfn.IFNA(IF(VLOOKUP(F83,tblMerits[],6,FALSE)=0,"None",VLOOKUP(F83,tblMerits[],6,FALSE)),"None")</f>
        <v>None</v>
      </c>
      <c r="I83" s="67"/>
      <c r="L83" s="4"/>
      <c r="M83" s="4"/>
      <c r="N83" s="4"/>
      <c r="O83" s="61">
        <f t="shared" si="15"/>
        <v>0</v>
      </c>
      <c r="P83" s="60">
        <f t="shared" si="14"/>
        <v>0</v>
      </c>
      <c r="Q83" s="61" t="str">
        <f>_xlfn.IFNA(VLOOKUP($F83,tblMerits[],3,FALSE),"")</f>
        <v/>
      </c>
      <c r="R83" s="61" t="str">
        <f>_xlfn.IFNA(VLOOKUP($F83,tblMerits[],4,FALSE),"")</f>
        <v/>
      </c>
      <c r="Y83" s="61" t="s">
        <v>1472</v>
      </c>
      <c r="Z83" s="19"/>
      <c r="AA83" s="60" t="str">
        <f>IF(P178="","",F178)</f>
        <v/>
      </c>
    </row>
    <row r="84" spans="1:27">
      <c r="A84" s="1" t="s">
        <v>83</v>
      </c>
      <c r="B84">
        <f>P124</f>
        <v>3</v>
      </c>
      <c r="D84" s="19"/>
      <c r="E84" s="15" t="s">
        <v>119</v>
      </c>
      <c r="F84" s="3"/>
      <c r="G84" s="3"/>
      <c r="H84" s="67" t="str">
        <f>_xlfn.IFNA(IF(VLOOKUP(F84,tblMerits[],6,FALSE)=0,"None",VLOOKUP(F84,tblMerits[],6,FALSE)),"None")</f>
        <v>None</v>
      </c>
      <c r="I84" s="67"/>
      <c r="L84" s="4"/>
      <c r="M84" s="4"/>
      <c r="N84" s="4"/>
      <c r="O84" s="61">
        <f t="shared" si="15"/>
        <v>0</v>
      </c>
      <c r="P84" s="60">
        <f t="shared" si="14"/>
        <v>0</v>
      </c>
      <c r="Q84" s="61" t="str">
        <f>_xlfn.IFNA(VLOOKUP($F84,tblMerits[],3,FALSE),"")</f>
        <v/>
      </c>
      <c r="R84" s="61" t="str">
        <f>_xlfn.IFNA(VLOOKUP($F84,tblMerits[],4,FALSE),"")</f>
        <v/>
      </c>
      <c r="Y84" s="61" t="s">
        <v>1472</v>
      </c>
      <c r="Z84" s="19"/>
      <c r="AA84" s="60" t="str">
        <f>IF(P179="","",F179)</f>
        <v/>
      </c>
    </row>
    <row r="85" spans="1:27">
      <c r="A85" s="1" t="s">
        <v>84</v>
      </c>
      <c r="B85">
        <f>P125</f>
        <v>2</v>
      </c>
      <c r="D85" s="19"/>
      <c r="E85" s="15" t="s">
        <v>120</v>
      </c>
      <c r="F85" s="3"/>
      <c r="G85" s="3"/>
      <c r="H85" s="67" t="str">
        <f>_xlfn.IFNA(IF(VLOOKUP(F85,tblMerits[],6,FALSE)=0,"None",VLOOKUP(F85,tblMerits[],6,FALSE)),"None")</f>
        <v>None</v>
      </c>
      <c r="I85" s="67"/>
      <c r="L85" s="4"/>
      <c r="M85" s="4"/>
      <c r="N85" s="4"/>
      <c r="O85" s="61">
        <f t="shared" si="15"/>
        <v>0</v>
      </c>
      <c r="P85" s="60">
        <f t="shared" si="14"/>
        <v>0</v>
      </c>
      <c r="Q85" s="61" t="str">
        <f>_xlfn.IFNA(VLOOKUP($F85,tblMerits[],3,FALSE),"")</f>
        <v/>
      </c>
      <c r="R85" s="61" t="str">
        <f>_xlfn.IFNA(VLOOKUP($F85,tblMerits[],4,FALSE),"")</f>
        <v/>
      </c>
      <c r="Y85" s="61" t="s">
        <v>1472</v>
      </c>
      <c r="Z85" s="19"/>
      <c r="AA85" s="60" t="str">
        <f>IF(P180="","",F180)</f>
        <v/>
      </c>
    </row>
    <row r="86" spans="1:27">
      <c r="A86" s="1" t="s">
        <v>85</v>
      </c>
      <c r="B86">
        <f>P126</f>
        <v>4</v>
      </c>
      <c r="D86" s="19"/>
      <c r="E86" s="15" t="s">
        <v>121</v>
      </c>
      <c r="F86" s="3"/>
      <c r="G86" s="3"/>
      <c r="H86" s="67" t="str">
        <f>_xlfn.IFNA(IF(VLOOKUP(F86,tblMerits[],6,FALSE)=0,"None",VLOOKUP(F86,tblMerits[],6,FALSE)),"None")</f>
        <v>None</v>
      </c>
      <c r="I86" s="67"/>
      <c r="L86" s="4"/>
      <c r="M86" s="4"/>
      <c r="N86" s="4"/>
      <c r="O86" s="61">
        <f t="shared" si="15"/>
        <v>0</v>
      </c>
      <c r="P86" s="60">
        <f t="shared" si="14"/>
        <v>0</v>
      </c>
      <c r="Q86" s="61" t="str">
        <f>_xlfn.IFNA(VLOOKUP($F86,tblMerits[],3,FALSE),"")</f>
        <v/>
      </c>
      <c r="R86" s="61" t="str">
        <f>_xlfn.IFNA(VLOOKUP($F86,tblMerits[],4,FALSE),"")</f>
        <v/>
      </c>
      <c r="Y86" s="61" t="s">
        <v>1472</v>
      </c>
      <c r="Z86" s="19"/>
      <c r="AA86" s="60" t="str">
        <f>IF(P181="","",F181)</f>
        <v/>
      </c>
    </row>
    <row r="87" spans="1:27">
      <c r="A87" s="1" t="s">
        <v>86</v>
      </c>
      <c r="B87" t="str">
        <f>IF(F126="","¬",F126)</f>
        <v>Lance</v>
      </c>
      <c r="D87" s="19"/>
      <c r="E87" s="15" t="s">
        <v>122</v>
      </c>
      <c r="F87" s="3"/>
      <c r="G87" s="3"/>
      <c r="H87" s="67" t="str">
        <f>_xlfn.IFNA(IF(VLOOKUP(F87,tblMerits[],6,FALSE)=0,"None",VLOOKUP(F87,tblMerits[],6,FALSE)),"None")</f>
        <v>None</v>
      </c>
      <c r="I87" s="67"/>
      <c r="L87" s="4"/>
      <c r="M87" s="4"/>
      <c r="N87" s="4"/>
      <c r="O87" s="61">
        <f t="shared" si="15"/>
        <v>0</v>
      </c>
      <c r="P87" s="60">
        <f t="shared" si="14"/>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
      </c>
    </row>
    <row r="88" spans="1:27">
      <c r="A88" s="1" t="s">
        <v>87</v>
      </c>
      <c r="B88" t="str">
        <f>REPT("●",P126)</f>
        <v>●●●●</v>
      </c>
      <c r="D88" s="19"/>
      <c r="E88" s="15" t="s">
        <v>123</v>
      </c>
      <c r="F88" s="3"/>
      <c r="G88" s="3"/>
      <c r="H88" s="67" t="str">
        <f>_xlfn.IFNA(IF(VLOOKUP(F88,tblMerits[],6,FALSE)=0,"None",VLOOKUP(F88,tblMerits[],6,FALSE)),"None")</f>
        <v>None</v>
      </c>
      <c r="I88" s="67"/>
      <c r="L88" s="4"/>
      <c r="M88" s="4"/>
      <c r="N88" s="4"/>
      <c r="O88" s="61">
        <f t="shared" si="15"/>
        <v>0</v>
      </c>
      <c r="P88" s="60">
        <f t="shared" si="14"/>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Carthian</v>
      </c>
      <c r="D89" s="19"/>
      <c r="E89" s="15" t="s">
        <v>124</v>
      </c>
      <c r="F89" s="3"/>
      <c r="G89" s="3"/>
      <c r="H89" s="67" t="str">
        <f>_xlfn.IFNA(IF(VLOOKUP(F89,tblMerits[],6,FALSE)=0,"None",VLOOKUP(F89,tblMerits[],6,FALSE)),"None")</f>
        <v>None</v>
      </c>
      <c r="I89" s="67"/>
      <c r="L89" s="4"/>
      <c r="M89" s="4"/>
      <c r="N89" s="4"/>
      <c r="O89" s="61">
        <f t="shared" si="15"/>
        <v>0</v>
      </c>
      <c r="P89" s="60">
        <f t="shared" si="14"/>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_xlfn.IFNA(IF(VLOOKUP(F90,tblMerits[],6,FALSE)=0,"None",VLOOKUP(F90,tblMerits[],6,FALSE)),"None")</f>
        <v>None</v>
      </c>
      <c r="I90" s="67"/>
      <c r="L90" s="4"/>
      <c r="M90" s="4"/>
      <c r="N90" s="4"/>
      <c r="O90" s="61">
        <f t="shared" si="15"/>
        <v>0</v>
      </c>
      <c r="P90" s="60">
        <f t="shared" si="14"/>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Crone</v>
      </c>
      <c r="D91" s="19"/>
      <c r="E91" s="15" t="s">
        <v>126</v>
      </c>
      <c r="F91" s="3"/>
      <c r="G91" s="3"/>
      <c r="H91" s="67" t="str">
        <f>_xlfn.IFNA(IF(VLOOKUP(F91,tblMerits[],6,FALSE)=0,"None",VLOOKUP(F91,tblMerits[],6,FALSE)),"None")</f>
        <v>None</v>
      </c>
      <c r="I91" s="67"/>
      <c r="L91" s="4"/>
      <c r="M91" s="4"/>
      <c r="N91" s="4"/>
      <c r="O91" s="61">
        <f t="shared" si="15"/>
        <v>0</v>
      </c>
      <c r="P91" s="60">
        <f t="shared" si="14"/>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5"/>
        <v>0</v>
      </c>
      <c r="P92" s="60">
        <f t="shared" si="14"/>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Invictus</v>
      </c>
      <c r="D93" s="19"/>
      <c r="E93" s="15" t="s">
        <v>128</v>
      </c>
      <c r="F93" s="3"/>
      <c r="G93" s="3"/>
      <c r="H93" s="67" t="str">
        <f>_xlfn.IFNA(IF(VLOOKUP(F93,tblMerits[],6,FALSE)=0,"None",VLOOKUP(F93,tblMerits[],6,FALSE)),"None")</f>
        <v>None</v>
      </c>
      <c r="I93" s="67"/>
      <c r="L93" s="4"/>
      <c r="M93" s="4"/>
      <c r="N93" s="4"/>
      <c r="O93" s="61">
        <f t="shared" si="15"/>
        <v>0</v>
      </c>
      <c r="P93" s="60">
        <f t="shared" si="14"/>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5"/>
        <v>0</v>
      </c>
      <c r="P94" s="60">
        <f t="shared" si="14"/>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5"/>
        <v>0</v>
      </c>
      <c r="P95" s="60">
        <f t="shared" si="14"/>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5"/>
        <v>0</v>
      </c>
      <c r="P96" s="60">
        <f t="shared" si="14"/>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5"/>
        <v>0</v>
      </c>
      <c r="P97" s="60">
        <f t="shared" si="14"/>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Divination 1</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5"/>
        <v>0</v>
      </c>
      <c r="P98" s="60">
        <f t="shared" si="14"/>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c r="G101" s="60" t="str">
        <f>IFERROR(VLOOKUP(F101,tblManoeuvre[],2,FALSE)&amp;" "&amp;VLOOKUP(F101,tblManoeuvre[],3,FALSE),"")</f>
        <v/>
      </c>
      <c r="H101" s="67" t="str">
        <f>IFERROR(IF(VLOOKUP(F101,tblManoeuvre[],8,FALSE)=0,"None",VLOOKUP(F101,tblManoeuvre[],8,FALSE)),"None")</f>
        <v>None</v>
      </c>
      <c r="I101" s="67"/>
      <c r="L101" s="4"/>
      <c r="M101" s="4"/>
      <c r="N101" s="4"/>
      <c r="O101" s="61">
        <f t="shared" ref="O101:O120" si="16">N101</f>
        <v>0</v>
      </c>
      <c r="P101" s="60">
        <f t="shared" ref="P101:P120" si="17">MIN(SUM(L101,M101,O101),R101)</f>
        <v>0</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
      </c>
      <c r="D102" s="19"/>
      <c r="E102" s="15" t="s">
        <v>1441</v>
      </c>
      <c r="F102" s="3"/>
      <c r="G102" s="60" t="str">
        <f>IFERROR(VLOOKUP(F102,tblManoeuvre[],2,FALSE)&amp;" "&amp;VLOOKUP(F102,tblManoeuvre[],3,FALSE),"")</f>
        <v/>
      </c>
      <c r="H102" s="67" t="str">
        <f>IFERROR(IF(VLOOKUP(F102,tblManoeuvre[],8,FALSE)=0,"None",VLOOKUP(F102,tblManoeuvre[],8,FALSE)),"None")</f>
        <v>None</v>
      </c>
      <c r="I102" s="67"/>
      <c r="L102" s="4"/>
      <c r="M102" s="4"/>
      <c r="N102" s="4"/>
      <c r="O102" s="61">
        <f t="shared" si="16"/>
        <v>0</v>
      </c>
      <c r="P102" s="60">
        <f t="shared" si="17"/>
        <v>0</v>
      </c>
      <c r="Q102" s="61">
        <v>1</v>
      </c>
      <c r="R102" s="61">
        <v>1</v>
      </c>
      <c r="Y102" s="15">
        <v>1</v>
      </c>
      <c r="Z102" s="61" t="s">
        <v>251</v>
      </c>
      <c r="AA102" s="60" t="str" cm="1">
        <f t="array" ref="AA102">IF(VLOOKUP(Z102,$AI$1:$AJ$58,2,FALSE)&gt;=Y102,INDEX(tblDisciplines[Name],MATCH(1,(tblDisciplines[Discipline]=Z102)*(tblDisciplines[Rank]=Y102),0)),"")</f>
        <v>Protection 1</v>
      </c>
    </row>
    <row r="103" spans="1:27">
      <c r="A103" s="1" t="s">
        <v>102</v>
      </c>
      <c r="B103">
        <f>P73</f>
        <v>4</v>
      </c>
      <c r="D103" s="19"/>
      <c r="E103" s="15" t="s">
        <v>1443</v>
      </c>
      <c r="F103" s="3"/>
      <c r="G103" s="60" t="str">
        <f>IFERROR(VLOOKUP(F103,tblManoeuvre[],2,FALSE)&amp;" "&amp;VLOOKUP(F103,tblManoeuvre[],3,FALSE),"")</f>
        <v/>
      </c>
      <c r="H103" s="67" t="str">
        <f>IFERROR(IF(VLOOKUP(F103,tblManoeuvre[],8,FALSE)=0,"None",VLOOKUP(F103,tblManoeuvre[],8,FALSE)),"None")</f>
        <v>None</v>
      </c>
      <c r="I103" s="67"/>
      <c r="L103" s="4"/>
      <c r="M103" s="4"/>
      <c r="N103" s="4"/>
      <c r="O103" s="61">
        <f t="shared" si="16"/>
        <v>0</v>
      </c>
      <c r="P103" s="60">
        <f t="shared" si="17"/>
        <v>0</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c r="G104" s="60" t="str">
        <f>IFERROR(VLOOKUP(F104,tblManoeuvre[],2,FALSE)&amp;" "&amp;VLOOKUP(F104,tblManoeuvre[],3,FALSE),"")</f>
        <v/>
      </c>
      <c r="H104" s="67" t="str">
        <f>IFERROR(IF(VLOOKUP(F104,tblManoeuvre[],8,FALSE)=0,"None",VLOOKUP(F104,tblManoeuvre[],8,FALSE)),"None")</f>
        <v>None</v>
      </c>
      <c r="I104" s="67"/>
      <c r="L104" s="4"/>
      <c r="M104" s="4"/>
      <c r="N104" s="4"/>
      <c r="O104" s="61">
        <f t="shared" si="16"/>
        <v>0</v>
      </c>
      <c r="P104" s="60">
        <f t="shared" si="17"/>
        <v>0</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c r="G105" s="60" t="str">
        <f>IFERROR(VLOOKUP(F105,tblManoeuvre[],2,FALSE)&amp;" "&amp;VLOOKUP(F105,tblManoeuvre[],3,FALSE),"")</f>
        <v/>
      </c>
      <c r="H105" s="67" t="str">
        <f>IFERROR(IF(VLOOKUP(F105,tblManoeuvre[],8,FALSE)=0,"None",VLOOKUP(F105,tblManoeuvre[],8,FALSE)),"None")</f>
        <v>None</v>
      </c>
      <c r="I105" s="67"/>
      <c r="L105" s="4"/>
      <c r="M105" s="4"/>
      <c r="N105" s="4"/>
      <c r="O105" s="61">
        <f t="shared" si="16"/>
        <v>0</v>
      </c>
      <c r="P105" s="60">
        <f t="shared" si="17"/>
        <v>0</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IFERROR(VLOOKUP(F106,tblManoeuvre[],2,FALSE)&amp;" "&amp;VLOOKUP(F106,tblManoeuvre[],3,FALSE),"")</f>
        <v/>
      </c>
      <c r="H106" s="67" t="str">
        <f>IFERROR(IF(VLOOKUP(F106,tblManoeuvre[],8,FALSE)=0,"None",VLOOKUP(F106,tblManoeuvre[],8,FALSE)),"None")</f>
        <v>None</v>
      </c>
      <c r="I106" s="67"/>
      <c r="L106" s="4"/>
      <c r="M106" s="4"/>
      <c r="N106" s="4"/>
      <c r="O106" s="61">
        <f t="shared" si="16"/>
        <v>0</v>
      </c>
      <c r="P106" s="60">
        <f t="shared" si="17"/>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IFERROR(VLOOKUP(F107,tblManoeuvre[],2,FALSE)&amp;" "&amp;VLOOKUP(F107,tblManoeuvre[],3,FALSE),"")</f>
        <v/>
      </c>
      <c r="H107" s="67" t="str">
        <f>IFERROR(IF(VLOOKUP(F107,tblManoeuvre[],8,FALSE)=0,"None",VLOOKUP(F107,tblManoeuvre[],8,FALSE)),"None")</f>
        <v>None</v>
      </c>
      <c r="I107" s="67"/>
      <c r="L107" s="4"/>
      <c r="M107" s="4"/>
      <c r="N107" s="4"/>
      <c r="O107" s="61">
        <f t="shared" si="16"/>
        <v>0</v>
      </c>
      <c r="P107" s="60">
        <f t="shared" si="17"/>
        <v>0</v>
      </c>
      <c r="Q107" s="61">
        <v>1</v>
      </c>
      <c r="R107" s="61">
        <v>1</v>
      </c>
      <c r="Y107" s="15">
        <v>1</v>
      </c>
      <c r="Z107" s="61" t="s">
        <v>252</v>
      </c>
      <c r="AA107" s="60" t="str" cm="1">
        <f t="array" ref="AA107">IF(VLOOKUP(Z107,$AI$1:$AJ$58,2,FALSE)&gt;=Y107,INDEX(tblDisciplines[Name],MATCH(1,(tblDisciplines[Discipline]=Z107)*(tblDisciplines[Rank]=Y107),0)),"")</f>
        <v>Transmutation 1</v>
      </c>
    </row>
    <row r="108" spans="1:27">
      <c r="A108" s="1" t="s">
        <v>107</v>
      </c>
      <c r="B108" t="str">
        <f>IF($P$73&gt;=7,"●","○") &amp; IF(F226&lt;&gt;""," (" &amp; F226 &amp; ")","")</f>
        <v>○</v>
      </c>
      <c r="D108" s="19"/>
      <c r="E108" s="15" t="s">
        <v>1452</v>
      </c>
      <c r="F108" s="3"/>
      <c r="G108" s="60" t="str">
        <f>IFERROR(VLOOKUP(F108,tblManoeuvre[],2,FALSE)&amp;" "&amp;VLOOKUP(F108,tblManoeuvre[],3,FALSE),"")</f>
        <v/>
      </c>
      <c r="H108" s="67" t="str">
        <f>IFERROR(IF(VLOOKUP(F108,tblManoeuvre[],8,FALSE)=0,"None",VLOOKUP(F108,tblManoeuvre[],8,FALSE)),"None")</f>
        <v>None</v>
      </c>
      <c r="I108" s="67"/>
      <c r="L108" s="4"/>
      <c r="M108" s="4"/>
      <c r="N108" s="4"/>
      <c r="O108" s="61">
        <f t="shared" si="16"/>
        <v>0</v>
      </c>
      <c r="P108" s="60">
        <f t="shared" si="17"/>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v>
      </c>
      <c r="D109" s="19"/>
      <c r="E109" s="15" t="s">
        <v>1454</v>
      </c>
      <c r="F109" s="3"/>
      <c r="G109" s="60" t="str">
        <f>IFERROR(VLOOKUP(F109,tblManoeuvre[],2,FALSE)&amp;" "&amp;VLOOKUP(F109,tblManoeuvre[],3,FALSE),"")</f>
        <v/>
      </c>
      <c r="H109" s="67" t="str">
        <f>IFERROR(IF(VLOOKUP(F109,tblManoeuvre[],8,FALSE)=0,"None",VLOOKUP(F109,tblManoeuvre[],8,FALSE)),"None")</f>
        <v>None</v>
      </c>
      <c r="I109" s="67"/>
      <c r="L109" s="4"/>
      <c r="M109" s="4"/>
      <c r="N109" s="4"/>
      <c r="O109" s="61">
        <f t="shared" si="16"/>
        <v>0</v>
      </c>
      <c r="P109" s="60">
        <f t="shared" si="17"/>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v>
      </c>
      <c r="D110" s="19"/>
      <c r="E110" s="15" t="s">
        <v>1455</v>
      </c>
      <c r="F110" s="3"/>
      <c r="G110" s="60" t="str">
        <f>IFERROR(VLOOKUP(F110,tblManoeuvre[],2,FALSE)&amp;" "&amp;VLOOKUP(F110,tblManoeuvre[],3,FALSE),"")</f>
        <v/>
      </c>
      <c r="H110" s="67" t="str">
        <f>IFERROR(IF(VLOOKUP(F110,tblManoeuvre[],8,FALSE)=0,"None",VLOOKUP(F110,tblManoeuvre[],8,FALSE)),"None")</f>
        <v>None</v>
      </c>
      <c r="I110" s="67"/>
      <c r="L110" s="4"/>
      <c r="M110" s="4"/>
      <c r="N110" s="4"/>
      <c r="O110" s="61">
        <f t="shared" si="16"/>
        <v>0</v>
      </c>
      <c r="P110" s="60">
        <f t="shared" si="17"/>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t="str">
        <f>IFERROR(VLOOKUP(F111,tblManoeuvre[],2,FALSE)&amp;" "&amp;VLOOKUP(F111,tblManoeuvre[],3,FALSE),"")</f>
        <v/>
      </c>
      <c r="H111" s="67" t="str">
        <f>IFERROR(IF(VLOOKUP(F111,tblManoeuvre[],8,FALSE)=0,"None",VLOOKUP(F111,tblManoeuvre[],8,FALSE)),"None")</f>
        <v>None</v>
      </c>
      <c r="I111" s="67"/>
      <c r="L111" s="4"/>
      <c r="M111" s="4"/>
      <c r="N111" s="4"/>
      <c r="O111" s="61">
        <f t="shared" si="16"/>
        <v>0</v>
      </c>
      <c r="P111" s="60">
        <f t="shared" si="17"/>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t="str">
        <f>IFERROR(VLOOKUP(F112,tblManoeuvre[],2,FALSE)&amp;" "&amp;VLOOKUP(F112,tblManoeuvre[],3,FALSE),"")</f>
        <v/>
      </c>
      <c r="H112" s="67" t="str">
        <f>IFERROR(IF(VLOOKUP(F112,tblManoeuvre[],8,FALSE)=0,"None",VLOOKUP(F112,tblManoeuvre[],8,FALSE)),"None")</f>
        <v>None</v>
      </c>
      <c r="I112" s="67"/>
      <c r="L112" s="4"/>
      <c r="M112" s="4"/>
      <c r="N112" s="4"/>
      <c r="O112" s="61">
        <f t="shared" si="16"/>
        <v>0</v>
      </c>
      <c r="P112" s="60">
        <f t="shared" si="17"/>
        <v>0</v>
      </c>
      <c r="Q112" s="61">
        <v>1</v>
      </c>
      <c r="R112" s="61">
        <v>1</v>
      </c>
      <c r="Y112" s="61" t="s">
        <v>1474</v>
      </c>
      <c r="Z112" s="61" t="str">
        <f t="shared" ref="Z112:Z121" si="18">G194</f>
        <v/>
      </c>
      <c r="AA112" s="60" t="str">
        <f t="shared" ref="AA112:AA121" si="19">IF(P194="","",F194)</f>
        <v/>
      </c>
    </row>
    <row r="113" spans="1:27">
      <c r="A113" s="1" t="s">
        <v>112</v>
      </c>
      <c r="B113" t="str">
        <f>IF($P$73&gt;=2,"●","○") &amp; IF(F231&lt;&gt;""," (" &amp; F231 &amp; ")","")</f>
        <v>●</v>
      </c>
      <c r="D113" s="19"/>
      <c r="E113" s="15" t="s">
        <v>1458</v>
      </c>
      <c r="F113" s="3"/>
      <c r="G113" s="60" t="str">
        <f>IFERROR(VLOOKUP(F113,tblManoeuvre[],2,FALSE)&amp;" "&amp;VLOOKUP(F113,tblManoeuvre[],3,FALSE),"")</f>
        <v/>
      </c>
      <c r="H113" s="67" t="str">
        <f>IFERROR(IF(VLOOKUP(F113,tblManoeuvre[],8,FALSE)=0,"None",VLOOKUP(F113,tblManoeuvre[],8,FALSE)),"None")</f>
        <v>None</v>
      </c>
      <c r="I113" s="67"/>
      <c r="L113" s="4"/>
      <c r="M113" s="4"/>
      <c r="N113" s="4"/>
      <c r="O113" s="61">
        <f t="shared" si="16"/>
        <v>0</v>
      </c>
      <c r="P113" s="60">
        <f t="shared" si="17"/>
        <v>0</v>
      </c>
      <c r="Q113" s="61">
        <v>1</v>
      </c>
      <c r="R113" s="61">
        <v>1</v>
      </c>
      <c r="Y113" s="61" t="s">
        <v>1474</v>
      </c>
      <c r="Z113" s="61" t="str">
        <f t="shared" si="18"/>
        <v/>
      </c>
      <c r="AA113" s="60" t="str">
        <f t="shared" si="19"/>
        <v/>
      </c>
    </row>
    <row r="114" spans="1:27">
      <c r="A114" s="1" t="s">
        <v>113</v>
      </c>
      <c r="B114" t="str">
        <f>IF($P$73&gt;=1,"●","○") &amp; IF(F232&lt;&gt;""," (" &amp; F232 &amp; ")","")</f>
        <v>●</v>
      </c>
      <c r="D114" s="19"/>
      <c r="E114" s="15" t="s">
        <v>1460</v>
      </c>
      <c r="F114" s="3"/>
      <c r="G114" s="60" t="str">
        <f>IFERROR(VLOOKUP(F114,tblManoeuvre[],2,FALSE)&amp;" "&amp;VLOOKUP(F114,tblManoeuvre[],3,FALSE),"")</f>
        <v/>
      </c>
      <c r="H114" s="67" t="str">
        <f>IFERROR(IF(VLOOKUP(F114,tblManoeuvre[],8,FALSE)=0,"None",VLOOKUP(F114,tblManoeuvre[],8,FALSE)),"None")</f>
        <v>None</v>
      </c>
      <c r="I114" s="67"/>
      <c r="L114" s="4"/>
      <c r="M114" s="4"/>
      <c r="N114" s="4"/>
      <c r="O114" s="61">
        <f t="shared" si="16"/>
        <v>0</v>
      </c>
      <c r="P114" s="60">
        <f t="shared" si="17"/>
        <v>0</v>
      </c>
      <c r="Q114" s="61">
        <v>1</v>
      </c>
      <c r="R114" s="61">
        <v>1</v>
      </c>
      <c r="Y114" s="61" t="s">
        <v>1474</v>
      </c>
      <c r="Z114" s="61" t="str">
        <f t="shared" si="18"/>
        <v/>
      </c>
      <c r="AA114" s="60" t="str">
        <f t="shared" si="19"/>
        <v/>
      </c>
    </row>
    <row r="115" spans="1:27">
      <c r="A115" s="1" t="s">
        <v>114</v>
      </c>
      <c r="B115" t="str">
        <f t="shared" ref="B115:B144" si="20">IF(AD2="","¬",AD2)</f>
        <v>Flock ●●●</v>
      </c>
      <c r="D115" s="19"/>
      <c r="E115" s="15" t="s">
        <v>1461</v>
      </c>
      <c r="F115" s="3"/>
      <c r="G115" s="60" t="str">
        <f>IFERROR(VLOOKUP(F115,tblManoeuvre[],2,FALSE)&amp;" "&amp;VLOOKUP(F115,tblManoeuvre[],3,FALSE),"")</f>
        <v/>
      </c>
      <c r="H115" s="67" t="str">
        <f>IFERROR(IF(VLOOKUP(F115,tblManoeuvre[],8,FALSE)=0,"None",VLOOKUP(F115,tblManoeuvre[],8,FALSE)),"None")</f>
        <v>None</v>
      </c>
      <c r="I115" s="67"/>
      <c r="L115" s="4"/>
      <c r="M115" s="4"/>
      <c r="N115" s="4"/>
      <c r="O115" s="61">
        <f t="shared" si="16"/>
        <v>0</v>
      </c>
      <c r="P115" s="60">
        <f t="shared" si="17"/>
        <v>0</v>
      </c>
      <c r="Q115" s="61">
        <v>1</v>
      </c>
      <c r="R115" s="61">
        <v>1</v>
      </c>
      <c r="Y115" s="61" t="s">
        <v>1474</v>
      </c>
      <c r="Z115" s="61" t="str">
        <f t="shared" si="18"/>
        <v/>
      </c>
      <c r="AA115" s="60" t="str">
        <f t="shared" si="19"/>
        <v/>
      </c>
    </row>
    <row r="116" spans="1:27">
      <c r="A116" s="1" t="s">
        <v>115</v>
      </c>
      <c r="B116" t="str">
        <f t="shared" si="20"/>
        <v>Stigmata ●</v>
      </c>
      <c r="D116" s="19"/>
      <c r="E116" s="15" t="s">
        <v>1462</v>
      </c>
      <c r="F116" s="3"/>
      <c r="G116" s="60" t="str">
        <f>IFERROR(VLOOKUP(F116,tblManoeuvre[],2,FALSE)&amp;" "&amp;VLOOKUP(F116,tblManoeuvre[],3,FALSE),"")</f>
        <v/>
      </c>
      <c r="H116" s="67" t="str">
        <f>IFERROR(IF(VLOOKUP(F116,tblManoeuvre[],8,FALSE)=0,"None",VLOOKUP(F116,tblManoeuvre[],8,FALSE)),"None")</f>
        <v>None</v>
      </c>
      <c r="I116" s="67"/>
      <c r="L116" s="4"/>
      <c r="M116" s="4"/>
      <c r="N116" s="4"/>
      <c r="O116" s="61">
        <f t="shared" si="16"/>
        <v>0</v>
      </c>
      <c r="P116" s="60">
        <f t="shared" si="17"/>
        <v>0</v>
      </c>
      <c r="Q116" s="61">
        <v>1</v>
      </c>
      <c r="R116" s="61">
        <v>1</v>
      </c>
      <c r="Y116" s="61" t="s">
        <v>1474</v>
      </c>
      <c r="Z116" s="61" t="str">
        <f t="shared" si="18"/>
        <v/>
      </c>
      <c r="AA116" s="60" t="str">
        <f t="shared" si="19"/>
        <v/>
      </c>
    </row>
    <row r="117" spans="1:27">
      <c r="A117" s="1" t="s">
        <v>116</v>
      </c>
      <c r="B117" t="str">
        <f t="shared" si="20"/>
        <v>¬</v>
      </c>
      <c r="D117" s="19"/>
      <c r="E117" s="15" t="s">
        <v>1463</v>
      </c>
      <c r="F117" s="3"/>
      <c r="G117" s="60" t="str">
        <f>IFERROR(VLOOKUP(F117,tblManoeuvre[],2,FALSE)&amp;" "&amp;VLOOKUP(F117,tblManoeuvre[],3,FALSE),"")</f>
        <v/>
      </c>
      <c r="H117" s="67" t="str">
        <f>IFERROR(IF(VLOOKUP(F117,tblManoeuvre[],8,FALSE)=0,"None",VLOOKUP(F117,tblManoeuvre[],8,FALSE)),"None")</f>
        <v>None</v>
      </c>
      <c r="I117" s="67"/>
      <c r="L117" s="4"/>
      <c r="M117" s="4"/>
      <c r="N117" s="4"/>
      <c r="O117" s="61">
        <f t="shared" si="16"/>
        <v>0</v>
      </c>
      <c r="P117" s="60">
        <f t="shared" si="17"/>
        <v>0</v>
      </c>
      <c r="Q117" s="61">
        <v>1</v>
      </c>
      <c r="R117" s="61">
        <v>1</v>
      </c>
      <c r="Y117" s="61" t="s">
        <v>1474</v>
      </c>
      <c r="Z117" s="61" t="str">
        <f t="shared" si="18"/>
        <v/>
      </c>
      <c r="AA117" s="60" t="str">
        <f t="shared" si="19"/>
        <v/>
      </c>
    </row>
    <row r="118" spans="1:27">
      <c r="A118" s="1" t="s">
        <v>117</v>
      </c>
      <c r="B118" t="str">
        <f t="shared" si="20"/>
        <v>¬</v>
      </c>
      <c r="D118" s="19"/>
      <c r="E118" s="15" t="s">
        <v>1464</v>
      </c>
      <c r="F118" s="3"/>
      <c r="G118" s="60" t="str">
        <f>IFERROR(VLOOKUP(F118,tblManoeuvre[],2,FALSE)&amp;" "&amp;VLOOKUP(F118,tblManoeuvre[],3,FALSE),"")</f>
        <v/>
      </c>
      <c r="H118" s="67" t="str">
        <f>IFERROR(IF(VLOOKUP(F118,tblManoeuvre[],8,FALSE)=0,"None",VLOOKUP(F118,tblManoeuvre[],8,FALSE)),"None")</f>
        <v>None</v>
      </c>
      <c r="I118" s="67"/>
      <c r="L118" s="4"/>
      <c r="M118" s="4"/>
      <c r="N118" s="4"/>
      <c r="O118" s="61">
        <f t="shared" si="16"/>
        <v>0</v>
      </c>
      <c r="P118" s="60">
        <f t="shared" si="17"/>
        <v>0</v>
      </c>
      <c r="Q118" s="61">
        <v>1</v>
      </c>
      <c r="R118" s="61">
        <v>1</v>
      </c>
      <c r="Y118" s="61" t="s">
        <v>1474</v>
      </c>
      <c r="Z118" s="61" t="str">
        <f t="shared" si="18"/>
        <v/>
      </c>
      <c r="AA118" s="60" t="str">
        <f t="shared" si="19"/>
        <v/>
      </c>
    </row>
    <row r="119" spans="1:27">
      <c r="A119" s="1" t="s">
        <v>118</v>
      </c>
      <c r="B119" t="str">
        <f t="shared" si="20"/>
        <v>¬</v>
      </c>
      <c r="D119" s="19"/>
      <c r="E119" s="15" t="s">
        <v>1466</v>
      </c>
      <c r="F119" s="3"/>
      <c r="G119" s="60" t="str">
        <f>IFERROR(VLOOKUP(F119,tblManoeuvre[],2,FALSE)&amp;" "&amp;VLOOKUP(F119,tblManoeuvre[],3,FALSE),"")</f>
        <v/>
      </c>
      <c r="H119" s="67" t="str">
        <f>IFERROR(IF(VLOOKUP(F119,tblManoeuvre[],8,FALSE)=0,"None",VLOOKUP(F119,tblManoeuvre[],8,FALSE)),"None")</f>
        <v>None</v>
      </c>
      <c r="I119" s="67"/>
      <c r="L119" s="4"/>
      <c r="M119" s="4"/>
      <c r="N119" s="4"/>
      <c r="O119" s="61">
        <f t="shared" si="16"/>
        <v>0</v>
      </c>
      <c r="P119" s="60">
        <f t="shared" si="17"/>
        <v>0</v>
      </c>
      <c r="Q119" s="61">
        <v>1</v>
      </c>
      <c r="R119" s="61">
        <v>1</v>
      </c>
      <c r="Y119" s="61" t="s">
        <v>1474</v>
      </c>
      <c r="Z119" s="61" t="str">
        <f t="shared" si="18"/>
        <v/>
      </c>
      <c r="AA119" s="60" t="str">
        <f t="shared" si="19"/>
        <v/>
      </c>
    </row>
    <row r="120" spans="1:27">
      <c r="A120" s="1" t="s">
        <v>119</v>
      </c>
      <c r="B120" t="str">
        <f t="shared" si="20"/>
        <v>¬</v>
      </c>
      <c r="D120" s="19"/>
      <c r="E120" s="15" t="s">
        <v>1468</v>
      </c>
      <c r="F120" s="3"/>
      <c r="G120" s="60" t="str">
        <f>IFERROR(VLOOKUP(F120,tblManoeuvre[],2,FALSE)&amp;" "&amp;VLOOKUP(F120,tblManoeuvre[],3,FALSE),"")</f>
        <v/>
      </c>
      <c r="H120" s="67" t="str">
        <f>IFERROR(IF(VLOOKUP(F120,tblManoeuvre[],8,FALSE)=0,"None",VLOOKUP(F120,tblManoeuvre[],8,FALSE)),"None")</f>
        <v>None</v>
      </c>
      <c r="I120" s="67"/>
      <c r="L120" s="4"/>
      <c r="M120" s="4"/>
      <c r="N120" s="4"/>
      <c r="O120" s="61">
        <f t="shared" si="16"/>
        <v>0</v>
      </c>
      <c r="P120" s="60">
        <f t="shared" si="17"/>
        <v>0</v>
      </c>
      <c r="Q120" s="61">
        <v>1</v>
      </c>
      <c r="R120" s="61">
        <v>1</v>
      </c>
      <c r="Y120" s="61" t="s">
        <v>1474</v>
      </c>
      <c r="Z120" s="61" t="str">
        <f t="shared" si="18"/>
        <v/>
      </c>
      <c r="AA120" s="60" t="str">
        <f t="shared" si="19"/>
        <v/>
      </c>
    </row>
    <row r="121" spans="1:27">
      <c r="A121" s="1" t="s">
        <v>120</v>
      </c>
      <c r="B121" t="str">
        <f t="shared" si="20"/>
        <v>¬</v>
      </c>
      <c r="Y121" s="61" t="s">
        <v>1474</v>
      </c>
      <c r="Z121" s="61" t="str">
        <f t="shared" si="18"/>
        <v/>
      </c>
      <c r="AA121" s="60" t="str">
        <f t="shared" si="19"/>
        <v/>
      </c>
    </row>
    <row r="122" spans="1:27" ht="15.75" thickBot="1">
      <c r="A122" s="1" t="s">
        <v>121</v>
      </c>
      <c r="B122" t="str">
        <f t="shared" si="20"/>
        <v>¬</v>
      </c>
      <c r="D122" s="14" t="s">
        <v>1475</v>
      </c>
      <c r="E122" s="14"/>
      <c r="F122" s="14"/>
      <c r="G122" s="14"/>
      <c r="H122" s="14"/>
      <c r="I122" s="14"/>
    </row>
    <row r="123" spans="1:27">
      <c r="A123" s="1" t="s">
        <v>122</v>
      </c>
      <c r="B123" t="str">
        <f t="shared" si="20"/>
        <v>¬</v>
      </c>
      <c r="D123" s="16" t="s">
        <v>927</v>
      </c>
      <c r="E123" s="17"/>
      <c r="F123" s="17"/>
      <c r="G123" s="17"/>
      <c r="H123" s="17"/>
      <c r="I123" s="17"/>
      <c r="Y123" s="15" t="s">
        <v>1476</v>
      </c>
      <c r="Z123" s="19"/>
      <c r="AA123" s="61" t="str">
        <f t="shared" ref="AA123:AA132" si="21">_xlfn.LET(_xlpm.name,VLOOKUP(Y123,$E$2:$F$362,2,FALSE),_xlpm.paid,_xlfn.IFNA(VLOOKUP(_xlpm.name,$F$121:$Q$215,11,FALSE)&gt;=VLOOKUP(_xlpm.name,$F$121:$Q$215,12,FALSE),FALSE),IF(AND(_xlpm.name&lt;&gt;"",_xlpm.paid),_xlpm.name,""))</f>
        <v/>
      </c>
    </row>
    <row r="124" spans="1:27">
      <c r="A124" s="1" t="s">
        <v>123</v>
      </c>
      <c r="B124" t="str">
        <f t="shared" si="20"/>
        <v>¬</v>
      </c>
      <c r="D124" s="19"/>
      <c r="E124" s="15" t="s">
        <v>83</v>
      </c>
      <c r="F124" s="19"/>
      <c r="G124" s="19"/>
      <c r="H124" s="19"/>
      <c r="I124" s="19"/>
      <c r="L124" s="4">
        <v>3</v>
      </c>
      <c r="M124" s="61">
        <f>IFERROR(VLOOKUP(G13,tblEffectiveStatus[#Data],2,FALSE),0)</f>
        <v>0</v>
      </c>
      <c r="P124" s="60">
        <f>MIN(L124+M124,R124)</f>
        <v>3</v>
      </c>
      <c r="R124" s="61">
        <v>10</v>
      </c>
      <c r="Y124" s="15" t="s">
        <v>1477</v>
      </c>
      <c r="Z124" s="19"/>
      <c r="AA124" s="61" t="str">
        <f t="shared" si="21"/>
        <v/>
      </c>
    </row>
    <row r="125" spans="1:27">
      <c r="A125" s="1" t="s">
        <v>124</v>
      </c>
      <c r="B125" t="str">
        <f t="shared" si="20"/>
        <v>¬</v>
      </c>
      <c r="D125" s="19"/>
      <c r="E125" s="15" t="str">
        <f>IF(F7="","Clan Status",F7&amp;" Status")</f>
        <v>Nosferatu Status</v>
      </c>
      <c r="F125" s="19"/>
      <c r="G125" s="19"/>
      <c r="H125" s="19"/>
      <c r="I125" s="19"/>
      <c r="L125" s="4">
        <v>2</v>
      </c>
      <c r="P125" s="60">
        <f>IF(L125="",0,MIN(L125,R125))</f>
        <v>2</v>
      </c>
      <c r="R125" s="61">
        <v>5</v>
      </c>
      <c r="Y125" s="15" t="s">
        <v>1478</v>
      </c>
      <c r="Z125" s="19"/>
      <c r="AA125" s="61" t="str">
        <f t="shared" si="21"/>
        <v/>
      </c>
    </row>
    <row r="126" spans="1:27">
      <c r="A126" s="1" t="s">
        <v>125</v>
      </c>
      <c r="B126" t="str">
        <f t="shared" si="20"/>
        <v>¬</v>
      </c>
      <c r="D126" s="19"/>
      <c r="E126" s="15" t="str">
        <f>IF(F9="","",F9&amp;" Status")</f>
        <v>Lancea et Sanctum Status</v>
      </c>
      <c r="F126" s="19" t="str">
        <f>IF(F9="","",VLOOKUP(F9,tblCovenantShortName[#Data],2,FALSE))</f>
        <v>Lance</v>
      </c>
      <c r="G126" s="19"/>
      <c r="H126" s="19"/>
      <c r="I126" s="19"/>
      <c r="L126" s="4">
        <v>4</v>
      </c>
      <c r="P126" s="60">
        <f>L126</f>
        <v>4</v>
      </c>
      <c r="R126" s="61">
        <f>5-SUM(L127:L129)</f>
        <v>5</v>
      </c>
      <c r="Y126" s="15" t="s">
        <v>1479</v>
      </c>
      <c r="Z126" s="19"/>
      <c r="AA126" s="61" t="str">
        <f t="shared" si="21"/>
        <v/>
      </c>
    </row>
    <row r="127" spans="1:27">
      <c r="A127" s="1" t="s">
        <v>126</v>
      </c>
      <c r="B127" t="str">
        <f t="shared" si="20"/>
        <v>¬</v>
      </c>
      <c r="D127" s="19"/>
      <c r="E127" s="15" t="str" cm="1">
        <f t="array" ref="E127">IF(F9="","",IFERROR(INDEX(Lists!$F$2:$F$5,SMALL(IF(Lists!$F$2:$F$5&lt;&gt;$F$9,ROW(Lists!$F$2:$F$5)-ROW(Lists!$F$2)+1),1))&amp;" Status",""))</f>
        <v>Carthian Movement Status</v>
      </c>
      <c r="F127" s="19" t="str" cm="1">
        <f t="array" ref="F127">IF(F9="","",IFERROR(VLOOKUP(INDEX(Lists!$F$2:$F$5,SMALL(IF(Lists!$F$2:$F$5&lt;&gt;$F$9,ROW(Lists!$F$2:$F$5)-ROW(Lists!$F$2)+1),1)),tblCovenantShortName[],2,FALSE),""))</f>
        <v>Carthian</v>
      </c>
      <c r="G127" s="19"/>
      <c r="H127" s="19"/>
      <c r="I127" s="19"/>
      <c r="L127" s="4"/>
      <c r="P127" s="60">
        <f>L127</f>
        <v>0</v>
      </c>
      <c r="R127" s="61">
        <f>MAX(0,MIN(P126-1,5-L126-L128-L129))</f>
        <v>1</v>
      </c>
      <c r="Y127" s="15" t="s">
        <v>1480</v>
      </c>
      <c r="Z127" s="19"/>
      <c r="AA127" s="61" t="str">
        <f t="shared" si="21"/>
        <v/>
      </c>
    </row>
    <row r="128" spans="1:27">
      <c r="A128" s="1" t="s">
        <v>127</v>
      </c>
      <c r="B128" t="str">
        <f t="shared" si="20"/>
        <v>¬</v>
      </c>
      <c r="D128" s="19"/>
      <c r="E128" s="15" t="str" cm="1">
        <f t="array" ref="E128">IF(F9="","",IFERROR(INDEX(Lists!$F$2:$F$5,SMALL(IF(Lists!$F$2:$F$5&lt;&gt;$F$9,ROW(Lists!$F$2:$F$5)-ROW(Lists!$F$2)+1),2))&amp;" Status",""))</f>
        <v>Circle of the Crone Status</v>
      </c>
      <c r="F128" s="19" t="str" cm="1">
        <f t="array" ref="F128">IF(F9="","",IFERROR(VLOOKUP(INDEX(Lists!$F$2:$F$5,SMALL(IF(Lists!$F$2:$F$5&lt;&gt;$F$9,ROW(Lists!$F$2:$F$5)-ROW(Lists!$F$2)+1),2)),tblCovenantShortName[],2,FALSE),""))</f>
        <v>Crone</v>
      </c>
      <c r="G128" s="19"/>
      <c r="H128" s="19"/>
      <c r="I128" s="19"/>
      <c r="L128" s="4"/>
      <c r="P128" s="60">
        <f>L128</f>
        <v>0</v>
      </c>
      <c r="R128" s="61">
        <f>MAX(0,MIN(P126-1,5-L126-L127-L129))</f>
        <v>1</v>
      </c>
      <c r="Y128" s="15" t="s">
        <v>1481</v>
      </c>
      <c r="Z128" s="19"/>
      <c r="AA128" s="61" t="str">
        <f t="shared" si="21"/>
        <v/>
      </c>
    </row>
    <row r="129" spans="1:32">
      <c r="A129" s="1" t="s">
        <v>128</v>
      </c>
      <c r="B129" t="str">
        <f t="shared" si="20"/>
        <v>¬</v>
      </c>
      <c r="D129" s="19"/>
      <c r="E129" s="15" t="str" cm="1">
        <f t="array" ref="E129">IF(F9="","",IFERROR(INDEX(Lists!$F$2:$F$5,SMALL(IF(Lists!$F$2:$F$5&lt;&gt;$F$9,ROW(Lists!$F$2:$F$5)-ROW(Lists!$F$2)+1),3))&amp;" Status",""))</f>
        <v>Invictus Status</v>
      </c>
      <c r="F129" s="19" t="str" cm="1">
        <f t="array" ref="F129">IF(F9="","",IFERROR(VLOOKUP(INDEX(Lists!$F$2:$F$5,SMALL(IF(Lists!$F$2:$F$5&lt;&gt;$F$9,ROW(Lists!$F$2:$F$5)-ROW(Lists!$F$2)+1),3)),tblCovenantShortName[],2,FALSE),""))</f>
        <v>Invictus</v>
      </c>
      <c r="G129" s="19"/>
      <c r="H129" s="19"/>
      <c r="I129" s="19"/>
      <c r="L129" s="4"/>
      <c r="P129" s="60">
        <f>L129</f>
        <v>0</v>
      </c>
      <c r="R129" s="61">
        <f>MAX(0,MIN(P126-1,5-L126-L127-L128))</f>
        <v>1</v>
      </c>
      <c r="Y129" s="15" t="s">
        <v>1482</v>
      </c>
      <c r="Z129" s="19"/>
      <c r="AA129" s="61" t="str">
        <f t="shared" si="21"/>
        <v/>
      </c>
    </row>
    <row r="130" spans="1:32">
      <c r="A130" s="1" t="s">
        <v>129</v>
      </c>
      <c r="B130" t="str">
        <f t="shared" si="20"/>
        <v>¬</v>
      </c>
      <c r="Y130" s="15" t="s">
        <v>1483</v>
      </c>
      <c r="Z130" s="19"/>
      <c r="AA130" s="61" t="str">
        <f t="shared" si="21"/>
        <v/>
      </c>
    </row>
    <row r="131" spans="1:32">
      <c r="A131" s="1" t="s">
        <v>130</v>
      </c>
      <c r="B131" t="str">
        <f t="shared" si="20"/>
        <v>¬</v>
      </c>
      <c r="D131" s="16" t="s">
        <v>1475</v>
      </c>
      <c r="E131" s="17"/>
      <c r="F131" s="16" t="s">
        <v>1446</v>
      </c>
      <c r="G131" s="17"/>
      <c r="H131" s="17"/>
      <c r="I131" s="17"/>
      <c r="Y131" s="15" t="s">
        <v>1484</v>
      </c>
      <c r="Z131" s="19"/>
      <c r="AA131" s="61" t="str">
        <f t="shared" si="21"/>
        <v/>
      </c>
    </row>
    <row r="132" spans="1:32">
      <c r="A132" s="1" t="s">
        <v>131</v>
      </c>
      <c r="B132" t="str">
        <f t="shared" si="20"/>
        <v>¬</v>
      </c>
      <c r="D132" s="19"/>
      <c r="E132" s="15" t="s">
        <v>94</v>
      </c>
      <c r="F132" s="3"/>
      <c r="G132" s="19"/>
      <c r="H132" s="19"/>
      <c r="I132" s="19"/>
      <c r="L132" s="4">
        <v>1</v>
      </c>
      <c r="M132" s="4"/>
      <c r="N132" s="4"/>
      <c r="O132" s="61">
        <f>N132</f>
        <v>0</v>
      </c>
      <c r="P132" s="60">
        <f>MIN(SUM(L132,M132,O132),R132)</f>
        <v>1</v>
      </c>
      <c r="Q132" s="61">
        <f>_xlfn.IFNA(VLOOKUP($E132,tblDomain[],3,FALSE),"")</f>
        <v>1</v>
      </c>
      <c r="R132" s="61">
        <f>_xlfn.IFNA(VLOOKUP($E132,tblDomain[],4,FALSE),"")</f>
        <v>5</v>
      </c>
      <c r="Y132" s="15" t="s">
        <v>1485</v>
      </c>
      <c r="Z132" s="19"/>
      <c r="AA132" s="61" t="str">
        <f t="shared" si="21"/>
        <v/>
      </c>
    </row>
    <row r="133" spans="1:32">
      <c r="A133" s="1" t="s">
        <v>132</v>
      </c>
      <c r="B133" t="str">
        <f t="shared" si="20"/>
        <v>¬</v>
      </c>
      <c r="D133" s="19"/>
      <c r="E133" s="15" t="s">
        <v>95</v>
      </c>
      <c r="F133" s="3"/>
      <c r="G133" s="19"/>
      <c r="H133" s="19"/>
      <c r="I133" s="19"/>
      <c r="L133" s="4">
        <v>1</v>
      </c>
      <c r="M133" s="4"/>
      <c r="N133" s="4"/>
      <c r="O133" s="61">
        <f>N133</f>
        <v>0</v>
      </c>
      <c r="P133" s="60">
        <f>MIN(SUM(L133,M133,O133),R133)</f>
        <v>1</v>
      </c>
      <c r="Q133" s="61">
        <f>_xlfn.IFNA(VLOOKUP($E133,tblDomain[],3,FALSE),"")</f>
        <v>1</v>
      </c>
      <c r="R133" s="61">
        <f>_xlfn.IFNA(VLOOKUP($E133,tblDomain[],4,FALSE),"")</f>
        <v>5</v>
      </c>
    </row>
    <row r="134" spans="1:32">
      <c r="A134" s="1" t="s">
        <v>133</v>
      </c>
      <c r="B134" t="str">
        <f t="shared" si="20"/>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2">_xlfn.LET(_xlpm.name,VLOOKUP(Y134,$E$2:$F$362,2,FALSE),_xlpm.note,VLOOKUP(Y134,$E$2:$G$362,3,FALSE),_xlpm.row,MATCH(Y134,$E$138:$E$157,0),_xlpm.dots,INDEX($P$138:$P$157,_xlpm.row),_xlpm.max,INDEX($Q$138:$Q$157,_xlpm.row),_xlpm.paid,_xlfn.IFNA(_xlpm.dots&gt;=_xlpm.max,FALSE),IF(AND(_xlpm.name&lt;&gt;"",_xlpm.paid),IF(_xlpm.note="",_xlpm.name,_xlpm.name&amp;" ("&amp;_xlpm.note&amp;")"),""))</f>
        <v>Retainer (ghoul)</v>
      </c>
      <c r="AC134" s="60" t="str" cm="1">
        <f t="array" ref="AC134">_xlfn.LET(_xlpm.raw,IFERROR(_xlfn.VSTACK(IFERROR(_xlfn._xlws.SORT(_xlfn._xlws.FILTER(AA134:AA211,AA134:AA211&lt;&gt;"")),""),IFERROR(_xlfn._xlws.SORT(_xlfn._xlws.FILTER(AA213:AA222,AA213:AA222&lt;&gt;"")),"")),""),_xlpm.sorted,IFERROR(_xlfn._xlws.FILTER(_xlpm.raw,_xlpm.raw&lt;&gt;""),""),IFERROR(LEFT(_xlpm.sorted,FIND(" (",_xlpm.sorted)-1),_xlpm.sorted))</f>
        <v>Retainer</v>
      </c>
      <c r="AD134" s="20" t="str" cm="1">
        <f t="array" ref="AD134">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ghoul</v>
      </c>
      <c r="AE134" s="20">
        <f t="shared" ref="AE134:AE153" si="23">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0</v>
      </c>
      <c r="AF134" s="61" cm="1">
        <f t="array" ref="AF134">IF(AC134="","",SUMPRODUCT(($F$138:$F$157=AC134)*($G$138:$G$157=IF(AD134="","",AD134))*$P$138:$P$157))</f>
        <v>1</v>
      </c>
    </row>
    <row r="135" spans="1:32">
      <c r="A135" s="1" t="s">
        <v>134</v>
      </c>
      <c r="B135" t="str">
        <f t="shared" si="20"/>
        <v>¬</v>
      </c>
      <c r="D135" s="19"/>
      <c r="E135" s="15" t="s">
        <v>97</v>
      </c>
      <c r="F135" s="19"/>
      <c r="G135" s="19"/>
      <c r="H135" s="19"/>
      <c r="I135" s="19"/>
      <c r="L135" s="4">
        <v>3</v>
      </c>
      <c r="M135" s="4"/>
      <c r="N135" s="4"/>
      <c r="O135" s="61">
        <f>N135</f>
        <v>0</v>
      </c>
      <c r="P135" s="60">
        <f>MIN(SUM(L135,M135,O135),R135)</f>
        <v>3</v>
      </c>
      <c r="Q135" s="61">
        <f>_xlfn.IFNA(VLOOKUP($E135,tblDomain[],3,FALSE),"")</f>
        <v>1</v>
      </c>
      <c r="R135" s="61">
        <f>_xlfn.IFNA(VLOOKUP($E135,tblDomain[],4,FALSE),"")</f>
        <v>5</v>
      </c>
      <c r="Y135" s="15" t="s">
        <v>177</v>
      </c>
      <c r="Z135" s="19"/>
      <c r="AA135" s="61" t="str">
        <f t="shared" si="22"/>
        <v/>
      </c>
      <c r="AC135" s="60"/>
      <c r="AD135" s="20"/>
      <c r="AE135" s="20" t="str">
        <f t="shared" si="23"/>
        <v/>
      </c>
      <c r="AF135" s="61" t="str" cm="1">
        <f t="array" ref="AF135">IF(AC135="","",SUMPRODUCT(($F$138:$F$157=AC135)*($G$138:$G$157=IF(AD135="","",AD135))*$P$138:$P$157))</f>
        <v/>
      </c>
    </row>
    <row r="136" spans="1:32">
      <c r="A136" s="1" t="s">
        <v>135</v>
      </c>
      <c r="B136" t="str">
        <f t="shared" si="20"/>
        <v>¬</v>
      </c>
      <c r="Y136" s="15" t="s">
        <v>178</v>
      </c>
      <c r="Z136" s="19"/>
      <c r="AA136" s="61" t="str">
        <f t="shared" si="22"/>
        <v/>
      </c>
      <c r="AC136" s="60"/>
      <c r="AD136" s="20"/>
      <c r="AE136" s="20" t="str">
        <f t="shared" si="23"/>
        <v/>
      </c>
      <c r="AF136" s="61" t="str" cm="1">
        <f t="array" ref="AF136">IF(AC136="","",SUMPRODUCT(($F$138:$F$157=AC136)*($G$138:$G$157=IF(AD136="","",AD136))*$P$138:$P$157))</f>
        <v/>
      </c>
    </row>
    <row r="137" spans="1:32">
      <c r="A137" s="1" t="s">
        <v>136</v>
      </c>
      <c r="B137" t="str">
        <f t="shared" si="20"/>
        <v>¬</v>
      </c>
      <c r="D137" s="16" t="s">
        <v>174</v>
      </c>
      <c r="E137" s="17"/>
      <c r="F137" s="17"/>
      <c r="G137" s="17"/>
      <c r="H137" s="61">
        <f>L225</f>
        <v>1</v>
      </c>
      <c r="I137" s="61">
        <f>SUM(AE134:AE155)+SUM(P125:P129)</f>
        <v>6</v>
      </c>
      <c r="Y137" s="15" t="s">
        <v>179</v>
      </c>
      <c r="Z137" s="19"/>
      <c r="AA137" s="61" t="str">
        <f t="shared" si="22"/>
        <v/>
      </c>
      <c r="AC137" s="60"/>
      <c r="AD137" s="20"/>
      <c r="AE137" s="20" t="str">
        <f t="shared" si="23"/>
        <v/>
      </c>
      <c r="AF137" s="61" t="str" cm="1">
        <f t="array" ref="AF137">IF(AC137="","",SUMPRODUCT(($F$138:$F$157=AC137)*($G$138:$G$157=IF(AD137="","",AD137))*$P$138:$P$157))</f>
        <v/>
      </c>
    </row>
    <row r="138" spans="1:32">
      <c r="A138" s="1" t="s">
        <v>137</v>
      </c>
      <c r="B138" t="str">
        <f t="shared" si="20"/>
        <v>¬</v>
      </c>
      <c r="D138" s="19"/>
      <c r="E138" s="15" t="s">
        <v>176</v>
      </c>
      <c r="F138" s="3" t="s">
        <v>468</v>
      </c>
      <c r="G138" s="3" t="s">
        <v>865</v>
      </c>
      <c r="H138" s="67" t="str">
        <f>IFERROR(IF(VLOOKUP(F138,tblManoeuvre[],8,FALSE)=0,"None",VLOOKUP(F138,tblManoeuvre[],8,FALSE)),"None")</f>
        <v>None</v>
      </c>
      <c r="I138" s="67"/>
      <c r="L138" s="4">
        <v>1</v>
      </c>
      <c r="M138" s="4"/>
      <c r="N138" s="4"/>
      <c r="O138" s="61">
        <f t="shared" ref="O138:O157" si="24">N138</f>
        <v>0</v>
      </c>
      <c r="P138" s="60">
        <f t="shared" ref="P138:P157" si="25">MIN(SUM(L138,M138,O138),R138)</f>
        <v>1</v>
      </c>
      <c r="Q138" s="61">
        <f>_xlfn.IFNA(VLOOKUP($F138,tblInfluence[],3,FALSE),"")</f>
        <v>1</v>
      </c>
      <c r="R138" s="61">
        <f>_xlfn.IFNA(VLOOKUP($F138,tblInfluence[],4,FALSE),"")</f>
        <v>5</v>
      </c>
      <c r="Y138" s="15" t="s">
        <v>180</v>
      </c>
      <c r="Z138" s="19"/>
      <c r="AA138" s="61" t="str">
        <f t="shared" si="22"/>
        <v/>
      </c>
      <c r="AC138" s="60"/>
      <c r="AD138" s="20"/>
      <c r="AE138" s="20" t="str">
        <f t="shared" si="23"/>
        <v/>
      </c>
      <c r="AF138" s="61" t="str" cm="1">
        <f t="array" ref="AF138">IF(AC138="","",SUMPRODUCT(($F$138:$F$157=AC138)*($G$138:$G$157=IF(AD138="","",AD138))*$P$138:$P$157))</f>
        <v/>
      </c>
    </row>
    <row r="139" spans="1:32">
      <c r="A139" s="1" t="s">
        <v>138</v>
      </c>
      <c r="B139" t="str">
        <f t="shared" si="20"/>
        <v>¬</v>
      </c>
      <c r="D139" s="19"/>
      <c r="E139" s="15" t="s">
        <v>177</v>
      </c>
      <c r="F139" s="3"/>
      <c r="G139" s="3"/>
      <c r="H139" s="67" t="str">
        <f>IFERROR(IF(VLOOKUP(F139,tblManoeuvre[],8,FALSE)=0,"None",VLOOKUP(F139,tblManoeuvre[],8,FALSE)),"None")</f>
        <v>None</v>
      </c>
      <c r="I139" s="67"/>
      <c r="L139" s="4"/>
      <c r="M139" s="4"/>
      <c r="N139" s="4"/>
      <c r="O139" s="61">
        <f t="shared" si="24"/>
        <v>0</v>
      </c>
      <c r="P139" s="60">
        <f t="shared" si="25"/>
        <v>0</v>
      </c>
      <c r="Q139" s="61" t="str">
        <f>_xlfn.IFNA(VLOOKUP($F139,tblInfluence[],3,FALSE),"")</f>
        <v/>
      </c>
      <c r="R139" s="61" t="str">
        <f>_xlfn.IFNA(VLOOKUP($F139,tblInfluence[],4,FALSE),"")</f>
        <v/>
      </c>
      <c r="Y139" s="15" t="s">
        <v>181</v>
      </c>
      <c r="Z139" s="19"/>
      <c r="AA139" s="61" t="str">
        <f t="shared" si="22"/>
        <v/>
      </c>
      <c r="AC139" s="60"/>
      <c r="AD139" s="20"/>
      <c r="AE139" s="20" t="str">
        <f t="shared" si="23"/>
        <v/>
      </c>
      <c r="AF139" s="61" t="str" cm="1">
        <f t="array" ref="AF139">IF(AC139="","",SUMPRODUCT(($F$138:$F$157=AC139)*($G$138:$G$157=IF(AD139="","",AD139))*$P$138:$P$157))</f>
        <v/>
      </c>
    </row>
    <row r="140" spans="1:32">
      <c r="A140" s="1" t="s">
        <v>139</v>
      </c>
      <c r="B140" t="str">
        <f t="shared" si="20"/>
        <v>¬</v>
      </c>
      <c r="D140" s="19"/>
      <c r="E140" s="15" t="s">
        <v>178</v>
      </c>
      <c r="F140" s="3"/>
      <c r="G140" s="3"/>
      <c r="H140" s="67" t="str">
        <f>IFERROR(IF(VLOOKUP(F140,tblManoeuvre[],8,FALSE)=0,"None",VLOOKUP(F140,tblManoeuvre[],8,FALSE)),"None")</f>
        <v>None</v>
      </c>
      <c r="I140" s="67"/>
      <c r="L140" s="4"/>
      <c r="M140" s="4"/>
      <c r="N140" s="4"/>
      <c r="O140" s="61">
        <f t="shared" si="24"/>
        <v>0</v>
      </c>
      <c r="P140" s="60">
        <f t="shared" si="25"/>
        <v>0</v>
      </c>
      <c r="Q140" s="61" t="str">
        <f>_xlfn.IFNA(VLOOKUP($F140,tblInfluence[],3,FALSE),"")</f>
        <v/>
      </c>
      <c r="R140" s="61" t="str">
        <f>_xlfn.IFNA(VLOOKUP($F140,tblInfluence[],4,FALSE),"")</f>
        <v/>
      </c>
      <c r="Y140" s="15" t="s">
        <v>182</v>
      </c>
      <c r="Z140" s="19"/>
      <c r="AA140" s="61" t="str">
        <f t="shared" si="22"/>
        <v/>
      </c>
      <c r="AC140" s="60"/>
      <c r="AD140" s="20"/>
      <c r="AE140" s="20" t="str">
        <f t="shared" si="23"/>
        <v/>
      </c>
      <c r="AF140" s="61" t="str" cm="1">
        <f t="array" ref="AF140">IF(AC140="","",SUMPRODUCT(($F$138:$F$157=AC140)*($G$138:$G$157=IF(AD140="","",AD140))*$P$138:$P$157))</f>
        <v/>
      </c>
    </row>
    <row r="141" spans="1:32">
      <c r="A141" s="1" t="s">
        <v>140</v>
      </c>
      <c r="B141" t="str">
        <f t="shared" si="20"/>
        <v>¬</v>
      </c>
      <c r="D141" s="19"/>
      <c r="E141" s="15" t="s">
        <v>179</v>
      </c>
      <c r="F141" s="3"/>
      <c r="G141" s="3" t="str">
        <f>IFERROR(VLOOKUP(F141,tblManoeuvre[#Data],2,FALSE)&amp;" "&amp;VLOOKUP(F141,tblManoeuvre[#Data],3,FALSE),"")</f>
        <v/>
      </c>
      <c r="H141" s="67" t="str">
        <f>IFERROR(IF(VLOOKUP(F141,tblManoeuvre[],8,FALSE)=0,"None",VLOOKUP(F141,tblManoeuvre[],8,FALSE)),"None")</f>
        <v>None</v>
      </c>
      <c r="I141" s="67"/>
      <c r="L141" s="4"/>
      <c r="M141" s="4"/>
      <c r="N141" s="4"/>
      <c r="O141" s="61">
        <f t="shared" si="24"/>
        <v>0</v>
      </c>
      <c r="P141" s="60">
        <f t="shared" si="25"/>
        <v>0</v>
      </c>
      <c r="Q141" s="61" t="str">
        <f>_xlfn.IFNA(VLOOKUP($F141,tblInfluence[],3,FALSE),"")</f>
        <v/>
      </c>
      <c r="R141" s="61" t="str">
        <f>_xlfn.IFNA(VLOOKUP($F141,tblInfluence[],4,FALSE),"")</f>
        <v/>
      </c>
      <c r="Y141" s="15" t="s">
        <v>183</v>
      </c>
      <c r="Z141" s="19"/>
      <c r="AA141" s="61" t="str">
        <f t="shared" si="22"/>
        <v/>
      </c>
      <c r="AC141" s="60"/>
      <c r="AD141" s="20"/>
      <c r="AE141" s="20" t="str">
        <f t="shared" si="23"/>
        <v/>
      </c>
      <c r="AF141" s="61" t="str" cm="1">
        <f t="array" ref="AF141">IF(AC141="","",SUMPRODUCT(($F$138:$F$157=AC141)*($G$138:$G$157=IF(AD141="","",AD141))*$P$138:$P$157))</f>
        <v/>
      </c>
    </row>
    <row r="142" spans="1:32">
      <c r="A142" s="1" t="s">
        <v>141</v>
      </c>
      <c r="B142" t="str">
        <f t="shared" si="20"/>
        <v>¬</v>
      </c>
      <c r="D142" s="19"/>
      <c r="E142" s="15" t="s">
        <v>180</v>
      </c>
      <c r="F142" s="3"/>
      <c r="G142" s="3" t="str">
        <f>IFERROR(VLOOKUP(F142,tblManoeuvre[#Data],2,FALSE)&amp;" "&amp;VLOOKUP(F142,tblManoeuvre[#Data],3,FALSE),"")</f>
        <v/>
      </c>
      <c r="H142" s="67" t="str">
        <f>IFERROR(IF(VLOOKUP(F142,tblManoeuvre[],8,FALSE)=0,"None",VLOOKUP(F142,tblManoeuvre[],8,FALSE)),"None")</f>
        <v>None</v>
      </c>
      <c r="I142" s="67"/>
      <c r="L142" s="4"/>
      <c r="M142" s="4"/>
      <c r="N142" s="4"/>
      <c r="O142" s="61">
        <f t="shared" si="24"/>
        <v>0</v>
      </c>
      <c r="P142" s="60">
        <f t="shared" si="25"/>
        <v>0</v>
      </c>
      <c r="Q142" s="61" t="str">
        <f>_xlfn.IFNA(VLOOKUP($F142,tblInfluence[],3,FALSE),"")</f>
        <v/>
      </c>
      <c r="R142" s="61" t="str">
        <f>_xlfn.IFNA(VLOOKUP($F142,tblInfluence[],4,FALSE),"")</f>
        <v/>
      </c>
      <c r="Y142" s="15" t="s">
        <v>184</v>
      </c>
      <c r="Z142" s="19"/>
      <c r="AA142" s="61" t="str">
        <f t="shared" si="22"/>
        <v/>
      </c>
      <c r="AC142" s="60"/>
      <c r="AD142" s="20"/>
      <c r="AE142" s="20" t="str">
        <f t="shared" si="23"/>
        <v/>
      </c>
      <c r="AF142" s="61" t="str" cm="1">
        <f t="array" ref="AF142">IF(AC142="","",SUMPRODUCT(($F$138:$F$157=AC142)*($G$138:$G$157=IF(AD142="","",AD142))*$P$138:$P$157))</f>
        <v/>
      </c>
    </row>
    <row r="143" spans="1:32">
      <c r="A143" s="1" t="s">
        <v>142</v>
      </c>
      <c r="B143" t="str">
        <f t="shared" si="20"/>
        <v>¬</v>
      </c>
      <c r="D143" s="19"/>
      <c r="E143" s="15" t="s">
        <v>181</v>
      </c>
      <c r="F143" s="3"/>
      <c r="G143" s="3" t="str">
        <f>IFERROR(VLOOKUP(F143,tblManoeuvre[#Data],2,FALSE)&amp;" "&amp;VLOOKUP(F143,tblManoeuvre[#Data],3,FALSE),"")</f>
        <v/>
      </c>
      <c r="H143" s="67" t="str">
        <f>IFERROR(IF(VLOOKUP(F143,tblManoeuvre[],8,FALSE)=0,"None",VLOOKUP(F143,tblManoeuvre[],8,FALSE)),"None")</f>
        <v>None</v>
      </c>
      <c r="I143" s="67"/>
      <c r="L143" s="4"/>
      <c r="M143" s="4"/>
      <c r="N143" s="4"/>
      <c r="O143" s="61">
        <f t="shared" si="24"/>
        <v>0</v>
      </c>
      <c r="P143" s="60">
        <f t="shared" si="25"/>
        <v>0</v>
      </c>
      <c r="Q143" s="61" t="str">
        <f>_xlfn.IFNA(VLOOKUP($F143,tblInfluence[],3,FALSE),"")</f>
        <v/>
      </c>
      <c r="R143" s="61" t="str">
        <f>_xlfn.IFNA(VLOOKUP($F143,tblInfluence[],4,FALSE),"")</f>
        <v/>
      </c>
      <c r="Y143" s="15" t="s">
        <v>185</v>
      </c>
      <c r="Z143" s="19"/>
      <c r="AA143" s="61" t="str">
        <f t="shared" si="22"/>
        <v/>
      </c>
      <c r="AC143" s="60"/>
      <c r="AD143" s="20"/>
      <c r="AE143" s="20" t="str">
        <f t="shared" si="23"/>
        <v/>
      </c>
      <c r="AF143" s="61" t="str" cm="1">
        <f t="array" ref="AF143">IF(AC143="","",SUMPRODUCT(($F$138:$F$157=AC143)*($G$138:$G$157=IF(AD143="","",AD143))*$P$138:$P$157))</f>
        <v/>
      </c>
    </row>
    <row r="144" spans="1:32">
      <c r="A144" s="1" t="s">
        <v>143</v>
      </c>
      <c r="B144" t="str">
        <f t="shared" si="20"/>
        <v>¬</v>
      </c>
      <c r="D144" s="19"/>
      <c r="E144" s="15" t="s">
        <v>182</v>
      </c>
      <c r="F144" s="3"/>
      <c r="G144" s="3" t="str">
        <f>IFERROR(VLOOKUP(F144,tblManoeuvre[#Data],2,FALSE)&amp;" "&amp;VLOOKUP(F144,tblManoeuvre[#Data],3,FALSE),"")</f>
        <v/>
      </c>
      <c r="H144" s="67" t="str">
        <f>IFERROR(IF(VLOOKUP(F144,tblManoeuvre[],8,FALSE)=0,"None",VLOOKUP(F144,tblManoeuvre[],8,FALSE)),"None")</f>
        <v>None</v>
      </c>
      <c r="I144" s="67"/>
      <c r="L144" s="4"/>
      <c r="M144" s="4"/>
      <c r="N144" s="4"/>
      <c r="O144" s="61">
        <f t="shared" si="24"/>
        <v>0</v>
      </c>
      <c r="P144" s="60">
        <f t="shared" si="25"/>
        <v>0</v>
      </c>
      <c r="Q144" s="61" t="str">
        <f>_xlfn.IFNA(VLOOKUP($F144,tblInfluence[],3,FALSE),"")</f>
        <v/>
      </c>
      <c r="R144" s="61" t="str">
        <f>_xlfn.IFNA(VLOOKUP($F144,tblInfluence[],4,FALSE),"")</f>
        <v/>
      </c>
      <c r="Y144" s="15" t="s">
        <v>186</v>
      </c>
      <c r="Z144" s="19"/>
      <c r="AA144" s="61" t="str">
        <f t="shared" si="22"/>
        <v/>
      </c>
      <c r="AC144" s="60"/>
      <c r="AD144" s="20"/>
      <c r="AE144" s="20" t="str">
        <f t="shared" si="23"/>
        <v/>
      </c>
      <c r="AF144" s="61" t="str" cm="1">
        <f t="array" ref="AF144">IF(AC144="","",SUMPRODUCT(($F$138:$F$157=AC144)*($G$138:$G$157=IF(AD144="","",AD144))*$P$138:$P$157))</f>
        <v/>
      </c>
    </row>
    <row r="145" spans="1:32">
      <c r="A145" s="1" t="s">
        <v>144</v>
      </c>
      <c r="B145" t="str">
        <f t="shared" ref="B145:B174" si="26">IF(AF2="","¬",AF2)</f>
        <v>Herd serves as Willpower source. Dots apply as additional Herd dots.</v>
      </c>
      <c r="D145" s="19"/>
      <c r="E145" s="15" t="s">
        <v>183</v>
      </c>
      <c r="F145" s="3"/>
      <c r="G145" s="3" t="str">
        <f>IFERROR(VLOOKUP(F145,tblManoeuvre[#Data],2,FALSE)&amp;" "&amp;VLOOKUP(F145,tblManoeuvre[#Data],3,FALSE),"")</f>
        <v/>
      </c>
      <c r="H145" s="67" t="str">
        <f>IFERROR(IF(VLOOKUP(F145,tblManoeuvre[],8,FALSE)=0,"None",VLOOKUP(F145,tblManoeuvre[],8,FALSE)),"None")</f>
        <v>None</v>
      </c>
      <c r="I145" s="67"/>
      <c r="L145" s="4"/>
      <c r="M145" s="4"/>
      <c r="N145" s="4"/>
      <c r="O145" s="61">
        <f t="shared" si="24"/>
        <v>0</v>
      </c>
      <c r="P145" s="60">
        <f t="shared" si="25"/>
        <v>0</v>
      </c>
      <c r="Q145" s="61" t="str">
        <f>_xlfn.IFNA(VLOOKUP($F145,tblInfluence[],3,FALSE),"")</f>
        <v/>
      </c>
      <c r="R145" s="61" t="str">
        <f>_xlfn.IFNA(VLOOKUP($F145,tblInfluence[],4,FALSE),"")</f>
        <v/>
      </c>
      <c r="Y145" s="15" t="s">
        <v>187</v>
      </c>
      <c r="Z145" s="19"/>
      <c r="AA145" s="61" t="str">
        <f t="shared" si="22"/>
        <v/>
      </c>
      <c r="AC145" s="60"/>
      <c r="AD145" s="20"/>
      <c r="AE145" s="20" t="str">
        <f t="shared" si="23"/>
        <v/>
      </c>
      <c r="AF145" s="61" t="str" cm="1">
        <f t="array" ref="AF145">IF(AC145="","",SUMPRODUCT(($F$138:$F$157=AC145)*($G$138:$G$157=IF(AD145="","",AD145))*$P$138:$P$157))</f>
        <v/>
      </c>
    </row>
    <row r="146" spans="1:32">
      <c r="A146" s="1" t="s">
        <v>145</v>
      </c>
      <c r="B146" t="str">
        <f t="shared" si="26"/>
        <v>Bleed dots in Vitae weekly (or at will for Willpower). This Vitae inspires without addiction or bonding, bolstering Theban Sorcery and Willpower.</v>
      </c>
      <c r="D146" s="19"/>
      <c r="E146" s="15" t="s">
        <v>184</v>
      </c>
      <c r="F146" s="3"/>
      <c r="G146" s="3" t="str">
        <f>IFERROR(VLOOKUP(F146,tblManoeuvre[#Data],2,FALSE)&amp;" "&amp;VLOOKUP(F146,tblManoeuvre[#Data],3,FALSE),"")</f>
        <v/>
      </c>
      <c r="H146" s="67" t="str">
        <f>IFERROR(IF(VLOOKUP(F146,tblManoeuvre[],8,FALSE)=0,"None",VLOOKUP(F146,tblManoeuvre[],8,FALSE)),"None")</f>
        <v>None</v>
      </c>
      <c r="I146" s="67"/>
      <c r="L146" s="4"/>
      <c r="M146" s="4"/>
      <c r="N146" s="4"/>
      <c r="O146" s="61">
        <f t="shared" si="24"/>
        <v>0</v>
      </c>
      <c r="P146" s="60">
        <f t="shared" si="25"/>
        <v>0</v>
      </c>
      <c r="Q146" s="61" t="str">
        <f>_xlfn.IFNA(VLOOKUP($F146,tblInfluence[],3,FALSE),"")</f>
        <v/>
      </c>
      <c r="R146" s="61" t="str">
        <f>_xlfn.IFNA(VLOOKUP($F146,tblInfluence[],4,FALSE),"")</f>
        <v/>
      </c>
      <c r="Y146" s="15" t="s">
        <v>188</v>
      </c>
      <c r="Z146" s="19"/>
      <c r="AA146" s="61" t="str">
        <f t="shared" si="22"/>
        <v/>
      </c>
      <c r="AC146" s="60"/>
      <c r="AD146" s="20"/>
      <c r="AE146" s="20" t="str">
        <f t="shared" si="23"/>
        <v/>
      </c>
      <c r="AF146" s="61" t="str" cm="1">
        <f t="array" ref="AF146">IF(AC146="","",SUMPRODUCT(($F$138:$F$157=AC146)*($G$138:$G$157=IF(AD146="","",AD146))*$P$138:$P$157))</f>
        <v/>
      </c>
    </row>
    <row r="147" spans="1:32">
      <c r="A147" s="1" t="s">
        <v>146</v>
      </c>
      <c r="B147" t="str">
        <f t="shared" si="26"/>
        <v>¬</v>
      </c>
      <c r="D147" s="19"/>
      <c r="E147" s="15" t="s">
        <v>185</v>
      </c>
      <c r="F147" s="3"/>
      <c r="G147" s="3" t="str">
        <f>IFERROR(VLOOKUP(F147,tblManoeuvre[#Data],2,FALSE)&amp;" "&amp;VLOOKUP(F147,tblManoeuvre[#Data],3,FALSE),"")</f>
        <v/>
      </c>
      <c r="H147" s="67" t="str">
        <f>IFERROR(IF(VLOOKUP(F147,tblManoeuvre[],8,FALSE)=0,"None",VLOOKUP(F147,tblManoeuvre[],8,FALSE)),"None")</f>
        <v>None</v>
      </c>
      <c r="I147" s="67"/>
      <c r="L147" s="4"/>
      <c r="M147" s="4"/>
      <c r="N147" s="4"/>
      <c r="O147" s="61">
        <f t="shared" si="24"/>
        <v>0</v>
      </c>
      <c r="P147" s="60">
        <f t="shared" si="25"/>
        <v>0</v>
      </c>
      <c r="Q147" s="61" t="str">
        <f>_xlfn.IFNA(VLOOKUP($F147,tblInfluence[],3,FALSE),"")</f>
        <v/>
      </c>
      <c r="R147" s="61" t="str">
        <f>_xlfn.IFNA(VLOOKUP($F147,tblInfluence[],4,FALSE),"")</f>
        <v/>
      </c>
      <c r="Y147" s="15" t="s">
        <v>189</v>
      </c>
      <c r="Z147" s="19"/>
      <c r="AA147" s="61" t="str">
        <f t="shared" si="22"/>
        <v/>
      </c>
      <c r="AC147" s="60"/>
      <c r="AD147" s="20"/>
      <c r="AE147" s="20" t="str">
        <f t="shared" si="23"/>
        <v/>
      </c>
      <c r="AF147" s="61" t="str" cm="1">
        <f t="array" ref="AF147">IF(AC147="","",SUMPRODUCT(($F$138:$F$157=AC147)*($G$138:$G$157=IF(AD147="","",AD147))*$P$138:$P$157))</f>
        <v/>
      </c>
    </row>
    <row r="148" spans="1:32">
      <c r="A148" s="1" t="s">
        <v>147</v>
      </c>
      <c r="B148" t="str">
        <f t="shared" si="26"/>
        <v>¬</v>
      </c>
      <c r="D148" s="19"/>
      <c r="E148" s="15" t="s">
        <v>186</v>
      </c>
      <c r="F148" s="3"/>
      <c r="G148" s="3" t="str">
        <f>IFERROR(VLOOKUP(F148,tblManoeuvre[#Data],2,FALSE)&amp;" "&amp;VLOOKUP(F148,tblManoeuvre[#Data],3,FALSE),"")</f>
        <v/>
      </c>
      <c r="H148" s="67" t="str">
        <f>IFERROR(IF(VLOOKUP(F148,tblManoeuvre[],8,FALSE)=0,"None",VLOOKUP(F148,tblManoeuvre[],8,FALSE)),"None")</f>
        <v>None</v>
      </c>
      <c r="I148" s="67"/>
      <c r="L148" s="4"/>
      <c r="M148" s="4"/>
      <c r="N148" s="4"/>
      <c r="O148" s="61">
        <f t="shared" si="24"/>
        <v>0</v>
      </c>
      <c r="P148" s="60">
        <f t="shared" si="25"/>
        <v>0</v>
      </c>
      <c r="Q148" s="61" t="str">
        <f>_xlfn.IFNA(VLOOKUP($F148,tblInfluence[],3,FALSE),"")</f>
        <v/>
      </c>
      <c r="R148" s="61" t="str">
        <f>_xlfn.IFNA(VLOOKUP($F148,tblInfluence[],4,FALSE),"")</f>
        <v/>
      </c>
      <c r="Y148" s="15" t="s">
        <v>190</v>
      </c>
      <c r="Z148" s="19"/>
      <c r="AA148" s="61" t="str">
        <f t="shared" si="22"/>
        <v/>
      </c>
      <c r="AC148" s="60"/>
      <c r="AD148" s="20"/>
      <c r="AE148" s="20" t="str">
        <f t="shared" si="23"/>
        <v/>
      </c>
      <c r="AF148" s="61" t="str" cm="1">
        <f t="array" ref="AF148">IF(AC148="","",SUMPRODUCT(($F$138:$F$157=AC148)*($G$138:$G$157=IF(AD148="","",AD148))*$P$138:$P$157))</f>
        <v/>
      </c>
    </row>
    <row r="149" spans="1:32">
      <c r="A149" s="1" t="s">
        <v>148</v>
      </c>
      <c r="B149" t="str">
        <f t="shared" si="26"/>
        <v>¬</v>
      </c>
      <c r="D149" s="19"/>
      <c r="E149" s="15" t="s">
        <v>187</v>
      </c>
      <c r="F149" s="3"/>
      <c r="G149" s="3" t="str">
        <f>IFERROR(VLOOKUP(F149,tblManoeuvre[#Data],2,FALSE)&amp;" "&amp;VLOOKUP(F149,tblManoeuvre[#Data],3,FALSE),"")</f>
        <v/>
      </c>
      <c r="H149" s="67" t="str">
        <f>IFERROR(IF(VLOOKUP(F149,tblManoeuvre[],8,FALSE)=0,"None",VLOOKUP(F149,tblManoeuvre[],8,FALSE)),"None")</f>
        <v>None</v>
      </c>
      <c r="I149" s="67"/>
      <c r="L149" s="4"/>
      <c r="M149" s="4"/>
      <c r="N149" s="4"/>
      <c r="O149" s="61">
        <f t="shared" si="24"/>
        <v>0</v>
      </c>
      <c r="P149" s="60">
        <f t="shared" si="25"/>
        <v>0</v>
      </c>
      <c r="Q149" s="61" t="str">
        <f>_xlfn.IFNA(VLOOKUP($F149,tblInfluence[],3,FALSE),"")</f>
        <v/>
      </c>
      <c r="R149" s="61" t="str">
        <f>_xlfn.IFNA(VLOOKUP($F149,tblInfluence[],4,FALSE),"")</f>
        <v/>
      </c>
      <c r="Y149" s="15" t="s">
        <v>191</v>
      </c>
      <c r="Z149" s="19"/>
      <c r="AA149" s="61" t="str">
        <f t="shared" si="22"/>
        <v/>
      </c>
      <c r="AC149" s="60"/>
      <c r="AD149" s="20"/>
      <c r="AE149" s="20" t="str">
        <f t="shared" si="23"/>
        <v/>
      </c>
      <c r="AF149" s="61" t="str" cm="1">
        <f t="array" ref="AF149">IF(AC149="","",SUMPRODUCT(($F$138:$F$157=AC149)*($G$138:$G$157=IF(AD149="","",AD149))*$P$138:$P$157))</f>
        <v/>
      </c>
    </row>
    <row r="150" spans="1:32">
      <c r="A150" s="1" t="s">
        <v>149</v>
      </c>
      <c r="B150" t="str">
        <f t="shared" si="26"/>
        <v>¬</v>
      </c>
      <c r="D150" s="19"/>
      <c r="E150" s="15" t="s">
        <v>188</v>
      </c>
      <c r="F150" s="3"/>
      <c r="G150" s="3" t="str">
        <f>IFERROR(VLOOKUP(F150,tblManoeuvre[#Data],2,FALSE)&amp;" "&amp;VLOOKUP(F150,tblManoeuvre[#Data],3,FALSE),"")</f>
        <v/>
      </c>
      <c r="H150" s="67" t="str">
        <f>IFERROR(IF(VLOOKUP(F150,tblManoeuvre[],8,FALSE)=0,"None",VLOOKUP(F150,tblManoeuvre[],8,FALSE)),"None")</f>
        <v>None</v>
      </c>
      <c r="I150" s="67"/>
      <c r="L150" s="4"/>
      <c r="M150" s="4"/>
      <c r="N150" s="4"/>
      <c r="O150" s="61">
        <f t="shared" si="24"/>
        <v>0</v>
      </c>
      <c r="P150" s="60">
        <f t="shared" si="25"/>
        <v>0</v>
      </c>
      <c r="Q150" s="61" t="str">
        <f>_xlfn.IFNA(VLOOKUP($F150,tblInfluence[],3,FALSE),"")</f>
        <v/>
      </c>
      <c r="R150" s="61" t="str">
        <f>_xlfn.IFNA(VLOOKUP($F150,tblInfluence[],4,FALSE),"")</f>
        <v/>
      </c>
      <c r="Y150" s="15" t="s">
        <v>192</v>
      </c>
      <c r="Z150" s="19"/>
      <c r="AA150" s="61" t="str">
        <f t="shared" si="22"/>
        <v/>
      </c>
      <c r="AC150" s="60"/>
      <c r="AD150" s="20"/>
      <c r="AE150" s="20" t="str">
        <f t="shared" si="23"/>
        <v/>
      </c>
      <c r="AF150" s="61" t="str" cm="1">
        <f t="array" ref="AF150">IF(AC150="","",SUMPRODUCT(($F$138:$F$157=AC150)*($G$138:$G$157=IF(AD150="","",AD150))*$P$138:$P$157))</f>
        <v/>
      </c>
    </row>
    <row r="151" spans="1:32">
      <c r="A151" s="1" t="s">
        <v>150</v>
      </c>
      <c r="B151" t="str">
        <f t="shared" si="26"/>
        <v>¬</v>
      </c>
      <c r="D151" s="19"/>
      <c r="E151" s="15" t="s">
        <v>189</v>
      </c>
      <c r="F151" s="3"/>
      <c r="G151" s="3" t="str">
        <f>IFERROR(VLOOKUP(F151,tblManoeuvre[#Data],2,FALSE)&amp;" "&amp;VLOOKUP(F151,tblManoeuvre[#Data],3,FALSE),"")</f>
        <v/>
      </c>
      <c r="H151" s="67" t="str">
        <f>IFERROR(IF(VLOOKUP(F151,tblManoeuvre[],8,FALSE)=0,"None",VLOOKUP(F151,tblManoeuvre[],8,FALSE)),"None")</f>
        <v>None</v>
      </c>
      <c r="I151" s="67"/>
      <c r="L151" s="4"/>
      <c r="M151" s="4"/>
      <c r="N151" s="4"/>
      <c r="O151" s="61">
        <f t="shared" si="24"/>
        <v>0</v>
      </c>
      <c r="P151" s="60">
        <f t="shared" si="25"/>
        <v>0</v>
      </c>
      <c r="Q151" s="61" t="str">
        <f>_xlfn.IFNA(VLOOKUP($F151,tblInfluence[],3,FALSE),"")</f>
        <v/>
      </c>
      <c r="R151" s="61" t="str">
        <f>_xlfn.IFNA(VLOOKUP($F151,tblInfluence[],4,FALSE),"")</f>
        <v/>
      </c>
      <c r="Y151" s="15" t="s">
        <v>193</v>
      </c>
      <c r="Z151" s="19"/>
      <c r="AA151" s="61" t="str">
        <f t="shared" si="22"/>
        <v/>
      </c>
      <c r="AC151" s="60"/>
      <c r="AD151" s="20"/>
      <c r="AE151" s="20" t="str">
        <f t="shared" si="23"/>
        <v/>
      </c>
      <c r="AF151" s="61" t="str" cm="1">
        <f t="array" ref="AF151">IF(AC151="","",SUMPRODUCT(($F$138:$F$157=AC151)*($G$138:$G$157=IF(AD151="","",AD151))*$P$138:$P$157))</f>
        <v/>
      </c>
    </row>
    <row r="152" spans="1:32">
      <c r="A152" s="1" t="s">
        <v>151</v>
      </c>
      <c r="B152" t="str">
        <f t="shared" si="26"/>
        <v>¬</v>
      </c>
      <c r="D152" s="19"/>
      <c r="E152" s="15" t="s">
        <v>190</v>
      </c>
      <c r="F152" s="3"/>
      <c r="G152" s="3" t="str">
        <f>IFERROR(VLOOKUP(F152,tblManoeuvre[#Data],2,FALSE)&amp;" "&amp;VLOOKUP(F152,tblManoeuvre[#Data],3,FALSE),"")</f>
        <v/>
      </c>
      <c r="H152" s="67" t="str">
        <f>IFERROR(IF(VLOOKUP(F152,tblManoeuvre[],8,FALSE)=0,"None",VLOOKUP(F152,tblManoeuvre[],8,FALSE)),"None")</f>
        <v>None</v>
      </c>
      <c r="I152" s="67"/>
      <c r="L152" s="4"/>
      <c r="M152" s="4"/>
      <c r="N152" s="4"/>
      <c r="O152" s="61">
        <f t="shared" si="24"/>
        <v>0</v>
      </c>
      <c r="P152" s="60">
        <f t="shared" si="25"/>
        <v>0</v>
      </c>
      <c r="Q152" s="61" t="str">
        <f>_xlfn.IFNA(VLOOKUP($F152,tblInfluence[],3,FALSE),"")</f>
        <v/>
      </c>
      <c r="R152" s="61" t="str">
        <f>_xlfn.IFNA(VLOOKUP($F152,tblInfluence[],4,FALSE),"")</f>
        <v/>
      </c>
      <c r="Y152" s="15" t="s">
        <v>194</v>
      </c>
      <c r="Z152" s="19"/>
      <c r="AA152" s="61" t="str">
        <f t="shared" si="22"/>
        <v/>
      </c>
      <c r="AC152" s="60"/>
      <c r="AD152" s="20"/>
      <c r="AE152" s="20" t="str">
        <f t="shared" si="23"/>
        <v/>
      </c>
      <c r="AF152" s="61" t="str" cm="1">
        <f t="array" ref="AF152">IF(AC152="","",SUMPRODUCT(($F$138:$F$157=AC152)*($G$138:$G$157=IF(AD152="","",AD152))*$P$138:$P$157))</f>
        <v/>
      </c>
    </row>
    <row r="153" spans="1:32">
      <c r="A153" s="1" t="s">
        <v>152</v>
      </c>
      <c r="B153" t="str">
        <f t="shared" si="26"/>
        <v>¬</v>
      </c>
      <c r="D153" s="19"/>
      <c r="E153" s="15" t="s">
        <v>191</v>
      </c>
      <c r="F153" s="3"/>
      <c r="G153" s="3" t="str">
        <f>IFERROR(VLOOKUP(F153,tblManoeuvre[#Data],2,FALSE)&amp;" "&amp;VLOOKUP(F153,tblManoeuvre[#Data],3,FALSE),"")</f>
        <v/>
      </c>
      <c r="H153" s="67" t="str">
        <f>IFERROR(IF(VLOOKUP(F153,tblManoeuvre[],8,FALSE)=0,"None",VLOOKUP(F153,tblManoeuvre[],8,FALSE)),"None")</f>
        <v>None</v>
      </c>
      <c r="I153" s="67"/>
      <c r="L153" s="4"/>
      <c r="M153" s="4"/>
      <c r="N153" s="4"/>
      <c r="O153" s="61">
        <f t="shared" si="24"/>
        <v>0</v>
      </c>
      <c r="P153" s="60">
        <f t="shared" si="25"/>
        <v>0</v>
      </c>
      <c r="Q153" s="61" t="str">
        <f>_xlfn.IFNA(VLOOKUP($F153,tblInfluence[],3,FALSE),"")</f>
        <v/>
      </c>
      <c r="R153" s="61" t="str">
        <f>_xlfn.IFNA(VLOOKUP($F153,tblInfluence[],4,FALSE),"")</f>
        <v/>
      </c>
      <c r="Y153" s="15" t="s">
        <v>195</v>
      </c>
      <c r="Z153" s="19"/>
      <c r="AA153" s="61" t="str">
        <f t="shared" si="22"/>
        <v/>
      </c>
      <c r="AC153" s="60"/>
      <c r="AD153" s="20"/>
      <c r="AE153" s="20" t="str">
        <f t="shared" si="23"/>
        <v/>
      </c>
      <c r="AF153" s="61" t="str" cm="1">
        <f t="array" ref="AF153">IF(AC153="","",SUMPRODUCT(($F$138:$F$157=AC153)*($G$138:$G$157=IF(AD153="","",AD153))*$P$138:$P$157))</f>
        <v/>
      </c>
    </row>
    <row r="154" spans="1:32">
      <c r="A154" s="1" t="s">
        <v>153</v>
      </c>
      <c r="B154" t="str">
        <f t="shared" si="26"/>
        <v>¬</v>
      </c>
      <c r="D154" s="19"/>
      <c r="E154" s="15" t="s">
        <v>192</v>
      </c>
      <c r="F154" s="3"/>
      <c r="G154" s="3" t="str">
        <f>IFERROR(VLOOKUP(F154,tblManoeuvre[#Data],2,FALSE)&amp;" "&amp;VLOOKUP(F154,tblManoeuvre[#Data],3,FALSE),"")</f>
        <v/>
      </c>
      <c r="H154" s="67" t="str">
        <f>IFERROR(IF(VLOOKUP(F154,tblManoeuvre[],8,FALSE)=0,"None",VLOOKUP(F154,tblManoeuvre[],8,FALSE)),"None")</f>
        <v>None</v>
      </c>
      <c r="I154" s="67"/>
      <c r="L154" s="4"/>
      <c r="M154" s="4"/>
      <c r="N154" s="4"/>
      <c r="O154" s="61">
        <f t="shared" si="24"/>
        <v>0</v>
      </c>
      <c r="P154" s="60">
        <f t="shared" si="25"/>
        <v>0</v>
      </c>
      <c r="Q154" s="61" t="str">
        <f>_xlfn.IFNA(VLOOKUP($F154,tblInfluence[],3,FALSE),"")</f>
        <v/>
      </c>
      <c r="R154" s="61" t="str">
        <f>_xlfn.IFNA(VLOOKUP($F154,tblInfluence[],4,FALSE),"")</f>
        <v/>
      </c>
    </row>
    <row r="155" spans="1:32">
      <c r="A155" s="1" t="s">
        <v>154</v>
      </c>
      <c r="B155" t="str">
        <f t="shared" si="26"/>
        <v>¬</v>
      </c>
      <c r="D155" s="19"/>
      <c r="E155" s="15" t="s">
        <v>193</v>
      </c>
      <c r="F155" s="3"/>
      <c r="G155" s="3" t="str">
        <f>IFERROR(VLOOKUP(F155,tblManoeuvre[#Data],2,FALSE)&amp;" "&amp;VLOOKUP(F155,tblManoeuvre[#Data],3,FALSE),"")</f>
        <v/>
      </c>
      <c r="H155" s="67" t="str">
        <f>IFERROR(IF(VLOOKUP(F155,tblManoeuvre[],8,FALSE)=0,"None",VLOOKUP(F155,tblManoeuvre[],8,FALSE)),"None")</f>
        <v>None</v>
      </c>
      <c r="I155" s="67"/>
      <c r="L155" s="4"/>
      <c r="M155" s="4"/>
      <c r="N155" s="4"/>
      <c r="O155" s="61">
        <f t="shared" si="24"/>
        <v>0</v>
      </c>
      <c r="P155" s="60">
        <f t="shared" si="25"/>
        <v>0</v>
      </c>
      <c r="Q155" s="61" t="str">
        <f>_xlfn.IFNA(VLOOKUP($F155,tblInfluence[],3,FALSE),"")</f>
        <v/>
      </c>
      <c r="R155" s="61" t="str">
        <f>_xlfn.IFNA(VLOOKUP($F155,tblInfluence[],4,FALSE),"")</f>
        <v/>
      </c>
      <c r="AE155" s="61">
        <f>IF(P160=5,1,0)</f>
        <v>0</v>
      </c>
    </row>
    <row r="156" spans="1:32">
      <c r="A156" s="1" t="s">
        <v>155</v>
      </c>
      <c r="B156" t="str">
        <f t="shared" si="26"/>
        <v>¬</v>
      </c>
      <c r="D156" s="19"/>
      <c r="E156" s="15" t="s">
        <v>194</v>
      </c>
      <c r="F156" s="3"/>
      <c r="G156" s="3" t="str">
        <f>IFERROR(VLOOKUP(F156,tblManoeuvre[#Data],2,FALSE)&amp;" "&amp;VLOOKUP(F156,tblManoeuvre[#Data],3,FALSE),"")</f>
        <v/>
      </c>
      <c r="H156" s="67" t="str">
        <f>IFERROR(IF(VLOOKUP(F156,tblManoeuvre[],8,FALSE)=0,"None",VLOOKUP(F156,tblManoeuvre[],8,FALSE)),"None")</f>
        <v>None</v>
      </c>
      <c r="I156" s="67"/>
      <c r="L156" s="4"/>
      <c r="M156" s="4"/>
      <c r="N156" s="4"/>
      <c r="O156" s="61">
        <f t="shared" si="24"/>
        <v>0</v>
      </c>
      <c r="P156" s="60">
        <f t="shared" si="25"/>
        <v>0</v>
      </c>
      <c r="Q156" s="61" t="str">
        <f>_xlfn.IFNA(VLOOKUP($F156,tblInfluence[],3,FALSE),"")</f>
        <v/>
      </c>
      <c r="R156" s="61" t="str">
        <f>_xlfn.IFNA(VLOOKUP($F156,tblInfluence[],4,FALSE),"")</f>
        <v/>
      </c>
      <c r="AE156" s="61" t="b">
        <f>COUNTIF(AA2:AA21,"*Honey With Vinegar*")&gt;0</f>
        <v>0</v>
      </c>
    </row>
    <row r="157" spans="1:32">
      <c r="A157" s="1" t="s">
        <v>156</v>
      </c>
      <c r="B157" t="str">
        <f t="shared" si="26"/>
        <v>¬</v>
      </c>
      <c r="D157" s="19"/>
      <c r="E157" s="15" t="s">
        <v>195</v>
      </c>
      <c r="F157" s="3"/>
      <c r="G157" s="3" t="str">
        <f>IFERROR(VLOOKUP(F157,tblManoeuvre[#Data],2,FALSE)&amp;" "&amp;VLOOKUP(F157,tblManoeuvre[#Data],3,FALSE),"")</f>
        <v/>
      </c>
      <c r="H157" s="67" t="str">
        <f>IFERROR(IF(VLOOKUP(F157,tblManoeuvre[],8,FALSE)=0,"None",VLOOKUP(F157,tblManoeuvre[],8,FALSE)),"None")</f>
        <v>None</v>
      </c>
      <c r="I157" s="67"/>
      <c r="L157" s="4"/>
      <c r="M157" s="4"/>
      <c r="N157" s="4"/>
      <c r="O157" s="61">
        <f t="shared" si="24"/>
        <v>0</v>
      </c>
      <c r="P157" s="60">
        <f t="shared" si="25"/>
        <v>0</v>
      </c>
      <c r="Q157" s="61" t="str">
        <f>_xlfn.IFNA(VLOOKUP($F157,tblInfluence[],3,FALSE),"")</f>
        <v/>
      </c>
      <c r="R157" s="61" t="str">
        <f>_xlfn.IFNA(VLOOKUP($F157,tblInfluence[],4,FALSE),"")</f>
        <v/>
      </c>
    </row>
    <row r="158" spans="1:32">
      <c r="A158" s="1" t="s">
        <v>157</v>
      </c>
      <c r="B158" t="str">
        <f t="shared" si="26"/>
        <v>¬</v>
      </c>
    </row>
    <row r="159" spans="1:32">
      <c r="A159" s="1" t="s">
        <v>158</v>
      </c>
      <c r="B159" t="str">
        <f t="shared" si="26"/>
        <v>¬</v>
      </c>
      <c r="D159" s="16" t="s">
        <v>1486</v>
      </c>
      <c r="E159" s="17"/>
      <c r="F159" s="17" t="s">
        <v>1487</v>
      </c>
      <c r="G159" s="17"/>
      <c r="H159" s="17"/>
      <c r="I159" s="17"/>
    </row>
    <row r="160" spans="1:32">
      <c r="A160" s="1" t="s">
        <v>159</v>
      </c>
      <c r="B160" t="str">
        <f t="shared" si="26"/>
        <v>¬</v>
      </c>
      <c r="D160" s="19"/>
      <c r="E160" s="15" t="s">
        <v>98</v>
      </c>
      <c r="F160" s="3"/>
      <c r="G160" s="60"/>
      <c r="H160" s="60"/>
      <c r="I160" s="60"/>
      <c r="L160" s="4"/>
      <c r="M160" s="4"/>
      <c r="N160" s="4"/>
      <c r="O160" s="61">
        <f>N160</f>
        <v>0</v>
      </c>
      <c r="P160" s="60">
        <f>MIN(SUM(L160,M160,O160),R160)</f>
        <v>0</v>
      </c>
      <c r="Q160" s="61">
        <v>1</v>
      </c>
      <c r="R160" s="61">
        <v>5</v>
      </c>
    </row>
    <row r="161" spans="1:18">
      <c r="A161" s="1" t="s">
        <v>160</v>
      </c>
      <c r="B161" t="str">
        <f t="shared" si="26"/>
        <v>¬</v>
      </c>
      <c r="D161" s="19"/>
      <c r="E161" s="15" t="s">
        <v>100</v>
      </c>
      <c r="F161" s="3"/>
      <c r="G161" s="60"/>
      <c r="H161" s="60"/>
      <c r="I161" s="60"/>
      <c r="L161" s="4"/>
      <c r="M161" s="4"/>
      <c r="N161" s="4"/>
      <c r="O161" s="61">
        <f>N161</f>
        <v>0</v>
      </c>
      <c r="P161" s="60">
        <f>MIN(SUM(L161,M161,O161),R161)</f>
        <v>0</v>
      </c>
      <c r="Q161" s="61">
        <v>1</v>
      </c>
      <c r="R161" s="61">
        <v>5</v>
      </c>
    </row>
    <row r="162" spans="1:18">
      <c r="A162" s="1" t="s">
        <v>161</v>
      </c>
      <c r="B162" t="str">
        <f t="shared" si="26"/>
        <v>¬</v>
      </c>
    </row>
    <row r="163" spans="1:18" ht="15.75" thickBot="1">
      <c r="A163" s="1" t="s">
        <v>162</v>
      </c>
      <c r="B163" t="str">
        <f t="shared" si="26"/>
        <v>¬</v>
      </c>
      <c r="D163" s="14" t="s">
        <v>1488</v>
      </c>
      <c r="E163" s="14"/>
      <c r="F163" s="14"/>
      <c r="G163" s="14"/>
      <c r="H163" s="14"/>
      <c r="I163" s="14"/>
      <c r="N163" s="60">
        <f>SUM(N165:N174)+SUM(N177:N181)+SUM(N184:N185)+SUM(N187:N191)+SUM(N194:N203)</f>
        <v>8</v>
      </c>
    </row>
    <row r="164" spans="1:18">
      <c r="A164" s="1" t="s">
        <v>163</v>
      </c>
      <c r="B164" t="str">
        <f t="shared" si="26"/>
        <v>¬</v>
      </c>
      <c r="D164" s="16" t="s">
        <v>1489</v>
      </c>
      <c r="E164" s="15" t="s">
        <v>1490</v>
      </c>
      <c r="F164" s="61" t="str">
        <f>IFERROR(IF($F$8="",VLOOKUP($F$7,tblClans[],5,FALSE),VLOOKUP($F$8,tblBloodlines[],5,FALSE)),"")</f>
        <v>Nightmare</v>
      </c>
      <c r="G164" s="61" t="str">
        <f>IFERROR(IF($F$8="",VLOOKUP($F$7,tblClans[],6,FALSE),VLOOKUP($F$8,tblBloodlines[],6,FALSE)),"")</f>
        <v>Obfuscate</v>
      </c>
      <c r="H164" s="61" t="str">
        <f>IFERROR(IF($F$8="",VLOOKUP($F$7,tblClans[],7,FALSE),VLOOKUP($F$8,tblBloodlines[],7,FALSE)),"")</f>
        <v>Vigour</v>
      </c>
      <c r="I164" s="61" t="str">
        <f>IFERROR(IF($F$8="",VLOOKUP($F$7,tblClans[],8,FALSE),VLOOKUP($F$8,tblBloodlines[],8,FALSE)),"")</f>
        <v/>
      </c>
      <c r="L164" s="60">
        <f>3-SUM(L165:L174)-SUM(L184:L185)</f>
        <v>0</v>
      </c>
    </row>
    <row r="165" spans="1:18">
      <c r="A165" s="1" t="s">
        <v>164</v>
      </c>
      <c r="B165" t="str">
        <f t="shared" si="26"/>
        <v>¬</v>
      </c>
      <c r="D165" s="19"/>
      <c r="E165" s="15" t="s">
        <v>236</v>
      </c>
      <c r="F165" s="19"/>
      <c r="G165" s="19"/>
      <c r="H165" s="19"/>
      <c r="I165" s="19"/>
      <c r="L165" s="4"/>
      <c r="N165" s="4"/>
      <c r="O165" s="61">
        <f t="shared" ref="O165:O174" si="27">ROUNDDOWN(IF(COUNTIF($F$164:$I$164,$E165)&gt;0,N165/3,N165/4),0)</f>
        <v>0</v>
      </c>
      <c r="P165" s="60">
        <f>MIN(SUM(L165,O165),R165)</f>
        <v>0</v>
      </c>
      <c r="Q165" s="61">
        <v>0</v>
      </c>
      <c r="R165" s="61">
        <v>5</v>
      </c>
    </row>
    <row r="166" spans="1:18">
      <c r="A166" s="1" t="s">
        <v>165</v>
      </c>
      <c r="B166" t="str">
        <f t="shared" si="26"/>
        <v>¬</v>
      </c>
      <c r="D166" s="19"/>
      <c r="E166" s="15" t="s">
        <v>237</v>
      </c>
      <c r="F166" s="19"/>
      <c r="G166" s="19"/>
      <c r="H166" s="19"/>
      <c r="I166" s="19"/>
      <c r="L166" s="4"/>
      <c r="N166" s="4"/>
      <c r="O166" s="61">
        <f t="shared" si="27"/>
        <v>0</v>
      </c>
      <c r="P166" s="60">
        <f t="shared" ref="P166:P174" si="28">MIN(SUM(L166,O166),R166)</f>
        <v>0</v>
      </c>
      <c r="Q166" s="61">
        <v>0</v>
      </c>
      <c r="R166" s="61">
        <v>5</v>
      </c>
    </row>
    <row r="167" spans="1:18">
      <c r="A167" s="1" t="s">
        <v>166</v>
      </c>
      <c r="B167" t="str">
        <f t="shared" si="26"/>
        <v>¬</v>
      </c>
      <c r="D167" s="19"/>
      <c r="E167" s="15" t="s">
        <v>238</v>
      </c>
      <c r="F167" s="19"/>
      <c r="G167" s="19"/>
      <c r="H167" s="19"/>
      <c r="I167" s="19"/>
      <c r="L167" s="4"/>
      <c r="N167" s="4"/>
      <c r="O167" s="61">
        <f t="shared" si="27"/>
        <v>0</v>
      </c>
      <c r="P167" s="60">
        <f t="shared" si="28"/>
        <v>0</v>
      </c>
      <c r="Q167" s="61">
        <v>0</v>
      </c>
      <c r="R167" s="61">
        <v>5</v>
      </c>
    </row>
    <row r="168" spans="1:18">
      <c r="A168" s="1" t="s">
        <v>167</v>
      </c>
      <c r="B168" t="str">
        <f t="shared" si="26"/>
        <v>¬</v>
      </c>
      <c r="D168" s="19"/>
      <c r="E168" s="15" t="s">
        <v>239</v>
      </c>
      <c r="F168" s="19"/>
      <c r="G168" s="19"/>
      <c r="H168" s="19"/>
      <c r="I168" s="19"/>
      <c r="L168" s="4"/>
      <c r="N168" s="4"/>
      <c r="O168" s="61">
        <f t="shared" si="27"/>
        <v>0</v>
      </c>
      <c r="P168" s="60">
        <f t="shared" si="28"/>
        <v>0</v>
      </c>
      <c r="Q168" s="61">
        <v>0</v>
      </c>
      <c r="R168" s="61">
        <v>5</v>
      </c>
    </row>
    <row r="169" spans="1:18">
      <c r="A169" s="1" t="s">
        <v>168</v>
      </c>
      <c r="B169" t="str">
        <f t="shared" si="26"/>
        <v>¬</v>
      </c>
      <c r="D169" s="19"/>
      <c r="E169" s="15" t="s">
        <v>240</v>
      </c>
      <c r="F169" s="19"/>
      <c r="G169" s="19"/>
      <c r="H169" s="19"/>
      <c r="I169" s="19"/>
      <c r="L169" s="4"/>
      <c r="N169" s="4"/>
      <c r="O169" s="61">
        <f t="shared" si="27"/>
        <v>0</v>
      </c>
      <c r="P169" s="60">
        <f t="shared" si="28"/>
        <v>0</v>
      </c>
      <c r="Q169" s="61">
        <v>0</v>
      </c>
      <c r="R169" s="61">
        <v>5</v>
      </c>
    </row>
    <row r="170" spans="1:18">
      <c r="A170" s="1" t="s">
        <v>169</v>
      </c>
      <c r="B170" t="str">
        <f t="shared" si="26"/>
        <v>¬</v>
      </c>
      <c r="D170" s="19"/>
      <c r="E170" s="15" t="s">
        <v>241</v>
      </c>
      <c r="F170" s="19"/>
      <c r="G170" s="19"/>
      <c r="H170" s="19"/>
      <c r="I170" s="19"/>
      <c r="L170" s="4">
        <v>2</v>
      </c>
      <c r="N170" s="4"/>
      <c r="O170" s="61">
        <f t="shared" si="27"/>
        <v>0</v>
      </c>
      <c r="P170" s="60">
        <f t="shared" si="28"/>
        <v>2</v>
      </c>
      <c r="Q170" s="61">
        <v>0</v>
      </c>
      <c r="R170" s="61">
        <v>5</v>
      </c>
    </row>
    <row r="171" spans="1:18">
      <c r="A171" s="1" t="s">
        <v>170</v>
      </c>
      <c r="B171" t="str">
        <f t="shared" si="26"/>
        <v>¬</v>
      </c>
      <c r="D171" s="19"/>
      <c r="E171" s="15" t="s">
        <v>242</v>
      </c>
      <c r="F171" s="19"/>
      <c r="G171" s="19"/>
      <c r="H171" s="19"/>
      <c r="I171" s="19"/>
      <c r="L171" s="4"/>
      <c r="N171" s="4">
        <v>6</v>
      </c>
      <c r="O171" s="61">
        <f t="shared" si="27"/>
        <v>2</v>
      </c>
      <c r="P171" s="60">
        <f t="shared" si="28"/>
        <v>2</v>
      </c>
      <c r="Q171" s="61">
        <v>0</v>
      </c>
      <c r="R171" s="61">
        <v>5</v>
      </c>
    </row>
    <row r="172" spans="1:18">
      <c r="A172" s="1" t="s">
        <v>171</v>
      </c>
      <c r="B172" t="str">
        <f t="shared" si="26"/>
        <v>¬</v>
      </c>
      <c r="D172" s="19"/>
      <c r="E172" s="15" t="s">
        <v>243</v>
      </c>
      <c r="F172" s="19"/>
      <c r="G172" s="19"/>
      <c r="H172" s="19"/>
      <c r="I172" s="19"/>
      <c r="L172" s="4"/>
      <c r="N172" s="4"/>
      <c r="O172" s="61">
        <f t="shared" si="27"/>
        <v>0</v>
      </c>
      <c r="P172" s="60">
        <f t="shared" si="28"/>
        <v>0</v>
      </c>
      <c r="Q172" s="61">
        <v>0</v>
      </c>
      <c r="R172" s="61">
        <v>5</v>
      </c>
    </row>
    <row r="173" spans="1:18">
      <c r="A173" s="1" t="s">
        <v>172</v>
      </c>
      <c r="B173" t="str">
        <f t="shared" si="26"/>
        <v>¬</v>
      </c>
      <c r="D173" s="19"/>
      <c r="E173" s="15" t="s">
        <v>244</v>
      </c>
      <c r="F173" s="19"/>
      <c r="G173" s="19"/>
      <c r="H173" s="19"/>
      <c r="I173" s="19"/>
      <c r="L173" s="4"/>
      <c r="N173" s="4"/>
      <c r="O173" s="61">
        <f t="shared" si="27"/>
        <v>0</v>
      </c>
      <c r="P173" s="60">
        <f t="shared" si="28"/>
        <v>0</v>
      </c>
      <c r="Q173" s="61">
        <v>0</v>
      </c>
      <c r="R173" s="61">
        <v>5</v>
      </c>
    </row>
    <row r="174" spans="1:18">
      <c r="A174" s="1" t="s">
        <v>173</v>
      </c>
      <c r="B174" t="str">
        <f t="shared" si="26"/>
        <v>¬</v>
      </c>
      <c r="D174" s="19"/>
      <c r="E174" s="15" t="s">
        <v>245</v>
      </c>
      <c r="F174" s="19"/>
      <c r="G174" s="19"/>
      <c r="H174" s="19"/>
      <c r="I174" s="19"/>
      <c r="L174" s="4"/>
      <c r="N174" s="4"/>
      <c r="O174" s="61">
        <f t="shared" si="27"/>
        <v>0</v>
      </c>
      <c r="P174" s="60">
        <f t="shared" si="28"/>
        <v>0</v>
      </c>
      <c r="Q174" s="61">
        <v>0</v>
      </c>
      <c r="R174" s="61">
        <v>5</v>
      </c>
    </row>
    <row r="175" spans="1:18">
      <c r="A175" s="1" t="s">
        <v>174</v>
      </c>
      <c r="B175" t="str">
        <f>_xlfn.CONCAT(I137-H137," / ",I137)</f>
        <v>5 / 6</v>
      </c>
    </row>
    <row r="176" spans="1:18">
      <c r="A176" s="1" t="s">
        <v>175</v>
      </c>
      <c r="B176" t="str">
        <f>REPT("□",I137-H137) &amp; REPT("■",H137)</f>
        <v>□□□□□■</v>
      </c>
      <c r="D176" s="16" t="s">
        <v>1491</v>
      </c>
      <c r="E176" s="16"/>
      <c r="F176" s="16"/>
      <c r="G176" s="16"/>
      <c r="H176" s="16"/>
      <c r="I176" s="16"/>
    </row>
    <row r="177" spans="1:18">
      <c r="A177" s="1" t="s">
        <v>176</v>
      </c>
      <c r="B177" t="str">
        <f t="shared" ref="B177:B196" si="29">IF(AC134="","¬",AC134)</f>
        <v>Retainer</v>
      </c>
      <c r="D177" s="19"/>
      <c r="E177" s="15" t="s">
        <v>1492</v>
      </c>
      <c r="F177" s="3"/>
      <c r="G177" s="19"/>
      <c r="H177" s="72" t="str">
        <f>IFERROR(IF(VLOOKUP(F177,tblDisciplines[],14,FALSE)=0,"None",VLOOKUP(F177,tblDisciplines[],14,FALSE)),"None")</f>
        <v>None</v>
      </c>
      <c r="I177" s="73"/>
      <c r="N177" s="4"/>
      <c r="O177" s="61">
        <f>N177</f>
        <v>0</v>
      </c>
      <c r="P177" s="60" t="str">
        <f>IF(O177=R177,O177,"")</f>
        <v/>
      </c>
      <c r="R177" s="61" t="str">
        <f>_xlfn.IFNA(VLOOKUP(F177,tblDisciplines[],15,FALSE),"")</f>
        <v/>
      </c>
    </row>
    <row r="178" spans="1:18">
      <c r="A178" s="1" t="s">
        <v>177</v>
      </c>
      <c r="B178" t="str">
        <f t="shared" si="29"/>
        <v>¬</v>
      </c>
      <c r="D178" s="19"/>
      <c r="E178" s="15" t="s">
        <v>1493</v>
      </c>
      <c r="F178" s="3"/>
      <c r="G178" s="19"/>
      <c r="H178" s="72" t="str">
        <f>IFERROR(IF(VLOOKUP(F178,tblDisciplines[],14,FALSE)=0,"None",VLOOKUP(F178,tblDisciplines[],14,FALSE)),"None")</f>
        <v>None</v>
      </c>
      <c r="I178" s="73"/>
      <c r="N178" s="4"/>
      <c r="O178" s="61">
        <f>N178</f>
        <v>0</v>
      </c>
      <c r="P178" s="60" t="str">
        <f>IF(O178=R178,O178,"")</f>
        <v/>
      </c>
      <c r="R178" s="61" t="str">
        <f>_xlfn.IFNA(VLOOKUP(F178,tblDisciplines[],15,FALSE),"")</f>
        <v/>
      </c>
    </row>
    <row r="179" spans="1:18">
      <c r="A179" s="1" t="s">
        <v>178</v>
      </c>
      <c r="B179" t="str">
        <f t="shared" si="29"/>
        <v>¬</v>
      </c>
      <c r="D179" s="19"/>
      <c r="E179" s="15" t="s">
        <v>1494</v>
      </c>
      <c r="F179" s="3"/>
      <c r="G179" s="19"/>
      <c r="H179" s="72" t="str">
        <f>IFERROR(IF(VLOOKUP(F179,tblDisciplines[],14,FALSE)=0,"None",VLOOKUP(F179,tblDisciplines[],14,FALSE)),"None")</f>
        <v>None</v>
      </c>
      <c r="I179" s="73"/>
      <c r="N179" s="4"/>
      <c r="O179" s="61">
        <f>N179</f>
        <v>0</v>
      </c>
      <c r="P179" s="60" t="str">
        <f>IF(O179=R179,O179,"")</f>
        <v/>
      </c>
      <c r="R179" s="61" t="str">
        <f>_xlfn.IFNA(VLOOKUP(F179,tblDisciplines[],15,FALSE),"")</f>
        <v/>
      </c>
    </row>
    <row r="180" spans="1:18">
      <c r="A180" s="1" t="s">
        <v>179</v>
      </c>
      <c r="B180" t="str">
        <f t="shared" si="29"/>
        <v>¬</v>
      </c>
      <c r="D180" s="19"/>
      <c r="E180" s="15" t="s">
        <v>1495</v>
      </c>
      <c r="F180" s="3"/>
      <c r="G180" s="19"/>
      <c r="H180" s="72" t="str">
        <f>IFERROR(IF(VLOOKUP(F180,tblDisciplines[],14,FALSE)=0,"None",VLOOKUP(F180,tblDisciplines[],14,FALSE)),"None")</f>
        <v>None</v>
      </c>
      <c r="I180" s="73"/>
      <c r="N180" s="4"/>
      <c r="O180" s="61">
        <f>N180</f>
        <v>0</v>
      </c>
      <c r="P180" s="60" t="str">
        <f>IF(O180=R180,O180,"")</f>
        <v/>
      </c>
      <c r="R180" s="61" t="str">
        <f>_xlfn.IFNA(VLOOKUP(F180,tblDisciplines[],15,FALSE),"")</f>
        <v/>
      </c>
    </row>
    <row r="181" spans="1:18">
      <c r="A181" s="1" t="s">
        <v>180</v>
      </c>
      <c r="B181" t="str">
        <f t="shared" si="29"/>
        <v>¬</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29"/>
        <v>¬</v>
      </c>
    </row>
    <row r="183" spans="1:18">
      <c r="A183" s="1" t="s">
        <v>182</v>
      </c>
      <c r="B183" t="str">
        <f t="shared" si="29"/>
        <v>¬</v>
      </c>
      <c r="D183" s="16" t="s">
        <v>1497</v>
      </c>
      <c r="E183" s="16"/>
      <c r="F183" s="16"/>
      <c r="G183" s="16"/>
      <c r="H183" s="16"/>
      <c r="I183" s="16"/>
    </row>
    <row r="184" spans="1:18">
      <c r="A184" s="1" t="s">
        <v>183</v>
      </c>
      <c r="B184" t="str">
        <f t="shared" si="29"/>
        <v>¬</v>
      </c>
      <c r="D184" s="19"/>
      <c r="E184" s="15" t="s">
        <v>246</v>
      </c>
      <c r="F184" s="19"/>
      <c r="G184" s="19"/>
      <c r="H184" s="19"/>
      <c r="I184" s="60" t="b">
        <f>IF(OR(F$9="Circle of the Crone",COUNTIF(F$79:F$93,"Chorister")&gt;0),TRUE,FALSE)</f>
        <v>0</v>
      </c>
      <c r="L184" s="4"/>
      <c r="N184" s="4"/>
      <c r="O184" s="61">
        <f>ROUNDDOWN(N184/4,0)</f>
        <v>0</v>
      </c>
      <c r="P184" s="60">
        <f>SUM(L184,O184)</f>
        <v>0</v>
      </c>
      <c r="Q184" s="61">
        <v>0</v>
      </c>
      <c r="R184" s="61">
        <v>5</v>
      </c>
    </row>
    <row r="185" spans="1:18">
      <c r="A185" s="1" t="s">
        <v>184</v>
      </c>
      <c r="B185" t="str">
        <f t="shared" si="29"/>
        <v>¬</v>
      </c>
      <c r="D185" s="19"/>
      <c r="E185" s="15" t="s">
        <v>247</v>
      </c>
      <c r="F185" s="19"/>
      <c r="G185" s="19"/>
      <c r="H185" s="19"/>
      <c r="I185" s="60" t="b">
        <f>IF(OR(F$9="Lancea et Sanctum",COUNTIF(F$79:F$93,"Laity")&gt;0),TRUE,FALSE)</f>
        <v>1</v>
      </c>
      <c r="L185" s="4">
        <v>1</v>
      </c>
      <c r="N185" s="4"/>
      <c r="O185" s="61">
        <f>ROUNDDOWN(N185/4,0)</f>
        <v>0</v>
      </c>
      <c r="P185" s="60">
        <f>SUM(L185,O185)</f>
        <v>1</v>
      </c>
      <c r="Q185" s="61">
        <v>0</v>
      </c>
      <c r="R185" s="61">
        <v>5</v>
      </c>
    </row>
    <row r="186" spans="1:18">
      <c r="A186" s="1" t="s">
        <v>185</v>
      </c>
      <c r="B186" t="str">
        <f t="shared" si="29"/>
        <v>¬</v>
      </c>
      <c r="D186" s="19"/>
      <c r="E186" s="19"/>
      <c r="F186" s="19"/>
      <c r="G186" s="19"/>
      <c r="H186" s="19"/>
      <c r="I186" s="19"/>
      <c r="L186" s="60">
        <f>SUM(P184:P185)-SUM(L187:L191)</f>
        <v>0</v>
      </c>
    </row>
    <row r="187" spans="1:18">
      <c r="A187" s="1" t="s">
        <v>186</v>
      </c>
      <c r="B187" t="str">
        <f t="shared" si="29"/>
        <v>¬</v>
      </c>
      <c r="D187" s="19"/>
      <c r="E187" s="15" t="s">
        <v>248</v>
      </c>
      <c r="F187" s="19"/>
      <c r="G187" s="19"/>
      <c r="H187" s="19"/>
      <c r="I187" s="19"/>
      <c r="L187" s="4"/>
      <c r="M187" s="61">
        <f>IF(AND(I184,L184&gt;=1),1,0)</f>
        <v>0</v>
      </c>
      <c r="N187" s="4"/>
      <c r="O187" s="61">
        <f>ROUNDDOWN(N187/2,0)</f>
        <v>0</v>
      </c>
      <c r="P187" s="60">
        <f>MIN(SUM(L187,M187,O187),R187)</f>
        <v>0</v>
      </c>
      <c r="Q187" s="61">
        <v>0</v>
      </c>
      <c r="R187" s="61">
        <f>MAX(P$184,P$185)</f>
        <v>1</v>
      </c>
    </row>
    <row r="188" spans="1:18">
      <c r="A188" s="1" t="s">
        <v>187</v>
      </c>
      <c r="B188" t="str">
        <f t="shared" si="29"/>
        <v>¬</v>
      </c>
      <c r="D188" s="19"/>
      <c r="E188" s="15" t="s">
        <v>249</v>
      </c>
      <c r="F188" s="19"/>
      <c r="G188" s="19"/>
      <c r="H188" s="19"/>
      <c r="I188" s="19"/>
      <c r="L188" s="4"/>
      <c r="M188" s="61"/>
      <c r="N188" s="4"/>
      <c r="O188" s="61">
        <f>ROUNDDOWN(N188/2,0)</f>
        <v>0</v>
      </c>
      <c r="P188" s="60">
        <f>MIN(SUM(L188,M188,O188),R188)</f>
        <v>0</v>
      </c>
      <c r="Q188" s="61">
        <v>0</v>
      </c>
      <c r="R188" s="61">
        <f>MAX(P$184,P$185)</f>
        <v>1</v>
      </c>
    </row>
    <row r="189" spans="1:18">
      <c r="A189" s="1" t="s">
        <v>188</v>
      </c>
      <c r="B189" t="str">
        <f t="shared" si="29"/>
        <v>¬</v>
      </c>
      <c r="D189" s="19"/>
      <c r="E189" s="15" t="s">
        <v>250</v>
      </c>
      <c r="F189" s="19"/>
      <c r="G189" s="19"/>
      <c r="H189" s="19"/>
      <c r="I189" s="19"/>
      <c r="L189" s="4"/>
      <c r="M189" s="61">
        <f>IF(AND(I185,L185&gt;=1),1,0)</f>
        <v>1</v>
      </c>
      <c r="N189" s="4"/>
      <c r="O189" s="61">
        <f>ROUNDDOWN(N189/2,0)</f>
        <v>0</v>
      </c>
      <c r="P189" s="60">
        <f>MIN(SUM(L189,M189,O189),R189)</f>
        <v>1</v>
      </c>
      <c r="Q189" s="61">
        <v>0</v>
      </c>
      <c r="R189" s="61">
        <f>MAX(P$184,P$185)</f>
        <v>1</v>
      </c>
    </row>
    <row r="190" spans="1:18">
      <c r="A190" s="1" t="s">
        <v>189</v>
      </c>
      <c r="B190" t="str">
        <f t="shared" si="29"/>
        <v>¬</v>
      </c>
      <c r="D190" s="19"/>
      <c r="E190" s="15" t="s">
        <v>251</v>
      </c>
      <c r="F190" s="19"/>
      <c r="G190" s="19"/>
      <c r="H190" s="19"/>
      <c r="I190" s="19"/>
      <c r="L190" s="4">
        <v>1</v>
      </c>
      <c r="M190" s="61">
        <f>IF(AND(I184,L184&gt;=1),1,0)</f>
        <v>0</v>
      </c>
      <c r="N190" s="4">
        <v>2</v>
      </c>
      <c r="O190" s="61">
        <f>ROUNDDOWN(N190/2,0)</f>
        <v>1</v>
      </c>
      <c r="P190" s="60">
        <f>MIN(SUM(L190,M190,O190),R190)</f>
        <v>1</v>
      </c>
      <c r="Q190" s="61">
        <v>0</v>
      </c>
      <c r="R190" s="61">
        <f>MAX(P$184,P$185)</f>
        <v>1</v>
      </c>
    </row>
    <row r="191" spans="1:18">
      <c r="A191" s="1" t="s">
        <v>190</v>
      </c>
      <c r="B191" t="str">
        <f t="shared" si="29"/>
        <v>¬</v>
      </c>
      <c r="D191" s="19"/>
      <c r="E191" s="15" t="s">
        <v>252</v>
      </c>
      <c r="F191" s="19"/>
      <c r="G191" s="19"/>
      <c r="H191" s="19"/>
      <c r="I191" s="19"/>
      <c r="L191" s="4"/>
      <c r="M191" s="61">
        <f>IF(AND(I185,L185&gt;=1),1,0)</f>
        <v>1</v>
      </c>
      <c r="N191" s="4"/>
      <c r="O191" s="61">
        <f>ROUNDDOWN(N191/2,0)</f>
        <v>0</v>
      </c>
      <c r="P191" s="60">
        <f>MIN(SUM(L191,M191,O191),R191)</f>
        <v>1</v>
      </c>
      <c r="Q191" s="61">
        <v>0</v>
      </c>
      <c r="R191" s="61">
        <f>MAX(P$184,P$185)</f>
        <v>1</v>
      </c>
    </row>
    <row r="192" spans="1:18">
      <c r="A192" s="1" t="s">
        <v>191</v>
      </c>
      <c r="B192" t="str">
        <f t="shared" si="29"/>
        <v>¬</v>
      </c>
    </row>
    <row r="193" spans="1:18">
      <c r="A193" s="1" t="s">
        <v>192</v>
      </c>
      <c r="B193" t="str">
        <f t="shared" si="29"/>
        <v>¬</v>
      </c>
      <c r="D193" s="16" t="s">
        <v>1474</v>
      </c>
      <c r="E193" s="16"/>
      <c r="F193" s="16"/>
      <c r="G193" s="16"/>
      <c r="H193" s="16"/>
      <c r="I193" s="16"/>
      <c r="L193" s="60">
        <f>SUM(P184:P185)+SUM(O187:O191)-SUM(L194:L203)</f>
        <v>2</v>
      </c>
    </row>
    <row r="194" spans="1:18">
      <c r="A194" s="1" t="s">
        <v>193</v>
      </c>
      <c r="B194" t="str">
        <f t="shared" si="29"/>
        <v>¬</v>
      </c>
      <c r="D194" s="19"/>
      <c r="E194" s="15" t="s">
        <v>1498</v>
      </c>
      <c r="F194" s="3"/>
      <c r="G194" s="61" t="str">
        <f>_xlfn.IFNA(VLOOKUP(F194,tblDisciplines[],2,FALSE),"")</f>
        <v/>
      </c>
      <c r="H194" s="19"/>
      <c r="I194" s="19"/>
      <c r="L194" s="4"/>
      <c r="N194" s="4"/>
      <c r="O194" s="61">
        <f>N194</f>
        <v>0</v>
      </c>
      <c r="P194" s="60" t="str">
        <f>IF(OR(L194=R194,O194=R194),R194,MIN(SUM(L194,O194),R194))</f>
        <v/>
      </c>
      <c r="R194" s="61" t="str">
        <f>_xlfn.IFNA(VLOOKUP(F194,tblDisciplines[],3,FALSE),"")</f>
        <v/>
      </c>
    </row>
    <row r="195" spans="1:18">
      <c r="A195" s="1" t="s">
        <v>194</v>
      </c>
      <c r="B195" t="str">
        <f t="shared" si="29"/>
        <v>¬</v>
      </c>
      <c r="D195" s="19"/>
      <c r="E195" s="15" t="s">
        <v>1499</v>
      </c>
      <c r="F195" s="3"/>
      <c r="G195" s="61" t="str">
        <f>_xlfn.IFNA(VLOOKUP(F195,tblDisciplines[],2,FALSE),"")</f>
        <v/>
      </c>
      <c r="H195" s="19"/>
      <c r="I195" s="19"/>
      <c r="L195" s="4"/>
      <c r="N195" s="4"/>
      <c r="O195" s="61">
        <f t="shared" ref="O195:O203" si="30">N195</f>
        <v>0</v>
      </c>
      <c r="P195" s="60" t="str">
        <f t="shared" ref="P195:P203" si="31">IF(OR(L195=R195,O195=R195),R195,MIN(SUM(L195,O195),R195))</f>
        <v/>
      </c>
      <c r="R195" s="61" t="str">
        <f>_xlfn.IFNA(VLOOKUP(F195,tblDisciplines[],3,FALSE),"")</f>
        <v/>
      </c>
    </row>
    <row r="196" spans="1:18">
      <c r="A196" s="1" t="s">
        <v>195</v>
      </c>
      <c r="B196" t="str">
        <f t="shared" si="29"/>
        <v>¬</v>
      </c>
      <c r="D196" s="19"/>
      <c r="E196" s="15" t="s">
        <v>1500</v>
      </c>
      <c r="F196" s="3"/>
      <c r="G196" s="61" t="str">
        <f>_xlfn.IFNA(VLOOKUP(F196,tblDisciplines[],2,FALSE),"")</f>
        <v/>
      </c>
      <c r="H196" s="19"/>
      <c r="I196" s="19"/>
      <c r="L196" s="4"/>
      <c r="N196" s="4"/>
      <c r="O196" s="61">
        <f t="shared" si="30"/>
        <v>0</v>
      </c>
      <c r="P196" s="60" t="str">
        <f t="shared" si="31"/>
        <v/>
      </c>
      <c r="R196" s="61" t="str">
        <f>_xlfn.IFNA(VLOOKUP(F196,tblDisciplines[],3,FALSE),"")</f>
        <v/>
      </c>
    </row>
    <row r="197" spans="1:18">
      <c r="A197" s="1" t="s">
        <v>196</v>
      </c>
      <c r="B197" t="str">
        <f>IF(AD134="","¬",AD134)</f>
        <v>ghoul</v>
      </c>
      <c r="D197" s="19"/>
      <c r="E197" s="15" t="s">
        <v>1501</v>
      </c>
      <c r="F197" s="3"/>
      <c r="G197" s="61" t="str">
        <f>_xlfn.IFNA(VLOOKUP(F197,tblDisciplines[],2,FALSE),"")</f>
        <v/>
      </c>
      <c r="H197" s="19"/>
      <c r="I197" s="19"/>
      <c r="L197" s="4"/>
      <c r="N197" s="4"/>
      <c r="O197" s="61">
        <f t="shared" si="30"/>
        <v>0</v>
      </c>
      <c r="P197" s="60" t="str">
        <f t="shared" si="31"/>
        <v/>
      </c>
      <c r="R197" s="61" t="str">
        <f>_xlfn.IFNA(VLOOKUP(F197,tblDisciplines[],3,FALSE),"")</f>
        <v/>
      </c>
    </row>
    <row r="198" spans="1:18">
      <c r="A198" s="1" t="s">
        <v>197</v>
      </c>
      <c r="B198" t="str">
        <f t="shared" ref="B198:B216" si="32">IF(AD135="","¬",AD135)</f>
        <v>¬</v>
      </c>
      <c r="D198" s="19"/>
      <c r="E198" s="15" t="s">
        <v>1502</v>
      </c>
      <c r="F198" s="3"/>
      <c r="G198" s="61" t="str">
        <f>_xlfn.IFNA(VLOOKUP(F198,tblDisciplines[],2,FALSE),"")</f>
        <v/>
      </c>
      <c r="H198" s="19"/>
      <c r="I198" s="19"/>
      <c r="L198" s="4"/>
      <c r="N198" s="4"/>
      <c r="O198" s="61">
        <f t="shared" si="30"/>
        <v>0</v>
      </c>
      <c r="P198" s="60" t="str">
        <f t="shared" si="31"/>
        <v/>
      </c>
      <c r="R198" s="61" t="str">
        <f>_xlfn.IFNA(VLOOKUP(F198,tblDisciplines[],3,FALSE),"")</f>
        <v/>
      </c>
    </row>
    <row r="199" spans="1:18">
      <c r="A199" s="1" t="s">
        <v>198</v>
      </c>
      <c r="B199" t="str">
        <f t="shared" si="32"/>
        <v>¬</v>
      </c>
      <c r="D199" s="19"/>
      <c r="E199" s="15" t="s">
        <v>1503</v>
      </c>
      <c r="F199" s="3"/>
      <c r="G199" s="61" t="str">
        <f>_xlfn.IFNA(VLOOKUP(F199,tblDisciplines[],2,FALSE),"")</f>
        <v/>
      </c>
      <c r="H199" s="19"/>
      <c r="I199" s="19"/>
      <c r="L199" s="4"/>
      <c r="N199" s="4"/>
      <c r="O199" s="61">
        <f t="shared" si="30"/>
        <v>0</v>
      </c>
      <c r="P199" s="60" t="str">
        <f t="shared" si="31"/>
        <v/>
      </c>
      <c r="R199" s="61" t="str">
        <f>_xlfn.IFNA(VLOOKUP(F199,tblDisciplines[],3,FALSE),"")</f>
        <v/>
      </c>
    </row>
    <row r="200" spans="1:18">
      <c r="A200" s="1" t="s">
        <v>199</v>
      </c>
      <c r="B200" t="str">
        <f t="shared" si="32"/>
        <v>¬</v>
      </c>
      <c r="D200" s="19"/>
      <c r="E200" s="15" t="s">
        <v>1504</v>
      </c>
      <c r="F200" s="3"/>
      <c r="G200" s="61" t="str">
        <f>_xlfn.IFNA(VLOOKUP(F200,tblDisciplines[],2,FALSE),"")</f>
        <v/>
      </c>
      <c r="H200" s="19"/>
      <c r="I200" s="19"/>
      <c r="L200" s="4"/>
      <c r="N200" s="4"/>
      <c r="O200" s="61">
        <f t="shared" si="30"/>
        <v>0</v>
      </c>
      <c r="P200" s="60" t="str">
        <f t="shared" si="31"/>
        <v/>
      </c>
      <c r="R200" s="61" t="str">
        <f>_xlfn.IFNA(VLOOKUP(F200,tblDisciplines[],3,FALSE),"")</f>
        <v/>
      </c>
    </row>
    <row r="201" spans="1:18">
      <c r="A201" s="1" t="s">
        <v>200</v>
      </c>
      <c r="B201" t="str">
        <f t="shared" si="32"/>
        <v>¬</v>
      </c>
      <c r="D201" s="19"/>
      <c r="E201" s="15" t="s">
        <v>1505</v>
      </c>
      <c r="F201" s="3"/>
      <c r="G201" s="61" t="str">
        <f>_xlfn.IFNA(VLOOKUP(F201,tblDisciplines[],2,FALSE),"")</f>
        <v/>
      </c>
      <c r="H201" s="19"/>
      <c r="I201" s="19"/>
      <c r="L201" s="4"/>
      <c r="N201" s="4"/>
      <c r="O201" s="61">
        <f t="shared" si="30"/>
        <v>0</v>
      </c>
      <c r="P201" s="60" t="str">
        <f t="shared" si="31"/>
        <v/>
      </c>
      <c r="R201" s="61" t="str">
        <f>_xlfn.IFNA(VLOOKUP(F201,tblDisciplines[],3,FALSE),"")</f>
        <v/>
      </c>
    </row>
    <row r="202" spans="1:18">
      <c r="A202" s="1" t="s">
        <v>201</v>
      </c>
      <c r="B202" t="str">
        <f t="shared" si="32"/>
        <v>¬</v>
      </c>
      <c r="D202" s="19"/>
      <c r="E202" s="15" t="s">
        <v>1506</v>
      </c>
      <c r="F202" s="3"/>
      <c r="G202" s="61" t="str">
        <f>_xlfn.IFNA(VLOOKUP(F202,tblDisciplines[],2,FALSE),"")</f>
        <v/>
      </c>
      <c r="H202" s="19"/>
      <c r="I202" s="19"/>
      <c r="L202" s="4"/>
      <c r="N202" s="4"/>
      <c r="O202" s="61">
        <f t="shared" si="30"/>
        <v>0</v>
      </c>
      <c r="P202" s="60" t="str">
        <f t="shared" si="31"/>
        <v/>
      </c>
      <c r="R202" s="61" t="str">
        <f>_xlfn.IFNA(VLOOKUP(F202,tblDisciplines[],3,FALSE),"")</f>
        <v/>
      </c>
    </row>
    <row r="203" spans="1:18">
      <c r="A203" s="1" t="s">
        <v>202</v>
      </c>
      <c r="B203" t="str">
        <f t="shared" si="32"/>
        <v>¬</v>
      </c>
      <c r="D203" s="19"/>
      <c r="E203" s="15" t="s">
        <v>1507</v>
      </c>
      <c r="F203" s="3"/>
      <c r="G203" s="61" t="str">
        <f>_xlfn.IFNA(VLOOKUP(F203,tblDisciplines[],2,FALSE),"")</f>
        <v/>
      </c>
      <c r="H203" s="19"/>
      <c r="I203" s="19"/>
      <c r="L203" s="4"/>
      <c r="N203" s="4"/>
      <c r="O203" s="61">
        <f t="shared" si="30"/>
        <v>0</v>
      </c>
      <c r="P203" s="60" t="str">
        <f t="shared" si="31"/>
        <v/>
      </c>
      <c r="R203" s="61" t="str">
        <f>_xlfn.IFNA(VLOOKUP(F203,tblDisciplines[],3,FALSE),"")</f>
        <v/>
      </c>
    </row>
    <row r="204" spans="1:18">
      <c r="A204" s="1" t="s">
        <v>203</v>
      </c>
      <c r="B204" t="str">
        <f t="shared" si="32"/>
        <v>¬</v>
      </c>
    </row>
    <row r="205" spans="1:18">
      <c r="A205" s="1" t="s">
        <v>204</v>
      </c>
      <c r="B205" t="str">
        <f t="shared" si="32"/>
        <v>¬</v>
      </c>
      <c r="D205" s="16" t="s">
        <v>1508</v>
      </c>
      <c r="E205" s="17"/>
      <c r="F205" s="17"/>
      <c r="G205" s="17"/>
      <c r="H205" s="17"/>
      <c r="I205" s="17"/>
    </row>
    <row r="206" spans="1:18">
      <c r="A206" s="1" t="s">
        <v>205</v>
      </c>
      <c r="B206" t="str">
        <f t="shared" si="32"/>
        <v>¬</v>
      </c>
      <c r="D206" s="19"/>
      <c r="E206" s="15" t="s">
        <v>1476</v>
      </c>
      <c r="F206" s="3"/>
      <c r="G206" s="19" t="str">
        <f>IFERROR(VLOOKUP(F206,tblManoeuvre[],2,FALSE)&amp;" "&amp;VLOOKUP(F206,tblManoeuvre[],3,FALSE),"")</f>
        <v/>
      </c>
      <c r="H206" s="68" t="str">
        <f>_xlfn.IFNA(IF(VLOOKUP(F206,tblMerits[],6,FALSE)=0,"None",VLOOKUP(F206,tblMerits[],6,FALSE)),"None")</f>
        <v>None</v>
      </c>
      <c r="I206" s="69"/>
      <c r="L206" s="4"/>
      <c r="M206" s="4"/>
      <c r="N206" s="4"/>
      <c r="O206" s="61">
        <f t="shared" ref="O206:O215" si="33">N206</f>
        <v>0</v>
      </c>
      <c r="P206" s="60">
        <f t="shared" ref="P206:P215" si="34">MIN(SUM(L206,M206,O206),R206)</f>
        <v>0</v>
      </c>
      <c r="Q206" s="61" t="str">
        <f>_xlfn.IFNA(VLOOKUP($F206,tblPacts[],3,FALSE),"")</f>
        <v/>
      </c>
      <c r="R206" s="61" t="str">
        <f>_xlfn.IFNA(VLOOKUP($F206,tblPacts[],4,FALSE),"")</f>
        <v/>
      </c>
    </row>
    <row r="207" spans="1:18">
      <c r="A207" s="1" t="s">
        <v>206</v>
      </c>
      <c r="B207" t="str">
        <f t="shared" si="32"/>
        <v>¬</v>
      </c>
      <c r="D207" s="19"/>
      <c r="E207" s="15" t="s">
        <v>1477</v>
      </c>
      <c r="F207" s="3"/>
      <c r="G207" s="19" t="str">
        <f>IFERROR(VLOOKUP(F207,tblManoeuvre[],2,FALSE)&amp;" "&amp;VLOOKUP(F207,tblManoeuvre[],3,FALSE),"")</f>
        <v/>
      </c>
      <c r="H207" s="68" t="str">
        <f>_xlfn.IFNA(IF(VLOOKUP(F207,tblMerits[],6,FALSE)=0,"None",VLOOKUP(F207,tblMerits[],6,FALSE)),"None")</f>
        <v>None</v>
      </c>
      <c r="I207" s="69"/>
      <c r="L207" s="4"/>
      <c r="M207" s="4"/>
      <c r="N207" s="4"/>
      <c r="O207" s="61">
        <f t="shared" si="33"/>
        <v>0</v>
      </c>
      <c r="P207" s="60">
        <f t="shared" si="34"/>
        <v>0</v>
      </c>
      <c r="Q207" s="61" t="str">
        <f>_xlfn.IFNA(VLOOKUP($F207,tblPacts[],3,FALSE),"")</f>
        <v/>
      </c>
      <c r="R207" s="61" t="str">
        <f>_xlfn.IFNA(VLOOKUP($F207,tblPacts[],4,FALSE),"")</f>
        <v/>
      </c>
    </row>
    <row r="208" spans="1:18">
      <c r="A208" s="1" t="s">
        <v>207</v>
      </c>
      <c r="B208" t="str">
        <f t="shared" si="32"/>
        <v>¬</v>
      </c>
      <c r="D208" s="19"/>
      <c r="E208" s="15" t="s">
        <v>1478</v>
      </c>
      <c r="F208" s="3"/>
      <c r="G208" s="19" t="str">
        <f>IFERROR(VLOOKUP(F208,tblManoeuvre[],2,FALSE)&amp;" "&amp;VLOOKUP(F208,tblManoeuvre[],3,FALSE),"")</f>
        <v/>
      </c>
      <c r="H208" s="68" t="str">
        <f>_xlfn.IFNA(IF(VLOOKUP(F208,tblMerits[],6,FALSE)=0,"None",VLOOKUP(F208,tblMerits[],6,FALSE)),"None")</f>
        <v>None</v>
      </c>
      <c r="I208" s="69"/>
      <c r="L208" s="4"/>
      <c r="M208" s="4"/>
      <c r="N208" s="4"/>
      <c r="O208" s="61">
        <f t="shared" si="33"/>
        <v>0</v>
      </c>
      <c r="P208" s="60">
        <f t="shared" si="34"/>
        <v>0</v>
      </c>
      <c r="Q208" s="61" t="str">
        <f>_xlfn.IFNA(VLOOKUP($F208,tblPacts[],3,FALSE),"")</f>
        <v/>
      </c>
      <c r="R208" s="61" t="str">
        <f>_xlfn.IFNA(VLOOKUP($F208,tblPacts[],4,FALSE),"")</f>
        <v/>
      </c>
    </row>
    <row r="209" spans="1:18">
      <c r="A209" s="1" t="s">
        <v>208</v>
      </c>
      <c r="B209" t="str">
        <f t="shared" si="32"/>
        <v>¬</v>
      </c>
      <c r="D209" s="19"/>
      <c r="E209" s="15" t="s">
        <v>1479</v>
      </c>
      <c r="F209" s="3"/>
      <c r="G209" s="19" t="str">
        <f>IFERROR(VLOOKUP(F209,tblManoeuvre[],2,FALSE)&amp;" "&amp;VLOOKUP(F209,tblManoeuvre[],3,FALSE),"")</f>
        <v/>
      </c>
      <c r="H209" s="68" t="str">
        <f>_xlfn.IFNA(IF(VLOOKUP(F209,tblMerits[],6,FALSE)=0,"None",VLOOKUP(F209,tblMerits[],6,FALSE)),"None")</f>
        <v>None</v>
      </c>
      <c r="I209" s="69"/>
      <c r="L209" s="4"/>
      <c r="M209" s="4"/>
      <c r="N209" s="4"/>
      <c r="O209" s="61">
        <f t="shared" si="33"/>
        <v>0</v>
      </c>
      <c r="P209" s="60">
        <f t="shared" si="34"/>
        <v>0</v>
      </c>
      <c r="Q209" s="61" t="str">
        <f>_xlfn.IFNA(VLOOKUP($F209,tblPacts[],3,FALSE),"")</f>
        <v/>
      </c>
      <c r="R209" s="61" t="str">
        <f>_xlfn.IFNA(VLOOKUP($F209,tblPacts[],4,FALSE),"")</f>
        <v/>
      </c>
    </row>
    <row r="210" spans="1:18">
      <c r="A210" s="1" t="s">
        <v>209</v>
      </c>
      <c r="B210" t="str">
        <f t="shared" si="32"/>
        <v>¬</v>
      </c>
      <c r="D210" s="19"/>
      <c r="E210" s="15" t="s">
        <v>1480</v>
      </c>
      <c r="F210" s="3"/>
      <c r="G210" s="19" t="str">
        <f>IFERROR(VLOOKUP(F210,tblManoeuvre[],2,FALSE)&amp;" "&amp;VLOOKUP(F210,tblManoeuvre[],3,FALSE),"")</f>
        <v/>
      </c>
      <c r="H210" s="68" t="str">
        <f>_xlfn.IFNA(IF(VLOOKUP(F210,tblMerits[],6,FALSE)=0,"None",VLOOKUP(F210,tblMerits[],6,FALSE)),"None")</f>
        <v>None</v>
      </c>
      <c r="I210" s="69"/>
      <c r="L210" s="4"/>
      <c r="M210" s="4"/>
      <c r="N210" s="4"/>
      <c r="O210" s="61">
        <f t="shared" si="33"/>
        <v>0</v>
      </c>
      <c r="P210" s="60">
        <f t="shared" si="34"/>
        <v>0</v>
      </c>
      <c r="Q210" s="61" t="str">
        <f>_xlfn.IFNA(VLOOKUP($F210,tblPacts[],3,FALSE),"")</f>
        <v/>
      </c>
      <c r="R210" s="61" t="str">
        <f>_xlfn.IFNA(VLOOKUP($F210,tblPacts[],4,FALSE),"")</f>
        <v/>
      </c>
    </row>
    <row r="211" spans="1:18">
      <c r="A211" s="1" t="s">
        <v>210</v>
      </c>
      <c r="B211" t="str">
        <f t="shared" si="32"/>
        <v>¬</v>
      </c>
      <c r="D211" s="19"/>
      <c r="E211" s="15" t="s">
        <v>1481</v>
      </c>
      <c r="F211" s="3"/>
      <c r="G211" s="19" t="str">
        <f>IFERROR(VLOOKUP(F211,tblManoeuvre[],2,FALSE)&amp;" "&amp;VLOOKUP(F211,tblManoeuvre[],3,FALSE),"")</f>
        <v/>
      </c>
      <c r="H211" s="68" t="str">
        <f>_xlfn.IFNA(IF(VLOOKUP(F211,tblMerits[],6,FALSE)=0,"None",VLOOKUP(F211,tblMerits[],6,FALSE)),"None")</f>
        <v>None</v>
      </c>
      <c r="I211" s="69"/>
      <c r="L211" s="4"/>
      <c r="M211" s="4"/>
      <c r="N211" s="4"/>
      <c r="O211" s="61">
        <f t="shared" si="33"/>
        <v>0</v>
      </c>
      <c r="P211" s="60">
        <f t="shared" si="34"/>
        <v>0</v>
      </c>
      <c r="Q211" s="61" t="str">
        <f>_xlfn.IFNA(VLOOKUP($F211,tblPacts[],3,FALSE),"")</f>
        <v/>
      </c>
      <c r="R211" s="61" t="str">
        <f>_xlfn.IFNA(VLOOKUP($F211,tblPacts[],4,FALSE),"")</f>
        <v/>
      </c>
    </row>
    <row r="212" spans="1:18">
      <c r="A212" s="1" t="s">
        <v>211</v>
      </c>
      <c r="B212" t="str">
        <f t="shared" si="32"/>
        <v>¬</v>
      </c>
      <c r="D212" s="19"/>
      <c r="E212" s="15" t="s">
        <v>1482</v>
      </c>
      <c r="F212" s="3"/>
      <c r="G212" s="19" t="str">
        <f>IFERROR(VLOOKUP(F212,tblManoeuvre[],2,FALSE)&amp;" "&amp;VLOOKUP(F212,tblManoeuvre[],3,FALSE),"")</f>
        <v/>
      </c>
      <c r="H212" s="68" t="str">
        <f>_xlfn.IFNA(IF(VLOOKUP(F212,tblMerits[],6,FALSE)=0,"None",VLOOKUP(F212,tblMerits[],6,FALSE)),"None")</f>
        <v>None</v>
      </c>
      <c r="I212" s="69"/>
      <c r="L212" s="4"/>
      <c r="M212" s="4"/>
      <c r="N212" s="4"/>
      <c r="O212" s="61">
        <f t="shared" si="33"/>
        <v>0</v>
      </c>
      <c r="P212" s="60">
        <f t="shared" si="34"/>
        <v>0</v>
      </c>
      <c r="Q212" s="61" t="str">
        <f>_xlfn.IFNA(VLOOKUP($F212,tblPacts[],3,FALSE),"")</f>
        <v/>
      </c>
      <c r="R212" s="61" t="str">
        <f>_xlfn.IFNA(VLOOKUP($F212,tblPacts[],4,FALSE),"")</f>
        <v/>
      </c>
    </row>
    <row r="213" spans="1:18">
      <c r="A213" s="1" t="s">
        <v>212</v>
      </c>
      <c r="B213" t="str">
        <f t="shared" si="32"/>
        <v>¬</v>
      </c>
      <c r="D213" s="19"/>
      <c r="E213" s="15" t="s">
        <v>1483</v>
      </c>
      <c r="F213" s="3"/>
      <c r="G213" s="19" t="str">
        <f>IFERROR(VLOOKUP(F213,tblManoeuvre[],2,FALSE)&amp;" "&amp;VLOOKUP(F213,tblManoeuvre[],3,FALSE),"")</f>
        <v/>
      </c>
      <c r="H213" s="68" t="str">
        <f>_xlfn.IFNA(IF(VLOOKUP(F213,tblMerits[],6,FALSE)=0,"None",VLOOKUP(F213,tblMerits[],6,FALSE)),"None")</f>
        <v>None</v>
      </c>
      <c r="I213" s="69"/>
      <c r="L213" s="4"/>
      <c r="M213" s="4"/>
      <c r="N213" s="4"/>
      <c r="O213" s="61">
        <f t="shared" si="33"/>
        <v>0</v>
      </c>
      <c r="P213" s="60">
        <f t="shared" si="34"/>
        <v>0</v>
      </c>
      <c r="Q213" s="61" t="str">
        <f>_xlfn.IFNA(VLOOKUP($F213,tblPacts[],3,FALSE),"")</f>
        <v/>
      </c>
      <c r="R213" s="61" t="str">
        <f>_xlfn.IFNA(VLOOKUP($F213,tblPacts[],4,FALSE),"")</f>
        <v/>
      </c>
    </row>
    <row r="214" spans="1:18">
      <c r="A214" s="1" t="s">
        <v>213</v>
      </c>
      <c r="B214" t="str">
        <f t="shared" si="32"/>
        <v>¬</v>
      </c>
      <c r="D214" s="19"/>
      <c r="E214" s="15" t="s">
        <v>1484</v>
      </c>
      <c r="F214" s="3"/>
      <c r="G214" s="19" t="str">
        <f>IFERROR(VLOOKUP(F214,tblManoeuvre[],2,FALSE)&amp;" "&amp;VLOOKUP(F214,tblManoeuvre[],3,FALSE),"")</f>
        <v/>
      </c>
      <c r="H214" s="68" t="str">
        <f>_xlfn.IFNA(IF(VLOOKUP(F214,tblMerits[],6,FALSE)=0,"None",VLOOKUP(F214,tblMerits[],6,FALSE)),"None")</f>
        <v>None</v>
      </c>
      <c r="I214" s="69"/>
      <c r="L214" s="4"/>
      <c r="M214" s="4"/>
      <c r="N214" s="4"/>
      <c r="O214" s="61">
        <f t="shared" si="33"/>
        <v>0</v>
      </c>
      <c r="P214" s="60">
        <f t="shared" si="34"/>
        <v>0</v>
      </c>
      <c r="Q214" s="61" t="str">
        <f>_xlfn.IFNA(VLOOKUP($F214,tblPacts[],3,FALSE),"")</f>
        <v/>
      </c>
      <c r="R214" s="61" t="str">
        <f>_xlfn.IFNA(VLOOKUP($F214,tblPacts[],4,FALSE),"")</f>
        <v/>
      </c>
    </row>
    <row r="215" spans="1:18">
      <c r="A215" s="1" t="s">
        <v>214</v>
      </c>
      <c r="B215" t="str">
        <f t="shared" si="32"/>
        <v>¬</v>
      </c>
      <c r="D215" s="19"/>
      <c r="E215" s="15" t="s">
        <v>1485</v>
      </c>
      <c r="F215" s="3"/>
      <c r="G215" s="19" t="str">
        <f>IFERROR(VLOOKUP(F215,tblManoeuvre[],2,FALSE)&amp;" "&amp;VLOOKUP(F215,tblManoeuvre[],3,FALSE),"")</f>
        <v/>
      </c>
      <c r="H215" s="68" t="str">
        <f>_xlfn.IFNA(IF(VLOOKUP(F215,tblMerits[],6,FALSE)=0,"None",VLOOKUP(F215,tblMerits[],6,FALSE)),"None")</f>
        <v>None</v>
      </c>
      <c r="I215" s="69"/>
      <c r="L215" s="4"/>
      <c r="M215" s="4"/>
      <c r="N215" s="4"/>
      <c r="O215" s="61">
        <f t="shared" si="33"/>
        <v>0</v>
      </c>
      <c r="P215" s="60">
        <f t="shared" si="34"/>
        <v>0</v>
      </c>
      <c r="Q215" s="61" t="str">
        <f>_xlfn.IFNA(VLOOKUP($F215,tblPacts[],3,FALSE),"")</f>
        <v/>
      </c>
      <c r="R215" s="61" t="str">
        <f>_xlfn.IFNA(VLOOKUP($F215,tblPacts[],4,FALSE),"")</f>
        <v/>
      </c>
    </row>
    <row r="216" spans="1:18">
      <c r="A216" s="1" t="s">
        <v>215</v>
      </c>
      <c r="B216" t="str">
        <f t="shared" si="32"/>
        <v>¬</v>
      </c>
    </row>
    <row r="217" spans="1:18">
      <c r="A217" s="1" t="s">
        <v>216</v>
      </c>
      <c r="B217" t="str">
        <f>IF(OR(AF134=0,AF134=""),"",REPT("●",AF134))</f>
        <v>●</v>
      </c>
      <c r="D217" s="16" t="s">
        <v>1509</v>
      </c>
      <c r="E217" s="16"/>
      <c r="F217" s="16"/>
      <c r="G217" s="16"/>
      <c r="H217" s="16"/>
      <c r="I217" s="16"/>
    </row>
    <row r="218" spans="1:18">
      <c r="A218" s="1" t="s">
        <v>217</v>
      </c>
      <c r="B218" t="str">
        <f t="shared" ref="B218:B236" si="35">IF(OR(AF135=0,AF135=""),"",REPT("●",AF135))</f>
        <v/>
      </c>
      <c r="D218" s="19"/>
      <c r="E218" s="15" t="s">
        <v>353</v>
      </c>
      <c r="F218" s="19"/>
      <c r="G218" s="19"/>
      <c r="H218" s="19"/>
      <c r="I218" s="19"/>
      <c r="M218" s="61">
        <f>IF(COUNTIF(F79:F93,"Giant")&gt;0,1,0)+IF(COUNTIF(F79:F93,"Small-Framed")&gt;0,-1,0)</f>
        <v>0</v>
      </c>
      <c r="P218" s="60">
        <f>5+M218</f>
        <v>5</v>
      </c>
    </row>
    <row r="219" spans="1:18">
      <c r="A219" s="1" t="s">
        <v>218</v>
      </c>
      <c r="B219" t="str">
        <f t="shared" si="35"/>
        <v/>
      </c>
      <c r="D219" s="19"/>
      <c r="E219" s="15" t="s">
        <v>354</v>
      </c>
      <c r="F219" s="19"/>
      <c r="G219" s="19"/>
      <c r="H219" s="19"/>
      <c r="I219" s="19"/>
      <c r="P219" s="60">
        <f ca="1">VLOOKUP("Size",INDIRECT($AH$1),2,FALSE)+VLOOKUP("Strength",INDIRECT($AH$1),2,FALSE)+VLOOKUP("Dexterity",INDIRECT($AH$1),2,FALSE)+VLOOKUP("Vigour",INDIRECT($AH$1),2,FALSE)</f>
        <v>8</v>
      </c>
    </row>
    <row r="220" spans="1:18">
      <c r="A220" s="1" t="s">
        <v>219</v>
      </c>
      <c r="B220" t="str">
        <f t="shared" si="35"/>
        <v/>
      </c>
      <c r="D220" s="19"/>
      <c r="E220" s="15" t="s">
        <v>355</v>
      </c>
      <c r="F220" s="19"/>
      <c r="G220" s="19"/>
      <c r="H220" s="19"/>
      <c r="I220" s="19"/>
      <c r="P220" s="60">
        <f ca="1">MIN(VLOOKUP("Dexterity",INDIRECT($AH$1),2,FALSE),VLOOKUP("Wits",INDIRECT($AH$1),2,FALSE))+VLOOKUP("Athletics",INDIRECT($AH$1),2,FALSE)</f>
        <v>2</v>
      </c>
    </row>
    <row r="221" spans="1:18">
      <c r="A221" s="1" t="s">
        <v>220</v>
      </c>
      <c r="B221" t="str">
        <f t="shared" si="35"/>
        <v/>
      </c>
      <c r="D221" s="19"/>
      <c r="E221" s="15" t="s">
        <v>52</v>
      </c>
      <c r="F221" s="19"/>
      <c r="G221" s="19"/>
      <c r="H221" s="19"/>
      <c r="I221" s="19"/>
      <c r="P221" s="60">
        <f ca="1">VLOOKUP("Size",INDIRECT($AH$1),2,FALSE)+VLOOKUP("Stamina",INDIRECT($AH$1),2,FALSE)+VLOOKUP("Resilience",INDIRECT($AH$1),2,FALSE)</f>
        <v>8</v>
      </c>
    </row>
    <row r="222" spans="1:18">
      <c r="A222" s="1" t="s">
        <v>221</v>
      </c>
      <c r="B222" t="str">
        <f t="shared" si="35"/>
        <v/>
      </c>
      <c r="D222" s="19"/>
      <c r="E222" s="19"/>
      <c r="F222" s="19"/>
      <c r="G222" s="19"/>
      <c r="H222" s="15" t="s">
        <v>1510</v>
      </c>
      <c r="I222" s="19"/>
      <c r="L222" s="4"/>
    </row>
    <row r="223" spans="1:18">
      <c r="A223" s="1" t="s">
        <v>222</v>
      </c>
      <c r="B223" t="str">
        <f t="shared" si="35"/>
        <v/>
      </c>
      <c r="D223" s="19"/>
      <c r="E223" s="15" t="s">
        <v>1511</v>
      </c>
      <c r="F223" s="7"/>
      <c r="G223" s="19"/>
      <c r="H223" s="15" t="s">
        <v>1512</v>
      </c>
      <c r="I223" s="19"/>
      <c r="L223" s="4">
        <v>1</v>
      </c>
    </row>
    <row r="224" spans="1:18">
      <c r="A224" s="1" t="s">
        <v>223</v>
      </c>
      <c r="B224" t="str">
        <f t="shared" si="35"/>
        <v/>
      </c>
      <c r="D224" s="19"/>
      <c r="E224" s="15" t="s">
        <v>1513</v>
      </c>
      <c r="F224" s="7"/>
      <c r="G224" s="19"/>
      <c r="H224" s="15" t="s">
        <v>1514</v>
      </c>
      <c r="I224" s="19"/>
      <c r="L224" s="4"/>
    </row>
    <row r="225" spans="1:12">
      <c r="A225" s="1" t="s">
        <v>224</v>
      </c>
      <c r="B225" t="str">
        <f t="shared" si="35"/>
        <v/>
      </c>
      <c r="D225" s="19"/>
      <c r="E225" s="15" t="s">
        <v>1515</v>
      </c>
      <c r="F225" s="7"/>
      <c r="G225" s="19"/>
      <c r="H225" s="15" t="s">
        <v>1516</v>
      </c>
      <c r="I225" s="19"/>
      <c r="L225" s="4">
        <v>1</v>
      </c>
    </row>
    <row r="226" spans="1:12">
      <c r="A226" s="1" t="s">
        <v>225</v>
      </c>
      <c r="B226" t="str">
        <f t="shared" si="35"/>
        <v/>
      </c>
      <c r="D226" s="19"/>
      <c r="E226" s="15" t="s">
        <v>1517</v>
      </c>
      <c r="F226" s="7"/>
      <c r="G226" s="19"/>
      <c r="H226" s="19"/>
      <c r="I226" s="19"/>
    </row>
    <row r="227" spans="1:12">
      <c r="A227" s="1" t="s">
        <v>226</v>
      </c>
      <c r="B227" t="str">
        <f t="shared" si="35"/>
        <v/>
      </c>
      <c r="D227" s="19"/>
      <c r="E227" s="15" t="s">
        <v>1518</v>
      </c>
      <c r="F227" s="7"/>
      <c r="G227" s="19"/>
      <c r="H227" s="19"/>
      <c r="I227" s="19"/>
    </row>
    <row r="228" spans="1:12">
      <c r="A228" s="1" t="s">
        <v>227</v>
      </c>
      <c r="B228" t="str">
        <f t="shared" si="35"/>
        <v/>
      </c>
      <c r="D228" s="19"/>
      <c r="E228" s="15" t="s">
        <v>1519</v>
      </c>
      <c r="F228" s="7"/>
      <c r="G228" s="19"/>
      <c r="H228" s="19"/>
      <c r="I228" s="19"/>
    </row>
    <row r="229" spans="1:12">
      <c r="A229" s="1" t="s">
        <v>228</v>
      </c>
      <c r="B229" t="str">
        <f t="shared" si="35"/>
        <v/>
      </c>
      <c r="D229" s="19"/>
      <c r="E229" s="15" t="s">
        <v>1520</v>
      </c>
      <c r="F229" s="7"/>
      <c r="G229" s="19"/>
      <c r="H229" s="19"/>
      <c r="I229" s="19"/>
    </row>
    <row r="230" spans="1:12">
      <c r="A230" s="1" t="s">
        <v>229</v>
      </c>
      <c r="B230" t="str">
        <f t="shared" si="35"/>
        <v/>
      </c>
      <c r="D230" s="19"/>
      <c r="E230" s="15" t="s">
        <v>1521</v>
      </c>
      <c r="F230" s="7"/>
      <c r="G230" s="19"/>
      <c r="H230" s="19"/>
      <c r="I230" s="19"/>
    </row>
    <row r="231" spans="1:12">
      <c r="A231" s="1" t="s">
        <v>230</v>
      </c>
      <c r="B231" t="str">
        <f t="shared" si="35"/>
        <v/>
      </c>
      <c r="D231" s="19"/>
      <c r="E231" s="15" t="s">
        <v>1522</v>
      </c>
      <c r="F231" s="7"/>
      <c r="G231" s="19"/>
      <c r="H231" s="19"/>
      <c r="I231" s="19"/>
    </row>
    <row r="232" spans="1:12">
      <c r="A232" s="1" t="s">
        <v>231</v>
      </c>
      <c r="B232" t="str">
        <f t="shared" si="35"/>
        <v/>
      </c>
      <c r="D232" s="19"/>
      <c r="E232" s="15" t="s">
        <v>1523</v>
      </c>
      <c r="F232" s="7"/>
      <c r="G232" s="19"/>
      <c r="H232" s="19"/>
      <c r="I232" s="19"/>
    </row>
    <row r="233" spans="1:12">
      <c r="A233" s="1" t="s">
        <v>232</v>
      </c>
      <c r="B233" t="str">
        <f t="shared" si="35"/>
        <v/>
      </c>
      <c r="D233" s="19"/>
      <c r="E233" s="19"/>
      <c r="F233" s="19"/>
      <c r="G233" s="19"/>
      <c r="H233" s="19"/>
      <c r="I233" s="19"/>
    </row>
    <row r="234" spans="1:12">
      <c r="A234" s="1" t="s">
        <v>233</v>
      </c>
      <c r="B234" t="str">
        <f t="shared" si="35"/>
        <v/>
      </c>
      <c r="D234" s="19"/>
      <c r="E234" s="15" t="s">
        <v>343</v>
      </c>
      <c r="F234" s="61" t="str">
        <f>_xlfn.IFNA(VLOOKUP(F7,tblClans[],4,FALSE),"")</f>
        <v>Lonely Curse</v>
      </c>
      <c r="G234" s="19"/>
      <c r="H234" s="74" t="str">
        <f>_xlfn.IFNA(VLOOKUP(F234,tblBanes[],2,FALSE),"")</f>
        <v>With mortals, Humanity counts –2; Presence/Manipulation failures become dramatic failures. Intimidation and Subterfuge unaffected.</v>
      </c>
      <c r="I234" s="74"/>
    </row>
    <row r="235" spans="1:12">
      <c r="A235" s="1" t="s">
        <v>234</v>
      </c>
      <c r="B235" t="str">
        <f t="shared" si="35"/>
        <v/>
      </c>
      <c r="D235" s="19"/>
      <c r="E235" s="15" t="s">
        <v>344</v>
      </c>
      <c r="F235" s="19"/>
      <c r="G235" s="19"/>
      <c r="H235" s="19"/>
      <c r="I235" s="19"/>
    </row>
    <row r="236" spans="1:12">
      <c r="A236" s="1" t="s">
        <v>235</v>
      </c>
      <c r="B236" t="str">
        <f t="shared" si="35"/>
        <v/>
      </c>
      <c r="D236" s="19"/>
      <c r="E236" s="15" t="s">
        <v>345</v>
      </c>
      <c r="F236" s="3"/>
      <c r="G236" s="19"/>
      <c r="H236" s="70" t="str">
        <f>_xlfn.IFNA(VLOOKUP(F236,tblBanes[],2,FALSE),"")</f>
        <v/>
      </c>
      <c r="I236" s="71"/>
    </row>
    <row r="237" spans="1:12">
      <c r="A237" s="1" t="s">
        <v>236</v>
      </c>
      <c r="B237" t="str">
        <f ca="1">_xlfn.LET(_xlpm.v,VLOOKUP(tblCharDataEdna[[#This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_xlfn.LET(_xlpm.v,VLOOKUP(tblCharDataEdna[[#This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_xlfn.LET(_xlpm.v,VLOOKUP(tblCharDataEdna[[#This Row],[Field]],INDIRECT($AH$1),2,FALSE),IF(OR(_xlpm.v=0,_xlpm.v=""),"-",REPT("●",_xlpm.v)))</f>
        <v>-</v>
      </c>
      <c r="D239" s="19"/>
      <c r="E239" s="19"/>
      <c r="F239" s="19"/>
      <c r="G239" s="19"/>
      <c r="H239" s="19"/>
      <c r="I239" s="19"/>
    </row>
    <row r="240" spans="1:12">
      <c r="A240" s="1" t="s">
        <v>239</v>
      </c>
      <c r="B240" t="str">
        <f ca="1">_xlfn.LET(_xlpm.v,VLOOKUP(tblCharDataEdna[[#This Row],[Field]],INDIRECT($AH$1),2,FALSE),IF(OR(_xlpm.v=0,_xlpm.v=""),"-",REPT("●",_xlpm.v)))</f>
        <v>-</v>
      </c>
      <c r="D240" s="19"/>
      <c r="E240" s="15" t="s">
        <v>360</v>
      </c>
      <c r="F240" s="62"/>
      <c r="G240" s="63"/>
      <c r="H240" s="63"/>
      <c r="I240" s="64"/>
    </row>
    <row r="241" spans="1:9">
      <c r="A241" s="1" t="s">
        <v>240</v>
      </c>
      <c r="B241" t="str">
        <f ca="1">_xlfn.LET(_xlpm.v,VLOOKUP(tblCharDataEdna[[#This Row],[Field]],INDIRECT($AH$1),2,FALSE),IF(OR(_xlpm.v=0,_xlpm.v=""),"-",REPT("●",_xlpm.v)))</f>
        <v>-</v>
      </c>
      <c r="D241" s="19"/>
      <c r="E241" s="15" t="s">
        <v>361</v>
      </c>
      <c r="F241" s="62"/>
      <c r="G241" s="63"/>
      <c r="H241" s="63"/>
      <c r="I241" s="64"/>
    </row>
    <row r="242" spans="1:9">
      <c r="A242" s="1" t="s">
        <v>241</v>
      </c>
      <c r="B242" t="str">
        <f ca="1">_xlfn.LET(_xlpm.v,VLOOKUP(tblCharDataEdna[[#This Row],[Field]],INDIRECT($AH$1),2,FALSE),IF(OR(_xlpm.v=0,_xlpm.v=""),"-",REPT("●",_xlpm.v)))</f>
        <v>●●</v>
      </c>
      <c r="D242" s="19"/>
      <c r="E242" s="15" t="s">
        <v>362</v>
      </c>
      <c r="F242" s="62"/>
      <c r="G242" s="63"/>
      <c r="H242" s="63"/>
      <c r="I242" s="64"/>
    </row>
    <row r="243" spans="1:9">
      <c r="A243" s="1" t="s">
        <v>242</v>
      </c>
      <c r="B243" t="str">
        <f ca="1">_xlfn.LET(_xlpm.v,VLOOKUP(tblCharDataEdna[[#This Row],[Field]],INDIRECT($AH$1),2,FALSE),IF(OR(_xlpm.v=0,_xlpm.v=""),"-",REPT("●",_xlpm.v)))</f>
        <v>●●</v>
      </c>
      <c r="D243" s="19"/>
      <c r="E243" s="19"/>
      <c r="F243" s="19"/>
      <c r="G243" s="19"/>
      <c r="H243" s="19"/>
      <c r="I243" s="19"/>
    </row>
    <row r="244" spans="1:9">
      <c r="A244" s="1" t="s">
        <v>243</v>
      </c>
      <c r="B244" t="str">
        <f ca="1">_xlfn.LET(_xlpm.v,VLOOKUP(tblCharDataEdna[[#This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_xlfn.LET(_xlpm.v,VLOOKUP(tblCharDataEdna[[#This Row],[Field]],INDIRECT($AH$1),2,FALSE),IF(OR(_xlpm.v=0,_xlpm.v=""),"-",REPT("●",_xlpm.v)))</f>
        <v>-</v>
      </c>
      <c r="D245" s="19"/>
      <c r="E245" s="15" t="s">
        <v>1524</v>
      </c>
      <c r="F245" s="62"/>
      <c r="G245" s="63"/>
      <c r="H245" s="63"/>
      <c r="I245" s="64"/>
    </row>
    <row r="246" spans="1:9">
      <c r="A246" s="1" t="s">
        <v>245</v>
      </c>
      <c r="B246" t="str">
        <f ca="1">_xlfn.LET(_xlpm.v,VLOOKUP(tblCharDataEdna[[#This Row],[Field]],INDIRECT($AH$1),2,FALSE),IF(OR(_xlpm.v=0,_xlpm.v=""),"-",REPT("●",_xlpm.v)))</f>
        <v>-</v>
      </c>
    </row>
    <row r="247" spans="1:9">
      <c r="A247" s="1" t="s">
        <v>246</v>
      </c>
      <c r="B247" t="str">
        <f ca="1">_xlfn.LET(_xlpm.v,VLOOKUP(tblCharDataEdna[[#This Row],[Field]],INDIRECT($AH$1),2,FALSE),IF(OR(_xlpm.v=0,_xlpm.v=""),"-",REPT("●",_xlpm.v)))</f>
        <v>-</v>
      </c>
      <c r="D247" s="16" t="s">
        <v>1525</v>
      </c>
      <c r="E247" s="16"/>
      <c r="F247" s="16" t="s">
        <v>1526</v>
      </c>
      <c r="G247" s="16" t="s">
        <v>1527</v>
      </c>
      <c r="H247" s="16"/>
      <c r="I247" s="16"/>
    </row>
    <row r="248" spans="1:9">
      <c r="A248" s="1" t="s">
        <v>247</v>
      </c>
      <c r="B248" t="str">
        <f ca="1">_xlfn.LET(_xlpm.v,VLOOKUP(tblCharDataEdna[[#This Row],[Field]],INDIRECT($AH$1),2,FALSE),IF(OR(_xlpm.v=0,_xlpm.v=""),"-",REPT("●",_xlpm.v)))</f>
        <v>●</v>
      </c>
      <c r="D248" s="19"/>
      <c r="E248" s="15" t="s">
        <v>1528</v>
      </c>
      <c r="F248" s="7"/>
      <c r="G248" s="7"/>
      <c r="H248" s="19"/>
      <c r="I248" s="19" t="s">
        <v>1529</v>
      </c>
    </row>
    <row r="249" spans="1:9">
      <c r="A249" s="1" t="s">
        <v>248</v>
      </c>
      <c r="B249" t="str">
        <f ca="1">_xlfn.LET(_xlpm.v,VLOOKUP(tblCharDataEdna[[#This Row],[Field]],INDIRECT($AH$1),2,FALSE),IF(OR(_xlpm.v=0,_xlpm.v=""),"-",REPT("●",_xlpm.v)))</f>
        <v>-</v>
      </c>
      <c r="D249" s="19"/>
      <c r="E249" s="15" t="s">
        <v>1530</v>
      </c>
      <c r="F249" s="7"/>
      <c r="G249" s="7"/>
      <c r="H249" s="19"/>
      <c r="I249" s="19" t="s">
        <v>1531</v>
      </c>
    </row>
    <row r="250" spans="1:9">
      <c r="A250" s="1" t="s">
        <v>249</v>
      </c>
      <c r="B250" t="str">
        <f ca="1">_xlfn.LET(_xlpm.v,VLOOKUP(tblCharDataEdna[[#This Row],[Field]],INDIRECT($AH$1),2,FALSE),IF(OR(_xlpm.v=0,_xlpm.v=""),"-",REPT("●",_xlpm.v)))</f>
        <v>-</v>
      </c>
      <c r="D250" s="19" t="s">
        <v>1532</v>
      </c>
      <c r="E250" s="15" t="s">
        <v>1533</v>
      </c>
      <c r="F250" s="7"/>
      <c r="G250" s="7"/>
      <c r="H250" s="19"/>
      <c r="I250" s="19"/>
    </row>
    <row r="251" spans="1:9">
      <c r="A251" s="1" t="s">
        <v>250</v>
      </c>
      <c r="B251" t="str">
        <f ca="1">_xlfn.LET(_xlpm.v,VLOOKUP(tblCharDataEdna[[#This Row],[Field]],INDIRECT($AH$1),2,FALSE),IF(OR(_xlpm.v=0,_xlpm.v=""),"-",REPT("●",_xlpm.v)))</f>
        <v>●</v>
      </c>
      <c r="D251" s="19" t="s">
        <v>1532</v>
      </c>
      <c r="E251" s="15" t="s">
        <v>1534</v>
      </c>
      <c r="F251" s="7"/>
      <c r="G251" s="7"/>
      <c r="H251" s="19"/>
      <c r="I251" s="19"/>
    </row>
    <row r="252" spans="1:9">
      <c r="A252" s="1" t="s">
        <v>251</v>
      </c>
      <c r="B252" t="str">
        <f ca="1">_xlfn.LET(_xlpm.v,VLOOKUP(tblCharDataEdna[[#This Row],[Field]],INDIRECT($AH$1),2,FALSE),IF(OR(_xlpm.v=0,_xlpm.v=""),"-",REPT("●",_xlpm.v)))</f>
        <v>●</v>
      </c>
      <c r="D252" s="19" t="s">
        <v>1532</v>
      </c>
      <c r="E252" s="15" t="s">
        <v>1535</v>
      </c>
      <c r="F252" s="7"/>
      <c r="G252" s="7"/>
      <c r="H252" s="19"/>
      <c r="I252" s="19"/>
    </row>
    <row r="253" spans="1:9">
      <c r="A253" s="1" t="s">
        <v>252</v>
      </c>
      <c r="B253" t="str">
        <f ca="1">_xlfn.LET(_xlpm.v,VLOOKUP(tblCharDataEdna[[#This Row],[Field]],INDIRECT($AH$1),2,FALSE),IF(OR(_xlpm.v=0,_xlpm.v=""),"-",REPT("●",_xlpm.v)))</f>
        <v>●</v>
      </c>
      <c r="D253" s="19" t="s">
        <v>1532</v>
      </c>
      <c r="E253" s="15" t="s">
        <v>1536</v>
      </c>
      <c r="F253" s="7"/>
      <c r="G253" s="7"/>
      <c r="H253" s="19"/>
      <c r="I253" s="19"/>
    </row>
    <row r="254" spans="1:9">
      <c r="A254" s="1" t="s">
        <v>253</v>
      </c>
      <c r="B254" t="str">
        <f t="shared" ref="B254:B283" si="36">IF(AD44="","¬",AD44)</f>
        <v>Nightmare ● | Dread Presence</v>
      </c>
      <c r="D254" s="19" t="s">
        <v>1532</v>
      </c>
      <c r="E254" s="15" t="s">
        <v>1537</v>
      </c>
      <c r="F254" s="7"/>
      <c r="G254" s="7"/>
      <c r="H254" s="19"/>
      <c r="I254" s="19"/>
    </row>
    <row r="255" spans="1:9">
      <c r="A255" s="1" t="s">
        <v>254</v>
      </c>
      <c r="B255" t="str">
        <f t="shared" si="36"/>
        <v>Nightmare ●● | Face of the Beast</v>
      </c>
      <c r="D255" s="19" t="s">
        <v>1532</v>
      </c>
      <c r="E255" s="15" t="s">
        <v>1538</v>
      </c>
      <c r="F255" s="7"/>
      <c r="G255" s="7"/>
      <c r="H255" s="19"/>
      <c r="I255" s="19"/>
    </row>
    <row r="256" spans="1:9">
      <c r="A256" s="1" t="s">
        <v>255</v>
      </c>
      <c r="B256" t="str">
        <f t="shared" si="36"/>
        <v>Obfuscate ● | Face in the Crowd</v>
      </c>
      <c r="D256" s="19" t="s">
        <v>1532</v>
      </c>
      <c r="E256" s="15" t="s">
        <v>1539</v>
      </c>
      <c r="F256" s="7"/>
      <c r="G256" s="7"/>
      <c r="H256" s="19"/>
      <c r="I256" s="19"/>
    </row>
    <row r="257" spans="1:9">
      <c r="A257" s="1" t="s">
        <v>256</v>
      </c>
      <c r="B257" t="str">
        <f t="shared" si="36"/>
        <v>Obfuscate ●● | Touch of Shadow</v>
      </c>
      <c r="D257" s="19" t="s">
        <v>1532</v>
      </c>
      <c r="E257" s="15" t="s">
        <v>1540</v>
      </c>
      <c r="F257" s="7"/>
      <c r="G257" s="7"/>
      <c r="H257" s="19"/>
      <c r="I257" s="19"/>
    </row>
    <row r="258" spans="1:9">
      <c r="A258" s="1" t="s">
        <v>257</v>
      </c>
      <c r="B258" t="str">
        <f t="shared" si="36"/>
        <v>Blood Sorcery | Divination ●</v>
      </c>
      <c r="D258" s="19" t="s">
        <v>1532</v>
      </c>
      <c r="E258" s="15" t="s">
        <v>1541</v>
      </c>
      <c r="F258" s="7"/>
      <c r="G258" s="7"/>
      <c r="H258" s="19"/>
      <c r="I258" s="19"/>
    </row>
    <row r="259" spans="1:9">
      <c r="A259" s="1" t="s">
        <v>258</v>
      </c>
      <c r="B259" t="str">
        <f t="shared" si="36"/>
        <v>Blood Sorcery | Protection ●</v>
      </c>
      <c r="D259" s="19" t="s">
        <v>1532</v>
      </c>
      <c r="E259" s="15" t="s">
        <v>1542</v>
      </c>
      <c r="F259" s="7"/>
      <c r="G259" s="7"/>
      <c r="H259" s="19"/>
      <c r="I259" s="19"/>
    </row>
    <row r="260" spans="1:9">
      <c r="A260" s="1" t="s">
        <v>259</v>
      </c>
      <c r="B260" t="str">
        <f t="shared" si="36"/>
        <v>Blood Sorcery | Transmutation ●</v>
      </c>
      <c r="D260" s="19" t="s">
        <v>1532</v>
      </c>
      <c r="E260" s="15" t="s">
        <v>1543</v>
      </c>
      <c r="F260" s="7"/>
      <c r="G260" s="7"/>
      <c r="H260" s="19"/>
      <c r="I260" s="19"/>
    </row>
    <row r="261" spans="1:9">
      <c r="A261" s="1" t="s">
        <v>260</v>
      </c>
      <c r="B261" t="str">
        <f t="shared" si="36"/>
        <v>¬</v>
      </c>
      <c r="D261" s="19" t="s">
        <v>1532</v>
      </c>
      <c r="E261" s="15" t="s">
        <v>1544</v>
      </c>
      <c r="F261" s="7"/>
      <c r="G261" s="7"/>
      <c r="H261" s="19"/>
      <c r="I261" s="19"/>
    </row>
    <row r="262" spans="1:9">
      <c r="A262" s="1" t="s">
        <v>261</v>
      </c>
      <c r="B262" t="str">
        <f t="shared" si="36"/>
        <v>¬</v>
      </c>
      <c r="D262" s="19" t="s">
        <v>1532</v>
      </c>
      <c r="E262" s="15" t="s">
        <v>1545</v>
      </c>
      <c r="F262" s="7"/>
      <c r="G262" s="7"/>
      <c r="H262" s="19"/>
      <c r="I262" s="19"/>
    </row>
    <row r="263" spans="1:9">
      <c r="A263" s="1" t="s">
        <v>262</v>
      </c>
      <c r="B263" t="str">
        <f t="shared" si="36"/>
        <v>¬</v>
      </c>
      <c r="D263" s="19" t="s">
        <v>1532</v>
      </c>
      <c r="E263" s="15" t="s">
        <v>1546</v>
      </c>
      <c r="F263" s="7"/>
      <c r="G263" s="7"/>
      <c r="H263" s="19"/>
      <c r="I263" s="19"/>
    </row>
    <row r="264" spans="1:9">
      <c r="A264" s="1" t="s">
        <v>263</v>
      </c>
      <c r="B264" t="str">
        <f t="shared" si="36"/>
        <v>¬</v>
      </c>
      <c r="D264" s="19" t="s">
        <v>1532</v>
      </c>
      <c r="E264" s="15" t="s">
        <v>1547</v>
      </c>
      <c r="F264" s="7"/>
      <c r="G264" s="7"/>
      <c r="H264" s="19"/>
      <c r="I264" s="19"/>
    </row>
    <row r="265" spans="1:9">
      <c r="A265" s="1" t="s">
        <v>264</v>
      </c>
      <c r="B265" t="str">
        <f t="shared" si="36"/>
        <v>¬</v>
      </c>
      <c r="D265" s="19" t="s">
        <v>1532</v>
      </c>
      <c r="E265" s="15" t="s">
        <v>1548</v>
      </c>
      <c r="F265" s="7"/>
      <c r="G265" s="7"/>
      <c r="H265" s="19"/>
      <c r="I265" s="19"/>
    </row>
    <row r="266" spans="1:9">
      <c r="A266" s="1" t="s">
        <v>265</v>
      </c>
      <c r="B266" t="str">
        <f t="shared" si="36"/>
        <v>¬</v>
      </c>
      <c r="D266" s="19" t="s">
        <v>1532</v>
      </c>
      <c r="E266" s="15" t="s">
        <v>1549</v>
      </c>
      <c r="F266" s="7"/>
      <c r="G266" s="7"/>
      <c r="H266" s="19"/>
      <c r="I266" s="19"/>
    </row>
    <row r="267" spans="1:9">
      <c r="A267" s="1" t="s">
        <v>266</v>
      </c>
      <c r="B267" t="str">
        <f t="shared" si="36"/>
        <v>¬</v>
      </c>
      <c r="D267" s="19" t="s">
        <v>1532</v>
      </c>
      <c r="E267" s="15" t="s">
        <v>1550</v>
      </c>
      <c r="F267" s="7"/>
      <c r="G267" s="7"/>
      <c r="H267" s="19"/>
      <c r="I267" s="19"/>
    </row>
    <row r="268" spans="1:9">
      <c r="A268" s="1" t="s">
        <v>267</v>
      </c>
      <c r="B268" t="str">
        <f t="shared" si="36"/>
        <v>¬</v>
      </c>
      <c r="D268" s="19" t="s">
        <v>1532</v>
      </c>
      <c r="E268" s="15" t="s">
        <v>1551</v>
      </c>
      <c r="F268" s="7"/>
      <c r="G268" s="7"/>
      <c r="H268" s="19"/>
      <c r="I268" s="19"/>
    </row>
    <row r="269" spans="1:9">
      <c r="A269" s="1" t="s">
        <v>268</v>
      </c>
      <c r="B269" t="str">
        <f t="shared" si="36"/>
        <v>¬</v>
      </c>
      <c r="D269" s="19" t="s">
        <v>1532</v>
      </c>
      <c r="E269" s="15" t="s">
        <v>1552</v>
      </c>
      <c r="F269" s="7"/>
      <c r="G269" s="7"/>
      <c r="H269" s="19"/>
      <c r="I269" s="19"/>
    </row>
    <row r="270" spans="1:9">
      <c r="A270" s="1" t="s">
        <v>269</v>
      </c>
      <c r="B270" t="str">
        <f t="shared" si="36"/>
        <v>¬</v>
      </c>
      <c r="D270" s="19" t="s">
        <v>1532</v>
      </c>
      <c r="E270" s="15" t="s">
        <v>1553</v>
      </c>
      <c r="F270" s="7"/>
      <c r="G270" s="7"/>
      <c r="H270" s="19"/>
      <c r="I270" s="19"/>
    </row>
    <row r="271" spans="1:9">
      <c r="A271" s="1" t="s">
        <v>270</v>
      </c>
      <c r="B271" t="str">
        <f t="shared" si="36"/>
        <v>¬</v>
      </c>
      <c r="D271" s="19" t="s">
        <v>1532</v>
      </c>
      <c r="E271" s="15" t="s">
        <v>1554</v>
      </c>
      <c r="F271" s="7"/>
      <c r="G271" s="7"/>
      <c r="H271" s="19"/>
      <c r="I271" s="19"/>
    </row>
    <row r="272" spans="1:9">
      <c r="A272" s="1" t="s">
        <v>271</v>
      </c>
      <c r="B272" t="str">
        <f t="shared" si="36"/>
        <v>¬</v>
      </c>
      <c r="D272" s="19" t="s">
        <v>1532</v>
      </c>
      <c r="E272" s="15" t="s">
        <v>1555</v>
      </c>
      <c r="F272" s="7"/>
      <c r="G272" s="7"/>
      <c r="H272" s="19"/>
      <c r="I272" s="19"/>
    </row>
    <row r="273" spans="1:14">
      <c r="A273" s="1" t="s">
        <v>272</v>
      </c>
      <c r="B273" t="str">
        <f t="shared" si="36"/>
        <v>¬</v>
      </c>
      <c r="D273" s="19" t="s">
        <v>1532</v>
      </c>
      <c r="E273" s="15" t="s">
        <v>1556</v>
      </c>
      <c r="F273" s="7"/>
      <c r="G273" s="7"/>
      <c r="H273" s="19"/>
      <c r="I273" s="19"/>
    </row>
    <row r="274" spans="1:14">
      <c r="A274" s="1" t="s">
        <v>273</v>
      </c>
      <c r="B274" t="str">
        <f t="shared" si="36"/>
        <v>¬</v>
      </c>
      <c r="D274" s="19" t="s">
        <v>1532</v>
      </c>
      <c r="E274" s="15" t="s">
        <v>1557</v>
      </c>
      <c r="F274" s="7"/>
      <c r="G274" s="7"/>
      <c r="H274" s="19"/>
      <c r="I274" s="19"/>
    </row>
    <row r="275" spans="1:14">
      <c r="A275" s="1" t="s">
        <v>274</v>
      </c>
      <c r="B275" t="str">
        <f t="shared" si="36"/>
        <v>¬</v>
      </c>
      <c r="D275" s="19" t="s">
        <v>1532</v>
      </c>
      <c r="E275" s="15" t="s">
        <v>1558</v>
      </c>
      <c r="F275" s="7"/>
      <c r="G275" s="7"/>
      <c r="H275" s="19"/>
      <c r="I275" s="19"/>
    </row>
    <row r="276" spans="1:14">
      <c r="A276" s="1" t="s">
        <v>275</v>
      </c>
      <c r="B276" t="str">
        <f t="shared" si="36"/>
        <v>¬</v>
      </c>
      <c r="D276" s="19" t="s">
        <v>1532</v>
      </c>
      <c r="E276" s="15" t="s">
        <v>1559</v>
      </c>
      <c r="F276" s="7"/>
      <c r="G276" s="7"/>
      <c r="H276" s="19"/>
      <c r="I276" s="19"/>
    </row>
    <row r="277" spans="1:14">
      <c r="A277" s="1" t="s">
        <v>276</v>
      </c>
      <c r="B277" t="str">
        <f t="shared" si="36"/>
        <v>¬</v>
      </c>
      <c r="D277" s="19" t="s">
        <v>1532</v>
      </c>
      <c r="E277" s="15" t="s">
        <v>1560</v>
      </c>
      <c r="F277" s="7"/>
      <c r="G277" s="7"/>
      <c r="H277" s="19"/>
      <c r="I277" s="19"/>
    </row>
    <row r="278" spans="1:14">
      <c r="A278" s="1" t="s">
        <v>277</v>
      </c>
      <c r="B278" t="str">
        <f t="shared" si="36"/>
        <v>¬</v>
      </c>
    </row>
    <row r="279" spans="1:14">
      <c r="A279" s="1" t="s">
        <v>278</v>
      </c>
      <c r="B279" t="str">
        <f t="shared" si="36"/>
        <v>¬</v>
      </c>
      <c r="D279" s="16" t="s">
        <v>1561</v>
      </c>
      <c r="E279" s="16"/>
      <c r="F279" s="16" t="s">
        <v>1347</v>
      </c>
      <c r="G279" s="16" t="s">
        <v>1348</v>
      </c>
      <c r="H279" s="16" t="s">
        <v>1349</v>
      </c>
      <c r="I279" s="16" t="s">
        <v>1350</v>
      </c>
      <c r="N279" s="60">
        <f ca="1">SUM(N280:N282)</f>
        <v>3</v>
      </c>
    </row>
    <row r="280" spans="1:14">
      <c r="A280" s="1" t="s">
        <v>279</v>
      </c>
      <c r="B280" t="str">
        <f t="shared" si="36"/>
        <v>¬</v>
      </c>
      <c r="D280" s="61" t="str" cm="1">
        <f t="array" aca="1" ref="D280" ca="1">INDEX(Attendance!$C$14:$GP$44,
       MATCH($F$4, Attendance!$C$14:$C$44, 0),
       MATCH(1, (Attendance!$C$12:$GP$12=$E280) * (Attendance!$C$13:$GP$13="Paid"), 0)
)</f>
        <v>PayPal</v>
      </c>
      <c r="E280" s="41">
        <v>46054</v>
      </c>
      <c r="F280" s="61" cm="1">
        <f t="array" aca="1" ref="F280" ca="1">N(INDEX(Attendance!$C$14:$GP$104,
       MATCH($F$4, Attendance!$C$14:$C$104, 0),
       MATCH(1, (Attendance!$C$12:$GP$12=$E280) * (Attendance!$C$13:$GP$13=$F$279), 0)
))</f>
        <v>3</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0</v>
      </c>
      <c r="I280" s="61" t="str" cm="1">
        <f t="array" aca="1" ref="I280" ca="1">INDEX(Attendance!$C$14:$GP$44,
       MATCH($F$4, Attendance!$C$14:$C$44, 0),
       MATCH(1, (Attendance!$C$12:$GP$12=$E280) * (Attendance!$C$13:$GP$13=$I$279), 0)
)</f>
        <v>Quiet</v>
      </c>
      <c r="K280" s="18"/>
      <c r="L280" s="18"/>
      <c r="M280" s="18" t="s">
        <v>1562</v>
      </c>
      <c r="N280" s="61">
        <f ca="1">SUM(F$280:F$316)</f>
        <v>3</v>
      </c>
    </row>
    <row r="281" spans="1:14">
      <c r="A281" s="1" t="s">
        <v>280</v>
      </c>
      <c r="B281" t="str">
        <f t="shared" si="36"/>
        <v>¬</v>
      </c>
      <c r="D281" s="61" t="str" cm="1">
        <f t="array" aca="1" ref="D281" ca="1">INDEX(Attendance!$C$14:$GP$44,
       MATCH($F$4, Attendance!$C$14:$C$44, 0),
       MATCH(1, (Attendance!$C$12:$GP$12=$E281) * (Attendance!$C$13:$GP$13="Paid"), 0)
)</f>
        <v> </v>
      </c>
      <c r="E281" s="42">
        <f t="shared" ref="E281:E316" si="37">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6"/>
        <v>¬</v>
      </c>
      <c r="D282" s="61" t="str" cm="1">
        <f t="array" aca="1" ref="D282" ca="1">INDEX(Attendance!$C$14:$GP$44,
       MATCH($F$4, Attendance!$C$14:$C$44, 0),
       MATCH(1, (Attendance!$C$12:$GP$12=$E282) * (Attendance!$C$13:$GP$13="Paid"), 0)
)</f>
        <v> </v>
      </c>
      <c r="E282" s="42">
        <f t="shared" si="37"/>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0</v>
      </c>
    </row>
    <row r="283" spans="1:14">
      <c r="A283" s="1" t="s">
        <v>282</v>
      </c>
      <c r="B283" t="str">
        <f t="shared" si="36"/>
        <v>¬</v>
      </c>
      <c r="D283" s="61" t="str" cm="1">
        <f t="array" aca="1" ref="D283" ca="1">INDEX(Attendance!$C$14:$GP$44,
       MATCH($F$4, Attendance!$C$14:$C$44, 0),
       MATCH(1, (Attendance!$C$12:$GP$12=$E283) * (Attendance!$C$13:$GP$13="Paid"), 0)
)</f>
        <v> </v>
      </c>
      <c r="E283" s="42">
        <f t="shared" si="37"/>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8">IF(AE44="","¬",AE44)</f>
        <v>Cost: -  •  Pool: -  •  Instant  •  Scene</v>
      </c>
      <c r="D284" s="61" t="str" cm="1">
        <f t="array" aca="1" ref="D284" ca="1">INDEX(Attendance!$C$14:$GP$44,
       MATCH($F$4, Attendance!$C$14:$C$44, 0),
       MATCH(1, (Attendance!$C$12:$GP$12=$E284) * (Attendance!$C$13:$GP$13="Paid"), 0)
)</f>
        <v> </v>
      </c>
      <c r="E284" s="42">
        <f t="shared" si="37"/>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8"/>
        <v>Cost: 1 V  •  Pool: 7  v Composure + BP  •  Contested  •  Instant</v>
      </c>
      <c r="D285" s="61" t="str" cm="1">
        <f t="array" aca="1" ref="D285" ca="1">INDEX(Attendance!$C$14:$GP$44,
       MATCH($F$4, Attendance!$C$14:$C$44, 0),
       MATCH(1, (Attendance!$C$12:$GP$12=$E285) * (Attendance!$C$13:$GP$13="Paid"), 0)
)</f>
        <v> </v>
      </c>
      <c r="E285" s="42">
        <f t="shared" si="37"/>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8"/>
        <v>Cost: -  •  Pool: -  •  Instant  •  Scene</v>
      </c>
      <c r="D286" s="61" t="str" cm="1">
        <f t="array" aca="1" ref="D286" ca="1">INDEX(Attendance!$C$14:$GP$44,
       MATCH($F$4, Attendance!$C$14:$C$44, 0),
       MATCH(1, (Attendance!$C$12:$GP$12=$E286) * (Attendance!$C$13:$GP$13="Paid"), 0)
)</f>
        <v> </v>
      </c>
      <c r="E286" s="42">
        <f t="shared" si="37"/>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8"/>
        <v>Cost: 1 V  •  Pool: 7  •  Instant  •  Scene</v>
      </c>
      <c r="D287" s="61" t="str" cm="1">
        <f t="array" aca="1" ref="D287" ca="1">INDEX(Attendance!$C$14:$GP$44,
       MATCH($F$4, Attendance!$C$14:$C$44, 0),
       MATCH(1, (Attendance!$C$12:$GP$12=$E287) * (Attendance!$C$13:$GP$13="Paid"), 0)
)</f>
        <v> </v>
      </c>
      <c r="E287" s="42">
        <f t="shared" si="37"/>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8"/>
        <v>¬</v>
      </c>
      <c r="D288" s="61" t="str" cm="1">
        <f t="array" aca="1" ref="D288" ca="1">INDEX(Attendance!$C$14:$GP$44,
       MATCH($F$4, Attendance!$C$14:$C$44, 0),
       MATCH(1, (Attendance!$C$12:$GP$12=$E288) * (Attendance!$C$13:$GP$13="Paid"), 0)
)</f>
        <v> </v>
      </c>
      <c r="E288" s="42">
        <f t="shared" si="37"/>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8"/>
        <v>¬</v>
      </c>
      <c r="D289" s="61" t="str" cm="1">
        <f t="array" aca="1" ref="D289" ca="1">INDEX(Attendance!$C$14:$GP$44,
       MATCH($F$4, Attendance!$C$14:$C$44, 0),
       MATCH(1, (Attendance!$C$12:$GP$12=$E289) * (Attendance!$C$13:$GP$13="Paid"), 0)
)</f>
        <v> </v>
      </c>
      <c r="E289" s="42">
        <f t="shared" si="37"/>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8"/>
        <v>¬</v>
      </c>
      <c r="D290" s="61" t="str" cm="1">
        <f t="array" aca="1" ref="D290" ca="1">INDEX(Attendance!$C$14:$GP$44,
       MATCH($F$4, Attendance!$C$14:$C$44, 0),
       MATCH(1, (Attendance!$C$12:$GP$12=$E290) * (Attendance!$C$13:$GP$13="Paid"), 0)
)</f>
        <v> </v>
      </c>
      <c r="E290" s="42">
        <f t="shared" si="37"/>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8"/>
        <v>¬</v>
      </c>
      <c r="D291" s="61" t="str" cm="1">
        <f t="array" aca="1" ref="D291" ca="1">INDEX(Attendance!$C$14:$GP$44,
       MATCH($F$4, Attendance!$C$14:$C$44, 0),
       MATCH(1, (Attendance!$C$12:$GP$12=$E291) * (Attendance!$C$13:$GP$13="Paid"), 0)
)</f>
        <v> </v>
      </c>
      <c r="E291" s="42">
        <f t="shared" si="37"/>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8"/>
        <v>¬</v>
      </c>
      <c r="D292" s="61" t="str" cm="1">
        <f t="array" aca="1" ref="D292" ca="1">INDEX(Attendance!$C$14:$GP$44,
       MATCH($F$4, Attendance!$C$14:$C$44, 0),
       MATCH(1, (Attendance!$C$12:$GP$12=$E292) * (Attendance!$C$13:$GP$13="Paid"), 0)
)</f>
        <v> </v>
      </c>
      <c r="E292" s="42">
        <f t="shared" si="37"/>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8"/>
        <v>¬</v>
      </c>
      <c r="D293" s="61" t="str" cm="1">
        <f t="array" aca="1" ref="D293" ca="1">INDEX(Attendance!$C$14:$GP$44,
       MATCH($F$4, Attendance!$C$14:$C$44, 0),
       MATCH(1, (Attendance!$C$12:$GP$12=$E293) * (Attendance!$C$13:$GP$13="Paid"), 0)
)</f>
        <v> </v>
      </c>
      <c r="E293" s="42">
        <f t="shared" si="37"/>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8"/>
        <v>¬</v>
      </c>
      <c r="D294" s="61" t="str" cm="1">
        <f t="array" aca="1" ref="D294" ca="1">INDEX(Attendance!$C$14:$GP$44,
       MATCH($F$4, Attendance!$C$14:$C$44, 0),
       MATCH(1, (Attendance!$C$12:$GP$12=$E294) * (Attendance!$C$13:$GP$13="Paid"), 0)
)</f>
        <v> </v>
      </c>
      <c r="E294" s="42">
        <f t="shared" si="37"/>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8"/>
        <v>¬</v>
      </c>
      <c r="D295" s="61" t="str" cm="1">
        <f t="array" aca="1" ref="D295" ca="1">INDEX(Attendance!$C$14:$GP$44,
       MATCH($F$4, Attendance!$C$14:$C$44, 0),
       MATCH(1, (Attendance!$C$12:$GP$12=$E295) * (Attendance!$C$13:$GP$13="Paid"), 0)
)</f>
        <v> </v>
      </c>
      <c r="E295" s="42">
        <f t="shared" si="37"/>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8"/>
        <v>¬</v>
      </c>
      <c r="D296" s="61" t="str" cm="1">
        <f t="array" aca="1" ref="D296" ca="1">INDEX(Attendance!$C$14:$GP$44,
       MATCH($F$4, Attendance!$C$14:$C$44, 0),
       MATCH(1, (Attendance!$C$12:$GP$12=$E296) * (Attendance!$C$13:$GP$13="Paid"), 0)
)</f>
        <v> </v>
      </c>
      <c r="E296" s="42">
        <f t="shared" si="37"/>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8"/>
        <v>¬</v>
      </c>
      <c r="D297" s="61" t="str" cm="1">
        <f t="array" aca="1" ref="D297" ca="1">INDEX(Attendance!$C$14:$GP$44,
       MATCH($F$4, Attendance!$C$14:$C$44, 0),
       MATCH(1, (Attendance!$C$12:$GP$12=$E297) * (Attendance!$C$13:$GP$13="Paid"), 0)
)</f>
        <v> </v>
      </c>
      <c r="E297" s="42">
        <f t="shared" si="37"/>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8"/>
        <v>¬</v>
      </c>
      <c r="D298" s="61" t="str" cm="1">
        <f t="array" aca="1" ref="D298" ca="1">INDEX(Attendance!$C$14:$GP$44,
       MATCH($F$4, Attendance!$C$14:$C$44, 0),
       MATCH(1, (Attendance!$C$12:$GP$12=$E298) * (Attendance!$C$13:$GP$13="Paid"), 0)
)</f>
        <v> </v>
      </c>
      <c r="E298" s="42">
        <f t="shared" si="37"/>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8"/>
        <v>¬</v>
      </c>
      <c r="D299" s="61" t="str" cm="1">
        <f t="array" aca="1" ref="D299" ca="1">INDEX(Attendance!$C$14:$GP$44,
       MATCH($F$4, Attendance!$C$14:$C$44, 0),
       MATCH(1, (Attendance!$C$12:$GP$12=$E299) * (Attendance!$C$13:$GP$13="Paid"), 0)
)</f>
        <v> </v>
      </c>
      <c r="E299" s="42">
        <f t="shared" si="37"/>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8"/>
        <v>¬</v>
      </c>
      <c r="D300" s="61" t="str" cm="1">
        <f t="array" aca="1" ref="D300" ca="1">INDEX(Attendance!$C$14:$GP$44,
       MATCH($F$4, Attendance!$C$14:$C$44, 0),
       MATCH(1, (Attendance!$C$12:$GP$12=$E300) * (Attendance!$C$13:$GP$13="Paid"), 0)
)</f>
        <v> </v>
      </c>
      <c r="E300" s="42">
        <f t="shared" si="37"/>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8"/>
        <v>¬</v>
      </c>
      <c r="D301" s="61" t="str" cm="1">
        <f t="array" aca="1" ref="D301" ca="1">INDEX(Attendance!$C$14:$GP$44,
       MATCH($F$4, Attendance!$C$14:$C$44, 0),
       MATCH(1, (Attendance!$C$12:$GP$12=$E301) * (Attendance!$C$13:$GP$13="Paid"), 0)
)</f>
        <v> </v>
      </c>
      <c r="E301" s="42">
        <f t="shared" si="37"/>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8"/>
        <v>¬</v>
      </c>
      <c r="D302" s="61" t="str" cm="1">
        <f t="array" aca="1" ref="D302" ca="1">INDEX(Attendance!$C$14:$GP$44,
       MATCH($F$4, Attendance!$C$14:$C$44, 0),
       MATCH(1, (Attendance!$C$12:$GP$12=$E302) * (Attendance!$C$13:$GP$13="Paid"), 0)
)</f>
        <v> </v>
      </c>
      <c r="E302" s="42">
        <f t="shared" si="37"/>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8"/>
        <v>¬</v>
      </c>
      <c r="D303" s="61" t="str" cm="1">
        <f t="array" aca="1" ref="D303" ca="1">INDEX(Attendance!$C$14:$GP$44,
       MATCH($F$4, Attendance!$C$14:$C$44, 0),
       MATCH(1, (Attendance!$C$12:$GP$12=$E303) * (Attendance!$C$13:$GP$13="Paid"), 0)
)</f>
        <v> </v>
      </c>
      <c r="E303" s="42">
        <f t="shared" si="37"/>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8"/>
        <v>¬</v>
      </c>
      <c r="D304" s="61" t="str" cm="1">
        <f t="array" aca="1" ref="D304" ca="1">INDEX(Attendance!$C$14:$GP$44,
       MATCH($F$4, Attendance!$C$14:$C$44, 0),
       MATCH(1, (Attendance!$C$12:$GP$12=$E304) * (Attendance!$C$13:$GP$13="Paid"), 0)
)</f>
        <v> </v>
      </c>
      <c r="E304" s="42">
        <f t="shared" si="37"/>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8"/>
        <v>¬</v>
      </c>
      <c r="D305" s="61" t="str" cm="1">
        <f t="array" aca="1" ref="D305" ca="1">INDEX(Attendance!$C$14:$GP$44,
       MATCH($F$4, Attendance!$C$14:$C$44, 0),
       MATCH(1, (Attendance!$C$12:$GP$12=$E305) * (Attendance!$C$13:$GP$13="Paid"), 0)
)</f>
        <v> </v>
      </c>
      <c r="E305" s="42">
        <f t="shared" si="37"/>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8"/>
        <v>¬</v>
      </c>
      <c r="D306" s="61" t="str" cm="1">
        <f t="array" aca="1" ref="D306" ca="1">INDEX(Attendance!$C$14:$GP$44,
       MATCH($F$4, Attendance!$C$14:$C$44, 0),
       MATCH(1, (Attendance!$C$12:$GP$12=$E306) * (Attendance!$C$13:$GP$13="Paid"), 0)
)</f>
        <v> </v>
      </c>
      <c r="E306" s="42">
        <f t="shared" si="37"/>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8"/>
        <v>¬</v>
      </c>
      <c r="D307" s="61" t="str" cm="1">
        <f t="array" aca="1" ref="D307" ca="1">INDEX(Attendance!$C$14:$GP$44,
       MATCH($F$4, Attendance!$C$14:$C$44, 0),
       MATCH(1, (Attendance!$C$12:$GP$12=$E307) * (Attendance!$C$13:$GP$13="Paid"), 0)
)</f>
        <v> </v>
      </c>
      <c r="E307" s="42">
        <f t="shared" si="37"/>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8"/>
        <v>¬</v>
      </c>
      <c r="D308" s="61" t="str" cm="1">
        <f t="array" aca="1" ref="D308" ca="1">INDEX(Attendance!$C$14:$GP$44,
       MATCH($F$4, Attendance!$C$14:$C$44, 0),
       MATCH(1, (Attendance!$C$12:$GP$12=$E308) * (Attendance!$C$13:$GP$13="Paid"), 0)
)</f>
        <v> </v>
      </c>
      <c r="E308" s="42">
        <f t="shared" si="37"/>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8"/>
        <v>¬</v>
      </c>
      <c r="D309" s="61" t="str" cm="1">
        <f t="array" aca="1" ref="D309" ca="1">INDEX(Attendance!$C$14:$GP$44,
       MATCH($F$4, Attendance!$C$14:$C$44, 0),
       MATCH(1, (Attendance!$C$12:$GP$12=$E309) * (Attendance!$C$13:$GP$13="Paid"), 0)
)</f>
        <v> </v>
      </c>
      <c r="E309" s="42">
        <f t="shared" si="37"/>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8"/>
        <v>¬</v>
      </c>
      <c r="D310" s="61" t="str" cm="1">
        <f t="array" aca="1" ref="D310" ca="1">INDEX(Attendance!$C$14:$GP$44,
       MATCH($F$4, Attendance!$C$14:$C$44, 0),
       MATCH(1, (Attendance!$C$12:$GP$12=$E310) * (Attendance!$C$13:$GP$13="Paid"), 0)
)</f>
        <v> </v>
      </c>
      <c r="E310" s="42">
        <f t="shared" si="37"/>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8"/>
        <v>¬</v>
      </c>
      <c r="D311" s="61" t="str" cm="1">
        <f t="array" aca="1" ref="D311" ca="1">INDEX(Attendance!$C$14:$GP$44,
       MATCH($F$4, Attendance!$C$14:$C$44, 0),
       MATCH(1, (Attendance!$C$12:$GP$12=$E311) * (Attendance!$C$13:$GP$13="Paid"), 0)
)</f>
        <v> </v>
      </c>
      <c r="E311" s="42">
        <f t="shared" si="37"/>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8"/>
        <v>¬</v>
      </c>
      <c r="D312" s="61" t="str" cm="1">
        <f t="array" aca="1" ref="D312" ca="1">INDEX(Attendance!$C$14:$GP$44,
       MATCH($F$4, Attendance!$C$14:$C$44, 0),
       MATCH(1, (Attendance!$C$12:$GP$12=$E312) * (Attendance!$C$13:$GP$13="Paid"), 0)
)</f>
        <v> </v>
      </c>
      <c r="E312" s="42">
        <f t="shared" si="37"/>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8"/>
        <v>¬</v>
      </c>
      <c r="D313" s="61" t="str" cm="1">
        <f t="array" aca="1" ref="D313" ca="1">INDEX(Attendance!$C$14:$GP$44,
       MATCH($F$4, Attendance!$C$14:$C$44, 0),
       MATCH(1, (Attendance!$C$12:$GP$12=$E313) * (Attendance!$C$13:$GP$13="Paid"), 0)
)</f>
        <v> </v>
      </c>
      <c r="E313" s="42">
        <f t="shared" si="37"/>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39">IF(AF44="","¬",AF44)</f>
        <v>Conjure brief illusions. Improve Intimidation. Prevent foes spending Willpower.</v>
      </c>
      <c r="D314" s="61" t="str" cm="1">
        <f t="array" aca="1" ref="D314" ca="1">INDEX(Attendance!$C$14:$GP$44,
       MATCH($F$4, Attendance!$C$14:$C$44, 0),
       MATCH(1, (Attendance!$C$12:$GP$12=$E314) * (Attendance!$C$13:$GP$13="Paid"), 0)
)</f>
        <v> </v>
      </c>
      <c r="E314" s="42">
        <f t="shared" si="37"/>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39"/>
        <v>Impose Frightened Condition. Cause fleeing.</v>
      </c>
      <c r="D315" s="61" t="str" cm="1">
        <f t="array" aca="1" ref="D315" ca="1">INDEX(Attendance!$C$14:$GP$44,
       MATCH($F$4, Attendance!$C$14:$C$44, 0),
       MATCH(1, (Attendance!$C$12:$GP$12=$E315) * (Attendance!$C$13:$GP$13="Paid"), 0)
)</f>
        <v> </v>
      </c>
      <c r="E315" s="42">
        <f t="shared" si="37"/>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39"/>
        <v>Blend into surroundings, visible but unnoticeable. Predatory aura fully on or off. Leaving combat: Wits + Composure - Obfuscate to notice; auto Clash of Wills vs Auspex.</v>
      </c>
      <c r="D316" s="61" t="str" cm="1">
        <f t="array" aca="1" ref="D316" ca="1">INDEX(Attendance!$C$14:$GP$44,
       MATCH($F$4, Attendance!$C$14:$C$44, 0),
       MATCH(1, (Attendance!$C$12:$GP$12=$E316) * (Attendance!$C$13:$GP$13="Paid"), 0)
)</f>
        <v> </v>
      </c>
      <c r="E316" s="42">
        <f t="shared" si="37"/>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39"/>
        <v>Cast Face in the Crowd on object or person. Free and unlimited duration on carried/worn objects if not drawing attention.</v>
      </c>
    </row>
    <row r="318" spans="1:9">
      <c r="A318" s="1" t="s">
        <v>317</v>
      </c>
      <c r="B318" t="str">
        <f t="shared" si="39"/>
        <v>Glimpse fragmented details about intended actions. Learn basic info about a target.</v>
      </c>
    </row>
    <row r="319" spans="1:9">
      <c r="A319" s="1" t="s">
        <v>318</v>
      </c>
      <c r="B319" t="str">
        <f t="shared" si="39"/>
        <v>Subtract Potency from ritual rolls targeting subject. Heal bashing in vampires. Protect from the Kiss (add Potency to resistance).</v>
      </c>
    </row>
    <row r="320" spans="1:9">
      <c r="A320" s="1" t="s">
        <v>319</v>
      </c>
      <c r="B320" t="str">
        <f t="shared" si="39"/>
        <v>Minor cosmetic changes to living subjects. Warp dead matter. Animate liquids.</v>
      </c>
    </row>
    <row r="321" spans="1:2">
      <c r="A321" s="1" t="s">
        <v>320</v>
      </c>
      <c r="B321" t="str">
        <f t="shared" si="39"/>
        <v>¬</v>
      </c>
    </row>
    <row r="322" spans="1:2">
      <c r="A322" s="1" t="s">
        <v>321</v>
      </c>
      <c r="B322" t="str">
        <f t="shared" si="39"/>
        <v>¬</v>
      </c>
    </row>
    <row r="323" spans="1:2">
      <c r="A323" s="1" t="s">
        <v>322</v>
      </c>
      <c r="B323" t="str">
        <f t="shared" si="39"/>
        <v>¬</v>
      </c>
    </row>
    <row r="324" spans="1:2">
      <c r="A324" s="1" t="s">
        <v>323</v>
      </c>
      <c r="B324" t="str">
        <f t="shared" si="39"/>
        <v>¬</v>
      </c>
    </row>
    <row r="325" spans="1:2">
      <c r="A325" s="1" t="s">
        <v>324</v>
      </c>
      <c r="B325" t="str">
        <f t="shared" si="39"/>
        <v>¬</v>
      </c>
    </row>
    <row r="326" spans="1:2">
      <c r="A326" s="1" t="s">
        <v>325</v>
      </c>
      <c r="B326" t="str">
        <f t="shared" si="39"/>
        <v>¬</v>
      </c>
    </row>
    <row r="327" spans="1:2">
      <c r="A327" s="1" t="s">
        <v>326</v>
      </c>
      <c r="B327" t="str">
        <f t="shared" si="39"/>
        <v>¬</v>
      </c>
    </row>
    <row r="328" spans="1:2">
      <c r="A328" s="1" t="s">
        <v>327</v>
      </c>
      <c r="B328" t="str">
        <f t="shared" si="39"/>
        <v>¬</v>
      </c>
    </row>
    <row r="329" spans="1:2">
      <c r="A329" s="1" t="s">
        <v>328</v>
      </c>
      <c r="B329" t="str">
        <f t="shared" si="39"/>
        <v>¬</v>
      </c>
    </row>
    <row r="330" spans="1:2">
      <c r="A330" s="1" t="s">
        <v>329</v>
      </c>
      <c r="B330" t="str">
        <f t="shared" si="39"/>
        <v>¬</v>
      </c>
    </row>
    <row r="331" spans="1:2">
      <c r="A331" s="1" t="s">
        <v>330</v>
      </c>
      <c r="B331" t="str">
        <f t="shared" si="39"/>
        <v>¬</v>
      </c>
    </row>
    <row r="332" spans="1:2">
      <c r="A332" s="1" t="s">
        <v>331</v>
      </c>
      <c r="B332" t="str">
        <f t="shared" si="39"/>
        <v>¬</v>
      </c>
    </row>
    <row r="333" spans="1:2">
      <c r="A333" s="1" t="s">
        <v>332</v>
      </c>
      <c r="B333" t="str">
        <f t="shared" si="39"/>
        <v>¬</v>
      </c>
    </row>
    <row r="334" spans="1:2">
      <c r="A334" s="1" t="s">
        <v>333</v>
      </c>
      <c r="B334" t="str">
        <f t="shared" si="39"/>
        <v>¬</v>
      </c>
    </row>
    <row r="335" spans="1:2">
      <c r="A335" s="1" t="s">
        <v>334</v>
      </c>
      <c r="B335" t="str">
        <f t="shared" si="39"/>
        <v>¬</v>
      </c>
    </row>
    <row r="336" spans="1:2">
      <c r="A336" s="1" t="s">
        <v>335</v>
      </c>
      <c r="B336" t="str">
        <f t="shared" si="39"/>
        <v>¬</v>
      </c>
    </row>
    <row r="337" spans="1:2">
      <c r="A337" s="1" t="s">
        <v>336</v>
      </c>
      <c r="B337" t="str">
        <f t="shared" si="39"/>
        <v>¬</v>
      </c>
    </row>
    <row r="338" spans="1:2">
      <c r="A338" s="1" t="s">
        <v>337</v>
      </c>
      <c r="B338" t="str">
        <f t="shared" si="39"/>
        <v>¬</v>
      </c>
    </row>
    <row r="339" spans="1:2">
      <c r="A339" s="1" t="s">
        <v>338</v>
      </c>
      <c r="B339" t="str">
        <f t="shared" si="39"/>
        <v>¬</v>
      </c>
    </row>
    <row r="340" spans="1:2">
      <c r="A340" s="1" t="s">
        <v>339</v>
      </c>
      <c r="B340" t="str">
        <f t="shared" si="39"/>
        <v>¬</v>
      </c>
    </row>
    <row r="341" spans="1:2">
      <c r="A341" s="1" t="s">
        <v>340</v>
      </c>
      <c r="B341" t="str">
        <f t="shared" si="39"/>
        <v>¬</v>
      </c>
    </row>
    <row r="342" spans="1:2">
      <c r="A342" s="1" t="s">
        <v>341</v>
      </c>
      <c r="B342" t="str">
        <f t="shared" si="39"/>
        <v>¬</v>
      </c>
    </row>
    <row r="343" spans="1:2">
      <c r="A343" s="1" t="s">
        <v>342</v>
      </c>
      <c r="B343" t="str">
        <f t="shared" si="39"/>
        <v>¬</v>
      </c>
    </row>
    <row r="344" spans="1:2">
      <c r="A344" s="1" t="s">
        <v>343</v>
      </c>
      <c r="B344" s="8" t="str">
        <f>IF(VLOOKUP(tblCharDataEdna[[#This Row],[Field]],$E$2:$F$361,2,FALSE)="","¬",VLOOKUP(tblCharDataEdna[[#This Row],[Field]],$E$2:$F$361,2,FALSE))</f>
        <v>Lonely Curse</v>
      </c>
    </row>
    <row r="345" spans="1:2">
      <c r="A345" s="1" t="s">
        <v>344</v>
      </c>
      <c r="B345" s="8" t="str">
        <f>IF(VLOOKUP(tblCharDataEdna[[#This Row],[Field]],$E$2:$F$361,2,FALSE)="","¬",VLOOKUP(tblCharDataEdna[[#This Row],[Field]],$E$2:$F$361,2,FALSE))</f>
        <v>¬</v>
      </c>
    </row>
    <row r="346" spans="1:2">
      <c r="A346" s="1" t="s">
        <v>345</v>
      </c>
      <c r="B346" s="8" t="str">
        <f>IF(VLOOKUP(tblCharDataEdna[[#This Row],[Field]],$E$2:$F$361,2,FALSE)="","¬",VLOOKUP(tblCharDataEdna[[#This Row],[Field]],$E$2:$F$361,2,FALSE))</f>
        <v>¬</v>
      </c>
    </row>
    <row r="347" spans="1:2">
      <c r="A347" s="1" t="s">
        <v>346</v>
      </c>
      <c r="B347" s="8" t="str">
        <f>IF(VLOOKUP(tblCharDataEdna[[#This Row],[Field]],$E$2:$F$361,2,FALSE)="","¬",VLOOKUP(tblCharDataEdna[[#This Row],[Field]],$E$2:$F$361,2,FALSE))</f>
        <v>¬</v>
      </c>
    </row>
    <row r="348" spans="1:2">
      <c r="A348" s="1" t="s">
        <v>347</v>
      </c>
      <c r="B348" s="8" t="str">
        <f>IF(VLOOKUP(tblCharDataEdna[[#This Row],[Field]],$E$2:$F$361,2,FALSE)="","¬",VLOOKUP(tblCharDataEdna[[#This Row],[Field]],$E$2:$F$361,2,FALSE))</f>
        <v>¬</v>
      </c>
    </row>
    <row r="349" spans="1:2">
      <c r="A349" s="1" t="s">
        <v>348</v>
      </c>
      <c r="B349" t="str">
        <f>_xlfn.IFNA(VLOOKUP(B344,$F$234:$I$238,3,FALSE),"")</f>
        <v>With mortals, Humanity counts –2; Presence/Manipulation failures become dramatic failures. Intimidation and Subterfuge unaffected.</v>
      </c>
    </row>
    <row r="350" spans="1:2">
      <c r="A350" s="1" t="s">
        <v>349</v>
      </c>
      <c r="B350" t="str">
        <f>_xlfn.IFNA(VLOOKUP(B345,$F$234:$I$238,3,FALSE),"¬")</f>
        <v>¬</v>
      </c>
    </row>
    <row r="351" spans="1:2">
      <c r="A351" s="1" t="s">
        <v>350</v>
      </c>
      <c r="B351" t="str">
        <f>_xlfn.IFNA(VLOOKUP(B346,$F$234:$I$238,3,FALSE),"")</f>
        <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8</v>
      </c>
    </row>
    <row r="356" spans="1:2">
      <c r="A356" s="1" t="s">
        <v>355</v>
      </c>
      <c r="B356">
        <f ca="1">P220</f>
        <v>2</v>
      </c>
    </row>
    <row r="357" spans="1:2">
      <c r="A357" s="1" t="s">
        <v>356</v>
      </c>
      <c r="B357" t="str">
        <f>IF(F10="","¬",VLOOKUP(F10,tblAnchors[],2,FALSE))</f>
        <v>Help someone by sharing your vision with them.</v>
      </c>
    </row>
    <row r="358" spans="1:2">
      <c r="A358" s="1" t="s">
        <v>357</v>
      </c>
      <c r="B358" t="str">
        <f>IF(F10="","¬",VLOOKUP(F10,tblAnchors[],3,FALSE))</f>
        <v>Put yourself at risk to show a group the power of your vision.</v>
      </c>
    </row>
    <row r="359" spans="1:2">
      <c r="A359" s="1" t="s">
        <v>358</v>
      </c>
      <c r="B359" t="str">
        <f>IF(F11="","¬",VLOOKUP(F11,tblAnchors[],2,FALSE))</f>
        <v>Cow someone into submission.</v>
      </c>
    </row>
    <row r="360" spans="1:2">
      <c r="A360" s="1" t="s">
        <v>359</v>
      </c>
      <c r="B360" t="str">
        <f>IF(F11="","¬",VLOOKUP(F11,tblAnchors[],3,FALSE))</f>
        <v>Commit a widespread hit against a rival's mortal connections.</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late 50s</v>
      </c>
    </row>
    <row r="365" spans="1:2">
      <c r="A365" s="1" t="s">
        <v>364</v>
      </c>
      <c r="B365" t="str">
        <f>_xlfn.LET(_xlpm.a,IF(F244="","",F244),_xlpm.b,IF(F245="","",F245),IF(AND(_xlpm.a&lt;&gt;"",_xlpm.b&lt;&gt;""),_xlpm.a&amp;", "&amp;_xlpm.b,IF(_xlpm.a&lt;&gt;"",_xlpm.a,IF(_xlpm.b&lt;&gt;"",_xlpm.b,""))))</f>
        <v/>
      </c>
    </row>
  </sheetData>
  <mergeCells count="89">
    <mergeCell ref="F240:I240"/>
    <mergeCell ref="F241:I241"/>
    <mergeCell ref="F242:I242"/>
    <mergeCell ref="F244:I244"/>
    <mergeCell ref="F245:I245"/>
    <mergeCell ref="H238:I238"/>
    <mergeCell ref="H208:I208"/>
    <mergeCell ref="H209:I209"/>
    <mergeCell ref="H210:I210"/>
    <mergeCell ref="H211:I211"/>
    <mergeCell ref="H212:I212"/>
    <mergeCell ref="H213:I213"/>
    <mergeCell ref="H214:I214"/>
    <mergeCell ref="H215:I215"/>
    <mergeCell ref="H234:I234"/>
    <mergeCell ref="H236:I236"/>
    <mergeCell ref="H237:I237"/>
    <mergeCell ref="H207:I207"/>
    <mergeCell ref="H153:I153"/>
    <mergeCell ref="H154:I154"/>
    <mergeCell ref="H155:I155"/>
    <mergeCell ref="H156:I156"/>
    <mergeCell ref="H157:I157"/>
    <mergeCell ref="H177:I177"/>
    <mergeCell ref="H178:I178"/>
    <mergeCell ref="H179:I179"/>
    <mergeCell ref="H180:I180"/>
    <mergeCell ref="H181:I181"/>
    <mergeCell ref="H206:I206"/>
    <mergeCell ref="H152:I152"/>
    <mergeCell ref="H141:I141"/>
    <mergeCell ref="H142:I142"/>
    <mergeCell ref="H143:I143"/>
    <mergeCell ref="H144:I144"/>
    <mergeCell ref="H145:I145"/>
    <mergeCell ref="H146:I146"/>
    <mergeCell ref="H147:I147"/>
    <mergeCell ref="H148:I148"/>
    <mergeCell ref="H149:I149"/>
    <mergeCell ref="H150:I150"/>
    <mergeCell ref="H151:I151"/>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11:I111"/>
    <mergeCell ref="H98:I98"/>
    <mergeCell ref="H101:I101"/>
    <mergeCell ref="H102:I102"/>
    <mergeCell ref="H103:I103"/>
    <mergeCell ref="H104:I104"/>
    <mergeCell ref="H105:I105"/>
    <mergeCell ref="H106:I106"/>
    <mergeCell ref="H107:I107"/>
    <mergeCell ref="H108:I108"/>
    <mergeCell ref="H109:I109"/>
    <mergeCell ref="H110:I110"/>
    <mergeCell ref="H97:I97"/>
    <mergeCell ref="H86:I86"/>
    <mergeCell ref="H87:I87"/>
    <mergeCell ref="H88:I88"/>
    <mergeCell ref="H89:I89"/>
    <mergeCell ref="H90:I90"/>
    <mergeCell ref="H91:I91"/>
    <mergeCell ref="H92:I92"/>
    <mergeCell ref="H93:I93"/>
    <mergeCell ref="H94:I94"/>
    <mergeCell ref="H95:I95"/>
    <mergeCell ref="H96:I96"/>
    <mergeCell ref="H85:I85"/>
    <mergeCell ref="O8:P8"/>
    <mergeCell ref="O9:P9"/>
    <mergeCell ref="O10:P10"/>
    <mergeCell ref="O11:P11"/>
    <mergeCell ref="O12:P12"/>
    <mergeCell ref="H79:I79"/>
    <mergeCell ref="H80:I80"/>
    <mergeCell ref="H81:I81"/>
    <mergeCell ref="H82:I82"/>
    <mergeCell ref="H83:I83"/>
    <mergeCell ref="H84:I84"/>
  </mergeCells>
  <dataValidations count="15">
    <dataValidation type="list" allowBlank="1" showInputMessage="1" showErrorMessage="1" sqref="G248:G277" xr:uid="{C52AFBC6-C500-412F-B3FA-CB27113C9A31}">
      <formula1>$I$248:$I$249</formula1>
    </dataValidation>
    <dataValidation type="list" allowBlank="1" showInputMessage="1" showErrorMessage="1" sqref="F101:F120" xr:uid="{1986DD16-BD90-42BB-B080-45166CE566ED}">
      <formula1>lstManoeuvres</formula1>
    </dataValidation>
    <dataValidation type="list" allowBlank="1" showInputMessage="1" showErrorMessage="1" sqref="F79:F98" xr:uid="{6EFB2B17-13F9-4F6C-8AD6-819EF0A9BBAC}">
      <formula1>lstMerits</formula1>
    </dataValidation>
    <dataValidation type="list" allowBlank="1" showInputMessage="1" showErrorMessage="1" sqref="F236:F238" xr:uid="{3C3DACE4-4A42-4013-923F-A5CF019C66C8}">
      <formula1>lstBanes</formula1>
    </dataValidation>
    <dataValidation type="list" allowBlank="1" showInputMessage="1" showErrorMessage="1" sqref="F206:F215" xr:uid="{597E496A-44E3-4E92-A793-6B4E98296DE1}">
      <formula1>lstPacts</formula1>
    </dataValidation>
    <dataValidation type="list" allowBlank="1" showInputMessage="1" showErrorMessage="1" sqref="G12:G13" xr:uid="{C461811B-BC21-4D14-AA8C-313FB1CE9CD8}">
      <formula1>lstStatus</formula1>
    </dataValidation>
    <dataValidation type="list" allowBlank="1" showInputMessage="1" showErrorMessage="1" sqref="F194:F205 F207:F215" xr:uid="{F598CEC9-41FA-4240-A533-90C98F5335C9}">
      <formula1>lstRites</formula1>
    </dataValidation>
    <dataValidation type="list" allowBlank="1" showInputMessage="1" showErrorMessage="1" sqref="F177:F181" xr:uid="{90CFB937-5247-48B9-B502-728E5CA9FF93}">
      <formula1>lstDevotions</formula1>
    </dataValidation>
    <dataValidation type="list" allowBlank="1" showInputMessage="1" showErrorMessage="1" sqref="F17:F21" xr:uid="{72C3CA87-D6D5-4529-9216-1828C7E99D10}">
      <formula1>"TRUE,FALSE"</formula1>
    </dataValidation>
    <dataValidation type="list" allowBlank="1" showInputMessage="1" showErrorMessage="1" sqref="F24" xr:uid="{880655C9-F80E-4233-AA9F-16153082CDF9}">
      <formula1>$D$7:$D$8</formula1>
    </dataValidation>
    <dataValidation type="list" allowBlank="1" showInputMessage="1" showErrorMessage="1" sqref="I25 I30 I35 I41 I51 I61" xr:uid="{C3BD9265-4691-4F64-95F6-B211F1A8233F}">
      <formula1>lstPriority</formula1>
    </dataValidation>
    <dataValidation type="list" allowBlank="1" showInputMessage="1" showErrorMessage="1" sqref="F10:F11" xr:uid="{B6845011-559D-4795-B319-EB359F565234}">
      <formula1>lstNature</formula1>
    </dataValidation>
    <dataValidation type="list" allowBlank="1" showInputMessage="1" showErrorMessage="1" sqref="F8" xr:uid="{75F5E5E7-BA2D-4293-A41C-0747BAB7E82F}">
      <formula1>lstBloodlines</formula1>
    </dataValidation>
    <dataValidation type="list" allowBlank="1" showInputMessage="1" showErrorMessage="1" sqref="F9" xr:uid="{83180DF4-E912-43F0-83D5-2DC9DBEE7952}">
      <formula1>lstCovenant</formula1>
    </dataValidation>
    <dataValidation type="list" allowBlank="1" showInputMessage="1" showErrorMessage="1" sqref="F7" xr:uid="{00574116-2037-4F1D-9909-7D76F72F7B69}">
      <formula1>lstClan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AE222703-4F54-4F1B-9126-689B0B2F86F3}">
          <x14:formula1>
            <xm:f>'Lookup-Domain'!$A$2:$A$8</xm:f>
          </x14:formula1>
          <xm:sqref>F161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BF5D7-EE9F-4A54-88D7-6D9B626DB454}">
  <dimension ref="A1:AK365"/>
  <sheetViews>
    <sheetView zoomScale="70" zoomScaleNormal="70" workbookViewId="0">
      <pane ySplit="1" topLeftCell="A103" activePane="bottomLeft" state="frozen"/>
      <selection pane="bottomLeft" activeCell="D5" sqref="D5"/>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Area of Expertise (Claws)</v>
      </c>
      <c r="AC2" s="60" t="str" cm="1">
        <f t="array" ref="AC2:AC13">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Area of Expertise (Claws)</v>
      </c>
      <c r="AD2" s="20" t="str">
        <f>IF(AC2="","¬",_xlfn.LET(_xlpm.base,IFERROR(LEFT(AC2,FIND(" (",AC2)-1),AC2),IFERROR(VLOOKUP(_xlpm.base,tblManoeuvre[],2,FALSE) &amp; " " &amp; REPT("●",VLOOKUP(_xlpm.base,tblManoeuvre[],3,FALSE)) &amp; " | " &amp; AC2,AC2 &amp; " " &amp; REPT("●",VLOOKUP(_xlpm.base,$F$79:$P$120,11,FALSE)))))</f>
        <v>Area of Expertise (Claws) ●</v>
      </c>
      <c r="AE2" s="20"/>
      <c r="AF2" s="20" t="str">
        <f>IF(LEN(AC2)=0,"¬",_xlfn.LET(_xlpm.base,IFERROR(LEFT(AC2,FIND(" (",AC2)-1),AC2),IFERROR(VLOOKUP(_xlpm.base,tblMerits[],5,FALSE),IFERROR(VLOOKUP(_xlpm.base,tblManoeuvre[],9,FALSE),"¬"))))</f>
        <v>Raise one Specialty's die bonus to +2.</v>
      </c>
      <c r="AI2" s="15" t="s">
        <v>25</v>
      </c>
      <c r="AJ2" s="61">
        <f t="shared" ref="AJ2:AJ58" si="1">VLOOKUP(AI2,$E$3:$P$221,12,FALSE)</f>
        <v>0</v>
      </c>
      <c r="AK2" s="61">
        <f>IF(AJ2=0,IF(COUNTIF($E$42:$E$49,AI2)&gt;0,-3,-1),AJ2)</f>
        <v>-3</v>
      </c>
    </row>
    <row r="3" spans="1:37">
      <c r="A3" s="1" t="s">
        <v>2</v>
      </c>
      <c r="B3">
        <f ca="1">N3</f>
        <v>1</v>
      </c>
      <c r="D3" s="19"/>
      <c r="E3" s="15" t="s">
        <v>4</v>
      </c>
      <c r="F3" s="3" t="s">
        <v>872</v>
      </c>
      <c r="G3" s="18"/>
      <c r="H3" s="18"/>
      <c r="I3" s="18" t="s">
        <v>1425</v>
      </c>
      <c r="N3" s="60">
        <f ca="1">10+SUM(N4:N6)-SUM(N7)</f>
        <v>1</v>
      </c>
      <c r="Y3" s="15" t="s">
        <v>115</v>
      </c>
      <c r="Z3" s="19"/>
      <c r="AA3" s="61" t="str">
        <f t="shared" si="0"/>
        <v>Claws of the Unholy</v>
      </c>
      <c r="AC3" s="60" t="str">
        <v>Claws of the Unholy</v>
      </c>
      <c r="AD3" s="20" t="str">
        <f>IF(AC3="","¬",_xlfn.LET(_xlpm.base,IFERROR(LEFT(AC3,FIND(" (",AC3)-1),AC3),IFERROR(VLOOKUP(_xlpm.base,tblManoeuvre[],2,FALSE) &amp; " " &amp; REPT("●",VLOOKUP(_xlpm.base,tblManoeuvre[],3,FALSE)) &amp; " | " &amp; AC3,AC3 &amp; " " &amp; REPT("●",VLOOKUP(_xlpm.base,$F$79:$P$120,11,FALSE)))))</f>
        <v>Claws of the Unholy ●</v>
      </c>
      <c r="AE3" s="20"/>
      <c r="AF3" s="20" t="str">
        <f>IF(LEN(AC3)=0,"¬",_xlfn.LET(_xlpm.base,IFERROR(LEFT(AC3,FIND(" (",AC3)-1),AC3),IFERROR(VLOOKUP(_xlpm.base,tblMerits[],5,FALSE),IFERROR(VLOOKUP(_xlpm.base,tblManoeuvre[],9,FALSE),"¬"))))</f>
        <v>Unnatural Aspect claws in frenzy become +2A.</v>
      </c>
      <c r="AI3" s="15" t="s">
        <v>41</v>
      </c>
      <c r="AJ3" s="61">
        <f t="shared" si="1"/>
        <v>0</v>
      </c>
      <c r="AK3" s="61">
        <f>IF(AJ3=0,IF(COUNTIF($E$42:$E$49,AI3)&gt;0,-3,-1),AJ3)</f>
        <v>-1</v>
      </c>
    </row>
    <row r="4" spans="1:37">
      <c r="A4" s="1" t="s">
        <v>3</v>
      </c>
      <c r="B4">
        <f ca="1">SUM(N3:N9)</f>
        <v>54</v>
      </c>
      <c r="D4" s="19"/>
      <c r="E4" s="15" t="s">
        <v>5</v>
      </c>
      <c r="F4" s="3" t="s">
        <v>873</v>
      </c>
      <c r="G4" s="18"/>
      <c r="H4" s="18"/>
      <c r="I4" s="18" t="s">
        <v>1426</v>
      </c>
      <c r="N4" s="61">
        <f>K73*2</f>
        <v>4</v>
      </c>
      <c r="Y4" s="15" t="s">
        <v>116</v>
      </c>
      <c r="Z4" s="19"/>
      <c r="AA4" s="61" t="str">
        <f t="shared" si="0"/>
        <v>Defensive Combat (Brawl)</v>
      </c>
      <c r="AC4" s="60" t="str">
        <v>Defensive Combat (Brawl)</v>
      </c>
      <c r="AD4" s="20" t="str">
        <f>IF(AC4="","¬",_xlfn.LET(_xlpm.base,IFERROR(LEFT(AC4,FIND(" (",AC4)-1),AC4),IFERROR(VLOOKUP(_xlpm.base,tblManoeuvre[],2,FALSE) &amp; " " &amp; REPT("●",VLOOKUP(_xlpm.base,tblManoeuvre[],3,FALSE)) &amp; " | " &amp; AC4,AC4 &amp; " " &amp; REPT("●",VLOOKUP(_xlpm.base,$F$79:$P$120,11,FALSE)))))</f>
        <v>Defensive Combat (Brawl) ●</v>
      </c>
      <c r="AE4" s="20"/>
      <c r="AF4" s="20" t="str">
        <f>IF(LEN(AC4)=0,"¬",_xlfn.LET(_xlpm.base,IFERROR(LEFT(AC4,FIND(" (",AC4)-1),AC4),IFERROR(VLOOKUP(_xlpm.base,tblMerits[],5,FALSE),IFERROR(VLOOKUP(_xlpm.base,tblManoeuvre[],9,FALSE),"¬"))))</f>
        <v>Substitute chosen Skill for Athletics in Defence, if equipped for that Skill.</v>
      </c>
      <c r="AI4" s="15" t="s">
        <v>236</v>
      </c>
      <c r="AJ4" s="61">
        <f t="shared" si="1"/>
        <v>0</v>
      </c>
      <c r="AK4" s="61">
        <f>AJ4</f>
        <v>0</v>
      </c>
    </row>
    <row r="5" spans="1:37">
      <c r="A5" s="1" t="s">
        <v>4</v>
      </c>
      <c r="B5" t="str">
        <f>IF(VLOOKUP(tblCharDataEinar[[#This Row],[Field]],$E$2:$F$362,2,FALSE)="","¬",VLOOKUP(tblCharDataEinar[[#This Row],[Field]],$E$2:$F$362,2,FALSE))</f>
        <v>Nathan H</v>
      </c>
      <c r="D5" s="19"/>
      <c r="E5" s="15" t="s">
        <v>6</v>
      </c>
      <c r="F5" s="3" t="s">
        <v>874</v>
      </c>
      <c r="G5" s="18"/>
      <c r="H5" s="18"/>
      <c r="I5" s="18" t="s">
        <v>1427</v>
      </c>
      <c r="N5" s="61">
        <f>N16</f>
        <v>15</v>
      </c>
      <c r="Y5" s="15" t="s">
        <v>117</v>
      </c>
      <c r="Z5" s="19"/>
      <c r="AA5" s="61" t="str">
        <f t="shared" si="0"/>
        <v>Indomitable</v>
      </c>
      <c r="AC5" s="60" t="str">
        <v>Indomitable</v>
      </c>
      <c r="AD5" s="20" t="str">
        <f>IF(AC5="","¬",_xlfn.LET(_xlpm.base,IFERROR(LEFT(AC5,FIND(" (",AC5)-1),AC5),IFERROR(VLOOKUP(_xlpm.base,tblManoeuvre[],2,FALSE) &amp; " " &amp; REPT("●",VLOOKUP(_xlpm.base,tblManoeuvre[],3,FALSE)) &amp; " | " &amp; AC5,AC5 &amp; " " &amp; REPT("●",VLOOKUP(_xlpm.base,$F$79:$P$120,11,FALSE)))))</f>
        <v>Indomitable ●●</v>
      </c>
      <c r="AE5" s="20"/>
      <c r="AF5" s="20" t="str">
        <f>IF(LEN(AC5)=0,"¬",_xlfn.LET(_xlpm.base,IFERROR(LEFT(AC5,FIND(" (",AC5)-1),AC5),IFERROR(VLOOKUP(_xlpm.base,tblMerits[],5,FALSE),IFERROR(VLOOKUP(_xlpm.base,tblManoeuvre[],9,FALSE),"¬"))))</f>
        <v>+2 to contest or resist supernatural mental influence.</v>
      </c>
      <c r="AI5" s="15" t="s">
        <v>33</v>
      </c>
      <c r="AJ5" s="61">
        <f t="shared" si="1"/>
        <v>1</v>
      </c>
      <c r="AK5" s="61">
        <f>IF(AJ5=0,IF(COUNTIF($E$42:$E$49,AI5)&gt;0,-3,-1),AJ5)</f>
        <v>1</v>
      </c>
    </row>
    <row r="6" spans="1:37">
      <c r="A6" s="1" t="s">
        <v>5</v>
      </c>
      <c r="B6" t="str">
        <f>IF(VLOOKUP(tblCharDataEinar[[#This Row],[Field]],$E$2:$F$362,2,FALSE)="","¬",VLOOKUP(tblCharDataEinar[[#This Row],[Field]],$E$2:$F$362,2,FALSE))</f>
        <v>Einar Solveig</v>
      </c>
      <c r="D6" s="19"/>
      <c r="E6" s="15" t="s">
        <v>7</v>
      </c>
      <c r="F6" s="3" t="s">
        <v>552</v>
      </c>
      <c r="G6" s="18"/>
      <c r="H6" s="18"/>
      <c r="I6" s="18" t="s">
        <v>1347</v>
      </c>
      <c r="N6" s="61">
        <f ca="1">N279</f>
        <v>3</v>
      </c>
      <c r="Y6" s="15" t="s">
        <v>118</v>
      </c>
      <c r="Z6" s="19"/>
      <c r="AA6" s="61" t="str">
        <f t="shared" si="0"/>
        <v>Swarm Form</v>
      </c>
      <c r="AC6" s="60" t="str">
        <v>Swarm Form</v>
      </c>
      <c r="AD6" s="20" t="str">
        <f>IF(AC6="","¬",_xlfn.LET(_xlpm.base,IFERROR(LEFT(AC6,FIND(" (",AC6)-1),AC6),IFERROR(VLOOKUP(_xlpm.base,tblManoeuvre[],2,FALSE) &amp; " " &amp; REPT("●",VLOOKUP(_xlpm.base,tblManoeuvre[],3,FALSE)) &amp; " | " &amp; AC6,AC6 &amp; " " &amp; REPT("●",VLOOKUP(_xlpm.base,$F$79:$P$120,11,FALSE)))))</f>
        <v>Swarm Form ●●</v>
      </c>
      <c r="AE6" s="20"/>
      <c r="AF6" s="20" t="str">
        <f>IF(LEN(AC6)=0,"¬",_xlfn.LET(_xlpm.base,IFERROR(LEFT(AC6,FIND(" (",AC6)-1),AC6),IFERROR(VLOOKUP(_xlpm.base,tblMerits[],5,FALSE),IFERROR(VLOOKUP(_xlpm.base,tblManoeuvre[],9,FALSE),"¬"))))</f>
        <v>Beast's Skin can be a swarm (5 × Blood Potency yards). Attacks ignore Defence, deal lethal. Non-area attacks deal 1 damage max.</v>
      </c>
      <c r="AI6" s="15" t="s">
        <v>237</v>
      </c>
      <c r="AJ6" s="61">
        <f t="shared" si="1"/>
        <v>0</v>
      </c>
      <c r="AK6" s="61">
        <f>AJ6</f>
        <v>0</v>
      </c>
    </row>
    <row r="7" spans="1:37">
      <c r="A7" s="1" t="s">
        <v>6</v>
      </c>
      <c r="B7" t="str">
        <f>IF(VLOOKUP(tblCharDataEinar[[#This Row],[Field]],$E$2:$F$362,2,FALSE)="","¬",VLOOKUP(tblCharDataEinar[[#This Row],[Field]],$E$2:$F$362,2,FALSE))</f>
        <v>Techno Viking</v>
      </c>
      <c r="D7" s="19" t="str">
        <f>VLOOKUP(F7,tblClans[],3,FALSE)</f>
        <v>Resolve</v>
      </c>
      <c r="E7" s="15" t="s">
        <v>8</v>
      </c>
      <c r="F7" s="3" t="s">
        <v>553</v>
      </c>
      <c r="G7" s="18"/>
      <c r="H7" s="18"/>
      <c r="I7" s="18"/>
      <c r="N7" s="60">
        <f>SUM(N8:N12)</f>
        <v>31</v>
      </c>
      <c r="Y7" s="15" t="s">
        <v>119</v>
      </c>
      <c r="Z7" s="19"/>
      <c r="AA7" s="61" t="str">
        <f t="shared" si="0"/>
        <v/>
      </c>
      <c r="AC7" s="60" t="str">
        <v>Strike to Preempt</v>
      </c>
      <c r="AD7" s="20" t="str">
        <f>IF(AC7="","¬",_xlfn.LET(_xlpm.base,IFERROR(LEFT(AC7,FIND(" (",AC7)-1),AC7),IFERROR(VLOOKUP(_xlpm.base,tblManoeuvre[],2,FALSE) &amp; " " &amp; REPT("●",VLOOKUP(_xlpm.base,tblManoeuvre[],3,FALSE)) &amp; " | " &amp; AC7,AC7 &amp; " " &amp; REPT("●",VLOOKUP(_xlpm.base,$F$79:$P$120,11,FALSE)))))</f>
        <v>Mobilise Outrage ● | Strike to Preempt</v>
      </c>
      <c r="AE7" s="20"/>
      <c r="AF7" s="20" t="str">
        <f>IF(LEN(AC7)=0,"¬",_xlfn.LET(_xlpm.base,IFERROR(LEFT(AC7,FIND(" (",AC7)-1),AC7),IFERROR(VLOOKUP(_xlpm.base,tblMerits[],5,FALSE),IFERROR(VLOOKUP(_xlpm.base,tblManoeuvre[],9,FALSE),"¬"))))</f>
        <v>Sacrifice your Defence and your second turn to add your Willpower as bonus dice to attack on your first turn.</v>
      </c>
      <c r="AI7" s="15" t="s">
        <v>49</v>
      </c>
      <c r="AJ7" s="61">
        <f t="shared" si="1"/>
        <v>2</v>
      </c>
      <c r="AK7" s="61">
        <f>AJ7</f>
        <v>2</v>
      </c>
    </row>
    <row r="8" spans="1:37">
      <c r="A8" s="1" t="s">
        <v>7</v>
      </c>
      <c r="B8" t="str">
        <f>IF(VLOOKUP(tblCharDataEinar[[#This Row],[Field]],$E$2:$F$362,2,FALSE)="","¬",LOWER(VLOOKUP(tblCharDataEinar[[#This Row],[Field]],$E$2:$F$362,2,FALSE)))</f>
        <v>he/him</v>
      </c>
      <c r="D8" s="19" t="str">
        <f>VLOOKUP(F7,tblClans[],2,FALSE)</f>
        <v>Presence</v>
      </c>
      <c r="E8" s="15" t="s">
        <v>10</v>
      </c>
      <c r="F8" s="3" t="s">
        <v>875</v>
      </c>
      <c r="G8" s="61" t="b">
        <f>IFERROR(IF(OR(AND(VLOOKUP(F8,tblBloodlines[],2,FALSE)="",VLOOKUP(F8,tblBloodlines[],3,FALSE)="",VLOOKUP(F8,tblBloodlines[],4,FALSE)=""),AND(VLOOKUP(F8,tblBloodlines[],2,FALSE)="",VLOOKUP(F8,tblBloodlines[],3,FALSE)="",F9=VLOOKUP(F8,tblBloodlines[],4,FALSE)),F7=VLOOKUP(F8,tblBloodlines[],2,FALSE),F7=VLOOKUP(F8,tblBloodlines[],3,FALSE)),TRUE,FALSE),"")</f>
        <v>1</v>
      </c>
      <c r="H8" s="18"/>
      <c r="I8" s="18" t="s">
        <v>1428</v>
      </c>
      <c r="N8" s="61">
        <f>N23</f>
        <v>0</v>
      </c>
      <c r="O8" s="65">
        <f>N8/SUM(N$7:N$12)</f>
        <v>0</v>
      </c>
      <c r="P8" s="66"/>
      <c r="Y8" s="15" t="s">
        <v>120</v>
      </c>
      <c r="Z8" s="19"/>
      <c r="AA8" s="61" t="str">
        <f t="shared" si="0"/>
        <v/>
      </c>
      <c r="AC8" s="60" t="str">
        <v>Unbreakable</v>
      </c>
      <c r="AD8" s="20" t="str">
        <f>IF(AC8="","¬",_xlfn.LET(_xlpm.base,IFERROR(LEFT(AC8,FIND(" (",AC8)-1),AC8),IFERROR(VLOOKUP(_xlpm.base,tblManoeuvre[],2,FALSE) &amp; " " &amp; REPT("●",VLOOKUP(_xlpm.base,tblManoeuvre[],3,FALSE)) &amp; " | " &amp; AC8,AC8 &amp; " " &amp; REPT("●",VLOOKUP(_xlpm.base,$F$79:$P$120,11,FALSE)))))</f>
        <v>Mobilise Outrage ●● | Unbreakable</v>
      </c>
      <c r="AE8" s="20"/>
      <c r="AF8" s="20" t="str">
        <f>IF(LEN(AC8)=0,"¬",_xlfn.LET(_xlpm.base,IFERROR(LEFT(AC8,FIND(" (",AC8)-1),AC8),IFERROR(VLOOKUP(_xlpm.base,tblMerits[],5,FALSE),IFERROR(VLOOKUP(_xlpm.base,tblManoeuvre[],9,FALSE),"¬"))))</f>
        <v>Add your full Willpower value when spending a point to contest or resist social or mental coercion in a combat situation.</v>
      </c>
      <c r="AI8" s="15" t="s">
        <v>34</v>
      </c>
      <c r="AJ8" s="61">
        <f t="shared" si="1"/>
        <v>5</v>
      </c>
      <c r="AK8" s="61">
        <f>IF(AJ8=0,IF(COUNTIF($E$42:$E$49,AI8)&gt;0,-3,-1),AJ8)</f>
        <v>5</v>
      </c>
    </row>
    <row r="9" spans="1:37">
      <c r="A9" s="1" t="s">
        <v>8</v>
      </c>
      <c r="B9" t="str">
        <f>IF(VLOOKUP(tblCharDataEinar[[#This Row],[Field]],$E$2:$F$362,2,FALSE)="","¬",VLOOKUP(tblCharDataEinar[[#This Row],[Field]],$E$2:$F$362,2,FALSE))</f>
        <v>Ventrue</v>
      </c>
      <c r="D9" s="19"/>
      <c r="E9" s="15" t="s">
        <v>11</v>
      </c>
      <c r="F9" s="3" t="s">
        <v>607</v>
      </c>
      <c r="G9" s="18"/>
      <c r="H9" s="18"/>
      <c r="I9" s="18" t="s">
        <v>1429</v>
      </c>
      <c r="N9" s="61">
        <f>N40+T40</f>
        <v>0</v>
      </c>
      <c r="O9" s="65">
        <f>N9/SUM(N$7:N$12)</f>
        <v>0</v>
      </c>
      <c r="P9" s="66"/>
      <c r="Y9" s="15" t="s">
        <v>121</v>
      </c>
      <c r="Z9" s="19"/>
      <c r="AA9" s="61" t="str">
        <f t="shared" si="0"/>
        <v/>
      </c>
      <c r="AC9" s="60" t="str">
        <v>Dying on Your Feet</v>
      </c>
      <c r="AD9" s="20" t="str">
        <f>IF(AC9="","¬",_xlfn.LET(_xlpm.base,IFERROR(LEFT(AC9,FIND(" (",AC9)-1),AC9),IFERROR(VLOOKUP(_xlpm.base,tblManoeuvre[],2,FALSE) &amp; " " &amp; REPT("●",VLOOKUP(_xlpm.base,tblManoeuvre[],3,FALSE)) &amp; " | " &amp; AC9,AC9 &amp; " " &amp; REPT("●",VLOOKUP(_xlpm.base,$F$79:$P$120,11,FALSE)))))</f>
        <v>Mobilise Outrage ●●● | Dying on Your Feet</v>
      </c>
      <c r="AE9" s="20"/>
      <c r="AF9" s="20" t="str">
        <f>IF(LEN(AC9)=0,"¬",_xlfn.LET(_xlpm.base,IFERROR(LEFT(AC9,FIND(" (",AC9)-1),AC9),IFERROR(VLOOKUP(_xlpm.base,tblMerits[],5,FALSE),IFERROR(VLOOKUP(_xlpm.base,tblManoeuvre[],9,FALSE),"¬"))))</f>
        <v>During combat only, ignore wound penalties and do not fall to torpor from injury.</v>
      </c>
      <c r="AI9" s="15" t="s">
        <v>238</v>
      </c>
      <c r="AJ9" s="61">
        <f t="shared" si="1"/>
        <v>0</v>
      </c>
      <c r="AK9" s="61">
        <f>AJ9</f>
        <v>0</v>
      </c>
    </row>
    <row r="10" spans="1:37">
      <c r="A10" s="1" t="s">
        <v>9</v>
      </c>
      <c r="B10" t="str">
        <f>CONCATENATE(Elements,B9," icon.svg")</f>
        <v>D:\Terra Mortis\Character Sheets\Sheet Elements\Ventrue icon.svg</v>
      </c>
      <c r="D10" s="19"/>
      <c r="E10" s="15" t="s">
        <v>13</v>
      </c>
      <c r="F10" s="3" t="s">
        <v>876</v>
      </c>
      <c r="G10" s="18"/>
      <c r="H10" s="18"/>
      <c r="I10" s="18" t="s">
        <v>1430</v>
      </c>
      <c r="N10" s="61">
        <f>N77</f>
        <v>13</v>
      </c>
      <c r="O10" s="65">
        <f>N10/SUM(N$7:N$12)</f>
        <v>0.20967741935483872</v>
      </c>
      <c r="P10" s="66"/>
      <c r="Y10" s="15" t="s">
        <v>122</v>
      </c>
      <c r="Z10" s="19"/>
      <c r="AA10" s="61" t="str">
        <f t="shared" si="0"/>
        <v/>
      </c>
      <c r="AC10" s="60" t="str">
        <v>Ravage</v>
      </c>
      <c r="AD10" s="20" t="str">
        <f>IF(AC10="","¬",_xlfn.LET(_xlpm.base,IFERROR(LEFT(AC10,FIND(" (",AC10)-1),AC10),IFERROR(VLOOKUP(_xlpm.base,tblManoeuvre[],2,FALSE) &amp; " " &amp; REPT("●",VLOOKUP(_xlpm.base,tblManoeuvre[],3,FALSE)) &amp; " | " &amp; AC10,AC10 &amp; " " &amp; REPT("●",VLOOKUP(_xlpm.base,$F$79:$P$120,11,FALSE)))))</f>
        <v>Riding the Wave ● | Ravage</v>
      </c>
      <c r="AE10" s="20"/>
      <c r="AF10" s="20" t="str">
        <f>IF(LEN(AC10)=0,"¬",_xlfn.LET(_xlpm.base,IFERROR(LEFT(AC10,FIND(" (",AC10)-1),AC10),IFERROR(VLOOKUP(_xlpm.base,tblMerits[],5,FALSE),IFERROR(VLOOKUP(_xlpm.base,tblManoeuvre[],9,FALSE),"¬"))))</f>
        <v>Bite attacks take a 1L weapon rating.</v>
      </c>
      <c r="AI10" s="15" t="s">
        <v>24</v>
      </c>
      <c r="AJ10" s="61">
        <f t="shared" si="1"/>
        <v>3</v>
      </c>
      <c r="AK10" s="61">
        <f>AJ10+IFERROR(INDEX($V$26:$V$38,MATCH(AI10,$E$26:$E$38,0)),0)</f>
        <v>3</v>
      </c>
    </row>
    <row r="11" spans="1:37">
      <c r="A11" s="1" t="s">
        <v>10</v>
      </c>
      <c r="B11" t="str">
        <f>IF(VLOOKUP(tblCharDataEinar[[#This Row],[Field]],$E$2:$F$362,2,FALSE)="","¬",VLOOKUP(tblCharDataEinar[[#This Row],[Field]],$E$2:$F$362,2,FALSE))</f>
        <v>Rotgrafen</v>
      </c>
      <c r="D11" s="19"/>
      <c r="E11" s="15" t="s">
        <v>14</v>
      </c>
      <c r="F11" s="3" t="s">
        <v>877</v>
      </c>
      <c r="G11" s="18"/>
      <c r="H11" s="18"/>
      <c r="I11" s="18" t="s">
        <v>1431</v>
      </c>
      <c r="N11" s="61">
        <f>N163</f>
        <v>18</v>
      </c>
      <c r="O11" s="65">
        <f>N11/SUM(N$7:N$12)</f>
        <v>0.29032258064516131</v>
      </c>
      <c r="P11" s="66"/>
      <c r="Y11" s="15" t="s">
        <v>123</v>
      </c>
      <c r="Z11" s="19"/>
      <c r="AA11" s="61" t="str">
        <f t="shared" si="0"/>
        <v/>
      </c>
      <c r="AC11" s="60" t="str">
        <v>Primal Strength</v>
      </c>
      <c r="AD11" s="20" t="str">
        <f>IF(AC11="","¬",_xlfn.LET(_xlpm.base,IFERROR(LEFT(AC11,FIND(" (",AC11)-1),AC11),IFERROR(VLOOKUP(_xlpm.base,tblManoeuvre[],2,FALSE) &amp; " " &amp; REPT("●",VLOOKUP(_xlpm.base,tblManoeuvre[],3,FALSE)) &amp; " | " &amp; AC11,AC11 &amp; " " &amp; REPT("●",VLOOKUP(_xlpm.base,$F$79:$P$120,11,FALSE)))))</f>
        <v>Riding the Wave ●● | Primal Strength</v>
      </c>
      <c r="AE11" s="20"/>
      <c r="AF11" s="20" t="str">
        <f>IF(LEN(AC11)=0,"¬",_xlfn.LET(_xlpm.base,IFERROR(LEFT(AC11,FIND(" (",AC11)-1),AC11),IFERROR(VLOOKUP(_xlpm.base,tblMerits[],5,FALSE),IFERROR(VLOOKUP(_xlpm.base,tblManoeuvre[],9,FALSE),"¬"))))</f>
        <v>Double your Strength bonus from frenzy when lifting, jumping, or destroying objects.</v>
      </c>
      <c r="AI11" s="15" t="s">
        <v>26</v>
      </c>
      <c r="AJ11" s="61">
        <f t="shared" si="1"/>
        <v>0</v>
      </c>
      <c r="AK11" s="61">
        <f>IF(AJ11=0,IF(COUNTIF($E$42:$E$49,AI11)&gt;0,-3,-1),AJ11)</f>
        <v>-3</v>
      </c>
    </row>
    <row r="12" spans="1:37">
      <c r="A12" s="1" t="s">
        <v>11</v>
      </c>
      <c r="B12" t="str">
        <f>IF(VLOOKUP(tblCharDataEinar[[#This Row],[Field]],$E$2:$F$362,2,FALSE)="","¬",VLOOKUP(tblCharDataEinar[[#This Row],[Field]],$E$2:$F$362,2,FALSE))</f>
        <v>Carthian Movement</v>
      </c>
      <c r="D12" s="19"/>
      <c r="E12" s="15" t="s">
        <v>15</v>
      </c>
      <c r="F12" s="3"/>
      <c r="G12" s="3"/>
      <c r="H12" s="18"/>
      <c r="I12" s="18" t="s">
        <v>1432</v>
      </c>
      <c r="N12" s="61">
        <f>N71</f>
        <v>0</v>
      </c>
      <c r="O12" s="65">
        <f>N12/SUM(N$7:N$12)</f>
        <v>0</v>
      </c>
      <c r="P12" s="66"/>
      <c r="Y12" s="15" t="s">
        <v>124</v>
      </c>
      <c r="Z12" s="19"/>
      <c r="AA12" s="61" t="str">
        <f t="shared" si="0"/>
        <v/>
      </c>
      <c r="AC12" s="60" t="str">
        <v>In the Zone</v>
      </c>
      <c r="AD12" s="20" t="str">
        <f>IF(AC12="","¬",_xlfn.LET(_xlpm.base,IFERROR(LEFT(AC12,FIND(" (",AC12)-1),AC12),IFERROR(VLOOKUP(_xlpm.base,tblManoeuvre[],2,FALSE) &amp; " " &amp; REPT("●",VLOOKUP(_xlpm.base,tblManoeuvre[],3,FALSE)) &amp; " | " &amp; AC12,AC12 &amp; " " &amp; REPT("●",VLOOKUP(_xlpm.base,$F$79:$P$120,11,FALSE)))))</f>
        <v>Riding the Wave ●●● | In the Zone</v>
      </c>
      <c r="AE12" s="20"/>
      <c r="AF12" s="20" t="str">
        <f>IF(LEN(AC12)=0,"¬",_xlfn.LET(_xlpm.base,IFERROR(LEFT(AC12,FIND(" (",AC12)-1),AC12),IFERROR(VLOOKUP(_xlpm.base,tblMerits[],5,FALSE),IFERROR(VLOOKUP(_xlpm.base,tblManoeuvre[],9,FALSE),"¬"))))</f>
        <v>When you spend Willpower to ride the wave, you also apply the normal +3 action bonus.</v>
      </c>
      <c r="AI12" s="15" t="s">
        <v>27</v>
      </c>
      <c r="AJ12" s="61">
        <f t="shared" si="1"/>
        <v>1</v>
      </c>
      <c r="AK12" s="61">
        <f>IF(AJ12=0,IF(COUNTIF($E$42:$E$49,AI12)&gt;0,-3,-1),AJ12)</f>
        <v>1</v>
      </c>
    </row>
    <row r="13" spans="1:37">
      <c r="A13" s="1" t="s">
        <v>12</v>
      </c>
      <c r="B13" t="str">
        <f>_xlfn.IFNA(CONCATENATE(Elements,VLOOKUP(B12,tblCovenantShortName[#Data],2,FALSE)," icon.svg"),"")</f>
        <v>D:\Terra Mortis\Character Sheets\Sheet Elements\Carthian icon.svg</v>
      </c>
      <c r="D13" s="19"/>
      <c r="E13" s="15" t="s">
        <v>15</v>
      </c>
      <c r="F13" s="3"/>
      <c r="G13" s="3"/>
      <c r="H13" s="18"/>
      <c r="I13" s="27"/>
      <c r="Y13" s="15" t="s">
        <v>125</v>
      </c>
      <c r="Z13" s="19"/>
      <c r="AA13" s="61" t="str">
        <f t="shared" si="0"/>
        <v/>
      </c>
      <c r="AC13" s="60" t="str">
        <v>Unyielding</v>
      </c>
      <c r="AD13" s="20" t="str">
        <f>IF(AC13="","¬",_xlfn.LET(_xlpm.base,IFERROR(LEFT(AC13,FIND(" (",AC13)-1),AC13),IFERROR(VLOOKUP(_xlpm.base,tblManoeuvre[],2,FALSE) &amp; " " &amp; REPT("●",VLOOKUP(_xlpm.base,tblManoeuvre[],3,FALSE)) &amp; " | " &amp; AC13,AC13 &amp; " " &amp; REPT("●",VLOOKUP(_xlpm.base,$F$79:$P$120,11,FALSE)))))</f>
        <v>Riding the Wave ●●●● | Unyielding</v>
      </c>
      <c r="AE13" s="20"/>
      <c r="AF13" s="20" t="str">
        <f>IF(LEN(AC13)=0,"¬",_xlfn.LET(_xlpm.base,IFERROR(LEFT(AC13,FIND(" (",AC13)-1),AC13),IFERROR(VLOOKUP(_xlpm.base,tblMerits[],5,FALSE),IFERROR(VLOOKUP(_xlpm.base,tblManoeuvre[],9,FALSE),"¬"))))</f>
        <v>After a scene where you rode the wave, recover any Willpower spent to do so.</v>
      </c>
      <c r="AI13" s="15" t="s">
        <v>248</v>
      </c>
      <c r="AJ13" s="61">
        <f t="shared" si="1"/>
        <v>0</v>
      </c>
      <c r="AK13" s="61">
        <f t="shared" ref="AK13:AK19" si="2">AJ13</f>
        <v>0</v>
      </c>
    </row>
    <row r="14" spans="1:37">
      <c r="A14" s="1" t="s">
        <v>13</v>
      </c>
      <c r="B14" t="str">
        <f>IF(VLOOKUP(tblCharDataEinar[[#This Row],[Field]],$E$2:$F$362,2,FALSE)="","¬",VLOOKUP(tblCharDataEinar[[#This Row],[Field]],$E$2:$F$362,2,FALSE))</f>
        <v>Junkie</v>
      </c>
      <c r="D14" s="19"/>
      <c r="E14" s="15" t="s">
        <v>1433</v>
      </c>
      <c r="F14" s="28" t="s">
        <v>1682</v>
      </c>
      <c r="G14" s="3" t="s">
        <v>909</v>
      </c>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0</v>
      </c>
      <c r="AK14" s="61">
        <f t="shared" si="2"/>
        <v>0</v>
      </c>
    </row>
    <row r="15" spans="1:37">
      <c r="A15" s="1" t="s">
        <v>14</v>
      </c>
      <c r="B15" t="str">
        <f>IF(VLOOKUP(tblCharDataEinar[[#This Row],[Field]],$E$2:$F$362,2,FALSE)="","¬",VLOOKUP(tblCharDataEinar[[#This Row],[Field]],$E$2:$F$362,2,FALSE))</f>
        <v>Competitor</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3</v>
      </c>
      <c r="AK15" s="61">
        <f t="shared" ca="1" si="2"/>
        <v>3</v>
      </c>
    </row>
    <row r="16" spans="1:37" ht="15.75" thickBot="1">
      <c r="A16" s="1" t="s">
        <v>15</v>
      </c>
      <c r="B16" t="str">
        <f ca="1">_xlfn.LET(_xlpm.a,VLOOKUP(tblCharDataEinar[[#This Row],[Field]],$E$2:$F$362,2,FALSE),_xlpm.b,VLOOKUP(OFFSET(tblCharDataEinar[[#This Row],[Field]],1,0),$E$2:$F$362,2,FALSE),IF(AND(_xlpm.a&lt;&gt;"",_xlpm.b&lt;&gt;""),_xlpm.a&amp;" &amp; "&amp;_xlpm.b,IF(_xlpm.a&lt;&gt;"",_xlpm.a,IF(_xlpm.b&lt;&gt;"",_xlpm.b,"¬"))))</f>
        <v>¬</v>
      </c>
      <c r="D16" s="14" t="s">
        <v>1427</v>
      </c>
      <c r="E16" s="14"/>
      <c r="F16" s="14"/>
      <c r="G16" s="14"/>
      <c r="H16" s="14"/>
      <c r="I16" s="14"/>
      <c r="N16" s="60">
        <f>SUM(N17:N21)</f>
        <v>15</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REPT("●",IFERROR(INDEX($P$26:$P$38,MATCH(tblCharDataEinar[[#This Row],[Field]],$E$26:$E$38,0)),0))&amp;REPT("○",IFERROR(INDEX($V$26:$V$38,MATCH(tblCharDataEinar[[#This Row],[Field]],$E$26:$E$38,0)),0))</f>
        <v>●●●</v>
      </c>
      <c r="D17" s="19"/>
      <c r="E17" s="15" t="s">
        <v>1435</v>
      </c>
      <c r="F17" s="3" t="b">
        <v>1</v>
      </c>
      <c r="G17" s="19"/>
      <c r="H17" s="19"/>
      <c r="I17" s="19"/>
      <c r="N17" s="61">
        <f>IF(F17=TRUE,3,0)</f>
        <v>3</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2</v>
      </c>
      <c r="AK17" s="61">
        <f>AJ17+IFERROR(INDEX($V$26:$V$38,MATCH(AI17,$E$26:$E$38,0)),0)</f>
        <v>2</v>
      </c>
    </row>
    <row r="18" spans="1:37">
      <c r="A18" s="1" t="s">
        <v>17</v>
      </c>
      <c r="B18" t="str">
        <f>REPT("●",IFERROR(INDEX($P$26:$P$38,MATCH(tblCharDataEinar[[#This Row],[Field]],$E$26:$E$38,0)),0))&amp;REPT("○",IFERROR(INDEX($V$26:$V$38,MATCH(tblCharDataEinar[[#This Row],[Field]],$E$26:$E$38,0)),0))</f>
        <v>●●</v>
      </c>
      <c r="D18" s="19"/>
      <c r="E18" s="15" t="s">
        <v>1436</v>
      </c>
      <c r="F18" s="3" t="b">
        <v>1</v>
      </c>
      <c r="G18" s="19"/>
      <c r="H18" s="19"/>
      <c r="I18" s="19"/>
      <c r="N18" s="61">
        <f>IF(F18=TRUE,3,0)</f>
        <v>3</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0</v>
      </c>
      <c r="AK18" s="61">
        <f t="shared" si="2"/>
        <v>0</v>
      </c>
    </row>
    <row r="19" spans="1:37">
      <c r="A19" s="1" t="s">
        <v>18</v>
      </c>
      <c r="B19" t="str">
        <f>REPT("●",IFERROR(INDEX($P$26:$P$38,MATCH(tblCharDataEinar[[#This Row],[Field]],$E$26:$E$38,0)),0))&amp;REPT("○",IFERROR(INDEX($V$26:$V$38,MATCH(tblCharDataEinar[[#This Row],[Field]],$E$26:$E$38,0)),0))</f>
        <v>●●●</v>
      </c>
      <c r="D19" s="19"/>
      <c r="E19" s="15" t="s">
        <v>1437</v>
      </c>
      <c r="F19" s="3" t="b">
        <v>1</v>
      </c>
      <c r="G19" s="19"/>
      <c r="H19" s="19"/>
      <c r="I19" s="19"/>
      <c r="N19" s="61">
        <f>IF(F19=TRUE,3,0)</f>
        <v>3</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1</v>
      </c>
      <c r="AK19" s="61">
        <f t="shared" si="2"/>
        <v>1</v>
      </c>
    </row>
    <row r="20" spans="1:37">
      <c r="A20" s="1" t="s">
        <v>19</v>
      </c>
      <c r="B20" t="str">
        <f>REPT("●",IFERROR(INDEX($P$26:$P$38,MATCH(tblCharDataEinar[[#This Row],[Field]],$E$26:$E$38,0)),0))&amp;REPT("○",IFERROR(INDEX($V$26:$V$38,MATCH(tblCharDataEinar[[#This Row],[Field]],$E$26:$E$38,0)),0))</f>
        <v>●●●○○</v>
      </c>
      <c r="D20" s="19"/>
      <c r="E20" s="15" t="s">
        <v>1438</v>
      </c>
      <c r="F20" s="3" t="b">
        <v>1</v>
      </c>
      <c r="G20" s="19"/>
      <c r="H20" s="19"/>
      <c r="I20" s="19"/>
      <c r="N20" s="61">
        <f>IF(F20=TRUE,3,0)</f>
        <v>3</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REPT("●",IFERROR(INDEX($P$26:$P$38,MATCH(tblCharDataEinar[[#This Row],[Field]],$E$26:$E$38,0)),0))&amp;REPT("○",IFERROR(INDEX($V$26:$V$38,MATCH(tblCharDataEinar[[#This Row],[Field]],$E$26:$E$38,0)),0))</f>
        <v>●●</v>
      </c>
      <c r="D21" s="19"/>
      <c r="E21" s="15" t="s">
        <v>11</v>
      </c>
      <c r="F21" s="3" t="b">
        <v>1</v>
      </c>
      <c r="G21" s="19"/>
      <c r="H21" s="19"/>
      <c r="I21" s="19"/>
      <c r="N21" s="61">
        <f>IF(F21=TRUE,3,0)</f>
        <v>3</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1</v>
      </c>
      <c r="AK21" s="61">
        <f>IF(AJ21=0,IF(COUNTIF($E$42:$E$49,AI21)&gt;0,-3,-1),AJ21)</f>
        <v>1</v>
      </c>
    </row>
    <row r="22" spans="1:37">
      <c r="A22" s="1" t="s">
        <v>21</v>
      </c>
      <c r="B22" t="str">
        <f>REPT("●",IFERROR(INDEX($P$26:$P$38,MATCH(tblCharDataEinar[[#This Row],[Field]],$E$26:$E$38,0)),0))&amp;REPT("○",IFERROR(INDEX($V$26:$V$38,MATCH(tblCharDataEinar[[#This Row],[Field]],$E$26:$E$38,0)),0))</f>
        <v>●●○</v>
      </c>
      <c r="Y22" s="15" t="s">
        <v>1439</v>
      </c>
      <c r="Z22" s="61" t="str">
        <f>IFERROR(VLOOKUP(AA22,tblManoeuvre[],2,FALSE),"")</f>
        <v>Riding the Wave</v>
      </c>
      <c r="AA22" s="61" t="str">
        <f t="shared" ref="AA22:AA41" si="3">_xlfn.LET(_xlpm.name,VLOOKUP(Y22,$E$2:$F$362,2,FALSE),_xlpm.paid,_xlfn.IFNA(VLOOKUP(_xlpm.name,$F$79:$Q$120,11,FALSE)&gt;=VLOOKUP(_xlpm.name,$F$79:$Q$120,12,FALSE),FALSE),IF(AND(_xlpm.name&lt;&gt;"",_xlpm.paid),_xlpm.name,""))</f>
        <v>Ravage</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3</v>
      </c>
      <c r="AK22" s="61">
        <f>IF(AJ22=0,IF(COUNTIF($E$42:$E$49,AI22)&gt;0,-3,-1),AJ22)</f>
        <v>3</v>
      </c>
    </row>
    <row r="23" spans="1:37" ht="15.75" thickBot="1">
      <c r="A23" s="1" t="s">
        <v>22</v>
      </c>
      <c r="B23" t="str">
        <f>REPT("●",IFERROR(INDEX($P$26:$P$38,MATCH(tblCharDataEinar[[#This Row],[Field]],$E$26:$E$38,0)),0))&amp;REPT("○",IFERROR(INDEX($V$26:$V$38,MATCH(tblCharDataEinar[[#This Row],[Field]],$E$26:$E$38,0)),0))</f>
        <v>●●</v>
      </c>
      <c r="D23" s="14" t="s">
        <v>1440</v>
      </c>
      <c r="E23" s="14"/>
      <c r="F23" s="14"/>
      <c r="G23" s="14"/>
      <c r="H23" s="14"/>
      <c r="I23" s="14"/>
      <c r="N23" s="60">
        <f>SUM(N26:N28,N31:N33,N36:N38)</f>
        <v>0</v>
      </c>
      <c r="Y23" s="15" t="s">
        <v>1441</v>
      </c>
      <c r="Z23" s="61" t="str">
        <f>IFERROR(VLOOKUP(AA23,tblManoeuvre[],2,FALSE),"")</f>
        <v>Riding the Wave</v>
      </c>
      <c r="AA23" s="61" t="str">
        <f t="shared" si="3"/>
        <v>Primal Strength</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0</v>
      </c>
      <c r="AK23" s="61">
        <f>IF(AJ23=0,VLOOKUP(AI23,$E$42:$Q$69,13,FALSE),AJ23)</f>
        <v>0</v>
      </c>
    </row>
    <row r="24" spans="1:37">
      <c r="A24" s="1" t="s">
        <v>23</v>
      </c>
      <c r="B24" t="str">
        <f>REPT("●",IFERROR(INDEX($P$26:$P$38,MATCH(tblCharDataEinar[[#This Row],[Field]],$E$26:$E$38,0)),0))&amp;REPT("○",IFERROR(INDEX($V$26:$V$38,MATCH(tblCharDataEinar[[#This Row],[Field]],$E$26:$E$38,0)),0))</f>
        <v>●●</v>
      </c>
      <c r="E24" s="15" t="s">
        <v>1442</v>
      </c>
      <c r="F24" s="3" t="s">
        <v>22</v>
      </c>
      <c r="Y24" s="15" t="s">
        <v>1443</v>
      </c>
      <c r="Z24" s="61" t="str">
        <f>IFERROR(VLOOKUP(AA24,tblManoeuvre[],2,FALSE),"")</f>
        <v>Riding the Wave</v>
      </c>
      <c r="AA24" s="61" t="str">
        <f t="shared" si="3"/>
        <v>In the Zone</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8</v>
      </c>
      <c r="AK24" s="61">
        <f ca="1">AJ24</f>
        <v>8</v>
      </c>
    </row>
    <row r="25" spans="1:37">
      <c r="A25" s="1" t="s">
        <v>24</v>
      </c>
      <c r="B25" t="str">
        <f>REPT("●",IFERROR(INDEX($P$26:$P$38,MATCH(tblCharDataEinar[[#This Row],[Field]],$E$26:$E$38,0)),0))&amp;REPT("○",IFERROR(INDEX($V$26:$V$38,MATCH(tblCharDataEinar[[#This Row],[Field]],$E$26:$E$38,0)),0))</f>
        <v>●●●</v>
      </c>
      <c r="D25" s="16" t="s">
        <v>1444</v>
      </c>
      <c r="E25" s="17"/>
      <c r="F25" s="17"/>
      <c r="G25" s="17" t="s">
        <v>1445</v>
      </c>
      <c r="H25" s="16" t="s">
        <v>1446</v>
      </c>
      <c r="I25" s="3" t="s">
        <v>1565</v>
      </c>
      <c r="L25" s="60">
        <f>IF(I25="",0,VLOOKUP(I25,tblPriority[#Data],2,FALSE))-SUM(L26:L28)</f>
        <v>0</v>
      </c>
      <c r="Y25" s="15" t="s">
        <v>1447</v>
      </c>
      <c r="Z25" s="61" t="str">
        <f>IFERROR(VLOOKUP(AA25,tblManoeuvre[],2,FALSE),"")</f>
        <v>Riding the Wave</v>
      </c>
      <c r="AA25" s="61" t="str">
        <f t="shared" si="3"/>
        <v>Unyielding</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5</v>
      </c>
      <c r="AK25" s="61">
        <f>AJ25</f>
        <v>5</v>
      </c>
    </row>
    <row r="26" spans="1:37">
      <c r="A26" s="1" t="s">
        <v>25</v>
      </c>
      <c r="B26" t="str">
        <f>REPT("●",IFERROR(INDEX($P$42:$P$69,MATCH(tblCharDataEinar[[#This Row],[Field]],$E$42:$E$69,0)),0))&amp;REPT("○",IFERROR(INDEX($V$42:$V$69,MATCH(tblCharDataEinar[[#This Row],[Field]],$E$42:$E$69,0)),0))&amp;IF(IFERROR(INDEX($W$42:$W$69,MATCH(tblCharDataEinar[[#This Row],[Field]],$E$42:$E$69,0)),0)=1,"†","")</f>
        <v/>
      </c>
      <c r="D26" s="18"/>
      <c r="E26" s="15" t="s">
        <v>16</v>
      </c>
      <c r="F26" s="18"/>
      <c r="G26" s="3"/>
      <c r="H26" s="18"/>
      <c r="I26" s="18"/>
      <c r="L26" s="3">
        <v>2</v>
      </c>
      <c r="M26" s="60">
        <f>IF(E26=$F$24,2,1)</f>
        <v>1</v>
      </c>
      <c r="N26" s="3"/>
      <c r="O26" s="61">
        <f>ROUNDDOWN(N26/4,0)</f>
        <v>0</v>
      </c>
      <c r="P26" s="60">
        <f>MIN(SUM(L26,M26,O26),R26)</f>
        <v>3</v>
      </c>
      <c r="R26" s="61">
        <v>5</v>
      </c>
      <c r="U26" s="4"/>
      <c r="V26" s="61">
        <f>U26</f>
        <v>0</v>
      </c>
      <c r="Y26" s="15" t="s">
        <v>1449</v>
      </c>
      <c r="Z26" s="61" t="str">
        <f>IFERROR(VLOOKUP(AA26,tblManoeuvre[],2,FALSE),"")</f>
        <v>Mobilise Outrage</v>
      </c>
      <c r="AA26" s="61" t="str">
        <f t="shared" si="3"/>
        <v>Strike to Preempt</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3</v>
      </c>
      <c r="AK26" s="61">
        <f>AJ26+IFERROR(INDEX($V$26:$V$38,MATCH(AI26,$E$26:$E$38,0)),0)</f>
        <v>3</v>
      </c>
    </row>
    <row r="27" spans="1:37">
      <c r="A27" s="1" t="s">
        <v>26</v>
      </c>
      <c r="B27" t="str">
        <f>REPT("●",IFERROR(INDEX($P$42:$P$69,MATCH(tblCharDataEinar[[#This Row],[Field]],$E$42:$E$69,0)),0))&amp;REPT("○",IFERROR(INDEX($V$42:$V$69,MATCH(tblCharDataEinar[[#This Row],[Field]],$E$42:$E$69,0)),0))&amp;IF(IFERROR(INDEX($W$42:$W$69,MATCH(tblCharDataEinar[[#This Row],[Field]],$E$42:$E$69,0)),0)=1,"†","")</f>
        <v/>
      </c>
      <c r="D27" s="18"/>
      <c r="E27" s="15" t="s">
        <v>17</v>
      </c>
      <c r="F27" s="18"/>
      <c r="G27" s="3"/>
      <c r="H27" s="18"/>
      <c r="I27" s="18"/>
      <c r="L27" s="3">
        <v>1</v>
      </c>
      <c r="M27" s="60">
        <f>IF(E27=$F$24,2,1)</f>
        <v>1</v>
      </c>
      <c r="N27" s="3"/>
      <c r="O27" s="61">
        <f>ROUNDDOWN(N27/4,0)</f>
        <v>0</v>
      </c>
      <c r="P27" s="60">
        <f>MIN(SUM(L27,M27,O27),R27)</f>
        <v>2</v>
      </c>
      <c r="R27" s="61">
        <v>5</v>
      </c>
      <c r="U27" s="4"/>
      <c r="V27" s="61">
        <f>U27</f>
        <v>0</v>
      </c>
      <c r="Y27" s="15" t="s">
        <v>1450</v>
      </c>
      <c r="Z27" s="61" t="str">
        <f>IFERROR(VLOOKUP(AA27,tblManoeuvre[],2,FALSE),"")</f>
        <v>Mobilise Outrage</v>
      </c>
      <c r="AA27" s="61" t="str">
        <f t="shared" si="3"/>
        <v>Unbreakable</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3</v>
      </c>
      <c r="AK27" s="61">
        <f>IF(AJ27=0,IF(COUNTIF($E$42:$E$49,AI27)&gt;0,-3,-1),AJ27)</f>
        <v>3</v>
      </c>
    </row>
    <row r="28" spans="1:37">
      <c r="A28" s="1" t="s">
        <v>27</v>
      </c>
      <c r="B28" t="str">
        <f>REPT("●",IFERROR(INDEX($P$42:$P$69,MATCH(tblCharDataEinar[[#This Row],[Field]],$E$42:$E$69,0)),0))&amp;REPT("○",IFERROR(INDEX($V$42:$V$69,MATCH(tblCharDataEinar[[#This Row],[Field]],$E$42:$E$69,0)),0))&amp;IF(IFERROR(INDEX($W$42:$W$69,MATCH(tblCharDataEinar[[#This Row],[Field]],$E$42:$E$69,0)),0)=1,"†","")</f>
        <v>●</v>
      </c>
      <c r="D28" s="18"/>
      <c r="E28" s="15" t="s">
        <v>18</v>
      </c>
      <c r="F28" s="18"/>
      <c r="G28" s="3"/>
      <c r="H28" s="18"/>
      <c r="I28" s="18"/>
      <c r="L28" s="3">
        <v>2</v>
      </c>
      <c r="M28" s="60">
        <f>IF(E28=$F$24,2,1)</f>
        <v>1</v>
      </c>
      <c r="N28" s="3"/>
      <c r="O28" s="61">
        <f>ROUNDDOWN(N28/4,0)</f>
        <v>0</v>
      </c>
      <c r="P28" s="60">
        <f>MIN(SUM(L28,M28,O28),R28)</f>
        <v>3</v>
      </c>
      <c r="R28" s="61">
        <v>5</v>
      </c>
      <c r="U28" s="4"/>
      <c r="V28" s="61">
        <f>U28</f>
        <v>0</v>
      </c>
      <c r="Y28" s="15" t="s">
        <v>1451</v>
      </c>
      <c r="Z28" s="61" t="str">
        <f>IFERROR(VLOOKUP(AA28,tblManoeuvre[],2,FALSE),"")</f>
        <v>Mobilise Outrage</v>
      </c>
      <c r="AA28" s="61" t="str">
        <f t="shared" si="3"/>
        <v>Dying on Your Feet</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3</v>
      </c>
      <c r="AK28" s="61">
        <f>IF(AJ28=0,IF(COUNTIF($E$42:$E$49,AI28)&gt;0,-3,-1),AJ28)</f>
        <v>3</v>
      </c>
    </row>
    <row r="29" spans="1:37">
      <c r="A29" s="1" t="s">
        <v>28</v>
      </c>
      <c r="B29" t="str">
        <f>REPT("●",IFERROR(INDEX($P$42:$P$69,MATCH(tblCharDataEinar[[#This Row],[Field]],$E$42:$E$69,0)),0))&amp;REPT("○",IFERROR(INDEX($V$42:$V$69,MATCH(tblCharDataEinar[[#This Row],[Field]],$E$42:$E$69,0)),0))&amp;IF(IFERROR(INDEX($W$42:$W$69,MATCH(tblCharDataEinar[[#This Row],[Field]],$E$42:$E$69,0)),0)=1,"†","")</f>
        <v>●●●</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0</v>
      </c>
      <c r="AK29" s="61">
        <f>IF(AJ29=0,IF(COUNTIF($E$42:$E$49,AI29)&gt;0,-3,-1),AJ29)</f>
        <v>-1</v>
      </c>
    </row>
    <row r="30" spans="1:37">
      <c r="A30" s="1" t="s">
        <v>29</v>
      </c>
      <c r="B30" t="str">
        <f>REPT("●",IFERROR(INDEX($P$42:$P$69,MATCH(tblCharDataEinar[[#This Row],[Field]],$E$42:$E$69,0)),0))&amp;REPT("○",IFERROR(INDEX($V$42:$V$69,MATCH(tblCharDataEinar[[#This Row],[Field]],$E$42:$E$69,0)),0))&amp;IF(IFERROR(INDEX($W$42:$W$69,MATCH(tblCharDataEinar[[#This Row],[Field]],$E$42:$E$69,0)),0)=1,"†","")</f>
        <v/>
      </c>
      <c r="D30" s="16" t="s">
        <v>1453</v>
      </c>
      <c r="E30" s="17"/>
      <c r="F30" s="17"/>
      <c r="G30" s="17" t="s">
        <v>1445</v>
      </c>
      <c r="H30" s="16" t="s">
        <v>1446</v>
      </c>
      <c r="I30" s="3" t="s">
        <v>1567</v>
      </c>
      <c r="L30" s="60">
        <f>IF(I30="",0,VLOOKUP(I30,tblPriority[#Data],2,FALSE))-SUM(L31:L33)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0</v>
      </c>
      <c r="AK30" s="61">
        <f>AJ30</f>
        <v>0</v>
      </c>
    </row>
    <row r="31" spans="1:37">
      <c r="A31" s="1" t="s">
        <v>30</v>
      </c>
      <c r="B31" t="str">
        <f>REPT("●",IFERROR(INDEX($P$42:$P$69,MATCH(tblCharDataEinar[[#This Row],[Field]],$E$42:$E$69,0)),0))&amp;REPT("○",IFERROR(INDEX($V$42:$V$69,MATCH(tblCharDataEinar[[#This Row],[Field]],$E$42:$E$69,0)),0))&amp;IF(IFERROR(INDEX($W$42:$W$69,MATCH(tblCharDataEinar[[#This Row],[Field]],$E$42:$E$69,0)),0)=1,"†","")</f>
        <v/>
      </c>
      <c r="D31" s="18"/>
      <c r="E31" s="15" t="s">
        <v>19</v>
      </c>
      <c r="F31" s="18"/>
      <c r="G31" s="3"/>
      <c r="H31" s="18"/>
      <c r="I31" s="18"/>
      <c r="L31" s="3">
        <v>2</v>
      </c>
      <c r="M31" s="60">
        <f>IF(E31=$F$24,2,1)</f>
        <v>1</v>
      </c>
      <c r="N31" s="3"/>
      <c r="O31" s="61">
        <f>ROUNDDOWN(N31/4,0)</f>
        <v>0</v>
      </c>
      <c r="P31" s="60">
        <f>MIN(SUM(L31,M31,O31),R31)</f>
        <v>3</v>
      </c>
      <c r="R31" s="61">
        <v>5</v>
      </c>
      <c r="U31" s="4"/>
      <c r="V31" s="61">
        <f>$P$174+U31</f>
        <v>2</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2</v>
      </c>
      <c r="AK31" s="61">
        <f>AJ31+IFERROR(INDEX($V$26:$V$38,MATCH(AI31,$E$26:$E$38,0)),0)</f>
        <v>2</v>
      </c>
    </row>
    <row r="32" spans="1:37">
      <c r="A32" s="1" t="s">
        <v>31</v>
      </c>
      <c r="B32" t="str">
        <f>REPT("●",IFERROR(INDEX($P$42:$P$69,MATCH(tblCharDataEinar[[#This Row],[Field]],$E$42:$E$69,0)),0))&amp;REPT("○",IFERROR(INDEX($V$42:$V$69,MATCH(tblCharDataEinar[[#This Row],[Field]],$E$42:$E$69,0)),0))&amp;IF(IFERROR(INDEX($W$42:$W$69,MATCH(tblCharDataEinar[[#This Row],[Field]],$E$42:$E$69,0)),0)=1,"†","")</f>
        <v/>
      </c>
      <c r="D32" s="18"/>
      <c r="E32" s="15" t="s">
        <v>20</v>
      </c>
      <c r="F32" s="18"/>
      <c r="G32" s="3"/>
      <c r="H32" s="18"/>
      <c r="I32" s="18"/>
      <c r="L32" s="3">
        <v>1</v>
      </c>
      <c r="M32" s="60">
        <f>IF(E32=$F$24,2,1)</f>
        <v>1</v>
      </c>
      <c r="N32" s="3"/>
      <c r="O32" s="61">
        <f>ROUNDDOWN(N32/4,0)</f>
        <v>0</v>
      </c>
      <c r="P32" s="60">
        <f>MIN(SUM(L32,M32,O32),R32)</f>
        <v>2</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REPT("●",IFERROR(INDEX($P$42:$P$69,MATCH(tblCharDataEinar[[#This Row],[Field]],$E$42:$E$69,0)),0))&amp;REPT("○",IFERROR(INDEX($V$42:$V$69,MATCH(tblCharDataEinar[[#This Row],[Field]],$E$42:$E$69,0)),0))&amp;IF(IFERROR(INDEX($W$42:$W$69,MATCH(tblCharDataEinar[[#This Row],[Field]],$E$42:$E$69,0)),0)=1,"†","")</f>
        <v/>
      </c>
      <c r="D33" s="18"/>
      <c r="E33" s="15" t="s">
        <v>21</v>
      </c>
      <c r="F33" s="18"/>
      <c r="G33" s="3"/>
      <c r="H33" s="18"/>
      <c r="I33" s="18"/>
      <c r="L33" s="3">
        <v>1</v>
      </c>
      <c r="M33" s="60">
        <f>IF(E33=$F$24,2,1)</f>
        <v>1</v>
      </c>
      <c r="N33" s="3"/>
      <c r="O33" s="61">
        <f>ROUNDDOWN(N33/4,0)</f>
        <v>0</v>
      </c>
      <c r="P33" s="60">
        <f>MIN(SUM(L33,M33,O33),R33)</f>
        <v>2</v>
      </c>
      <c r="R33" s="61">
        <v>5</v>
      </c>
      <c r="U33" s="4"/>
      <c r="V33" s="61">
        <f>$P$173+U33</f>
        <v>1</v>
      </c>
      <c r="Y33" s="15" t="s">
        <v>1457</v>
      </c>
      <c r="Z33" s="61" t="str">
        <f>IFERROR(VLOOKUP(AA33,tblManoeuvre[],2,FALSE),"")</f>
        <v/>
      </c>
      <c r="AA33" s="61" t="str">
        <f t="shared" si="3"/>
        <v/>
      </c>
      <c r="AI33" s="15" t="s">
        <v>241</v>
      </c>
      <c r="AJ33" s="61">
        <f t="shared" si="1"/>
        <v>0</v>
      </c>
      <c r="AK33" s="61">
        <f>AJ33</f>
        <v>0</v>
      </c>
    </row>
    <row r="34" spans="1:37">
      <c r="A34" s="1" t="s">
        <v>33</v>
      </c>
      <c r="B34" t="str">
        <f>REPT("●",IFERROR(INDEX($P$42:$P$69,MATCH(tblCharDataEinar[[#This Row],[Field]],$E$42:$E$69,0)),0))&amp;REPT("○",IFERROR(INDEX($V$42:$V$69,MATCH(tblCharDataEinar[[#This Row],[Field]],$E$42:$E$69,0)),0))&amp;IF(IFERROR(INDEX($W$42:$W$69,MATCH(tblCharDataEinar[[#This Row],[Field]],$E$42:$E$69,0)),0)=1,"†","")</f>
        <v>●</v>
      </c>
      <c r="Y34" s="15" t="s">
        <v>1458</v>
      </c>
      <c r="Z34" s="61" t="str">
        <f>IFERROR(VLOOKUP(AA34,tblManoeuvre[],2,FALSE),"")</f>
        <v/>
      </c>
      <c r="AA34" s="61" t="str">
        <f t="shared" si="3"/>
        <v/>
      </c>
      <c r="AI34" s="15" t="s">
        <v>242</v>
      </c>
      <c r="AJ34" s="61">
        <f t="shared" si="1"/>
        <v>0</v>
      </c>
      <c r="AK34" s="61">
        <f>AJ34</f>
        <v>0</v>
      </c>
    </row>
    <row r="35" spans="1:37">
      <c r="A35" s="1" t="s">
        <v>34</v>
      </c>
      <c r="B35" t="str">
        <f>REPT("●",IFERROR(INDEX($P$42:$P$69,MATCH(tblCharDataEinar[[#This Row],[Field]],$E$42:$E$69,0)),0))&amp;REPT("○",IFERROR(INDEX($V$42:$V$69,MATCH(tblCharDataEinar[[#This Row],[Field]],$E$42:$E$69,0)),0))&amp;IF(IFERROR(INDEX($W$42:$W$69,MATCH(tblCharDataEinar[[#This Row],[Field]],$E$42:$E$69,0)),0)=1,"†","")</f>
        <v>●●●●●</v>
      </c>
      <c r="D35" s="16" t="s">
        <v>1459</v>
      </c>
      <c r="E35" s="17"/>
      <c r="F35" s="17"/>
      <c r="G35" s="17" t="s">
        <v>1445</v>
      </c>
      <c r="H35" s="16" t="s">
        <v>1446</v>
      </c>
      <c r="I35" s="3" t="s">
        <v>1566</v>
      </c>
      <c r="L35" s="60">
        <f>IF(I35="",0,VLOOKUP(I35,tblPriority[#Data],2,FALSE))-SUM(L36:L38)</f>
        <v>0</v>
      </c>
      <c r="Y35" s="15" t="s">
        <v>1460</v>
      </c>
      <c r="Z35" s="61" t="str">
        <f>IFERROR(VLOOKUP(AA35,tblManoeuvre[],2,FALSE),"")</f>
        <v/>
      </c>
      <c r="AA35" s="61" t="str">
        <f t="shared" si="3"/>
        <v/>
      </c>
      <c r="AI35" s="15" t="s">
        <v>30</v>
      </c>
      <c r="AJ35" s="61">
        <f t="shared" si="1"/>
        <v>0</v>
      </c>
      <c r="AK35" s="61">
        <f>IF(AJ35=0,IF(COUNTIF($E$42:$E$49,AI35)&gt;0,-3,-1),AJ35)</f>
        <v>-3</v>
      </c>
    </row>
    <row r="36" spans="1:37">
      <c r="A36" s="1" t="s">
        <v>35</v>
      </c>
      <c r="B36" t="str">
        <f>REPT("●",IFERROR(INDEX($P$42:$P$69,MATCH(tblCharDataEinar[[#This Row],[Field]],$E$42:$E$69,0)),0))&amp;REPT("○",IFERROR(INDEX($V$42:$V$69,MATCH(tblCharDataEinar[[#This Row],[Field]],$E$42:$E$69,0)),0))&amp;IF(IFERROR(INDEX($W$42:$W$69,MATCH(tblCharDataEinar[[#This Row],[Field]],$E$42:$E$69,0)),0)=1,"†","")</f>
        <v/>
      </c>
      <c r="D36" s="18"/>
      <c r="E36" s="15" t="s">
        <v>22</v>
      </c>
      <c r="F36" s="18"/>
      <c r="G36" s="3"/>
      <c r="H36" s="18"/>
      <c r="I36" s="18"/>
      <c r="L36" s="3"/>
      <c r="M36" s="60">
        <f>IF(E36=$F$24,2,1)</f>
        <v>2</v>
      </c>
      <c r="N36" s="3"/>
      <c r="O36" s="61">
        <f>ROUNDDOWN(N36/4,0)</f>
        <v>0</v>
      </c>
      <c r="P36" s="60">
        <f>MIN(SUM(L36,M36,O36),R36)</f>
        <v>2</v>
      </c>
      <c r="R36" s="61">
        <v>5</v>
      </c>
      <c r="U36" s="4"/>
      <c r="V36" s="61">
        <f>U36</f>
        <v>0</v>
      </c>
      <c r="Y36" s="15" t="s">
        <v>1461</v>
      </c>
      <c r="Z36" s="61" t="str">
        <f>IFERROR(VLOOKUP(AA36,tblManoeuvre[],2,FALSE),"")</f>
        <v/>
      </c>
      <c r="AA36" s="61" t="str">
        <f t="shared" si="3"/>
        <v/>
      </c>
      <c r="AI36" s="15" t="s">
        <v>45</v>
      </c>
      <c r="AJ36" s="61">
        <f t="shared" si="1"/>
        <v>1</v>
      </c>
      <c r="AK36" s="61">
        <f>IF(AJ36=0,IF(COUNTIF($E$42:$E$49,AI36)&gt;0,-3,-1),AJ36)</f>
        <v>1</v>
      </c>
    </row>
    <row r="37" spans="1:37">
      <c r="A37" s="1" t="s">
        <v>36</v>
      </c>
      <c r="B37" t="str">
        <f>REPT("●",IFERROR(INDEX($P$42:$P$69,MATCH(tblCharDataEinar[[#This Row],[Field]],$E$42:$E$69,0)),0))&amp;REPT("○",IFERROR(INDEX($V$42:$V$69,MATCH(tblCharDataEinar[[#This Row],[Field]],$E$42:$E$69,0)),0))&amp;IF(IFERROR(INDEX($W$42:$W$69,MATCH(tblCharDataEinar[[#This Row],[Field]],$E$42:$E$69,0)),0)=1,"†","")</f>
        <v/>
      </c>
      <c r="D37" s="18"/>
      <c r="E37" s="15" t="s">
        <v>23</v>
      </c>
      <c r="F37" s="18"/>
      <c r="G37" s="3"/>
      <c r="H37" s="18"/>
      <c r="I37" s="18"/>
      <c r="L37" s="3">
        <v>1</v>
      </c>
      <c r="M37" s="60">
        <f>IF(E37=$F$24,2,1)</f>
        <v>1</v>
      </c>
      <c r="N37" s="3"/>
      <c r="O37" s="61">
        <f>ROUNDDOWN(N37/4,0)</f>
        <v>0</v>
      </c>
      <c r="P37" s="60">
        <f>MIN(SUM(L37,M37,O37),R37)</f>
        <v>2</v>
      </c>
      <c r="R37" s="61">
        <v>5</v>
      </c>
      <c r="U37" s="4"/>
      <c r="V37" s="61">
        <f>U37</f>
        <v>0</v>
      </c>
      <c r="Y37" s="15" t="s">
        <v>1462</v>
      </c>
      <c r="Z37" s="61" t="str">
        <f>IFERROR(VLOOKUP(AA37,tblManoeuvre[],2,FALSE),"")</f>
        <v/>
      </c>
      <c r="AA37" s="61" t="str">
        <f t="shared" si="3"/>
        <v/>
      </c>
      <c r="AI37" s="15" t="s">
        <v>31</v>
      </c>
      <c r="AJ37" s="61">
        <f t="shared" si="1"/>
        <v>0</v>
      </c>
      <c r="AK37" s="61">
        <f>IF(AJ37=0,IF(COUNTIF($E$42:$E$49,AI37)&gt;0,-3,-1),AJ37)</f>
        <v>-3</v>
      </c>
    </row>
    <row r="38" spans="1:37">
      <c r="A38" s="1" t="s">
        <v>37</v>
      </c>
      <c r="B38" t="str">
        <f>REPT("●",IFERROR(INDEX($P$42:$P$69,MATCH(tblCharDataEinar[[#This Row],[Field]],$E$42:$E$69,0)),0))&amp;REPT("○",IFERROR(INDEX($V$42:$V$69,MATCH(tblCharDataEinar[[#This Row],[Field]],$E$42:$E$69,0)),0))&amp;IF(IFERROR(INDEX($W$42:$W$69,MATCH(tblCharDataEinar[[#This Row],[Field]],$E$42:$E$69,0)),0)=1,"†","")</f>
        <v/>
      </c>
      <c r="D38" s="18"/>
      <c r="E38" s="15" t="s">
        <v>24</v>
      </c>
      <c r="F38" s="18"/>
      <c r="G38" s="3"/>
      <c r="H38" s="18"/>
      <c r="I38" s="18"/>
      <c r="L38" s="3">
        <v>2</v>
      </c>
      <c r="M38" s="60">
        <f>IF(E38=$F$24,2,1)</f>
        <v>1</v>
      </c>
      <c r="N38" s="3"/>
      <c r="O38" s="61">
        <f>ROUNDDOWN(N38/4,0)</f>
        <v>0</v>
      </c>
      <c r="P38" s="60">
        <f>MIN(SUM(L38,M38,O38),R38)</f>
        <v>3</v>
      </c>
      <c r="R38" s="61">
        <v>5</v>
      </c>
      <c r="U38" s="4"/>
      <c r="V38" s="61">
        <f>U38</f>
        <v>0</v>
      </c>
      <c r="Y38" s="15" t="s">
        <v>1463</v>
      </c>
      <c r="Z38" s="61" t="str">
        <f>IFERROR(VLOOKUP(AA38,tblManoeuvre[],2,FALSE),"")</f>
        <v/>
      </c>
      <c r="AA38" s="61" t="str">
        <f t="shared" si="3"/>
        <v/>
      </c>
      <c r="AI38" s="15" t="s">
        <v>22</v>
      </c>
      <c r="AJ38" s="61">
        <f t="shared" si="1"/>
        <v>2</v>
      </c>
      <c r="AK38" s="61">
        <f>AJ38+IFERROR(INDEX($V$26:$V$38,MATCH(AI38,$E$26:$E$38,0)),0)</f>
        <v>2</v>
      </c>
    </row>
    <row r="39" spans="1:37">
      <c r="A39" s="1" t="s">
        <v>38</v>
      </c>
      <c r="B39" t="str">
        <f>REPT("●",IFERROR(INDEX($P$42:$P$69,MATCH(tblCharDataEinar[[#This Row],[Field]],$E$42:$E$69,0)),0))&amp;REPT("○",IFERROR(INDEX($V$42:$V$69,MATCH(tblCharDataEinar[[#This Row],[Field]],$E$42:$E$69,0)),0))&amp;IF(IFERROR(INDEX($W$42:$W$69,MATCH(tblCharDataEinar[[#This Row],[Field]],$E$42:$E$69,0)),0)=1,"†","")</f>
        <v>●</v>
      </c>
      <c r="Y39" s="15" t="s">
        <v>1464</v>
      </c>
      <c r="Z39" s="61" t="str">
        <f>IFERROR(VLOOKUP(AA39,tblManoeuvre[],2,FALSE),"")</f>
        <v/>
      </c>
      <c r="AA39" s="61" t="str">
        <f t="shared" si="3"/>
        <v/>
      </c>
      <c r="AI39" s="15" t="s">
        <v>243</v>
      </c>
      <c r="AJ39" s="61">
        <f t="shared" si="1"/>
        <v>4</v>
      </c>
      <c r="AK39" s="61">
        <f>AJ39</f>
        <v>4</v>
      </c>
    </row>
    <row r="40" spans="1:37" ht="15.75" thickBot="1">
      <c r="A40" s="1" t="s">
        <v>39</v>
      </c>
      <c r="B40" t="str">
        <f>REPT("●",IFERROR(INDEX($P$42:$P$69,MATCH(tblCharDataEinar[[#This Row],[Field]],$E$42:$E$69,0)),0))&amp;REPT("○",IFERROR(INDEX($V$42:$V$69,MATCH(tblCharDataEinar[[#This Row],[Field]],$E$42:$E$69,0)),0))&amp;IF(IFERROR(INDEX($W$42:$W$69,MATCH(tblCharDataEinar[[#This Row],[Field]],$E$42:$E$69,0)),0)=1,"†","")</f>
        <v/>
      </c>
      <c r="D40" s="14" t="s">
        <v>1465</v>
      </c>
      <c r="E40" s="14"/>
      <c r="F40" s="14"/>
      <c r="G40" s="14"/>
      <c r="H40" s="14"/>
      <c r="I40" s="14"/>
      <c r="N40" s="60">
        <f>SUM(N42:N49,N52:N59,N62:N69)</f>
        <v>0</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1"/>
        <v>0</v>
      </c>
      <c r="AK40" s="61">
        <f>AJ40</f>
        <v>0</v>
      </c>
    </row>
    <row r="41" spans="1:37">
      <c r="A41" s="1" t="s">
        <v>40</v>
      </c>
      <c r="B41" t="str">
        <f>REPT("●",IFERROR(INDEX($P$42:$P$69,MATCH(tblCharDataEinar[[#This Row],[Field]],$E$42:$E$69,0)),0))&amp;REPT("○",IFERROR(INDEX($V$42:$V$69,MATCH(tblCharDataEinar[[#This Row],[Field]],$E$42:$E$69,0)),0))&amp;IF(IFERROR(INDEX($W$42:$W$69,MATCH(tblCharDataEinar[[#This Row],[Field]],$E$42:$E$69,0)),0)=1,"†","")</f>
        <v/>
      </c>
      <c r="D41" s="16" t="s">
        <v>1444</v>
      </c>
      <c r="E41" s="17"/>
      <c r="F41" s="17"/>
      <c r="G41" s="17" t="s">
        <v>1467</v>
      </c>
      <c r="H41" s="16" t="s">
        <v>1446</v>
      </c>
      <c r="I41" s="3" t="s">
        <v>1566</v>
      </c>
      <c r="L41" s="60">
        <f>IF(I41="",0,VLOOKUP(I41,tblPriority[#Data],3,FALSE))-SUM(L42:L49)</f>
        <v>0</v>
      </c>
      <c r="T41" s="60">
        <f>MAX(3+IF(P161&gt;=3,2,0)-SUM(T42:T49,T52:T59,T62:T69),0)</f>
        <v>0</v>
      </c>
      <c r="Y41" s="15" t="s">
        <v>1468</v>
      </c>
      <c r="Z41" s="61" t="str">
        <f>IFERROR(VLOOKUP(AA41,tblManoeuvre[],2,FALSE),"")</f>
        <v/>
      </c>
      <c r="AA41" s="61" t="str">
        <f t="shared" si="3"/>
        <v/>
      </c>
      <c r="AI41" s="15" t="s">
        <v>244</v>
      </c>
      <c r="AJ41" s="61">
        <f t="shared" si="1"/>
        <v>1</v>
      </c>
      <c r="AK41" s="61">
        <f>AJ41</f>
        <v>1</v>
      </c>
    </row>
    <row r="42" spans="1:37">
      <c r="A42" s="1" t="s">
        <v>41</v>
      </c>
      <c r="B42" t="str">
        <f>REPT("●",IFERROR(INDEX($P$42:$P$69,MATCH(tblCharDataEinar[[#This Row],[Field]],$E$42:$E$69,0)),0))&amp;REPT("○",IFERROR(INDEX($V$42:$V$69,MATCH(tblCharDataEinar[[#This Row],[Field]],$E$42:$E$69,0)),0))&amp;IF(IFERROR(INDEX($W$42:$W$69,MATCH(tblCharDataEinar[[#This Row],[Field]],$E$42:$E$69,0)),0)=1,"†","")</f>
        <v/>
      </c>
      <c r="D42" s="18"/>
      <c r="E42" s="15" t="s">
        <v>25</v>
      </c>
      <c r="F42" s="18"/>
      <c r="G42" s="3"/>
      <c r="H42" s="18"/>
      <c r="I42" s="18"/>
      <c r="L42" s="4"/>
      <c r="M42" s="60"/>
      <c r="N42" s="4"/>
      <c r="O42" s="61">
        <f>ROUNDDOWN(N42/2,0)</f>
        <v>0</v>
      </c>
      <c r="P42" s="60">
        <f t="shared" ref="P42:P49" si="4">MIN(SUM(L42,M42,O42),R42)</f>
        <v>0</v>
      </c>
      <c r="R42" s="61">
        <v>5</v>
      </c>
      <c r="T42" s="4"/>
      <c r="U42" s="4"/>
      <c r="V42" s="61">
        <f t="shared" ref="V42:V49" si="5">U42</f>
        <v>0</v>
      </c>
      <c r="W42" s="4"/>
      <c r="AI42" s="15" t="s">
        <v>18</v>
      </c>
      <c r="AJ42" s="61">
        <f t="shared" si="1"/>
        <v>3</v>
      </c>
      <c r="AK42" s="61">
        <f>AJ42+IFERROR(INDEX($V$26:$V$38,MATCH(AI42,$E$26:$E$38,0)),0)</f>
        <v>3</v>
      </c>
    </row>
    <row r="43" spans="1:37">
      <c r="A43" s="1" t="s">
        <v>42</v>
      </c>
      <c r="B43" t="str">
        <f>REPT("●",IFERROR(INDEX($P$42:$P$69,MATCH(tblCharDataEinar[[#This Row],[Field]],$E$42:$E$69,0)),0))&amp;REPT("○",IFERROR(INDEX($V$42:$V$69,MATCH(tblCharDataEinar[[#This Row],[Field]],$E$42:$E$69,0)),0))&amp;IF(IFERROR(INDEX($W$42:$W$69,MATCH(tblCharDataEinar[[#This Row],[Field]],$E$42:$E$69,0)),0)=1,"†","")</f>
        <v>●</v>
      </c>
      <c r="D43" s="18"/>
      <c r="E43" s="15" t="s">
        <v>26</v>
      </c>
      <c r="F43" s="18"/>
      <c r="G43" s="3"/>
      <c r="H43" s="18"/>
      <c r="I43" s="18"/>
      <c r="L43" s="4"/>
      <c r="M43" s="60"/>
      <c r="N43" s="4"/>
      <c r="O43" s="61">
        <f t="shared" ref="O43:O49" si="6">ROUNDDOWN(N43/2,0)</f>
        <v>0</v>
      </c>
      <c r="P43" s="60">
        <f t="shared" si="4"/>
        <v>0</v>
      </c>
      <c r="R43" s="61">
        <v>5</v>
      </c>
      <c r="T43" s="4"/>
      <c r="U43" s="4"/>
      <c r="V43" s="61">
        <f t="shared" si="5"/>
        <v>0</v>
      </c>
      <c r="W43" s="4"/>
      <c r="AI43" s="15" t="s">
        <v>32</v>
      </c>
      <c r="AJ43" s="61">
        <f t="shared" si="1"/>
        <v>0</v>
      </c>
      <c r="AK43" s="61">
        <f>IF(AJ43=0,IF(COUNTIF($E$42:$E$49,AI43)&gt;0,-3,-1),AJ43)</f>
        <v>-3</v>
      </c>
    </row>
    <row r="44" spans="1:37">
      <c r="A44" s="1" t="s">
        <v>43</v>
      </c>
      <c r="B44" t="str">
        <f>REPT("●",IFERROR(INDEX($P$42:$P$69,MATCH(tblCharDataEinar[[#This Row],[Field]],$E$42:$E$69,0)),0))&amp;REPT("○",IFERROR(INDEX($V$42:$V$69,MATCH(tblCharDataEinar[[#This Row],[Field]],$E$42:$E$69,0)),0))&amp;IF(IFERROR(INDEX($W$42:$W$69,MATCH(tblCharDataEinar[[#This Row],[Field]],$E$42:$E$69,0)),0)=1,"†","")</f>
        <v>●●●</v>
      </c>
      <c r="D44" s="18"/>
      <c r="E44" s="15" t="s">
        <v>27</v>
      </c>
      <c r="F44" s="18"/>
      <c r="G44" s="3" t="s">
        <v>880</v>
      </c>
      <c r="H44" s="18"/>
      <c r="I44" s="18"/>
      <c r="L44" s="4">
        <v>1</v>
      </c>
      <c r="M44" s="60"/>
      <c r="N44" s="4"/>
      <c r="O44" s="61">
        <f t="shared" si="6"/>
        <v>0</v>
      </c>
      <c r="P44" s="60">
        <f t="shared" si="4"/>
        <v>1</v>
      </c>
      <c r="R44" s="61">
        <v>5</v>
      </c>
      <c r="T44" s="4">
        <v>1</v>
      </c>
      <c r="U44" s="4"/>
      <c r="V44" s="61">
        <f t="shared" si="5"/>
        <v>0</v>
      </c>
      <c r="W44" s="4"/>
      <c r="Y44" s="15">
        <v>1</v>
      </c>
      <c r="Z44" s="61" t="s">
        <v>236</v>
      </c>
      <c r="AA44" s="60" t="str" cm="1">
        <f t="array" ref="AA44">IF(OR(Y44=0,Y44=""),"",IF(VLOOKUP(Z44,$AI$1:$AJ$58,2,FALSE)&gt;=Y44,INDEX(tblDisciplines[Name],MATCH(1,(tblDisciplines[Discipline]=Z44)*(tblDisciplines[Rank]=Y44),0)),""))</f>
        <v/>
      </c>
      <c r="AC44" s="60" t="str" cm="1">
        <f t="array" ref="AC44:AC52">IFERROR(_xlfn.VSTACK(IFERROR(_xlfn._xlws.FILTER(AA44:AA121,AA44:AA121&lt;&gt;""),""),IFERROR(_xlfn._xlws.SORT(_xlfn._xlws.FILTER(AA123:AA132,AA123:AA132&lt;&gt;"")),"")),"")</f>
        <v>Mesmerise</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Dominate ● | Mesmerise</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 -3 in combat unless Blinded  •  Pool: 7  v Resolve + BP  •  Instant  •  Instant</v>
      </c>
      <c r="AF44" s="20" t="str">
        <f>IF(AC44="","",IFERROR(VLOOKUP(AC44,tblDisciplines[],12,FALSE),VLOOKUP(AC44,tblPacts[],5,FALSE)))</f>
        <v>Impose Mesmerised Condition. Control with short commands.</v>
      </c>
      <c r="AI44" s="15" t="s">
        <v>353</v>
      </c>
      <c r="AJ44" s="61">
        <f t="shared" si="1"/>
        <v>5</v>
      </c>
      <c r="AK44" s="61">
        <f>AJ44</f>
        <v>5</v>
      </c>
    </row>
    <row r="45" spans="1:37">
      <c r="A45" s="1" t="s">
        <v>44</v>
      </c>
      <c r="B45" t="str">
        <f>REPT("●",IFERROR(INDEX($P$42:$P$69,MATCH(tblCharDataEinar[[#This Row],[Field]],$E$42:$E$69,0)),0))&amp;REPT("○",IFERROR(INDEX($V$42:$V$69,MATCH(tblCharDataEinar[[#This Row],[Field]],$E$42:$E$69,0)),0))&amp;IF(IFERROR(INDEX($W$42:$W$69,MATCH(tblCharDataEinar[[#This Row],[Field]],$E$42:$E$69,0)),0)=1,"†","")</f>
        <v>●●●</v>
      </c>
      <c r="D45" s="18"/>
      <c r="E45" s="15" t="s">
        <v>28</v>
      </c>
      <c r="F45" s="18"/>
      <c r="G45" s="3"/>
      <c r="H45" s="18"/>
      <c r="I45" s="18"/>
      <c r="L45" s="4">
        <v>3</v>
      </c>
      <c r="M45" s="60"/>
      <c r="N45" s="4"/>
      <c r="O45" s="61">
        <f t="shared" si="6"/>
        <v>0</v>
      </c>
      <c r="P45" s="60">
        <f t="shared" si="4"/>
        <v>3</v>
      </c>
      <c r="R45" s="61">
        <v>5</v>
      </c>
      <c r="T45" s="4"/>
      <c r="U45" s="4"/>
      <c r="V45" s="61">
        <f t="shared" si="5"/>
        <v>0</v>
      </c>
      <c r="W45" s="4"/>
      <c r="Y45" s="15">
        <v>2</v>
      </c>
      <c r="Z45" s="61" t="s">
        <v>236</v>
      </c>
      <c r="AA45" s="60" t="str" cm="1">
        <f t="array" ref="AA45">IF(OR(Y45=0,Y45=""),"",IF(VLOOKUP(Z45,$AI$1:$AJ$58,2,FALSE)&gt;=Y45,INDEX(tblDisciplines[Name],MATCH(1,(tblDisciplines[Discipline]=Z45)*(tblDisciplines[Rank]=Y45),0)),""))</f>
        <v/>
      </c>
      <c r="AC45" s="60" t="str">
        <v>Unmarked Grave</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Protean ● | Unmarked Grave</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Varies  •  Pool: -  •  Instant  •  Indefinite</v>
      </c>
      <c r="AF45" s="20" t="str">
        <f>IF(AC45="","",IFERROR(VLOOKUP(AC45,tblDisciplines[],12,FALSE),VLOOKUP(AC45,tblPacts[],5,FALSE)))</f>
        <v>Merge with soil.</v>
      </c>
      <c r="AI45" s="15" t="s">
        <v>46</v>
      </c>
      <c r="AJ45" s="61">
        <f t="shared" si="1"/>
        <v>0</v>
      </c>
      <c r="AK45" s="61">
        <f>IF(AJ45=0,IF(COUNTIF($E$42:$E$49,AI45)&gt;0,-3,-1),AJ45)</f>
        <v>-1</v>
      </c>
    </row>
    <row r="46" spans="1:37">
      <c r="A46" s="1" t="s">
        <v>45</v>
      </c>
      <c r="B46" t="str">
        <f>REPT("●",IFERROR(INDEX($P$42:$P$69,MATCH(tblCharDataEinar[[#This Row],[Field]],$E$42:$E$69,0)),0))&amp;REPT("○",IFERROR(INDEX($V$42:$V$69,MATCH(tblCharDataEinar[[#This Row],[Field]],$E$42:$E$69,0)),0))&amp;IF(IFERROR(INDEX($W$42:$W$69,MATCH(tblCharDataEinar[[#This Row],[Field]],$E$42:$E$69,0)),0)=1,"†","")</f>
        <v>●</v>
      </c>
      <c r="D46" s="18"/>
      <c r="E46" s="15" t="s">
        <v>29</v>
      </c>
      <c r="F46" s="18"/>
      <c r="G46" s="3"/>
      <c r="H46" s="18"/>
      <c r="I46" s="18"/>
      <c r="L46" s="4"/>
      <c r="M46" s="60"/>
      <c r="N46" s="4"/>
      <c r="O46" s="61">
        <f t="shared" si="6"/>
        <v>0</v>
      </c>
      <c r="P46" s="60">
        <f t="shared" si="4"/>
        <v>0</v>
      </c>
      <c r="R46" s="61">
        <v>5</v>
      </c>
      <c r="T46" s="4"/>
      <c r="U46" s="4"/>
      <c r="V46" s="61">
        <f t="shared" si="5"/>
        <v>0</v>
      </c>
      <c r="W46" s="4"/>
      <c r="Y46" s="15">
        <v>3</v>
      </c>
      <c r="Z46" s="61" t="s">
        <v>236</v>
      </c>
      <c r="AA46" s="60" t="str" cm="1">
        <f t="array" ref="AA46">IF(OR(Y46=0,Y46=""),"",IF(VLOOKUP(Z46,$AI$1:$AJ$58,2,FALSE)&gt;=Y46,INDEX(tblDisciplines[Name],MATCH(1,(tblDisciplines[Discipline]=Z46)*(tblDisciplines[Rank]=Y46),0)),""))</f>
        <v/>
      </c>
      <c r="AC46" s="60" t="str">
        <v>Predatory Aspect</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Protean ●● | Predatory Aspect</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1 V  •  Pool: -  •  Instant  •  Scene</v>
      </c>
      <c r="AF46" s="20" t="str">
        <f>IF(AC46="","",IFERROR(VLOOKUP(AC46,tblDisciplines[],12,FALSE),VLOOKUP(AC46,tblPacts[],5,FALSE)))</f>
        <v>Take on animal traits.</v>
      </c>
      <c r="AI46" s="15" t="s">
        <v>354</v>
      </c>
      <c r="AJ46" s="61">
        <f t="shared" ca="1" si="1"/>
        <v>12</v>
      </c>
      <c r="AK46" s="61">
        <f ca="1">AJ46</f>
        <v>12</v>
      </c>
    </row>
    <row r="47" spans="1:37">
      <c r="A47" s="1" t="s">
        <v>46</v>
      </c>
      <c r="B47" t="str">
        <f>REPT("●",IFERROR(INDEX($P$42:$P$69,MATCH(tblCharDataEinar[[#This Row],[Field]],$E$42:$E$69,0)),0))&amp;REPT("○",IFERROR(INDEX($V$42:$V$69,MATCH(tblCharDataEinar[[#This Row],[Field]],$E$42:$E$69,0)),0))&amp;IF(IFERROR(INDEX($W$42:$W$69,MATCH(tblCharDataEinar[[#This Row],[Field]],$E$42:$E$69,0)),0)=1,"†","")</f>
        <v/>
      </c>
      <c r="D47" s="18"/>
      <c r="E47" s="15" t="s">
        <v>30</v>
      </c>
      <c r="F47" s="18"/>
      <c r="G47" s="3"/>
      <c r="H47" s="18"/>
      <c r="I47" s="18"/>
      <c r="L47" s="4"/>
      <c r="M47" s="60"/>
      <c r="N47" s="4"/>
      <c r="O47" s="61">
        <f t="shared" si="6"/>
        <v>0</v>
      </c>
      <c r="P47" s="60">
        <f t="shared" si="4"/>
        <v>0</v>
      </c>
      <c r="R47" s="61">
        <v>5</v>
      </c>
      <c r="T47" s="4"/>
      <c r="U47" s="4"/>
      <c r="V47" s="61">
        <f t="shared" si="5"/>
        <v>0</v>
      </c>
      <c r="W47" s="4"/>
      <c r="Y47" s="15">
        <v>4</v>
      </c>
      <c r="Z47" s="61" t="s">
        <v>236</v>
      </c>
      <c r="AA47" s="60" t="str" cm="1">
        <f t="array" ref="AA47">IF(OR(Y47=0,Y47=""),"",IF(VLOOKUP(Z47,$AI$1:$AJ$58,2,FALSE)&gt;=Y47,INDEX(tblDisciplines[Name],MATCH(1,(tblDisciplines[Discipline]=Z47)*(tblDisciplines[Rank]=Y47),0)),""))</f>
        <v/>
      </c>
      <c r="AC47" s="60" t="str">
        <v>Beast's Skin</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Protean ●●● | Beast's Skin</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Cost: 2 V  •  Pool: -  •  Instant  •  Indefinite</v>
      </c>
      <c r="AF47" s="20" t="str">
        <f>IF(AC47="","",IFERROR(VLOOKUP(AC47,tblDisciplines[],12,FALSE),VLOOKUP(AC47,tblPacts[],5,FALSE)))</f>
        <v>Transform into predatory animal.</v>
      </c>
      <c r="AI47" s="15" t="s">
        <v>21</v>
      </c>
      <c r="AJ47" s="61">
        <f t="shared" si="1"/>
        <v>2</v>
      </c>
      <c r="AK47" s="61">
        <f>AJ47+IFERROR(INDEX($V$26:$V$38,MATCH(AI47,$E$26:$E$38,0)),0)</f>
        <v>3</v>
      </c>
    </row>
    <row r="48" spans="1:37">
      <c r="A48" s="1" t="s">
        <v>47</v>
      </c>
      <c r="B48" t="str">
        <f>REPT("●",IFERROR(INDEX($P$42:$P$69,MATCH(tblCharDataEinar[[#This Row],[Field]],$E$42:$E$69,0)),0))&amp;REPT("○",IFERROR(INDEX($V$42:$V$69,MATCH(tblCharDataEinar[[#This Row],[Field]],$E$42:$E$69,0)),0))&amp;IF(IFERROR(INDEX($W$42:$W$69,MATCH(tblCharDataEinar[[#This Row],[Field]],$E$42:$E$69,0)),0)=1,"†","")</f>
        <v>●●</v>
      </c>
      <c r="D48" s="18"/>
      <c r="E48" s="15" t="s">
        <v>31</v>
      </c>
      <c r="F48" s="18"/>
      <c r="G48" s="3"/>
      <c r="H48" s="18"/>
      <c r="I48" s="18"/>
      <c r="L48" s="4"/>
      <c r="M48" s="60"/>
      <c r="N48" s="4"/>
      <c r="O48" s="61">
        <f t="shared" si="6"/>
        <v>0</v>
      </c>
      <c r="P48" s="60">
        <f t="shared" si="4"/>
        <v>0</v>
      </c>
      <c r="R48" s="61">
        <v>5</v>
      </c>
      <c r="T48" s="4"/>
      <c r="U48" s="4"/>
      <c r="V48" s="61">
        <f t="shared" si="5"/>
        <v>0</v>
      </c>
      <c r="W48" s="4"/>
      <c r="Y48" s="15">
        <v>5</v>
      </c>
      <c r="Z48" s="61" t="s">
        <v>236</v>
      </c>
      <c r="AA48" s="60" t="str" cm="1">
        <f t="array" ref="AA48">IF(OR(Y48=0,Y48=""),"",IF(VLOOKUP(Z48,$AI$1:$AJ$58,2,FALSE)&gt;=Y48,INDEX(tblDisciplines[Name],MATCH(1,(tblDisciplines[Discipline]=Z48)*(tblDisciplines[Rank]=Y48),0)),""))</f>
        <v/>
      </c>
      <c r="AC48" s="60" t="str">
        <v>Unnatural Aspect</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Protean ●●●● | Unnatural Aspect</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Cost: 1 V  •  Pool: -  •  None  •  Scene</v>
      </c>
      <c r="AF48" s="20" t="str">
        <f>IF(AC48="","",IFERROR(VLOOKUP(AC48,tblDisciplines[],12,FALSE),VLOOKUP(AC48,tblPacts[],5,FALSE)))</f>
        <v>Take on a horrific trait. Barbed Hands damage is not lethal to vampires.</v>
      </c>
      <c r="AI48" s="15" t="s">
        <v>38</v>
      </c>
      <c r="AJ48" s="61">
        <f t="shared" si="1"/>
        <v>1</v>
      </c>
      <c r="AK48" s="61">
        <f>IF(AJ48=0,IF(COUNTIF($E$42:$E$49,AI48)&gt;0,-3,-1),AJ48)</f>
        <v>1</v>
      </c>
    </row>
    <row r="49" spans="1:37">
      <c r="A49" s="1" t="s">
        <v>48</v>
      </c>
      <c r="B49" t="str">
        <f>REPT("●",IFERROR(INDEX($P$42:$P$69,MATCH(tblCharDataEinar[[#This Row],[Field]],$E$42:$E$69,0)),0))&amp;REPT("○",IFERROR(INDEX($V$42:$V$69,MATCH(tblCharDataEinar[[#This Row],[Field]],$E$42:$E$69,0)),0))&amp;IF(IFERROR(INDEX($W$42:$W$69,MATCH(tblCharDataEinar[[#This Row],[Field]],$E$42:$E$69,0)),0)=1,"†","")</f>
        <v>●</v>
      </c>
      <c r="D49" s="18"/>
      <c r="E49" s="15" t="s">
        <v>32</v>
      </c>
      <c r="F49" s="18"/>
      <c r="G49" s="3"/>
      <c r="H49" s="18"/>
      <c r="I49" s="18"/>
      <c r="L49" s="4"/>
      <c r="M49" s="60"/>
      <c r="N49" s="4"/>
      <c r="O49" s="61">
        <f t="shared" si="6"/>
        <v>0</v>
      </c>
      <c r="P49" s="60">
        <f t="shared" si="4"/>
        <v>0</v>
      </c>
      <c r="R49" s="61">
        <v>5</v>
      </c>
      <c r="T49" s="4"/>
      <c r="U49" s="4"/>
      <c r="V49" s="61">
        <f t="shared" si="5"/>
        <v>0</v>
      </c>
      <c r="W49" s="4"/>
      <c r="Y49" s="15">
        <v>1</v>
      </c>
      <c r="Z49" s="61" t="s">
        <v>237</v>
      </c>
      <c r="AA49" s="60" t="str" cm="1">
        <f t="array" ref="AA49">IF(OR(Y49=0,Y49=""),"",IF(VLOOKUP(Z49,$AI$1:$AJ$58,2,FALSE)&gt;=Y49,INDEX(tblDisciplines[Name],MATCH(1,(tblDisciplines[Discipline]=Z49)*(tblDisciplines[Rank]=Y49),0)),""))</f>
        <v/>
      </c>
      <c r="AC49" s="60" t="str">
        <v>Resilience 1</v>
      </c>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Resilience ●</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Cost: 1 V per effect  •  Pool: -  •  Reflexive  •  1 turn</v>
      </c>
      <c r="AF49" s="20" t="str">
        <f>IF(AC49="","",IFERROR(VLOOKUP(AC49,tblDisciplines[],12,FALSE),VLOOKUP(AC49,tblPacts[],5,FALSE)))</f>
        <v>Downgrade damage and increase Stamina. Improve Armour and Defences. Unnatural Fortitude: add Resilience dots as bonus dice to non-combat Stamina pools.</v>
      </c>
      <c r="AI49" s="15" t="s">
        <v>47</v>
      </c>
      <c r="AJ49" s="61">
        <f t="shared" si="1"/>
        <v>2</v>
      </c>
      <c r="AK49" s="61">
        <f>IF(AJ49=0,IF(COUNTIF($E$42:$E$49,AI49)&gt;0,-3,-1),AJ49)</f>
        <v>2</v>
      </c>
    </row>
    <row r="50" spans="1:37">
      <c r="A50" s="1" t="s">
        <v>49</v>
      </c>
      <c r="B50" t="str">
        <f ca="1">REPT("●",VLOOKUP(tblCharDataEinar[[#This Row],[Field]],INDIRECT($AH$1),2,FALSE)) &amp; REPT("○",10-VLOOKUP(tblCharDataEinar[[#This Row],[Field]],INDIRECT($AH$1),2,FALSE)) &amp; REPT("○",10-VLOOKUP(tblCharDataEinar[[#This Row],[Field]],INDIRECT($AH$1),2,FALSE))</f>
        <v>●●○○○○○○○○○○○○○○○○</v>
      </c>
      <c r="Y50" s="15">
        <v>2</v>
      </c>
      <c r="Z50" s="61" t="s">
        <v>237</v>
      </c>
      <c r="AA50" s="60" t="str" cm="1">
        <f t="array" ref="AA50">IF(OR(Y50=0,Y50=""),"",IF(VLOOKUP(Z50,$AI$1:$AJ$58,2,FALSE)&gt;=Y50,INDEX(tblDisciplines[Name],MATCH(1,(tblDisciplines[Discipline]=Z50)*(tblDisciplines[Rank]=Y50),0)),""))</f>
        <v/>
      </c>
      <c r="AC50" s="60" t="str">
        <v>Vigour 2</v>
      </c>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Vigour ●●</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Cost: 1 V per effect  •  Pool: -  •  Reflexive  •  1 turn</v>
      </c>
      <c r="AF50" s="20" t="str">
        <f>IF(AC50="","",IFERROR(VLOOKUP(AC50,tblDisciplines[],12,FALSE),VLOOKUP(AC50,tblPacts[],5,FALSE)))</f>
        <v>Improve Strength. Add Vigour dots as bonus successes only if at least one net success achieved.</v>
      </c>
      <c r="AI50" s="15" t="s">
        <v>19</v>
      </c>
      <c r="AJ50" s="61">
        <f t="shared" si="1"/>
        <v>3</v>
      </c>
      <c r="AK50" s="61">
        <f>AJ50+IFERROR(INDEX($V$26:$V$38,MATCH(AI50,$E$26:$E$38,0)),0)</f>
        <v>5</v>
      </c>
    </row>
    <row r="51" spans="1:37">
      <c r="A51" s="1" t="s">
        <v>50</v>
      </c>
      <c r="B51">
        <f>P72</f>
        <v>2</v>
      </c>
      <c r="D51" s="16" t="s">
        <v>1453</v>
      </c>
      <c r="E51" s="17"/>
      <c r="F51" s="17"/>
      <c r="G51" s="17" t="s">
        <v>1467</v>
      </c>
      <c r="H51" s="16" t="s">
        <v>1446</v>
      </c>
      <c r="I51" s="3" t="s">
        <v>1567</v>
      </c>
      <c r="L51" s="60">
        <f>IF(I51="",0,VLOOKUP(I51,tblPriority[#Data],3,FALSE))-SUM(L52:L59)</f>
        <v>0</v>
      </c>
      <c r="Y51" s="15">
        <v>3</v>
      </c>
      <c r="Z51" s="61" t="s">
        <v>237</v>
      </c>
      <c r="AA51" s="60" t="str" cm="1">
        <f t="array" ref="AA51">IF(OR(Y51=0,Y51=""),"",IF(VLOOKUP(Z51,$AI$1:$AJ$58,2,FALSE)&gt;=Y51,INDEX(tblDisciplines[Name],MATCH(1,(tblDisciplines[Discipline]=Z51)*(tblDisciplines[Rank]=Y51),0)),""))</f>
        <v/>
      </c>
      <c r="AC51" s="60" t="str">
        <v>Rime of Salt</v>
      </c>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Devotion  | Rime of Salt</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Cost: Free (Ratgrafen Only)  •  Pool: -  •  Reflexive  •  Permanent</v>
      </c>
      <c r="AF51" s="20" t="str">
        <f>IF(AC51="","",IFERROR(VLOOKUP(AC51,tblDisciplines[],12,FALSE),VLOOKUP(AC51,tblPacts[],5,FALSE)))</f>
        <v>Protean weapons imbued with ocean salt. Wounded targets suffer -2 on their next action.</v>
      </c>
      <c r="AI51" s="15" t="s">
        <v>48</v>
      </c>
      <c r="AJ51" s="61">
        <f t="shared" si="1"/>
        <v>1</v>
      </c>
      <c r="AK51" s="61">
        <f>IF(AJ51=0,IF(COUNTIF($E$42:$E$49,AI51)&gt;0,-3,-1),AJ51)</f>
        <v>1</v>
      </c>
    </row>
    <row r="52" spans="1:37">
      <c r="A52" s="1" t="s">
        <v>51</v>
      </c>
      <c r="B52" t="str">
        <f>_xlfn.IFNA(VLOOKUP(P72,tblBloodPotency[#Data],5,FALSE),"")</f>
        <v>†</v>
      </c>
      <c r="D52" s="18"/>
      <c r="E52" s="15" t="s">
        <v>33</v>
      </c>
      <c r="F52" s="18"/>
      <c r="G52" s="3"/>
      <c r="H52" s="18"/>
      <c r="I52" s="18"/>
      <c r="L52" s="4">
        <v>1</v>
      </c>
      <c r="M52" s="60"/>
      <c r="N52" s="4"/>
      <c r="O52" s="61">
        <f>ROUNDDOWN(N52/2,0)</f>
        <v>0</v>
      </c>
      <c r="P52" s="60">
        <f t="shared" ref="P52:P59" si="7">MIN(SUM(L52,M52,O52),R52)</f>
        <v>1</v>
      </c>
      <c r="R52" s="61">
        <v>5</v>
      </c>
      <c r="T52" s="4"/>
      <c r="U52" s="4"/>
      <c r="V52" s="61">
        <f t="shared" ref="V52:V59" si="8">U52</f>
        <v>0</v>
      </c>
      <c r="W52" s="4"/>
      <c r="Y52" s="15">
        <v>4</v>
      </c>
      <c r="Z52" s="61" t="s">
        <v>237</v>
      </c>
      <c r="AA52" s="60" t="str" cm="1">
        <f t="array" ref="AA52">IF(OR(Y52=0,Y52=""),"",IF(VLOOKUP(Z52,$AI$1:$AJ$58,2,FALSE)&gt;=Y52,INDEX(tblDisciplines[Name],MATCH(1,(tblDisciplines[Discipline]=Z52)*(tblDisciplines[Rank]=Y52),0)),""))</f>
        <v/>
      </c>
      <c r="AC52" s="60" t="str">
        <v/>
      </c>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
      </c>
      <c r="AF52" s="20" t="str">
        <f>IF(AC52="","",IFERROR(VLOOKUP(AC52,tblDisciplines[],12,FALSE),VLOOKUP(AC52,tblPacts[],5,FALSE)))</f>
        <v/>
      </c>
      <c r="AI52" s="15" t="s">
        <v>39</v>
      </c>
      <c r="AJ52" s="61">
        <f t="shared" si="1"/>
        <v>0</v>
      </c>
      <c r="AK52" s="61">
        <f>IF(AJ52=0,IF(COUNTIF($E$42:$E$49,AI52)&gt;0,-3,-1),AJ52)</f>
        <v>-1</v>
      </c>
    </row>
    <row r="53" spans="1:37">
      <c r="A53" s="1" t="s">
        <v>52</v>
      </c>
      <c r="B53" t="str">
        <f ca="1">REPT("□",P221) &amp; REPT("■",15-P221)</f>
        <v>□□□□□□□□■■■■■■■</v>
      </c>
      <c r="D53" s="18"/>
      <c r="E53" s="15" t="s">
        <v>34</v>
      </c>
      <c r="F53" s="18"/>
      <c r="G53" s="3" t="s">
        <v>881</v>
      </c>
      <c r="H53" s="18"/>
      <c r="I53" s="18"/>
      <c r="L53" s="4">
        <v>5</v>
      </c>
      <c r="M53" s="60"/>
      <c r="N53" s="4"/>
      <c r="O53" s="61">
        <f t="shared" ref="O53:O59" si="9">ROUNDDOWN(N53/2,0)</f>
        <v>0</v>
      </c>
      <c r="P53" s="60">
        <f t="shared" si="7"/>
        <v>5</v>
      </c>
      <c r="R53" s="61">
        <v>5</v>
      </c>
      <c r="T53" s="4">
        <v>1</v>
      </c>
      <c r="U53" s="4"/>
      <c r="V53" s="61">
        <f t="shared" si="8"/>
        <v>0</v>
      </c>
      <c r="W53" s="4"/>
      <c r="Y53" s="15">
        <v>5</v>
      </c>
      <c r="Z53" s="61" t="s">
        <v>237</v>
      </c>
      <c r="AA53" s="60" t="str" cm="1">
        <f t="array" ref="AA53">IF(OR(Y53=0,Y53=""),"",IF(VLOOKUP(Z53,$AI$1:$AJ$58,2,FALSE)&gt;=Y53,INDEX(tblDisciplines[Name],MATCH(1,(tblDisciplines[Discipline]=Z53)*(tblDisciplines[Rank]=Y53),0)),""))</f>
        <v/>
      </c>
      <c r="AC53" s="60"/>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
      </c>
      <c r="AF53" s="20" t="str">
        <f>IF(AC53="","",IFERROR(VLOOKUP(AC53,tblDisciplines[],12,FALSE),VLOOKUP(AC53,tblPacts[],5,FALSE)))</f>
        <v/>
      </c>
      <c r="AI53" s="15" t="s">
        <v>247</v>
      </c>
      <c r="AJ53" s="61">
        <f t="shared" si="1"/>
        <v>0</v>
      </c>
      <c r="AK53" s="61">
        <f>AJ53</f>
        <v>0</v>
      </c>
    </row>
    <row r="54" spans="1:37">
      <c r="A54" s="1" t="s">
        <v>53</v>
      </c>
      <c r="B54" t="str">
        <f>_xlfn.CONCAT(P74-L224," / ",P74)</f>
        <v>6 / 6</v>
      </c>
      <c r="D54" s="18"/>
      <c r="E54" s="15" t="s">
        <v>35</v>
      </c>
      <c r="F54" s="18"/>
      <c r="G54" s="3"/>
      <c r="H54" s="18"/>
      <c r="I54" s="18"/>
      <c r="L54" s="4"/>
      <c r="M54" s="60"/>
      <c r="N54" s="4"/>
      <c r="O54" s="61">
        <f t="shared" si="9"/>
        <v>0</v>
      </c>
      <c r="P54" s="60">
        <f t="shared" si="7"/>
        <v>0</v>
      </c>
      <c r="R54" s="61">
        <v>5</v>
      </c>
      <c r="T54" s="4"/>
      <c r="U54" s="4"/>
      <c r="V54" s="61">
        <f t="shared" si="8"/>
        <v>0</v>
      </c>
      <c r="W54" s="4"/>
      <c r="Y54" s="15">
        <f>P167</f>
        <v>0</v>
      </c>
      <c r="Z54" s="61" t="s">
        <v>238</v>
      </c>
      <c r="AA54" s="60" t="str" cm="1">
        <f t="array" ref="AA54">IF(OR(Y54=0,Y54=""),"",IF(VLOOKUP(Z54,$AI$1:$AJ$58,2,FALSE)&gt;=Y54,INDEX(tblDisciplines[Name],MATCH(1,(tblDisciplines[Discipline]=Z54)*(tblDisciplines[Rank]=Y54),0)),""))</f>
        <v/>
      </c>
      <c r="AC54" s="60"/>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
      </c>
      <c r="AF54" s="20" t="str">
        <f>IF(AC54="","",IFERROR(VLOOKUP(AC54,tblDisciplines[],12,FALSE),VLOOKUP(AC54,tblPacts[],5,FALSE)))</f>
        <v/>
      </c>
      <c r="AI54" s="15" t="s">
        <v>252</v>
      </c>
      <c r="AJ54" s="61">
        <f t="shared" si="1"/>
        <v>0</v>
      </c>
      <c r="AK54" s="61">
        <f>AJ54</f>
        <v>0</v>
      </c>
    </row>
    <row r="55" spans="1:37">
      <c r="A55" s="1" t="s">
        <v>54</v>
      </c>
      <c r="B55" t="str">
        <f>REPT("□",P74) &amp; REPT("■",10-P74)</f>
        <v>□□□□□□■■■■</v>
      </c>
      <c r="D55" s="18"/>
      <c r="E55" s="15" t="s">
        <v>36</v>
      </c>
      <c r="F55" s="18"/>
      <c r="G55" s="3"/>
      <c r="H55" s="18"/>
      <c r="I55" s="18"/>
      <c r="L55" s="4"/>
      <c r="M55" s="60"/>
      <c r="N55" s="4"/>
      <c r="O55" s="61">
        <f t="shared" si="9"/>
        <v>0</v>
      </c>
      <c r="P55" s="60">
        <f t="shared" si="7"/>
        <v>0</v>
      </c>
      <c r="R55" s="61">
        <v>5</v>
      </c>
      <c r="T55" s="4"/>
      <c r="U55" s="4"/>
      <c r="V55" s="61">
        <f t="shared" si="8"/>
        <v>0</v>
      </c>
      <c r="W55" s="4"/>
      <c r="Y55" s="15">
        <v>1</v>
      </c>
      <c r="Z55" s="61" t="s">
        <v>239</v>
      </c>
      <c r="AA55" s="60" t="str" cm="1">
        <f t="array" ref="AA55">IF(OR(Y55=0,Y55=""),"",IF(VLOOKUP(Z55,$AI$1:$AJ$58,2,FALSE)&gt;=Y55,INDEX(tblDisciplines[Name],MATCH(1,(tblDisciplines[Discipline]=Z55)*(tblDisciplines[Rank]=Y55),0)),""))</f>
        <v>Mesmerise</v>
      </c>
      <c r="AC55" s="60"/>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
      </c>
      <c r="AF55" s="20" t="str">
        <f>IF(AC55="","",IFERROR(VLOOKUP(AC55,tblDisciplines[],12,FALSE),VLOOKUP(AC55,tblPacts[],5,FALSE)))</f>
        <v/>
      </c>
      <c r="AI55" s="15" t="s">
        <v>245</v>
      </c>
      <c r="AJ55" s="61">
        <f t="shared" si="1"/>
        <v>2</v>
      </c>
      <c r="AK55" s="61">
        <f>AJ55+IFERROR(INDEX($V$26:$V$38,MATCH(AI55,$E$26:$E$38,0)),0)</f>
        <v>2</v>
      </c>
    </row>
    <row r="56" spans="1:37">
      <c r="A56" s="1" t="s">
        <v>55</v>
      </c>
      <c r="B56" t="str">
        <f ca="1">_xlfn.CONCAT(P75-L223," / ",P75)</f>
        <v>11 / 11</v>
      </c>
      <c r="D56" s="19"/>
      <c r="E56" s="15" t="s">
        <v>37</v>
      </c>
      <c r="F56" s="18"/>
      <c r="G56" s="3"/>
      <c r="H56" s="18"/>
      <c r="I56" s="18"/>
      <c r="L56" s="4"/>
      <c r="M56" s="60"/>
      <c r="N56" s="4"/>
      <c r="O56" s="61">
        <f t="shared" si="9"/>
        <v>0</v>
      </c>
      <c r="P56" s="60">
        <f t="shared" si="7"/>
        <v>0</v>
      </c>
      <c r="R56" s="61">
        <v>5</v>
      </c>
      <c r="T56" s="4"/>
      <c r="U56" s="4"/>
      <c r="V56" s="61">
        <f t="shared" si="8"/>
        <v>0</v>
      </c>
      <c r="W56" s="4"/>
      <c r="Y56" s="15">
        <v>2</v>
      </c>
      <c r="Z56" s="61" t="s">
        <v>239</v>
      </c>
      <c r="AA56" s="60" t="str" cm="1">
        <f t="array" ref="AA56">IF(OR(Y56=0,Y56=""),"",IF(VLOOKUP(Z56,$AI$1:$AJ$58,2,FALSE)&gt;=Y56,INDEX(tblDisciplines[Name],MATCH(1,(tblDisciplines[Discipline]=Z56)*(tblDisciplines[Rank]=Y56),0)),""))</f>
        <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1"/>
        <v>0</v>
      </c>
      <c r="AK56" s="61">
        <f>IF(AJ56=0,IF(COUNTIF($E$42:$E$49,AI56)&gt;0,-3,-1),AJ56)</f>
        <v>-1</v>
      </c>
    </row>
    <row r="57" spans="1:37">
      <c r="A57" s="1" t="s">
        <v>56</v>
      </c>
      <c r="B57" t="str">
        <f ca="1">REPT("□",P75-L223) &amp; REPT("■",20-P75+L223)</f>
        <v>□□□□□□□□□□□■■■■■■■■■</v>
      </c>
      <c r="D57" s="19"/>
      <c r="E57" s="15" t="s">
        <v>38</v>
      </c>
      <c r="F57" s="18"/>
      <c r="G57" s="3"/>
      <c r="H57" s="18"/>
      <c r="I57" s="18"/>
      <c r="L57" s="4">
        <v>1</v>
      </c>
      <c r="M57" s="60"/>
      <c r="N57" s="4"/>
      <c r="O57" s="61">
        <f t="shared" si="9"/>
        <v>0</v>
      </c>
      <c r="P57" s="60">
        <f t="shared" si="7"/>
        <v>1</v>
      </c>
      <c r="R57" s="61">
        <v>5</v>
      </c>
      <c r="T57" s="4"/>
      <c r="U57" s="4"/>
      <c r="V57" s="61">
        <f t="shared" si="8"/>
        <v>0</v>
      </c>
      <c r="W57" s="4"/>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1"/>
        <v>6</v>
      </c>
      <c r="AK57" s="61">
        <f>AJ57</f>
        <v>6</v>
      </c>
    </row>
    <row r="58" spans="1:37">
      <c r="A58" s="1" t="s">
        <v>57</v>
      </c>
      <c r="B58">
        <f ca="1">VLOOKUP(VLOOKUP("Blood Potency", INDIRECT($AH$1),2,FALSE),tblBloodPotency[#Data],3,FALSE)</f>
        <v>2</v>
      </c>
      <c r="D58" s="19"/>
      <c r="E58" s="15" t="s">
        <v>39</v>
      </c>
      <c r="F58" s="18"/>
      <c r="G58" s="3"/>
      <c r="H58" s="18"/>
      <c r="I58" s="18"/>
      <c r="L58" s="4"/>
      <c r="M58" s="60"/>
      <c r="N58" s="4"/>
      <c r="O58" s="61">
        <f t="shared" si="9"/>
        <v>0</v>
      </c>
      <c r="P58" s="60">
        <f t="shared" si="7"/>
        <v>0</v>
      </c>
      <c r="R58" s="61">
        <v>5</v>
      </c>
      <c r="T58" s="4"/>
      <c r="U58" s="4"/>
      <c r="V58" s="61">
        <f t="shared" si="8"/>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1"/>
        <v>2</v>
      </c>
      <c r="AK58" s="61">
        <f>AJ58+IFERROR(INDEX($V$26:$V$38,MATCH(AI58,$E$26:$E$38,0)),0)</f>
        <v>2</v>
      </c>
    </row>
    <row r="59" spans="1:37">
      <c r="A59" s="1" t="s">
        <v>58</v>
      </c>
      <c r="B59" t="str">
        <f ca="1">VLOOKUP(VLOOKUP("Blood Potency", INDIRECT($AH$1),2,FALSE),tblBloodPotency[#Data],4,FALSE)</f>
        <v>Animals</v>
      </c>
      <c r="D59" s="19"/>
      <c r="E59" s="15" t="s">
        <v>40</v>
      </c>
      <c r="F59" s="18"/>
      <c r="G59" s="3"/>
      <c r="H59" s="18"/>
      <c r="I59" s="18"/>
      <c r="L59" s="4"/>
      <c r="M59" s="60"/>
      <c r="N59" s="4"/>
      <c r="O59" s="61">
        <f t="shared" si="9"/>
        <v>0</v>
      </c>
      <c r="P59" s="60">
        <f t="shared" si="7"/>
        <v>0</v>
      </c>
      <c r="R59" s="61">
        <v>5</v>
      </c>
      <c r="T59" s="4"/>
      <c r="U59" s="4"/>
      <c r="V59" s="61">
        <f t="shared" si="8"/>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0">IFERROR(IF(VLOOKUP(SUBSTITUTE(A60," Spec",""),$E$42:$G$69,3,FALSE)=0,"",VLOOKUP(SUBSTITUTE(A60," Spec",""),$E$42:$G$69,3,FALSE)),"")</f>
        <v/>
      </c>
      <c r="Y60" s="15">
        <v>1</v>
      </c>
      <c r="Z60" s="61" t="s">
        <v>240</v>
      </c>
      <c r="AA60" s="60" t="str" cm="1">
        <f t="array" ref="AA60">IF(OR(Y60=0,Y60=""),"",IF(VLOOKUP(Z60,$AI$1:$AJ$58,2,FALSE)&gt;=Y60,INDEX(tblDisciplines[Name],MATCH(1,(tblDisciplines[Discipline]=Z60)*(tblDisciplines[Rank]=Y60),0)),""))</f>
        <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0"/>
        <v/>
      </c>
      <c r="D61" s="16" t="s">
        <v>1459</v>
      </c>
      <c r="E61" s="17"/>
      <c r="F61" s="17"/>
      <c r="G61" s="17" t="s">
        <v>1467</v>
      </c>
      <c r="H61" s="16" t="s">
        <v>1446</v>
      </c>
      <c r="I61" s="3" t="s">
        <v>1565</v>
      </c>
      <c r="L61" s="60">
        <f>IF(I61="",0,VLOOKUP(I61,tblPriority[#Data],3,FALSE))-SUM(L62:L69)</f>
        <v>0</v>
      </c>
      <c r="Y61" s="15">
        <v>2</v>
      </c>
      <c r="Z61" s="61" t="s">
        <v>240</v>
      </c>
      <c r="AA61" s="60" t="str" cm="1">
        <f t="array" ref="AA61">IF(OR(Y61=0,Y61=""),"",IF(VLOOKUP(Z61,$AI$1:$AJ$58,2,FALSE)&gt;=Y61,INDEX(tblDisciplines[Name],MATCH(1,(tblDisciplines[Discipline]=Z61)*(tblDisciplines[Rank]=Y61),0)),""))</f>
        <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0"/>
        <v>Carpentry</v>
      </c>
      <c r="D62" s="18"/>
      <c r="E62" s="15" t="s">
        <v>41</v>
      </c>
      <c r="F62" s="18"/>
      <c r="G62" s="3"/>
      <c r="H62" s="18"/>
      <c r="I62" s="18"/>
      <c r="L62" s="4"/>
      <c r="M62" s="60"/>
      <c r="N62" s="4"/>
      <c r="O62" s="61">
        <f>ROUNDDOWN(N62/2,0)</f>
        <v>0</v>
      </c>
      <c r="P62" s="60">
        <f t="shared" ref="P62:P69" si="11">MIN(SUM(L62,M62,O62),R62)</f>
        <v>0</v>
      </c>
      <c r="R62" s="61">
        <v>5</v>
      </c>
      <c r="T62" s="4"/>
      <c r="U62" s="4"/>
      <c r="V62" s="61">
        <f t="shared" ref="V62:V69" si="12">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0"/>
        <v/>
      </c>
      <c r="D63" s="19"/>
      <c r="E63" s="15" t="s">
        <v>42</v>
      </c>
      <c r="F63" s="18"/>
      <c r="G63" s="3"/>
      <c r="H63" s="18"/>
      <c r="I63" s="18"/>
      <c r="L63" s="4">
        <v>1</v>
      </c>
      <c r="M63" s="60"/>
      <c r="N63" s="4"/>
      <c r="O63" s="61">
        <f t="shared" ref="O63:O69" si="13">ROUNDDOWN(N63/2,0)</f>
        <v>0</v>
      </c>
      <c r="P63" s="60">
        <f t="shared" si="11"/>
        <v>1</v>
      </c>
      <c r="R63" s="61">
        <v>5</v>
      </c>
      <c r="T63" s="4"/>
      <c r="U63" s="4"/>
      <c r="V63" s="61">
        <f t="shared" si="12"/>
        <v>0</v>
      </c>
      <c r="W63" s="4"/>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0"/>
        <v/>
      </c>
      <c r="D64" s="19"/>
      <c r="E64" s="15" t="s">
        <v>43</v>
      </c>
      <c r="F64" s="18"/>
      <c r="G64" s="3"/>
      <c r="H64" s="18"/>
      <c r="I64" s="18"/>
      <c r="L64" s="4">
        <v>3</v>
      </c>
      <c r="M64" s="60"/>
      <c r="N64" s="4"/>
      <c r="O64" s="61">
        <f t="shared" si="13"/>
        <v>0</v>
      </c>
      <c r="P64" s="60">
        <f t="shared" si="11"/>
        <v>3</v>
      </c>
      <c r="R64" s="61">
        <v>5</v>
      </c>
      <c r="T64" s="4"/>
      <c r="U64" s="4"/>
      <c r="V64" s="61">
        <f t="shared" si="12"/>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0"/>
        <v/>
      </c>
      <c r="D65" s="19"/>
      <c r="E65" s="15" t="s">
        <v>44</v>
      </c>
      <c r="F65" s="18"/>
      <c r="G65" s="3" t="s">
        <v>882</v>
      </c>
      <c r="H65" s="18"/>
      <c r="I65" s="18"/>
      <c r="L65" s="4">
        <v>3</v>
      </c>
      <c r="M65" s="60"/>
      <c r="N65" s="4"/>
      <c r="O65" s="61">
        <f t="shared" si="13"/>
        <v>0</v>
      </c>
      <c r="P65" s="60">
        <f t="shared" si="11"/>
        <v>3</v>
      </c>
      <c r="R65" s="61">
        <v>5</v>
      </c>
      <c r="T65" s="4">
        <v>1</v>
      </c>
      <c r="U65" s="4"/>
      <c r="V65" s="61">
        <f t="shared" si="12"/>
        <v>0</v>
      </c>
      <c r="W65" s="4"/>
      <c r="Y65" s="15">
        <v>1</v>
      </c>
      <c r="Z65" s="61" t="s">
        <v>241</v>
      </c>
      <c r="AA65" s="60" t="str" cm="1">
        <f t="array" ref="AA65">IF(OR(Y65=0,Y65=""),"",IF(VLOOKUP(Z65,$AI$1:$AJ$58,2,FALSE)&gt;=Y65,INDEX(tblDisciplines[Name],MATCH(1,(tblDisciplines[Discipline]=Z65)*(tblDisciplines[Rank]=Y65),0)),""))</f>
        <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0"/>
        <v/>
      </c>
      <c r="D66" s="19"/>
      <c r="E66" s="15" t="s">
        <v>45</v>
      </c>
      <c r="F66" s="18"/>
      <c r="G66" s="3"/>
      <c r="H66" s="18"/>
      <c r="I66" s="18"/>
      <c r="L66" s="4">
        <v>1</v>
      </c>
      <c r="M66" s="60"/>
      <c r="N66" s="4"/>
      <c r="O66" s="61">
        <f t="shared" si="13"/>
        <v>0</v>
      </c>
      <c r="P66" s="60">
        <f t="shared" si="11"/>
        <v>1</v>
      </c>
      <c r="R66" s="61">
        <v>5</v>
      </c>
      <c r="T66" s="4"/>
      <c r="U66" s="4"/>
      <c r="V66" s="61">
        <f t="shared" si="12"/>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0"/>
        <v/>
      </c>
      <c r="D67" s="19"/>
      <c r="E67" s="15" t="s">
        <v>46</v>
      </c>
      <c r="F67" s="18"/>
      <c r="G67" s="3"/>
      <c r="H67" s="18"/>
      <c r="I67" s="18"/>
      <c r="L67" s="4"/>
      <c r="M67" s="60"/>
      <c r="N67" s="4"/>
      <c r="O67" s="61">
        <f t="shared" si="13"/>
        <v>0</v>
      </c>
      <c r="P67" s="60">
        <f t="shared" si="11"/>
        <v>0</v>
      </c>
      <c r="R67" s="61">
        <v>5</v>
      </c>
      <c r="T67" s="4"/>
      <c r="U67" s="4"/>
      <c r="V67" s="61">
        <f t="shared" si="12"/>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0"/>
        <v/>
      </c>
      <c r="D68" s="18"/>
      <c r="E68" s="15" t="s">
        <v>47</v>
      </c>
      <c r="F68" s="18"/>
      <c r="G68" s="3"/>
      <c r="H68" s="18"/>
      <c r="I68" s="18"/>
      <c r="L68" s="4">
        <v>2</v>
      </c>
      <c r="M68" s="60"/>
      <c r="N68" s="4"/>
      <c r="O68" s="61">
        <f t="shared" si="13"/>
        <v>0</v>
      </c>
      <c r="P68" s="60">
        <f t="shared" si="11"/>
        <v>2</v>
      </c>
      <c r="R68" s="61">
        <v>5</v>
      </c>
      <c r="T68" s="4"/>
      <c r="U68" s="4"/>
      <c r="V68" s="61">
        <f t="shared" si="12"/>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0"/>
        <v>Claws (+2)</v>
      </c>
      <c r="D69" s="18"/>
      <c r="E69" s="15" t="s">
        <v>48</v>
      </c>
      <c r="F69" s="18"/>
      <c r="G69" s="3"/>
      <c r="H69" s="18"/>
      <c r="I69" s="18"/>
      <c r="L69" s="4">
        <v>1</v>
      </c>
      <c r="M69" s="60"/>
      <c r="N69" s="4"/>
      <c r="O69" s="61">
        <f t="shared" si="13"/>
        <v>0</v>
      </c>
      <c r="P69" s="60">
        <f t="shared" si="11"/>
        <v>1</v>
      </c>
      <c r="R69" s="61">
        <v>5</v>
      </c>
      <c r="T69" s="4"/>
      <c r="U69" s="4"/>
      <c r="V69" s="61">
        <f t="shared" si="12"/>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0"/>
        <v/>
      </c>
      <c r="Y70" s="15">
        <v>1</v>
      </c>
      <c r="Z70" s="61" t="s">
        <v>242</v>
      </c>
      <c r="AA70" s="60" t="str" cm="1">
        <f t="array" ref="AA70">IF(OR(Y70=0,Y70=""),"",IF(VLOOKUP(Z70,$AI$1:$AJ$58,2,FALSE)&gt;=Y70,INDEX(tblDisciplines[Name],MATCH(1,(tblDisciplines[Discipline]=Z70)*(tblDisciplines[Rank]=Y70),0)),""))</f>
        <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0"/>
        <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0"/>
        <v/>
      </c>
      <c r="D72" s="19"/>
      <c r="E72" s="15" t="s">
        <v>49</v>
      </c>
      <c r="F72" s="19"/>
      <c r="G72" s="19"/>
      <c r="H72" s="19"/>
      <c r="I72" s="19"/>
      <c r="K72" s="4"/>
      <c r="L72" s="4">
        <v>5</v>
      </c>
      <c r="M72" s="60">
        <v>1</v>
      </c>
      <c r="N72" s="4"/>
      <c r="O72" s="61">
        <f>ROUNDDOWN(N72/5,0)</f>
        <v>0</v>
      </c>
      <c r="P72" s="60">
        <f>MIN(SUM(K72*-1,ROUNDDOWN(L72/5,0),M72,O72),R72)</f>
        <v>2</v>
      </c>
      <c r="R72" s="61">
        <v>2</v>
      </c>
      <c r="Y72" s="15">
        <v>3</v>
      </c>
      <c r="Z72" s="61" t="s">
        <v>242</v>
      </c>
      <c r="AA72" s="60" t="str" cm="1">
        <f t="array" ref="AA72">IF(OR(Y72=0,Y72=""),"",IF(VLOOKUP(Z72,$AI$1:$AJ$58,2,FALSE)&gt;=Y72,INDEX(tblDisciplines[Name],MATCH(1,(tblDisciplines[Discipline]=Z72)*(tblDisciplines[Rank]=Y72),0)),""))</f>
        <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0"/>
        <v/>
      </c>
      <c r="D73" s="19"/>
      <c r="E73" s="15" t="s">
        <v>1448</v>
      </c>
      <c r="F73" s="19"/>
      <c r="G73" s="19"/>
      <c r="H73" s="19"/>
      <c r="I73" s="19"/>
      <c r="K73" s="4">
        <v>2</v>
      </c>
      <c r="M73" s="60">
        <v>7</v>
      </c>
      <c r="N73" s="4"/>
      <c r="O73" s="61">
        <f>ROUNDDOWN(N73/2,0)</f>
        <v>0</v>
      </c>
      <c r="P73" s="60">
        <f>MIN(SUM(K73*-1,M73,O73),R73)</f>
        <v>5</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0"/>
        <v/>
      </c>
      <c r="D74" s="19"/>
      <c r="E74" s="15" t="s">
        <v>53</v>
      </c>
      <c r="F74" s="19"/>
      <c r="G74" s="19"/>
      <c r="H74" s="19"/>
      <c r="I74" s="19"/>
      <c r="K74" s="4"/>
      <c r="M74" s="60">
        <f>P28+P38</f>
        <v>6</v>
      </c>
      <c r="N74" s="4"/>
      <c r="O74" s="61">
        <f>N74</f>
        <v>0</v>
      </c>
      <c r="P74" s="60">
        <f>MIN(SUM(K74*-1,M74,O74),R74)</f>
        <v>6</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0"/>
        <v/>
      </c>
      <c r="D75" s="19"/>
      <c r="E75" s="15" t="s">
        <v>55</v>
      </c>
      <c r="F75" s="19"/>
      <c r="G75" s="19"/>
      <c r="H75" s="19"/>
      <c r="I75" s="19"/>
      <c r="P75" s="60">
        <f ca="1">VLOOKUP(VLOOKUP("Blood Potency",INDIRECT($AH$1),2,FALSE),tblBloodPotency[],2,FALSE)</f>
        <v>11</v>
      </c>
      <c r="Y75" s="15">
        <v>1</v>
      </c>
      <c r="Z75" s="61" t="s">
        <v>243</v>
      </c>
      <c r="AA75" s="60" t="str" cm="1">
        <f t="array" ref="AA75">IF(OR(Y75=0,Y75=""),"",IF(VLOOKUP(Z75,$AI$1:$AJ$58,2,FALSE)&gt;=Y75,INDEX(tblDisciplines[Name],MATCH(1,(tblDisciplines[Discipline]=Z75)*(tblDisciplines[Rank]=Y75),0)),""))</f>
        <v>Unmarked Grave</v>
      </c>
    </row>
    <row r="76" spans="1:32">
      <c r="A76" s="1" t="s">
        <v>75</v>
      </c>
      <c r="B76" t="str">
        <f t="shared" si="10"/>
        <v/>
      </c>
      <c r="Y76" s="15">
        <v>2</v>
      </c>
      <c r="Z76" s="61" t="s">
        <v>243</v>
      </c>
      <c r="AA76" s="60" t="str" cm="1">
        <f t="array" ref="AA76">IF(OR(Y76=0,Y76=""),"",IF(VLOOKUP(Z76,$AI$1:$AJ$58,2,FALSE)&gt;=Y76,INDEX(tblDisciplines[Name],MATCH(1,(tblDisciplines[Discipline]=Z76)*(tblDisciplines[Rank]=Y76),0)),""))</f>
        <v>Predatory Aspect</v>
      </c>
    </row>
    <row r="77" spans="1:32" ht="15.75" thickBot="1">
      <c r="A77" s="1" t="s">
        <v>76</v>
      </c>
      <c r="B77" t="str">
        <f t="shared" si="10"/>
        <v/>
      </c>
      <c r="D77" s="14" t="s">
        <v>1470</v>
      </c>
      <c r="E77" s="14"/>
      <c r="F77" s="14"/>
      <c r="G77" s="14"/>
      <c r="H77" s="14"/>
      <c r="I77" s="14"/>
      <c r="N77" s="60">
        <f>SUM(N79:N98,N101:N120,N206:N215,N132:N135,N138:N157,N160:N161)</f>
        <v>13</v>
      </c>
      <c r="Y77" s="15">
        <v>3</v>
      </c>
      <c r="Z77" s="61" t="s">
        <v>243</v>
      </c>
      <c r="AA77" s="60" t="str" cm="1">
        <f t="array" ref="AA77">IF(OR(Y77=0,Y77=""),"",IF(VLOOKUP(Z77,$AI$1:$AJ$58,2,FALSE)&gt;=Y77,INDEX(tblDisciplines[Name],MATCH(1,(tblDisciplines[Discipline]=Z77)*(tblDisciplines[Rank]=Y77),0)),""))</f>
        <v>Beast's Skin</v>
      </c>
    </row>
    <row r="78" spans="1:32">
      <c r="A78" s="1" t="s">
        <v>77</v>
      </c>
      <c r="B78" t="str">
        <f t="shared" si="10"/>
        <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Unnatural Aspect</v>
      </c>
    </row>
    <row r="79" spans="1:32">
      <c r="A79" s="1" t="s">
        <v>78</v>
      </c>
      <c r="B79" t="str">
        <f t="shared" si="10"/>
        <v>Direct Threats</v>
      </c>
      <c r="D79" s="19"/>
      <c r="E79" s="15" t="s">
        <v>114</v>
      </c>
      <c r="F79" s="3" t="s">
        <v>1630</v>
      </c>
      <c r="G79" s="3" t="s">
        <v>1683</v>
      </c>
      <c r="H79" s="67" t="str">
        <f>_xlfn.IFNA(IF(VLOOKUP(F79,tblMerits[],6,FALSE)=0,"None",VLOOKUP(F79,tblMerits[],6,FALSE)),"None")</f>
        <v>Resolve 2, Skill Specialty</v>
      </c>
      <c r="I79" s="67"/>
      <c r="L79" s="4">
        <v>1</v>
      </c>
      <c r="M79" s="4"/>
      <c r="N79" s="4"/>
      <c r="O79" s="61">
        <f>N79</f>
        <v>0</v>
      </c>
      <c r="P79" s="60">
        <f t="shared" ref="P79:P98" si="14">MIN(SUM(L79,M79,O79),R79)</f>
        <v>1</v>
      </c>
      <c r="Q79" s="61">
        <f>_xlfn.IFNA(VLOOKUP($F79,tblMerits[],3,FALSE),"")</f>
        <v>1</v>
      </c>
      <c r="R79" s="61">
        <f>_xlfn.IFNA(VLOOKUP($F79,tblMerits[],4,FALSE),"")</f>
        <v>1</v>
      </c>
      <c r="Y79" s="15">
        <v>5</v>
      </c>
      <c r="Z79" s="61" t="s">
        <v>243</v>
      </c>
      <c r="AA79" s="60" t="str" cm="1">
        <f t="array" ref="AA79">IF(OR(Y79=0,Y79=""),"",IF(VLOOKUP(Z79,$AI$1:$AJ$58,2,FALSE)&gt;=Y79,INDEX(tblDisciplines[Name],MATCH(1,(tblDisciplines[Discipline]=Z79)*(tblDisciplines[Rank]=Y79),0)),""))</f>
        <v/>
      </c>
    </row>
    <row r="80" spans="1:32">
      <c r="A80" s="1" t="s">
        <v>79</v>
      </c>
      <c r="B80" t="str">
        <f t="shared" si="10"/>
        <v/>
      </c>
      <c r="D80" s="19"/>
      <c r="E80" s="15" t="s">
        <v>115</v>
      </c>
      <c r="F80" s="3" t="s">
        <v>1684</v>
      </c>
      <c r="G80" s="3"/>
      <c r="H80" s="67" t="str">
        <f>_xlfn.IFNA(IF(VLOOKUP(F80,tblMerits[],6,FALSE)=0,"None",VLOOKUP(F80,tblMerits[],6,FALSE)),"None")</f>
        <v>Protean 4</v>
      </c>
      <c r="I80" s="67"/>
      <c r="L80" s="4">
        <v>1</v>
      </c>
      <c r="M80" s="4"/>
      <c r="N80" s="4"/>
      <c r="O80" s="61">
        <f t="shared" ref="O80:O98" si="15">N80</f>
        <v>0</v>
      </c>
      <c r="P80" s="60">
        <f t="shared" si="14"/>
        <v>1</v>
      </c>
      <c r="Q80" s="61">
        <f>_xlfn.IFNA(VLOOKUP($F80,tblMerits[],3,FALSE),"")</f>
        <v>1</v>
      </c>
      <c r="R80" s="61">
        <f>_xlfn.IFNA(VLOOKUP($F80,tblMerits[],4,FALSE),"")</f>
        <v>1</v>
      </c>
      <c r="Y80" s="15">
        <f>P173</f>
        <v>1</v>
      </c>
      <c r="Z80" s="61" t="s">
        <v>244</v>
      </c>
      <c r="AA80" s="60" t="str" cm="1">
        <f t="array" ref="AA80">IF(OR(Y80=0,Y80=""),"",IF(VLOOKUP(Z80,$AI$1:$AJ$58,2,FALSE)&gt;=Y80,INDEX(tblDisciplines[Name],MATCH(1,(tblDisciplines[Discipline]=Z80)*(tblDisciplines[Rank]=Y80),0)),""))</f>
        <v>Resilience 1</v>
      </c>
    </row>
    <row r="81" spans="1:27">
      <c r="A81" s="1" t="s">
        <v>80</v>
      </c>
      <c r="B81" t="str">
        <f t="shared" si="10"/>
        <v/>
      </c>
      <c r="D81" s="19"/>
      <c r="E81" s="15" t="s">
        <v>116</v>
      </c>
      <c r="F81" s="3" t="s">
        <v>1591</v>
      </c>
      <c r="G81" s="3" t="s">
        <v>34</v>
      </c>
      <c r="H81" s="67" t="str">
        <f>_xlfn.IFNA(IF(VLOOKUP(F81,tblMerits[],6,FALSE)=0,"None",VLOOKUP(F81,tblMerits[],6,FALSE)),"None")</f>
        <v>Brawl 1 or Weaponry 1</v>
      </c>
      <c r="I81" s="67"/>
      <c r="L81" s="4">
        <v>1</v>
      </c>
      <c r="M81" s="4"/>
      <c r="N81" s="4"/>
      <c r="O81" s="61">
        <f t="shared" si="15"/>
        <v>0</v>
      </c>
      <c r="P81" s="60">
        <f t="shared" si="14"/>
        <v>1</v>
      </c>
      <c r="Q81" s="61">
        <f>_xlfn.IFNA(VLOOKUP($F81,tblMerits[],3,FALSE),"")</f>
        <v>1</v>
      </c>
      <c r="R81" s="61">
        <f>_xlfn.IFNA(VLOOKUP($F81,tblMerits[],4,FALSE),"")</f>
        <v>1</v>
      </c>
      <c r="Y81" s="15">
        <f>P174</f>
        <v>2</v>
      </c>
      <c r="Z81" s="61" t="s">
        <v>245</v>
      </c>
      <c r="AA81" s="60" t="str" cm="1">
        <f t="array" ref="AA81">IF(OR(Y81=0,Y81=""),"",IF(VLOOKUP(Z81,$AI$1:$AJ$58,2,FALSE)&gt;=Y81,INDEX(tblDisciplines[Name],MATCH(1,(tblDisciplines[Discipline]=Z81)*(tblDisciplines[Rank]=Y81),0)),""))</f>
        <v>Vigour 2</v>
      </c>
    </row>
    <row r="82" spans="1:27">
      <c r="A82" s="1" t="s">
        <v>81</v>
      </c>
      <c r="B82" t="str">
        <f t="shared" si="10"/>
        <v/>
      </c>
      <c r="D82" s="19"/>
      <c r="E82" s="15" t="s">
        <v>117</v>
      </c>
      <c r="F82" s="3" t="s">
        <v>1590</v>
      </c>
      <c r="G82" s="3"/>
      <c r="H82" s="67" t="str">
        <f>_xlfn.IFNA(IF(VLOOKUP(F82,tblMerits[],6,FALSE)=0,"None",VLOOKUP(F82,tblMerits[],6,FALSE)),"None")</f>
        <v>Resolve 3</v>
      </c>
      <c r="I82" s="67"/>
      <c r="L82" s="4"/>
      <c r="M82" s="4"/>
      <c r="N82" s="4">
        <v>2</v>
      </c>
      <c r="O82" s="61">
        <f t="shared" si="15"/>
        <v>2</v>
      </c>
      <c r="P82" s="60">
        <f t="shared" si="14"/>
        <v>2</v>
      </c>
      <c r="Q82" s="61">
        <f>_xlfn.IFNA(VLOOKUP($F82,tblMerits[],3,FALSE),"")</f>
        <v>2</v>
      </c>
      <c r="R82" s="61">
        <f>_xlfn.IFNA(VLOOKUP($F82,tblMerits[],4,FALSE),"")</f>
        <v>2</v>
      </c>
      <c r="Y82" s="61" t="s">
        <v>1472</v>
      </c>
      <c r="Z82" s="19"/>
      <c r="AA82" s="60" t="str">
        <f>IF(P177="","",F177)</f>
        <v>Rime of Salt</v>
      </c>
    </row>
    <row r="83" spans="1:27">
      <c r="A83" s="1" t="s">
        <v>82</v>
      </c>
      <c r="B83" t="str">
        <f t="shared" si="10"/>
        <v/>
      </c>
      <c r="D83" s="19"/>
      <c r="E83" s="15" t="s">
        <v>118</v>
      </c>
      <c r="F83" s="3" t="s">
        <v>1685</v>
      </c>
      <c r="G83" s="3"/>
      <c r="H83" s="67" t="str">
        <f>_xlfn.IFNA(IF(VLOOKUP(F83,tblMerits[],6,FALSE)=0,"None",VLOOKUP(F83,tblMerits[],6,FALSE)),"None")</f>
        <v>Protean 3</v>
      </c>
      <c r="I83" s="67"/>
      <c r="L83" s="4"/>
      <c r="M83" s="4"/>
      <c r="N83" s="4">
        <v>2</v>
      </c>
      <c r="O83" s="61">
        <f t="shared" si="15"/>
        <v>2</v>
      </c>
      <c r="P83" s="60">
        <f t="shared" si="14"/>
        <v>2</v>
      </c>
      <c r="Q83" s="61">
        <f>_xlfn.IFNA(VLOOKUP($F83,tblMerits[],3,FALSE),"")</f>
        <v>2</v>
      </c>
      <c r="R83" s="61">
        <f>_xlfn.IFNA(VLOOKUP($F83,tblMerits[],4,FALSE),"")</f>
        <v>2</v>
      </c>
      <c r="Y83" s="61" t="s">
        <v>1472</v>
      </c>
      <c r="Z83" s="19"/>
      <c r="AA83" s="60" t="str">
        <f>IF(P178="","",F178)</f>
        <v/>
      </c>
    </row>
    <row r="84" spans="1:27">
      <c r="A84" s="1" t="s">
        <v>83</v>
      </c>
      <c r="B84">
        <f>P124</f>
        <v>3</v>
      </c>
      <c r="D84" s="19"/>
      <c r="E84" s="15" t="s">
        <v>119</v>
      </c>
      <c r="F84" s="3" t="s">
        <v>1686</v>
      </c>
      <c r="G84" s="3"/>
      <c r="H84" s="67" t="str">
        <f>_xlfn.IFNA(IF(VLOOKUP(F84,tblMerits[],6,FALSE)=0,"None",VLOOKUP(F84,tblMerits[],6,FALSE)),"None")</f>
        <v>None</v>
      </c>
      <c r="I84" s="67"/>
      <c r="L84" s="4"/>
      <c r="M84" s="4"/>
      <c r="N84" s="4">
        <v>1</v>
      </c>
      <c r="O84" s="61">
        <f t="shared" si="15"/>
        <v>1</v>
      </c>
      <c r="P84" s="60">
        <f t="shared" si="14"/>
        <v>1</v>
      </c>
      <c r="Q84" s="61" t="str">
        <f>_xlfn.IFNA(VLOOKUP($F84,tblMerits[],3,FALSE),"")</f>
        <v/>
      </c>
      <c r="R84" s="61" t="str">
        <f>_xlfn.IFNA(VLOOKUP($F84,tblMerits[],4,FALSE),"")</f>
        <v/>
      </c>
      <c r="Y84" s="61" t="s">
        <v>1472</v>
      </c>
      <c r="Z84" s="19"/>
      <c r="AA84" s="60" t="str">
        <f>IF(P179="","",F179)</f>
        <v/>
      </c>
    </row>
    <row r="85" spans="1:27">
      <c r="A85" s="1" t="s">
        <v>84</v>
      </c>
      <c r="B85">
        <f>P125</f>
        <v>2</v>
      </c>
      <c r="D85" s="19"/>
      <c r="E85" s="15" t="s">
        <v>120</v>
      </c>
      <c r="F85" s="3"/>
      <c r="G85" s="3"/>
      <c r="H85" s="67" t="str">
        <f>_xlfn.IFNA(IF(VLOOKUP(F85,tblMerits[],6,FALSE)=0,"None",VLOOKUP(F85,tblMerits[],6,FALSE)),"None")</f>
        <v>None</v>
      </c>
      <c r="I85" s="67"/>
      <c r="L85" s="4"/>
      <c r="M85" s="4"/>
      <c r="N85" s="4"/>
      <c r="O85" s="61">
        <f t="shared" si="15"/>
        <v>0</v>
      </c>
      <c r="P85" s="60">
        <f t="shared" si="14"/>
        <v>0</v>
      </c>
      <c r="Q85" s="61" t="str">
        <f>_xlfn.IFNA(VLOOKUP($F85,tblMerits[],3,FALSE),"")</f>
        <v/>
      </c>
      <c r="R85" s="61" t="str">
        <f>_xlfn.IFNA(VLOOKUP($F85,tblMerits[],4,FALSE),"")</f>
        <v/>
      </c>
      <c r="Y85" s="61" t="s">
        <v>1472</v>
      </c>
      <c r="Z85" s="19"/>
      <c r="AA85" s="60" t="str">
        <f>IF(P180="","",F180)</f>
        <v/>
      </c>
    </row>
    <row r="86" spans="1:27">
      <c r="A86" s="1" t="s">
        <v>85</v>
      </c>
      <c r="B86">
        <f>P126</f>
        <v>2</v>
      </c>
      <c r="D86" s="19"/>
      <c r="E86" s="15" t="s">
        <v>121</v>
      </c>
      <c r="F86" s="3"/>
      <c r="G86" s="3"/>
      <c r="H86" s="67" t="str">
        <f>_xlfn.IFNA(IF(VLOOKUP(F86,tblMerits[],6,FALSE)=0,"None",VLOOKUP(F86,tblMerits[],6,FALSE)),"None")</f>
        <v>None</v>
      </c>
      <c r="I86" s="67"/>
      <c r="L86" s="4"/>
      <c r="M86" s="4"/>
      <c r="N86" s="4"/>
      <c r="O86" s="61">
        <f t="shared" si="15"/>
        <v>0</v>
      </c>
      <c r="P86" s="60">
        <f t="shared" si="14"/>
        <v>0</v>
      </c>
      <c r="Q86" s="61" t="str">
        <f>_xlfn.IFNA(VLOOKUP($F86,tblMerits[],3,FALSE),"")</f>
        <v/>
      </c>
      <c r="R86" s="61" t="str">
        <f>_xlfn.IFNA(VLOOKUP($F86,tblMerits[],4,FALSE),"")</f>
        <v/>
      </c>
      <c r="Y86" s="61" t="s">
        <v>1472</v>
      </c>
      <c r="Z86" s="19"/>
      <c r="AA86" s="60" t="str">
        <f>IF(P181="","",F181)</f>
        <v/>
      </c>
    </row>
    <row r="87" spans="1:27">
      <c r="A87" s="1" t="s">
        <v>86</v>
      </c>
      <c r="B87" t="str">
        <f>IF(F126="","¬",F126)</f>
        <v>Carthian</v>
      </c>
      <c r="D87" s="19"/>
      <c r="E87" s="15" t="s">
        <v>122</v>
      </c>
      <c r="F87" s="3"/>
      <c r="G87" s="3"/>
      <c r="H87" s="67" t="str">
        <f>_xlfn.IFNA(IF(VLOOKUP(F87,tblMerits[],6,FALSE)=0,"None",VLOOKUP(F87,tblMerits[],6,FALSE)),"None")</f>
        <v>None</v>
      </c>
      <c r="I87" s="67"/>
      <c r="L87" s="4"/>
      <c r="M87" s="4"/>
      <c r="N87" s="4"/>
      <c r="O87" s="61">
        <f t="shared" si="15"/>
        <v>0</v>
      </c>
      <c r="P87" s="60">
        <f t="shared" si="14"/>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
      </c>
    </row>
    <row r="88" spans="1:27">
      <c r="A88" s="1" t="s">
        <v>87</v>
      </c>
      <c r="B88" t="str">
        <f>REPT("●",P126)</f>
        <v>●●</v>
      </c>
      <c r="D88" s="19"/>
      <c r="E88" s="15" t="s">
        <v>123</v>
      </c>
      <c r="F88" s="3"/>
      <c r="G88" s="3"/>
      <c r="H88" s="67" t="str">
        <f>_xlfn.IFNA(IF(VLOOKUP(F88,tblMerits[],6,FALSE)=0,"None",VLOOKUP(F88,tblMerits[],6,FALSE)),"None")</f>
        <v>None</v>
      </c>
      <c r="I88" s="67"/>
      <c r="L88" s="4"/>
      <c r="M88" s="4"/>
      <c r="N88" s="4"/>
      <c r="O88" s="61">
        <f t="shared" si="15"/>
        <v>0</v>
      </c>
      <c r="P88" s="60">
        <f t="shared" si="14"/>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Crone</v>
      </c>
      <c r="D89" s="19"/>
      <c r="E89" s="15" t="s">
        <v>124</v>
      </c>
      <c r="F89" s="3"/>
      <c r="G89" s="3"/>
      <c r="H89" s="67" t="str">
        <f>_xlfn.IFNA(IF(VLOOKUP(F89,tblMerits[],6,FALSE)=0,"None",VLOOKUP(F89,tblMerits[],6,FALSE)),"None")</f>
        <v>None</v>
      </c>
      <c r="I89" s="67"/>
      <c r="L89" s="4"/>
      <c r="M89" s="4"/>
      <c r="N89" s="4"/>
      <c r="O89" s="61">
        <f t="shared" si="15"/>
        <v>0</v>
      </c>
      <c r="P89" s="60">
        <f t="shared" si="14"/>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_xlfn.IFNA(IF(VLOOKUP(F90,tblMerits[],6,FALSE)=0,"None",VLOOKUP(F90,tblMerits[],6,FALSE)),"None")</f>
        <v>None</v>
      </c>
      <c r="I90" s="67"/>
      <c r="L90" s="4"/>
      <c r="M90" s="4"/>
      <c r="N90" s="4"/>
      <c r="O90" s="61">
        <f t="shared" si="15"/>
        <v>0</v>
      </c>
      <c r="P90" s="60">
        <f t="shared" si="14"/>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Invictus</v>
      </c>
      <c r="D91" s="19"/>
      <c r="E91" s="15" t="s">
        <v>126</v>
      </c>
      <c r="F91" s="3"/>
      <c r="G91" s="3"/>
      <c r="H91" s="67" t="str">
        <f>_xlfn.IFNA(IF(VLOOKUP(F91,tblMerits[],6,FALSE)=0,"None",VLOOKUP(F91,tblMerits[],6,FALSE)),"None")</f>
        <v>None</v>
      </c>
      <c r="I91" s="67"/>
      <c r="L91" s="4"/>
      <c r="M91" s="4"/>
      <c r="N91" s="4"/>
      <c r="O91" s="61">
        <f t="shared" si="15"/>
        <v>0</v>
      </c>
      <c r="P91" s="60">
        <f t="shared" si="14"/>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5"/>
        <v>0</v>
      </c>
      <c r="P92" s="60">
        <f t="shared" si="14"/>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Lance</v>
      </c>
      <c r="D93" s="19"/>
      <c r="E93" s="15" t="s">
        <v>128</v>
      </c>
      <c r="F93" s="3"/>
      <c r="G93" s="3"/>
      <c r="H93" s="67" t="str">
        <f>_xlfn.IFNA(IF(VLOOKUP(F93,tblMerits[],6,FALSE)=0,"None",VLOOKUP(F93,tblMerits[],6,FALSE)),"None")</f>
        <v>None</v>
      </c>
      <c r="I93" s="67"/>
      <c r="L93" s="4"/>
      <c r="M93" s="4"/>
      <c r="N93" s="4"/>
      <c r="O93" s="61">
        <f t="shared" si="15"/>
        <v>0</v>
      </c>
      <c r="P93" s="60">
        <f t="shared" si="14"/>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5"/>
        <v>0</v>
      </c>
      <c r="P94" s="60">
        <f t="shared" si="14"/>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5"/>
        <v>0</v>
      </c>
      <c r="P95" s="60">
        <f t="shared" si="14"/>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5"/>
        <v>0</v>
      </c>
      <c r="P96" s="60">
        <f t="shared" si="14"/>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5"/>
        <v>0</v>
      </c>
      <c r="P97" s="60">
        <f t="shared" si="14"/>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5"/>
        <v>0</v>
      </c>
      <c r="P98" s="60">
        <f t="shared" si="14"/>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t="s">
        <v>1593</v>
      </c>
      <c r="G101" s="60" t="str">
        <f>IFERROR(VLOOKUP(F101,tblManoeuvre[],2,FALSE)&amp;" "&amp;VLOOKUP(F101,tblManoeuvre[],3,FALSE),"")</f>
        <v>Riding the Wave 1</v>
      </c>
      <c r="H101" s="67" t="str">
        <f>IFERROR(IF(VLOOKUP(F101,tblManoeuvre[],8,FALSE)=0,"None",VLOOKUP(F101,tblManoeuvre[],8,FALSE)),"None")</f>
        <v>Composure 3, Resolve 3</v>
      </c>
      <c r="I101" s="67"/>
      <c r="L101" s="4"/>
      <c r="M101" s="4"/>
      <c r="N101" s="4">
        <v>1</v>
      </c>
      <c r="O101" s="61">
        <f t="shared" ref="O101:O120" si="16">N101</f>
        <v>1</v>
      </c>
      <c r="P101" s="60">
        <f t="shared" ref="P101:P120" si="17">MIN(SUM(L101,M101,O101),R101)</f>
        <v>1</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
      </c>
      <c r="D102" s="19"/>
      <c r="E102" s="15" t="s">
        <v>1441</v>
      </c>
      <c r="F102" s="3" t="s">
        <v>1594</v>
      </c>
      <c r="G102" s="60" t="str">
        <f>IFERROR(VLOOKUP(F102,tblManoeuvre[],2,FALSE)&amp;" "&amp;VLOOKUP(F102,tblManoeuvre[],3,FALSE),"")</f>
        <v>Riding the Wave 2</v>
      </c>
      <c r="H102" s="67" t="str">
        <f>IFERROR(IF(VLOOKUP(F102,tblManoeuvre[],8,FALSE)=0,"None",VLOOKUP(F102,tblManoeuvre[],8,FALSE)),"None")</f>
        <v>Composure 3, Resolve 3</v>
      </c>
      <c r="I102" s="67"/>
      <c r="L102" s="4"/>
      <c r="M102" s="4"/>
      <c r="N102" s="4">
        <v>1</v>
      </c>
      <c r="O102" s="61">
        <f t="shared" si="16"/>
        <v>1</v>
      </c>
      <c r="P102" s="60">
        <f t="shared" si="17"/>
        <v>1</v>
      </c>
      <c r="Q102" s="61">
        <v>1</v>
      </c>
      <c r="R102" s="61">
        <v>1</v>
      </c>
      <c r="Y102" s="15">
        <v>1</v>
      </c>
      <c r="Z102" s="61" t="s">
        <v>251</v>
      </c>
      <c r="AA102" s="60" t="str" cm="1">
        <f t="array" ref="AA102">IF(VLOOKUP(Z102,$AI$1:$AJ$58,2,FALSE)&gt;=Y102,INDEX(tblDisciplines[Name],MATCH(1,(tblDisciplines[Discipline]=Z102)*(tblDisciplines[Rank]=Y102),0)),"")</f>
        <v/>
      </c>
    </row>
    <row r="103" spans="1:27">
      <c r="A103" s="1" t="s">
        <v>102</v>
      </c>
      <c r="B103">
        <f>P73</f>
        <v>5</v>
      </c>
      <c r="D103" s="19"/>
      <c r="E103" s="15" t="s">
        <v>1443</v>
      </c>
      <c r="F103" s="3" t="s">
        <v>1595</v>
      </c>
      <c r="G103" s="60" t="str">
        <f>IFERROR(VLOOKUP(F103,tblManoeuvre[],2,FALSE)&amp;" "&amp;VLOOKUP(F103,tblManoeuvre[],3,FALSE),"")</f>
        <v>Riding the Wave 3</v>
      </c>
      <c r="H103" s="67" t="str">
        <f>IFERROR(IF(VLOOKUP(F103,tblManoeuvre[],8,FALSE)=0,"None",VLOOKUP(F103,tblManoeuvre[],8,FALSE)),"None")</f>
        <v>Composure 3, Resolve 3</v>
      </c>
      <c r="I103" s="67"/>
      <c r="L103" s="4"/>
      <c r="M103" s="4"/>
      <c r="N103" s="4">
        <v>1</v>
      </c>
      <c r="O103" s="61">
        <f t="shared" si="16"/>
        <v>1</v>
      </c>
      <c r="P103" s="60">
        <f t="shared" si="17"/>
        <v>1</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t="s">
        <v>1596</v>
      </c>
      <c r="G104" s="60" t="str">
        <f>IFERROR(VLOOKUP(F104,tblManoeuvre[],2,FALSE)&amp;" "&amp;VLOOKUP(F104,tblManoeuvre[],3,FALSE),"")</f>
        <v>Riding the Wave 4</v>
      </c>
      <c r="H104" s="67" t="str">
        <f>IFERROR(IF(VLOOKUP(F104,tblManoeuvre[],8,FALSE)=0,"None",VLOOKUP(F104,tblManoeuvre[],8,FALSE)),"None")</f>
        <v>Composure 3, Resolve 3</v>
      </c>
      <c r="I104" s="67"/>
      <c r="L104" s="4"/>
      <c r="M104" s="4"/>
      <c r="N104" s="4">
        <v>1</v>
      </c>
      <c r="O104" s="61">
        <f t="shared" si="16"/>
        <v>1</v>
      </c>
      <c r="P104" s="60">
        <f t="shared" si="17"/>
        <v>1</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t="s">
        <v>1687</v>
      </c>
      <c r="G105" s="60" t="str">
        <f>IFERROR(VLOOKUP(F105,tblManoeuvre[],2,FALSE)&amp;" "&amp;VLOOKUP(F105,tblManoeuvre[],3,FALSE),"")</f>
        <v>Mobilise Outrage 1</v>
      </c>
      <c r="H105" s="67" t="str">
        <f>IFERROR(IF(VLOOKUP(F105,tblManoeuvre[],8,FALSE)=0,"None",VLOOKUP(F105,tblManoeuvre[],8,FALSE)),"None")</f>
        <v>Willpower 5, Brawl 2, Carthian Status 1</v>
      </c>
      <c r="I105" s="67"/>
      <c r="L105" s="4"/>
      <c r="M105" s="4"/>
      <c r="N105" s="4">
        <v>1</v>
      </c>
      <c r="O105" s="61">
        <f t="shared" si="16"/>
        <v>1</v>
      </c>
      <c r="P105" s="60">
        <f t="shared" si="17"/>
        <v>1</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t="s">
        <v>1688</v>
      </c>
      <c r="G106" s="60" t="str">
        <f>IFERROR(VLOOKUP(F106,tblManoeuvre[],2,FALSE)&amp;" "&amp;VLOOKUP(F106,tblManoeuvre[],3,FALSE),"")</f>
        <v>Mobilise Outrage 2</v>
      </c>
      <c r="H106" s="67" t="str">
        <f>IFERROR(IF(VLOOKUP(F106,tblManoeuvre[],8,FALSE)=0,"None",VLOOKUP(F106,tblManoeuvre[],8,FALSE)),"None")</f>
        <v>Willpower 5, Brawl 2, Carthian Status 1</v>
      </c>
      <c r="I106" s="67"/>
      <c r="L106" s="4"/>
      <c r="M106" s="4"/>
      <c r="N106" s="4">
        <v>1</v>
      </c>
      <c r="O106" s="61">
        <f t="shared" si="16"/>
        <v>1</v>
      </c>
      <c r="P106" s="60">
        <f t="shared" si="17"/>
        <v>1</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t="s">
        <v>1689</v>
      </c>
      <c r="G107" s="60" t="str">
        <f>IFERROR(VLOOKUP(F107,tblManoeuvre[],2,FALSE)&amp;" "&amp;VLOOKUP(F107,tblManoeuvre[],3,FALSE),"")</f>
        <v>Mobilise Outrage 3</v>
      </c>
      <c r="H107" s="67" t="str">
        <f>IFERROR(IF(VLOOKUP(F107,tblManoeuvre[],8,FALSE)=0,"None",VLOOKUP(F107,tblManoeuvre[],8,FALSE)),"None")</f>
        <v>Willpower 5, Brawl 2, Carthian Status 1</v>
      </c>
      <c r="I107" s="67"/>
      <c r="L107" s="4"/>
      <c r="M107" s="4"/>
      <c r="N107" s="4">
        <v>1</v>
      </c>
      <c r="O107" s="61">
        <f t="shared" si="16"/>
        <v>1</v>
      </c>
      <c r="P107" s="60">
        <f t="shared" si="17"/>
        <v>1</v>
      </c>
      <c r="Q107" s="61">
        <v>1</v>
      </c>
      <c r="R107" s="61">
        <v>1</v>
      </c>
      <c r="Y107" s="15">
        <v>1</v>
      </c>
      <c r="Z107" s="61" t="s">
        <v>252</v>
      </c>
      <c r="AA107" s="60" t="str" cm="1">
        <f t="array" ref="AA107">IF(VLOOKUP(Z107,$AI$1:$AJ$58,2,FALSE)&gt;=Y107,INDEX(tblDisciplines[Name],MATCH(1,(tblDisciplines[Discipline]=Z107)*(tblDisciplines[Rank]=Y107),0)),"")</f>
        <v/>
      </c>
    </row>
    <row r="108" spans="1:27">
      <c r="A108" s="1" t="s">
        <v>107</v>
      </c>
      <c r="B108" t="str">
        <f>IF($P$73&gt;=7,"●","○") &amp; IF(F226&lt;&gt;""," (" &amp; F226 &amp; ")","")</f>
        <v>○ ("Kyle")</v>
      </c>
      <c r="D108" s="19"/>
      <c r="E108" s="15" t="s">
        <v>1452</v>
      </c>
      <c r="F108" s="3"/>
      <c r="G108" s="60" t="str">
        <f>IFERROR(VLOOKUP(F108,tblManoeuvre[],2,FALSE)&amp;" "&amp;VLOOKUP(F108,tblManoeuvre[],3,FALSE),"")</f>
        <v/>
      </c>
      <c r="H108" s="67" t="str">
        <f>IFERROR(IF(VLOOKUP(F108,tblManoeuvre[],8,FALSE)=0,"None",VLOOKUP(F108,tblManoeuvre[],8,FALSE)),"None")</f>
        <v>None</v>
      </c>
      <c r="I108" s="67"/>
      <c r="L108" s="4"/>
      <c r="M108" s="4"/>
      <c r="N108" s="4"/>
      <c r="O108" s="61">
        <f t="shared" si="16"/>
        <v>0</v>
      </c>
      <c r="P108" s="60">
        <f t="shared" si="17"/>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v>
      </c>
      <c r="D109" s="19"/>
      <c r="E109" s="15" t="s">
        <v>1454</v>
      </c>
      <c r="F109" s="3"/>
      <c r="G109" s="60" t="str">
        <f>IFERROR(VLOOKUP(F109,tblManoeuvre[],2,FALSE)&amp;" "&amp;VLOOKUP(F109,tblManoeuvre[],3,FALSE),"")</f>
        <v/>
      </c>
      <c r="H109" s="67" t="str">
        <f>IFERROR(IF(VLOOKUP(F109,tblManoeuvre[],8,FALSE)=0,"None",VLOOKUP(F109,tblManoeuvre[],8,FALSE)),"None")</f>
        <v>None</v>
      </c>
      <c r="I109" s="67"/>
      <c r="L109" s="4"/>
      <c r="M109" s="4"/>
      <c r="N109" s="4"/>
      <c r="O109" s="61">
        <f t="shared" si="16"/>
        <v>0</v>
      </c>
      <c r="P109" s="60">
        <f t="shared" si="17"/>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v>
      </c>
      <c r="D110" s="19"/>
      <c r="E110" s="15" t="s">
        <v>1455</v>
      </c>
      <c r="F110" s="3"/>
      <c r="G110" s="60" t="str">
        <f>IFERROR(VLOOKUP(F110,tblManoeuvre[],2,FALSE)&amp;" "&amp;VLOOKUP(F110,tblManoeuvre[],3,FALSE),"")</f>
        <v/>
      </c>
      <c r="H110" s="67" t="str">
        <f>IFERROR(IF(VLOOKUP(F110,tblManoeuvre[],8,FALSE)=0,"None",VLOOKUP(F110,tblManoeuvre[],8,FALSE)),"None")</f>
        <v>None</v>
      </c>
      <c r="I110" s="67"/>
      <c r="L110" s="4"/>
      <c r="M110" s="4"/>
      <c r="N110" s="4"/>
      <c r="O110" s="61">
        <f t="shared" si="16"/>
        <v>0</v>
      </c>
      <c r="P110" s="60">
        <f t="shared" si="17"/>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t="str">
        <f>IFERROR(VLOOKUP(F111,tblManoeuvre[],2,FALSE)&amp;" "&amp;VLOOKUP(F111,tblManoeuvre[],3,FALSE),"")</f>
        <v/>
      </c>
      <c r="H111" s="67" t="str">
        <f>IFERROR(IF(VLOOKUP(F111,tblManoeuvre[],8,FALSE)=0,"None",VLOOKUP(F111,tblManoeuvre[],8,FALSE)),"None")</f>
        <v>None</v>
      </c>
      <c r="I111" s="67"/>
      <c r="L111" s="4"/>
      <c r="M111" s="4"/>
      <c r="N111" s="4"/>
      <c r="O111" s="61">
        <f t="shared" si="16"/>
        <v>0</v>
      </c>
      <c r="P111" s="60">
        <f t="shared" si="17"/>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t="str">
        <f>IFERROR(VLOOKUP(F112,tblManoeuvre[],2,FALSE)&amp;" "&amp;VLOOKUP(F112,tblManoeuvre[],3,FALSE),"")</f>
        <v/>
      </c>
      <c r="H112" s="67" t="str">
        <f>IFERROR(IF(VLOOKUP(F112,tblManoeuvre[],8,FALSE)=0,"None",VLOOKUP(F112,tblManoeuvre[],8,FALSE)),"None")</f>
        <v>None</v>
      </c>
      <c r="I112" s="67"/>
      <c r="L112" s="4"/>
      <c r="M112" s="4"/>
      <c r="N112" s="4"/>
      <c r="O112" s="61">
        <f t="shared" si="16"/>
        <v>0</v>
      </c>
      <c r="P112" s="60">
        <f t="shared" si="17"/>
        <v>0</v>
      </c>
      <c r="Q112" s="61">
        <v>1</v>
      </c>
      <c r="R112" s="61">
        <v>1</v>
      </c>
      <c r="Y112" s="61" t="s">
        <v>1474</v>
      </c>
      <c r="Z112" s="61" t="str">
        <f t="shared" ref="Z112:Z121" si="18">G194</f>
        <v/>
      </c>
      <c r="AA112" s="60" t="str">
        <f t="shared" ref="AA112:AA121" si="19">IF(P194="","",F194)</f>
        <v/>
      </c>
    </row>
    <row r="113" spans="1:27">
      <c r="A113" s="1" t="s">
        <v>112</v>
      </c>
      <c r="B113" t="str">
        <f>IF($P$73&gt;=2,"●","○") &amp; IF(F231&lt;&gt;""," (" &amp; F231 &amp; ")","")</f>
        <v>●</v>
      </c>
      <c r="D113" s="19"/>
      <c r="E113" s="15" t="s">
        <v>1458</v>
      </c>
      <c r="F113" s="3"/>
      <c r="G113" s="60" t="str">
        <f>IFERROR(VLOOKUP(F113,tblManoeuvre[],2,FALSE)&amp;" "&amp;VLOOKUP(F113,tblManoeuvre[],3,FALSE),"")</f>
        <v/>
      </c>
      <c r="H113" s="67" t="str">
        <f>IFERROR(IF(VLOOKUP(F113,tblManoeuvre[],8,FALSE)=0,"None",VLOOKUP(F113,tblManoeuvre[],8,FALSE)),"None")</f>
        <v>None</v>
      </c>
      <c r="I113" s="67"/>
      <c r="L113" s="4"/>
      <c r="M113" s="4"/>
      <c r="N113" s="4"/>
      <c r="O113" s="61">
        <f t="shared" si="16"/>
        <v>0</v>
      </c>
      <c r="P113" s="60">
        <f t="shared" si="17"/>
        <v>0</v>
      </c>
      <c r="Q113" s="61">
        <v>1</v>
      </c>
      <c r="R113" s="61">
        <v>1</v>
      </c>
      <c r="Y113" s="61" t="s">
        <v>1474</v>
      </c>
      <c r="Z113" s="61" t="str">
        <f t="shared" si="18"/>
        <v/>
      </c>
      <c r="AA113" s="60" t="str">
        <f t="shared" si="19"/>
        <v/>
      </c>
    </row>
    <row r="114" spans="1:27">
      <c r="A114" s="1" t="s">
        <v>113</v>
      </c>
      <c r="B114" t="str">
        <f>IF($P$73&gt;=1,"●","○") &amp; IF(F232&lt;&gt;""," (" &amp; F232 &amp; ")","")</f>
        <v>●</v>
      </c>
      <c r="D114" s="19"/>
      <c r="E114" s="15" t="s">
        <v>1460</v>
      </c>
      <c r="F114" s="3"/>
      <c r="G114" s="60" t="str">
        <f>IFERROR(VLOOKUP(F114,tblManoeuvre[],2,FALSE)&amp;" "&amp;VLOOKUP(F114,tblManoeuvre[],3,FALSE),"")</f>
        <v/>
      </c>
      <c r="H114" s="67" t="str">
        <f>IFERROR(IF(VLOOKUP(F114,tblManoeuvre[],8,FALSE)=0,"None",VLOOKUP(F114,tblManoeuvre[],8,FALSE)),"None")</f>
        <v>None</v>
      </c>
      <c r="I114" s="67"/>
      <c r="L114" s="4"/>
      <c r="M114" s="4"/>
      <c r="N114" s="4"/>
      <c r="O114" s="61">
        <f t="shared" si="16"/>
        <v>0</v>
      </c>
      <c r="P114" s="60">
        <f t="shared" si="17"/>
        <v>0</v>
      </c>
      <c r="Q114" s="61">
        <v>1</v>
      </c>
      <c r="R114" s="61">
        <v>1</v>
      </c>
      <c r="Y114" s="61" t="s">
        <v>1474</v>
      </c>
      <c r="Z114" s="61" t="str">
        <f t="shared" si="18"/>
        <v/>
      </c>
      <c r="AA114" s="60" t="str">
        <f t="shared" si="19"/>
        <v/>
      </c>
    </row>
    <row r="115" spans="1:27">
      <c r="A115" s="1" t="s">
        <v>114</v>
      </c>
      <c r="B115" t="str">
        <f t="shared" ref="B115:B144" si="20">IF(AD2="","¬",AD2)</f>
        <v>Area of Expertise (Claws) ●</v>
      </c>
      <c r="D115" s="19"/>
      <c r="E115" s="15" t="s">
        <v>1461</v>
      </c>
      <c r="F115" s="3"/>
      <c r="G115" s="60" t="str">
        <f>IFERROR(VLOOKUP(F115,tblManoeuvre[],2,FALSE)&amp;" "&amp;VLOOKUP(F115,tblManoeuvre[],3,FALSE),"")</f>
        <v/>
      </c>
      <c r="H115" s="67" t="str">
        <f>IFERROR(IF(VLOOKUP(F115,tblManoeuvre[],8,FALSE)=0,"None",VLOOKUP(F115,tblManoeuvre[],8,FALSE)),"None")</f>
        <v>None</v>
      </c>
      <c r="I115" s="67"/>
      <c r="L115" s="4"/>
      <c r="M115" s="4"/>
      <c r="N115" s="4"/>
      <c r="O115" s="61">
        <f t="shared" si="16"/>
        <v>0</v>
      </c>
      <c r="P115" s="60">
        <f t="shared" si="17"/>
        <v>0</v>
      </c>
      <c r="Q115" s="61">
        <v>1</v>
      </c>
      <c r="R115" s="61">
        <v>1</v>
      </c>
      <c r="Y115" s="61" t="s">
        <v>1474</v>
      </c>
      <c r="Z115" s="61" t="str">
        <f t="shared" si="18"/>
        <v/>
      </c>
      <c r="AA115" s="60" t="str">
        <f t="shared" si="19"/>
        <v/>
      </c>
    </row>
    <row r="116" spans="1:27">
      <c r="A116" s="1" t="s">
        <v>115</v>
      </c>
      <c r="B116" t="str">
        <f t="shared" si="20"/>
        <v>Claws of the Unholy ●</v>
      </c>
      <c r="D116" s="19"/>
      <c r="E116" s="15" t="s">
        <v>1462</v>
      </c>
      <c r="F116" s="3"/>
      <c r="G116" s="60" t="str">
        <f>IFERROR(VLOOKUP(F116,tblManoeuvre[],2,FALSE)&amp;" "&amp;VLOOKUP(F116,tblManoeuvre[],3,FALSE),"")</f>
        <v/>
      </c>
      <c r="H116" s="67" t="str">
        <f>IFERROR(IF(VLOOKUP(F116,tblManoeuvre[],8,FALSE)=0,"None",VLOOKUP(F116,tblManoeuvre[],8,FALSE)),"None")</f>
        <v>None</v>
      </c>
      <c r="I116" s="67"/>
      <c r="L116" s="4"/>
      <c r="M116" s="4"/>
      <c r="N116" s="4"/>
      <c r="O116" s="61">
        <f t="shared" si="16"/>
        <v>0</v>
      </c>
      <c r="P116" s="60">
        <f t="shared" si="17"/>
        <v>0</v>
      </c>
      <c r="Q116" s="61">
        <v>1</v>
      </c>
      <c r="R116" s="61">
        <v>1</v>
      </c>
      <c r="Y116" s="61" t="s">
        <v>1474</v>
      </c>
      <c r="Z116" s="61" t="str">
        <f t="shared" si="18"/>
        <v/>
      </c>
      <c r="AA116" s="60" t="str">
        <f t="shared" si="19"/>
        <v/>
      </c>
    </row>
    <row r="117" spans="1:27">
      <c r="A117" s="1" t="s">
        <v>116</v>
      </c>
      <c r="B117" t="str">
        <f t="shared" si="20"/>
        <v>Defensive Combat (Brawl) ●</v>
      </c>
      <c r="D117" s="19"/>
      <c r="E117" s="15" t="s">
        <v>1463</v>
      </c>
      <c r="F117" s="3"/>
      <c r="G117" s="60" t="str">
        <f>IFERROR(VLOOKUP(F117,tblManoeuvre[],2,FALSE)&amp;" "&amp;VLOOKUP(F117,tblManoeuvre[],3,FALSE),"")</f>
        <v/>
      </c>
      <c r="H117" s="67" t="str">
        <f>IFERROR(IF(VLOOKUP(F117,tblManoeuvre[],8,FALSE)=0,"None",VLOOKUP(F117,tblManoeuvre[],8,FALSE)),"None")</f>
        <v>None</v>
      </c>
      <c r="I117" s="67"/>
      <c r="L117" s="4"/>
      <c r="M117" s="4"/>
      <c r="N117" s="4"/>
      <c r="O117" s="61">
        <f t="shared" si="16"/>
        <v>0</v>
      </c>
      <c r="P117" s="60">
        <f t="shared" si="17"/>
        <v>0</v>
      </c>
      <c r="Q117" s="61">
        <v>1</v>
      </c>
      <c r="R117" s="61">
        <v>1</v>
      </c>
      <c r="Y117" s="61" t="s">
        <v>1474</v>
      </c>
      <c r="Z117" s="61" t="str">
        <f t="shared" si="18"/>
        <v/>
      </c>
      <c r="AA117" s="60" t="str">
        <f t="shared" si="19"/>
        <v/>
      </c>
    </row>
    <row r="118" spans="1:27">
      <c r="A118" s="1" t="s">
        <v>117</v>
      </c>
      <c r="B118" t="str">
        <f t="shared" si="20"/>
        <v>Indomitable ●●</v>
      </c>
      <c r="D118" s="19"/>
      <c r="E118" s="15" t="s">
        <v>1464</v>
      </c>
      <c r="F118" s="3"/>
      <c r="G118" s="60" t="str">
        <f>IFERROR(VLOOKUP(F118,tblManoeuvre[],2,FALSE)&amp;" "&amp;VLOOKUP(F118,tblManoeuvre[],3,FALSE),"")</f>
        <v/>
      </c>
      <c r="H118" s="67" t="str">
        <f>IFERROR(IF(VLOOKUP(F118,tblManoeuvre[],8,FALSE)=0,"None",VLOOKUP(F118,tblManoeuvre[],8,FALSE)),"None")</f>
        <v>None</v>
      </c>
      <c r="I118" s="67"/>
      <c r="L118" s="4"/>
      <c r="M118" s="4"/>
      <c r="N118" s="4"/>
      <c r="O118" s="61">
        <f t="shared" si="16"/>
        <v>0</v>
      </c>
      <c r="P118" s="60">
        <f t="shared" si="17"/>
        <v>0</v>
      </c>
      <c r="Q118" s="61">
        <v>1</v>
      </c>
      <c r="R118" s="61">
        <v>1</v>
      </c>
      <c r="Y118" s="61" t="s">
        <v>1474</v>
      </c>
      <c r="Z118" s="61" t="str">
        <f t="shared" si="18"/>
        <v/>
      </c>
      <c r="AA118" s="60" t="str">
        <f t="shared" si="19"/>
        <v/>
      </c>
    </row>
    <row r="119" spans="1:27">
      <c r="A119" s="1" t="s">
        <v>118</v>
      </c>
      <c r="B119" t="str">
        <f t="shared" si="20"/>
        <v>Swarm Form ●●</v>
      </c>
      <c r="D119" s="19"/>
      <c r="E119" s="15" t="s">
        <v>1466</v>
      </c>
      <c r="F119" s="3"/>
      <c r="G119" s="60" t="str">
        <f>IFERROR(VLOOKUP(F119,tblManoeuvre[],2,FALSE)&amp;" "&amp;VLOOKUP(F119,tblManoeuvre[],3,FALSE),"")</f>
        <v/>
      </c>
      <c r="H119" s="67" t="str">
        <f>IFERROR(IF(VLOOKUP(F119,tblManoeuvre[],8,FALSE)=0,"None",VLOOKUP(F119,tblManoeuvre[],8,FALSE)),"None")</f>
        <v>None</v>
      </c>
      <c r="I119" s="67"/>
      <c r="L119" s="4"/>
      <c r="M119" s="4"/>
      <c r="N119" s="4"/>
      <c r="O119" s="61">
        <f t="shared" si="16"/>
        <v>0</v>
      </c>
      <c r="P119" s="60">
        <f t="shared" si="17"/>
        <v>0</v>
      </c>
      <c r="Q119" s="61">
        <v>1</v>
      </c>
      <c r="R119" s="61">
        <v>1</v>
      </c>
      <c r="Y119" s="61" t="s">
        <v>1474</v>
      </c>
      <c r="Z119" s="61" t="str">
        <f t="shared" si="18"/>
        <v/>
      </c>
      <c r="AA119" s="60" t="str">
        <f t="shared" si="19"/>
        <v/>
      </c>
    </row>
    <row r="120" spans="1:27">
      <c r="A120" s="1" t="s">
        <v>119</v>
      </c>
      <c r="B120" t="str">
        <f t="shared" si="20"/>
        <v>Mobilise Outrage ● | Strike to Preempt</v>
      </c>
      <c r="D120" s="19"/>
      <c r="E120" s="15" t="s">
        <v>1468</v>
      </c>
      <c r="F120" s="3"/>
      <c r="G120" s="60" t="str">
        <f>IFERROR(VLOOKUP(F120,tblManoeuvre[],2,FALSE)&amp;" "&amp;VLOOKUP(F120,tblManoeuvre[],3,FALSE),"")</f>
        <v/>
      </c>
      <c r="H120" s="67" t="str">
        <f>IFERROR(IF(VLOOKUP(F120,tblManoeuvre[],8,FALSE)=0,"None",VLOOKUP(F120,tblManoeuvre[],8,FALSE)),"None")</f>
        <v>None</v>
      </c>
      <c r="I120" s="67"/>
      <c r="L120" s="4"/>
      <c r="M120" s="4"/>
      <c r="N120" s="4"/>
      <c r="O120" s="61">
        <f t="shared" si="16"/>
        <v>0</v>
      </c>
      <c r="P120" s="60">
        <f t="shared" si="17"/>
        <v>0</v>
      </c>
      <c r="Q120" s="61">
        <v>1</v>
      </c>
      <c r="R120" s="61">
        <v>1</v>
      </c>
      <c r="Y120" s="61" t="s">
        <v>1474</v>
      </c>
      <c r="Z120" s="61" t="str">
        <f t="shared" si="18"/>
        <v/>
      </c>
      <c r="AA120" s="60" t="str">
        <f t="shared" si="19"/>
        <v/>
      </c>
    </row>
    <row r="121" spans="1:27">
      <c r="A121" s="1" t="s">
        <v>120</v>
      </c>
      <c r="B121" t="str">
        <f t="shared" si="20"/>
        <v>Mobilise Outrage ●● | Unbreakable</v>
      </c>
      <c r="Y121" s="61" t="s">
        <v>1474</v>
      </c>
      <c r="Z121" s="61" t="str">
        <f t="shared" si="18"/>
        <v/>
      </c>
      <c r="AA121" s="60" t="str">
        <f t="shared" si="19"/>
        <v/>
      </c>
    </row>
    <row r="122" spans="1:27" ht="15.75" thickBot="1">
      <c r="A122" s="1" t="s">
        <v>121</v>
      </c>
      <c r="B122" t="str">
        <f t="shared" si="20"/>
        <v>Mobilise Outrage ●●● | Dying on Your Feet</v>
      </c>
      <c r="D122" s="14" t="s">
        <v>1475</v>
      </c>
      <c r="E122" s="14"/>
      <c r="F122" s="14"/>
      <c r="G122" s="14"/>
      <c r="H122" s="14"/>
      <c r="I122" s="14"/>
    </row>
    <row r="123" spans="1:27">
      <c r="A123" s="1" t="s">
        <v>122</v>
      </c>
      <c r="B123" t="str">
        <f t="shared" si="20"/>
        <v>Riding the Wave ● | Ravage</v>
      </c>
      <c r="D123" s="16" t="s">
        <v>927</v>
      </c>
      <c r="E123" s="17"/>
      <c r="F123" s="17"/>
      <c r="G123" s="17"/>
      <c r="H123" s="17"/>
      <c r="I123" s="17"/>
      <c r="Y123" s="15" t="s">
        <v>1476</v>
      </c>
      <c r="Z123" s="19"/>
      <c r="AA123" s="61" t="str">
        <f t="shared" ref="AA123:AA132" si="21">_xlfn.LET(_xlpm.name,VLOOKUP(Y123,$E$2:$F$362,2,FALSE),_xlpm.paid,_xlfn.IFNA(VLOOKUP(_xlpm.name,$F$121:$Q$215,11,FALSE)&gt;=VLOOKUP(_xlpm.name,$F$121:$Q$215,12,FALSE),FALSE),IF(AND(_xlpm.name&lt;&gt;"",_xlpm.paid),_xlpm.name,""))</f>
        <v/>
      </c>
    </row>
    <row r="124" spans="1:27">
      <c r="A124" s="1" t="s">
        <v>123</v>
      </c>
      <c r="B124" t="str">
        <f t="shared" si="20"/>
        <v>Riding the Wave ●● | Primal Strength</v>
      </c>
      <c r="D124" s="19"/>
      <c r="E124" s="15" t="s">
        <v>83</v>
      </c>
      <c r="F124" s="19"/>
      <c r="G124" s="19"/>
      <c r="H124" s="19"/>
      <c r="I124" s="19"/>
      <c r="L124" s="4">
        <v>3</v>
      </c>
      <c r="M124" s="61">
        <f>IFERROR(VLOOKUP(G13,tblEffectiveStatus[#Data],2,FALSE),0)</f>
        <v>0</v>
      </c>
      <c r="P124" s="60">
        <f>MIN(L124+M124,R124)</f>
        <v>3</v>
      </c>
      <c r="R124" s="61">
        <v>10</v>
      </c>
      <c r="Y124" s="15" t="s">
        <v>1477</v>
      </c>
      <c r="Z124" s="19"/>
      <c r="AA124" s="61" t="str">
        <f t="shared" si="21"/>
        <v/>
      </c>
    </row>
    <row r="125" spans="1:27">
      <c r="A125" s="1" t="s">
        <v>124</v>
      </c>
      <c r="B125" t="str">
        <f t="shared" si="20"/>
        <v>Riding the Wave ●●● | In the Zone</v>
      </c>
      <c r="D125" s="19"/>
      <c r="E125" s="15" t="str">
        <f>IF(F7="","Clan Status",F7&amp;" Status")</f>
        <v>Ventrue Status</v>
      </c>
      <c r="F125" s="19"/>
      <c r="G125" s="19"/>
      <c r="H125" s="19"/>
      <c r="I125" s="19"/>
      <c r="L125" s="4">
        <v>2</v>
      </c>
      <c r="P125" s="60">
        <f>IF(L125="",0,MIN(L125,R125))</f>
        <v>2</v>
      </c>
      <c r="R125" s="61">
        <v>5</v>
      </c>
      <c r="Y125" s="15" t="s">
        <v>1478</v>
      </c>
      <c r="Z125" s="19"/>
      <c r="AA125" s="61" t="str">
        <f t="shared" si="21"/>
        <v/>
      </c>
    </row>
    <row r="126" spans="1:27">
      <c r="A126" s="1" t="s">
        <v>125</v>
      </c>
      <c r="B126" t="str">
        <f t="shared" si="20"/>
        <v>Riding the Wave ●●●● | Unyielding</v>
      </c>
      <c r="D126" s="19"/>
      <c r="E126" s="15" t="str">
        <f>IF(F9="","",F9&amp;" Status")</f>
        <v>Carthian Movement Status</v>
      </c>
      <c r="F126" s="19" t="str">
        <f>IF(F9="","",VLOOKUP(F9,tblCovenantShortName[#Data],2,FALSE))</f>
        <v>Carthian</v>
      </c>
      <c r="G126" s="19"/>
      <c r="H126" s="19"/>
      <c r="I126" s="19"/>
      <c r="L126" s="4">
        <v>2</v>
      </c>
      <c r="P126" s="60">
        <f>L126</f>
        <v>2</v>
      </c>
      <c r="R126" s="61">
        <f>5-SUM(L127:L129)</f>
        <v>5</v>
      </c>
      <c r="Y126" s="15" t="s">
        <v>1479</v>
      </c>
      <c r="Z126" s="19"/>
      <c r="AA126" s="61" t="str">
        <f t="shared" si="21"/>
        <v/>
      </c>
    </row>
    <row r="127" spans="1:27">
      <c r="A127" s="1" t="s">
        <v>126</v>
      </c>
      <c r="B127" t="str">
        <f t="shared" si="20"/>
        <v>¬</v>
      </c>
      <c r="D127" s="19"/>
      <c r="E127" s="15" t="str" cm="1">
        <f t="array" ref="E127">IF(F9="","",IFERROR(INDEX(Lists!$F$2:$F$5,SMALL(IF(Lists!$F$2:$F$5&lt;&gt;$F$9,ROW(Lists!$F$2:$F$5)-ROW(Lists!$F$2)+1),1))&amp;" Status",""))</f>
        <v>Circle of the Crone Status</v>
      </c>
      <c r="F127" s="19" t="str" cm="1">
        <f t="array" ref="F127">IF(F9="","",IFERROR(VLOOKUP(INDEX(Lists!$F$2:$F$5,SMALL(IF(Lists!$F$2:$F$5&lt;&gt;$F$9,ROW(Lists!$F$2:$F$5)-ROW(Lists!$F$2)+1),1)),tblCovenantShortName[],2,FALSE),""))</f>
        <v>Crone</v>
      </c>
      <c r="G127" s="19"/>
      <c r="H127" s="19"/>
      <c r="I127" s="19"/>
      <c r="L127" s="4"/>
      <c r="P127" s="60">
        <f>L127</f>
        <v>0</v>
      </c>
      <c r="R127" s="61">
        <f>MAX(0,MIN(P126-1,5-L126-L128-L129))</f>
        <v>1</v>
      </c>
      <c r="Y127" s="15" t="s">
        <v>1480</v>
      </c>
      <c r="Z127" s="19"/>
      <c r="AA127" s="61" t="str">
        <f t="shared" si="21"/>
        <v/>
      </c>
    </row>
    <row r="128" spans="1:27">
      <c r="A128" s="1" t="s">
        <v>127</v>
      </c>
      <c r="B128" t="str">
        <f t="shared" si="20"/>
        <v>¬</v>
      </c>
      <c r="D128" s="19"/>
      <c r="E128" s="15" t="str" cm="1">
        <f t="array" ref="E128">IF(F9="","",IFERROR(INDEX(Lists!$F$2:$F$5,SMALL(IF(Lists!$F$2:$F$5&lt;&gt;$F$9,ROW(Lists!$F$2:$F$5)-ROW(Lists!$F$2)+1),2))&amp;" Status",""))</f>
        <v>Invictus Status</v>
      </c>
      <c r="F128" s="19" t="str" cm="1">
        <f t="array" ref="F128">IF(F9="","",IFERROR(VLOOKUP(INDEX(Lists!$F$2:$F$5,SMALL(IF(Lists!$F$2:$F$5&lt;&gt;$F$9,ROW(Lists!$F$2:$F$5)-ROW(Lists!$F$2)+1),2)),tblCovenantShortName[],2,FALSE),""))</f>
        <v>Invictus</v>
      </c>
      <c r="G128" s="19"/>
      <c r="H128" s="19"/>
      <c r="I128" s="19"/>
      <c r="L128" s="4"/>
      <c r="P128" s="60">
        <f>L128</f>
        <v>0</v>
      </c>
      <c r="R128" s="61">
        <f>MAX(0,MIN(P126-1,5-L126-L127-L129))</f>
        <v>1</v>
      </c>
      <c r="Y128" s="15" t="s">
        <v>1481</v>
      </c>
      <c r="Z128" s="19"/>
      <c r="AA128" s="61" t="str">
        <f t="shared" si="21"/>
        <v/>
      </c>
    </row>
    <row r="129" spans="1:32">
      <c r="A129" s="1" t="s">
        <v>128</v>
      </c>
      <c r="B129" t="str">
        <f t="shared" si="20"/>
        <v>¬</v>
      </c>
      <c r="D129" s="19"/>
      <c r="E129" s="15" t="str" cm="1">
        <f t="array" ref="E129">IF(F9="","",IFERROR(INDEX(Lists!$F$2:$F$5,SMALL(IF(Lists!$F$2:$F$5&lt;&gt;$F$9,ROW(Lists!$F$2:$F$5)-ROW(Lists!$F$2)+1),3))&amp;" Status",""))</f>
        <v>Lancea et Sanctum Status</v>
      </c>
      <c r="F129" s="19" t="str" cm="1">
        <f t="array" ref="F129">IF(F9="","",IFERROR(VLOOKUP(INDEX(Lists!$F$2:$F$5,SMALL(IF(Lists!$F$2:$F$5&lt;&gt;$F$9,ROW(Lists!$F$2:$F$5)-ROW(Lists!$F$2)+1),3)),tblCovenantShortName[],2,FALSE),""))</f>
        <v>Lance</v>
      </c>
      <c r="G129" s="19"/>
      <c r="H129" s="19"/>
      <c r="I129" s="19"/>
      <c r="L129" s="4"/>
      <c r="P129" s="60">
        <f>L129</f>
        <v>0</v>
      </c>
      <c r="R129" s="61">
        <f>MAX(0,MIN(P126-1,5-L126-L127-L128))</f>
        <v>1</v>
      </c>
      <c r="Y129" s="15" t="s">
        <v>1482</v>
      </c>
      <c r="Z129" s="19"/>
      <c r="AA129" s="61" t="str">
        <f t="shared" si="21"/>
        <v/>
      </c>
    </row>
    <row r="130" spans="1:32">
      <c r="A130" s="1" t="s">
        <v>129</v>
      </c>
      <c r="B130" t="str">
        <f t="shared" si="20"/>
        <v>¬</v>
      </c>
      <c r="Y130" s="15" t="s">
        <v>1483</v>
      </c>
      <c r="Z130" s="19"/>
      <c r="AA130" s="61" t="str">
        <f t="shared" si="21"/>
        <v/>
      </c>
    </row>
    <row r="131" spans="1:32">
      <c r="A131" s="1" t="s">
        <v>130</v>
      </c>
      <c r="B131" t="str">
        <f t="shared" si="20"/>
        <v>¬</v>
      </c>
      <c r="D131" s="16" t="s">
        <v>1475</v>
      </c>
      <c r="E131" s="17"/>
      <c r="F131" s="16" t="s">
        <v>1446</v>
      </c>
      <c r="G131" s="17"/>
      <c r="H131" s="17"/>
      <c r="I131" s="17"/>
      <c r="Y131" s="15" t="s">
        <v>1484</v>
      </c>
      <c r="Z131" s="19"/>
      <c r="AA131" s="61" t="str">
        <f t="shared" si="21"/>
        <v/>
      </c>
    </row>
    <row r="132" spans="1:32">
      <c r="A132" s="1" t="s">
        <v>131</v>
      </c>
      <c r="B132" t="str">
        <f t="shared" si="20"/>
        <v>¬</v>
      </c>
      <c r="D132" s="19"/>
      <c r="E132" s="15" t="s">
        <v>94</v>
      </c>
      <c r="F132" s="3" t="s">
        <v>1690</v>
      </c>
      <c r="G132" s="19"/>
      <c r="H132" s="19"/>
      <c r="I132" s="19"/>
      <c r="L132" s="4">
        <v>1</v>
      </c>
      <c r="M132" s="4">
        <v>1</v>
      </c>
      <c r="N132" s="4"/>
      <c r="O132" s="61">
        <f>N132</f>
        <v>0</v>
      </c>
      <c r="P132" s="60">
        <f>MIN(SUM(L132,M132,O132),R132)</f>
        <v>2</v>
      </c>
      <c r="Q132" s="61">
        <f>_xlfn.IFNA(VLOOKUP($E132,tblDomain[],3,FALSE),"")</f>
        <v>1</v>
      </c>
      <c r="R132" s="61">
        <f>_xlfn.IFNA(VLOOKUP($E132,tblDomain[],4,FALSE),"")</f>
        <v>5</v>
      </c>
      <c r="Y132" s="15" t="s">
        <v>1485</v>
      </c>
      <c r="Z132" s="19"/>
      <c r="AA132" s="61" t="str">
        <f t="shared" si="21"/>
        <v/>
      </c>
    </row>
    <row r="133" spans="1:32">
      <c r="A133" s="1" t="s">
        <v>132</v>
      </c>
      <c r="B133" t="str">
        <f t="shared" si="20"/>
        <v>¬</v>
      </c>
      <c r="D133" s="19"/>
      <c r="E133" s="15" t="s">
        <v>95</v>
      </c>
      <c r="F133" s="3"/>
      <c r="G133" s="19"/>
      <c r="H133" s="19"/>
      <c r="I133" s="19"/>
      <c r="L133" s="4">
        <v>1</v>
      </c>
      <c r="M133" s="4"/>
      <c r="N133" s="4"/>
      <c r="O133" s="61">
        <f>N133</f>
        <v>0</v>
      </c>
      <c r="P133" s="60">
        <f>MIN(SUM(L133,M133,O133),R133)</f>
        <v>1</v>
      </c>
      <c r="Q133" s="61">
        <f>_xlfn.IFNA(VLOOKUP($E133,tblDomain[],3,FALSE),"")</f>
        <v>1</v>
      </c>
      <c r="R133" s="61">
        <f>_xlfn.IFNA(VLOOKUP($E133,tblDomain[],4,FALSE),"")</f>
        <v>5</v>
      </c>
    </row>
    <row r="134" spans="1:32">
      <c r="A134" s="1" t="s">
        <v>133</v>
      </c>
      <c r="B134" t="str">
        <f t="shared" si="20"/>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2">_xlfn.LET(_xlpm.name,VLOOKUP(Y134,$E$2:$F$362,2,FALSE),_xlpm.note,VLOOKUP(Y134,$E$2:$G$362,3,FALSE),_xlpm.row,MATCH(Y134,$E$138:$E$157,0),_xlpm.dots,INDEX($P$138:$P$157,_xlpm.row),_xlpm.max,INDEX($Q$138:$Q$157,_xlpm.row),_xlpm.paid,_xlfn.IFNA(_xlpm.dots&gt;=_xlpm.max,FALSE),IF(AND(_xlpm.name&lt;&gt;"",_xlpm.paid),IF(_xlpm.note="",_xlpm.name,_xlpm.name&amp;" ("&amp;_xlpm.note&amp;")"),""))</f>
        <v/>
      </c>
      <c r="AC134" s="60" t="str" cm="1">
        <f t="array" ref="AC134">_xlfn.LET(_xlpm.raw,IFERROR(_xlfn.VSTACK(IFERROR(_xlfn._xlws.SORT(_xlfn._xlws.FILTER(AA134:AA211,AA134:AA211&lt;&gt;"")),""),IFERROR(_xlfn._xlws.SORT(_xlfn._xlws.FILTER(AA213:AA222,AA213:AA222&lt;&gt;"")),"")),""),_xlpm.sorted,IFERROR(_xlfn._xlws.FILTER(_xlpm.raw,_xlpm.raw&lt;&gt;""),""),IFERROR(LEFT(_xlpm.sorted,FIND(" (",_xlpm.sorted)-1),_xlpm.sorted))</f>
        <v/>
      </c>
      <c r="AD134" s="20" t="str" cm="1">
        <f t="array" ref="AD134">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
      </c>
      <c r="AE134" s="20" t="str">
        <f t="shared" ref="AE134:AE153" si="23">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
      </c>
      <c r="AF134" s="61" t="str" cm="1">
        <f t="array" ref="AF134">IF(AC134="","",SUMPRODUCT(($F$138:$F$157=AC134)*($G$138:$G$157=IF(AD134="","",AD134))*$P$138:$P$157))</f>
        <v/>
      </c>
    </row>
    <row r="135" spans="1:32">
      <c r="A135" s="1" t="s">
        <v>134</v>
      </c>
      <c r="B135" t="str">
        <f t="shared" si="20"/>
        <v>¬</v>
      </c>
      <c r="D135" s="19"/>
      <c r="E135" s="15" t="s">
        <v>97</v>
      </c>
      <c r="F135" s="19"/>
      <c r="G135" s="19"/>
      <c r="H135" s="19"/>
      <c r="I135" s="19"/>
      <c r="L135" s="4"/>
      <c r="M135" s="4"/>
      <c r="N135" s="4">
        <v>1</v>
      </c>
      <c r="O135" s="61">
        <f>N135</f>
        <v>1</v>
      </c>
      <c r="P135" s="60">
        <f>MIN(SUM(L135,M135,O135),R135)</f>
        <v>1</v>
      </c>
      <c r="Q135" s="61">
        <f>_xlfn.IFNA(VLOOKUP($E135,tblDomain[],3,FALSE),"")</f>
        <v>1</v>
      </c>
      <c r="R135" s="61">
        <f>_xlfn.IFNA(VLOOKUP($E135,tblDomain[],4,FALSE),"")</f>
        <v>5</v>
      </c>
      <c r="Y135" s="15" t="s">
        <v>177</v>
      </c>
      <c r="Z135" s="19"/>
      <c r="AA135" s="61" t="str">
        <f t="shared" si="22"/>
        <v/>
      </c>
      <c r="AC135" s="60"/>
      <c r="AD135" s="20"/>
      <c r="AE135" s="20" t="str">
        <f t="shared" si="23"/>
        <v/>
      </c>
      <c r="AF135" s="61" t="str" cm="1">
        <f t="array" ref="AF135">IF(AC135="","",SUMPRODUCT(($F$138:$F$157=AC135)*($G$138:$G$157=IF(AD135="","",AD135))*$P$138:$P$157))</f>
        <v/>
      </c>
    </row>
    <row r="136" spans="1:32">
      <c r="A136" s="1" t="s">
        <v>135</v>
      </c>
      <c r="B136" t="str">
        <f t="shared" si="20"/>
        <v>¬</v>
      </c>
      <c r="Y136" s="15" t="s">
        <v>178</v>
      </c>
      <c r="Z136" s="19"/>
      <c r="AA136" s="61" t="str">
        <f t="shared" si="22"/>
        <v/>
      </c>
      <c r="AC136" s="60"/>
      <c r="AD136" s="20"/>
      <c r="AE136" s="20" t="str">
        <f t="shared" si="23"/>
        <v/>
      </c>
      <c r="AF136" s="61" t="str" cm="1">
        <f t="array" ref="AF136">IF(AC136="","",SUMPRODUCT(($F$138:$F$157=AC136)*($G$138:$G$157=IF(AD136="","",AD136))*$P$138:$P$157))</f>
        <v/>
      </c>
    </row>
    <row r="137" spans="1:32">
      <c r="A137" s="1" t="s">
        <v>136</v>
      </c>
      <c r="B137" t="str">
        <f t="shared" si="20"/>
        <v>¬</v>
      </c>
      <c r="D137" s="16" t="s">
        <v>174</v>
      </c>
      <c r="E137" s="17"/>
      <c r="F137" s="17"/>
      <c r="G137" s="17"/>
      <c r="H137" s="61">
        <f>L225</f>
        <v>0</v>
      </c>
      <c r="I137" s="61">
        <f>SUM(AE134:AE155)+SUM(P125:P129)</f>
        <v>4</v>
      </c>
      <c r="Y137" s="15" t="s">
        <v>179</v>
      </c>
      <c r="Z137" s="19"/>
      <c r="AA137" s="61" t="str">
        <f t="shared" si="22"/>
        <v/>
      </c>
      <c r="AC137" s="60"/>
      <c r="AD137" s="20"/>
      <c r="AE137" s="20" t="str">
        <f t="shared" si="23"/>
        <v/>
      </c>
      <c r="AF137" s="61" t="str" cm="1">
        <f t="array" ref="AF137">IF(AC137="","",SUMPRODUCT(($F$138:$F$157=AC137)*($G$138:$G$157=IF(AD137="","",AD137))*$P$138:$P$157))</f>
        <v/>
      </c>
    </row>
    <row r="138" spans="1:32">
      <c r="A138" s="1" t="s">
        <v>137</v>
      </c>
      <c r="B138" t="str">
        <f t="shared" si="20"/>
        <v>¬</v>
      </c>
      <c r="D138" s="19"/>
      <c r="E138" s="15" t="s">
        <v>176</v>
      </c>
      <c r="F138" s="3"/>
      <c r="G138" s="3"/>
      <c r="H138" s="67" t="str">
        <f>IFERROR(IF(VLOOKUP(F138,tblManoeuvre[],8,FALSE)=0,"None",VLOOKUP(F138,tblManoeuvre[],8,FALSE)),"None")</f>
        <v>None</v>
      </c>
      <c r="I138" s="67"/>
      <c r="L138" s="4"/>
      <c r="M138" s="4"/>
      <c r="N138" s="4"/>
      <c r="O138" s="61">
        <f t="shared" ref="O138:O157" si="24">N138</f>
        <v>0</v>
      </c>
      <c r="P138" s="60">
        <f t="shared" ref="P138:P157" si="25">MIN(SUM(L138,M138,O138),R138)</f>
        <v>0</v>
      </c>
      <c r="Q138" s="61" t="str">
        <f>_xlfn.IFNA(VLOOKUP($F138,tblInfluence[],3,FALSE),"")</f>
        <v/>
      </c>
      <c r="R138" s="61" t="str">
        <f>_xlfn.IFNA(VLOOKUP($F138,tblInfluence[],4,FALSE),"")</f>
        <v/>
      </c>
      <c r="Y138" s="15" t="s">
        <v>180</v>
      </c>
      <c r="Z138" s="19"/>
      <c r="AA138" s="61" t="str">
        <f t="shared" si="22"/>
        <v/>
      </c>
      <c r="AC138" s="60"/>
      <c r="AD138" s="20"/>
      <c r="AE138" s="20" t="str">
        <f t="shared" si="23"/>
        <v/>
      </c>
      <c r="AF138" s="61" t="str" cm="1">
        <f t="array" ref="AF138">IF(AC138="","",SUMPRODUCT(($F$138:$F$157=AC138)*($G$138:$G$157=IF(AD138="","",AD138))*$P$138:$P$157))</f>
        <v/>
      </c>
    </row>
    <row r="139" spans="1:32">
      <c r="A139" s="1" t="s">
        <v>138</v>
      </c>
      <c r="B139" t="str">
        <f t="shared" si="20"/>
        <v>¬</v>
      </c>
      <c r="D139" s="19"/>
      <c r="E139" s="15" t="s">
        <v>177</v>
      </c>
      <c r="F139" s="3"/>
      <c r="G139" s="3"/>
      <c r="H139" s="67" t="str">
        <f>IFERROR(IF(VLOOKUP(F139,tblManoeuvre[],8,FALSE)=0,"None",VLOOKUP(F139,tblManoeuvre[],8,FALSE)),"None")</f>
        <v>None</v>
      </c>
      <c r="I139" s="67"/>
      <c r="L139" s="4"/>
      <c r="M139" s="4"/>
      <c r="N139" s="4"/>
      <c r="O139" s="61">
        <f t="shared" si="24"/>
        <v>0</v>
      </c>
      <c r="P139" s="60">
        <f t="shared" si="25"/>
        <v>0</v>
      </c>
      <c r="Q139" s="61" t="str">
        <f>_xlfn.IFNA(VLOOKUP($F139,tblInfluence[],3,FALSE),"")</f>
        <v/>
      </c>
      <c r="R139" s="61" t="str">
        <f>_xlfn.IFNA(VLOOKUP($F139,tblInfluence[],4,FALSE),"")</f>
        <v/>
      </c>
      <c r="Y139" s="15" t="s">
        <v>181</v>
      </c>
      <c r="Z139" s="19"/>
      <c r="AA139" s="61" t="str">
        <f t="shared" si="22"/>
        <v/>
      </c>
      <c r="AC139" s="60"/>
      <c r="AD139" s="20"/>
      <c r="AE139" s="20" t="str">
        <f t="shared" si="23"/>
        <v/>
      </c>
      <c r="AF139" s="61" t="str" cm="1">
        <f t="array" ref="AF139">IF(AC139="","",SUMPRODUCT(($F$138:$F$157=AC139)*($G$138:$G$157=IF(AD139="","",AD139))*$P$138:$P$157))</f>
        <v/>
      </c>
    </row>
    <row r="140" spans="1:32">
      <c r="A140" s="1" t="s">
        <v>139</v>
      </c>
      <c r="B140" t="str">
        <f t="shared" si="20"/>
        <v>¬</v>
      </c>
      <c r="D140" s="19"/>
      <c r="E140" s="15" t="s">
        <v>178</v>
      </c>
      <c r="F140" s="3"/>
      <c r="G140" s="3"/>
      <c r="H140" s="67" t="str">
        <f>IFERROR(IF(VLOOKUP(F140,tblManoeuvre[],8,FALSE)=0,"None",VLOOKUP(F140,tblManoeuvre[],8,FALSE)),"None")</f>
        <v>None</v>
      </c>
      <c r="I140" s="67"/>
      <c r="L140" s="4"/>
      <c r="M140" s="4"/>
      <c r="N140" s="4"/>
      <c r="O140" s="61">
        <f t="shared" si="24"/>
        <v>0</v>
      </c>
      <c r="P140" s="60">
        <f t="shared" si="25"/>
        <v>0</v>
      </c>
      <c r="Q140" s="61" t="str">
        <f>_xlfn.IFNA(VLOOKUP($F140,tblInfluence[],3,FALSE),"")</f>
        <v/>
      </c>
      <c r="R140" s="61" t="str">
        <f>_xlfn.IFNA(VLOOKUP($F140,tblInfluence[],4,FALSE),"")</f>
        <v/>
      </c>
      <c r="Y140" s="15" t="s">
        <v>182</v>
      </c>
      <c r="Z140" s="19"/>
      <c r="AA140" s="61" t="str">
        <f t="shared" si="22"/>
        <v/>
      </c>
      <c r="AC140" s="60"/>
      <c r="AD140" s="20"/>
      <c r="AE140" s="20" t="str">
        <f t="shared" si="23"/>
        <v/>
      </c>
      <c r="AF140" s="61" t="str" cm="1">
        <f t="array" ref="AF140">IF(AC140="","",SUMPRODUCT(($F$138:$F$157=AC140)*($G$138:$G$157=IF(AD140="","",AD140))*$P$138:$P$157))</f>
        <v/>
      </c>
    </row>
    <row r="141" spans="1:32">
      <c r="A141" s="1" t="s">
        <v>140</v>
      </c>
      <c r="B141" t="str">
        <f t="shared" si="20"/>
        <v>¬</v>
      </c>
      <c r="D141" s="19"/>
      <c r="E141" s="15" t="s">
        <v>179</v>
      </c>
      <c r="F141" s="3"/>
      <c r="G141" s="3"/>
      <c r="H141" s="67" t="str">
        <f>IFERROR(IF(VLOOKUP(F141,tblManoeuvre[],8,FALSE)=0,"None",VLOOKUP(F141,tblManoeuvre[],8,FALSE)),"None")</f>
        <v>None</v>
      </c>
      <c r="I141" s="67"/>
      <c r="L141" s="4"/>
      <c r="M141" s="4"/>
      <c r="N141" s="4"/>
      <c r="O141" s="61">
        <f t="shared" si="24"/>
        <v>0</v>
      </c>
      <c r="P141" s="60">
        <f t="shared" si="25"/>
        <v>0</v>
      </c>
      <c r="Q141" s="61" t="str">
        <f>_xlfn.IFNA(VLOOKUP($F141,tblInfluence[],3,FALSE),"")</f>
        <v/>
      </c>
      <c r="R141" s="61" t="str">
        <f>_xlfn.IFNA(VLOOKUP($F141,tblInfluence[],4,FALSE),"")</f>
        <v/>
      </c>
      <c r="Y141" s="15" t="s">
        <v>183</v>
      </c>
      <c r="Z141" s="19"/>
      <c r="AA141" s="61" t="str">
        <f t="shared" si="22"/>
        <v/>
      </c>
      <c r="AC141" s="60"/>
      <c r="AD141" s="20"/>
      <c r="AE141" s="20" t="str">
        <f t="shared" si="23"/>
        <v/>
      </c>
      <c r="AF141" s="61" t="str" cm="1">
        <f t="array" ref="AF141">IF(AC141="","",SUMPRODUCT(($F$138:$F$157=AC141)*($G$138:$G$157=IF(AD141="","",AD141))*$P$138:$P$157))</f>
        <v/>
      </c>
    </row>
    <row r="142" spans="1:32">
      <c r="A142" s="1" t="s">
        <v>141</v>
      </c>
      <c r="B142" t="str">
        <f t="shared" si="20"/>
        <v>¬</v>
      </c>
      <c r="D142" s="19"/>
      <c r="E142" s="15" t="s">
        <v>180</v>
      </c>
      <c r="F142" s="3"/>
      <c r="G142" s="3"/>
      <c r="H142" s="67" t="str">
        <f>IFERROR(IF(VLOOKUP(F142,tblManoeuvre[],8,FALSE)=0,"None",VLOOKUP(F142,tblManoeuvre[],8,FALSE)),"None")</f>
        <v>None</v>
      </c>
      <c r="I142" s="67"/>
      <c r="L142" s="4"/>
      <c r="M142" s="4"/>
      <c r="N142" s="4"/>
      <c r="O142" s="61">
        <f t="shared" si="24"/>
        <v>0</v>
      </c>
      <c r="P142" s="60">
        <f t="shared" si="25"/>
        <v>0</v>
      </c>
      <c r="Q142" s="61" t="str">
        <f>_xlfn.IFNA(VLOOKUP($F142,tblInfluence[],3,FALSE),"")</f>
        <v/>
      </c>
      <c r="R142" s="61" t="str">
        <f>_xlfn.IFNA(VLOOKUP($F142,tblInfluence[],4,FALSE),"")</f>
        <v/>
      </c>
      <c r="Y142" s="15" t="s">
        <v>184</v>
      </c>
      <c r="Z142" s="19"/>
      <c r="AA142" s="61" t="str">
        <f t="shared" si="22"/>
        <v/>
      </c>
      <c r="AC142" s="60"/>
      <c r="AD142" s="20"/>
      <c r="AE142" s="20" t="str">
        <f t="shared" si="23"/>
        <v/>
      </c>
      <c r="AF142" s="61" t="str" cm="1">
        <f t="array" ref="AF142">IF(AC142="","",SUMPRODUCT(($F$138:$F$157=AC142)*($G$138:$G$157=IF(AD142="","",AD142))*$P$138:$P$157))</f>
        <v/>
      </c>
    </row>
    <row r="143" spans="1:32">
      <c r="A143" s="1" t="s">
        <v>142</v>
      </c>
      <c r="B143" t="str">
        <f t="shared" si="20"/>
        <v>¬</v>
      </c>
      <c r="D143" s="19"/>
      <c r="E143" s="15" t="s">
        <v>181</v>
      </c>
      <c r="F143" s="3"/>
      <c r="G143" s="3" t="str">
        <f>IFERROR(VLOOKUP(F143,tblManoeuvre[],2,FALSE)&amp;" "&amp;VLOOKUP(F143,tblManoeuvre[],3,FALSE),"")</f>
        <v/>
      </c>
      <c r="H143" s="67" t="str">
        <f>IFERROR(IF(VLOOKUP(F143,tblManoeuvre[],8,FALSE)=0,"None",VLOOKUP(F143,tblManoeuvre[],8,FALSE)),"None")</f>
        <v>None</v>
      </c>
      <c r="I143" s="67"/>
      <c r="L143" s="4"/>
      <c r="M143" s="4"/>
      <c r="N143" s="4"/>
      <c r="O143" s="61">
        <f t="shared" si="24"/>
        <v>0</v>
      </c>
      <c r="P143" s="60">
        <f t="shared" si="25"/>
        <v>0</v>
      </c>
      <c r="Q143" s="61" t="str">
        <f>_xlfn.IFNA(VLOOKUP($F143,tblInfluence[],3,FALSE),"")</f>
        <v/>
      </c>
      <c r="R143" s="61" t="str">
        <f>_xlfn.IFNA(VLOOKUP($F143,tblInfluence[],4,FALSE),"")</f>
        <v/>
      </c>
      <c r="Y143" s="15" t="s">
        <v>185</v>
      </c>
      <c r="Z143" s="19"/>
      <c r="AA143" s="61" t="str">
        <f t="shared" si="22"/>
        <v/>
      </c>
      <c r="AC143" s="60"/>
      <c r="AD143" s="20"/>
      <c r="AE143" s="20" t="str">
        <f t="shared" si="23"/>
        <v/>
      </c>
      <c r="AF143" s="61" t="str" cm="1">
        <f t="array" ref="AF143">IF(AC143="","",SUMPRODUCT(($F$138:$F$157=AC143)*($G$138:$G$157=IF(AD143="","",AD143))*$P$138:$P$157))</f>
        <v/>
      </c>
    </row>
    <row r="144" spans="1:32">
      <c r="A144" s="1" t="s">
        <v>143</v>
      </c>
      <c r="B144" t="str">
        <f t="shared" si="20"/>
        <v>¬</v>
      </c>
      <c r="D144" s="19"/>
      <c r="E144" s="15" t="s">
        <v>182</v>
      </c>
      <c r="F144" s="3"/>
      <c r="G144" s="3"/>
      <c r="H144" s="67" t="str">
        <f>IFERROR(IF(VLOOKUP(F144,tblManoeuvre[],8,FALSE)=0,"None",VLOOKUP(F144,tblManoeuvre[],8,FALSE)),"None")</f>
        <v>None</v>
      </c>
      <c r="I144" s="67"/>
      <c r="L144" s="4"/>
      <c r="M144" s="4"/>
      <c r="N144" s="4"/>
      <c r="O144" s="61">
        <f t="shared" si="24"/>
        <v>0</v>
      </c>
      <c r="P144" s="60">
        <f t="shared" si="25"/>
        <v>0</v>
      </c>
      <c r="Q144" s="61" t="str">
        <f>_xlfn.IFNA(VLOOKUP($F144,tblInfluence[],3,FALSE),"")</f>
        <v/>
      </c>
      <c r="R144" s="61" t="str">
        <f>_xlfn.IFNA(VLOOKUP($F144,tblInfluence[],4,FALSE),"")</f>
        <v/>
      </c>
      <c r="Y144" s="15" t="s">
        <v>186</v>
      </c>
      <c r="Z144" s="19"/>
      <c r="AA144" s="61" t="str">
        <f t="shared" si="22"/>
        <v/>
      </c>
      <c r="AC144" s="60"/>
      <c r="AD144" s="20"/>
      <c r="AE144" s="20" t="str">
        <f t="shared" si="23"/>
        <v/>
      </c>
      <c r="AF144" s="61" t="str" cm="1">
        <f t="array" ref="AF144">IF(AC144="","",SUMPRODUCT(($F$138:$F$157=AC144)*($G$138:$G$157=IF(AD144="","",AD144))*$P$138:$P$157))</f>
        <v/>
      </c>
    </row>
    <row r="145" spans="1:32">
      <c r="A145" s="1" t="s">
        <v>144</v>
      </c>
      <c r="B145" t="str">
        <f t="shared" ref="B145:B174" si="26">IF(AF2="","¬",AF2)</f>
        <v>Raise one Specialty's die bonus to +2.</v>
      </c>
      <c r="D145" s="19"/>
      <c r="E145" s="15" t="s">
        <v>183</v>
      </c>
      <c r="F145" s="3"/>
      <c r="G145" s="3" t="str">
        <f>IFERROR(VLOOKUP(F145,tblManoeuvre[],2,FALSE)&amp;" "&amp;VLOOKUP(F145,tblManoeuvre[],3,FALSE),"")</f>
        <v/>
      </c>
      <c r="H145" s="67" t="str">
        <f>IFERROR(IF(VLOOKUP(F145,tblManoeuvre[],8,FALSE)=0,"None",VLOOKUP(F145,tblManoeuvre[],8,FALSE)),"None")</f>
        <v>None</v>
      </c>
      <c r="I145" s="67"/>
      <c r="L145" s="4"/>
      <c r="M145" s="4"/>
      <c r="N145" s="4"/>
      <c r="O145" s="61">
        <f t="shared" si="24"/>
        <v>0</v>
      </c>
      <c r="P145" s="60">
        <f t="shared" si="25"/>
        <v>0</v>
      </c>
      <c r="Q145" s="61" t="str">
        <f>_xlfn.IFNA(VLOOKUP($F145,tblInfluence[],3,FALSE),"")</f>
        <v/>
      </c>
      <c r="R145" s="61" t="str">
        <f>_xlfn.IFNA(VLOOKUP($F145,tblInfluence[],4,FALSE),"")</f>
        <v/>
      </c>
      <c r="Y145" s="15" t="s">
        <v>187</v>
      </c>
      <c r="Z145" s="19"/>
      <c r="AA145" s="61" t="str">
        <f t="shared" si="22"/>
        <v/>
      </c>
      <c r="AC145" s="60"/>
      <c r="AD145" s="20"/>
      <c r="AE145" s="20" t="str">
        <f t="shared" si="23"/>
        <v/>
      </c>
      <c r="AF145" s="61" t="str" cm="1">
        <f t="array" ref="AF145">IF(AC145="","",SUMPRODUCT(($F$138:$F$157=AC145)*($G$138:$G$157=IF(AD145="","",AD145))*$P$138:$P$157))</f>
        <v/>
      </c>
    </row>
    <row r="146" spans="1:32">
      <c r="A146" s="1" t="s">
        <v>145</v>
      </c>
      <c r="B146" t="str">
        <f t="shared" si="26"/>
        <v>Unnatural Aspect claws in frenzy become +2A.</v>
      </c>
      <c r="D146" s="19"/>
      <c r="E146" s="15" t="s">
        <v>184</v>
      </c>
      <c r="F146" s="3"/>
      <c r="G146" s="3" t="str">
        <f>IFERROR(VLOOKUP(F146,tblManoeuvre[],2,FALSE)&amp;" "&amp;VLOOKUP(F146,tblManoeuvre[],3,FALSE),"")</f>
        <v/>
      </c>
      <c r="H146" s="67" t="str">
        <f>IFERROR(IF(VLOOKUP(F146,tblManoeuvre[],8,FALSE)=0,"None",VLOOKUP(F146,tblManoeuvre[],8,FALSE)),"None")</f>
        <v>None</v>
      </c>
      <c r="I146" s="67"/>
      <c r="L146" s="4"/>
      <c r="M146" s="4"/>
      <c r="N146" s="4"/>
      <c r="O146" s="61">
        <f t="shared" si="24"/>
        <v>0</v>
      </c>
      <c r="P146" s="60">
        <f t="shared" si="25"/>
        <v>0</v>
      </c>
      <c r="Q146" s="61" t="str">
        <f>_xlfn.IFNA(VLOOKUP($F146,tblInfluence[],3,FALSE),"")</f>
        <v/>
      </c>
      <c r="R146" s="61" t="str">
        <f>_xlfn.IFNA(VLOOKUP($F146,tblInfluence[],4,FALSE),"")</f>
        <v/>
      </c>
      <c r="Y146" s="15" t="s">
        <v>188</v>
      </c>
      <c r="Z146" s="19"/>
      <c r="AA146" s="61" t="str">
        <f t="shared" si="22"/>
        <v/>
      </c>
      <c r="AC146" s="60"/>
      <c r="AD146" s="20"/>
      <c r="AE146" s="20" t="str">
        <f t="shared" si="23"/>
        <v/>
      </c>
      <c r="AF146" s="61" t="str" cm="1">
        <f t="array" ref="AF146">IF(AC146="","",SUMPRODUCT(($F$138:$F$157=AC146)*($G$138:$G$157=IF(AD146="","",AD146))*$P$138:$P$157))</f>
        <v/>
      </c>
    </row>
    <row r="147" spans="1:32">
      <c r="A147" s="1" t="s">
        <v>146</v>
      </c>
      <c r="B147" t="str">
        <f t="shared" si="26"/>
        <v>Substitute chosen Skill for Athletics in Defence, if equipped for that Skill.</v>
      </c>
      <c r="D147" s="19"/>
      <c r="E147" s="15" t="s">
        <v>185</v>
      </c>
      <c r="F147" s="3"/>
      <c r="G147" s="3" t="str">
        <f>IFERROR(VLOOKUP(F147,tblManoeuvre[],2,FALSE)&amp;" "&amp;VLOOKUP(F147,tblManoeuvre[],3,FALSE),"")</f>
        <v/>
      </c>
      <c r="H147" s="67" t="str">
        <f>IFERROR(IF(VLOOKUP(F147,tblManoeuvre[],8,FALSE)=0,"None",VLOOKUP(F147,tblManoeuvre[],8,FALSE)),"None")</f>
        <v>None</v>
      </c>
      <c r="I147" s="67"/>
      <c r="L147" s="4"/>
      <c r="M147" s="4"/>
      <c r="N147" s="4"/>
      <c r="O147" s="61">
        <f t="shared" si="24"/>
        <v>0</v>
      </c>
      <c r="P147" s="60">
        <f t="shared" si="25"/>
        <v>0</v>
      </c>
      <c r="Q147" s="61" t="str">
        <f>_xlfn.IFNA(VLOOKUP($F147,tblInfluence[],3,FALSE),"")</f>
        <v/>
      </c>
      <c r="R147" s="61" t="str">
        <f>_xlfn.IFNA(VLOOKUP($F147,tblInfluence[],4,FALSE),"")</f>
        <v/>
      </c>
      <c r="Y147" s="15" t="s">
        <v>189</v>
      </c>
      <c r="Z147" s="19"/>
      <c r="AA147" s="61" t="str">
        <f t="shared" si="22"/>
        <v/>
      </c>
      <c r="AC147" s="60"/>
      <c r="AD147" s="20"/>
      <c r="AE147" s="20" t="str">
        <f t="shared" si="23"/>
        <v/>
      </c>
      <c r="AF147" s="61" t="str" cm="1">
        <f t="array" ref="AF147">IF(AC147="","",SUMPRODUCT(($F$138:$F$157=AC147)*($G$138:$G$157=IF(AD147="","",AD147))*$P$138:$P$157))</f>
        <v/>
      </c>
    </row>
    <row r="148" spans="1:32">
      <c r="A148" s="1" t="s">
        <v>147</v>
      </c>
      <c r="B148" t="str">
        <f t="shared" si="26"/>
        <v>+2 to contest or resist supernatural mental influence.</v>
      </c>
      <c r="D148" s="19"/>
      <c r="E148" s="15" t="s">
        <v>186</v>
      </c>
      <c r="F148" s="3"/>
      <c r="G148" s="3" t="str">
        <f>IFERROR(VLOOKUP(F148,tblManoeuvre[],2,FALSE)&amp;" "&amp;VLOOKUP(F148,tblManoeuvre[],3,FALSE),"")</f>
        <v/>
      </c>
      <c r="H148" s="67" t="str">
        <f>IFERROR(IF(VLOOKUP(F148,tblManoeuvre[],8,FALSE)=0,"None",VLOOKUP(F148,tblManoeuvre[],8,FALSE)),"None")</f>
        <v>None</v>
      </c>
      <c r="I148" s="67"/>
      <c r="L148" s="4"/>
      <c r="M148" s="4"/>
      <c r="N148" s="4"/>
      <c r="O148" s="61">
        <f t="shared" si="24"/>
        <v>0</v>
      </c>
      <c r="P148" s="60">
        <f t="shared" si="25"/>
        <v>0</v>
      </c>
      <c r="Q148" s="61" t="str">
        <f>_xlfn.IFNA(VLOOKUP($F148,tblInfluence[],3,FALSE),"")</f>
        <v/>
      </c>
      <c r="R148" s="61" t="str">
        <f>_xlfn.IFNA(VLOOKUP($F148,tblInfluence[],4,FALSE),"")</f>
        <v/>
      </c>
      <c r="Y148" s="15" t="s">
        <v>190</v>
      </c>
      <c r="Z148" s="19"/>
      <c r="AA148" s="61" t="str">
        <f t="shared" si="22"/>
        <v/>
      </c>
      <c r="AC148" s="60"/>
      <c r="AD148" s="20"/>
      <c r="AE148" s="20" t="str">
        <f t="shared" si="23"/>
        <v/>
      </c>
      <c r="AF148" s="61" t="str" cm="1">
        <f t="array" ref="AF148">IF(AC148="","",SUMPRODUCT(($F$138:$F$157=AC148)*($G$138:$G$157=IF(AD148="","",AD148))*$P$138:$P$157))</f>
        <v/>
      </c>
    </row>
    <row r="149" spans="1:32">
      <c r="A149" s="1" t="s">
        <v>148</v>
      </c>
      <c r="B149" t="str">
        <f t="shared" si="26"/>
        <v>Beast's Skin can be a swarm (5 × Blood Potency yards). Attacks ignore Defence, deal lethal. Non-area attacks deal 1 damage max.</v>
      </c>
      <c r="D149" s="19"/>
      <c r="E149" s="15" t="s">
        <v>187</v>
      </c>
      <c r="F149" s="3"/>
      <c r="G149" s="3" t="str">
        <f>IFERROR(VLOOKUP(F149,tblManoeuvre[],2,FALSE)&amp;" "&amp;VLOOKUP(F149,tblManoeuvre[],3,FALSE),"")</f>
        <v/>
      </c>
      <c r="H149" s="67" t="str">
        <f>IFERROR(IF(VLOOKUP(F149,tblManoeuvre[],8,FALSE)=0,"None",VLOOKUP(F149,tblManoeuvre[],8,FALSE)),"None")</f>
        <v>None</v>
      </c>
      <c r="I149" s="67"/>
      <c r="L149" s="4"/>
      <c r="M149" s="4"/>
      <c r="N149" s="4"/>
      <c r="O149" s="61">
        <f t="shared" si="24"/>
        <v>0</v>
      </c>
      <c r="P149" s="60">
        <f t="shared" si="25"/>
        <v>0</v>
      </c>
      <c r="Q149" s="61" t="str">
        <f>_xlfn.IFNA(VLOOKUP($F149,tblInfluence[],3,FALSE),"")</f>
        <v/>
      </c>
      <c r="R149" s="61" t="str">
        <f>_xlfn.IFNA(VLOOKUP($F149,tblInfluence[],4,FALSE),"")</f>
        <v/>
      </c>
      <c r="Y149" s="15" t="s">
        <v>191</v>
      </c>
      <c r="Z149" s="19"/>
      <c r="AA149" s="61" t="str">
        <f t="shared" si="22"/>
        <v/>
      </c>
      <c r="AC149" s="60"/>
      <c r="AD149" s="20"/>
      <c r="AE149" s="20" t="str">
        <f t="shared" si="23"/>
        <v/>
      </c>
      <c r="AF149" s="61" t="str" cm="1">
        <f t="array" ref="AF149">IF(AC149="","",SUMPRODUCT(($F$138:$F$157=AC149)*($G$138:$G$157=IF(AD149="","",AD149))*$P$138:$P$157))</f>
        <v/>
      </c>
    </row>
    <row r="150" spans="1:32">
      <c r="A150" s="1" t="s">
        <v>149</v>
      </c>
      <c r="B150" t="str">
        <f t="shared" si="26"/>
        <v>Sacrifice your Defence and your second turn to add your Willpower as bonus dice to attack on your first turn.</v>
      </c>
      <c r="D150" s="19"/>
      <c r="E150" s="15" t="s">
        <v>188</v>
      </c>
      <c r="F150" s="3"/>
      <c r="G150" s="3" t="str">
        <f>IFERROR(VLOOKUP(F150,tblManoeuvre[],2,FALSE)&amp;" "&amp;VLOOKUP(F150,tblManoeuvre[],3,FALSE),"")</f>
        <v/>
      </c>
      <c r="H150" s="67" t="str">
        <f>IFERROR(IF(VLOOKUP(F150,tblManoeuvre[],8,FALSE)=0,"None",VLOOKUP(F150,tblManoeuvre[],8,FALSE)),"None")</f>
        <v>None</v>
      </c>
      <c r="I150" s="67"/>
      <c r="L150" s="4"/>
      <c r="M150" s="4"/>
      <c r="N150" s="4"/>
      <c r="O150" s="61">
        <f t="shared" si="24"/>
        <v>0</v>
      </c>
      <c r="P150" s="60">
        <f t="shared" si="25"/>
        <v>0</v>
      </c>
      <c r="Q150" s="61" t="str">
        <f>_xlfn.IFNA(VLOOKUP($F150,tblInfluence[],3,FALSE),"")</f>
        <v/>
      </c>
      <c r="R150" s="61" t="str">
        <f>_xlfn.IFNA(VLOOKUP($F150,tblInfluence[],4,FALSE),"")</f>
        <v/>
      </c>
      <c r="Y150" s="15" t="s">
        <v>192</v>
      </c>
      <c r="Z150" s="19"/>
      <c r="AA150" s="61" t="str">
        <f t="shared" si="22"/>
        <v/>
      </c>
      <c r="AC150" s="60"/>
      <c r="AD150" s="20"/>
      <c r="AE150" s="20" t="str">
        <f t="shared" si="23"/>
        <v/>
      </c>
      <c r="AF150" s="61" t="str" cm="1">
        <f t="array" ref="AF150">IF(AC150="","",SUMPRODUCT(($F$138:$F$157=AC150)*($G$138:$G$157=IF(AD150="","",AD150))*$P$138:$P$157))</f>
        <v/>
      </c>
    </row>
    <row r="151" spans="1:32">
      <c r="A151" s="1" t="s">
        <v>150</v>
      </c>
      <c r="B151" t="str">
        <f t="shared" si="26"/>
        <v>Add your full Willpower value when spending a point to contest or resist social or mental coercion in a combat situation.</v>
      </c>
      <c r="D151" s="19"/>
      <c r="E151" s="15" t="s">
        <v>189</v>
      </c>
      <c r="F151" s="3"/>
      <c r="G151" s="3" t="str">
        <f>IFERROR(VLOOKUP(F151,tblManoeuvre[],2,FALSE)&amp;" "&amp;VLOOKUP(F151,tblManoeuvre[],3,FALSE),"")</f>
        <v/>
      </c>
      <c r="H151" s="67" t="str">
        <f>IFERROR(IF(VLOOKUP(F151,tblManoeuvre[],8,FALSE)=0,"None",VLOOKUP(F151,tblManoeuvre[],8,FALSE)),"None")</f>
        <v>None</v>
      </c>
      <c r="I151" s="67"/>
      <c r="L151" s="4"/>
      <c r="M151" s="4"/>
      <c r="N151" s="4"/>
      <c r="O151" s="61">
        <f t="shared" si="24"/>
        <v>0</v>
      </c>
      <c r="P151" s="60">
        <f t="shared" si="25"/>
        <v>0</v>
      </c>
      <c r="Q151" s="61" t="str">
        <f>_xlfn.IFNA(VLOOKUP($F151,tblInfluence[],3,FALSE),"")</f>
        <v/>
      </c>
      <c r="R151" s="61" t="str">
        <f>_xlfn.IFNA(VLOOKUP($F151,tblInfluence[],4,FALSE),"")</f>
        <v/>
      </c>
      <c r="Y151" s="15" t="s">
        <v>193</v>
      </c>
      <c r="Z151" s="19"/>
      <c r="AA151" s="61" t="str">
        <f t="shared" si="22"/>
        <v/>
      </c>
      <c r="AC151" s="60"/>
      <c r="AD151" s="20"/>
      <c r="AE151" s="20" t="str">
        <f t="shared" si="23"/>
        <v/>
      </c>
      <c r="AF151" s="61" t="str" cm="1">
        <f t="array" ref="AF151">IF(AC151="","",SUMPRODUCT(($F$138:$F$157=AC151)*($G$138:$G$157=IF(AD151="","",AD151))*$P$138:$P$157))</f>
        <v/>
      </c>
    </row>
    <row r="152" spans="1:32">
      <c r="A152" s="1" t="s">
        <v>151</v>
      </c>
      <c r="B152" t="str">
        <f t="shared" si="26"/>
        <v>During combat only, ignore wound penalties and do not fall to torpor from injury.</v>
      </c>
      <c r="D152" s="19"/>
      <c r="E152" s="15" t="s">
        <v>190</v>
      </c>
      <c r="F152" s="3"/>
      <c r="G152" s="3" t="str">
        <f>IFERROR(VLOOKUP(F152,tblManoeuvre[],2,FALSE)&amp;" "&amp;VLOOKUP(F152,tblManoeuvre[],3,FALSE),"")</f>
        <v/>
      </c>
      <c r="H152" s="67" t="str">
        <f>IFERROR(IF(VLOOKUP(F152,tblManoeuvre[],8,FALSE)=0,"None",VLOOKUP(F152,tblManoeuvre[],8,FALSE)),"None")</f>
        <v>None</v>
      </c>
      <c r="I152" s="67"/>
      <c r="L152" s="4"/>
      <c r="M152" s="4"/>
      <c r="N152" s="4"/>
      <c r="O152" s="61">
        <f t="shared" si="24"/>
        <v>0</v>
      </c>
      <c r="P152" s="60">
        <f t="shared" si="25"/>
        <v>0</v>
      </c>
      <c r="Q152" s="61" t="str">
        <f>_xlfn.IFNA(VLOOKUP($F152,tblInfluence[],3,FALSE),"")</f>
        <v/>
      </c>
      <c r="R152" s="61" t="str">
        <f>_xlfn.IFNA(VLOOKUP($F152,tblInfluence[],4,FALSE),"")</f>
        <v/>
      </c>
      <c r="Y152" s="15" t="s">
        <v>194</v>
      </c>
      <c r="Z152" s="19"/>
      <c r="AA152" s="61" t="str">
        <f t="shared" si="22"/>
        <v/>
      </c>
      <c r="AC152" s="60"/>
      <c r="AD152" s="20"/>
      <c r="AE152" s="20" t="str">
        <f t="shared" si="23"/>
        <v/>
      </c>
      <c r="AF152" s="61" t="str" cm="1">
        <f t="array" ref="AF152">IF(AC152="","",SUMPRODUCT(($F$138:$F$157=AC152)*($G$138:$G$157=IF(AD152="","",AD152))*$P$138:$P$157))</f>
        <v/>
      </c>
    </row>
    <row r="153" spans="1:32">
      <c r="A153" s="1" t="s">
        <v>152</v>
      </c>
      <c r="B153" t="str">
        <f t="shared" si="26"/>
        <v>Bite attacks take a 1L weapon rating.</v>
      </c>
      <c r="D153" s="19"/>
      <c r="E153" s="15" t="s">
        <v>191</v>
      </c>
      <c r="F153" s="3"/>
      <c r="G153" s="3" t="str">
        <f>IFERROR(VLOOKUP(F153,tblManoeuvre[],2,FALSE)&amp;" "&amp;VLOOKUP(F153,tblManoeuvre[],3,FALSE),"")</f>
        <v/>
      </c>
      <c r="H153" s="67" t="str">
        <f>IFERROR(IF(VLOOKUP(F153,tblManoeuvre[],8,FALSE)=0,"None",VLOOKUP(F153,tblManoeuvre[],8,FALSE)),"None")</f>
        <v>None</v>
      </c>
      <c r="I153" s="67"/>
      <c r="L153" s="4"/>
      <c r="M153" s="4"/>
      <c r="N153" s="4"/>
      <c r="O153" s="61">
        <f t="shared" si="24"/>
        <v>0</v>
      </c>
      <c r="P153" s="60">
        <f t="shared" si="25"/>
        <v>0</v>
      </c>
      <c r="Q153" s="61" t="str">
        <f>_xlfn.IFNA(VLOOKUP($F153,tblInfluence[],3,FALSE),"")</f>
        <v/>
      </c>
      <c r="R153" s="61" t="str">
        <f>_xlfn.IFNA(VLOOKUP($F153,tblInfluence[],4,FALSE),"")</f>
        <v/>
      </c>
      <c r="Y153" s="15" t="s">
        <v>195</v>
      </c>
      <c r="Z153" s="19"/>
      <c r="AA153" s="61" t="str">
        <f t="shared" si="22"/>
        <v/>
      </c>
      <c r="AC153" s="60"/>
      <c r="AD153" s="20"/>
      <c r="AE153" s="20" t="str">
        <f t="shared" si="23"/>
        <v/>
      </c>
      <c r="AF153" s="61" t="str" cm="1">
        <f t="array" ref="AF153">IF(AC153="","",SUMPRODUCT(($F$138:$F$157=AC153)*($G$138:$G$157=IF(AD153="","",AD153))*$P$138:$P$157))</f>
        <v/>
      </c>
    </row>
    <row r="154" spans="1:32">
      <c r="A154" s="1" t="s">
        <v>153</v>
      </c>
      <c r="B154" t="str">
        <f t="shared" si="26"/>
        <v>Double your Strength bonus from frenzy when lifting, jumping, or destroying objects.</v>
      </c>
      <c r="D154" s="19"/>
      <c r="E154" s="15" t="s">
        <v>192</v>
      </c>
      <c r="F154" s="3"/>
      <c r="G154" s="3" t="str">
        <f>IFERROR(VLOOKUP(F154,tblManoeuvre[],2,FALSE)&amp;" "&amp;VLOOKUP(F154,tblManoeuvre[],3,FALSE),"")</f>
        <v/>
      </c>
      <c r="H154" s="67" t="str">
        <f>IFERROR(IF(VLOOKUP(F154,tblManoeuvre[],8,FALSE)=0,"None",VLOOKUP(F154,tblManoeuvre[],8,FALSE)),"None")</f>
        <v>None</v>
      </c>
      <c r="I154" s="67"/>
      <c r="L154" s="4"/>
      <c r="M154" s="4"/>
      <c r="N154" s="4"/>
      <c r="O154" s="61">
        <f t="shared" si="24"/>
        <v>0</v>
      </c>
      <c r="P154" s="60">
        <f t="shared" si="25"/>
        <v>0</v>
      </c>
      <c r="Q154" s="61" t="str">
        <f>_xlfn.IFNA(VLOOKUP($F154,tblInfluence[],3,FALSE),"")</f>
        <v/>
      </c>
      <c r="R154" s="61" t="str">
        <f>_xlfn.IFNA(VLOOKUP($F154,tblInfluence[],4,FALSE),"")</f>
        <v/>
      </c>
    </row>
    <row r="155" spans="1:32">
      <c r="A155" s="1" t="s">
        <v>154</v>
      </c>
      <c r="B155" t="str">
        <f t="shared" si="26"/>
        <v>When you spend Willpower to ride the wave, you also apply the normal +3 action bonus.</v>
      </c>
      <c r="D155" s="19"/>
      <c r="E155" s="15" t="s">
        <v>193</v>
      </c>
      <c r="F155" s="3"/>
      <c r="G155" s="3" t="str">
        <f>IFERROR(VLOOKUP(F155,tblManoeuvre[],2,FALSE)&amp;" "&amp;VLOOKUP(F155,tblManoeuvre[],3,FALSE),"")</f>
        <v/>
      </c>
      <c r="H155" s="67" t="str">
        <f>IFERROR(IF(VLOOKUP(F155,tblManoeuvre[],8,FALSE)=0,"None",VLOOKUP(F155,tblManoeuvre[],8,FALSE)),"None")</f>
        <v>None</v>
      </c>
      <c r="I155" s="67"/>
      <c r="L155" s="4"/>
      <c r="M155" s="4"/>
      <c r="N155" s="4"/>
      <c r="O155" s="61">
        <f t="shared" si="24"/>
        <v>0</v>
      </c>
      <c r="P155" s="60">
        <f t="shared" si="25"/>
        <v>0</v>
      </c>
      <c r="Q155" s="61" t="str">
        <f>_xlfn.IFNA(VLOOKUP($F155,tblInfluence[],3,FALSE),"")</f>
        <v/>
      </c>
      <c r="R155" s="61" t="str">
        <f>_xlfn.IFNA(VLOOKUP($F155,tblInfluence[],4,FALSE),"")</f>
        <v/>
      </c>
      <c r="AE155" s="61">
        <f>IF(P160=5,1,0)</f>
        <v>0</v>
      </c>
    </row>
    <row r="156" spans="1:32">
      <c r="A156" s="1" t="s">
        <v>155</v>
      </c>
      <c r="B156" t="str">
        <f t="shared" si="26"/>
        <v>After a scene where you rode the wave, recover any Willpower spent to do so.</v>
      </c>
      <c r="D156" s="19"/>
      <c r="E156" s="15" t="s">
        <v>194</v>
      </c>
      <c r="F156" s="3"/>
      <c r="G156" s="3" t="str">
        <f>IFERROR(VLOOKUP(F156,tblManoeuvre[],2,FALSE)&amp;" "&amp;VLOOKUP(F156,tblManoeuvre[],3,FALSE),"")</f>
        <v/>
      </c>
      <c r="H156" s="67" t="str">
        <f>IFERROR(IF(VLOOKUP(F156,tblManoeuvre[],8,FALSE)=0,"None",VLOOKUP(F156,tblManoeuvre[],8,FALSE)),"None")</f>
        <v>None</v>
      </c>
      <c r="I156" s="67"/>
      <c r="L156" s="4"/>
      <c r="M156" s="4"/>
      <c r="N156" s="4"/>
      <c r="O156" s="61">
        <f t="shared" si="24"/>
        <v>0</v>
      </c>
      <c r="P156" s="60">
        <f t="shared" si="25"/>
        <v>0</v>
      </c>
      <c r="Q156" s="61" t="str">
        <f>_xlfn.IFNA(VLOOKUP($F156,tblInfluence[],3,FALSE),"")</f>
        <v/>
      </c>
      <c r="R156" s="61" t="str">
        <f>_xlfn.IFNA(VLOOKUP($F156,tblInfluence[],4,FALSE),"")</f>
        <v/>
      </c>
      <c r="AE156" s="61" t="b">
        <f>COUNTIF(AA2:AA21,"*Honey With Vinegar*")&gt;0</f>
        <v>0</v>
      </c>
    </row>
    <row r="157" spans="1:32">
      <c r="A157" s="1" t="s">
        <v>156</v>
      </c>
      <c r="B157" t="str">
        <f t="shared" si="26"/>
        <v>¬</v>
      </c>
      <c r="D157" s="19"/>
      <c r="E157" s="15" t="s">
        <v>195</v>
      </c>
      <c r="F157" s="3"/>
      <c r="G157" s="3" t="str">
        <f>IFERROR(VLOOKUP(F157,tblManoeuvre[],2,FALSE)&amp;" "&amp;VLOOKUP(F157,tblManoeuvre[],3,FALSE),"")</f>
        <v/>
      </c>
      <c r="H157" s="67" t="str">
        <f>IFERROR(IF(VLOOKUP(F157,tblManoeuvre[],8,FALSE)=0,"None",VLOOKUP(F157,tblManoeuvre[],8,FALSE)),"None")</f>
        <v>None</v>
      </c>
      <c r="I157" s="67"/>
      <c r="L157" s="4"/>
      <c r="M157" s="4"/>
      <c r="N157" s="4"/>
      <c r="O157" s="61">
        <f t="shared" si="24"/>
        <v>0</v>
      </c>
      <c r="P157" s="60">
        <f t="shared" si="25"/>
        <v>0</v>
      </c>
      <c r="Q157" s="61" t="str">
        <f>_xlfn.IFNA(VLOOKUP($F157,tblInfluence[],3,FALSE),"")</f>
        <v/>
      </c>
      <c r="R157" s="61" t="str">
        <f>_xlfn.IFNA(VLOOKUP($F157,tblInfluence[],4,FALSE),"")</f>
        <v/>
      </c>
    </row>
    <row r="158" spans="1:32">
      <c r="A158" s="1" t="s">
        <v>157</v>
      </c>
      <c r="B158" t="str">
        <f t="shared" si="26"/>
        <v>¬</v>
      </c>
    </row>
    <row r="159" spans="1:32">
      <c r="A159" s="1" t="s">
        <v>158</v>
      </c>
      <c r="B159" t="str">
        <f t="shared" si="26"/>
        <v>¬</v>
      </c>
      <c r="D159" s="16" t="s">
        <v>1486</v>
      </c>
      <c r="E159" s="17"/>
      <c r="F159" s="17" t="s">
        <v>1487</v>
      </c>
      <c r="G159" s="17"/>
      <c r="H159" s="17"/>
      <c r="I159" s="17"/>
    </row>
    <row r="160" spans="1:32">
      <c r="A160" s="1" t="s">
        <v>159</v>
      </c>
      <c r="B160" t="str">
        <f t="shared" si="26"/>
        <v>¬</v>
      </c>
      <c r="D160" s="19"/>
      <c r="E160" s="15" t="s">
        <v>98</v>
      </c>
      <c r="F160" s="3"/>
      <c r="G160" s="60"/>
      <c r="H160" s="60"/>
      <c r="I160" s="60"/>
      <c r="L160" s="4"/>
      <c r="M160" s="4"/>
      <c r="N160" s="4"/>
      <c r="O160" s="61">
        <f>N160</f>
        <v>0</v>
      </c>
      <c r="P160" s="60">
        <f>MIN(SUM(L160,M160,O160),R160)</f>
        <v>0</v>
      </c>
      <c r="Q160" s="61">
        <v>1</v>
      </c>
      <c r="R160" s="61">
        <v>5</v>
      </c>
    </row>
    <row r="161" spans="1:18">
      <c r="A161" s="1" t="s">
        <v>160</v>
      </c>
      <c r="B161" t="str">
        <f t="shared" si="26"/>
        <v>¬</v>
      </c>
      <c r="D161" s="19"/>
      <c r="E161" s="15" t="s">
        <v>100</v>
      </c>
      <c r="F161" s="3"/>
      <c r="G161" s="60"/>
      <c r="H161" s="60"/>
      <c r="I161" s="60"/>
      <c r="L161" s="4"/>
      <c r="M161" s="4"/>
      <c r="N161" s="4"/>
      <c r="O161" s="61">
        <f>N161</f>
        <v>0</v>
      </c>
      <c r="P161" s="60">
        <f>MIN(SUM(L161,M161,O161),R161)</f>
        <v>0</v>
      </c>
      <c r="Q161" s="61">
        <v>1</v>
      </c>
      <c r="R161" s="61">
        <v>5</v>
      </c>
    </row>
    <row r="162" spans="1:18">
      <c r="A162" s="1" t="s">
        <v>161</v>
      </c>
      <c r="B162" t="str">
        <f t="shared" si="26"/>
        <v>¬</v>
      </c>
    </row>
    <row r="163" spans="1:18" ht="15.75" thickBot="1">
      <c r="A163" s="1" t="s">
        <v>162</v>
      </c>
      <c r="B163" t="str">
        <f t="shared" si="26"/>
        <v>¬</v>
      </c>
      <c r="D163" s="14" t="s">
        <v>1488</v>
      </c>
      <c r="E163" s="14"/>
      <c r="F163" s="14"/>
      <c r="G163" s="14"/>
      <c r="H163" s="14"/>
      <c r="I163" s="14"/>
      <c r="N163" s="60">
        <f>SUM(N165:N174)+SUM(N177:N181)+SUM(N184:N185)+SUM(N187:N191)+SUM(N194:N203)</f>
        <v>18</v>
      </c>
    </row>
    <row r="164" spans="1:18">
      <c r="A164" s="1" t="s">
        <v>163</v>
      </c>
      <c r="B164" t="str">
        <f t="shared" si="26"/>
        <v>¬</v>
      </c>
      <c r="D164" s="16" t="s">
        <v>1489</v>
      </c>
      <c r="E164" s="15" t="s">
        <v>1490</v>
      </c>
      <c r="F164" s="61" t="str">
        <f>IFERROR(IF($F$8="",VLOOKUP($F$7,tblClans[],5,FALSE),VLOOKUP($F$8,tblBloodlines[],5,FALSE)),"")</f>
        <v>Animalism</v>
      </c>
      <c r="G164" s="61" t="str">
        <f>IFERROR(IF($F$8="",VLOOKUP($F$7,tblClans[],6,FALSE),VLOOKUP($F$8,tblBloodlines[],6,FALSE)),"")</f>
        <v>Dominate</v>
      </c>
      <c r="H164" s="61" t="str">
        <f>IFERROR(IF($F$8="",VLOOKUP($F$7,tblClans[],7,FALSE),VLOOKUP($F$8,tblBloodlines[],7,FALSE)),"")</f>
        <v>Protean</v>
      </c>
      <c r="I164" s="61" t="str">
        <f>IFERROR(IF($F$8="",VLOOKUP($F$7,tblClans[],8,FALSE),VLOOKUP($F$8,tblBloodlines[],8,FALSE)),"")</f>
        <v>Resilience</v>
      </c>
      <c r="L164" s="60">
        <f>3-SUM(L165:L174)-SUM(L184:L185)</f>
        <v>0</v>
      </c>
    </row>
    <row r="165" spans="1:18">
      <c r="A165" s="1" t="s">
        <v>164</v>
      </c>
      <c r="B165" t="str">
        <f t="shared" si="26"/>
        <v>¬</v>
      </c>
      <c r="D165" s="19"/>
      <c r="E165" s="15" t="s">
        <v>236</v>
      </c>
      <c r="F165" s="19"/>
      <c r="G165" s="19"/>
      <c r="H165" s="19"/>
      <c r="I165" s="19"/>
      <c r="L165" s="4"/>
      <c r="N165" s="4"/>
      <c r="O165" s="61">
        <f t="shared" ref="O165:O174" si="27">ROUNDDOWN(IF(COUNTIF($F$164:$I$164,$E165)&gt;0,N165/3,N165/4),0)</f>
        <v>0</v>
      </c>
      <c r="P165" s="60">
        <f>MIN(SUM(L165,O165),R165)</f>
        <v>0</v>
      </c>
      <c r="Q165" s="61">
        <v>0</v>
      </c>
      <c r="R165" s="61">
        <v>5</v>
      </c>
    </row>
    <row r="166" spans="1:18">
      <c r="A166" s="1" t="s">
        <v>165</v>
      </c>
      <c r="B166" t="str">
        <f t="shared" si="26"/>
        <v>¬</v>
      </c>
      <c r="D166" s="19"/>
      <c r="E166" s="15" t="s">
        <v>237</v>
      </c>
      <c r="F166" s="19"/>
      <c r="G166" s="19"/>
      <c r="H166" s="19"/>
      <c r="I166" s="19"/>
      <c r="L166" s="4"/>
      <c r="N166" s="4"/>
      <c r="O166" s="61">
        <f t="shared" si="27"/>
        <v>0</v>
      </c>
      <c r="P166" s="60">
        <f t="shared" ref="P166:P174" si="28">MIN(SUM(L166,O166),R166)</f>
        <v>0</v>
      </c>
      <c r="Q166" s="61">
        <v>0</v>
      </c>
      <c r="R166" s="61">
        <v>5</v>
      </c>
    </row>
    <row r="167" spans="1:18">
      <c r="A167" s="1" t="s">
        <v>166</v>
      </c>
      <c r="B167" t="str">
        <f t="shared" si="26"/>
        <v>¬</v>
      </c>
      <c r="D167" s="19"/>
      <c r="E167" s="15" t="s">
        <v>238</v>
      </c>
      <c r="F167" s="19"/>
      <c r="G167" s="19"/>
      <c r="H167" s="19"/>
      <c r="I167" s="19"/>
      <c r="L167" s="4"/>
      <c r="N167" s="4"/>
      <c r="O167" s="61">
        <f t="shared" si="27"/>
        <v>0</v>
      </c>
      <c r="P167" s="60">
        <f t="shared" si="28"/>
        <v>0</v>
      </c>
      <c r="Q167" s="61">
        <v>0</v>
      </c>
      <c r="R167" s="61">
        <v>5</v>
      </c>
    </row>
    <row r="168" spans="1:18">
      <c r="A168" s="1" t="s">
        <v>167</v>
      </c>
      <c r="B168" t="str">
        <f t="shared" si="26"/>
        <v>¬</v>
      </c>
      <c r="D168" s="19"/>
      <c r="E168" s="15" t="s">
        <v>239</v>
      </c>
      <c r="F168" s="19"/>
      <c r="G168" s="19"/>
      <c r="H168" s="19"/>
      <c r="I168" s="19"/>
      <c r="L168" s="4"/>
      <c r="N168" s="4">
        <v>3</v>
      </c>
      <c r="O168" s="61">
        <f t="shared" si="27"/>
        <v>1</v>
      </c>
      <c r="P168" s="60">
        <f t="shared" si="28"/>
        <v>1</v>
      </c>
      <c r="Q168" s="61">
        <v>0</v>
      </c>
      <c r="R168" s="61">
        <v>5</v>
      </c>
    </row>
    <row r="169" spans="1:18">
      <c r="A169" s="1" t="s">
        <v>168</v>
      </c>
      <c r="B169" t="str">
        <f t="shared" si="26"/>
        <v>¬</v>
      </c>
      <c r="D169" s="19"/>
      <c r="E169" s="15" t="s">
        <v>240</v>
      </c>
      <c r="F169" s="19"/>
      <c r="G169" s="19"/>
      <c r="H169" s="19"/>
      <c r="I169" s="19"/>
      <c r="L169" s="4"/>
      <c r="N169" s="4"/>
      <c r="O169" s="61">
        <f t="shared" si="27"/>
        <v>0</v>
      </c>
      <c r="P169" s="60">
        <f t="shared" si="28"/>
        <v>0</v>
      </c>
      <c r="Q169" s="61">
        <v>0</v>
      </c>
      <c r="R169" s="61">
        <v>5</v>
      </c>
    </row>
    <row r="170" spans="1:18">
      <c r="A170" s="1" t="s">
        <v>169</v>
      </c>
      <c r="B170" t="str">
        <f t="shared" si="26"/>
        <v>¬</v>
      </c>
      <c r="D170" s="19"/>
      <c r="E170" s="15" t="s">
        <v>241</v>
      </c>
      <c r="F170" s="19"/>
      <c r="G170" s="19"/>
      <c r="H170" s="19"/>
      <c r="I170" s="19"/>
      <c r="L170" s="4"/>
      <c r="N170" s="4"/>
      <c r="O170" s="61">
        <f t="shared" si="27"/>
        <v>0</v>
      </c>
      <c r="P170" s="60">
        <f t="shared" si="28"/>
        <v>0</v>
      </c>
      <c r="Q170" s="61">
        <v>0</v>
      </c>
      <c r="R170" s="61">
        <v>5</v>
      </c>
    </row>
    <row r="171" spans="1:18">
      <c r="A171" s="1" t="s">
        <v>170</v>
      </c>
      <c r="B171" t="str">
        <f t="shared" si="26"/>
        <v>¬</v>
      </c>
      <c r="D171" s="19"/>
      <c r="E171" s="15" t="s">
        <v>242</v>
      </c>
      <c r="F171" s="19"/>
      <c r="G171" s="19"/>
      <c r="H171" s="19"/>
      <c r="I171" s="19"/>
      <c r="L171" s="4"/>
      <c r="N171" s="4"/>
      <c r="O171" s="61">
        <f t="shared" si="27"/>
        <v>0</v>
      </c>
      <c r="P171" s="60">
        <f t="shared" si="28"/>
        <v>0</v>
      </c>
      <c r="Q171" s="61">
        <v>0</v>
      </c>
      <c r="R171" s="61">
        <v>5</v>
      </c>
    </row>
    <row r="172" spans="1:18">
      <c r="A172" s="1" t="s">
        <v>171</v>
      </c>
      <c r="B172" t="str">
        <f t="shared" si="26"/>
        <v>¬</v>
      </c>
      <c r="D172" s="19"/>
      <c r="E172" s="15" t="s">
        <v>243</v>
      </c>
      <c r="F172" s="19"/>
      <c r="G172" s="19"/>
      <c r="H172" s="19"/>
      <c r="I172" s="19"/>
      <c r="L172" s="4">
        <v>2</v>
      </c>
      <c r="N172" s="4">
        <v>6</v>
      </c>
      <c r="O172" s="61">
        <f t="shared" si="27"/>
        <v>2</v>
      </c>
      <c r="P172" s="60">
        <f t="shared" si="28"/>
        <v>4</v>
      </c>
      <c r="Q172" s="61">
        <v>0</v>
      </c>
      <c r="R172" s="61">
        <v>5</v>
      </c>
    </row>
    <row r="173" spans="1:18">
      <c r="A173" s="1" t="s">
        <v>172</v>
      </c>
      <c r="B173" t="str">
        <f t="shared" si="26"/>
        <v>¬</v>
      </c>
      <c r="D173" s="19"/>
      <c r="E173" s="15" t="s">
        <v>244</v>
      </c>
      <c r="F173" s="19"/>
      <c r="G173" s="19"/>
      <c r="H173" s="19"/>
      <c r="I173" s="19"/>
      <c r="L173" s="4"/>
      <c r="N173" s="4">
        <v>3</v>
      </c>
      <c r="O173" s="61">
        <f t="shared" si="27"/>
        <v>1</v>
      </c>
      <c r="P173" s="60">
        <f t="shared" si="28"/>
        <v>1</v>
      </c>
      <c r="Q173" s="61">
        <v>0</v>
      </c>
      <c r="R173" s="61">
        <v>5</v>
      </c>
    </row>
    <row r="174" spans="1:18">
      <c r="A174" s="1" t="s">
        <v>173</v>
      </c>
      <c r="B174" t="str">
        <f t="shared" si="26"/>
        <v>¬</v>
      </c>
      <c r="D174" s="19"/>
      <c r="E174" s="15" t="s">
        <v>245</v>
      </c>
      <c r="F174" s="19"/>
      <c r="G174" s="19"/>
      <c r="H174" s="19"/>
      <c r="I174" s="19"/>
      <c r="L174" s="4">
        <v>1</v>
      </c>
      <c r="N174" s="4">
        <v>4</v>
      </c>
      <c r="O174" s="61">
        <f t="shared" si="27"/>
        <v>1</v>
      </c>
      <c r="P174" s="60">
        <f t="shared" si="28"/>
        <v>2</v>
      </c>
      <c r="Q174" s="61">
        <v>0</v>
      </c>
      <c r="R174" s="61">
        <v>5</v>
      </c>
    </row>
    <row r="175" spans="1:18">
      <c r="A175" s="1" t="s">
        <v>174</v>
      </c>
      <c r="B175" t="str">
        <f>_xlfn.CONCAT(I137-H137," / ",I137)</f>
        <v>4 / 4</v>
      </c>
    </row>
    <row r="176" spans="1:18">
      <c r="A176" s="1" t="s">
        <v>175</v>
      </c>
      <c r="B176" t="str">
        <f>REPT("□",I137-H137) &amp; REPT("■",H137)</f>
        <v>□□□□</v>
      </c>
      <c r="D176" s="16" t="s">
        <v>1491</v>
      </c>
      <c r="E176" s="16"/>
      <c r="F176" s="16"/>
      <c r="G176" s="16"/>
      <c r="H176" s="16"/>
      <c r="I176" s="16"/>
    </row>
    <row r="177" spans="1:18">
      <c r="A177" s="1" t="s">
        <v>176</v>
      </c>
      <c r="B177" t="str">
        <f t="shared" ref="B177:B196" si="29">IF(AC134="","¬",AC134)</f>
        <v>¬</v>
      </c>
      <c r="D177" s="19"/>
      <c r="E177" s="15" t="s">
        <v>1492</v>
      </c>
      <c r="F177" s="3" t="s">
        <v>1691</v>
      </c>
      <c r="G177" s="19"/>
      <c r="H177" s="72" t="str">
        <f>IFERROR(IF(VLOOKUP(F177,tblDisciplines[],14,FALSE)=0,"None",VLOOKUP(F177,tblDisciplines[],14,FALSE)),"None")</f>
        <v>Prot 3, Resl 1</v>
      </c>
      <c r="I177" s="73"/>
      <c r="N177" s="4">
        <v>2</v>
      </c>
      <c r="O177" s="61">
        <f>N177</f>
        <v>2</v>
      </c>
      <c r="P177" s="60">
        <f>IF(O177=R177,O177,"")</f>
        <v>2</v>
      </c>
      <c r="R177" s="61">
        <f>_xlfn.IFNA(VLOOKUP(F177,tblDisciplines[],15,FALSE),"")</f>
        <v>2</v>
      </c>
    </row>
    <row r="178" spans="1:18">
      <c r="A178" s="1" t="s">
        <v>177</v>
      </c>
      <c r="B178" t="str">
        <f t="shared" si="29"/>
        <v>¬</v>
      </c>
      <c r="D178" s="19"/>
      <c r="E178" s="15" t="s">
        <v>1493</v>
      </c>
      <c r="F178" s="3"/>
      <c r="G178" s="19"/>
      <c r="H178" s="72" t="str">
        <f>IFERROR(IF(VLOOKUP(F178,tblDisciplines[],14,FALSE)=0,"None",VLOOKUP(F178,tblDisciplines[],14,FALSE)),"None")</f>
        <v>None</v>
      </c>
      <c r="I178" s="73"/>
      <c r="N178" s="4"/>
      <c r="O178" s="61">
        <f>N178</f>
        <v>0</v>
      </c>
      <c r="P178" s="60" t="str">
        <f>IF(O178=R178,O178,"")</f>
        <v/>
      </c>
      <c r="R178" s="61" t="str">
        <f>_xlfn.IFNA(VLOOKUP(F178,tblDisciplines[],15,FALSE),"")</f>
        <v/>
      </c>
    </row>
    <row r="179" spans="1:18">
      <c r="A179" s="1" t="s">
        <v>178</v>
      </c>
      <c r="B179" t="str">
        <f t="shared" si="29"/>
        <v>¬</v>
      </c>
      <c r="D179" s="19"/>
      <c r="E179" s="15" t="s">
        <v>1494</v>
      </c>
      <c r="F179" s="3"/>
      <c r="G179" s="19"/>
      <c r="H179" s="72" t="str">
        <f>IFERROR(IF(VLOOKUP(F179,tblDisciplines[],14,FALSE)=0,"None",VLOOKUP(F179,tblDisciplines[],14,FALSE)),"None")</f>
        <v>None</v>
      </c>
      <c r="I179" s="73"/>
      <c r="N179" s="4"/>
      <c r="O179" s="61">
        <f>N179</f>
        <v>0</v>
      </c>
      <c r="P179" s="60" t="str">
        <f>IF(O179=R179,O179,"")</f>
        <v/>
      </c>
      <c r="R179" s="61" t="str">
        <f>_xlfn.IFNA(VLOOKUP(F179,tblDisciplines[],15,FALSE),"")</f>
        <v/>
      </c>
    </row>
    <row r="180" spans="1:18">
      <c r="A180" s="1" t="s">
        <v>179</v>
      </c>
      <c r="B180" t="str">
        <f t="shared" si="29"/>
        <v>¬</v>
      </c>
      <c r="D180" s="19"/>
      <c r="E180" s="15" t="s">
        <v>1495</v>
      </c>
      <c r="F180" s="3"/>
      <c r="G180" s="19"/>
      <c r="H180" s="72" t="str">
        <f>IFERROR(IF(VLOOKUP(F180,tblDisciplines[],14,FALSE)=0,"None",VLOOKUP(F180,tblDisciplines[],14,FALSE)),"None")</f>
        <v>None</v>
      </c>
      <c r="I180" s="73"/>
      <c r="N180" s="4"/>
      <c r="O180" s="61">
        <f>N180</f>
        <v>0</v>
      </c>
      <c r="P180" s="60" t="str">
        <f>IF(O180=R180,O180,"")</f>
        <v/>
      </c>
      <c r="R180" s="61" t="str">
        <f>_xlfn.IFNA(VLOOKUP(F180,tblDisciplines[],15,FALSE),"")</f>
        <v/>
      </c>
    </row>
    <row r="181" spans="1:18">
      <c r="A181" s="1" t="s">
        <v>180</v>
      </c>
      <c r="B181" t="str">
        <f t="shared" si="29"/>
        <v>¬</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29"/>
        <v>¬</v>
      </c>
    </row>
    <row r="183" spans="1:18">
      <c r="A183" s="1" t="s">
        <v>182</v>
      </c>
      <c r="B183" t="str">
        <f t="shared" si="29"/>
        <v>¬</v>
      </c>
      <c r="D183" s="16" t="s">
        <v>1497</v>
      </c>
      <c r="E183" s="16"/>
      <c r="F183" s="16"/>
      <c r="G183" s="16"/>
      <c r="H183" s="16"/>
      <c r="I183" s="16"/>
    </row>
    <row r="184" spans="1:18">
      <c r="A184" s="1" t="s">
        <v>183</v>
      </c>
      <c r="B184" t="str">
        <f t="shared" si="29"/>
        <v>¬</v>
      </c>
      <c r="D184" s="19"/>
      <c r="E184" s="15" t="s">
        <v>246</v>
      </c>
      <c r="F184" s="19"/>
      <c r="G184" s="19"/>
      <c r="H184" s="19"/>
      <c r="I184" s="60" t="b">
        <f>IF(OR(F$9="Circle of the Crone",COUNTIF(F$79:F$93,"Chorister")&gt;0),TRUE,FALSE)</f>
        <v>0</v>
      </c>
      <c r="L184" s="4"/>
      <c r="N184" s="4"/>
      <c r="O184" s="61">
        <f>ROUNDDOWN(N184/4,0)</f>
        <v>0</v>
      </c>
      <c r="P184" s="60">
        <f>SUM(L184,O184)</f>
        <v>0</v>
      </c>
      <c r="Q184" s="61">
        <v>0</v>
      </c>
      <c r="R184" s="61">
        <v>5</v>
      </c>
    </row>
    <row r="185" spans="1:18">
      <c r="A185" s="1" t="s">
        <v>184</v>
      </c>
      <c r="B185" t="str">
        <f t="shared" si="29"/>
        <v>¬</v>
      </c>
      <c r="D185" s="19"/>
      <c r="E185" s="15" t="s">
        <v>247</v>
      </c>
      <c r="F185" s="19"/>
      <c r="G185" s="19"/>
      <c r="H185" s="19"/>
      <c r="I185" s="60" t="b">
        <f>IF(OR(F$9="Lancea et Sanctum",COUNTIF(F$79:F$93,"Laity")&gt;0),TRUE,FALSE)</f>
        <v>0</v>
      </c>
      <c r="L185" s="4"/>
      <c r="N185" s="4"/>
      <c r="O185" s="61">
        <f>ROUNDDOWN(N185/4,0)</f>
        <v>0</v>
      </c>
      <c r="P185" s="60">
        <f>SUM(L185,O185)</f>
        <v>0</v>
      </c>
      <c r="Q185" s="61">
        <v>0</v>
      </c>
      <c r="R185" s="61">
        <v>5</v>
      </c>
    </row>
    <row r="186" spans="1:18">
      <c r="A186" s="1" t="s">
        <v>185</v>
      </c>
      <c r="B186" t="str">
        <f t="shared" si="29"/>
        <v>¬</v>
      </c>
      <c r="D186" s="19"/>
      <c r="E186" s="19"/>
      <c r="F186" s="19"/>
      <c r="G186" s="19"/>
      <c r="H186" s="19"/>
      <c r="I186" s="19"/>
      <c r="L186" s="60">
        <f>SUM(P184:P185)-SUM(L187:L191)</f>
        <v>0</v>
      </c>
    </row>
    <row r="187" spans="1:18">
      <c r="A187" s="1" t="s">
        <v>186</v>
      </c>
      <c r="B187" t="str">
        <f t="shared" si="29"/>
        <v>¬</v>
      </c>
      <c r="D187" s="19"/>
      <c r="E187" s="15" t="s">
        <v>248</v>
      </c>
      <c r="F187" s="19"/>
      <c r="G187" s="19"/>
      <c r="H187" s="19"/>
      <c r="I187" s="19"/>
      <c r="L187" s="4"/>
      <c r="M187" s="61">
        <f>IF(AND(I184,L184&gt;=1),1,0)</f>
        <v>0</v>
      </c>
      <c r="N187" s="4"/>
      <c r="O187" s="61">
        <f>ROUNDDOWN(N187/2,0)</f>
        <v>0</v>
      </c>
      <c r="P187" s="60">
        <f>MIN(SUM(L187,M187,O187),R187)</f>
        <v>0</v>
      </c>
      <c r="Q187" s="61">
        <v>0</v>
      </c>
      <c r="R187" s="61">
        <f>MAX(P$184,P$185)</f>
        <v>0</v>
      </c>
    </row>
    <row r="188" spans="1:18">
      <c r="A188" s="1" t="s">
        <v>187</v>
      </c>
      <c r="B188" t="str">
        <f t="shared" si="29"/>
        <v>¬</v>
      </c>
      <c r="D188" s="19"/>
      <c r="E188" s="15" t="s">
        <v>249</v>
      </c>
      <c r="F188" s="19"/>
      <c r="G188" s="19"/>
      <c r="H188" s="19"/>
      <c r="I188" s="19"/>
      <c r="L188" s="4"/>
      <c r="M188" s="61"/>
      <c r="N188" s="4"/>
      <c r="O188" s="61">
        <f>ROUNDDOWN(N188/2,0)</f>
        <v>0</v>
      </c>
      <c r="P188" s="60">
        <f>MIN(SUM(L188,M188,O188),R188)</f>
        <v>0</v>
      </c>
      <c r="Q188" s="61">
        <v>0</v>
      </c>
      <c r="R188" s="61">
        <f>MAX(P$184,P$185)</f>
        <v>0</v>
      </c>
    </row>
    <row r="189" spans="1:18">
      <c r="A189" s="1" t="s">
        <v>188</v>
      </c>
      <c r="B189" t="str">
        <f t="shared" si="29"/>
        <v>¬</v>
      </c>
      <c r="D189" s="19"/>
      <c r="E189" s="15" t="s">
        <v>250</v>
      </c>
      <c r="F189" s="19"/>
      <c r="G189" s="19"/>
      <c r="H189" s="19"/>
      <c r="I189" s="19"/>
      <c r="L189" s="4"/>
      <c r="M189" s="61">
        <f>IF(AND(I185,L185&gt;=1),1,0)</f>
        <v>0</v>
      </c>
      <c r="N189" s="4"/>
      <c r="O189" s="61">
        <f>ROUNDDOWN(N189/2,0)</f>
        <v>0</v>
      </c>
      <c r="P189" s="60">
        <f>MIN(SUM(L189,M189,O189),R189)</f>
        <v>0</v>
      </c>
      <c r="Q189" s="61">
        <v>0</v>
      </c>
      <c r="R189" s="61">
        <f>MAX(P$184,P$185)</f>
        <v>0</v>
      </c>
    </row>
    <row r="190" spans="1:18">
      <c r="A190" s="1" t="s">
        <v>189</v>
      </c>
      <c r="B190" t="str">
        <f t="shared" si="29"/>
        <v>¬</v>
      </c>
      <c r="D190" s="19"/>
      <c r="E190" s="15" t="s">
        <v>251</v>
      </c>
      <c r="F190" s="19"/>
      <c r="G190" s="19"/>
      <c r="H190" s="19"/>
      <c r="I190" s="19"/>
      <c r="L190" s="4"/>
      <c r="M190" s="61">
        <f>IF(AND(I184,L184&gt;=1),1,0)</f>
        <v>0</v>
      </c>
      <c r="N190" s="4"/>
      <c r="O190" s="61">
        <f>ROUNDDOWN(N190/2,0)</f>
        <v>0</v>
      </c>
      <c r="P190" s="60">
        <f>MIN(SUM(L190,M190,O190),R190)</f>
        <v>0</v>
      </c>
      <c r="Q190" s="61">
        <v>0</v>
      </c>
      <c r="R190" s="61">
        <f>MAX(P$184,P$185)</f>
        <v>0</v>
      </c>
    </row>
    <row r="191" spans="1:18">
      <c r="A191" s="1" t="s">
        <v>190</v>
      </c>
      <c r="B191" t="str">
        <f t="shared" si="29"/>
        <v>¬</v>
      </c>
      <c r="D191" s="19"/>
      <c r="E191" s="15" t="s">
        <v>252</v>
      </c>
      <c r="F191" s="19"/>
      <c r="G191" s="19"/>
      <c r="H191" s="19"/>
      <c r="I191" s="19"/>
      <c r="L191" s="4"/>
      <c r="M191" s="61">
        <f>IF(AND(I185,L185&gt;=1),1,0)</f>
        <v>0</v>
      </c>
      <c r="N191" s="4"/>
      <c r="O191" s="61">
        <f>ROUNDDOWN(N191/2,0)</f>
        <v>0</v>
      </c>
      <c r="P191" s="60">
        <f>MIN(SUM(L191,M191,O191),R191)</f>
        <v>0</v>
      </c>
      <c r="Q191" s="61">
        <v>0</v>
      </c>
      <c r="R191" s="61">
        <f>MAX(P$184,P$185)</f>
        <v>0</v>
      </c>
    </row>
    <row r="192" spans="1:18">
      <c r="A192" s="1" t="s">
        <v>191</v>
      </c>
      <c r="B192" t="str">
        <f t="shared" si="29"/>
        <v>¬</v>
      </c>
    </row>
    <row r="193" spans="1:18">
      <c r="A193" s="1" t="s">
        <v>192</v>
      </c>
      <c r="B193" t="str">
        <f t="shared" si="29"/>
        <v>¬</v>
      </c>
      <c r="D193" s="16" t="s">
        <v>1474</v>
      </c>
      <c r="E193" s="16"/>
      <c r="F193" s="16"/>
      <c r="G193" s="16"/>
      <c r="H193" s="16"/>
      <c r="I193" s="16"/>
      <c r="L193" s="60">
        <f>SUM(P184:P185)+SUM(O187:O191)-SUM(L194:L203)</f>
        <v>0</v>
      </c>
    </row>
    <row r="194" spans="1:18">
      <c r="A194" s="1" t="s">
        <v>193</v>
      </c>
      <c r="B194" t="str">
        <f t="shared" si="29"/>
        <v>¬</v>
      </c>
      <c r="D194" s="19"/>
      <c r="E194" s="15" t="s">
        <v>1498</v>
      </c>
      <c r="F194" s="3"/>
      <c r="G194" s="61" t="str">
        <f>_xlfn.IFNA(VLOOKUP(F194,tblDisciplines[],2,FALSE),"")</f>
        <v/>
      </c>
      <c r="H194" s="19"/>
      <c r="I194" s="19"/>
      <c r="L194" s="4"/>
      <c r="N194" s="4"/>
      <c r="O194" s="61">
        <f>N194</f>
        <v>0</v>
      </c>
      <c r="P194" s="60" t="str">
        <f>IF(OR(L194=R194,O194=R194),R194,MIN(SUM(L194,O194),R194))</f>
        <v/>
      </c>
      <c r="R194" s="61" t="str">
        <f>_xlfn.IFNA(VLOOKUP(F194,tblDisciplines[],3,FALSE),"")</f>
        <v/>
      </c>
    </row>
    <row r="195" spans="1:18">
      <c r="A195" s="1" t="s">
        <v>194</v>
      </c>
      <c r="B195" t="str">
        <f t="shared" si="29"/>
        <v>¬</v>
      </c>
      <c r="D195" s="19"/>
      <c r="E195" s="15" t="s">
        <v>1499</v>
      </c>
      <c r="F195" s="3"/>
      <c r="G195" s="61" t="str">
        <f>_xlfn.IFNA(VLOOKUP(F195,tblDisciplines[],2,FALSE),"")</f>
        <v/>
      </c>
      <c r="H195" s="19"/>
      <c r="I195" s="19"/>
      <c r="L195" s="4"/>
      <c r="N195" s="4"/>
      <c r="O195" s="61">
        <f t="shared" ref="O195:O203" si="30">N195</f>
        <v>0</v>
      </c>
      <c r="P195" s="60" t="str">
        <f t="shared" ref="P195:P203" si="31">IF(OR(L195=R195,O195=R195),R195,MIN(SUM(L195,O195),R195))</f>
        <v/>
      </c>
      <c r="R195" s="61" t="str">
        <f>_xlfn.IFNA(VLOOKUP(F195,tblDisciplines[],3,FALSE),"")</f>
        <v/>
      </c>
    </row>
    <row r="196" spans="1:18">
      <c r="A196" s="1" t="s">
        <v>195</v>
      </c>
      <c r="B196" t="str">
        <f t="shared" si="29"/>
        <v>¬</v>
      </c>
      <c r="D196" s="19"/>
      <c r="E196" s="15" t="s">
        <v>1500</v>
      </c>
      <c r="F196" s="3"/>
      <c r="G196" s="61" t="str">
        <f>_xlfn.IFNA(VLOOKUP(F196,tblDisciplines[],2,FALSE),"")</f>
        <v/>
      </c>
      <c r="H196" s="19"/>
      <c r="I196" s="19"/>
      <c r="L196" s="4"/>
      <c r="N196" s="4"/>
      <c r="O196" s="61">
        <f t="shared" si="30"/>
        <v>0</v>
      </c>
      <c r="P196" s="60" t="str">
        <f t="shared" si="31"/>
        <v/>
      </c>
      <c r="R196" s="61" t="str">
        <f>_xlfn.IFNA(VLOOKUP(F196,tblDisciplines[],3,FALSE),"")</f>
        <v/>
      </c>
    </row>
    <row r="197" spans="1:18">
      <c r="A197" s="1" t="s">
        <v>196</v>
      </c>
      <c r="B197" t="str">
        <f>IF(AD134="","¬",AD134)</f>
        <v>¬</v>
      </c>
      <c r="D197" s="19"/>
      <c r="E197" s="15" t="s">
        <v>1501</v>
      </c>
      <c r="F197" s="3"/>
      <c r="G197" s="61" t="str">
        <f>_xlfn.IFNA(VLOOKUP(F197,tblDisciplines[],2,FALSE),"")</f>
        <v/>
      </c>
      <c r="H197" s="19"/>
      <c r="I197" s="19"/>
      <c r="L197" s="4"/>
      <c r="N197" s="4"/>
      <c r="O197" s="61">
        <f t="shared" si="30"/>
        <v>0</v>
      </c>
      <c r="P197" s="60" t="str">
        <f t="shared" si="31"/>
        <v/>
      </c>
      <c r="R197" s="61" t="str">
        <f>_xlfn.IFNA(VLOOKUP(F197,tblDisciplines[],3,FALSE),"")</f>
        <v/>
      </c>
    </row>
    <row r="198" spans="1:18">
      <c r="A198" s="1" t="s">
        <v>197</v>
      </c>
      <c r="B198" t="str">
        <f t="shared" ref="B198:B216" si="32">IF(AD135="","¬",AD135)</f>
        <v>¬</v>
      </c>
      <c r="D198" s="19"/>
      <c r="E198" s="15" t="s">
        <v>1502</v>
      </c>
      <c r="F198" s="3"/>
      <c r="G198" s="61" t="str">
        <f>_xlfn.IFNA(VLOOKUP(F198,tblDisciplines[],2,FALSE),"")</f>
        <v/>
      </c>
      <c r="H198" s="19"/>
      <c r="I198" s="19"/>
      <c r="L198" s="4"/>
      <c r="N198" s="4"/>
      <c r="O198" s="61">
        <f t="shared" si="30"/>
        <v>0</v>
      </c>
      <c r="P198" s="60" t="str">
        <f t="shared" si="31"/>
        <v/>
      </c>
      <c r="R198" s="61" t="str">
        <f>_xlfn.IFNA(VLOOKUP(F198,tblDisciplines[],3,FALSE),"")</f>
        <v/>
      </c>
    </row>
    <row r="199" spans="1:18">
      <c r="A199" s="1" t="s">
        <v>198</v>
      </c>
      <c r="B199" t="str">
        <f t="shared" si="32"/>
        <v>¬</v>
      </c>
      <c r="D199" s="19"/>
      <c r="E199" s="15" t="s">
        <v>1503</v>
      </c>
      <c r="F199" s="3"/>
      <c r="G199" s="61" t="str">
        <f>_xlfn.IFNA(VLOOKUP(F199,tblDisciplines[],2,FALSE),"")</f>
        <v/>
      </c>
      <c r="H199" s="19"/>
      <c r="I199" s="19"/>
      <c r="L199" s="4"/>
      <c r="N199" s="4"/>
      <c r="O199" s="61">
        <f t="shared" si="30"/>
        <v>0</v>
      </c>
      <c r="P199" s="60" t="str">
        <f t="shared" si="31"/>
        <v/>
      </c>
      <c r="R199" s="61" t="str">
        <f>_xlfn.IFNA(VLOOKUP(F199,tblDisciplines[],3,FALSE),"")</f>
        <v/>
      </c>
    </row>
    <row r="200" spans="1:18">
      <c r="A200" s="1" t="s">
        <v>199</v>
      </c>
      <c r="B200" t="str">
        <f t="shared" si="32"/>
        <v>¬</v>
      </c>
      <c r="D200" s="19"/>
      <c r="E200" s="15" t="s">
        <v>1504</v>
      </c>
      <c r="F200" s="3"/>
      <c r="G200" s="61" t="str">
        <f>_xlfn.IFNA(VLOOKUP(F200,tblDisciplines[],2,FALSE),"")</f>
        <v/>
      </c>
      <c r="H200" s="19"/>
      <c r="I200" s="19"/>
      <c r="L200" s="4"/>
      <c r="N200" s="4"/>
      <c r="O200" s="61">
        <f t="shared" si="30"/>
        <v>0</v>
      </c>
      <c r="P200" s="60" t="str">
        <f t="shared" si="31"/>
        <v/>
      </c>
      <c r="R200" s="61" t="str">
        <f>_xlfn.IFNA(VLOOKUP(F200,tblDisciplines[],3,FALSE),"")</f>
        <v/>
      </c>
    </row>
    <row r="201" spans="1:18">
      <c r="A201" s="1" t="s">
        <v>200</v>
      </c>
      <c r="B201" t="str">
        <f t="shared" si="32"/>
        <v>¬</v>
      </c>
      <c r="D201" s="19"/>
      <c r="E201" s="15" t="s">
        <v>1505</v>
      </c>
      <c r="F201" s="3"/>
      <c r="G201" s="61" t="str">
        <f>_xlfn.IFNA(VLOOKUP(F201,tblDisciplines[],2,FALSE),"")</f>
        <v/>
      </c>
      <c r="H201" s="19"/>
      <c r="I201" s="19"/>
      <c r="L201" s="4"/>
      <c r="N201" s="4"/>
      <c r="O201" s="61">
        <f t="shared" si="30"/>
        <v>0</v>
      </c>
      <c r="P201" s="60" t="str">
        <f t="shared" si="31"/>
        <v/>
      </c>
      <c r="R201" s="61" t="str">
        <f>_xlfn.IFNA(VLOOKUP(F201,tblDisciplines[],3,FALSE),"")</f>
        <v/>
      </c>
    </row>
    <row r="202" spans="1:18">
      <c r="A202" s="1" t="s">
        <v>201</v>
      </c>
      <c r="B202" t="str">
        <f t="shared" si="32"/>
        <v>¬</v>
      </c>
      <c r="D202" s="19"/>
      <c r="E202" s="15" t="s">
        <v>1506</v>
      </c>
      <c r="F202" s="3"/>
      <c r="G202" s="61" t="str">
        <f>_xlfn.IFNA(VLOOKUP(F202,tblDisciplines[],2,FALSE),"")</f>
        <v/>
      </c>
      <c r="H202" s="19"/>
      <c r="I202" s="19"/>
      <c r="L202" s="4"/>
      <c r="N202" s="4"/>
      <c r="O202" s="61">
        <f t="shared" si="30"/>
        <v>0</v>
      </c>
      <c r="P202" s="60" t="str">
        <f t="shared" si="31"/>
        <v/>
      </c>
      <c r="R202" s="61" t="str">
        <f>_xlfn.IFNA(VLOOKUP(F202,tblDisciplines[],3,FALSE),"")</f>
        <v/>
      </c>
    </row>
    <row r="203" spans="1:18">
      <c r="A203" s="1" t="s">
        <v>202</v>
      </c>
      <c r="B203" t="str">
        <f t="shared" si="32"/>
        <v>¬</v>
      </c>
      <c r="D203" s="19"/>
      <c r="E203" s="15" t="s">
        <v>1507</v>
      </c>
      <c r="F203" s="3"/>
      <c r="G203" s="61" t="str">
        <f>_xlfn.IFNA(VLOOKUP(F203,tblDisciplines[],2,FALSE),"")</f>
        <v/>
      </c>
      <c r="H203" s="19"/>
      <c r="I203" s="19"/>
      <c r="L203" s="4"/>
      <c r="N203" s="4"/>
      <c r="O203" s="61">
        <f t="shared" si="30"/>
        <v>0</v>
      </c>
      <c r="P203" s="60" t="str">
        <f t="shared" si="31"/>
        <v/>
      </c>
      <c r="R203" s="61" t="str">
        <f>_xlfn.IFNA(VLOOKUP(F203,tblDisciplines[],3,FALSE),"")</f>
        <v/>
      </c>
    </row>
    <row r="204" spans="1:18">
      <c r="A204" s="1" t="s">
        <v>203</v>
      </c>
      <c r="B204" t="str">
        <f t="shared" si="32"/>
        <v>¬</v>
      </c>
    </row>
    <row r="205" spans="1:18">
      <c r="A205" s="1" t="s">
        <v>204</v>
      </c>
      <c r="B205" t="str">
        <f t="shared" si="32"/>
        <v>¬</v>
      </c>
      <c r="D205" s="16" t="s">
        <v>1508</v>
      </c>
      <c r="E205" s="17"/>
      <c r="F205" s="17"/>
      <c r="G205" s="17"/>
      <c r="H205" s="17"/>
      <c r="I205" s="17"/>
    </row>
    <row r="206" spans="1:18">
      <c r="A206" s="1" t="s">
        <v>205</v>
      </c>
      <c r="B206" t="str">
        <f t="shared" si="32"/>
        <v>¬</v>
      </c>
      <c r="D206" s="19"/>
      <c r="E206" s="15" t="s">
        <v>1476</v>
      </c>
      <c r="F206" s="3"/>
      <c r="G206" s="19" t="str">
        <f>IFERROR(VLOOKUP(F206,tblManoeuvre[],2,FALSE)&amp;" "&amp;VLOOKUP(F206,tblManoeuvre[],3,FALSE),"")</f>
        <v/>
      </c>
      <c r="H206" s="68" t="str">
        <f>_xlfn.IFNA(IF(VLOOKUP(F206,tblMerits[],6,FALSE)=0,"None",VLOOKUP(F206,tblMerits[],6,FALSE)),"None")</f>
        <v>None</v>
      </c>
      <c r="I206" s="69"/>
      <c r="L206" s="4"/>
      <c r="M206" s="4"/>
      <c r="N206" s="4"/>
      <c r="O206" s="61">
        <f t="shared" ref="O206:O215" si="33">N206</f>
        <v>0</v>
      </c>
      <c r="P206" s="60">
        <f t="shared" ref="P206:P215" si="34">MIN(SUM(L206,M206,O206),R206)</f>
        <v>0</v>
      </c>
      <c r="Q206" s="61" t="str">
        <f>_xlfn.IFNA(VLOOKUP($F206,tblPacts[],3,FALSE),"")</f>
        <v/>
      </c>
      <c r="R206" s="61" t="str">
        <f>_xlfn.IFNA(VLOOKUP($F206,tblPacts[],4,FALSE),"")</f>
        <v/>
      </c>
    </row>
    <row r="207" spans="1:18">
      <c r="A207" s="1" t="s">
        <v>206</v>
      </c>
      <c r="B207" t="str">
        <f t="shared" si="32"/>
        <v>¬</v>
      </c>
      <c r="D207" s="19"/>
      <c r="E207" s="15" t="s">
        <v>1477</v>
      </c>
      <c r="F207" s="3"/>
      <c r="G207" s="19" t="str">
        <f>IFERROR(VLOOKUP(F207,tblManoeuvre[],2,FALSE)&amp;" "&amp;VLOOKUP(F207,tblManoeuvre[],3,FALSE),"")</f>
        <v/>
      </c>
      <c r="H207" s="68" t="str">
        <f>_xlfn.IFNA(IF(VLOOKUP(F207,tblMerits[],6,FALSE)=0,"None",VLOOKUP(F207,tblMerits[],6,FALSE)),"None")</f>
        <v>None</v>
      </c>
      <c r="I207" s="69"/>
      <c r="L207" s="4"/>
      <c r="M207" s="4"/>
      <c r="N207" s="4"/>
      <c r="O207" s="61">
        <f t="shared" si="33"/>
        <v>0</v>
      </c>
      <c r="P207" s="60">
        <f t="shared" si="34"/>
        <v>0</v>
      </c>
      <c r="Q207" s="61" t="str">
        <f>_xlfn.IFNA(VLOOKUP($F207,tblPacts[],3,FALSE),"")</f>
        <v/>
      </c>
      <c r="R207" s="61" t="str">
        <f>_xlfn.IFNA(VLOOKUP($F207,tblPacts[],4,FALSE),"")</f>
        <v/>
      </c>
    </row>
    <row r="208" spans="1:18">
      <c r="A208" s="1" t="s">
        <v>207</v>
      </c>
      <c r="B208" t="str">
        <f t="shared" si="32"/>
        <v>¬</v>
      </c>
      <c r="D208" s="19"/>
      <c r="E208" s="15" t="s">
        <v>1478</v>
      </c>
      <c r="F208" s="3"/>
      <c r="G208" s="19" t="str">
        <f>IFERROR(VLOOKUP(F208,tblManoeuvre[],2,FALSE)&amp;" "&amp;VLOOKUP(F208,tblManoeuvre[],3,FALSE),"")</f>
        <v/>
      </c>
      <c r="H208" s="68" t="str">
        <f>_xlfn.IFNA(IF(VLOOKUP(F208,tblMerits[],6,FALSE)=0,"None",VLOOKUP(F208,tblMerits[],6,FALSE)),"None")</f>
        <v>None</v>
      </c>
      <c r="I208" s="69"/>
      <c r="L208" s="4"/>
      <c r="M208" s="4"/>
      <c r="N208" s="4"/>
      <c r="O208" s="61">
        <f t="shared" si="33"/>
        <v>0</v>
      </c>
      <c r="P208" s="60">
        <f t="shared" si="34"/>
        <v>0</v>
      </c>
      <c r="Q208" s="61" t="str">
        <f>_xlfn.IFNA(VLOOKUP($F208,tblPacts[],3,FALSE),"")</f>
        <v/>
      </c>
      <c r="R208" s="61" t="str">
        <f>_xlfn.IFNA(VLOOKUP($F208,tblPacts[],4,FALSE),"")</f>
        <v/>
      </c>
    </row>
    <row r="209" spans="1:18">
      <c r="A209" s="1" t="s">
        <v>208</v>
      </c>
      <c r="B209" t="str">
        <f t="shared" si="32"/>
        <v>¬</v>
      </c>
      <c r="D209" s="19"/>
      <c r="E209" s="15" t="s">
        <v>1479</v>
      </c>
      <c r="F209" s="3"/>
      <c r="G209" s="19" t="str">
        <f>IFERROR(VLOOKUP(F209,tblManoeuvre[],2,FALSE)&amp;" "&amp;VLOOKUP(F209,tblManoeuvre[],3,FALSE),"")</f>
        <v/>
      </c>
      <c r="H209" s="68" t="str">
        <f>_xlfn.IFNA(IF(VLOOKUP(F209,tblMerits[],6,FALSE)=0,"None",VLOOKUP(F209,tblMerits[],6,FALSE)),"None")</f>
        <v>None</v>
      </c>
      <c r="I209" s="69"/>
      <c r="L209" s="4"/>
      <c r="M209" s="4"/>
      <c r="N209" s="4"/>
      <c r="O209" s="61">
        <f t="shared" si="33"/>
        <v>0</v>
      </c>
      <c r="P209" s="60">
        <f t="shared" si="34"/>
        <v>0</v>
      </c>
      <c r="Q209" s="61" t="str">
        <f>_xlfn.IFNA(VLOOKUP($F209,tblPacts[],3,FALSE),"")</f>
        <v/>
      </c>
      <c r="R209" s="61" t="str">
        <f>_xlfn.IFNA(VLOOKUP($F209,tblPacts[],4,FALSE),"")</f>
        <v/>
      </c>
    </row>
    <row r="210" spans="1:18">
      <c r="A210" s="1" t="s">
        <v>209</v>
      </c>
      <c r="B210" t="str">
        <f t="shared" si="32"/>
        <v>¬</v>
      </c>
      <c r="D210" s="19"/>
      <c r="E210" s="15" t="s">
        <v>1480</v>
      </c>
      <c r="F210" s="3"/>
      <c r="G210" s="19" t="str">
        <f>IFERROR(VLOOKUP(F210,tblManoeuvre[],2,FALSE)&amp;" "&amp;VLOOKUP(F210,tblManoeuvre[],3,FALSE),"")</f>
        <v/>
      </c>
      <c r="H210" s="68" t="str">
        <f>_xlfn.IFNA(IF(VLOOKUP(F210,tblMerits[],6,FALSE)=0,"None",VLOOKUP(F210,tblMerits[],6,FALSE)),"None")</f>
        <v>None</v>
      </c>
      <c r="I210" s="69"/>
      <c r="L210" s="4"/>
      <c r="M210" s="4"/>
      <c r="N210" s="4"/>
      <c r="O210" s="61">
        <f t="shared" si="33"/>
        <v>0</v>
      </c>
      <c r="P210" s="60">
        <f t="shared" si="34"/>
        <v>0</v>
      </c>
      <c r="Q210" s="61" t="str">
        <f>_xlfn.IFNA(VLOOKUP($F210,tblPacts[],3,FALSE),"")</f>
        <v/>
      </c>
      <c r="R210" s="61" t="str">
        <f>_xlfn.IFNA(VLOOKUP($F210,tblPacts[],4,FALSE),"")</f>
        <v/>
      </c>
    </row>
    <row r="211" spans="1:18">
      <c r="A211" s="1" t="s">
        <v>210</v>
      </c>
      <c r="B211" t="str">
        <f t="shared" si="32"/>
        <v>¬</v>
      </c>
      <c r="D211" s="19"/>
      <c r="E211" s="15" t="s">
        <v>1481</v>
      </c>
      <c r="F211" s="3"/>
      <c r="G211" s="19" t="str">
        <f>IFERROR(VLOOKUP(F211,tblManoeuvre[],2,FALSE)&amp;" "&amp;VLOOKUP(F211,tblManoeuvre[],3,FALSE),"")</f>
        <v/>
      </c>
      <c r="H211" s="68" t="str">
        <f>_xlfn.IFNA(IF(VLOOKUP(F211,tblMerits[],6,FALSE)=0,"None",VLOOKUP(F211,tblMerits[],6,FALSE)),"None")</f>
        <v>None</v>
      </c>
      <c r="I211" s="69"/>
      <c r="L211" s="4"/>
      <c r="M211" s="4"/>
      <c r="N211" s="4"/>
      <c r="O211" s="61">
        <f t="shared" si="33"/>
        <v>0</v>
      </c>
      <c r="P211" s="60">
        <f t="shared" si="34"/>
        <v>0</v>
      </c>
      <c r="Q211" s="61" t="str">
        <f>_xlfn.IFNA(VLOOKUP($F211,tblPacts[],3,FALSE),"")</f>
        <v/>
      </c>
      <c r="R211" s="61" t="str">
        <f>_xlfn.IFNA(VLOOKUP($F211,tblPacts[],4,FALSE),"")</f>
        <v/>
      </c>
    </row>
    <row r="212" spans="1:18">
      <c r="A212" s="1" t="s">
        <v>211</v>
      </c>
      <c r="B212" t="str">
        <f t="shared" si="32"/>
        <v>¬</v>
      </c>
      <c r="D212" s="19"/>
      <c r="E212" s="15" t="s">
        <v>1482</v>
      </c>
      <c r="F212" s="3"/>
      <c r="G212" s="19" t="str">
        <f>IFERROR(VLOOKUP(F212,tblManoeuvre[],2,FALSE)&amp;" "&amp;VLOOKUP(F212,tblManoeuvre[],3,FALSE),"")</f>
        <v/>
      </c>
      <c r="H212" s="68" t="str">
        <f>_xlfn.IFNA(IF(VLOOKUP(F212,tblMerits[],6,FALSE)=0,"None",VLOOKUP(F212,tblMerits[],6,FALSE)),"None")</f>
        <v>None</v>
      </c>
      <c r="I212" s="69"/>
      <c r="L212" s="4"/>
      <c r="M212" s="4"/>
      <c r="N212" s="4"/>
      <c r="O212" s="61">
        <f t="shared" si="33"/>
        <v>0</v>
      </c>
      <c r="P212" s="60">
        <f t="shared" si="34"/>
        <v>0</v>
      </c>
      <c r="Q212" s="61" t="str">
        <f>_xlfn.IFNA(VLOOKUP($F212,tblPacts[],3,FALSE),"")</f>
        <v/>
      </c>
      <c r="R212" s="61" t="str">
        <f>_xlfn.IFNA(VLOOKUP($F212,tblPacts[],4,FALSE),"")</f>
        <v/>
      </c>
    </row>
    <row r="213" spans="1:18">
      <c r="A213" s="1" t="s">
        <v>212</v>
      </c>
      <c r="B213" t="str">
        <f t="shared" si="32"/>
        <v>¬</v>
      </c>
      <c r="D213" s="19"/>
      <c r="E213" s="15" t="s">
        <v>1483</v>
      </c>
      <c r="F213" s="3"/>
      <c r="G213" s="19" t="str">
        <f>IFERROR(VLOOKUP(F213,tblManoeuvre[],2,FALSE)&amp;" "&amp;VLOOKUP(F213,tblManoeuvre[],3,FALSE),"")</f>
        <v/>
      </c>
      <c r="H213" s="68" t="str">
        <f>_xlfn.IFNA(IF(VLOOKUP(F213,tblMerits[],6,FALSE)=0,"None",VLOOKUP(F213,tblMerits[],6,FALSE)),"None")</f>
        <v>None</v>
      </c>
      <c r="I213" s="69"/>
      <c r="L213" s="4"/>
      <c r="M213" s="4"/>
      <c r="N213" s="4"/>
      <c r="O213" s="61">
        <f t="shared" si="33"/>
        <v>0</v>
      </c>
      <c r="P213" s="60">
        <f t="shared" si="34"/>
        <v>0</v>
      </c>
      <c r="Q213" s="61" t="str">
        <f>_xlfn.IFNA(VLOOKUP($F213,tblPacts[],3,FALSE),"")</f>
        <v/>
      </c>
      <c r="R213" s="61" t="str">
        <f>_xlfn.IFNA(VLOOKUP($F213,tblPacts[],4,FALSE),"")</f>
        <v/>
      </c>
    </row>
    <row r="214" spans="1:18">
      <c r="A214" s="1" t="s">
        <v>213</v>
      </c>
      <c r="B214" t="str">
        <f t="shared" si="32"/>
        <v>¬</v>
      </c>
      <c r="D214" s="19"/>
      <c r="E214" s="15" t="s">
        <v>1484</v>
      </c>
      <c r="F214" s="3"/>
      <c r="G214" s="19" t="str">
        <f>IFERROR(VLOOKUP(F214,tblManoeuvre[],2,FALSE)&amp;" "&amp;VLOOKUP(F214,tblManoeuvre[],3,FALSE),"")</f>
        <v/>
      </c>
      <c r="H214" s="68" t="str">
        <f>_xlfn.IFNA(IF(VLOOKUP(F214,tblMerits[],6,FALSE)=0,"None",VLOOKUP(F214,tblMerits[],6,FALSE)),"None")</f>
        <v>None</v>
      </c>
      <c r="I214" s="69"/>
      <c r="L214" s="4"/>
      <c r="M214" s="4"/>
      <c r="N214" s="4"/>
      <c r="O214" s="61">
        <f t="shared" si="33"/>
        <v>0</v>
      </c>
      <c r="P214" s="60">
        <f t="shared" si="34"/>
        <v>0</v>
      </c>
      <c r="Q214" s="61" t="str">
        <f>_xlfn.IFNA(VLOOKUP($F214,tblPacts[],3,FALSE),"")</f>
        <v/>
      </c>
      <c r="R214" s="61" t="str">
        <f>_xlfn.IFNA(VLOOKUP($F214,tblPacts[],4,FALSE),"")</f>
        <v/>
      </c>
    </row>
    <row r="215" spans="1:18">
      <c r="A215" s="1" t="s">
        <v>214</v>
      </c>
      <c r="B215" t="str">
        <f t="shared" si="32"/>
        <v>¬</v>
      </c>
      <c r="D215" s="19"/>
      <c r="E215" s="15" t="s">
        <v>1485</v>
      </c>
      <c r="F215" s="3"/>
      <c r="G215" s="19" t="str">
        <f>IFERROR(VLOOKUP(F215,tblManoeuvre[],2,FALSE)&amp;" "&amp;VLOOKUP(F215,tblManoeuvre[],3,FALSE),"")</f>
        <v/>
      </c>
      <c r="H215" s="68" t="str">
        <f>_xlfn.IFNA(IF(VLOOKUP(F215,tblMerits[],6,FALSE)=0,"None",VLOOKUP(F215,tblMerits[],6,FALSE)),"None")</f>
        <v>None</v>
      </c>
      <c r="I215" s="69"/>
      <c r="L215" s="4"/>
      <c r="M215" s="4"/>
      <c r="N215" s="4"/>
      <c r="O215" s="61">
        <f t="shared" si="33"/>
        <v>0</v>
      </c>
      <c r="P215" s="60">
        <f t="shared" si="34"/>
        <v>0</v>
      </c>
      <c r="Q215" s="61" t="str">
        <f>_xlfn.IFNA(VLOOKUP($F215,tblPacts[],3,FALSE),"")</f>
        <v/>
      </c>
      <c r="R215" s="61" t="str">
        <f>_xlfn.IFNA(VLOOKUP($F215,tblPacts[],4,FALSE),"")</f>
        <v/>
      </c>
    </row>
    <row r="216" spans="1:18">
      <c r="A216" s="1" t="s">
        <v>215</v>
      </c>
      <c r="B216" t="str">
        <f t="shared" si="32"/>
        <v>¬</v>
      </c>
    </row>
    <row r="217" spans="1:18">
      <c r="A217" s="1" t="s">
        <v>216</v>
      </c>
      <c r="B217" t="str">
        <f>IF(OR(AF134=0,AF134=""),"",REPT("●",AF134))</f>
        <v/>
      </c>
      <c r="D217" s="16" t="s">
        <v>1509</v>
      </c>
      <c r="E217" s="16"/>
      <c r="F217" s="16"/>
      <c r="G217" s="16"/>
      <c r="H217" s="16"/>
      <c r="I217" s="16"/>
    </row>
    <row r="218" spans="1:18">
      <c r="A218" s="1" t="s">
        <v>217</v>
      </c>
      <c r="B218" t="str">
        <f t="shared" ref="B218:B236" si="35">IF(OR(AF135=0,AF135=""),"",REPT("●",AF135))</f>
        <v/>
      </c>
      <c r="D218" s="19"/>
      <c r="E218" s="15" t="s">
        <v>353</v>
      </c>
      <c r="F218" s="19"/>
      <c r="G218" s="19"/>
      <c r="H218" s="19"/>
      <c r="I218" s="19"/>
      <c r="M218" s="61">
        <f>IF(COUNTIF(F79:F93,"Giant")&gt;0,1,0)+IF(COUNTIF(F79:F93,"Small-Framed")&gt;0,-1,0)</f>
        <v>0</v>
      </c>
      <c r="P218" s="60">
        <f>5+M218</f>
        <v>5</v>
      </c>
    </row>
    <row r="219" spans="1:18">
      <c r="A219" s="1" t="s">
        <v>218</v>
      </c>
      <c r="B219" t="str">
        <f t="shared" si="35"/>
        <v/>
      </c>
      <c r="D219" s="19"/>
      <c r="E219" s="15" t="s">
        <v>354</v>
      </c>
      <c r="F219" s="19"/>
      <c r="G219" s="19"/>
      <c r="H219" s="19"/>
      <c r="I219" s="19"/>
      <c r="P219" s="60">
        <f ca="1">VLOOKUP("Size",INDIRECT($AH$1),2,FALSE)+VLOOKUP("Strength",INDIRECT($AH$1),2,FALSE)+VLOOKUP("Dexterity",INDIRECT($AH$1),2,FALSE)+VLOOKUP("Vigour",INDIRECT($AH$1),2,FALSE)</f>
        <v>12</v>
      </c>
    </row>
    <row r="220" spans="1:18">
      <c r="A220" s="1" t="s">
        <v>219</v>
      </c>
      <c r="B220" t="str">
        <f t="shared" si="35"/>
        <v/>
      </c>
      <c r="D220" s="19"/>
      <c r="E220" s="15" t="s">
        <v>355</v>
      </c>
      <c r="F220" s="19"/>
      <c r="G220" s="19"/>
      <c r="H220" s="19"/>
      <c r="I220" s="19"/>
      <c r="P220" s="60">
        <f ca="1">MIN(VLOOKUP("Dexterity",INDIRECT($AH$1),2,FALSE),VLOOKUP("Wits",INDIRECT($AH$1),2,FALSE))+VLOOKUP("Athletics",INDIRECT($AH$1),2,FALSE)</f>
        <v>3</v>
      </c>
    </row>
    <row r="221" spans="1:18">
      <c r="A221" s="1" t="s">
        <v>220</v>
      </c>
      <c r="B221" t="str">
        <f t="shared" si="35"/>
        <v/>
      </c>
      <c r="D221" s="19"/>
      <c r="E221" s="15" t="s">
        <v>52</v>
      </c>
      <c r="F221" s="19"/>
      <c r="G221" s="19"/>
      <c r="H221" s="19"/>
      <c r="I221" s="19"/>
      <c r="P221" s="60">
        <f ca="1">VLOOKUP("Size",INDIRECT($AH$1),2,FALSE)+VLOOKUP("Stamina",INDIRECT($AH$1),2,FALSE)+VLOOKUP("Resilience",INDIRECT($AH$1),2,FALSE)</f>
        <v>8</v>
      </c>
    </row>
    <row r="222" spans="1:18">
      <c r="A222" s="1" t="s">
        <v>221</v>
      </c>
      <c r="B222" t="str">
        <f t="shared" si="35"/>
        <v/>
      </c>
      <c r="D222" s="19"/>
      <c r="E222" s="19"/>
      <c r="F222" s="19"/>
      <c r="G222" s="19"/>
      <c r="H222" s="15" t="s">
        <v>1510</v>
      </c>
      <c r="I222" s="19"/>
      <c r="L222" s="4"/>
    </row>
    <row r="223" spans="1:18">
      <c r="A223" s="1" t="s">
        <v>222</v>
      </c>
      <c r="B223" t="str">
        <f t="shared" si="35"/>
        <v/>
      </c>
      <c r="D223" s="19"/>
      <c r="E223" s="15" t="s">
        <v>1511</v>
      </c>
      <c r="F223" s="7"/>
      <c r="G223" s="19"/>
      <c r="H223" s="15" t="s">
        <v>1512</v>
      </c>
      <c r="I223" s="19"/>
      <c r="L223" s="4"/>
    </row>
    <row r="224" spans="1:18">
      <c r="A224" s="1" t="s">
        <v>223</v>
      </c>
      <c r="B224" t="str">
        <f t="shared" si="35"/>
        <v/>
      </c>
      <c r="D224" s="19"/>
      <c r="E224" s="15" t="s">
        <v>1513</v>
      </c>
      <c r="F224" s="7"/>
      <c r="G224" s="19"/>
      <c r="H224" s="15" t="s">
        <v>1514</v>
      </c>
      <c r="I224" s="19"/>
      <c r="L224" s="4"/>
    </row>
    <row r="225" spans="1:12">
      <c r="A225" s="1" t="s">
        <v>224</v>
      </c>
      <c r="B225" t="str">
        <f t="shared" si="35"/>
        <v/>
      </c>
      <c r="D225" s="19"/>
      <c r="E225" s="15" t="s">
        <v>1515</v>
      </c>
      <c r="F225" s="7"/>
      <c r="G225" s="19"/>
      <c r="H225" s="15" t="s">
        <v>1516</v>
      </c>
      <c r="I225" s="19"/>
      <c r="L225" s="4"/>
    </row>
    <row r="226" spans="1:12">
      <c r="A226" s="1" t="s">
        <v>225</v>
      </c>
      <c r="B226" t="str">
        <f t="shared" si="35"/>
        <v/>
      </c>
      <c r="D226" s="19"/>
      <c r="E226" s="15" t="s">
        <v>1517</v>
      </c>
      <c r="F226" s="7" t="s">
        <v>1692</v>
      </c>
      <c r="G226" s="19"/>
      <c r="H226" s="19"/>
      <c r="I226" s="19"/>
    </row>
    <row r="227" spans="1:12">
      <c r="A227" s="1" t="s">
        <v>226</v>
      </c>
      <c r="B227" t="str">
        <f t="shared" si="35"/>
        <v/>
      </c>
      <c r="D227" s="19"/>
      <c r="E227" s="15" t="s">
        <v>1518</v>
      </c>
      <c r="F227" s="7"/>
      <c r="G227" s="19"/>
      <c r="H227" s="19"/>
      <c r="I227" s="19"/>
    </row>
    <row r="228" spans="1:12">
      <c r="A228" s="1" t="s">
        <v>227</v>
      </c>
      <c r="B228" t="str">
        <f t="shared" si="35"/>
        <v/>
      </c>
      <c r="D228" s="19"/>
      <c r="E228" s="15" t="s">
        <v>1519</v>
      </c>
      <c r="F228" s="7"/>
      <c r="G228" s="19"/>
      <c r="H228" s="19"/>
      <c r="I228" s="19"/>
    </row>
    <row r="229" spans="1:12">
      <c r="A229" s="1" t="s">
        <v>228</v>
      </c>
      <c r="B229" t="str">
        <f t="shared" si="35"/>
        <v/>
      </c>
      <c r="D229" s="19"/>
      <c r="E229" s="15" t="s">
        <v>1520</v>
      </c>
      <c r="F229" s="7"/>
      <c r="G229" s="19"/>
      <c r="H229" s="19"/>
      <c r="I229" s="19"/>
    </row>
    <row r="230" spans="1:12">
      <c r="A230" s="1" t="s">
        <v>229</v>
      </c>
      <c r="B230" t="str">
        <f t="shared" si="35"/>
        <v/>
      </c>
      <c r="D230" s="19"/>
      <c r="E230" s="15" t="s">
        <v>1521</v>
      </c>
      <c r="F230" s="7"/>
      <c r="G230" s="19"/>
      <c r="H230" s="19"/>
      <c r="I230" s="19"/>
    </row>
    <row r="231" spans="1:12">
      <c r="A231" s="1" t="s">
        <v>230</v>
      </c>
      <c r="B231" t="str">
        <f t="shared" si="35"/>
        <v/>
      </c>
      <c r="D231" s="19"/>
      <c r="E231" s="15" t="s">
        <v>1522</v>
      </c>
      <c r="F231" s="7"/>
      <c r="G231" s="19"/>
      <c r="H231" s="19"/>
      <c r="I231" s="19"/>
    </row>
    <row r="232" spans="1:12">
      <c r="A232" s="1" t="s">
        <v>231</v>
      </c>
      <c r="B232" t="str">
        <f t="shared" si="35"/>
        <v/>
      </c>
      <c r="D232" s="19"/>
      <c r="E232" s="15" t="s">
        <v>1523</v>
      </c>
      <c r="F232" s="7"/>
      <c r="G232" s="19"/>
      <c r="H232" s="19"/>
      <c r="I232" s="19"/>
    </row>
    <row r="233" spans="1:12">
      <c r="A233" s="1" t="s">
        <v>232</v>
      </c>
      <c r="B233" t="str">
        <f t="shared" si="35"/>
        <v/>
      </c>
      <c r="D233" s="19"/>
      <c r="E233" s="19"/>
      <c r="F233" s="19"/>
      <c r="G233" s="19"/>
      <c r="H233" s="19"/>
      <c r="I233" s="19"/>
    </row>
    <row r="234" spans="1:12">
      <c r="A234" s="1" t="s">
        <v>233</v>
      </c>
      <c r="B234" t="str">
        <f t="shared" si="35"/>
        <v/>
      </c>
      <c r="D234" s="19"/>
      <c r="E234" s="15" t="s">
        <v>343</v>
      </c>
      <c r="F234" s="61" t="str">
        <f>_xlfn.IFNA(VLOOKUP(F7,tblClans[],4,FALSE),"")</f>
        <v>Aloof Curse</v>
      </c>
      <c r="G234" s="19"/>
      <c r="H234" s="74" t="str">
        <f>_xlfn.IFNA(VLOOKUP(F234,tblBanes[],2,FALSE),"")</f>
        <v>First Touchstone attaches to Humanity 7; losing it detaches on first Humanity loss. Breaking points always treated as one step lower.</v>
      </c>
      <c r="I234" s="74"/>
    </row>
    <row r="235" spans="1:12">
      <c r="A235" s="1" t="s">
        <v>234</v>
      </c>
      <c r="B235" t="str">
        <f t="shared" si="35"/>
        <v/>
      </c>
      <c r="D235" s="19"/>
      <c r="E235" s="15" t="s">
        <v>344</v>
      </c>
      <c r="F235" s="19"/>
      <c r="G235" s="19"/>
      <c r="H235" s="19"/>
      <c r="I235" s="19"/>
    </row>
    <row r="236" spans="1:12">
      <c r="A236" s="1" t="s">
        <v>235</v>
      </c>
      <c r="B236" t="str">
        <f t="shared" si="35"/>
        <v/>
      </c>
      <c r="D236" s="19"/>
      <c r="E236" s="15" t="s">
        <v>345</v>
      </c>
      <c r="F236" s="3"/>
      <c r="G236" s="19"/>
      <c r="H236" s="70" t="str">
        <f>_xlfn.IFNA(VLOOKUP(F236,tblBanes[],2,FALSE),"")</f>
        <v/>
      </c>
      <c r="I236" s="71"/>
    </row>
    <row r="237" spans="1:12">
      <c r="A237" s="1" t="s">
        <v>236</v>
      </c>
      <c r="B237" t="str">
        <f ca="1">_xlfn.LET(_xlpm.v,VLOOKUP(tblCharDataEinar[[#This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_xlfn.LET(_xlpm.v,VLOOKUP(tblCharDataEinar[[#This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_xlfn.LET(_xlpm.v,VLOOKUP(tblCharDataEinar[[#This Row],[Field]],INDIRECT($AH$1),2,FALSE),IF(OR(_xlpm.v=0,_xlpm.v=""),"-",REPT("●",_xlpm.v)))</f>
        <v>-</v>
      </c>
      <c r="D239" s="19"/>
      <c r="E239" s="19"/>
      <c r="F239" s="19"/>
      <c r="G239" s="19"/>
      <c r="H239" s="19"/>
      <c r="I239" s="19"/>
    </row>
    <row r="240" spans="1:12">
      <c r="A240" s="1" t="s">
        <v>239</v>
      </c>
      <c r="B240" t="str">
        <f ca="1">_xlfn.LET(_xlpm.v,VLOOKUP(tblCharDataEinar[[#This Row],[Field]],INDIRECT($AH$1),2,FALSE),IF(OR(_xlpm.v=0,_xlpm.v=""),"-",REPT("●",_xlpm.v)))</f>
        <v>●</v>
      </c>
      <c r="D240" s="19"/>
      <c r="E240" s="15" t="s">
        <v>360</v>
      </c>
      <c r="F240" s="62"/>
      <c r="G240" s="63"/>
      <c r="H240" s="63"/>
      <c r="I240" s="64"/>
    </row>
    <row r="241" spans="1:9">
      <c r="A241" s="1" t="s">
        <v>240</v>
      </c>
      <c r="B241" t="str">
        <f ca="1">_xlfn.LET(_xlpm.v,VLOOKUP(tblCharDataEinar[[#This Row],[Field]],INDIRECT($AH$1),2,FALSE),IF(OR(_xlpm.v=0,_xlpm.v=""),"-",REPT("●",_xlpm.v)))</f>
        <v>-</v>
      </c>
      <c r="D241" s="19"/>
      <c r="E241" s="15" t="s">
        <v>361</v>
      </c>
      <c r="F241" s="62"/>
      <c r="G241" s="63"/>
      <c r="H241" s="63"/>
      <c r="I241" s="64"/>
    </row>
    <row r="242" spans="1:9">
      <c r="A242" s="1" t="s">
        <v>241</v>
      </c>
      <c r="B242" t="str">
        <f ca="1">_xlfn.LET(_xlpm.v,VLOOKUP(tblCharDataEinar[[#This Row],[Field]],INDIRECT($AH$1),2,FALSE),IF(OR(_xlpm.v=0,_xlpm.v=""),"-",REPT("●",_xlpm.v)))</f>
        <v>-</v>
      </c>
      <c r="D242" s="19"/>
      <c r="E242" s="15" t="s">
        <v>362</v>
      </c>
      <c r="F242" s="62"/>
      <c r="G242" s="63"/>
      <c r="H242" s="63"/>
      <c r="I242" s="64"/>
    </row>
    <row r="243" spans="1:9">
      <c r="A243" s="1" t="s">
        <v>242</v>
      </c>
      <c r="B243" t="str">
        <f ca="1">_xlfn.LET(_xlpm.v,VLOOKUP(tblCharDataEinar[[#This Row],[Field]],INDIRECT($AH$1),2,FALSE),IF(OR(_xlpm.v=0,_xlpm.v=""),"-",REPT("●",_xlpm.v)))</f>
        <v>-</v>
      </c>
      <c r="D243" s="19"/>
      <c r="E243" s="19"/>
      <c r="F243" s="19"/>
      <c r="G243" s="19"/>
      <c r="H243" s="19"/>
      <c r="I243" s="19"/>
    </row>
    <row r="244" spans="1:9">
      <c r="A244" s="1" t="s">
        <v>243</v>
      </c>
      <c r="B244" t="str">
        <f ca="1">_xlfn.LET(_xlpm.v,VLOOKUP(tblCharDataEinar[[#This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_xlfn.LET(_xlpm.v,VLOOKUP(tblCharDataEinar[[#This Row],[Field]],INDIRECT($AH$1),2,FALSE),IF(OR(_xlpm.v=0,_xlpm.v=""),"-",REPT("●",_xlpm.v)))</f>
        <v>●</v>
      </c>
      <c r="D245" s="19"/>
      <c r="E245" s="15" t="s">
        <v>1524</v>
      </c>
      <c r="F245" s="62"/>
      <c r="G245" s="63"/>
      <c r="H245" s="63"/>
      <c r="I245" s="64"/>
    </row>
    <row r="246" spans="1:9">
      <c r="A246" s="1" t="s">
        <v>245</v>
      </c>
      <c r="B246" t="str">
        <f ca="1">_xlfn.LET(_xlpm.v,VLOOKUP(tblCharDataEinar[[#This Row],[Field]],INDIRECT($AH$1),2,FALSE),IF(OR(_xlpm.v=0,_xlpm.v=""),"-",REPT("●",_xlpm.v)))</f>
        <v>●●</v>
      </c>
    </row>
    <row r="247" spans="1:9">
      <c r="A247" s="1" t="s">
        <v>246</v>
      </c>
      <c r="B247" t="str">
        <f ca="1">_xlfn.LET(_xlpm.v,VLOOKUP(tblCharDataEinar[[#This Row],[Field]],INDIRECT($AH$1),2,FALSE),IF(OR(_xlpm.v=0,_xlpm.v=""),"-",REPT("●",_xlpm.v)))</f>
        <v>-</v>
      </c>
      <c r="D247" s="16" t="s">
        <v>1525</v>
      </c>
      <c r="E247" s="16"/>
      <c r="F247" s="16" t="s">
        <v>1526</v>
      </c>
      <c r="G247" s="16" t="s">
        <v>1527</v>
      </c>
      <c r="H247" s="16"/>
      <c r="I247" s="16"/>
    </row>
    <row r="248" spans="1:9">
      <c r="A248" s="1" t="s">
        <v>247</v>
      </c>
      <c r="B248" t="str">
        <f ca="1">_xlfn.LET(_xlpm.v,VLOOKUP(tblCharDataEinar[[#This Row],[Field]],INDIRECT($AH$1),2,FALSE),IF(OR(_xlpm.v=0,_xlpm.v=""),"-",REPT("●",_xlpm.v)))</f>
        <v>-</v>
      </c>
      <c r="D248" s="19"/>
      <c r="E248" s="15" t="s">
        <v>1528</v>
      </c>
      <c r="F248" s="7"/>
      <c r="G248" s="7"/>
      <c r="H248" s="19"/>
      <c r="I248" s="19" t="s">
        <v>1529</v>
      </c>
    </row>
    <row r="249" spans="1:9">
      <c r="A249" s="1" t="s">
        <v>248</v>
      </c>
      <c r="B249" t="str">
        <f ca="1">_xlfn.LET(_xlpm.v,VLOOKUP(tblCharDataEinar[[#This Row],[Field]],INDIRECT($AH$1),2,FALSE),IF(OR(_xlpm.v=0,_xlpm.v=""),"-",REPT("●",_xlpm.v)))</f>
        <v>-</v>
      </c>
      <c r="D249" s="19"/>
      <c r="E249" s="15" t="s">
        <v>1530</v>
      </c>
      <c r="F249" s="7"/>
      <c r="G249" s="7"/>
      <c r="H249" s="19"/>
      <c r="I249" s="19" t="s">
        <v>1531</v>
      </c>
    </row>
    <row r="250" spans="1:9">
      <c r="A250" s="1" t="s">
        <v>249</v>
      </c>
      <c r="B250" t="str">
        <f ca="1">_xlfn.LET(_xlpm.v,VLOOKUP(tblCharDataEinar[[#This Row],[Field]],INDIRECT($AH$1),2,FALSE),IF(OR(_xlpm.v=0,_xlpm.v=""),"-",REPT("●",_xlpm.v)))</f>
        <v>-</v>
      </c>
      <c r="D250" s="19" t="s">
        <v>1532</v>
      </c>
      <c r="E250" s="15" t="s">
        <v>1533</v>
      </c>
      <c r="F250" s="7"/>
      <c r="G250" s="7"/>
      <c r="H250" s="19"/>
      <c r="I250" s="19"/>
    </row>
    <row r="251" spans="1:9">
      <c r="A251" s="1" t="s">
        <v>250</v>
      </c>
      <c r="B251" t="str">
        <f ca="1">_xlfn.LET(_xlpm.v,VLOOKUP(tblCharDataEinar[[#This Row],[Field]],INDIRECT($AH$1),2,FALSE),IF(OR(_xlpm.v=0,_xlpm.v=""),"-",REPT("●",_xlpm.v)))</f>
        <v>-</v>
      </c>
      <c r="D251" s="19" t="s">
        <v>1532</v>
      </c>
      <c r="E251" s="15" t="s">
        <v>1534</v>
      </c>
      <c r="F251" s="7"/>
      <c r="G251" s="7"/>
      <c r="H251" s="19"/>
      <c r="I251" s="19"/>
    </row>
    <row r="252" spans="1:9">
      <c r="A252" s="1" t="s">
        <v>251</v>
      </c>
      <c r="B252" t="str">
        <f ca="1">_xlfn.LET(_xlpm.v,VLOOKUP(tblCharDataEinar[[#This Row],[Field]],INDIRECT($AH$1),2,FALSE),IF(OR(_xlpm.v=0,_xlpm.v=""),"-",REPT("●",_xlpm.v)))</f>
        <v>-</v>
      </c>
      <c r="D252" s="19" t="s">
        <v>1532</v>
      </c>
      <c r="E252" s="15" t="s">
        <v>1535</v>
      </c>
      <c r="F252" s="7"/>
      <c r="G252" s="7"/>
      <c r="H252" s="19"/>
      <c r="I252" s="19"/>
    </row>
    <row r="253" spans="1:9">
      <c r="A253" s="1" t="s">
        <v>252</v>
      </c>
      <c r="B253" t="str">
        <f ca="1">_xlfn.LET(_xlpm.v,VLOOKUP(tblCharDataEinar[[#This Row],[Field]],INDIRECT($AH$1),2,FALSE),IF(OR(_xlpm.v=0,_xlpm.v=""),"-",REPT("●",_xlpm.v)))</f>
        <v>-</v>
      </c>
      <c r="D253" s="19" t="s">
        <v>1532</v>
      </c>
      <c r="E253" s="15" t="s">
        <v>1536</v>
      </c>
      <c r="F253" s="7"/>
      <c r="G253" s="7"/>
      <c r="H253" s="19"/>
      <c r="I253" s="19"/>
    </row>
    <row r="254" spans="1:9">
      <c r="A254" s="1" t="s">
        <v>253</v>
      </c>
      <c r="B254" t="str">
        <f t="shared" ref="B254:B283" si="36">IF(AD44="","¬",AD44)</f>
        <v>Dominate ● | Mesmerise</v>
      </c>
      <c r="D254" s="19" t="s">
        <v>1532</v>
      </c>
      <c r="E254" s="15" t="s">
        <v>1537</v>
      </c>
      <c r="F254" s="7"/>
      <c r="G254" s="7"/>
      <c r="H254" s="19"/>
      <c r="I254" s="19"/>
    </row>
    <row r="255" spans="1:9">
      <c r="A255" s="1" t="s">
        <v>254</v>
      </c>
      <c r="B255" t="str">
        <f t="shared" si="36"/>
        <v>Protean ● | Unmarked Grave</v>
      </c>
      <c r="D255" s="19" t="s">
        <v>1532</v>
      </c>
      <c r="E255" s="15" t="s">
        <v>1538</v>
      </c>
      <c r="F255" s="7"/>
      <c r="G255" s="7"/>
      <c r="H255" s="19"/>
      <c r="I255" s="19"/>
    </row>
    <row r="256" spans="1:9">
      <c r="A256" s="1" t="s">
        <v>255</v>
      </c>
      <c r="B256" t="str">
        <f t="shared" si="36"/>
        <v>Protean ●● | Predatory Aspect</v>
      </c>
      <c r="D256" s="19" t="s">
        <v>1532</v>
      </c>
      <c r="E256" s="15" t="s">
        <v>1539</v>
      </c>
      <c r="F256" s="7"/>
      <c r="G256" s="7"/>
      <c r="H256" s="19"/>
      <c r="I256" s="19"/>
    </row>
    <row r="257" spans="1:9">
      <c r="A257" s="1" t="s">
        <v>256</v>
      </c>
      <c r="B257" t="str">
        <f t="shared" si="36"/>
        <v>Protean ●●● | Beast's Skin</v>
      </c>
      <c r="D257" s="19" t="s">
        <v>1532</v>
      </c>
      <c r="E257" s="15" t="s">
        <v>1540</v>
      </c>
      <c r="F257" s="7"/>
      <c r="G257" s="7"/>
      <c r="H257" s="19"/>
      <c r="I257" s="19"/>
    </row>
    <row r="258" spans="1:9">
      <c r="A258" s="1" t="s">
        <v>257</v>
      </c>
      <c r="B258" t="str">
        <f t="shared" si="36"/>
        <v>Protean ●●●● | Unnatural Aspect</v>
      </c>
      <c r="D258" s="19" t="s">
        <v>1532</v>
      </c>
      <c r="E258" s="15" t="s">
        <v>1541</v>
      </c>
      <c r="F258" s="7"/>
      <c r="G258" s="7"/>
      <c r="H258" s="19"/>
      <c r="I258" s="19"/>
    </row>
    <row r="259" spans="1:9">
      <c r="A259" s="1" t="s">
        <v>258</v>
      </c>
      <c r="B259" t="str">
        <f t="shared" si="36"/>
        <v>Resilience ●</v>
      </c>
      <c r="D259" s="19" t="s">
        <v>1532</v>
      </c>
      <c r="E259" s="15" t="s">
        <v>1542</v>
      </c>
      <c r="F259" s="7"/>
      <c r="G259" s="7"/>
      <c r="H259" s="19"/>
      <c r="I259" s="19"/>
    </row>
    <row r="260" spans="1:9">
      <c r="A260" s="1" t="s">
        <v>259</v>
      </c>
      <c r="B260" t="str">
        <f t="shared" si="36"/>
        <v>Vigour ●●</v>
      </c>
      <c r="D260" s="19" t="s">
        <v>1532</v>
      </c>
      <c r="E260" s="15" t="s">
        <v>1543</v>
      </c>
      <c r="F260" s="7"/>
      <c r="G260" s="7"/>
      <c r="H260" s="19"/>
      <c r="I260" s="19"/>
    </row>
    <row r="261" spans="1:9">
      <c r="A261" s="1" t="s">
        <v>260</v>
      </c>
      <c r="B261" t="str">
        <f t="shared" si="36"/>
        <v>Devotion  | Rime of Salt</v>
      </c>
      <c r="D261" s="19" t="s">
        <v>1532</v>
      </c>
      <c r="E261" s="15" t="s">
        <v>1544</v>
      </c>
      <c r="F261" s="7"/>
      <c r="G261" s="7"/>
      <c r="H261" s="19"/>
      <c r="I261" s="19"/>
    </row>
    <row r="262" spans="1:9">
      <c r="A262" s="1" t="s">
        <v>261</v>
      </c>
      <c r="B262" t="str">
        <f t="shared" si="36"/>
        <v>¬</v>
      </c>
      <c r="D262" s="19" t="s">
        <v>1532</v>
      </c>
      <c r="E262" s="15" t="s">
        <v>1545</v>
      </c>
      <c r="F262" s="7"/>
      <c r="G262" s="7"/>
      <c r="H262" s="19"/>
      <c r="I262" s="19"/>
    </row>
    <row r="263" spans="1:9">
      <c r="A263" s="1" t="s">
        <v>262</v>
      </c>
      <c r="B263" t="str">
        <f t="shared" si="36"/>
        <v>¬</v>
      </c>
      <c r="D263" s="19" t="s">
        <v>1532</v>
      </c>
      <c r="E263" s="15" t="s">
        <v>1546</v>
      </c>
      <c r="F263" s="7"/>
      <c r="G263" s="7"/>
      <c r="H263" s="19"/>
      <c r="I263" s="19"/>
    </row>
    <row r="264" spans="1:9">
      <c r="A264" s="1" t="s">
        <v>263</v>
      </c>
      <c r="B264" t="str">
        <f t="shared" si="36"/>
        <v>¬</v>
      </c>
      <c r="D264" s="19" t="s">
        <v>1532</v>
      </c>
      <c r="E264" s="15" t="s">
        <v>1547</v>
      </c>
      <c r="F264" s="7"/>
      <c r="G264" s="7"/>
      <c r="H264" s="19"/>
      <c r="I264" s="19"/>
    </row>
    <row r="265" spans="1:9">
      <c r="A265" s="1" t="s">
        <v>264</v>
      </c>
      <c r="B265" t="str">
        <f t="shared" si="36"/>
        <v>¬</v>
      </c>
      <c r="D265" s="19" t="s">
        <v>1532</v>
      </c>
      <c r="E265" s="15" t="s">
        <v>1548</v>
      </c>
      <c r="F265" s="7"/>
      <c r="G265" s="7"/>
      <c r="H265" s="19"/>
      <c r="I265" s="19"/>
    </row>
    <row r="266" spans="1:9">
      <c r="A266" s="1" t="s">
        <v>265</v>
      </c>
      <c r="B266" t="str">
        <f t="shared" si="36"/>
        <v>¬</v>
      </c>
      <c r="D266" s="19" t="s">
        <v>1532</v>
      </c>
      <c r="E266" s="15" t="s">
        <v>1549</v>
      </c>
      <c r="F266" s="7"/>
      <c r="G266" s="7"/>
      <c r="H266" s="19"/>
      <c r="I266" s="19"/>
    </row>
    <row r="267" spans="1:9">
      <c r="A267" s="1" t="s">
        <v>266</v>
      </c>
      <c r="B267" t="str">
        <f t="shared" si="36"/>
        <v>¬</v>
      </c>
      <c r="D267" s="19" t="s">
        <v>1532</v>
      </c>
      <c r="E267" s="15" t="s">
        <v>1550</v>
      </c>
      <c r="F267" s="7"/>
      <c r="G267" s="7"/>
      <c r="H267" s="19"/>
      <c r="I267" s="19"/>
    </row>
    <row r="268" spans="1:9">
      <c r="A268" s="1" t="s">
        <v>267</v>
      </c>
      <c r="B268" t="str">
        <f t="shared" si="36"/>
        <v>¬</v>
      </c>
      <c r="D268" s="19" t="s">
        <v>1532</v>
      </c>
      <c r="E268" s="15" t="s">
        <v>1551</v>
      </c>
      <c r="F268" s="7"/>
      <c r="G268" s="7"/>
      <c r="H268" s="19"/>
      <c r="I268" s="19"/>
    </row>
    <row r="269" spans="1:9">
      <c r="A269" s="1" t="s">
        <v>268</v>
      </c>
      <c r="B269" t="str">
        <f t="shared" si="36"/>
        <v>¬</v>
      </c>
      <c r="D269" s="19" t="s">
        <v>1532</v>
      </c>
      <c r="E269" s="15" t="s">
        <v>1552</v>
      </c>
      <c r="F269" s="7"/>
      <c r="G269" s="7"/>
      <c r="H269" s="19"/>
      <c r="I269" s="19"/>
    </row>
    <row r="270" spans="1:9">
      <c r="A270" s="1" t="s">
        <v>269</v>
      </c>
      <c r="B270" t="str">
        <f t="shared" si="36"/>
        <v>¬</v>
      </c>
      <c r="D270" s="19" t="s">
        <v>1532</v>
      </c>
      <c r="E270" s="15" t="s">
        <v>1553</v>
      </c>
      <c r="F270" s="7"/>
      <c r="G270" s="7"/>
      <c r="H270" s="19"/>
      <c r="I270" s="19"/>
    </row>
    <row r="271" spans="1:9">
      <c r="A271" s="1" t="s">
        <v>270</v>
      </c>
      <c r="B271" t="str">
        <f t="shared" si="36"/>
        <v>¬</v>
      </c>
      <c r="D271" s="19" t="s">
        <v>1532</v>
      </c>
      <c r="E271" s="15" t="s">
        <v>1554</v>
      </c>
      <c r="F271" s="7"/>
      <c r="G271" s="7"/>
      <c r="H271" s="19"/>
      <c r="I271" s="19"/>
    </row>
    <row r="272" spans="1:9">
      <c r="A272" s="1" t="s">
        <v>271</v>
      </c>
      <c r="B272" t="str">
        <f t="shared" si="36"/>
        <v>¬</v>
      </c>
      <c r="D272" s="19" t="s">
        <v>1532</v>
      </c>
      <c r="E272" s="15" t="s">
        <v>1555</v>
      </c>
      <c r="F272" s="7"/>
      <c r="G272" s="7"/>
      <c r="H272" s="19"/>
      <c r="I272" s="19"/>
    </row>
    <row r="273" spans="1:14">
      <c r="A273" s="1" t="s">
        <v>272</v>
      </c>
      <c r="B273" t="str">
        <f t="shared" si="36"/>
        <v>¬</v>
      </c>
      <c r="D273" s="19" t="s">
        <v>1532</v>
      </c>
      <c r="E273" s="15" t="s">
        <v>1556</v>
      </c>
      <c r="F273" s="7"/>
      <c r="G273" s="7"/>
      <c r="H273" s="19"/>
      <c r="I273" s="19"/>
    </row>
    <row r="274" spans="1:14">
      <c r="A274" s="1" t="s">
        <v>273</v>
      </c>
      <c r="B274" t="str">
        <f t="shared" si="36"/>
        <v>¬</v>
      </c>
      <c r="D274" s="19" t="s">
        <v>1532</v>
      </c>
      <c r="E274" s="15" t="s">
        <v>1557</v>
      </c>
      <c r="F274" s="7"/>
      <c r="G274" s="7"/>
      <c r="H274" s="19"/>
      <c r="I274" s="19"/>
    </row>
    <row r="275" spans="1:14">
      <c r="A275" s="1" t="s">
        <v>274</v>
      </c>
      <c r="B275" t="str">
        <f t="shared" si="36"/>
        <v>¬</v>
      </c>
      <c r="D275" s="19" t="s">
        <v>1532</v>
      </c>
      <c r="E275" s="15" t="s">
        <v>1558</v>
      </c>
      <c r="F275" s="7"/>
      <c r="G275" s="7"/>
      <c r="H275" s="19"/>
      <c r="I275" s="19"/>
    </row>
    <row r="276" spans="1:14">
      <c r="A276" s="1" t="s">
        <v>275</v>
      </c>
      <c r="B276" t="str">
        <f t="shared" si="36"/>
        <v>¬</v>
      </c>
      <c r="D276" s="19" t="s">
        <v>1532</v>
      </c>
      <c r="E276" s="15" t="s">
        <v>1559</v>
      </c>
      <c r="F276" s="7"/>
      <c r="G276" s="7"/>
      <c r="H276" s="19"/>
      <c r="I276" s="19"/>
    </row>
    <row r="277" spans="1:14">
      <c r="A277" s="1" t="s">
        <v>276</v>
      </c>
      <c r="B277" t="str">
        <f t="shared" si="36"/>
        <v>¬</v>
      </c>
      <c r="D277" s="19" t="s">
        <v>1532</v>
      </c>
      <c r="E277" s="15" t="s">
        <v>1560</v>
      </c>
      <c r="F277" s="7"/>
      <c r="G277" s="7"/>
      <c r="H277" s="19"/>
      <c r="I277" s="19"/>
    </row>
    <row r="278" spans="1:14">
      <c r="A278" s="1" t="s">
        <v>277</v>
      </c>
      <c r="B278" t="str">
        <f t="shared" si="36"/>
        <v>¬</v>
      </c>
    </row>
    <row r="279" spans="1:14">
      <c r="A279" s="1" t="s">
        <v>278</v>
      </c>
      <c r="B279" t="str">
        <f t="shared" si="36"/>
        <v>¬</v>
      </c>
      <c r="D279" s="16" t="s">
        <v>1561</v>
      </c>
      <c r="E279" s="16"/>
      <c r="F279" s="16" t="s">
        <v>1347</v>
      </c>
      <c r="G279" s="16" t="s">
        <v>1348</v>
      </c>
      <c r="H279" s="16" t="s">
        <v>1349</v>
      </c>
      <c r="I279" s="16" t="s">
        <v>1350</v>
      </c>
      <c r="N279" s="60">
        <f ca="1">SUM(N280:N282)</f>
        <v>3</v>
      </c>
    </row>
    <row r="280" spans="1:14">
      <c r="A280" s="1" t="s">
        <v>279</v>
      </c>
      <c r="B280" t="str">
        <f t="shared" si="36"/>
        <v>¬</v>
      </c>
      <c r="D280" s="61" t="str" cm="1">
        <f t="array" aca="1" ref="D280" ca="1">INDEX(Attendance!$C$14:$GP$44,
       MATCH($F$4, Attendance!$C$14:$C$44, 0),
       MATCH(1, (Attendance!$C$12:$GP$12=$E280) * (Attendance!$C$13:$GP$13="Paid"), 0)
)</f>
        <v>PayPal</v>
      </c>
      <c r="E280" s="41">
        <v>46054</v>
      </c>
      <c r="F280" s="61" cm="1">
        <f t="array" aca="1" ref="F280" ca="1">N(INDEX(Attendance!$C$14:$GP$104,
       MATCH($F$4, Attendance!$C$14:$C$104, 0),
       MATCH(1, (Attendance!$C$12:$GP$12=$E280) * (Attendance!$C$13:$GP$13=$F$279), 0)
))</f>
        <v>3</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0</v>
      </c>
      <c r="I280" s="61" t="str" cm="1">
        <f t="array" aca="1" ref="I280" ca="1">INDEX(Attendance!$C$14:$GP$44,
       MATCH($F$4, Attendance!$C$14:$C$44, 0),
       MATCH(1, (Attendance!$C$12:$GP$12=$E280) * (Attendance!$C$13:$GP$13=$I$279), 0)
)</f>
        <v>A/OF - 2</v>
      </c>
      <c r="K280" s="18"/>
      <c r="L280" s="18"/>
      <c r="M280" s="18" t="s">
        <v>1562</v>
      </c>
      <c r="N280" s="61">
        <f ca="1">SUM(F$280:F$316)</f>
        <v>3</v>
      </c>
    </row>
    <row r="281" spans="1:14">
      <c r="A281" s="1" t="s">
        <v>280</v>
      </c>
      <c r="B281" t="str">
        <f t="shared" si="36"/>
        <v>¬</v>
      </c>
      <c r="D281" s="61" t="str" cm="1">
        <f t="array" aca="1" ref="D281" ca="1">INDEX(Attendance!$C$14:$GP$44,
       MATCH($F$4, Attendance!$C$14:$C$44, 0),
       MATCH(1, (Attendance!$C$12:$GP$12=$E281) * (Attendance!$C$13:$GP$13="Paid"), 0)
)</f>
        <v> </v>
      </c>
      <c r="E281" s="42">
        <f t="shared" ref="E281:E316" si="37">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6"/>
        <v>¬</v>
      </c>
      <c r="D282" s="61" t="str" cm="1">
        <f t="array" aca="1" ref="D282" ca="1">INDEX(Attendance!$C$14:$GP$44,
       MATCH($F$4, Attendance!$C$14:$C$44, 0),
       MATCH(1, (Attendance!$C$12:$GP$12=$E282) * (Attendance!$C$13:$GP$13="Paid"), 0)
)</f>
        <v> </v>
      </c>
      <c r="E282" s="42">
        <f t="shared" si="37"/>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0</v>
      </c>
    </row>
    <row r="283" spans="1:14">
      <c r="A283" s="1" t="s">
        <v>282</v>
      </c>
      <c r="B283" t="str">
        <f t="shared" si="36"/>
        <v>¬</v>
      </c>
      <c r="D283" s="61" t="str" cm="1">
        <f t="array" aca="1" ref="D283" ca="1">INDEX(Attendance!$C$14:$GP$44,
       MATCH($F$4, Attendance!$C$14:$C$44, 0),
       MATCH(1, (Attendance!$C$12:$GP$12=$E283) * (Attendance!$C$13:$GP$13="Paid"), 0)
)</f>
        <v> </v>
      </c>
      <c r="E283" s="42">
        <f t="shared" si="37"/>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8">IF(AE44="","¬",AE44)</f>
        <v>Cost: - -3 in combat unless Blinded  •  Pool: 7  v Resolve + BP  •  Instant  •  Instant</v>
      </c>
      <c r="D284" s="61" t="str" cm="1">
        <f t="array" aca="1" ref="D284" ca="1">INDEX(Attendance!$C$14:$GP$44,
       MATCH($F$4, Attendance!$C$14:$C$44, 0),
       MATCH(1, (Attendance!$C$12:$GP$12=$E284) * (Attendance!$C$13:$GP$13="Paid"), 0)
)</f>
        <v> </v>
      </c>
      <c r="E284" s="42">
        <f t="shared" si="37"/>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8"/>
        <v>Cost: Varies  •  Pool: -  •  Instant  •  Indefinite</v>
      </c>
      <c r="D285" s="61" t="str" cm="1">
        <f t="array" aca="1" ref="D285" ca="1">INDEX(Attendance!$C$14:$GP$44,
       MATCH($F$4, Attendance!$C$14:$C$44, 0),
       MATCH(1, (Attendance!$C$12:$GP$12=$E285) * (Attendance!$C$13:$GP$13="Paid"), 0)
)</f>
        <v> </v>
      </c>
      <c r="E285" s="42">
        <f t="shared" si="37"/>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8"/>
        <v>Cost: 1 V  •  Pool: -  •  Instant  •  Scene</v>
      </c>
      <c r="D286" s="61" t="str" cm="1">
        <f t="array" aca="1" ref="D286" ca="1">INDEX(Attendance!$C$14:$GP$44,
       MATCH($F$4, Attendance!$C$14:$C$44, 0),
       MATCH(1, (Attendance!$C$12:$GP$12=$E286) * (Attendance!$C$13:$GP$13="Paid"), 0)
)</f>
        <v> </v>
      </c>
      <c r="E286" s="42">
        <f t="shared" si="37"/>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8"/>
        <v>Cost: 2 V  •  Pool: -  •  Instant  •  Indefinite</v>
      </c>
      <c r="D287" s="61" t="str" cm="1">
        <f t="array" aca="1" ref="D287" ca="1">INDEX(Attendance!$C$14:$GP$44,
       MATCH($F$4, Attendance!$C$14:$C$44, 0),
       MATCH(1, (Attendance!$C$12:$GP$12=$E287) * (Attendance!$C$13:$GP$13="Paid"), 0)
)</f>
        <v> </v>
      </c>
      <c r="E287" s="42">
        <f t="shared" si="37"/>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8"/>
        <v>Cost: 1 V  •  Pool: -  •  None  •  Scene</v>
      </c>
      <c r="D288" s="61" t="str" cm="1">
        <f t="array" aca="1" ref="D288" ca="1">INDEX(Attendance!$C$14:$GP$44,
       MATCH($F$4, Attendance!$C$14:$C$44, 0),
       MATCH(1, (Attendance!$C$12:$GP$12=$E288) * (Attendance!$C$13:$GP$13="Paid"), 0)
)</f>
        <v> </v>
      </c>
      <c r="E288" s="42">
        <f t="shared" si="37"/>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8"/>
        <v>Cost: 1 V per effect  •  Pool: -  •  Reflexive  •  1 turn</v>
      </c>
      <c r="D289" s="61" t="str" cm="1">
        <f t="array" aca="1" ref="D289" ca="1">INDEX(Attendance!$C$14:$GP$44,
       MATCH($F$4, Attendance!$C$14:$C$44, 0),
       MATCH(1, (Attendance!$C$12:$GP$12=$E289) * (Attendance!$C$13:$GP$13="Paid"), 0)
)</f>
        <v> </v>
      </c>
      <c r="E289" s="42">
        <f t="shared" si="37"/>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8"/>
        <v>Cost: 1 V per effect  •  Pool: -  •  Reflexive  •  1 turn</v>
      </c>
      <c r="D290" s="61" t="str" cm="1">
        <f t="array" aca="1" ref="D290" ca="1">INDEX(Attendance!$C$14:$GP$44,
       MATCH($F$4, Attendance!$C$14:$C$44, 0),
       MATCH(1, (Attendance!$C$12:$GP$12=$E290) * (Attendance!$C$13:$GP$13="Paid"), 0)
)</f>
        <v> </v>
      </c>
      <c r="E290" s="42">
        <f t="shared" si="37"/>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8"/>
        <v>Cost: Free (Ratgrafen Only)  •  Pool: -  •  Reflexive  •  Permanent</v>
      </c>
      <c r="D291" s="61" t="str" cm="1">
        <f t="array" aca="1" ref="D291" ca="1">INDEX(Attendance!$C$14:$GP$44,
       MATCH($F$4, Attendance!$C$14:$C$44, 0),
       MATCH(1, (Attendance!$C$12:$GP$12=$E291) * (Attendance!$C$13:$GP$13="Paid"), 0)
)</f>
        <v> </v>
      </c>
      <c r="E291" s="42">
        <f t="shared" si="37"/>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8"/>
        <v>¬</v>
      </c>
      <c r="D292" s="61" t="str" cm="1">
        <f t="array" aca="1" ref="D292" ca="1">INDEX(Attendance!$C$14:$GP$44,
       MATCH($F$4, Attendance!$C$14:$C$44, 0),
       MATCH(1, (Attendance!$C$12:$GP$12=$E292) * (Attendance!$C$13:$GP$13="Paid"), 0)
)</f>
        <v> </v>
      </c>
      <c r="E292" s="42">
        <f t="shared" si="37"/>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8"/>
        <v>¬</v>
      </c>
      <c r="D293" s="61" t="str" cm="1">
        <f t="array" aca="1" ref="D293" ca="1">INDEX(Attendance!$C$14:$GP$44,
       MATCH($F$4, Attendance!$C$14:$C$44, 0),
       MATCH(1, (Attendance!$C$12:$GP$12=$E293) * (Attendance!$C$13:$GP$13="Paid"), 0)
)</f>
        <v> </v>
      </c>
      <c r="E293" s="42">
        <f t="shared" si="37"/>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8"/>
        <v>¬</v>
      </c>
      <c r="D294" s="61" t="str" cm="1">
        <f t="array" aca="1" ref="D294" ca="1">INDEX(Attendance!$C$14:$GP$44,
       MATCH($F$4, Attendance!$C$14:$C$44, 0),
       MATCH(1, (Attendance!$C$12:$GP$12=$E294) * (Attendance!$C$13:$GP$13="Paid"), 0)
)</f>
        <v> </v>
      </c>
      <c r="E294" s="42">
        <f t="shared" si="37"/>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8"/>
        <v>¬</v>
      </c>
      <c r="D295" s="61" t="str" cm="1">
        <f t="array" aca="1" ref="D295" ca="1">INDEX(Attendance!$C$14:$GP$44,
       MATCH($F$4, Attendance!$C$14:$C$44, 0),
       MATCH(1, (Attendance!$C$12:$GP$12=$E295) * (Attendance!$C$13:$GP$13="Paid"), 0)
)</f>
        <v> </v>
      </c>
      <c r="E295" s="42">
        <f t="shared" si="37"/>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8"/>
        <v>¬</v>
      </c>
      <c r="D296" s="61" t="str" cm="1">
        <f t="array" aca="1" ref="D296" ca="1">INDEX(Attendance!$C$14:$GP$44,
       MATCH($F$4, Attendance!$C$14:$C$44, 0),
       MATCH(1, (Attendance!$C$12:$GP$12=$E296) * (Attendance!$C$13:$GP$13="Paid"), 0)
)</f>
        <v> </v>
      </c>
      <c r="E296" s="42">
        <f t="shared" si="37"/>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8"/>
        <v>¬</v>
      </c>
      <c r="D297" s="61" t="str" cm="1">
        <f t="array" aca="1" ref="D297" ca="1">INDEX(Attendance!$C$14:$GP$44,
       MATCH($F$4, Attendance!$C$14:$C$44, 0),
       MATCH(1, (Attendance!$C$12:$GP$12=$E297) * (Attendance!$C$13:$GP$13="Paid"), 0)
)</f>
        <v> </v>
      </c>
      <c r="E297" s="42">
        <f t="shared" si="37"/>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8"/>
        <v>¬</v>
      </c>
      <c r="D298" s="61" t="str" cm="1">
        <f t="array" aca="1" ref="D298" ca="1">INDEX(Attendance!$C$14:$GP$44,
       MATCH($F$4, Attendance!$C$14:$C$44, 0),
       MATCH(1, (Attendance!$C$12:$GP$12=$E298) * (Attendance!$C$13:$GP$13="Paid"), 0)
)</f>
        <v> </v>
      </c>
      <c r="E298" s="42">
        <f t="shared" si="37"/>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8"/>
        <v>¬</v>
      </c>
      <c r="D299" s="61" t="str" cm="1">
        <f t="array" aca="1" ref="D299" ca="1">INDEX(Attendance!$C$14:$GP$44,
       MATCH($F$4, Attendance!$C$14:$C$44, 0),
       MATCH(1, (Attendance!$C$12:$GP$12=$E299) * (Attendance!$C$13:$GP$13="Paid"), 0)
)</f>
        <v> </v>
      </c>
      <c r="E299" s="42">
        <f t="shared" si="37"/>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8"/>
        <v>¬</v>
      </c>
      <c r="D300" s="61" t="str" cm="1">
        <f t="array" aca="1" ref="D300" ca="1">INDEX(Attendance!$C$14:$GP$44,
       MATCH($F$4, Attendance!$C$14:$C$44, 0),
       MATCH(1, (Attendance!$C$12:$GP$12=$E300) * (Attendance!$C$13:$GP$13="Paid"), 0)
)</f>
        <v> </v>
      </c>
      <c r="E300" s="42">
        <f t="shared" si="37"/>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8"/>
        <v>¬</v>
      </c>
      <c r="D301" s="61" t="str" cm="1">
        <f t="array" aca="1" ref="D301" ca="1">INDEX(Attendance!$C$14:$GP$44,
       MATCH($F$4, Attendance!$C$14:$C$44, 0),
       MATCH(1, (Attendance!$C$12:$GP$12=$E301) * (Attendance!$C$13:$GP$13="Paid"), 0)
)</f>
        <v> </v>
      </c>
      <c r="E301" s="42">
        <f t="shared" si="37"/>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8"/>
        <v>¬</v>
      </c>
      <c r="D302" s="61" t="str" cm="1">
        <f t="array" aca="1" ref="D302" ca="1">INDEX(Attendance!$C$14:$GP$44,
       MATCH($F$4, Attendance!$C$14:$C$44, 0),
       MATCH(1, (Attendance!$C$12:$GP$12=$E302) * (Attendance!$C$13:$GP$13="Paid"), 0)
)</f>
        <v> </v>
      </c>
      <c r="E302" s="42">
        <f t="shared" si="37"/>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8"/>
        <v>¬</v>
      </c>
      <c r="D303" s="61" t="str" cm="1">
        <f t="array" aca="1" ref="D303" ca="1">INDEX(Attendance!$C$14:$GP$44,
       MATCH($F$4, Attendance!$C$14:$C$44, 0),
       MATCH(1, (Attendance!$C$12:$GP$12=$E303) * (Attendance!$C$13:$GP$13="Paid"), 0)
)</f>
        <v> </v>
      </c>
      <c r="E303" s="42">
        <f t="shared" si="37"/>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8"/>
        <v>¬</v>
      </c>
      <c r="D304" s="61" t="str" cm="1">
        <f t="array" aca="1" ref="D304" ca="1">INDEX(Attendance!$C$14:$GP$44,
       MATCH($F$4, Attendance!$C$14:$C$44, 0),
       MATCH(1, (Attendance!$C$12:$GP$12=$E304) * (Attendance!$C$13:$GP$13="Paid"), 0)
)</f>
        <v> </v>
      </c>
      <c r="E304" s="42">
        <f t="shared" si="37"/>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8"/>
        <v>¬</v>
      </c>
      <c r="D305" s="61" t="str" cm="1">
        <f t="array" aca="1" ref="D305" ca="1">INDEX(Attendance!$C$14:$GP$44,
       MATCH($F$4, Attendance!$C$14:$C$44, 0),
       MATCH(1, (Attendance!$C$12:$GP$12=$E305) * (Attendance!$C$13:$GP$13="Paid"), 0)
)</f>
        <v> </v>
      </c>
      <c r="E305" s="42">
        <f t="shared" si="37"/>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8"/>
        <v>¬</v>
      </c>
      <c r="D306" s="61" t="str" cm="1">
        <f t="array" aca="1" ref="D306" ca="1">INDEX(Attendance!$C$14:$GP$44,
       MATCH($F$4, Attendance!$C$14:$C$44, 0),
       MATCH(1, (Attendance!$C$12:$GP$12=$E306) * (Attendance!$C$13:$GP$13="Paid"), 0)
)</f>
        <v> </v>
      </c>
      <c r="E306" s="42">
        <f t="shared" si="37"/>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8"/>
        <v>¬</v>
      </c>
      <c r="D307" s="61" t="str" cm="1">
        <f t="array" aca="1" ref="D307" ca="1">INDEX(Attendance!$C$14:$GP$44,
       MATCH($F$4, Attendance!$C$14:$C$44, 0),
       MATCH(1, (Attendance!$C$12:$GP$12=$E307) * (Attendance!$C$13:$GP$13="Paid"), 0)
)</f>
        <v> </v>
      </c>
      <c r="E307" s="42">
        <f t="shared" si="37"/>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8"/>
        <v>¬</v>
      </c>
      <c r="D308" s="61" t="str" cm="1">
        <f t="array" aca="1" ref="D308" ca="1">INDEX(Attendance!$C$14:$GP$44,
       MATCH($F$4, Attendance!$C$14:$C$44, 0),
       MATCH(1, (Attendance!$C$12:$GP$12=$E308) * (Attendance!$C$13:$GP$13="Paid"), 0)
)</f>
        <v> </v>
      </c>
      <c r="E308" s="42">
        <f t="shared" si="37"/>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8"/>
        <v>¬</v>
      </c>
      <c r="D309" s="61" t="str" cm="1">
        <f t="array" aca="1" ref="D309" ca="1">INDEX(Attendance!$C$14:$GP$44,
       MATCH($F$4, Attendance!$C$14:$C$44, 0),
       MATCH(1, (Attendance!$C$12:$GP$12=$E309) * (Attendance!$C$13:$GP$13="Paid"), 0)
)</f>
        <v> </v>
      </c>
      <c r="E309" s="42">
        <f t="shared" si="37"/>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8"/>
        <v>¬</v>
      </c>
      <c r="D310" s="61" t="str" cm="1">
        <f t="array" aca="1" ref="D310" ca="1">INDEX(Attendance!$C$14:$GP$44,
       MATCH($F$4, Attendance!$C$14:$C$44, 0),
       MATCH(1, (Attendance!$C$12:$GP$12=$E310) * (Attendance!$C$13:$GP$13="Paid"), 0)
)</f>
        <v> </v>
      </c>
      <c r="E310" s="42">
        <f t="shared" si="37"/>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8"/>
        <v>¬</v>
      </c>
      <c r="D311" s="61" t="str" cm="1">
        <f t="array" aca="1" ref="D311" ca="1">INDEX(Attendance!$C$14:$GP$44,
       MATCH($F$4, Attendance!$C$14:$C$44, 0),
       MATCH(1, (Attendance!$C$12:$GP$12=$E311) * (Attendance!$C$13:$GP$13="Paid"), 0)
)</f>
        <v> </v>
      </c>
      <c r="E311" s="42">
        <f t="shared" si="37"/>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8"/>
        <v>¬</v>
      </c>
      <c r="D312" s="61" t="str" cm="1">
        <f t="array" aca="1" ref="D312" ca="1">INDEX(Attendance!$C$14:$GP$44,
       MATCH($F$4, Attendance!$C$14:$C$44, 0),
       MATCH(1, (Attendance!$C$12:$GP$12=$E312) * (Attendance!$C$13:$GP$13="Paid"), 0)
)</f>
        <v> </v>
      </c>
      <c r="E312" s="42">
        <f t="shared" si="37"/>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8"/>
        <v>¬</v>
      </c>
      <c r="D313" s="61" t="str" cm="1">
        <f t="array" aca="1" ref="D313" ca="1">INDEX(Attendance!$C$14:$GP$44,
       MATCH($F$4, Attendance!$C$14:$C$44, 0),
       MATCH(1, (Attendance!$C$12:$GP$12=$E313) * (Attendance!$C$13:$GP$13="Paid"), 0)
)</f>
        <v> </v>
      </c>
      <c r="E313" s="42">
        <f t="shared" si="37"/>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39">IF(AF44="","¬",AF44)</f>
        <v>Impose Mesmerised Condition. Control with short commands.</v>
      </c>
      <c r="D314" s="61" t="str" cm="1">
        <f t="array" aca="1" ref="D314" ca="1">INDEX(Attendance!$C$14:$GP$44,
       MATCH($F$4, Attendance!$C$14:$C$44, 0),
       MATCH(1, (Attendance!$C$12:$GP$12=$E314) * (Attendance!$C$13:$GP$13="Paid"), 0)
)</f>
        <v> </v>
      </c>
      <c r="E314" s="42">
        <f t="shared" si="37"/>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39"/>
        <v>Merge with soil.</v>
      </c>
      <c r="D315" s="61" t="str" cm="1">
        <f t="array" aca="1" ref="D315" ca="1">INDEX(Attendance!$C$14:$GP$44,
       MATCH($F$4, Attendance!$C$14:$C$44, 0),
       MATCH(1, (Attendance!$C$12:$GP$12=$E315) * (Attendance!$C$13:$GP$13="Paid"), 0)
)</f>
        <v> </v>
      </c>
      <c r="E315" s="42">
        <f t="shared" si="37"/>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39"/>
        <v>Take on animal traits.</v>
      </c>
      <c r="D316" s="61" t="str" cm="1">
        <f t="array" aca="1" ref="D316" ca="1">INDEX(Attendance!$C$14:$GP$44,
       MATCH($F$4, Attendance!$C$14:$C$44, 0),
       MATCH(1, (Attendance!$C$12:$GP$12=$E316) * (Attendance!$C$13:$GP$13="Paid"), 0)
)</f>
        <v> </v>
      </c>
      <c r="E316" s="42">
        <f t="shared" si="37"/>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39"/>
        <v>Transform into predatory animal.</v>
      </c>
    </row>
    <row r="318" spans="1:9">
      <c r="A318" s="1" t="s">
        <v>317</v>
      </c>
      <c r="B318" t="str">
        <f t="shared" si="39"/>
        <v>Take on a horrific trait. Barbed Hands damage is not lethal to vampires.</v>
      </c>
    </row>
    <row r="319" spans="1:9">
      <c r="A319" s="1" t="s">
        <v>318</v>
      </c>
      <c r="B319" t="str">
        <f t="shared" si="39"/>
        <v>Downgrade damage and increase Stamina. Improve Armour and Defences. Unnatural Fortitude: add Resilience dots as bonus dice to non-combat Stamina pools.</v>
      </c>
    </row>
    <row r="320" spans="1:9">
      <c r="A320" s="1" t="s">
        <v>319</v>
      </c>
      <c r="B320" t="str">
        <f t="shared" si="39"/>
        <v>Improve Strength. Add Vigour dots as bonus successes only if at least one net success achieved.</v>
      </c>
    </row>
    <row r="321" spans="1:2">
      <c r="A321" s="1" t="s">
        <v>320</v>
      </c>
      <c r="B321" t="str">
        <f t="shared" si="39"/>
        <v>Protean weapons imbued with ocean salt. Wounded targets suffer -2 on their next action.</v>
      </c>
    </row>
    <row r="322" spans="1:2">
      <c r="A322" s="1" t="s">
        <v>321</v>
      </c>
      <c r="B322" t="str">
        <f t="shared" si="39"/>
        <v>¬</v>
      </c>
    </row>
    <row r="323" spans="1:2">
      <c r="A323" s="1" t="s">
        <v>322</v>
      </c>
      <c r="B323" t="str">
        <f t="shared" si="39"/>
        <v>¬</v>
      </c>
    </row>
    <row r="324" spans="1:2">
      <c r="A324" s="1" t="s">
        <v>323</v>
      </c>
      <c r="B324" t="str">
        <f t="shared" si="39"/>
        <v>¬</v>
      </c>
    </row>
    <row r="325" spans="1:2">
      <c r="A325" s="1" t="s">
        <v>324</v>
      </c>
      <c r="B325" t="str">
        <f t="shared" si="39"/>
        <v>¬</v>
      </c>
    </row>
    <row r="326" spans="1:2">
      <c r="A326" s="1" t="s">
        <v>325</v>
      </c>
      <c r="B326" t="str">
        <f t="shared" si="39"/>
        <v>¬</v>
      </c>
    </row>
    <row r="327" spans="1:2">
      <c r="A327" s="1" t="s">
        <v>326</v>
      </c>
      <c r="B327" t="str">
        <f t="shared" si="39"/>
        <v>¬</v>
      </c>
    </row>
    <row r="328" spans="1:2">
      <c r="A328" s="1" t="s">
        <v>327</v>
      </c>
      <c r="B328" t="str">
        <f t="shared" si="39"/>
        <v>¬</v>
      </c>
    </row>
    <row r="329" spans="1:2">
      <c r="A329" s="1" t="s">
        <v>328</v>
      </c>
      <c r="B329" t="str">
        <f t="shared" si="39"/>
        <v>¬</v>
      </c>
    </row>
    <row r="330" spans="1:2">
      <c r="A330" s="1" t="s">
        <v>329</v>
      </c>
      <c r="B330" t="str">
        <f t="shared" si="39"/>
        <v>¬</v>
      </c>
    </row>
    <row r="331" spans="1:2">
      <c r="A331" s="1" t="s">
        <v>330</v>
      </c>
      <c r="B331" t="str">
        <f t="shared" si="39"/>
        <v>¬</v>
      </c>
    </row>
    <row r="332" spans="1:2">
      <c r="A332" s="1" t="s">
        <v>331</v>
      </c>
      <c r="B332" t="str">
        <f t="shared" si="39"/>
        <v>¬</v>
      </c>
    </row>
    <row r="333" spans="1:2">
      <c r="A333" s="1" t="s">
        <v>332</v>
      </c>
      <c r="B333" t="str">
        <f t="shared" si="39"/>
        <v>¬</v>
      </c>
    </row>
    <row r="334" spans="1:2">
      <c r="A334" s="1" t="s">
        <v>333</v>
      </c>
      <c r="B334" t="str">
        <f t="shared" si="39"/>
        <v>¬</v>
      </c>
    </row>
    <row r="335" spans="1:2">
      <c r="A335" s="1" t="s">
        <v>334</v>
      </c>
      <c r="B335" t="str">
        <f t="shared" si="39"/>
        <v>¬</v>
      </c>
    </row>
    <row r="336" spans="1:2">
      <c r="A336" s="1" t="s">
        <v>335</v>
      </c>
      <c r="B336" t="str">
        <f t="shared" si="39"/>
        <v>¬</v>
      </c>
    </row>
    <row r="337" spans="1:2">
      <c r="A337" s="1" t="s">
        <v>336</v>
      </c>
      <c r="B337" t="str">
        <f t="shared" si="39"/>
        <v>¬</v>
      </c>
    </row>
    <row r="338" spans="1:2">
      <c r="A338" s="1" t="s">
        <v>337</v>
      </c>
      <c r="B338" t="str">
        <f t="shared" si="39"/>
        <v>¬</v>
      </c>
    </row>
    <row r="339" spans="1:2">
      <c r="A339" s="1" t="s">
        <v>338</v>
      </c>
      <c r="B339" t="str">
        <f t="shared" si="39"/>
        <v>¬</v>
      </c>
    </row>
    <row r="340" spans="1:2">
      <c r="A340" s="1" t="s">
        <v>339</v>
      </c>
      <c r="B340" t="str">
        <f t="shared" si="39"/>
        <v>¬</v>
      </c>
    </row>
    <row r="341" spans="1:2">
      <c r="A341" s="1" t="s">
        <v>340</v>
      </c>
      <c r="B341" t="str">
        <f t="shared" si="39"/>
        <v>¬</v>
      </c>
    </row>
    <row r="342" spans="1:2">
      <c r="A342" s="1" t="s">
        <v>341</v>
      </c>
      <c r="B342" t="str">
        <f t="shared" si="39"/>
        <v>¬</v>
      </c>
    </row>
    <row r="343" spans="1:2">
      <c r="A343" s="1" t="s">
        <v>342</v>
      </c>
      <c r="B343" t="str">
        <f t="shared" si="39"/>
        <v>¬</v>
      </c>
    </row>
    <row r="344" spans="1:2">
      <c r="A344" s="1" t="s">
        <v>343</v>
      </c>
      <c r="B344" s="8" t="str">
        <f>IF(VLOOKUP(tblCharDataEinar[[#This Row],[Field]],$E$2:$F$361,2,FALSE)="","¬",VLOOKUP(tblCharDataEinar[[#This Row],[Field]],$E$2:$F$361,2,FALSE))</f>
        <v>Aloof Curse</v>
      </c>
    </row>
    <row r="345" spans="1:2">
      <c r="A345" s="1" t="s">
        <v>344</v>
      </c>
      <c r="B345" s="8" t="str">
        <f>IF(VLOOKUP(tblCharDataEinar[[#This Row],[Field]],$E$2:$F$361,2,FALSE)="","¬",VLOOKUP(tblCharDataEinar[[#This Row],[Field]],$E$2:$F$361,2,FALSE))</f>
        <v>¬</v>
      </c>
    </row>
    <row r="346" spans="1:2">
      <c r="A346" s="1" t="s">
        <v>345</v>
      </c>
      <c r="B346" s="8" t="str">
        <f>IF(VLOOKUP(tblCharDataEinar[[#This Row],[Field]],$E$2:$F$361,2,FALSE)="","¬",VLOOKUP(tblCharDataEinar[[#This Row],[Field]],$E$2:$F$361,2,FALSE))</f>
        <v>¬</v>
      </c>
    </row>
    <row r="347" spans="1:2">
      <c r="A347" s="1" t="s">
        <v>346</v>
      </c>
      <c r="B347" s="8" t="str">
        <f>IF(VLOOKUP(tblCharDataEinar[[#This Row],[Field]],$E$2:$F$361,2,FALSE)="","¬",VLOOKUP(tblCharDataEinar[[#This Row],[Field]],$E$2:$F$361,2,FALSE))</f>
        <v>¬</v>
      </c>
    </row>
    <row r="348" spans="1:2">
      <c r="A348" s="1" t="s">
        <v>347</v>
      </c>
      <c r="B348" s="8" t="str">
        <f>IF(VLOOKUP(tblCharDataEinar[[#This Row],[Field]],$E$2:$F$361,2,FALSE)="","¬",VLOOKUP(tblCharDataEinar[[#This Row],[Field]],$E$2:$F$361,2,FALSE))</f>
        <v>¬</v>
      </c>
    </row>
    <row r="349" spans="1:2">
      <c r="A349" s="1" t="s">
        <v>348</v>
      </c>
      <c r="B349" t="str">
        <f>_xlfn.IFNA(VLOOKUP(B344,$F$234:$I$238,3,FALSE),"")</f>
        <v>First Touchstone attaches to Humanity 7; losing it detaches on first Humanity loss. Breaking points always treated as one step lower.</v>
      </c>
    </row>
    <row r="350" spans="1:2">
      <c r="A350" s="1" t="s">
        <v>349</v>
      </c>
      <c r="B350" t="str">
        <f>_xlfn.IFNA(VLOOKUP(B345,$F$234:$I$238,3,FALSE),"¬")</f>
        <v>¬</v>
      </c>
    </row>
    <row r="351" spans="1:2">
      <c r="A351" s="1" t="s">
        <v>350</v>
      </c>
      <c r="B351" t="str">
        <f>_xlfn.IFNA(VLOOKUP(B346,$F$234:$I$238,3,FALSE),"")</f>
        <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12</v>
      </c>
    </row>
    <row r="356" spans="1:2">
      <c r="A356" s="1" t="s">
        <v>355</v>
      </c>
      <c r="B356">
        <f ca="1">P220</f>
        <v>3</v>
      </c>
    </row>
    <row r="357" spans="1:2">
      <c r="A357" s="1" t="s">
        <v>356</v>
      </c>
      <c r="B357" t="str">
        <f>IF(F10="","¬",VLOOKUP(F10,tblAnchors[],2,FALSE))</f>
        <v>Ignore a problem or responsibility in favour of immediate gratification.</v>
      </c>
    </row>
    <row r="358" spans="1:2">
      <c r="A358" s="1" t="s">
        <v>357</v>
      </c>
      <c r="B358" t="str">
        <f>IF(F10="","¬",VLOOKUP(F10,tblAnchors[],3,FALSE))</f>
        <v>Abandon an important relationship over your pursuit of pleasure.</v>
      </c>
    </row>
    <row r="359" spans="1:2">
      <c r="A359" s="1" t="s">
        <v>358</v>
      </c>
      <c r="B359" t="str">
        <f>IF(F11="","¬",VLOOKUP(F11,tblAnchors[],2,FALSE))</f>
        <v>Challenge someone clearly your superior.</v>
      </c>
    </row>
    <row r="360" spans="1:2">
      <c r="A360" s="1" t="s">
        <v>359</v>
      </c>
      <c r="B360" t="str">
        <f>IF(F11="","¬",VLOOKUP(F11,tblAnchors[],3,FALSE))</f>
        <v>Risk Final Death to prove you can handle something.</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late 30s</v>
      </c>
    </row>
    <row r="365" spans="1:2">
      <c r="A365" s="1" t="s">
        <v>364</v>
      </c>
      <c r="B365" t="str">
        <f>_xlfn.LET(_xlpm.a,IF(F244="","",F244),_xlpm.b,IF(F245="","",F245),IF(AND(_xlpm.a&lt;&gt;"",_xlpm.b&lt;&gt;""),_xlpm.a&amp;", "&amp;_xlpm.b,IF(_xlpm.a&lt;&gt;"",_xlpm.a,IF(_xlpm.b&lt;&gt;"",_xlpm.b,""))))</f>
        <v/>
      </c>
    </row>
  </sheetData>
  <mergeCells count="89">
    <mergeCell ref="F240:I240"/>
    <mergeCell ref="F241:I241"/>
    <mergeCell ref="F242:I242"/>
    <mergeCell ref="F244:I244"/>
    <mergeCell ref="F245:I245"/>
    <mergeCell ref="H238:I238"/>
    <mergeCell ref="H208:I208"/>
    <mergeCell ref="H209:I209"/>
    <mergeCell ref="H210:I210"/>
    <mergeCell ref="H211:I211"/>
    <mergeCell ref="H212:I212"/>
    <mergeCell ref="H213:I213"/>
    <mergeCell ref="H214:I214"/>
    <mergeCell ref="H215:I215"/>
    <mergeCell ref="H234:I234"/>
    <mergeCell ref="H236:I236"/>
    <mergeCell ref="H237:I237"/>
    <mergeCell ref="H207:I207"/>
    <mergeCell ref="H153:I153"/>
    <mergeCell ref="H154:I154"/>
    <mergeCell ref="H155:I155"/>
    <mergeCell ref="H156:I156"/>
    <mergeCell ref="H157:I157"/>
    <mergeCell ref="H177:I177"/>
    <mergeCell ref="H178:I178"/>
    <mergeCell ref="H179:I179"/>
    <mergeCell ref="H180:I180"/>
    <mergeCell ref="H181:I181"/>
    <mergeCell ref="H206:I206"/>
    <mergeCell ref="H152:I152"/>
    <mergeCell ref="H141:I141"/>
    <mergeCell ref="H142:I142"/>
    <mergeCell ref="H143:I143"/>
    <mergeCell ref="H144:I144"/>
    <mergeCell ref="H145:I145"/>
    <mergeCell ref="H146:I146"/>
    <mergeCell ref="H147:I147"/>
    <mergeCell ref="H148:I148"/>
    <mergeCell ref="H149:I149"/>
    <mergeCell ref="H150:I150"/>
    <mergeCell ref="H151:I151"/>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11:I111"/>
    <mergeCell ref="H98:I98"/>
    <mergeCell ref="H101:I101"/>
    <mergeCell ref="H102:I102"/>
    <mergeCell ref="H103:I103"/>
    <mergeCell ref="H104:I104"/>
    <mergeCell ref="H105:I105"/>
    <mergeCell ref="H106:I106"/>
    <mergeCell ref="H107:I107"/>
    <mergeCell ref="H108:I108"/>
    <mergeCell ref="H109:I109"/>
    <mergeCell ref="H110:I110"/>
    <mergeCell ref="H97:I97"/>
    <mergeCell ref="H86:I86"/>
    <mergeCell ref="H87:I87"/>
    <mergeCell ref="H88:I88"/>
    <mergeCell ref="H89:I89"/>
    <mergeCell ref="H90:I90"/>
    <mergeCell ref="H91:I91"/>
    <mergeCell ref="H92:I92"/>
    <mergeCell ref="H93:I93"/>
    <mergeCell ref="H94:I94"/>
    <mergeCell ref="H95:I95"/>
    <mergeCell ref="H96:I96"/>
    <mergeCell ref="H85:I85"/>
    <mergeCell ref="O8:P8"/>
    <mergeCell ref="O9:P9"/>
    <mergeCell ref="O10:P10"/>
    <mergeCell ref="O11:P11"/>
    <mergeCell ref="O12:P12"/>
    <mergeCell ref="H79:I79"/>
    <mergeCell ref="H80:I80"/>
    <mergeCell ref="H81:I81"/>
    <mergeCell ref="H82:I82"/>
    <mergeCell ref="H83:I83"/>
    <mergeCell ref="H84:I84"/>
  </mergeCells>
  <dataValidations count="15">
    <dataValidation type="list" allowBlank="1" showInputMessage="1" showErrorMessage="1" sqref="G248:G277" xr:uid="{15E31FEF-7B88-45FB-879A-6AEBDDBB81A8}">
      <formula1>$I$248:$I$249</formula1>
    </dataValidation>
    <dataValidation type="list" allowBlank="1" showInputMessage="1" showErrorMessage="1" sqref="F108:F120" xr:uid="{C461A0D1-F2BF-43A4-B1B2-A76613E044B3}">
      <formula1>lstManoeuvres</formula1>
    </dataValidation>
    <dataValidation type="list" allowBlank="1" showInputMessage="1" showErrorMessage="1" sqref="F79:F98" xr:uid="{F601EE7C-B69F-43FC-89E5-D6F3BAB9F4EF}">
      <formula1>lstMerits</formula1>
    </dataValidation>
    <dataValidation type="list" allowBlank="1" showInputMessage="1" showErrorMessage="1" sqref="F236:F238" xr:uid="{4DEDA643-7FF3-44C0-BC9A-0881CCC0B84A}">
      <formula1>lstBanes</formula1>
    </dataValidation>
    <dataValidation type="list" allowBlank="1" showInputMessage="1" showErrorMessage="1" sqref="F206:F215" xr:uid="{CC160954-CB18-4AE8-945B-586CE8805C62}">
      <formula1>lstPacts</formula1>
    </dataValidation>
    <dataValidation type="list" allowBlank="1" showInputMessage="1" showErrorMessage="1" sqref="G12:G13" xr:uid="{8FC87E8E-6E5A-4440-8614-A12BF3845FBD}">
      <formula1>lstStatus</formula1>
    </dataValidation>
    <dataValidation type="list" allowBlank="1" showInputMessage="1" showErrorMessage="1" sqref="F194:F205 F207:F215" xr:uid="{61AEAF17-64FB-4EB8-A9E3-A2D6A2E5DEC9}">
      <formula1>lstRites</formula1>
    </dataValidation>
    <dataValidation type="list" allowBlank="1" showInputMessage="1" showErrorMessage="1" sqref="F177:F181" xr:uid="{EFBFE713-85E1-4812-B6A2-33122971B256}">
      <formula1>lstDevotions</formula1>
    </dataValidation>
    <dataValidation type="list" allowBlank="1" showInputMessage="1" showErrorMessage="1" sqref="F17:F21" xr:uid="{2EF1ECBF-238D-43F0-A8D6-3132AE9758B9}">
      <formula1>"TRUE,FALSE"</formula1>
    </dataValidation>
    <dataValidation type="list" allowBlank="1" showInputMessage="1" showErrorMessage="1" sqref="F24" xr:uid="{68D49A5B-2921-4887-AE4D-6AB11BEF7E10}">
      <formula1>$D$7:$D$8</formula1>
    </dataValidation>
    <dataValidation type="list" allowBlank="1" showInputMessage="1" showErrorMessage="1" sqref="I25 I30 I35 I41 I51 I61" xr:uid="{D83AA5A8-A940-4748-95C3-7A22303BCA1E}">
      <formula1>lstPriority</formula1>
    </dataValidation>
    <dataValidation type="list" allowBlank="1" showInputMessage="1" showErrorMessage="1" sqref="F10:F11" xr:uid="{6873A3A8-6698-47F4-A68D-68066B413773}">
      <formula1>lstNature</formula1>
    </dataValidation>
    <dataValidation type="list" allowBlank="1" showInputMessage="1" showErrorMessage="1" sqref="F8" xr:uid="{C2A46A4B-0C2C-4DBB-A727-AC73EB536ED2}">
      <formula1>lstBloodlines</formula1>
    </dataValidation>
    <dataValidation type="list" allowBlank="1" showInputMessage="1" showErrorMessage="1" sqref="F9" xr:uid="{64E54D66-CFCA-4CEF-ABD5-96C6BABDE3DB}">
      <formula1>lstCovenant</formula1>
    </dataValidation>
    <dataValidation type="list" allowBlank="1" showInputMessage="1" showErrorMessage="1" sqref="F7" xr:uid="{00AA0640-B7B6-4FCC-8910-06EB8E58D78E}">
      <formula1>lstClan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76B031AA-6CBA-488D-A3BA-FFE595D2E2AC}">
          <x14:formula1>
            <xm:f>'Lookup-Domain'!$A$2:$A$8</xm:f>
          </x14:formula1>
          <xm:sqref>F138:F157 F161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D2788-3C1B-413B-8A04-0674F10B70DE}">
  <dimension ref="A1:AK365"/>
  <sheetViews>
    <sheetView zoomScale="70" zoomScaleNormal="70" workbookViewId="0">
      <pane ySplit="1" topLeftCell="A2" activePane="bottomLeft" state="frozen"/>
      <selection pane="bottomLeft" activeCell="H237" sqref="H237:I237"/>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Fixer</v>
      </c>
      <c r="AC2" s="60" t="str" cm="1">
        <f t="array" ref="AC2:AC7">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Carthian Pull</v>
      </c>
      <c r="AD2" s="20" t="str">
        <f>IF(AC2="","¬",_xlfn.LET(_xlpm.base,IFERROR(LEFT(AC2,FIND(" (",AC2)-1),AC2),IFERROR(VLOOKUP(_xlpm.base,tblManoeuvre[],2,FALSE) &amp; " " &amp; REPT("●",VLOOKUP(_xlpm.base,tblManoeuvre[],3,FALSE)) &amp; " | " &amp; AC2,AC2 &amp; " " &amp; REPT("●",VLOOKUP(_xlpm.base,$F$79:$P$120,11,FALSE)))))</f>
        <v>Carthian Pull ●</v>
      </c>
      <c r="AE2" s="20"/>
      <c r="AF2" s="20" t="str">
        <f>IF(LEN(AC2)=0,"¬",_xlfn.LET(_xlpm.base,IFERROR(LEFT(AC2,FIND(" (",AC2)-1),AC2),IFERROR(VLOOKUP(_xlpm.base,tblMerits[],5,FALSE),IFERROR(VLOOKUP(_xlpm.base,tblManoeuvre[],9,FALSE),"¬"))))</f>
        <v>Monthly, access Carthian Status in dots of Allies, Contacts, Haven or Herd.</v>
      </c>
      <c r="AI2" s="15" t="s">
        <v>25</v>
      </c>
      <c r="AJ2" s="61">
        <f t="shared" ref="AJ2:AJ58" si="1">VLOOKUP(AI2,$E$3:$P$221,12,FALSE)</f>
        <v>0</v>
      </c>
      <c r="AK2" s="61">
        <f>IF(AJ2=0,IF(COUNTIF($E$42:$E$49,AI2)&gt;0,-3,-1),AJ2)</f>
        <v>-3</v>
      </c>
    </row>
    <row r="3" spans="1:37">
      <c r="A3" s="1" t="s">
        <v>2</v>
      </c>
      <c r="B3">
        <f ca="1">N3</f>
        <v>3</v>
      </c>
      <c r="D3" s="19"/>
      <c r="E3" s="15" t="s">
        <v>4</v>
      </c>
      <c r="F3" s="3" t="s">
        <v>911</v>
      </c>
      <c r="G3" s="18"/>
      <c r="H3" s="18"/>
      <c r="I3" s="18" t="s">
        <v>1425</v>
      </c>
      <c r="N3" s="60">
        <f ca="1">10+SUM(N4:N6)-SUM(N7)</f>
        <v>3</v>
      </c>
      <c r="Y3" s="15" t="s">
        <v>115</v>
      </c>
      <c r="Z3" s="19"/>
      <c r="AA3" s="61" t="str">
        <f t="shared" si="0"/>
        <v>Honey With Vinegar</v>
      </c>
      <c r="AC3" s="60" t="str">
        <v>Fixer</v>
      </c>
      <c r="AD3" s="20" t="str">
        <f>IF(AC3="","¬",_xlfn.LET(_xlpm.base,IFERROR(LEFT(AC3,FIND(" (",AC3)-1),AC3),IFERROR(VLOOKUP(_xlpm.base,tblManoeuvre[],2,FALSE) &amp; " " &amp; REPT("●",VLOOKUP(_xlpm.base,tblManoeuvre[],3,FALSE)) &amp; " | " &amp; AC3,AC3 &amp; " " &amp; REPT("●",VLOOKUP(_xlpm.base,$F$79:$P$120,11,FALSE)))))</f>
        <v>Fixer ●●</v>
      </c>
      <c r="AE3" s="20"/>
      <c r="AF3" s="20" t="str">
        <f>IF(LEN(AC3)=0,"¬",_xlfn.LET(_xlpm.base,IFERROR(LEFT(AC3,FIND(" (",AC3)-1),AC3),IFERROR(VLOOKUP(_xlpm.base,tblMerits[],5,FALSE),IFERROR(VLOOKUP(_xlpm.base,tblManoeuvre[],9,FALSE),"¬"))))</f>
        <v>Reduce all Availability costs by one.</v>
      </c>
      <c r="AI3" s="15" t="s">
        <v>41</v>
      </c>
      <c r="AJ3" s="61">
        <f t="shared" si="1"/>
        <v>0</v>
      </c>
      <c r="AK3" s="61">
        <f>IF(AJ3=0,IF(COUNTIF($E$42:$E$49,AI3)&gt;0,-3,-1),AJ3)</f>
        <v>-1</v>
      </c>
    </row>
    <row r="4" spans="1:37">
      <c r="A4" s="1" t="s">
        <v>3</v>
      </c>
      <c r="B4">
        <f ca="1">SUM(N3:N9)</f>
        <v>26</v>
      </c>
      <c r="D4" s="19"/>
      <c r="E4" s="15" t="s">
        <v>5</v>
      </c>
      <c r="F4" s="3" t="s">
        <v>912</v>
      </c>
      <c r="G4" s="18"/>
      <c r="H4" s="18"/>
      <c r="I4" s="18" t="s">
        <v>1426</v>
      </c>
      <c r="N4" s="61">
        <f>K73*2</f>
        <v>2</v>
      </c>
      <c r="Y4" s="15" t="s">
        <v>116</v>
      </c>
      <c r="Z4" s="19"/>
      <c r="AA4" s="61" t="str">
        <f t="shared" si="0"/>
        <v>Carthian Pull</v>
      </c>
      <c r="AC4" s="60" t="str">
        <v>Fucking Thief (Secret Society Junkie)</v>
      </c>
      <c r="AD4" s="20" t="str">
        <f>IF(AC4="","¬",_xlfn.LET(_xlpm.base,IFERROR(LEFT(AC4,FIND(" (",AC4)-1),AC4),IFERROR(VLOOKUP(_xlpm.base,tblManoeuvre[],2,FALSE) &amp; " " &amp; REPT("●",VLOOKUP(_xlpm.base,tblManoeuvre[],3,FALSE)) &amp; " | " &amp; AC4,AC4 &amp; " " &amp; REPT("●",VLOOKUP(_xlpm.base,$F$79:$P$120,11,FALSE)))))</f>
        <v>Fucking Thief (Secret Society Junkie) ●</v>
      </c>
      <c r="AE4" s="20"/>
      <c r="AF4" s="20" t="str">
        <f>IF(LEN(AC4)=0,"¬",_xlfn.LET(_xlpm.base,IFERROR(LEFT(AC4,FIND(" (",AC4)-1),AC4),IFERROR(VLOOKUP(_xlpm.base,tblMerits[],5,FALSE),IFERROR(VLOOKUP(_xlpm.base,tblManoeuvre[],9,FALSE),"¬"))))</f>
        <v>Steal flawed knowledge of a single one-dot advantage restricted to another covenant.</v>
      </c>
      <c r="AI4" s="15" t="s">
        <v>236</v>
      </c>
      <c r="AJ4" s="61">
        <f t="shared" si="1"/>
        <v>0</v>
      </c>
      <c r="AK4" s="61">
        <f>AJ4</f>
        <v>0</v>
      </c>
    </row>
    <row r="5" spans="1:37">
      <c r="A5" s="1" t="s">
        <v>4</v>
      </c>
      <c r="B5" t="str">
        <f>IF(VLOOKUP(tblCharDataEve[[#This Row],[Field]],$E$2:$F$362,2,FALSE)="","¬",VLOOKUP(tblCharDataEve[[#This Row],[Field]],$E$2:$F$362,2,FALSE))</f>
        <v>Jamie</v>
      </c>
      <c r="D5" s="19"/>
      <c r="E5" s="15" t="s">
        <v>6</v>
      </c>
      <c r="F5" s="3" t="s">
        <v>913</v>
      </c>
      <c r="G5" s="18"/>
      <c r="H5" s="18"/>
      <c r="I5" s="18" t="s">
        <v>1427</v>
      </c>
      <c r="N5" s="61">
        <f>N16</f>
        <v>3</v>
      </c>
      <c r="Y5" s="15" t="s">
        <v>117</v>
      </c>
      <c r="Z5" s="19"/>
      <c r="AA5" s="61" t="str">
        <f t="shared" si="0"/>
        <v>Fucking Thief (Secret Society Junkie)</v>
      </c>
      <c r="AC5" s="60" t="str">
        <v>Honey With Vinegar</v>
      </c>
      <c r="AD5" s="20" t="str">
        <f>IF(AC5="","¬",_xlfn.LET(_xlpm.base,IFERROR(LEFT(AC5,FIND(" (",AC5)-1),AC5),IFERROR(VLOOKUP(_xlpm.base,tblManoeuvre[],2,FALSE) &amp; " " &amp; REPT("●",VLOOKUP(_xlpm.base,tblManoeuvre[],3,FALSE)) &amp; " | " &amp; AC5,AC5 &amp; " " &amp; REPT("●",VLOOKUP(_xlpm.base,$F$79:$P$120,11,FALSE)))))</f>
        <v>Honey With Vinegar ●</v>
      </c>
      <c r="AE5" s="20"/>
      <c r="AF5" s="20" t="str">
        <f>IF(LEN(AC5)=0,"¬",_xlfn.LET(_xlpm.base,IFERROR(LEFT(AC5,FIND(" (",AC5)-1),AC5),IFERROR(VLOOKUP(_xlpm.base,tblMerits[],5,FALSE),IFERROR(VLOOKUP(_xlpm.base,tblManoeuvre[],9,FALSE),"¬"))))</f>
        <v>You earn influence from Allies, Contacts, and wide Mortal Status one step lower than normal. 1 point of influence at 2 dots or 4 dots respectively.</v>
      </c>
      <c r="AI5" s="15" t="s">
        <v>33</v>
      </c>
      <c r="AJ5" s="61">
        <f t="shared" si="1"/>
        <v>2</v>
      </c>
      <c r="AK5" s="61">
        <f>IF(AJ5=0,IF(COUNTIF($E$42:$E$49,AI5)&gt;0,-3,-1),AJ5)</f>
        <v>2</v>
      </c>
    </row>
    <row r="6" spans="1:37">
      <c r="A6" s="1" t="s">
        <v>5</v>
      </c>
      <c r="B6" t="str">
        <f>IF(VLOOKUP(tblCharDataEve[[#This Row],[Field]],$E$2:$F$362,2,FALSE)="","¬",VLOOKUP(tblCharDataEve[[#This Row],[Field]],$E$2:$F$362,2,FALSE))</f>
        <v>Eve Lockridge</v>
      </c>
      <c r="D6" s="19"/>
      <c r="E6" s="15" t="s">
        <v>7</v>
      </c>
      <c r="F6" s="3" t="s">
        <v>914</v>
      </c>
      <c r="G6" s="18"/>
      <c r="H6" s="18"/>
      <c r="I6" s="18" t="s">
        <v>1347</v>
      </c>
      <c r="N6" s="61">
        <f ca="1">N279</f>
        <v>3</v>
      </c>
      <c r="Y6" s="15" t="s">
        <v>118</v>
      </c>
      <c r="Z6" s="19"/>
      <c r="AA6" s="61" t="str">
        <f t="shared" si="0"/>
        <v>Secret Society Junkie</v>
      </c>
      <c r="AC6" s="60" t="str">
        <v>Picket Line</v>
      </c>
      <c r="AD6" s="20" t="str">
        <f>IF(AC6="","¬",_xlfn.LET(_xlpm.base,IFERROR(LEFT(AC6,FIND(" (",AC6)-1),AC6),IFERROR(VLOOKUP(_xlpm.base,tblManoeuvre[],2,FALSE) &amp; " " &amp; REPT("●",VLOOKUP(_xlpm.base,tblManoeuvre[],3,FALSE)) &amp; " | " &amp; AC6,AC6 &amp; " " &amp; REPT("●",VLOOKUP(_xlpm.base,$F$79:$P$120,11,FALSE)))))</f>
        <v>Picket Line ●●</v>
      </c>
      <c r="AE6" s="20"/>
      <c r="AF6" s="20" t="str">
        <f>IF(LEN(AC6)=0,"¬",_xlfn.LET(_xlpm.base,IFERROR(LEFT(AC6,FIND(" (",AC6)-1),AC6),IFERROR(VLOOKUP(_xlpm.base,tblMerits[],5,FALSE),IFERROR(VLOOKUP(_xlpm.base,tblManoeuvre[],9,FALSE),"¬"))))</f>
        <v>Each chapter, you have a pool of dots equal to their Contacts (max 5), which can be applied to Allies separately or as one amount, to raise their effective level when taking the Social Merit Blocking action.</v>
      </c>
      <c r="AI6" s="15" t="s">
        <v>237</v>
      </c>
      <c r="AJ6" s="61">
        <f t="shared" si="1"/>
        <v>0</v>
      </c>
      <c r="AK6" s="61">
        <f>AJ6</f>
        <v>0</v>
      </c>
    </row>
    <row r="7" spans="1:37">
      <c r="A7" s="1" t="s">
        <v>6</v>
      </c>
      <c r="B7" t="str">
        <f>IF(VLOOKUP(tblCharDataEve[[#This Row],[Field]],$E$2:$F$362,2,FALSE)="","¬",VLOOKUP(tblCharDataEve[[#This Row],[Field]],$E$2:$F$362,2,FALSE))</f>
        <v>Benevolent Millionaire</v>
      </c>
      <c r="D7" s="19" t="str">
        <f>VLOOKUP(F7,tblClans[],3,FALSE)</f>
        <v>Manipulation</v>
      </c>
      <c r="E7" s="15" t="s">
        <v>8</v>
      </c>
      <c r="F7" s="3" t="s">
        <v>790</v>
      </c>
      <c r="G7" s="18"/>
      <c r="H7" s="18"/>
      <c r="I7" s="18"/>
      <c r="N7" s="60">
        <f>SUM(N8:N12)</f>
        <v>15</v>
      </c>
      <c r="Y7" s="15" t="s">
        <v>119</v>
      </c>
      <c r="Z7" s="19"/>
      <c r="AA7" s="61" t="str">
        <f t="shared" si="0"/>
        <v>Picket Line</v>
      </c>
      <c r="AC7" s="60" t="str">
        <v>Secret Society Junkie</v>
      </c>
      <c r="AD7" s="20" t="str">
        <f>IF(AC7="","¬",_xlfn.LET(_xlpm.base,IFERROR(LEFT(AC7,FIND(" (",AC7)-1),AC7),IFERROR(VLOOKUP(_xlpm.base,tblManoeuvre[],2,FALSE) &amp; " " &amp; REPT("●",VLOOKUP(_xlpm.base,tblManoeuvre[],3,FALSE)) &amp; " | " &amp; AC7,AC7 &amp; " " &amp; REPT("●",VLOOKUP(_xlpm.base,$F$79:$P$120,11,FALSE)))))</f>
        <v>Secret Society Junkie ●</v>
      </c>
      <c r="AE7" s="20"/>
      <c r="AF7" s="20" t="str">
        <f>IF(LEN(AC7)=0,"¬",_xlfn.LET(_xlpm.base,IFERROR(LEFT(AC7,FIND(" (",AC7)-1),AC7),IFERROR(VLOOKUP(_xlpm.base,tblMerits[],5,FALSE),IFERROR(VLOOKUP(_xlpm.base,tblManoeuvre[],9,FALSE),"¬"))))</f>
        <v>Dots in Status or Mystery Cult Initiation representing human secret societies also count as dots of Herd.</v>
      </c>
      <c r="AI7" s="15" t="s">
        <v>49</v>
      </c>
      <c r="AJ7" s="61">
        <f t="shared" si="1"/>
        <v>1</v>
      </c>
      <c r="AK7" s="61">
        <f>AJ7</f>
        <v>1</v>
      </c>
    </row>
    <row r="8" spans="1:37">
      <c r="A8" s="1" t="s">
        <v>7</v>
      </c>
      <c r="B8" t="str">
        <f>IF(VLOOKUP(tblCharDataEve[[#This Row],[Field]],$E$2:$F$362,2,FALSE)="","¬",LOWER(VLOOKUP(tblCharDataEve[[#This Row],[Field]],$E$2:$F$362,2,FALSE)))</f>
        <v>they/them</v>
      </c>
      <c r="D8" s="19" t="str">
        <f>VLOOKUP(F7,tblClans[],2,FALSE)</f>
        <v>Dexterity</v>
      </c>
      <c r="E8" s="15" t="s">
        <v>10</v>
      </c>
      <c r="F8" s="3"/>
      <c r="G8" s="61" t="str">
        <f>IFERROR(IF(OR(AND(VLOOKUP(F8,tblBloodlines[#Data],2,FALSE)="",VLOOKUP(F8,tblBloodlines[#Data],3,FALSE)="",VLOOKUP(F8,tblBloodlines[#Data],4,FALSE)=""),AND(VLOOKUP(F8,tblBloodlines[#Data],2,FALSE)="",VLOOKUP(F8,tblBloodlines[#Data],3,FALSE)="",F9=VLOOKUP(F8,tblBloodlines[#Data],4,FALSE)),F7=VLOOKUP(F8,tblBloodlines[#Data],2,FALSE),F7=VLOOKUP(F8,tblBloodlines[#Data],3,FALSE)),TRUE,FALSE),"")</f>
        <v/>
      </c>
      <c r="H8" s="18"/>
      <c r="I8" s="18" t="s">
        <v>1428</v>
      </c>
      <c r="N8" s="61">
        <f>N23</f>
        <v>0</v>
      </c>
      <c r="O8" s="65">
        <f>N8/SUM(N$7:N$12)</f>
        <v>0</v>
      </c>
      <c r="P8" s="66"/>
      <c r="Y8" s="15" t="s">
        <v>120</v>
      </c>
      <c r="Z8" s="19"/>
      <c r="AA8" s="61" t="str">
        <f t="shared" si="0"/>
        <v/>
      </c>
      <c r="AC8" s="60"/>
      <c r="AD8" s="20" t="str">
        <f>IF(AC8="","¬",_xlfn.LET(_xlpm.base,IFERROR(LEFT(AC8,FIND(" (",AC8)-1),AC8),IFERROR(VLOOKUP(_xlpm.base,tblManoeuvre[],2,FALSE) &amp; " " &amp; REPT("●",VLOOKUP(_xlpm.base,tblManoeuvre[],3,FALSE)) &amp; " | " &amp; AC8,AC8 &amp; " " &amp; REPT("●",VLOOKUP(_xlpm.base,$F$79:$P$120,11,FALSE)))))</f>
        <v>¬</v>
      </c>
      <c r="AE8" s="20"/>
      <c r="AF8" s="20" t="str">
        <f>IF(LEN(AC8)=0,"¬",_xlfn.LET(_xlpm.base,IFERROR(LEFT(AC8,FIND(" (",AC8)-1),AC8),IFERROR(VLOOKUP(_xlpm.base,tblMerits[],5,FALSE),IFERROR(VLOOKUP(_xlpm.base,tblManoeuvre[],9,FALSE),"¬"))))</f>
        <v>¬</v>
      </c>
      <c r="AI8" s="15" t="s">
        <v>34</v>
      </c>
      <c r="AJ8" s="61">
        <f t="shared" si="1"/>
        <v>0</v>
      </c>
      <c r="AK8" s="61">
        <f>IF(AJ8=0,IF(COUNTIF($E$42:$E$49,AI8)&gt;0,-3,-1),AJ8)</f>
        <v>-1</v>
      </c>
    </row>
    <row r="9" spans="1:37">
      <c r="A9" s="1" t="s">
        <v>8</v>
      </c>
      <c r="B9" t="str">
        <f>IF(VLOOKUP(tblCharDataEve[[#This Row],[Field]],$E$2:$F$362,2,FALSE)="","¬",VLOOKUP(tblCharDataEve[[#This Row],[Field]],$E$2:$F$362,2,FALSE))</f>
        <v>Daeva</v>
      </c>
      <c r="D9" s="19"/>
      <c r="E9" s="15" t="s">
        <v>11</v>
      </c>
      <c r="F9" s="3" t="s">
        <v>607</v>
      </c>
      <c r="G9" s="18"/>
      <c r="H9" s="18"/>
      <c r="I9" s="18" t="s">
        <v>1429</v>
      </c>
      <c r="N9" s="61">
        <f>N40+T40</f>
        <v>0</v>
      </c>
      <c r="O9" s="65">
        <f>N9/SUM(N$7:N$12)</f>
        <v>0</v>
      </c>
      <c r="P9" s="66"/>
      <c r="Y9" s="15" t="s">
        <v>121</v>
      </c>
      <c r="Z9" s="19"/>
      <c r="AA9" s="61" t="str">
        <f t="shared" si="0"/>
        <v/>
      </c>
      <c r="AC9" s="60"/>
      <c r="AD9" s="20" t="str">
        <f>IF(AC9="","¬",_xlfn.LET(_xlpm.base,IFERROR(LEFT(AC9,FIND(" (",AC9)-1),AC9),IFERROR(VLOOKUP(_xlpm.base,tblManoeuvre[],2,FALSE) &amp; " " &amp; REPT("●",VLOOKUP(_xlpm.base,tblManoeuvre[],3,FALSE)) &amp; " | " &amp; AC9,AC9 &amp; " " &amp; REPT("●",VLOOKUP(_xlpm.base,$F$79:$P$120,11,FALSE)))))</f>
        <v>¬</v>
      </c>
      <c r="AE9" s="20"/>
      <c r="AF9" s="20" t="str">
        <f>IF(LEN(AC9)=0,"¬",_xlfn.LET(_xlpm.base,IFERROR(LEFT(AC9,FIND(" (",AC9)-1),AC9),IFERROR(VLOOKUP(_xlpm.base,tblMerits[],5,FALSE),IFERROR(VLOOKUP(_xlpm.base,tblManoeuvre[],9,FALSE),"¬"))))</f>
        <v>¬</v>
      </c>
      <c r="AI9" s="15" t="s">
        <v>238</v>
      </c>
      <c r="AJ9" s="61">
        <f t="shared" si="1"/>
        <v>1</v>
      </c>
      <c r="AK9" s="61">
        <f>AJ9</f>
        <v>1</v>
      </c>
    </row>
    <row r="10" spans="1:37">
      <c r="A10" s="1" t="s">
        <v>9</v>
      </c>
      <c r="B10" t="str">
        <f>CONCATENATE(Elements,B9," icon.svg")</f>
        <v>D:\Terra Mortis\Character Sheets\Sheet Elements\Daeva icon.svg</v>
      </c>
      <c r="D10" s="19"/>
      <c r="E10" s="15" t="s">
        <v>13</v>
      </c>
      <c r="F10" s="3"/>
      <c r="G10" s="18"/>
      <c r="H10" s="18"/>
      <c r="I10" s="18" t="s">
        <v>1430</v>
      </c>
      <c r="N10" s="61">
        <f>N77</f>
        <v>9</v>
      </c>
      <c r="O10" s="65">
        <f>N10/SUM(N$7:N$12)</f>
        <v>0.3</v>
      </c>
      <c r="P10" s="66"/>
      <c r="Y10" s="15" t="s">
        <v>122</v>
      </c>
      <c r="Z10" s="19"/>
      <c r="AA10" s="61" t="str">
        <f t="shared" si="0"/>
        <v/>
      </c>
      <c r="AC10" s="60"/>
      <c r="AD10" s="20" t="str">
        <f>IF(AC10="","¬",_xlfn.LET(_xlpm.base,IFERROR(LEFT(AC10,FIND(" (",AC10)-1),AC10),IFERROR(VLOOKUP(_xlpm.base,tblManoeuvre[],2,FALSE) &amp; " " &amp; REPT("●",VLOOKUP(_xlpm.base,tblManoeuvre[],3,FALSE)) &amp; " | " &amp; AC10,AC10 &amp; " " &amp; REPT("●",VLOOKUP(_xlpm.base,$F$79:$P$120,11,FALSE)))))</f>
        <v>¬</v>
      </c>
      <c r="AE10" s="20"/>
      <c r="AF10" s="20" t="str">
        <f>IF(LEN(AC10)=0,"¬",_xlfn.LET(_xlpm.base,IFERROR(LEFT(AC10,FIND(" (",AC10)-1),AC10),IFERROR(VLOOKUP(_xlpm.base,tblMerits[],5,FALSE),IFERROR(VLOOKUP(_xlpm.base,tblManoeuvre[],9,FALSE),"¬"))))</f>
        <v>¬</v>
      </c>
      <c r="AI10" s="15" t="s">
        <v>24</v>
      </c>
      <c r="AJ10" s="61">
        <f t="shared" si="1"/>
        <v>3</v>
      </c>
      <c r="AK10" s="61">
        <f>AJ10+IFERROR(INDEX($V$26:$V$38,MATCH(AI10,$E$26:$E$38,0)),0)</f>
        <v>3</v>
      </c>
    </row>
    <row r="11" spans="1:37">
      <c r="A11" s="1" t="s">
        <v>10</v>
      </c>
      <c r="B11" t="str">
        <f>IF(VLOOKUP(tblCharDataEve[[#This Row],[Field]],$E$2:$F$362,2,FALSE)="","¬",VLOOKUP(tblCharDataEve[[#This Row],[Field]],$E$2:$F$362,2,FALSE))</f>
        <v>¬</v>
      </c>
      <c r="D11" s="19"/>
      <c r="E11" s="15" t="s">
        <v>14</v>
      </c>
      <c r="F11" s="3"/>
      <c r="G11" s="18"/>
      <c r="H11" s="18"/>
      <c r="I11" s="18" t="s">
        <v>1431</v>
      </c>
      <c r="N11" s="61">
        <f>N163</f>
        <v>6</v>
      </c>
      <c r="O11" s="65">
        <f>N11/SUM(N$7:N$12)</f>
        <v>0.2</v>
      </c>
      <c r="P11" s="66"/>
      <c r="Y11" s="15" t="s">
        <v>123</v>
      </c>
      <c r="Z11" s="19"/>
      <c r="AA11" s="61" t="str">
        <f t="shared" si="0"/>
        <v/>
      </c>
      <c r="AC11" s="60"/>
      <c r="AD11" s="20" t="str">
        <f>IF(AC11="","¬",_xlfn.LET(_xlpm.base,IFERROR(LEFT(AC11,FIND(" (",AC11)-1),AC11),IFERROR(VLOOKUP(_xlpm.base,tblManoeuvre[],2,FALSE) &amp; " " &amp; REPT("●",VLOOKUP(_xlpm.base,tblManoeuvre[],3,FALSE)) &amp; " | " &amp; AC11,AC11 &amp; " " &amp; REPT("●",VLOOKUP(_xlpm.base,$F$79:$P$120,11,FALSE)))))</f>
        <v>¬</v>
      </c>
      <c r="AE11" s="20"/>
      <c r="AF11" s="20" t="str">
        <f>IF(LEN(AC11)=0,"¬",_xlfn.LET(_xlpm.base,IFERROR(LEFT(AC11,FIND(" (",AC11)-1),AC11),IFERROR(VLOOKUP(_xlpm.base,tblMerits[],5,FALSE),IFERROR(VLOOKUP(_xlpm.base,tblManoeuvre[],9,FALSE),"¬"))))</f>
        <v>¬</v>
      </c>
      <c r="AI11" s="15" t="s">
        <v>26</v>
      </c>
      <c r="AJ11" s="61">
        <f t="shared" si="1"/>
        <v>2</v>
      </c>
      <c r="AK11" s="61">
        <f>IF(AJ11=0,IF(COUNTIF($E$42:$E$49,AI11)&gt;0,-3,-1),AJ11)</f>
        <v>2</v>
      </c>
    </row>
    <row r="12" spans="1:37">
      <c r="A12" s="1" t="s">
        <v>11</v>
      </c>
      <c r="B12" t="str">
        <f>IF(VLOOKUP(tblCharDataEve[[#This Row],[Field]],$E$2:$F$362,2,FALSE)="","¬",VLOOKUP(tblCharDataEve[[#This Row],[Field]],$E$2:$F$362,2,FALSE))</f>
        <v>Carthian Movement</v>
      </c>
      <c r="D12" s="19"/>
      <c r="E12" s="15" t="s">
        <v>15</v>
      </c>
      <c r="F12" s="3" t="s">
        <v>915</v>
      </c>
      <c r="G12" s="3" t="s">
        <v>1693</v>
      </c>
      <c r="H12" s="18"/>
      <c r="I12" s="18" t="s">
        <v>1432</v>
      </c>
      <c r="N12" s="61">
        <f>N71</f>
        <v>0</v>
      </c>
      <c r="O12" s="65">
        <f>N12/SUM(N$7:N$12)</f>
        <v>0</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0</v>
      </c>
      <c r="AK12" s="61">
        <f>IF(AJ12=0,IF(COUNTIF($E$42:$E$49,AI12)&gt;0,-3,-1),AJ12)</f>
        <v>-3</v>
      </c>
    </row>
    <row r="13" spans="1:37">
      <c r="A13" s="1" t="s">
        <v>12</v>
      </c>
      <c r="B13" t="str">
        <f>_xlfn.IFNA(CONCATENATE(Elements,VLOOKUP(B12,tblCovenantShortName[#Data],2,FALSE)," icon.svg"),"")</f>
        <v>D:\Terra Mortis\Character Sheets\Sheet Elements\Carthian icon.svg</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0</v>
      </c>
      <c r="AK13" s="61">
        <f t="shared" ref="AK13:AK19" si="2">AJ13</f>
        <v>0</v>
      </c>
    </row>
    <row r="14" spans="1:37">
      <c r="A14" s="1" t="s">
        <v>13</v>
      </c>
      <c r="B14" t="str">
        <f>IF(VLOOKUP(tblCharDataEve[[#This Row],[Field]],$E$2:$F$362,2,FALSE)="","¬",VLOOKUP(tblCharDataEve[[#This Row],[Field]],$E$2:$F$362,2,FALSE))</f>
        <v>¬</v>
      </c>
      <c r="D14" s="19"/>
      <c r="E14" s="15" t="s">
        <v>1433</v>
      </c>
      <c r="F14" s="54">
        <v>38396</v>
      </c>
      <c r="G14" s="3" t="s">
        <v>931</v>
      </c>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0</v>
      </c>
      <c r="AK14" s="61">
        <f t="shared" si="2"/>
        <v>0</v>
      </c>
    </row>
    <row r="15" spans="1:37">
      <c r="A15" s="1" t="s">
        <v>14</v>
      </c>
      <c r="B15" t="str">
        <f>IF(VLOOKUP(tblCharDataEve[[#This Row],[Field]],$E$2:$F$362,2,FALSE)="","¬",VLOOKUP(tblCharDataEve[[#This Row],[Field]],$E$2:$F$362,2,FALSE))</f>
        <v>¬</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5</v>
      </c>
      <c r="AK15" s="61">
        <f t="shared" ca="1" si="2"/>
        <v>5</v>
      </c>
    </row>
    <row r="16" spans="1:37" ht="15.75" thickBot="1">
      <c r="A16" s="1" t="s">
        <v>15</v>
      </c>
      <c r="B16" t="str">
        <f ca="1">_xlfn.LET(_xlpm.a,VLOOKUP(tblCharDataEve[[#This Row],[Field]],$E$2:$F$362,2,FALSE),_xlpm.b,VLOOKUP(OFFSET(tblCharDataEve[[#This Row],[Field]],1,0),$E$2:$F$362,2,FALSE),IF(AND(_xlpm.a&lt;&gt;"",_xlpm.b&lt;&gt;""),_xlpm.a&amp;" &amp; "&amp;_xlpm.b,IF(_xlpm.a&lt;&gt;"",_xlpm.a,IF(_xlpm.b&lt;&gt;"",_xlpm.b,"¬"))))</f>
        <v>Premier</v>
      </c>
      <c r="D16" s="14" t="s">
        <v>1427</v>
      </c>
      <c r="E16" s="14"/>
      <c r="F16" s="14"/>
      <c r="G16" s="14"/>
      <c r="H16" s="14"/>
      <c r="I16" s="14"/>
      <c r="N16" s="60">
        <f>SUM(N17:N21)</f>
        <v>3</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REPT("●",IFERROR(INDEX($P$26:$P$38,MATCH(tblCharDataEve[[#This Row],[Field]],$E$26:$E$38,0)),0))&amp;REPT("○",IFERROR(INDEX($V$26:$V$38,MATCH(tblCharDataEve[[#This Row],[Field]],$E$26:$E$38,0)),0))</f>
        <v>●●</v>
      </c>
      <c r="D17" s="19"/>
      <c r="E17" s="15" t="s">
        <v>1435</v>
      </c>
      <c r="F17" s="3" t="b">
        <v>1</v>
      </c>
      <c r="G17" s="19"/>
      <c r="H17" s="19"/>
      <c r="I17" s="19"/>
      <c r="N17" s="61">
        <f>IF(F17=TRUE,3,0)</f>
        <v>3</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3</v>
      </c>
      <c r="AK17" s="61">
        <f>AJ17+IFERROR(INDEX($V$26:$V$38,MATCH(AI17,$E$26:$E$38,0)),0)</f>
        <v>3</v>
      </c>
    </row>
    <row r="18" spans="1:37">
      <c r="A18" s="1" t="s">
        <v>17</v>
      </c>
      <c r="B18" t="str">
        <f>REPT("●",IFERROR(INDEX($P$26:$P$38,MATCH(tblCharDataEve[[#This Row],[Field]],$E$26:$E$38,0)),0))&amp;REPT("○",IFERROR(INDEX($V$26:$V$38,MATCH(tblCharDataEve[[#This Row],[Field]],$E$26:$E$38,0)),0))</f>
        <v>●●●</v>
      </c>
      <c r="D18" s="19"/>
      <c r="E18" s="15" t="s">
        <v>1436</v>
      </c>
      <c r="F18" s="3"/>
      <c r="G18" s="19"/>
      <c r="H18" s="19"/>
      <c r="I18" s="19"/>
      <c r="N18" s="61">
        <f>IF(F18=TRUE,3,0)</f>
        <v>0</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0</v>
      </c>
      <c r="AK18" s="61">
        <f t="shared" si="2"/>
        <v>0</v>
      </c>
    </row>
    <row r="19" spans="1:37">
      <c r="A19" s="1" t="s">
        <v>18</v>
      </c>
      <c r="B19" t="str">
        <f>REPT("●",IFERROR(INDEX($P$26:$P$38,MATCH(tblCharDataEve[[#This Row],[Field]],$E$26:$E$38,0)),0))&amp;REPT("○",IFERROR(INDEX($V$26:$V$38,MATCH(tblCharDataEve[[#This Row],[Field]],$E$26:$E$38,0)),0))</f>
        <v>●●</v>
      </c>
      <c r="D19" s="19"/>
      <c r="E19" s="15" t="s">
        <v>1437</v>
      </c>
      <c r="F19" s="3"/>
      <c r="G19" s="19"/>
      <c r="H19" s="19"/>
      <c r="I19" s="19"/>
      <c r="N19" s="61">
        <f>IF(F19=TRUE,3,0)</f>
        <v>0</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1</v>
      </c>
      <c r="AK19" s="61">
        <f t="shared" si="2"/>
        <v>1</v>
      </c>
    </row>
    <row r="20" spans="1:37">
      <c r="A20" s="1" t="s">
        <v>19</v>
      </c>
      <c r="B20" t="str">
        <f>REPT("●",IFERROR(INDEX($P$26:$P$38,MATCH(tblCharDataEve[[#This Row],[Field]],$E$26:$E$38,0)),0))&amp;REPT("○",IFERROR(INDEX($V$26:$V$38,MATCH(tblCharDataEve[[#This Row],[Field]],$E$26:$E$38,0)),0))</f>
        <v>●</v>
      </c>
      <c r="D20" s="19"/>
      <c r="E20" s="15" t="s">
        <v>1438</v>
      </c>
      <c r="F20" s="3"/>
      <c r="G20" s="19"/>
      <c r="H20" s="19"/>
      <c r="I20" s="19"/>
      <c r="N20" s="61">
        <f>IF(F20=TRUE,3,0)</f>
        <v>0</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REPT("●",IFERROR(INDEX($P$26:$P$38,MATCH(tblCharDataEve[[#This Row],[Field]],$E$26:$E$38,0)),0))&amp;REPT("○",IFERROR(INDEX($V$26:$V$38,MATCH(tblCharDataEve[[#This Row],[Field]],$E$26:$E$38,0)),0))</f>
        <v>●●●</v>
      </c>
      <c r="D21" s="19"/>
      <c r="E21" s="15" t="s">
        <v>11</v>
      </c>
      <c r="F21" s="3"/>
      <c r="G21" s="19"/>
      <c r="H21" s="19"/>
      <c r="I21" s="19"/>
      <c r="N21" s="61">
        <f>IF(F21=TRUE,3,0)</f>
        <v>0</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3</v>
      </c>
      <c r="AK21" s="61">
        <f>IF(AJ21=0,IF(COUNTIF($E$42:$E$49,AI21)&gt;0,-3,-1),AJ21)</f>
        <v>3</v>
      </c>
    </row>
    <row r="22" spans="1:37">
      <c r="A22" s="1" t="s">
        <v>21</v>
      </c>
      <c r="B22" t="str">
        <f>REPT("●",IFERROR(INDEX($P$26:$P$38,MATCH(tblCharDataEve[[#This Row],[Field]],$E$26:$E$38,0)),0))&amp;REPT("○",IFERROR(INDEX($V$26:$V$38,MATCH(tblCharDataEve[[#This Row],[Field]],$E$26:$E$38,0)),0))</f>
        <v>●●</v>
      </c>
      <c r="Y22" s="15" t="s">
        <v>1439</v>
      </c>
      <c r="Z22" s="61" t="str">
        <f>IFERROR(VLOOKUP(AA22,tblManoeuvre[],2,FALSE),"")</f>
        <v/>
      </c>
      <c r="AA22" s="61" t="str">
        <f t="shared" ref="AA22:AA41" si="3">_xlfn.LET(_xlpm.name,VLOOKUP(Y22,$E$2:$F$362,2,FALSE),_xlpm.paid,_xlfn.IFNA(VLOOKUP(_xlpm.name,$F$79:$Q$120,11,FALSE)&gt;=VLOOKUP(_xlpm.name,$F$79:$Q$120,12,FALSE),FALSE),IF(AND(_xlpm.name&lt;&gt;"",_xlpm.paid),_xlpm.name,""))</f>
        <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2</v>
      </c>
      <c r="AK22" s="61">
        <f>IF(AJ22=0,IF(COUNTIF($E$42:$E$49,AI22)&gt;0,-3,-1),AJ22)</f>
        <v>2</v>
      </c>
    </row>
    <row r="23" spans="1:37" ht="15.75" thickBot="1">
      <c r="A23" s="1" t="s">
        <v>22</v>
      </c>
      <c r="B23" t="str">
        <f>REPT("●",IFERROR(INDEX($P$26:$P$38,MATCH(tblCharDataEve[[#This Row],[Field]],$E$26:$E$38,0)),0))&amp;REPT("○",IFERROR(INDEX($V$26:$V$38,MATCH(tblCharDataEve[[#This Row],[Field]],$E$26:$E$38,0)),0))</f>
        <v>●●●</v>
      </c>
      <c r="D23" s="14" t="s">
        <v>1440</v>
      </c>
      <c r="E23" s="14"/>
      <c r="F23" s="14"/>
      <c r="G23" s="14"/>
      <c r="H23" s="14"/>
      <c r="I23" s="14"/>
      <c r="N23" s="60">
        <f>SUM(N26:N28,N31:N33,N36:N38)</f>
        <v>0</v>
      </c>
      <c r="Y23" s="15" t="s">
        <v>1441</v>
      </c>
      <c r="Z23" s="61" t="str">
        <f>IFERROR(VLOOKUP(AA23,tblManoeuvre[],2,FALSE),"")</f>
        <v/>
      </c>
      <c r="AA23" s="61" t="str">
        <f t="shared" si="3"/>
        <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2</v>
      </c>
      <c r="AK23" s="61">
        <f>IF(AJ23=0,VLOOKUP(AI23,$E$42:$Q$69,13,FALSE),AJ23)</f>
        <v>2</v>
      </c>
    </row>
    <row r="24" spans="1:37">
      <c r="A24" s="1" t="s">
        <v>23</v>
      </c>
      <c r="B24" t="str">
        <f>REPT("●",IFERROR(INDEX($P$26:$P$38,MATCH(tblCharDataEve[[#This Row],[Field]],$E$26:$E$38,0)),0))&amp;REPT("○",IFERROR(INDEX($V$26:$V$38,MATCH(tblCharDataEve[[#This Row],[Field]],$E$26:$E$38,0)),0))</f>
        <v>●●●</v>
      </c>
      <c r="E24" s="15" t="s">
        <v>1442</v>
      </c>
      <c r="F24" s="3" t="s">
        <v>23</v>
      </c>
      <c r="Y24" s="15" t="s">
        <v>1443</v>
      </c>
      <c r="Z24" s="61" t="str">
        <f>IFERROR(VLOOKUP(AA24,tblManoeuvre[],2,FALSE),"")</f>
        <v/>
      </c>
      <c r="AA24" s="61" t="str">
        <f t="shared" si="3"/>
        <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7</v>
      </c>
      <c r="AK24" s="61">
        <f ca="1">AJ24</f>
        <v>7</v>
      </c>
    </row>
    <row r="25" spans="1:37">
      <c r="A25" s="1" t="s">
        <v>24</v>
      </c>
      <c r="B25" t="str">
        <f>REPT("●",IFERROR(INDEX($P$26:$P$38,MATCH(tblCharDataEve[[#This Row],[Field]],$E$26:$E$38,0)),0))&amp;REPT("○",IFERROR(INDEX($V$26:$V$38,MATCH(tblCharDataEve[[#This Row],[Field]],$E$26:$E$38,0)),0))</f>
        <v>●●●</v>
      </c>
      <c r="D25" s="16" t="s">
        <v>1444</v>
      </c>
      <c r="E25" s="17"/>
      <c r="F25" s="17"/>
      <c r="G25" s="17" t="s">
        <v>1445</v>
      </c>
      <c r="H25" s="16" t="s">
        <v>1446</v>
      </c>
      <c r="I25" s="3" t="s">
        <v>1567</v>
      </c>
      <c r="L25" s="60">
        <f>IF(I25="",0,VLOOKUP(I25,tblPriority[#Data],2,FALSE))-SUM(L26:L28)</f>
        <v>0</v>
      </c>
      <c r="Y25" s="15" t="s">
        <v>1447</v>
      </c>
      <c r="Z25" s="61" t="str">
        <f>IFERROR(VLOOKUP(AA25,tblManoeuvre[],2,FALSE),"")</f>
        <v/>
      </c>
      <c r="AA25" s="61" t="str">
        <f t="shared" si="3"/>
        <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6</v>
      </c>
      <c r="AK25" s="61">
        <f>AJ25</f>
        <v>6</v>
      </c>
    </row>
    <row r="26" spans="1:37">
      <c r="A26" s="1" t="s">
        <v>25</v>
      </c>
      <c r="B26" t="str">
        <f>REPT("●",IFERROR(INDEX($P$42:$P$69,MATCH(tblCharDataEve[[#This Row],[Field]],$E$42:$E$69,0)),0))&amp;REPT("○",IFERROR(INDEX($V$42:$V$69,MATCH(tblCharDataEve[[#This Row],[Field]],$E$42:$E$69,0)),0))&amp;IF(IFERROR(INDEX($W$42:$W$69,MATCH(tblCharDataEve[[#This Row],[Field]],$E$42:$E$69,0)),0)=1,"†","")</f>
        <v/>
      </c>
      <c r="D26" s="18"/>
      <c r="E26" s="15" t="s">
        <v>16</v>
      </c>
      <c r="F26" s="18"/>
      <c r="G26" s="3"/>
      <c r="H26" s="18"/>
      <c r="I26" s="18"/>
      <c r="L26" s="3">
        <v>1</v>
      </c>
      <c r="M26" s="60">
        <f>IF(E26=$F$24,2,1)</f>
        <v>1</v>
      </c>
      <c r="N26" s="3"/>
      <c r="O26" s="61">
        <f>ROUNDDOWN(N26/4,0)</f>
        <v>0</v>
      </c>
      <c r="P26" s="60">
        <f>MIN(SUM(L26,M26,O26),R26)</f>
        <v>2</v>
      </c>
      <c r="R26" s="61">
        <v>5</v>
      </c>
      <c r="U26" s="4"/>
      <c r="V26" s="61">
        <f>U26</f>
        <v>0</v>
      </c>
      <c r="Y26" s="15" t="s">
        <v>1449</v>
      </c>
      <c r="Z26" s="61" t="str">
        <f>IFERROR(VLOOKUP(AA26,tblManoeuvre[],2,FALSE),"")</f>
        <v/>
      </c>
      <c r="AA26" s="61" t="str">
        <f t="shared" si="3"/>
        <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2</v>
      </c>
      <c r="AK26" s="61">
        <f>AJ26+IFERROR(INDEX($V$26:$V$38,MATCH(AI26,$E$26:$E$38,0)),0)</f>
        <v>2</v>
      </c>
    </row>
    <row r="27" spans="1:37">
      <c r="A27" s="1" t="s">
        <v>26</v>
      </c>
      <c r="B27" t="str">
        <f>REPT("●",IFERROR(INDEX($P$42:$P$69,MATCH(tblCharDataEve[[#This Row],[Field]],$E$42:$E$69,0)),0))&amp;REPT("○",IFERROR(INDEX($V$42:$V$69,MATCH(tblCharDataEve[[#This Row],[Field]],$E$42:$E$69,0)),0))&amp;IF(IFERROR(INDEX($W$42:$W$69,MATCH(tblCharDataEve[[#This Row],[Field]],$E$42:$E$69,0)),0)=1,"†","")</f>
        <v>●●</v>
      </c>
      <c r="D27" s="18"/>
      <c r="E27" s="15" t="s">
        <v>17</v>
      </c>
      <c r="F27" s="18"/>
      <c r="G27" s="3"/>
      <c r="H27" s="18"/>
      <c r="I27" s="18"/>
      <c r="L27" s="3">
        <v>2</v>
      </c>
      <c r="M27" s="60">
        <f>IF(E27=$F$24,2,1)</f>
        <v>1</v>
      </c>
      <c r="N27" s="3"/>
      <c r="O27" s="61">
        <f>ROUNDDOWN(N27/4,0)</f>
        <v>0</v>
      </c>
      <c r="P27" s="60">
        <f>MIN(SUM(L27,M27,O27),R27)</f>
        <v>3</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0</v>
      </c>
      <c r="AK27" s="61">
        <f>IF(AJ27=0,IF(COUNTIF($E$42:$E$49,AI27)&gt;0,-3,-1),AJ27)</f>
        <v>-1</v>
      </c>
    </row>
    <row r="28" spans="1:37">
      <c r="A28" s="1" t="s">
        <v>27</v>
      </c>
      <c r="B28" t="str">
        <f>REPT("●",IFERROR(INDEX($P$42:$P$69,MATCH(tblCharDataEve[[#This Row],[Field]],$E$42:$E$69,0)),0))&amp;REPT("○",IFERROR(INDEX($V$42:$V$69,MATCH(tblCharDataEve[[#This Row],[Field]],$E$42:$E$69,0)),0))&amp;IF(IFERROR(INDEX($W$42:$W$69,MATCH(tblCharDataEve[[#This Row],[Field]],$E$42:$E$69,0)),0)=1,"†","")</f>
        <v/>
      </c>
      <c r="D28" s="18"/>
      <c r="E28" s="15" t="s">
        <v>18</v>
      </c>
      <c r="F28" s="18"/>
      <c r="G28" s="3"/>
      <c r="H28" s="18"/>
      <c r="I28" s="18"/>
      <c r="L28" s="3">
        <v>1</v>
      </c>
      <c r="M28" s="60">
        <f>IF(E28=$F$24,2,1)</f>
        <v>1</v>
      </c>
      <c r="N28" s="3"/>
      <c r="O28" s="61">
        <f>ROUNDDOWN(N28/4,0)</f>
        <v>0</v>
      </c>
      <c r="P28" s="60">
        <f>MIN(SUM(L28,M28,O28),R28)</f>
        <v>2</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2</v>
      </c>
      <c r="AK28" s="61">
        <f>IF(AJ28=0,IF(COUNTIF($E$42:$E$49,AI28)&gt;0,-3,-1),AJ28)</f>
        <v>2</v>
      </c>
    </row>
    <row r="29" spans="1:37">
      <c r="A29" s="1" t="s">
        <v>28</v>
      </c>
      <c r="B29" t="str">
        <f>REPT("●",IFERROR(INDEX($P$42:$P$69,MATCH(tblCharDataEve[[#This Row],[Field]],$E$42:$E$69,0)),0))&amp;REPT("○",IFERROR(INDEX($V$42:$V$69,MATCH(tblCharDataEve[[#This Row],[Field]],$E$42:$E$69,0)),0))&amp;IF(IFERROR(INDEX($W$42:$W$69,MATCH(tblCharDataEve[[#This Row],[Field]],$E$42:$E$69,0)),0)=1,"†","")</f>
        <v>●●</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0</v>
      </c>
      <c r="AK29" s="61">
        <f>IF(AJ29=0,IF(COUNTIF($E$42:$E$49,AI29)&gt;0,-3,-1),AJ29)</f>
        <v>-1</v>
      </c>
    </row>
    <row r="30" spans="1:37">
      <c r="A30" s="1" t="s">
        <v>29</v>
      </c>
      <c r="B30" t="str">
        <f>REPT("●",IFERROR(INDEX($P$42:$P$69,MATCH(tblCharDataEve[[#This Row],[Field]],$E$42:$E$69,0)),0))&amp;REPT("○",IFERROR(INDEX($V$42:$V$69,MATCH(tblCharDataEve[[#This Row],[Field]],$E$42:$E$69,0)),0))&amp;IF(IFERROR(INDEX($W$42:$W$69,MATCH(tblCharDataEve[[#This Row],[Field]],$E$42:$E$69,0)),0)=1,"†","")</f>
        <v/>
      </c>
      <c r="D30" s="16" t="s">
        <v>1453</v>
      </c>
      <c r="E30" s="17"/>
      <c r="F30" s="17"/>
      <c r="G30" s="17" t="s">
        <v>1445</v>
      </c>
      <c r="H30" s="16" t="s">
        <v>1446</v>
      </c>
      <c r="I30" s="3" t="s">
        <v>1566</v>
      </c>
      <c r="L30" s="60">
        <f>IF(I30="",0,VLOOKUP(I30,tblPriority[#Data],2,FALSE))-SUM(L31:L33)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3</v>
      </c>
      <c r="AK30" s="61">
        <f>AJ30</f>
        <v>3</v>
      </c>
    </row>
    <row r="31" spans="1:37">
      <c r="A31" s="1" t="s">
        <v>30</v>
      </c>
      <c r="B31" t="str">
        <f>REPT("●",IFERROR(INDEX($P$42:$P$69,MATCH(tblCharDataEve[[#This Row],[Field]],$E$42:$E$69,0)),0))&amp;REPT("○",IFERROR(INDEX($V$42:$V$69,MATCH(tblCharDataEve[[#This Row],[Field]],$E$42:$E$69,0)),0))&amp;IF(IFERROR(INDEX($W$42:$W$69,MATCH(tblCharDataEve[[#This Row],[Field]],$E$42:$E$69,0)),0)=1,"†","")</f>
        <v/>
      </c>
      <c r="D31" s="18"/>
      <c r="E31" s="15" t="s">
        <v>19</v>
      </c>
      <c r="F31" s="18"/>
      <c r="G31" s="3"/>
      <c r="H31" s="18"/>
      <c r="I31" s="18"/>
      <c r="L31" s="3"/>
      <c r="M31" s="60">
        <f>IF(E31=$F$24,2,1)</f>
        <v>1</v>
      </c>
      <c r="N31" s="3"/>
      <c r="O31" s="61">
        <f>ROUNDDOWN(N31/4,0)</f>
        <v>0</v>
      </c>
      <c r="P31" s="60">
        <f>MIN(SUM(L31,M31,O31),R31)</f>
        <v>1</v>
      </c>
      <c r="R31" s="61">
        <v>5</v>
      </c>
      <c r="U31" s="4"/>
      <c r="V31" s="61">
        <f>$P$174+U31</f>
        <v>0</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3</v>
      </c>
      <c r="AK31" s="61">
        <f>AJ31+IFERROR(INDEX($V$26:$V$38,MATCH(AI31,$E$26:$E$38,0)),0)</f>
        <v>3</v>
      </c>
    </row>
    <row r="32" spans="1:37">
      <c r="A32" s="1" t="s">
        <v>31</v>
      </c>
      <c r="B32" t="str">
        <f>REPT("●",IFERROR(INDEX($P$42:$P$69,MATCH(tblCharDataEve[[#This Row],[Field]],$E$42:$E$69,0)),0))&amp;REPT("○",IFERROR(INDEX($V$42:$V$69,MATCH(tblCharDataEve[[#This Row],[Field]],$E$42:$E$69,0)),0))&amp;IF(IFERROR(INDEX($W$42:$W$69,MATCH(tblCharDataEve[[#This Row],[Field]],$E$42:$E$69,0)),0)=1,"†","")</f>
        <v>●●●</v>
      </c>
      <c r="D32" s="18"/>
      <c r="E32" s="15" t="s">
        <v>20</v>
      </c>
      <c r="F32" s="18"/>
      <c r="G32" s="3"/>
      <c r="H32" s="18"/>
      <c r="I32" s="18"/>
      <c r="L32" s="3">
        <v>2</v>
      </c>
      <c r="M32" s="60">
        <f>IF(E32=$F$24,2,1)</f>
        <v>1</v>
      </c>
      <c r="N32" s="3"/>
      <c r="O32" s="61">
        <f>ROUNDDOWN(N32/4,0)</f>
        <v>0</v>
      </c>
      <c r="P32" s="60">
        <f>MIN(SUM(L32,M32,O32),R32)</f>
        <v>3</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REPT("●",IFERROR(INDEX($P$42:$P$69,MATCH(tblCharDataEve[[#This Row],[Field]],$E$42:$E$69,0)),0))&amp;REPT("○",IFERROR(INDEX($V$42:$V$69,MATCH(tblCharDataEve[[#This Row],[Field]],$E$42:$E$69,0)),0))&amp;IF(IFERROR(INDEX($W$42:$W$69,MATCH(tblCharDataEve[[#This Row],[Field]],$E$42:$E$69,0)),0)=1,"†","")</f>
        <v/>
      </c>
      <c r="D33" s="18"/>
      <c r="E33" s="15" t="s">
        <v>21</v>
      </c>
      <c r="F33" s="18"/>
      <c r="G33" s="3"/>
      <c r="H33" s="18"/>
      <c r="I33" s="18"/>
      <c r="L33" s="3">
        <v>1</v>
      </c>
      <c r="M33" s="60">
        <f>IF(E33=$F$24,2,1)</f>
        <v>1</v>
      </c>
      <c r="N33" s="3"/>
      <c r="O33" s="61">
        <f>ROUNDDOWN(N33/4,0)</f>
        <v>0</v>
      </c>
      <c r="P33" s="60">
        <f>MIN(SUM(L33,M33,O33),R33)</f>
        <v>2</v>
      </c>
      <c r="R33" s="61">
        <v>5</v>
      </c>
      <c r="U33" s="4"/>
      <c r="V33" s="61">
        <f>$P$173+U33</f>
        <v>0</v>
      </c>
      <c r="Y33" s="15" t="s">
        <v>1457</v>
      </c>
      <c r="Z33" s="61" t="str">
        <f>IFERROR(VLOOKUP(AA33,tblManoeuvre[],2,FALSE),"")</f>
        <v/>
      </c>
      <c r="AA33" s="61" t="str">
        <f t="shared" si="3"/>
        <v/>
      </c>
      <c r="AI33" s="15" t="s">
        <v>241</v>
      </c>
      <c r="AJ33" s="61">
        <f t="shared" si="1"/>
        <v>0</v>
      </c>
      <c r="AK33" s="61">
        <f>AJ33</f>
        <v>0</v>
      </c>
    </row>
    <row r="34" spans="1:37">
      <c r="A34" s="1" t="s">
        <v>33</v>
      </c>
      <c r="B34" t="str">
        <f>REPT("●",IFERROR(INDEX($P$42:$P$69,MATCH(tblCharDataEve[[#This Row],[Field]],$E$42:$E$69,0)),0))&amp;REPT("○",IFERROR(INDEX($V$42:$V$69,MATCH(tblCharDataEve[[#This Row],[Field]],$E$42:$E$69,0)),0))&amp;IF(IFERROR(INDEX($W$42:$W$69,MATCH(tblCharDataEve[[#This Row],[Field]],$E$42:$E$69,0)),0)=1,"†","")</f>
        <v>●●</v>
      </c>
      <c r="Y34" s="15" t="s">
        <v>1458</v>
      </c>
      <c r="Z34" s="61" t="str">
        <f>IFERROR(VLOOKUP(AA34,tblManoeuvre[],2,FALSE),"")</f>
        <v/>
      </c>
      <c r="AA34" s="61" t="str">
        <f t="shared" si="3"/>
        <v/>
      </c>
      <c r="AI34" s="15" t="s">
        <v>242</v>
      </c>
      <c r="AJ34" s="61">
        <f t="shared" si="1"/>
        <v>0</v>
      </c>
      <c r="AK34" s="61">
        <f>AJ34</f>
        <v>0</v>
      </c>
    </row>
    <row r="35" spans="1:37">
      <c r="A35" s="1" t="s">
        <v>34</v>
      </c>
      <c r="B35" t="str">
        <f>REPT("●",IFERROR(INDEX($P$42:$P$69,MATCH(tblCharDataEve[[#This Row],[Field]],$E$42:$E$69,0)),0))&amp;REPT("○",IFERROR(INDEX($V$42:$V$69,MATCH(tblCharDataEve[[#This Row],[Field]],$E$42:$E$69,0)),0))&amp;IF(IFERROR(INDEX($W$42:$W$69,MATCH(tblCharDataEve[[#This Row],[Field]],$E$42:$E$69,0)),0)=1,"†","")</f>
        <v/>
      </c>
      <c r="D35" s="16" t="s">
        <v>1459</v>
      </c>
      <c r="E35" s="17"/>
      <c r="F35" s="17"/>
      <c r="G35" s="17" t="s">
        <v>1445</v>
      </c>
      <c r="H35" s="16" t="s">
        <v>1446</v>
      </c>
      <c r="I35" s="3" t="s">
        <v>1565</v>
      </c>
      <c r="L35" s="60">
        <f>IF(I35="",0,VLOOKUP(I35,tblPriority[#Data],2,FALSE))-SUM(L36:L38)</f>
        <v>0</v>
      </c>
      <c r="Y35" s="15" t="s">
        <v>1460</v>
      </c>
      <c r="Z35" s="61" t="str">
        <f>IFERROR(VLOOKUP(AA35,tblManoeuvre[],2,FALSE),"")</f>
        <v/>
      </c>
      <c r="AA35" s="61" t="str">
        <f t="shared" si="3"/>
        <v/>
      </c>
      <c r="AI35" s="15" t="s">
        <v>30</v>
      </c>
      <c r="AJ35" s="61">
        <f t="shared" si="1"/>
        <v>0</v>
      </c>
      <c r="AK35" s="61">
        <f>IF(AJ35=0,IF(COUNTIF($E$42:$E$49,AI35)&gt;0,-3,-1),AJ35)</f>
        <v>-3</v>
      </c>
    </row>
    <row r="36" spans="1:37">
      <c r="A36" s="1" t="s">
        <v>35</v>
      </c>
      <c r="B36" t="str">
        <f>REPT("●",IFERROR(INDEX($P$42:$P$69,MATCH(tblCharDataEve[[#This Row],[Field]],$E$42:$E$69,0)),0))&amp;REPT("○",IFERROR(INDEX($V$42:$V$69,MATCH(tblCharDataEve[[#This Row],[Field]],$E$42:$E$69,0)),0))&amp;IF(IFERROR(INDEX($W$42:$W$69,MATCH(tblCharDataEve[[#This Row],[Field]],$E$42:$E$69,0)),0)=1,"†","")</f>
        <v/>
      </c>
      <c r="D36" s="18"/>
      <c r="E36" s="15" t="s">
        <v>22</v>
      </c>
      <c r="F36" s="18"/>
      <c r="G36" s="3"/>
      <c r="H36" s="18"/>
      <c r="I36" s="18"/>
      <c r="L36" s="3">
        <v>2</v>
      </c>
      <c r="M36" s="60">
        <f>IF(E36=$F$24,2,1)</f>
        <v>1</v>
      </c>
      <c r="N36" s="3"/>
      <c r="O36" s="61">
        <f>ROUNDDOWN(N36/4,0)</f>
        <v>0</v>
      </c>
      <c r="P36" s="60">
        <f>MIN(SUM(L36,M36,O36),R36)</f>
        <v>3</v>
      </c>
      <c r="R36" s="61">
        <v>5</v>
      </c>
      <c r="U36" s="4"/>
      <c r="V36" s="61">
        <f>U36</f>
        <v>0</v>
      </c>
      <c r="Y36" s="15" t="s">
        <v>1461</v>
      </c>
      <c r="Z36" s="61" t="str">
        <f>IFERROR(VLOOKUP(AA36,tblManoeuvre[],2,FALSE),"")</f>
        <v/>
      </c>
      <c r="AA36" s="61" t="str">
        <f t="shared" si="3"/>
        <v/>
      </c>
      <c r="AI36" s="15" t="s">
        <v>45</v>
      </c>
      <c r="AJ36" s="61">
        <f t="shared" si="1"/>
        <v>3</v>
      </c>
      <c r="AK36" s="61">
        <f>IF(AJ36=0,IF(COUNTIF($E$42:$E$49,AI36)&gt;0,-3,-1),AJ36)</f>
        <v>3</v>
      </c>
    </row>
    <row r="37" spans="1:37">
      <c r="A37" s="1" t="s">
        <v>36</v>
      </c>
      <c r="B37" t="str">
        <f>REPT("●",IFERROR(INDEX($P$42:$P$69,MATCH(tblCharDataEve[[#This Row],[Field]],$E$42:$E$69,0)),0))&amp;REPT("○",IFERROR(INDEX($V$42:$V$69,MATCH(tblCharDataEve[[#This Row],[Field]],$E$42:$E$69,0)),0))&amp;IF(IFERROR(INDEX($W$42:$W$69,MATCH(tblCharDataEve[[#This Row],[Field]],$E$42:$E$69,0)),0)=1,"†","")</f>
        <v>●●</v>
      </c>
      <c r="D37" s="18"/>
      <c r="E37" s="15" t="s">
        <v>23</v>
      </c>
      <c r="F37" s="18"/>
      <c r="G37" s="3"/>
      <c r="H37" s="18"/>
      <c r="I37" s="18"/>
      <c r="L37" s="3">
        <v>1</v>
      </c>
      <c r="M37" s="60">
        <f>IF(E37=$F$24,2,1)</f>
        <v>2</v>
      </c>
      <c r="N37" s="3"/>
      <c r="O37" s="61">
        <f>ROUNDDOWN(N37/4,0)</f>
        <v>0</v>
      </c>
      <c r="P37" s="60">
        <f>MIN(SUM(L37,M37,O37),R37)</f>
        <v>3</v>
      </c>
      <c r="R37" s="61">
        <v>5</v>
      </c>
      <c r="U37" s="4"/>
      <c r="V37" s="61">
        <f>U37</f>
        <v>0</v>
      </c>
      <c r="Y37" s="15" t="s">
        <v>1462</v>
      </c>
      <c r="Z37" s="61" t="str">
        <f>IFERROR(VLOOKUP(AA37,tblManoeuvre[],2,FALSE),"")</f>
        <v/>
      </c>
      <c r="AA37" s="61" t="str">
        <f t="shared" si="3"/>
        <v/>
      </c>
      <c r="AI37" s="15" t="s">
        <v>31</v>
      </c>
      <c r="AJ37" s="61">
        <f t="shared" si="1"/>
        <v>3</v>
      </c>
      <c r="AK37" s="61">
        <f>IF(AJ37=0,IF(COUNTIF($E$42:$E$49,AI37)&gt;0,-3,-1),AJ37)</f>
        <v>3</v>
      </c>
    </row>
    <row r="38" spans="1:37">
      <c r="A38" s="1" t="s">
        <v>37</v>
      </c>
      <c r="B38" t="str">
        <f>REPT("●",IFERROR(INDEX($P$42:$P$69,MATCH(tblCharDataEve[[#This Row],[Field]],$E$42:$E$69,0)),0))&amp;REPT("○",IFERROR(INDEX($V$42:$V$69,MATCH(tblCharDataEve[[#This Row],[Field]],$E$42:$E$69,0)),0))&amp;IF(IFERROR(INDEX($W$42:$W$69,MATCH(tblCharDataEve[[#This Row],[Field]],$E$42:$E$69,0)),0)=1,"†","")</f>
        <v/>
      </c>
      <c r="D38" s="18"/>
      <c r="E38" s="15" t="s">
        <v>24</v>
      </c>
      <c r="F38" s="18"/>
      <c r="G38" s="3"/>
      <c r="H38" s="18"/>
      <c r="I38" s="18"/>
      <c r="L38" s="3">
        <v>2</v>
      </c>
      <c r="M38" s="60">
        <f>IF(E38=$F$24,2,1)</f>
        <v>1</v>
      </c>
      <c r="N38" s="3"/>
      <c r="O38" s="61">
        <f>ROUNDDOWN(N38/4,0)</f>
        <v>0</v>
      </c>
      <c r="P38" s="60">
        <f>MIN(SUM(L38,M38,O38),R38)</f>
        <v>3</v>
      </c>
      <c r="R38" s="61">
        <v>5</v>
      </c>
      <c r="U38" s="4"/>
      <c r="V38" s="61">
        <f>U38</f>
        <v>0</v>
      </c>
      <c r="Y38" s="15" t="s">
        <v>1463</v>
      </c>
      <c r="Z38" s="61" t="str">
        <f>IFERROR(VLOOKUP(AA38,tblManoeuvre[],2,FALSE),"")</f>
        <v/>
      </c>
      <c r="AA38" s="61" t="str">
        <f t="shared" si="3"/>
        <v/>
      </c>
      <c r="AI38" s="15" t="s">
        <v>22</v>
      </c>
      <c r="AJ38" s="61">
        <f t="shared" si="1"/>
        <v>3</v>
      </c>
      <c r="AK38" s="61">
        <f>AJ38+IFERROR(INDEX($V$26:$V$38,MATCH(AI38,$E$26:$E$38,0)),0)</f>
        <v>3</v>
      </c>
    </row>
    <row r="39" spans="1:37">
      <c r="A39" s="1" t="s">
        <v>38</v>
      </c>
      <c r="B39" t="str">
        <f>REPT("●",IFERROR(INDEX($P$42:$P$69,MATCH(tblCharDataEve[[#This Row],[Field]],$E$42:$E$69,0)),0))&amp;REPT("○",IFERROR(INDEX($V$42:$V$69,MATCH(tblCharDataEve[[#This Row],[Field]],$E$42:$E$69,0)),0))&amp;IF(IFERROR(INDEX($W$42:$W$69,MATCH(tblCharDataEve[[#This Row],[Field]],$E$42:$E$69,0)),0)=1,"†","")</f>
        <v/>
      </c>
      <c r="Y39" s="15" t="s">
        <v>1464</v>
      </c>
      <c r="Z39" s="61" t="str">
        <f>IFERROR(VLOOKUP(AA39,tblManoeuvre[],2,FALSE),"")</f>
        <v/>
      </c>
      <c r="AA39" s="61" t="str">
        <f t="shared" si="3"/>
        <v/>
      </c>
      <c r="AI39" s="15" t="s">
        <v>243</v>
      </c>
      <c r="AJ39" s="61">
        <f t="shared" si="1"/>
        <v>0</v>
      </c>
      <c r="AK39" s="61">
        <f>AJ39</f>
        <v>0</v>
      </c>
    </row>
    <row r="40" spans="1:37" ht="15.75" thickBot="1">
      <c r="A40" s="1" t="s">
        <v>39</v>
      </c>
      <c r="B40" t="str">
        <f>REPT("●",IFERROR(INDEX($P$42:$P$69,MATCH(tblCharDataEve[[#This Row],[Field]],$E$42:$E$69,0)),0))&amp;REPT("○",IFERROR(INDEX($V$42:$V$69,MATCH(tblCharDataEve[[#This Row],[Field]],$E$42:$E$69,0)),0))&amp;IF(IFERROR(INDEX($W$42:$W$69,MATCH(tblCharDataEve[[#This Row],[Field]],$E$42:$E$69,0)),0)=1,"†","")</f>
        <v/>
      </c>
      <c r="D40" s="14" t="s">
        <v>1465</v>
      </c>
      <c r="E40" s="14"/>
      <c r="F40" s="14"/>
      <c r="G40" s="14"/>
      <c r="H40" s="14"/>
      <c r="I40" s="14"/>
      <c r="N40" s="60">
        <f>SUM(N42:N49,N52:N59,N62:N69)</f>
        <v>0</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1"/>
        <v>0</v>
      </c>
      <c r="AK40" s="61">
        <f>AJ40</f>
        <v>0</v>
      </c>
    </row>
    <row r="41" spans="1:37">
      <c r="A41" s="1" t="s">
        <v>40</v>
      </c>
      <c r="B41" t="str">
        <f>REPT("●",IFERROR(INDEX($P$42:$P$69,MATCH(tblCharDataEve[[#This Row],[Field]],$E$42:$E$69,0)),0))&amp;REPT("○",IFERROR(INDEX($V$42:$V$69,MATCH(tblCharDataEve[[#This Row],[Field]],$E$42:$E$69,0)),0))&amp;IF(IFERROR(INDEX($W$42:$W$69,MATCH(tblCharDataEve[[#This Row],[Field]],$E$42:$E$69,0)),0)=1,"†","")</f>
        <v/>
      </c>
      <c r="D41" s="16" t="s">
        <v>1444</v>
      </c>
      <c r="E41" s="17"/>
      <c r="F41" s="17"/>
      <c r="G41" s="17" t="s">
        <v>1467</v>
      </c>
      <c r="H41" s="16" t="s">
        <v>1446</v>
      </c>
      <c r="I41" s="3" t="s">
        <v>1567</v>
      </c>
      <c r="L41" s="60">
        <f>IF(I41="",0,VLOOKUP(I41,tblPriority[#Data],3,FALSE))-SUM(L42:L49)</f>
        <v>0</v>
      </c>
      <c r="T41" s="60">
        <f>MAX(3+IF(P161&gt;=3,2,0)-SUM(T42:T49,T52:T59,T62:T69),0)</f>
        <v>3</v>
      </c>
      <c r="Y41" s="15" t="s">
        <v>1468</v>
      </c>
      <c r="Z41" s="61" t="str">
        <f>IFERROR(VLOOKUP(AA41,tblManoeuvre[],2,FALSE),"")</f>
        <v/>
      </c>
      <c r="AA41" s="61" t="str">
        <f t="shared" si="3"/>
        <v/>
      </c>
      <c r="AI41" s="15" t="s">
        <v>244</v>
      </c>
      <c r="AJ41" s="61">
        <f t="shared" si="1"/>
        <v>0</v>
      </c>
      <c r="AK41" s="61">
        <f>AJ41</f>
        <v>0</v>
      </c>
    </row>
    <row r="42" spans="1:37">
      <c r="A42" s="1" t="s">
        <v>41</v>
      </c>
      <c r="B42" t="str">
        <f>REPT("●",IFERROR(INDEX($P$42:$P$69,MATCH(tblCharDataEve[[#This Row],[Field]],$E$42:$E$69,0)),0))&amp;REPT("○",IFERROR(INDEX($V$42:$V$69,MATCH(tblCharDataEve[[#This Row],[Field]],$E$42:$E$69,0)),0))&amp;IF(IFERROR(INDEX($W$42:$W$69,MATCH(tblCharDataEve[[#This Row],[Field]],$E$42:$E$69,0)),0)=1,"†","")</f>
        <v/>
      </c>
      <c r="D42" s="18"/>
      <c r="E42" s="15" t="s">
        <v>25</v>
      </c>
      <c r="F42" s="18"/>
      <c r="G42" s="3"/>
      <c r="H42" s="18"/>
      <c r="I42" s="18"/>
      <c r="L42" s="4"/>
      <c r="M42" s="60"/>
      <c r="N42" s="4"/>
      <c r="O42" s="61">
        <f>ROUNDDOWN(N42/2,0)</f>
        <v>0</v>
      </c>
      <c r="P42" s="60">
        <f t="shared" ref="P42:P49" si="4">MIN(SUM(L42,M42,O42),R42)</f>
        <v>0</v>
      </c>
      <c r="R42" s="61">
        <v>5</v>
      </c>
      <c r="T42" s="4"/>
      <c r="U42" s="4"/>
      <c r="V42" s="61">
        <f t="shared" ref="V42:V49" si="5">U42</f>
        <v>0</v>
      </c>
      <c r="W42" s="4"/>
      <c r="AI42" s="15" t="s">
        <v>18</v>
      </c>
      <c r="AJ42" s="61">
        <f t="shared" si="1"/>
        <v>2</v>
      </c>
      <c r="AK42" s="61">
        <f>AJ42+IFERROR(INDEX($V$26:$V$38,MATCH(AI42,$E$26:$E$38,0)),0)</f>
        <v>2</v>
      </c>
    </row>
    <row r="43" spans="1:37">
      <c r="A43" s="1" t="s">
        <v>42</v>
      </c>
      <c r="B43" t="str">
        <f>REPT("●",IFERROR(INDEX($P$42:$P$69,MATCH(tblCharDataEve[[#This Row],[Field]],$E$42:$E$69,0)),0))&amp;REPT("○",IFERROR(INDEX($V$42:$V$69,MATCH(tblCharDataEve[[#This Row],[Field]],$E$42:$E$69,0)),0))&amp;IF(IFERROR(INDEX($W$42:$W$69,MATCH(tblCharDataEve[[#This Row],[Field]],$E$42:$E$69,0)),0)=1,"†","")</f>
        <v>●●●</v>
      </c>
      <c r="D43" s="18"/>
      <c r="E43" s="15" t="s">
        <v>26</v>
      </c>
      <c r="F43" s="18"/>
      <c r="G43" s="3"/>
      <c r="H43" s="18"/>
      <c r="I43" s="18"/>
      <c r="L43" s="4">
        <v>2</v>
      </c>
      <c r="M43" s="60"/>
      <c r="N43" s="4"/>
      <c r="O43" s="61">
        <f t="shared" ref="O43:O49" si="6">ROUNDDOWN(N43/2,0)</f>
        <v>0</v>
      </c>
      <c r="P43" s="60">
        <f t="shared" si="4"/>
        <v>2</v>
      </c>
      <c r="R43" s="61">
        <v>5</v>
      </c>
      <c r="T43" s="4"/>
      <c r="U43" s="4"/>
      <c r="V43" s="61">
        <f t="shared" si="5"/>
        <v>0</v>
      </c>
      <c r="W43" s="4"/>
      <c r="AI43" s="15" t="s">
        <v>32</v>
      </c>
      <c r="AJ43" s="61">
        <f t="shared" si="1"/>
        <v>0</v>
      </c>
      <c r="AK43" s="61">
        <f>IF(AJ43=0,IF(COUNTIF($E$42:$E$49,AI43)&gt;0,-3,-1),AJ43)</f>
        <v>-3</v>
      </c>
    </row>
    <row r="44" spans="1:37">
      <c r="A44" s="1" t="s">
        <v>43</v>
      </c>
      <c r="B44" t="str">
        <f>REPT("●",IFERROR(INDEX($P$42:$P$69,MATCH(tblCharDataEve[[#This Row],[Field]],$E$42:$E$69,0)),0))&amp;REPT("○",IFERROR(INDEX($V$42:$V$69,MATCH(tblCharDataEve[[#This Row],[Field]],$E$42:$E$69,0)),0))&amp;IF(IFERROR(INDEX($W$42:$W$69,MATCH(tblCharDataEve[[#This Row],[Field]],$E$42:$E$69,0)),0)=1,"†","")</f>
        <v>●●</v>
      </c>
      <c r="D44" s="18"/>
      <c r="E44" s="15" t="s">
        <v>27</v>
      </c>
      <c r="F44" s="18"/>
      <c r="G44" s="3"/>
      <c r="H44" s="18"/>
      <c r="I44" s="18"/>
      <c r="L44" s="4"/>
      <c r="M44" s="60"/>
      <c r="N44" s="4"/>
      <c r="O44" s="61">
        <f t="shared" si="6"/>
        <v>0</v>
      </c>
      <c r="P44" s="60">
        <f t="shared" si="4"/>
        <v>0</v>
      </c>
      <c r="R44" s="61">
        <v>5</v>
      </c>
      <c r="T44" s="4"/>
      <c r="U44" s="4"/>
      <c r="V44" s="61">
        <f t="shared" si="5"/>
        <v>0</v>
      </c>
      <c r="W44" s="4"/>
      <c r="Y44" s="15">
        <v>1</v>
      </c>
      <c r="Z44" s="61" t="s">
        <v>236</v>
      </c>
      <c r="AA44" s="60" t="str" cm="1">
        <f t="array" ref="AA44">IF(OR(Y44=0,Y44=""),"",IF(VLOOKUP(Z44,$AI$1:$AJ$58,2,FALSE)&gt;=Y44,INDEX(tblDisciplines[Name],MATCH(1,(tblDisciplines[Discipline]=Z44)*(tblDisciplines[Rank]=Y44),0)),""))</f>
        <v/>
      </c>
      <c r="AC44" s="60" t="str" cm="1">
        <f t="array" ref="AC44:AC49">IFERROR(_xlfn.VSTACK(IFERROR(_xlfn._xlws.FILTER(AA44:AA121,AA44:AA121&lt;&gt;""),""),IFERROR(_xlfn._xlws.SORT(_xlfn._xlws.FILTER(AA123:AA132,AA123:AA132&lt;&gt;"")),"")),"")</f>
        <v>Celerity 1</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Celerity ●</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1 V per effect  •  Pool: -  •  Reflexive  •  1 turn</v>
      </c>
      <c r="AF44" s="20" t="str">
        <f>IF(AC44="","",IFERROR(VLOOKUP(AC44,tblDisciplines[],12,FALSE),VLOOKUP(AC44,tblPacts[],5,FALSE)))</f>
        <v>Persistent improved Defence or Dodge. Activate for supernatural speed benefits. Unnatural Grace: add Celerity dots as bonus dice to non-combat speed-based pools.</v>
      </c>
      <c r="AI44" s="15" t="s">
        <v>353</v>
      </c>
      <c r="AJ44" s="61">
        <f t="shared" si="1"/>
        <v>5</v>
      </c>
      <c r="AK44" s="61">
        <f>AJ44</f>
        <v>5</v>
      </c>
    </row>
    <row r="45" spans="1:37">
      <c r="A45" s="1" t="s">
        <v>44</v>
      </c>
      <c r="B45" t="str">
        <f>REPT("●",IFERROR(INDEX($P$42:$P$69,MATCH(tblCharDataEve[[#This Row],[Field]],$E$42:$E$69,0)),0))&amp;REPT("○",IFERROR(INDEX($V$42:$V$69,MATCH(tblCharDataEve[[#This Row],[Field]],$E$42:$E$69,0)),0))&amp;IF(IFERROR(INDEX($W$42:$W$69,MATCH(tblCharDataEve[[#This Row],[Field]],$E$42:$E$69,0)),0)=1,"†","")</f>
        <v/>
      </c>
      <c r="D45" s="18"/>
      <c r="E45" s="15" t="s">
        <v>28</v>
      </c>
      <c r="F45" s="18"/>
      <c r="G45" s="3"/>
      <c r="H45" s="18"/>
      <c r="I45" s="18"/>
      <c r="L45" s="4">
        <v>2</v>
      </c>
      <c r="M45" s="60"/>
      <c r="N45" s="4"/>
      <c r="O45" s="61">
        <f t="shared" si="6"/>
        <v>0</v>
      </c>
      <c r="P45" s="60">
        <f t="shared" si="4"/>
        <v>2</v>
      </c>
      <c r="R45" s="61">
        <v>5</v>
      </c>
      <c r="T45" s="4"/>
      <c r="U45" s="4"/>
      <c r="V45" s="61">
        <f t="shared" si="5"/>
        <v>0</v>
      </c>
      <c r="W45" s="4"/>
      <c r="Y45" s="15">
        <v>2</v>
      </c>
      <c r="Z45" s="61" t="s">
        <v>236</v>
      </c>
      <c r="AA45" s="60" t="str" cm="1">
        <f t="array" ref="AA45">IF(OR(Y45=0,Y45=""),"",IF(VLOOKUP(Z45,$AI$1:$AJ$58,2,FALSE)&gt;=Y45,INDEX(tblDisciplines[Name],MATCH(1,(tblDisciplines[Discipline]=Z45)*(tblDisciplines[Rank]=Y45),0)),""))</f>
        <v/>
      </c>
      <c r="AC45" s="60" t="str">
        <v>Mesmerise</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Dominate ● | Mesmerise</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 -3 in combat unless Blinded  •  Pool: 5  v Resolve + BP  •  Instant  •  Instant</v>
      </c>
      <c r="AF45" s="20" t="str">
        <f>IF(AC45="","",IFERROR(VLOOKUP(AC45,tblDisciplines[],12,FALSE),VLOOKUP(AC45,tblPacts[],5,FALSE)))</f>
        <v>Impose Mesmerised Condition. Control with short commands.</v>
      </c>
      <c r="AI45" s="15" t="s">
        <v>46</v>
      </c>
      <c r="AJ45" s="61">
        <f t="shared" si="1"/>
        <v>3</v>
      </c>
      <c r="AK45" s="61">
        <f>IF(AJ45=0,IF(COUNTIF($E$42:$E$49,AI45)&gt;0,-3,-1),AJ45)</f>
        <v>3</v>
      </c>
    </row>
    <row r="46" spans="1:37">
      <c r="A46" s="1" t="s">
        <v>45</v>
      </c>
      <c r="B46" t="str">
        <f>REPT("●",IFERROR(INDEX($P$42:$P$69,MATCH(tblCharDataEve[[#This Row],[Field]],$E$42:$E$69,0)),0))&amp;REPT("○",IFERROR(INDEX($V$42:$V$69,MATCH(tblCharDataEve[[#This Row],[Field]],$E$42:$E$69,0)),0))&amp;IF(IFERROR(INDEX($W$42:$W$69,MATCH(tblCharDataEve[[#This Row],[Field]],$E$42:$E$69,0)),0)=1,"†","")</f>
        <v>●●●</v>
      </c>
      <c r="D46" s="18"/>
      <c r="E46" s="15" t="s">
        <v>29</v>
      </c>
      <c r="F46" s="18"/>
      <c r="G46" s="3"/>
      <c r="H46" s="18"/>
      <c r="I46" s="18"/>
      <c r="L46" s="4"/>
      <c r="M46" s="60"/>
      <c r="N46" s="4"/>
      <c r="O46" s="61">
        <f t="shared" si="6"/>
        <v>0</v>
      </c>
      <c r="P46" s="60">
        <f t="shared" si="4"/>
        <v>0</v>
      </c>
      <c r="R46" s="61">
        <v>5</v>
      </c>
      <c r="T46" s="4"/>
      <c r="U46" s="4"/>
      <c r="V46" s="61">
        <f t="shared" si="5"/>
        <v>0</v>
      </c>
      <c r="W46" s="4"/>
      <c r="Y46" s="15">
        <v>3</v>
      </c>
      <c r="Z46" s="61" t="s">
        <v>236</v>
      </c>
      <c r="AA46" s="60" t="str" cm="1">
        <f t="array" ref="AA46">IF(OR(Y46=0,Y46=""),"",IF(VLOOKUP(Z46,$AI$1:$AJ$58,2,FALSE)&gt;=Y46,INDEX(tblDisciplines[Name],MATCH(1,(tblDisciplines[Discipline]=Z46)*(tblDisciplines[Rank]=Y46),0)),""))</f>
        <v/>
      </c>
      <c r="AC46" s="60" t="str">
        <v>Awe</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Majesty ● | Awe</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  •  Pool: -  •  Instant  •  Scene</v>
      </c>
      <c r="AF46" s="20" t="str">
        <f>IF(AC46="","",IFERROR(VLOOKUP(AC46,tblDisciplines[],12,FALSE),VLOOKUP(AC46,tblPacts[],5,FALSE)))</f>
        <v>Become centre of attention. Subjects become Awed.</v>
      </c>
      <c r="AI46" s="15" t="s">
        <v>354</v>
      </c>
      <c r="AJ46" s="61">
        <f t="shared" ca="1" si="1"/>
        <v>9</v>
      </c>
      <c r="AK46" s="61">
        <f ca="1">AJ46</f>
        <v>9</v>
      </c>
    </row>
    <row r="47" spans="1:37">
      <c r="A47" s="1" t="s">
        <v>46</v>
      </c>
      <c r="B47" t="str">
        <f>REPT("●",IFERROR(INDEX($P$42:$P$69,MATCH(tblCharDataEve[[#This Row],[Field]],$E$42:$E$69,0)),0))&amp;REPT("○",IFERROR(INDEX($V$42:$V$69,MATCH(tblCharDataEve[[#This Row],[Field]],$E$42:$E$69,0)),0))&amp;IF(IFERROR(INDEX($W$42:$W$69,MATCH(tblCharDataEve[[#This Row],[Field]],$E$42:$E$69,0)),0)=1,"†","")</f>
        <v>●●●</v>
      </c>
      <c r="D47" s="18"/>
      <c r="E47" s="15" t="s">
        <v>30</v>
      </c>
      <c r="F47" s="18"/>
      <c r="G47" s="3"/>
      <c r="H47" s="18"/>
      <c r="I47" s="18"/>
      <c r="L47" s="4"/>
      <c r="M47" s="60"/>
      <c r="N47" s="4"/>
      <c r="O47" s="61">
        <f t="shared" si="6"/>
        <v>0</v>
      </c>
      <c r="P47" s="60">
        <f t="shared" si="4"/>
        <v>0</v>
      </c>
      <c r="R47" s="61">
        <v>5</v>
      </c>
      <c r="T47" s="4"/>
      <c r="U47" s="4"/>
      <c r="V47" s="61">
        <f t="shared" si="5"/>
        <v>0</v>
      </c>
      <c r="W47" s="4"/>
      <c r="Y47" s="15">
        <v>4</v>
      </c>
      <c r="Z47" s="61" t="s">
        <v>236</v>
      </c>
      <c r="AA47" s="60" t="str" cm="1">
        <f t="array" ref="AA47">IF(OR(Y47=0,Y47=""),"",IF(VLOOKUP(Z47,$AI$1:$AJ$58,2,FALSE)&gt;=Y47,INDEX(tblDisciplines[Name],MATCH(1,(tblDisciplines[Discipline]=Z47)*(tblDisciplines[Rank]=Y47),0)),""))</f>
        <v/>
      </c>
      <c r="AC47" s="60" t="str">
        <v>Confidant</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Majesty ●● | Confidant</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Cost: - (req: Awed)   •  Pool: 9  v Resolve + BP  •  Contested</v>
      </c>
      <c r="AF47" s="20" t="str">
        <f>IF(AC47="","",IFERROR(VLOOKUP(AC47,tblDisciplines[],12,FALSE),VLOOKUP(AC47,tblPacts[],5,FALSE)))</f>
        <v>Impose Charmed Condition.</v>
      </c>
      <c r="AI47" s="15" t="s">
        <v>21</v>
      </c>
      <c r="AJ47" s="61">
        <f t="shared" si="1"/>
        <v>2</v>
      </c>
      <c r="AK47" s="61">
        <f>AJ47+IFERROR(INDEX($V$26:$V$38,MATCH(AI47,$E$26:$E$38,0)),0)</f>
        <v>2</v>
      </c>
    </row>
    <row r="48" spans="1:37">
      <c r="A48" s="1" t="s">
        <v>47</v>
      </c>
      <c r="B48" t="str">
        <f>REPT("●",IFERROR(INDEX($P$42:$P$69,MATCH(tblCharDataEve[[#This Row],[Field]],$E$42:$E$69,0)),0))&amp;REPT("○",IFERROR(INDEX($V$42:$V$69,MATCH(tblCharDataEve[[#This Row],[Field]],$E$42:$E$69,0)),0))&amp;IF(IFERROR(INDEX($W$42:$W$69,MATCH(tblCharDataEve[[#This Row],[Field]],$E$42:$E$69,0)),0)=1,"†","")</f>
        <v/>
      </c>
      <c r="D48" s="18"/>
      <c r="E48" s="15" t="s">
        <v>31</v>
      </c>
      <c r="F48" s="18"/>
      <c r="G48" s="3"/>
      <c r="H48" s="18"/>
      <c r="I48" s="18"/>
      <c r="L48" s="4">
        <v>3</v>
      </c>
      <c r="M48" s="60"/>
      <c r="N48" s="4"/>
      <c r="O48" s="61">
        <f t="shared" si="6"/>
        <v>0</v>
      </c>
      <c r="P48" s="60">
        <f t="shared" si="4"/>
        <v>3</v>
      </c>
      <c r="R48" s="61">
        <v>5</v>
      </c>
      <c r="T48" s="4"/>
      <c r="U48" s="4"/>
      <c r="V48" s="61">
        <f t="shared" si="5"/>
        <v>0</v>
      </c>
      <c r="W48" s="4"/>
      <c r="Y48" s="15">
        <v>5</v>
      </c>
      <c r="Z48" s="61" t="s">
        <v>236</v>
      </c>
      <c r="AA48" s="60" t="str" cm="1">
        <f t="array" ref="AA48">IF(OR(Y48=0,Y48=""),"",IF(VLOOKUP(Z48,$AI$1:$AJ$58,2,FALSE)&gt;=Y48,INDEX(tblDisciplines[Name],MATCH(1,(tblDisciplines[Discipline]=Z48)*(tblDisciplines[Rank]=Y48),0)),""))</f>
        <v/>
      </c>
      <c r="AC48" s="60" t="str">
        <v>Green Eyes</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Majesty ●●● | Green Eyes</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Cost: 1 V (req: Charmed / Enthralled)   •  Pool: -  •  Instant  •  Scene</v>
      </c>
      <c r="AF48" s="20" t="str">
        <f>IF(AC48="","",IFERROR(VLOOKUP(AC48,tblDisciplines[],12,FALSE),VLOOKUP(AC48,tblPacts[],5,FALSE)))</f>
        <v>Shift emotions (1 V, any number of Charmed/Enthralled targets); rage/fear causes frenzy with no resist roll (Ride the Wave normal). Requests: 1 V per target, must be spoken and heard.</v>
      </c>
      <c r="AI48" s="15" t="s">
        <v>38</v>
      </c>
      <c r="AJ48" s="61">
        <f t="shared" si="1"/>
        <v>0</v>
      </c>
      <c r="AK48" s="61">
        <f>IF(AJ48=0,IF(COUNTIF($E$42:$E$49,AI48)&gt;0,-3,-1),AJ48)</f>
        <v>-1</v>
      </c>
    </row>
    <row r="49" spans="1:37">
      <c r="A49" s="1" t="s">
        <v>48</v>
      </c>
      <c r="B49" t="str">
        <f>REPT("●",IFERROR(INDEX($P$42:$P$69,MATCH(tblCharDataEve[[#This Row],[Field]],$E$42:$E$69,0)),0))&amp;REPT("○",IFERROR(INDEX($V$42:$V$69,MATCH(tblCharDataEve[[#This Row],[Field]],$E$42:$E$69,0)),0))&amp;IF(IFERROR(INDEX($W$42:$W$69,MATCH(tblCharDataEve[[#This Row],[Field]],$E$42:$E$69,0)),0)=1,"†","")</f>
        <v/>
      </c>
      <c r="D49" s="18"/>
      <c r="E49" s="15" t="s">
        <v>32</v>
      </c>
      <c r="F49" s="18"/>
      <c r="G49" s="3"/>
      <c r="H49" s="18"/>
      <c r="I49" s="18"/>
      <c r="L49" s="4"/>
      <c r="M49" s="60"/>
      <c r="N49" s="4"/>
      <c r="O49" s="61">
        <f t="shared" si="6"/>
        <v>0</v>
      </c>
      <c r="P49" s="60">
        <f t="shared" si="4"/>
        <v>0</v>
      </c>
      <c r="R49" s="61">
        <v>5</v>
      </c>
      <c r="T49" s="4"/>
      <c r="U49" s="4"/>
      <c r="V49" s="61">
        <f t="shared" si="5"/>
        <v>0</v>
      </c>
      <c r="W49" s="4"/>
      <c r="Y49" s="15">
        <v>1</v>
      </c>
      <c r="Z49" s="61" t="s">
        <v>237</v>
      </c>
      <c r="AA49" s="60" t="str" cm="1">
        <f t="array" ref="AA49">IF(OR(Y49=0,Y49=""),"",IF(VLOOKUP(Z49,$AI$1:$AJ$58,2,FALSE)&gt;=Y49,INDEX(tblDisciplines[Name],MATCH(1,(tblDisciplines[Discipline]=Z49)*(tblDisciplines[Rank]=Y49),0)),""))</f>
        <v/>
      </c>
      <c r="AC49" s="60" t="str">
        <v/>
      </c>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
      </c>
      <c r="AF49" s="20" t="str">
        <f>IF(AC49="","",IFERROR(VLOOKUP(AC49,tblDisciplines[],12,FALSE),VLOOKUP(AC49,tblPacts[],5,FALSE)))</f>
        <v/>
      </c>
      <c r="AI49" s="15" t="s">
        <v>47</v>
      </c>
      <c r="AJ49" s="61">
        <f t="shared" si="1"/>
        <v>0</v>
      </c>
      <c r="AK49" s="61">
        <f>IF(AJ49=0,IF(COUNTIF($E$42:$E$49,AI49)&gt;0,-3,-1),AJ49)</f>
        <v>-1</v>
      </c>
    </row>
    <row r="50" spans="1:37">
      <c r="A50" s="1" t="s">
        <v>49</v>
      </c>
      <c r="B50" t="str">
        <f ca="1">REPT("●",VLOOKUP(tblCharDataEve[[#This Row],[Field]],INDIRECT($AH$1),2,FALSE)) &amp; REPT("○",10-VLOOKUP(tblCharDataEve[[#This Row],[Field]],INDIRECT($AH$1),2,FALSE)) &amp; REPT("○",10-VLOOKUP(tblCharDataEve[[#This Row],[Field]],INDIRECT($AH$1),2,FALSE))</f>
        <v>●○○○○○○○○○○○○○○○○○○</v>
      </c>
      <c r="Y50" s="15">
        <v>2</v>
      </c>
      <c r="Z50" s="61" t="s">
        <v>237</v>
      </c>
      <c r="AA50" s="60" t="str" cm="1">
        <f t="array" ref="AA50">IF(OR(Y50=0,Y50=""),"",IF(VLOOKUP(Z50,$AI$1:$AJ$58,2,FALSE)&gt;=Y50,INDEX(tblDisciplines[Name],MATCH(1,(tblDisciplines[Discipline]=Z50)*(tblDisciplines[Rank]=Y50),0)),""))</f>
        <v/>
      </c>
      <c r="AC50" s="60"/>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
      </c>
      <c r="AF50" s="20" t="str">
        <f>IF(AC50="","",IFERROR(VLOOKUP(AC50,tblDisciplines[],12,FALSE),VLOOKUP(AC50,tblPacts[],5,FALSE)))</f>
        <v/>
      </c>
      <c r="AI50" s="15" t="s">
        <v>19</v>
      </c>
      <c r="AJ50" s="61">
        <f t="shared" si="1"/>
        <v>1</v>
      </c>
      <c r="AK50" s="61">
        <f>AJ50+IFERROR(INDEX($V$26:$V$38,MATCH(AI50,$E$26:$E$38,0)),0)</f>
        <v>1</v>
      </c>
    </row>
    <row r="51" spans="1:37">
      <c r="A51" s="1" t="s">
        <v>50</v>
      </c>
      <c r="B51">
        <f>P72</f>
        <v>1</v>
      </c>
      <c r="D51" s="16" t="s">
        <v>1453</v>
      </c>
      <c r="E51" s="17"/>
      <c r="F51" s="17"/>
      <c r="G51" s="17" t="s">
        <v>1467</v>
      </c>
      <c r="H51" s="16" t="s">
        <v>1446</v>
      </c>
      <c r="I51" s="3" t="s">
        <v>1566</v>
      </c>
      <c r="L51" s="60">
        <f>IF(I51="",0,VLOOKUP(I51,tblPriority[#Data],3,FALSE))-SUM(L52:L59)</f>
        <v>0</v>
      </c>
      <c r="Y51" s="15">
        <v>3</v>
      </c>
      <c r="Z51" s="61" t="s">
        <v>237</v>
      </c>
      <c r="AA51" s="60" t="str" cm="1">
        <f t="array" ref="AA51">IF(OR(Y51=0,Y51=""),"",IF(VLOOKUP(Z51,$AI$1:$AJ$58,2,FALSE)&gt;=Y51,INDEX(tblDisciplines[Name],MATCH(1,(tblDisciplines[Discipline]=Z51)*(tblDisciplines[Rank]=Y51),0)),""))</f>
        <v/>
      </c>
      <c r="AC51" s="60"/>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
      </c>
      <c r="AF51" s="20" t="str">
        <f>IF(AC51="","",IFERROR(VLOOKUP(AC51,tblDisciplines[],12,FALSE),VLOOKUP(AC51,tblPacts[],5,FALSE)))</f>
        <v/>
      </c>
      <c r="AI51" s="15" t="s">
        <v>48</v>
      </c>
      <c r="AJ51" s="61">
        <f t="shared" si="1"/>
        <v>0</v>
      </c>
      <c r="AK51" s="61">
        <f>IF(AJ51=0,IF(COUNTIF($E$42:$E$49,AI51)&gt;0,-3,-1),AJ51)</f>
        <v>-1</v>
      </c>
    </row>
    <row r="52" spans="1:37">
      <c r="A52" s="1" t="s">
        <v>51</v>
      </c>
      <c r="B52" t="str">
        <f>_xlfn.IFNA(VLOOKUP(P72,tblBloodPotency[#Data],5,FALSE),"")</f>
        <v/>
      </c>
      <c r="D52" s="18"/>
      <c r="E52" s="15" t="s">
        <v>33</v>
      </c>
      <c r="F52" s="18"/>
      <c r="G52" s="3"/>
      <c r="H52" s="18"/>
      <c r="I52" s="18"/>
      <c r="L52" s="4">
        <v>2</v>
      </c>
      <c r="M52" s="60"/>
      <c r="N52" s="4"/>
      <c r="O52" s="61">
        <f>ROUNDDOWN(N52/2,0)</f>
        <v>0</v>
      </c>
      <c r="P52" s="60">
        <f t="shared" ref="P52:P59" si="7">MIN(SUM(L52,M52,O52),R52)</f>
        <v>2</v>
      </c>
      <c r="R52" s="61">
        <v>5</v>
      </c>
      <c r="T52" s="4"/>
      <c r="U52" s="4"/>
      <c r="V52" s="61">
        <f t="shared" ref="V52:V59" si="8">U52</f>
        <v>0</v>
      </c>
      <c r="W52" s="4"/>
      <c r="Y52" s="15">
        <v>4</v>
      </c>
      <c r="Z52" s="61" t="s">
        <v>237</v>
      </c>
      <c r="AA52" s="60" t="str" cm="1">
        <f t="array" ref="AA52">IF(OR(Y52=0,Y52=""),"",IF(VLOOKUP(Z52,$AI$1:$AJ$58,2,FALSE)&gt;=Y52,INDEX(tblDisciplines[Name],MATCH(1,(tblDisciplines[Discipline]=Z52)*(tblDisciplines[Rank]=Y52),0)),""))</f>
        <v/>
      </c>
      <c r="AC52" s="60"/>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
      </c>
      <c r="AF52" s="20" t="str">
        <f>IF(AC52="","",IFERROR(VLOOKUP(AC52,tblDisciplines[],12,FALSE),VLOOKUP(AC52,tblPacts[],5,FALSE)))</f>
        <v/>
      </c>
      <c r="AI52" s="15" t="s">
        <v>39</v>
      </c>
      <c r="AJ52" s="61">
        <f t="shared" si="1"/>
        <v>0</v>
      </c>
      <c r="AK52" s="61">
        <f>IF(AJ52=0,IF(COUNTIF($E$42:$E$49,AI52)&gt;0,-3,-1),AJ52)</f>
        <v>-1</v>
      </c>
    </row>
    <row r="53" spans="1:37">
      <c r="A53" s="1" t="s">
        <v>52</v>
      </c>
      <c r="B53" t="str">
        <f ca="1">REPT("□",P221) &amp; REPT("■",15-P221)</f>
        <v>□□□□□□□■■■■■■■■</v>
      </c>
      <c r="D53" s="18"/>
      <c r="E53" s="15" t="s">
        <v>34</v>
      </c>
      <c r="F53" s="18"/>
      <c r="G53" s="3"/>
      <c r="H53" s="18"/>
      <c r="I53" s="18"/>
      <c r="L53" s="4"/>
      <c r="M53" s="60"/>
      <c r="N53" s="4"/>
      <c r="O53" s="61">
        <f t="shared" ref="O53:O59" si="9">ROUNDDOWN(N53/2,0)</f>
        <v>0</v>
      </c>
      <c r="P53" s="60">
        <f t="shared" si="7"/>
        <v>0</v>
      </c>
      <c r="R53" s="61">
        <v>5</v>
      </c>
      <c r="T53" s="4"/>
      <c r="U53" s="4"/>
      <c r="V53" s="61">
        <f t="shared" si="8"/>
        <v>0</v>
      </c>
      <c r="W53" s="4"/>
      <c r="Y53" s="15">
        <v>5</v>
      </c>
      <c r="Z53" s="61" t="s">
        <v>237</v>
      </c>
      <c r="AA53" s="60" t="str" cm="1">
        <f t="array" ref="AA53">IF(OR(Y53=0,Y53=""),"",IF(VLOOKUP(Z53,$AI$1:$AJ$58,2,FALSE)&gt;=Y53,INDEX(tblDisciplines[Name],MATCH(1,(tblDisciplines[Discipline]=Z53)*(tblDisciplines[Rank]=Y53),0)),""))</f>
        <v/>
      </c>
      <c r="AC53" s="60"/>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
      </c>
      <c r="AF53" s="20" t="str">
        <f>IF(AC53="","",IFERROR(VLOOKUP(AC53,tblDisciplines[],12,FALSE),VLOOKUP(AC53,tblPacts[],5,FALSE)))</f>
        <v/>
      </c>
      <c r="AI53" s="15" t="s">
        <v>247</v>
      </c>
      <c r="AJ53" s="61">
        <f t="shared" si="1"/>
        <v>0</v>
      </c>
      <c r="AK53" s="61">
        <f>AJ53</f>
        <v>0</v>
      </c>
    </row>
    <row r="54" spans="1:37">
      <c r="A54" s="1" t="s">
        <v>53</v>
      </c>
      <c r="B54" t="str">
        <f>_xlfn.CONCAT(P74-L224," / ",P74)</f>
        <v>5 / 5</v>
      </c>
      <c r="D54" s="18"/>
      <c r="E54" s="15" t="s">
        <v>35</v>
      </c>
      <c r="F54" s="18"/>
      <c r="G54" s="3"/>
      <c r="H54" s="18"/>
      <c r="I54" s="18"/>
      <c r="L54" s="4"/>
      <c r="M54" s="60"/>
      <c r="N54" s="4"/>
      <c r="O54" s="61">
        <f t="shared" si="9"/>
        <v>0</v>
      </c>
      <c r="P54" s="60">
        <f t="shared" si="7"/>
        <v>0</v>
      </c>
      <c r="R54" s="61">
        <v>5</v>
      </c>
      <c r="T54" s="4"/>
      <c r="U54" s="4"/>
      <c r="V54" s="61">
        <f t="shared" si="8"/>
        <v>0</v>
      </c>
      <c r="W54" s="4"/>
      <c r="Y54" s="15">
        <f>P167</f>
        <v>1</v>
      </c>
      <c r="Z54" s="61" t="s">
        <v>238</v>
      </c>
      <c r="AA54" s="60" t="str" cm="1">
        <f t="array" ref="AA54">IF(OR(Y54=0,Y54=""),"",IF(VLOOKUP(Z54,$AI$1:$AJ$58,2,FALSE)&gt;=Y54,INDEX(tblDisciplines[Name],MATCH(1,(tblDisciplines[Discipline]=Z54)*(tblDisciplines[Rank]=Y54),0)),""))</f>
        <v>Celerity 1</v>
      </c>
      <c r="AC54" s="60"/>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
      </c>
      <c r="AF54" s="20" t="str">
        <f>IF(AC54="","",IFERROR(VLOOKUP(AC54,tblDisciplines[],12,FALSE),VLOOKUP(AC54,tblPacts[],5,FALSE)))</f>
        <v/>
      </c>
      <c r="AI54" s="15" t="s">
        <v>252</v>
      </c>
      <c r="AJ54" s="61">
        <f t="shared" si="1"/>
        <v>0</v>
      </c>
      <c r="AK54" s="61">
        <f>AJ54</f>
        <v>0</v>
      </c>
    </row>
    <row r="55" spans="1:37">
      <c r="A55" s="1" t="s">
        <v>54</v>
      </c>
      <c r="B55" t="str">
        <f>REPT("□",P74) &amp; REPT("■",10-P74)</f>
        <v>□□□□□■■■■■</v>
      </c>
      <c r="D55" s="18"/>
      <c r="E55" s="15" t="s">
        <v>36</v>
      </c>
      <c r="F55" s="18"/>
      <c r="G55" s="3"/>
      <c r="H55" s="18"/>
      <c r="I55" s="18"/>
      <c r="L55" s="4">
        <v>2</v>
      </c>
      <c r="M55" s="60"/>
      <c r="N55" s="4"/>
      <c r="O55" s="61">
        <f t="shared" si="9"/>
        <v>0</v>
      </c>
      <c r="P55" s="60">
        <f t="shared" si="7"/>
        <v>2</v>
      </c>
      <c r="R55" s="61">
        <v>5</v>
      </c>
      <c r="T55" s="4"/>
      <c r="U55" s="4"/>
      <c r="V55" s="61">
        <f t="shared" si="8"/>
        <v>0</v>
      </c>
      <c r="W55" s="4"/>
      <c r="Y55" s="15">
        <v>1</v>
      </c>
      <c r="Z55" s="61" t="s">
        <v>239</v>
      </c>
      <c r="AA55" s="60" t="str" cm="1">
        <f t="array" ref="AA55">IF(OR(Y55=0,Y55=""),"",IF(VLOOKUP(Z55,$AI$1:$AJ$58,2,FALSE)&gt;=Y55,INDEX(tblDisciplines[Name],MATCH(1,(tblDisciplines[Discipline]=Z55)*(tblDisciplines[Rank]=Y55),0)),""))</f>
        <v>Mesmerise</v>
      </c>
      <c r="AC55" s="60"/>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
      </c>
      <c r="AF55" s="20" t="str">
        <f>IF(AC55="","",IFERROR(VLOOKUP(AC55,tblDisciplines[],12,FALSE),VLOOKUP(AC55,tblPacts[],5,FALSE)))</f>
        <v/>
      </c>
      <c r="AI55" s="15" t="s">
        <v>245</v>
      </c>
      <c r="AJ55" s="61">
        <f t="shared" si="1"/>
        <v>0</v>
      </c>
      <c r="AK55" s="61">
        <f>AJ55+IFERROR(INDEX($V$26:$V$38,MATCH(AI55,$E$26:$E$38,0)),0)</f>
        <v>0</v>
      </c>
    </row>
    <row r="56" spans="1:37">
      <c r="A56" s="1" t="s">
        <v>55</v>
      </c>
      <c r="B56" t="str">
        <f ca="1">_xlfn.CONCAT(P75-L223," / ",P75)</f>
        <v>10 / 10</v>
      </c>
      <c r="D56" s="19"/>
      <c r="E56" s="15" t="s">
        <v>37</v>
      </c>
      <c r="F56" s="18"/>
      <c r="G56" s="3"/>
      <c r="H56" s="18"/>
      <c r="I56" s="18"/>
      <c r="L56" s="4"/>
      <c r="M56" s="60"/>
      <c r="N56" s="4"/>
      <c r="O56" s="61">
        <f t="shared" si="9"/>
        <v>0</v>
      </c>
      <c r="P56" s="60">
        <f t="shared" si="7"/>
        <v>0</v>
      </c>
      <c r="R56" s="61">
        <v>5</v>
      </c>
      <c r="T56" s="4"/>
      <c r="U56" s="4"/>
      <c r="V56" s="61">
        <f t="shared" si="8"/>
        <v>0</v>
      </c>
      <c r="W56" s="4"/>
      <c r="Y56" s="15">
        <v>2</v>
      </c>
      <c r="Z56" s="61" t="s">
        <v>239</v>
      </c>
      <c r="AA56" s="60" t="str" cm="1">
        <f t="array" ref="AA56">IF(OR(Y56=0,Y56=""),"",IF(VLOOKUP(Z56,$AI$1:$AJ$58,2,FALSE)&gt;=Y56,INDEX(tblDisciplines[Name],MATCH(1,(tblDisciplines[Discipline]=Z56)*(tblDisciplines[Rank]=Y56),0)),""))</f>
        <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1"/>
        <v>0</v>
      </c>
      <c r="AK56" s="61">
        <f>IF(AJ56=0,IF(COUNTIF($E$42:$E$49,AI56)&gt;0,-3,-1),AJ56)</f>
        <v>-1</v>
      </c>
    </row>
    <row r="57" spans="1:37">
      <c r="A57" s="1" t="s">
        <v>56</v>
      </c>
      <c r="B57" t="str">
        <f ca="1">REPT("□",P75-L223) &amp; REPT("■",20-P75+L223)</f>
        <v>□□□□□□□□□□■■■■■■■■■■</v>
      </c>
      <c r="D57" s="19"/>
      <c r="E57" s="15" t="s">
        <v>38</v>
      </c>
      <c r="F57" s="18"/>
      <c r="G57" s="3"/>
      <c r="H57" s="18"/>
      <c r="I57" s="18"/>
      <c r="L57" s="4"/>
      <c r="M57" s="60"/>
      <c r="N57" s="4"/>
      <c r="O57" s="61">
        <f t="shared" si="9"/>
        <v>0</v>
      </c>
      <c r="P57" s="60">
        <f t="shared" si="7"/>
        <v>0</v>
      </c>
      <c r="R57" s="61">
        <v>5</v>
      </c>
      <c r="T57" s="4"/>
      <c r="U57" s="4"/>
      <c r="V57" s="61">
        <f t="shared" si="8"/>
        <v>0</v>
      </c>
      <c r="W57" s="4"/>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1"/>
        <v>5</v>
      </c>
      <c r="AK57" s="61">
        <f>AJ57</f>
        <v>5</v>
      </c>
    </row>
    <row r="58" spans="1:37">
      <c r="A58" s="1" t="s">
        <v>57</v>
      </c>
      <c r="B58">
        <f ca="1">VLOOKUP(VLOOKUP("Blood Potency", INDIRECT($AH$1),2,FALSE),tblBloodPotency[#Data],3,FALSE)</f>
        <v>1</v>
      </c>
      <c r="D58" s="19"/>
      <c r="E58" s="15" t="s">
        <v>39</v>
      </c>
      <c r="F58" s="18"/>
      <c r="G58" s="3"/>
      <c r="H58" s="18"/>
      <c r="I58" s="18"/>
      <c r="L58" s="4"/>
      <c r="M58" s="60"/>
      <c r="N58" s="4"/>
      <c r="O58" s="61">
        <f t="shared" si="9"/>
        <v>0</v>
      </c>
      <c r="P58" s="60">
        <f t="shared" si="7"/>
        <v>0</v>
      </c>
      <c r="R58" s="61">
        <v>5</v>
      </c>
      <c r="T58" s="4"/>
      <c r="U58" s="4"/>
      <c r="V58" s="61">
        <f t="shared" si="8"/>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1"/>
        <v>3</v>
      </c>
      <c r="AK58" s="61">
        <f>AJ58+IFERROR(INDEX($V$26:$V$38,MATCH(AI58,$E$26:$E$38,0)),0)</f>
        <v>3</v>
      </c>
    </row>
    <row r="59" spans="1:37">
      <c r="A59" s="1" t="s">
        <v>58</v>
      </c>
      <c r="B59" t="str">
        <f ca="1">VLOOKUP(VLOOKUP("Blood Potency", INDIRECT($AH$1),2,FALSE),tblBloodPotency[#Data],4,FALSE)</f>
        <v>Animals</v>
      </c>
      <c r="D59" s="19"/>
      <c r="E59" s="15" t="s">
        <v>40</v>
      </c>
      <c r="F59" s="18"/>
      <c r="G59" s="3"/>
      <c r="H59" s="18"/>
      <c r="I59" s="18"/>
      <c r="L59" s="4"/>
      <c r="M59" s="60"/>
      <c r="N59" s="4"/>
      <c r="O59" s="61">
        <f t="shared" si="9"/>
        <v>0</v>
      </c>
      <c r="P59" s="60">
        <f t="shared" si="7"/>
        <v>0</v>
      </c>
      <c r="R59" s="61">
        <v>5</v>
      </c>
      <c r="T59" s="4"/>
      <c r="U59" s="4"/>
      <c r="V59" s="61">
        <f t="shared" si="8"/>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0">IFERROR(IF(VLOOKUP(SUBSTITUTE(A60," Spec",""),$E$42:$G$69,3,FALSE)=0,"",VLOOKUP(SUBSTITUTE(A60," Spec",""),$E$42:$G$69,3,FALSE)),"")</f>
        <v/>
      </c>
      <c r="Y60" s="15">
        <v>1</v>
      </c>
      <c r="Z60" s="61" t="s">
        <v>240</v>
      </c>
      <c r="AA60" s="60" t="str" cm="1">
        <f t="array" ref="AA60">IF(OR(Y60=0,Y60=""),"",IF(VLOOKUP(Z60,$AI$1:$AJ$58,2,FALSE)&gt;=Y60,INDEX(tblDisciplines[Name],MATCH(1,(tblDisciplines[Discipline]=Z60)*(tblDisciplines[Rank]=Y60),0)),""))</f>
        <v>Awe</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0"/>
        <v/>
      </c>
      <c r="D61" s="16" t="s">
        <v>1459</v>
      </c>
      <c r="E61" s="17"/>
      <c r="F61" s="17"/>
      <c r="G61" s="17" t="s">
        <v>1467</v>
      </c>
      <c r="H61" s="16" t="s">
        <v>1446</v>
      </c>
      <c r="I61" s="3" t="s">
        <v>1565</v>
      </c>
      <c r="L61" s="60">
        <f>IF(I61="",0,VLOOKUP(I61,tblPriority[#Data],3,FALSE))-SUM(L62:L69)</f>
        <v>0</v>
      </c>
      <c r="Y61" s="15">
        <v>2</v>
      </c>
      <c r="Z61" s="61" t="s">
        <v>240</v>
      </c>
      <c r="AA61" s="60" t="str" cm="1">
        <f t="array" ref="AA61">IF(OR(Y61=0,Y61=""),"",IF(VLOOKUP(Z61,$AI$1:$AJ$58,2,FALSE)&gt;=Y61,INDEX(tblDisciplines[Name],MATCH(1,(tblDisciplines[Discipline]=Z61)*(tblDisciplines[Rank]=Y61),0)),""))</f>
        <v>Confidant</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0"/>
        <v/>
      </c>
      <c r="D62" s="18"/>
      <c r="E62" s="15" t="s">
        <v>41</v>
      </c>
      <c r="F62" s="18"/>
      <c r="G62" s="3"/>
      <c r="H62" s="18"/>
      <c r="I62" s="18"/>
      <c r="L62" s="4"/>
      <c r="M62" s="60"/>
      <c r="N62" s="4"/>
      <c r="O62" s="61">
        <f>ROUNDDOWN(N62/2,0)</f>
        <v>0</v>
      </c>
      <c r="P62" s="60">
        <f t="shared" ref="P62:P69" si="11">MIN(SUM(L62,M62,O62),R62)</f>
        <v>0</v>
      </c>
      <c r="R62" s="61">
        <v>5</v>
      </c>
      <c r="T62" s="4"/>
      <c r="U62" s="4"/>
      <c r="V62" s="61">
        <f t="shared" ref="V62:V69" si="12">U62</f>
        <v>0</v>
      </c>
      <c r="W62" s="4"/>
      <c r="Y62" s="15">
        <v>3</v>
      </c>
      <c r="Z62" s="61" t="s">
        <v>240</v>
      </c>
      <c r="AA62" s="60" t="str" cm="1">
        <f t="array" ref="AA62">IF(OR(Y62=0,Y62=""),"",IF(VLOOKUP(Z62,$AI$1:$AJ$58,2,FALSE)&gt;=Y62,INDEX(tblDisciplines[Name],MATCH(1,(tblDisciplines[Discipline]=Z62)*(tblDisciplines[Rank]=Y62),0)),""))</f>
        <v>Green Eyes</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0"/>
        <v/>
      </c>
      <c r="D63" s="19"/>
      <c r="E63" s="15" t="s">
        <v>42</v>
      </c>
      <c r="F63" s="18"/>
      <c r="G63" s="3"/>
      <c r="H63" s="18"/>
      <c r="I63" s="18"/>
      <c r="L63" s="4">
        <v>3</v>
      </c>
      <c r="M63" s="60"/>
      <c r="N63" s="4"/>
      <c r="O63" s="61">
        <f t="shared" ref="O63:O69" si="13">ROUNDDOWN(N63/2,0)</f>
        <v>0</v>
      </c>
      <c r="P63" s="60">
        <f t="shared" si="11"/>
        <v>3</v>
      </c>
      <c r="R63" s="61">
        <v>5</v>
      </c>
      <c r="T63" s="4"/>
      <c r="U63" s="4"/>
      <c r="V63" s="61">
        <f t="shared" si="12"/>
        <v>0</v>
      </c>
      <c r="W63" s="4"/>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0"/>
        <v/>
      </c>
      <c r="D64" s="19"/>
      <c r="E64" s="15" t="s">
        <v>43</v>
      </c>
      <c r="F64" s="18"/>
      <c r="G64" s="3"/>
      <c r="H64" s="18"/>
      <c r="I64" s="18"/>
      <c r="L64" s="4">
        <v>2</v>
      </c>
      <c r="M64" s="60"/>
      <c r="N64" s="4"/>
      <c r="O64" s="61">
        <f t="shared" si="13"/>
        <v>0</v>
      </c>
      <c r="P64" s="60">
        <f t="shared" si="11"/>
        <v>2</v>
      </c>
      <c r="R64" s="61">
        <v>5</v>
      </c>
      <c r="T64" s="4"/>
      <c r="U64" s="4"/>
      <c r="V64" s="61">
        <f t="shared" si="12"/>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0"/>
        <v/>
      </c>
      <c r="D65" s="19"/>
      <c r="E65" s="15" t="s">
        <v>44</v>
      </c>
      <c r="F65" s="18"/>
      <c r="G65" s="3"/>
      <c r="H65" s="18"/>
      <c r="I65" s="18"/>
      <c r="L65" s="4"/>
      <c r="M65" s="60"/>
      <c r="N65" s="4"/>
      <c r="O65" s="61">
        <f t="shared" si="13"/>
        <v>0</v>
      </c>
      <c r="P65" s="60">
        <f t="shared" si="11"/>
        <v>0</v>
      </c>
      <c r="R65" s="61">
        <v>5</v>
      </c>
      <c r="T65" s="4"/>
      <c r="U65" s="4"/>
      <c r="V65" s="61">
        <f t="shared" si="12"/>
        <v>0</v>
      </c>
      <c r="W65" s="4"/>
      <c r="Y65" s="15">
        <v>1</v>
      </c>
      <c r="Z65" s="61" t="s">
        <v>241</v>
      </c>
      <c r="AA65" s="60" t="str" cm="1">
        <f t="array" ref="AA65">IF(OR(Y65=0,Y65=""),"",IF(VLOOKUP(Z65,$AI$1:$AJ$58,2,FALSE)&gt;=Y65,INDEX(tblDisciplines[Name],MATCH(1,(tblDisciplines[Discipline]=Z65)*(tblDisciplines[Rank]=Y65),0)),""))</f>
        <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0"/>
        <v/>
      </c>
      <c r="D66" s="19"/>
      <c r="E66" s="15" t="s">
        <v>45</v>
      </c>
      <c r="F66" s="18"/>
      <c r="G66" s="3"/>
      <c r="H66" s="18"/>
      <c r="I66" s="18"/>
      <c r="L66" s="4">
        <v>3</v>
      </c>
      <c r="M66" s="60"/>
      <c r="N66" s="4"/>
      <c r="O66" s="61">
        <f t="shared" si="13"/>
        <v>0</v>
      </c>
      <c r="P66" s="60">
        <f t="shared" si="11"/>
        <v>3</v>
      </c>
      <c r="R66" s="61">
        <v>5</v>
      </c>
      <c r="T66" s="4"/>
      <c r="U66" s="4"/>
      <c r="V66" s="61">
        <f t="shared" si="12"/>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0"/>
        <v/>
      </c>
      <c r="D67" s="19"/>
      <c r="E67" s="15" t="s">
        <v>46</v>
      </c>
      <c r="F67" s="18"/>
      <c r="G67" s="3"/>
      <c r="H67" s="18"/>
      <c r="I67" s="18"/>
      <c r="L67" s="4">
        <v>3</v>
      </c>
      <c r="M67" s="60"/>
      <c r="N67" s="4"/>
      <c r="O67" s="61">
        <f t="shared" si="13"/>
        <v>0</v>
      </c>
      <c r="P67" s="60">
        <f t="shared" si="11"/>
        <v>3</v>
      </c>
      <c r="R67" s="61">
        <v>5</v>
      </c>
      <c r="T67" s="4"/>
      <c r="U67" s="4"/>
      <c r="V67" s="61">
        <f t="shared" si="12"/>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0"/>
        <v/>
      </c>
      <c r="D68" s="18"/>
      <c r="E68" s="15" t="s">
        <v>47</v>
      </c>
      <c r="F68" s="18"/>
      <c r="G68" s="3"/>
      <c r="H68" s="18"/>
      <c r="I68" s="18"/>
      <c r="L68" s="4"/>
      <c r="M68" s="60"/>
      <c r="N68" s="4"/>
      <c r="O68" s="61">
        <f t="shared" si="13"/>
        <v>0</v>
      </c>
      <c r="P68" s="60">
        <f t="shared" si="11"/>
        <v>0</v>
      </c>
      <c r="R68" s="61">
        <v>5</v>
      </c>
      <c r="T68" s="4"/>
      <c r="U68" s="4"/>
      <c r="V68" s="61">
        <f t="shared" si="12"/>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0"/>
        <v/>
      </c>
      <c r="D69" s="18"/>
      <c r="E69" s="15" t="s">
        <v>48</v>
      </c>
      <c r="F69" s="18"/>
      <c r="G69" s="3"/>
      <c r="H69" s="18"/>
      <c r="I69" s="18"/>
      <c r="L69" s="4"/>
      <c r="M69" s="60"/>
      <c r="N69" s="4"/>
      <c r="O69" s="61">
        <f t="shared" si="13"/>
        <v>0</v>
      </c>
      <c r="P69" s="60">
        <f t="shared" si="11"/>
        <v>0</v>
      </c>
      <c r="R69" s="61">
        <v>5</v>
      </c>
      <c r="T69" s="4"/>
      <c r="U69" s="4"/>
      <c r="V69" s="61">
        <f t="shared" si="12"/>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0"/>
        <v/>
      </c>
      <c r="Y70" s="15">
        <v>1</v>
      </c>
      <c r="Z70" s="61" t="s">
        <v>242</v>
      </c>
      <c r="AA70" s="60" t="str" cm="1">
        <f t="array" ref="AA70">IF(OR(Y70=0,Y70=""),"",IF(VLOOKUP(Z70,$AI$1:$AJ$58,2,FALSE)&gt;=Y70,INDEX(tblDisciplines[Name],MATCH(1,(tblDisciplines[Discipline]=Z70)*(tblDisciplines[Rank]=Y70),0)),""))</f>
        <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0"/>
        <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0"/>
        <v/>
      </c>
      <c r="D72" s="19"/>
      <c r="E72" s="15" t="s">
        <v>49</v>
      </c>
      <c r="F72" s="19"/>
      <c r="G72" s="19"/>
      <c r="H72" s="19"/>
      <c r="I72" s="19"/>
      <c r="K72" s="4"/>
      <c r="L72" s="4"/>
      <c r="M72" s="60">
        <v>1</v>
      </c>
      <c r="N72" s="4"/>
      <c r="O72" s="61">
        <f>ROUNDDOWN(N72/5,0)</f>
        <v>0</v>
      </c>
      <c r="P72" s="60">
        <f>MIN(SUM(K72*-1,ROUNDDOWN(L72/5,0),M72,O72),R72)</f>
        <v>1</v>
      </c>
      <c r="R72" s="61">
        <v>2</v>
      </c>
      <c r="Y72" s="15">
        <v>3</v>
      </c>
      <c r="Z72" s="61" t="s">
        <v>242</v>
      </c>
      <c r="AA72" s="60" t="str" cm="1">
        <f t="array" ref="AA72">IF(OR(Y72=0,Y72=""),"",IF(VLOOKUP(Z72,$AI$1:$AJ$58,2,FALSE)&gt;=Y72,INDEX(tblDisciplines[Name],MATCH(1,(tblDisciplines[Discipline]=Z72)*(tblDisciplines[Rank]=Y72),0)),""))</f>
        <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0"/>
        <v/>
      </c>
      <c r="D73" s="19"/>
      <c r="E73" s="15" t="s">
        <v>1448</v>
      </c>
      <c r="F73" s="19"/>
      <c r="G73" s="19"/>
      <c r="H73" s="19"/>
      <c r="I73" s="19"/>
      <c r="K73" s="4">
        <v>1</v>
      </c>
      <c r="M73" s="60">
        <v>7</v>
      </c>
      <c r="N73" s="4"/>
      <c r="O73" s="61">
        <f>ROUNDDOWN(N73/2,0)</f>
        <v>0</v>
      </c>
      <c r="P73" s="60">
        <f>MIN(SUM(K73*-1,M73,O73),R73)</f>
        <v>6</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0"/>
        <v/>
      </c>
      <c r="D74" s="19"/>
      <c r="E74" s="15" t="s">
        <v>53</v>
      </c>
      <c r="F74" s="19"/>
      <c r="G74" s="19"/>
      <c r="H74" s="19"/>
      <c r="I74" s="19"/>
      <c r="K74" s="4"/>
      <c r="M74" s="60">
        <f>P28+P38</f>
        <v>5</v>
      </c>
      <c r="N74" s="4"/>
      <c r="O74" s="61">
        <f>N74</f>
        <v>0</v>
      </c>
      <c r="P74" s="60">
        <f>MIN(SUM(K74*-1,M74,O74),R74)</f>
        <v>5</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0"/>
        <v/>
      </c>
      <c r="D75" s="19"/>
      <c r="E75" s="15" t="s">
        <v>55</v>
      </c>
      <c r="F75" s="19"/>
      <c r="G75" s="19"/>
      <c r="H75" s="19"/>
      <c r="I75" s="19"/>
      <c r="P75" s="60">
        <f ca="1">VLOOKUP(VLOOKUP("Blood Potency",INDIRECT($AH$1),2,FALSE),tblBloodPotency[],2,FALSE)</f>
        <v>10</v>
      </c>
      <c r="Y75" s="15">
        <v>1</v>
      </c>
      <c r="Z75" s="61" t="s">
        <v>243</v>
      </c>
      <c r="AA75" s="60" t="str" cm="1">
        <f t="array" ref="AA75">IF(OR(Y75=0,Y75=""),"",IF(VLOOKUP(Z75,$AI$1:$AJ$58,2,FALSE)&gt;=Y75,INDEX(tblDisciplines[Name],MATCH(1,(tblDisciplines[Discipline]=Z75)*(tblDisciplines[Rank]=Y75),0)),""))</f>
        <v/>
      </c>
    </row>
    <row r="76" spans="1:32">
      <c r="A76" s="1" t="s">
        <v>75</v>
      </c>
      <c r="B76" t="str">
        <f t="shared" si="10"/>
        <v/>
      </c>
      <c r="Y76" s="15">
        <v>2</v>
      </c>
      <c r="Z76" s="61" t="s">
        <v>243</v>
      </c>
      <c r="AA76" s="60" t="str" cm="1">
        <f t="array" ref="AA76">IF(OR(Y76=0,Y76=""),"",IF(VLOOKUP(Z76,$AI$1:$AJ$58,2,FALSE)&gt;=Y76,INDEX(tblDisciplines[Name],MATCH(1,(tblDisciplines[Discipline]=Z76)*(tblDisciplines[Rank]=Y76),0)),""))</f>
        <v/>
      </c>
    </row>
    <row r="77" spans="1:32" ht="15.75" thickBot="1">
      <c r="A77" s="1" t="s">
        <v>76</v>
      </c>
      <c r="B77" t="str">
        <f t="shared" si="10"/>
        <v/>
      </c>
      <c r="D77" s="14" t="s">
        <v>1470</v>
      </c>
      <c r="E77" s="14"/>
      <c r="F77" s="14"/>
      <c r="G77" s="14"/>
      <c r="H77" s="14"/>
      <c r="I77" s="14"/>
      <c r="N77" s="60">
        <f>SUM(N79:N98,N101:N120,N206:N215,N132:N135,N138:N157,N160:N161)</f>
        <v>9</v>
      </c>
      <c r="Y77" s="15">
        <v>3</v>
      </c>
      <c r="Z77" s="61" t="s">
        <v>243</v>
      </c>
      <c r="AA77" s="60" t="str" cm="1">
        <f t="array" ref="AA77">IF(OR(Y77=0,Y77=""),"",IF(VLOOKUP(Z77,$AI$1:$AJ$58,2,FALSE)&gt;=Y77,INDEX(tblDisciplines[Name],MATCH(1,(tblDisciplines[Discipline]=Z77)*(tblDisciplines[Rank]=Y77),0)),""))</f>
        <v/>
      </c>
    </row>
    <row r="78" spans="1:32">
      <c r="A78" s="1" t="s">
        <v>77</v>
      </c>
      <c r="B78" t="str">
        <f t="shared" si="10"/>
        <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0"/>
        <v/>
      </c>
      <c r="D79" s="58" t="s">
        <v>1578</v>
      </c>
      <c r="E79" s="15" t="s">
        <v>114</v>
      </c>
      <c r="F79" s="3" t="s">
        <v>1694</v>
      </c>
      <c r="G79" s="3"/>
      <c r="H79" s="67" t="str">
        <f>_xlfn.IFNA(IF(VLOOKUP(F79,tblMerits[],6,FALSE)=0,"None",VLOOKUP(F79,tblMerits[],6,FALSE)),"None")</f>
        <v>Wits 3, Contacts 2</v>
      </c>
      <c r="I79" s="67"/>
      <c r="L79" s="4"/>
      <c r="M79" s="4">
        <v>2</v>
      </c>
      <c r="N79" s="4"/>
      <c r="O79" s="61">
        <f>N79</f>
        <v>0</v>
      </c>
      <c r="P79" s="60">
        <f t="shared" ref="P79:P98" si="14">MIN(SUM(L79,M79,O79),R79)</f>
        <v>2</v>
      </c>
      <c r="Q79" s="61">
        <f>_xlfn.IFNA(VLOOKUP($F79,tblMerits[],3,FALSE),"")</f>
        <v>2</v>
      </c>
      <c r="R79" s="61">
        <f>_xlfn.IFNA(VLOOKUP($F79,tblMerits[],4,FALSE),"")</f>
        <v>2</v>
      </c>
      <c r="Y79" s="15">
        <v>5</v>
      </c>
      <c r="Z79" s="61" t="s">
        <v>243</v>
      </c>
      <c r="AA79" s="60" t="str" cm="1">
        <f t="array" ref="AA79">IF(OR(Y79=0,Y79=""),"",IF(VLOOKUP(Z79,$AI$1:$AJ$58,2,FALSE)&gt;=Y79,INDEX(tblDisciplines[Name],MATCH(1,(tblDisciplines[Discipline]=Z79)*(tblDisciplines[Rank]=Y79),0)),""))</f>
        <v/>
      </c>
    </row>
    <row r="80" spans="1:32">
      <c r="A80" s="1" t="s">
        <v>79</v>
      </c>
      <c r="B80" t="str">
        <f t="shared" si="10"/>
        <v/>
      </c>
      <c r="D80" s="19"/>
      <c r="E80" s="15" t="s">
        <v>115</v>
      </c>
      <c r="F80" s="3" t="s">
        <v>1695</v>
      </c>
      <c r="G80" s="3"/>
      <c r="H80" s="67" t="str">
        <f>_xlfn.IFNA(IF(VLOOKUP(F80,tblMerits[],6,FALSE)=0,"None",VLOOKUP(F80,tblMerits[],6,FALSE)),"None")</f>
        <v>Carthian Status 1</v>
      </c>
      <c r="I80" s="67"/>
      <c r="L80" s="4"/>
      <c r="M80" s="4"/>
      <c r="N80" s="4">
        <v>1</v>
      </c>
      <c r="O80" s="61">
        <f t="shared" ref="O80:O98" si="15">N80</f>
        <v>1</v>
      </c>
      <c r="P80" s="60">
        <f t="shared" si="14"/>
        <v>1</v>
      </c>
      <c r="Q80" s="61">
        <f>_xlfn.IFNA(VLOOKUP($F80,tblMerits[],3,FALSE),"")</f>
        <v>1</v>
      </c>
      <c r="R80" s="61">
        <f>_xlfn.IFNA(VLOOKUP($F80,tblMerits[],4,FALSE),"")</f>
        <v>1</v>
      </c>
      <c r="Y80" s="15">
        <f>P173</f>
        <v>0</v>
      </c>
      <c r="Z80" s="61" t="s">
        <v>244</v>
      </c>
      <c r="AA80" s="60" t="str" cm="1">
        <f t="array" ref="AA80">IF(OR(Y80=0,Y80=""),"",IF(VLOOKUP(Z80,$AI$1:$AJ$58,2,FALSE)&gt;=Y80,INDEX(tblDisciplines[Name],MATCH(1,(tblDisciplines[Discipline]=Z80)*(tblDisciplines[Rank]=Y80),0)),""))</f>
        <v/>
      </c>
    </row>
    <row r="81" spans="1:27">
      <c r="A81" s="1" t="s">
        <v>80</v>
      </c>
      <c r="B81" t="str">
        <f t="shared" si="10"/>
        <v/>
      </c>
      <c r="D81" s="19"/>
      <c r="E81" s="15" t="s">
        <v>116</v>
      </c>
      <c r="F81" s="3" t="s">
        <v>1675</v>
      </c>
      <c r="G81" s="3"/>
      <c r="H81" s="67" t="str">
        <f>_xlfn.IFNA(IF(VLOOKUP(F81,tblMerits[],6,FALSE)=0,"None",VLOOKUP(F81,tblMerits[],6,FALSE)),"None")</f>
        <v>Carthian Status 1</v>
      </c>
      <c r="I81" s="67"/>
      <c r="L81" s="4">
        <v>1</v>
      </c>
      <c r="M81" s="4"/>
      <c r="N81" s="4"/>
      <c r="O81" s="61">
        <f t="shared" si="15"/>
        <v>0</v>
      </c>
      <c r="P81" s="60">
        <f t="shared" si="14"/>
        <v>1</v>
      </c>
      <c r="Q81" s="61">
        <f>_xlfn.IFNA(VLOOKUP($F81,tblMerits[],3,FALSE),"")</f>
        <v>1</v>
      </c>
      <c r="R81" s="61">
        <f>_xlfn.IFNA(VLOOKUP($F81,tblMerits[],4,FALSE),"")</f>
        <v>1</v>
      </c>
      <c r="Y81" s="15">
        <f>P174</f>
        <v>0</v>
      </c>
      <c r="Z81" s="61" t="s">
        <v>245</v>
      </c>
      <c r="AA81" s="60" t="str" cm="1">
        <f t="array" ref="AA81">IF(OR(Y81=0,Y81=""),"",IF(VLOOKUP(Z81,$AI$1:$AJ$58,2,FALSE)&gt;=Y81,INDEX(tblDisciplines[Name],MATCH(1,(tblDisciplines[Discipline]=Z81)*(tblDisciplines[Rank]=Y81),0)),""))</f>
        <v/>
      </c>
    </row>
    <row r="82" spans="1:27">
      <c r="A82" s="1" t="s">
        <v>81</v>
      </c>
      <c r="B82" t="str">
        <f t="shared" si="10"/>
        <v/>
      </c>
      <c r="D82" s="19"/>
      <c r="E82" s="15" t="s">
        <v>117</v>
      </c>
      <c r="F82" s="3" t="s">
        <v>1696</v>
      </c>
      <c r="G82" s="3" t="s">
        <v>1569</v>
      </c>
      <c r="H82" s="67" t="str">
        <f>_xlfn.IFNA(IF(VLOOKUP(F82,tblMerits[],6,FALSE)=0,"None",VLOOKUP(F82,tblMerits[],6,FALSE)),"None")</f>
        <v>Subterfuge 3</v>
      </c>
      <c r="I82" s="67"/>
      <c r="L82" s="4">
        <v>1</v>
      </c>
      <c r="M82" s="4"/>
      <c r="N82" s="4"/>
      <c r="O82" s="61">
        <f t="shared" si="15"/>
        <v>0</v>
      </c>
      <c r="P82" s="60">
        <f t="shared" si="14"/>
        <v>1</v>
      </c>
      <c r="Q82" s="61">
        <f>_xlfn.IFNA(VLOOKUP($F82,tblMerits[],3,FALSE),"")</f>
        <v>1</v>
      </c>
      <c r="R82" s="61">
        <f>_xlfn.IFNA(VLOOKUP($F82,tblMerits[],4,FALSE),"")</f>
        <v>1</v>
      </c>
      <c r="Y82" s="61" t="s">
        <v>1472</v>
      </c>
      <c r="Z82" s="19"/>
      <c r="AA82" s="60" t="str">
        <f>IF(P177="","",F177)</f>
        <v/>
      </c>
    </row>
    <row r="83" spans="1:27">
      <c r="A83" s="1" t="s">
        <v>82</v>
      </c>
      <c r="B83" t="str">
        <f t="shared" si="10"/>
        <v/>
      </c>
      <c r="D83" s="19"/>
      <c r="E83" s="15" t="s">
        <v>118</v>
      </c>
      <c r="F83" s="3" t="s">
        <v>1569</v>
      </c>
      <c r="G83" s="3"/>
      <c r="H83" s="67" t="str">
        <f>_xlfn.IFNA(IF(VLOOKUP(F83,tblMerits[],6,FALSE)=0,"None",VLOOKUP(F83,tblMerits[],6,FALSE)),"None")</f>
        <v>Crone Status 2 or Invictus Status 2</v>
      </c>
      <c r="I83" s="67"/>
      <c r="L83" s="4">
        <v>1</v>
      </c>
      <c r="M83" s="4"/>
      <c r="N83" s="4"/>
      <c r="O83" s="61">
        <f t="shared" si="15"/>
        <v>0</v>
      </c>
      <c r="P83" s="60">
        <f t="shared" si="14"/>
        <v>1</v>
      </c>
      <c r="Q83" s="61">
        <f>_xlfn.IFNA(VLOOKUP($F83,tblMerits[],3,FALSE),"")</f>
        <v>1</v>
      </c>
      <c r="R83" s="61">
        <f>_xlfn.IFNA(VLOOKUP($F83,tblMerits[],4,FALSE),"")</f>
        <v>1</v>
      </c>
      <c r="Y83" s="61" t="s">
        <v>1472</v>
      </c>
      <c r="Z83" s="19"/>
      <c r="AA83" s="60" t="str">
        <f>IF(P178="","",F178)</f>
        <v/>
      </c>
    </row>
    <row r="84" spans="1:27">
      <c r="A84" s="1" t="s">
        <v>83</v>
      </c>
      <c r="B84">
        <f>P124</f>
        <v>3</v>
      </c>
      <c r="D84" s="19"/>
      <c r="E84" s="15" t="s">
        <v>119</v>
      </c>
      <c r="F84" s="3" t="s">
        <v>1697</v>
      </c>
      <c r="G84" s="3"/>
      <c r="H84" s="67" t="str">
        <f>_xlfn.IFNA(IF(VLOOKUP(F84,tblMerits[],6,FALSE)=0,"None",VLOOKUP(F84,tblMerits[],6,FALSE)),"None")</f>
        <v>Carthian Status 1</v>
      </c>
      <c r="I84" s="67"/>
      <c r="L84" s="4"/>
      <c r="M84" s="4"/>
      <c r="N84" s="4">
        <v>2</v>
      </c>
      <c r="O84" s="61">
        <f t="shared" si="15"/>
        <v>2</v>
      </c>
      <c r="P84" s="60">
        <f t="shared" si="14"/>
        <v>2</v>
      </c>
      <c r="Q84" s="61">
        <f>_xlfn.IFNA(VLOOKUP($F84,tblMerits[],3,FALSE),"")</f>
        <v>2</v>
      </c>
      <c r="R84" s="61">
        <f>_xlfn.IFNA(VLOOKUP($F84,tblMerits[],4,FALSE),"")</f>
        <v>2</v>
      </c>
      <c r="Y84" s="61" t="s">
        <v>1472</v>
      </c>
      <c r="Z84" s="19"/>
      <c r="AA84" s="60" t="str">
        <f>IF(P179="","",F179)</f>
        <v/>
      </c>
    </row>
    <row r="85" spans="1:27">
      <c r="A85" s="1" t="s">
        <v>84</v>
      </c>
      <c r="B85">
        <f>P125</f>
        <v>2</v>
      </c>
      <c r="D85" s="19"/>
      <c r="E85" s="15" t="s">
        <v>120</v>
      </c>
      <c r="F85" s="3"/>
      <c r="G85" s="3"/>
      <c r="H85" s="67" t="str">
        <f>_xlfn.IFNA(IF(VLOOKUP(F85,tblMerits[],6,FALSE)=0,"None",VLOOKUP(F85,tblMerits[],6,FALSE)),"None")</f>
        <v>None</v>
      </c>
      <c r="I85" s="67"/>
      <c r="L85" s="4"/>
      <c r="M85" s="4"/>
      <c r="N85" s="4"/>
      <c r="O85" s="61">
        <f t="shared" si="15"/>
        <v>0</v>
      </c>
      <c r="P85" s="60">
        <f t="shared" si="14"/>
        <v>0</v>
      </c>
      <c r="Q85" s="61" t="str">
        <f>_xlfn.IFNA(VLOOKUP($F85,tblMerits[],3,FALSE),"")</f>
        <v/>
      </c>
      <c r="R85" s="61" t="str">
        <f>_xlfn.IFNA(VLOOKUP($F85,tblMerits[],4,FALSE),"")</f>
        <v/>
      </c>
      <c r="Y85" s="61" t="s">
        <v>1472</v>
      </c>
      <c r="Z85" s="19"/>
      <c r="AA85" s="60" t="str">
        <f>IF(P180="","",F180)</f>
        <v/>
      </c>
    </row>
    <row r="86" spans="1:27">
      <c r="A86" s="1" t="s">
        <v>85</v>
      </c>
      <c r="B86">
        <f>P126</f>
        <v>3</v>
      </c>
      <c r="D86" s="19"/>
      <c r="E86" s="15" t="s">
        <v>121</v>
      </c>
      <c r="F86" s="3"/>
      <c r="G86" s="3"/>
      <c r="H86" s="67" t="str">
        <f>_xlfn.IFNA(IF(VLOOKUP(F86,tblMerits[],6,FALSE)=0,"None",VLOOKUP(F86,tblMerits[],6,FALSE)),"None")</f>
        <v>None</v>
      </c>
      <c r="I86" s="67"/>
      <c r="L86" s="4"/>
      <c r="M86" s="4"/>
      <c r="N86" s="4"/>
      <c r="O86" s="61">
        <f t="shared" si="15"/>
        <v>0</v>
      </c>
      <c r="P86" s="60">
        <f t="shared" si="14"/>
        <v>0</v>
      </c>
      <c r="Q86" s="61" t="str">
        <f>_xlfn.IFNA(VLOOKUP($F86,tblMerits[],3,FALSE),"")</f>
        <v/>
      </c>
      <c r="R86" s="61" t="str">
        <f>_xlfn.IFNA(VLOOKUP($F86,tblMerits[],4,FALSE),"")</f>
        <v/>
      </c>
      <c r="Y86" s="61" t="s">
        <v>1472</v>
      </c>
      <c r="Z86" s="19"/>
      <c r="AA86" s="60" t="str">
        <f>IF(P181="","",F181)</f>
        <v/>
      </c>
    </row>
    <row r="87" spans="1:27">
      <c r="A87" s="1" t="s">
        <v>86</v>
      </c>
      <c r="B87" t="str">
        <f>IF(F126="","¬",F126)</f>
        <v>Carthian</v>
      </c>
      <c r="D87" s="19"/>
      <c r="E87" s="15" t="s">
        <v>122</v>
      </c>
      <c r="F87" s="3"/>
      <c r="G87" s="3"/>
      <c r="H87" s="67" t="str">
        <f>_xlfn.IFNA(IF(VLOOKUP(F87,tblMerits[],6,FALSE)=0,"None",VLOOKUP(F87,tblMerits[],6,FALSE)),"None")</f>
        <v>None</v>
      </c>
      <c r="I87" s="67"/>
      <c r="L87" s="4"/>
      <c r="M87" s="4"/>
      <c r="N87" s="4"/>
      <c r="O87" s="61">
        <f t="shared" si="15"/>
        <v>0</v>
      </c>
      <c r="P87" s="60">
        <f t="shared" si="14"/>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
      </c>
    </row>
    <row r="88" spans="1:27">
      <c r="A88" s="1" t="s">
        <v>87</v>
      </c>
      <c r="B88" t="str">
        <f>REPT("●",P126)</f>
        <v>●●●</v>
      </c>
      <c r="D88" s="19"/>
      <c r="E88" s="15" t="s">
        <v>123</v>
      </c>
      <c r="F88" s="3"/>
      <c r="G88" s="3"/>
      <c r="H88" s="67" t="str">
        <f>_xlfn.IFNA(IF(VLOOKUP(F88,tblMerits[],6,FALSE)=0,"None",VLOOKUP(F88,tblMerits[],6,FALSE)),"None")</f>
        <v>None</v>
      </c>
      <c r="I88" s="67"/>
      <c r="L88" s="4"/>
      <c r="M88" s="4"/>
      <c r="N88" s="4"/>
      <c r="O88" s="61">
        <f t="shared" si="15"/>
        <v>0</v>
      </c>
      <c r="P88" s="60">
        <f t="shared" si="14"/>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Crone</v>
      </c>
      <c r="D89" s="19"/>
      <c r="E89" s="15" t="s">
        <v>124</v>
      </c>
      <c r="F89" s="3"/>
      <c r="G89" s="3"/>
      <c r="H89" s="67" t="str">
        <f>_xlfn.IFNA(IF(VLOOKUP(F89,tblMerits[],6,FALSE)=0,"None",VLOOKUP(F89,tblMerits[],6,FALSE)),"None")</f>
        <v>None</v>
      </c>
      <c r="I89" s="67"/>
      <c r="L89" s="4"/>
      <c r="M89" s="4"/>
      <c r="N89" s="4"/>
      <c r="O89" s="61">
        <f t="shared" si="15"/>
        <v>0</v>
      </c>
      <c r="P89" s="60">
        <f t="shared" si="14"/>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_xlfn.IFNA(IF(VLOOKUP(F90,tblMerits[],6,FALSE)=0,"None",VLOOKUP(F90,tblMerits[],6,FALSE)),"None")</f>
        <v>None</v>
      </c>
      <c r="I90" s="67"/>
      <c r="L90" s="4"/>
      <c r="M90" s="4"/>
      <c r="N90" s="4"/>
      <c r="O90" s="61">
        <f t="shared" si="15"/>
        <v>0</v>
      </c>
      <c r="P90" s="60">
        <f t="shared" si="14"/>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Invictus</v>
      </c>
      <c r="D91" s="19"/>
      <c r="E91" s="15" t="s">
        <v>126</v>
      </c>
      <c r="F91" s="3"/>
      <c r="G91" s="3"/>
      <c r="H91" s="67" t="str">
        <f>_xlfn.IFNA(IF(VLOOKUP(F91,tblMerits[],6,FALSE)=0,"None",VLOOKUP(F91,tblMerits[],6,FALSE)),"None")</f>
        <v>None</v>
      </c>
      <c r="I91" s="67"/>
      <c r="L91" s="4"/>
      <c r="M91" s="4"/>
      <c r="N91" s="4"/>
      <c r="O91" s="61">
        <f t="shared" si="15"/>
        <v>0</v>
      </c>
      <c r="P91" s="60">
        <f t="shared" si="14"/>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5"/>
        <v>0</v>
      </c>
      <c r="P92" s="60">
        <f t="shared" si="14"/>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Lance</v>
      </c>
      <c r="D93" s="19"/>
      <c r="E93" s="15" t="s">
        <v>128</v>
      </c>
      <c r="F93" s="3"/>
      <c r="G93" s="3"/>
      <c r="H93" s="67" t="str">
        <f>_xlfn.IFNA(IF(VLOOKUP(F93,tblMerits[],6,FALSE)=0,"None",VLOOKUP(F93,tblMerits[],6,FALSE)),"None")</f>
        <v>None</v>
      </c>
      <c r="I93" s="67"/>
      <c r="L93" s="4"/>
      <c r="M93" s="4"/>
      <c r="N93" s="4"/>
      <c r="O93" s="61">
        <f t="shared" si="15"/>
        <v>0</v>
      </c>
      <c r="P93" s="60">
        <f t="shared" si="14"/>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5"/>
        <v>0</v>
      </c>
      <c r="P94" s="60">
        <f t="shared" si="14"/>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5"/>
        <v>0</v>
      </c>
      <c r="P95" s="60">
        <f t="shared" si="14"/>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5"/>
        <v>0</v>
      </c>
      <c r="P96" s="60">
        <f t="shared" si="14"/>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5"/>
        <v>0</v>
      </c>
      <c r="P97" s="60">
        <f t="shared" si="14"/>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5"/>
        <v>0</v>
      </c>
      <c r="P98" s="60">
        <f t="shared" si="14"/>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&lt;NAME REQUIREED&gt;</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c r="G101" s="60" t="str">
        <f>IFERROR(VLOOKUP(F101,tblManoeuvre[],2,FALSE)&amp;" "&amp;VLOOKUP(F101,tblManoeuvre[],3,FALSE),"")</f>
        <v/>
      </c>
      <c r="H101" s="67" t="str">
        <f>IFERROR(IF(VLOOKUP(F101,tblManoeuvre[],8,FALSE)=0,"None",VLOOKUP(F101,tblManoeuvre[],8,FALSE)),"None")</f>
        <v>None</v>
      </c>
      <c r="I101" s="67"/>
      <c r="L101" s="4"/>
      <c r="M101" s="4"/>
      <c r="N101" s="4"/>
      <c r="O101" s="61">
        <f t="shared" ref="O101:O120" si="16">N101</f>
        <v>0</v>
      </c>
      <c r="P101" s="60">
        <f t="shared" ref="P101:P120" si="17">MIN(SUM(L101,M101,O101),R101)</f>
        <v>0</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
      </c>
      <c r="D102" s="19"/>
      <c r="E102" s="15" t="s">
        <v>1441</v>
      </c>
      <c r="F102" s="3"/>
      <c r="G102" s="60" t="str">
        <f>IFERROR(VLOOKUP(F102,tblManoeuvre[],2,FALSE)&amp;" "&amp;VLOOKUP(F102,tblManoeuvre[],3,FALSE),"")</f>
        <v/>
      </c>
      <c r="H102" s="67" t="str">
        <f>IFERROR(IF(VLOOKUP(F102,tblManoeuvre[],8,FALSE)=0,"None",VLOOKUP(F102,tblManoeuvre[],8,FALSE)),"None")</f>
        <v>None</v>
      </c>
      <c r="I102" s="67"/>
      <c r="L102" s="4"/>
      <c r="M102" s="4"/>
      <c r="N102" s="4"/>
      <c r="O102" s="61">
        <f t="shared" si="16"/>
        <v>0</v>
      </c>
      <c r="P102" s="60">
        <f t="shared" si="17"/>
        <v>0</v>
      </c>
      <c r="Q102" s="61">
        <v>1</v>
      </c>
      <c r="R102" s="61">
        <v>1</v>
      </c>
      <c r="Y102" s="15">
        <v>1</v>
      </c>
      <c r="Z102" s="61" t="s">
        <v>251</v>
      </c>
      <c r="AA102" s="60" t="str" cm="1">
        <f t="array" ref="AA102">IF(VLOOKUP(Z102,$AI$1:$AJ$58,2,FALSE)&gt;=Y102,INDEX(tblDisciplines[Name],MATCH(1,(tblDisciplines[Discipline]=Z102)*(tblDisciplines[Rank]=Y102),0)),"")</f>
        <v/>
      </c>
    </row>
    <row r="103" spans="1:27">
      <c r="A103" s="1" t="s">
        <v>102</v>
      </c>
      <c r="B103">
        <f>P73</f>
        <v>6</v>
      </c>
      <c r="D103" s="19"/>
      <c r="E103" s="15" t="s">
        <v>1443</v>
      </c>
      <c r="F103" s="3"/>
      <c r="G103" s="60" t="str">
        <f>IFERROR(VLOOKUP(F103,tblManoeuvre[],2,FALSE)&amp;" "&amp;VLOOKUP(F103,tblManoeuvre[],3,FALSE),"")</f>
        <v/>
      </c>
      <c r="H103" s="67" t="str">
        <f>IFERROR(IF(VLOOKUP(F103,tblManoeuvre[],8,FALSE)=0,"None",VLOOKUP(F103,tblManoeuvre[],8,FALSE)),"None")</f>
        <v>None</v>
      </c>
      <c r="I103" s="67"/>
      <c r="L103" s="4"/>
      <c r="M103" s="4"/>
      <c r="N103" s="4"/>
      <c r="O103" s="61">
        <f t="shared" si="16"/>
        <v>0</v>
      </c>
      <c r="P103" s="60">
        <f t="shared" si="17"/>
        <v>0</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c r="G104" s="60" t="str">
        <f>IFERROR(VLOOKUP(F104,tblManoeuvre[],2,FALSE)&amp;" "&amp;VLOOKUP(F104,tblManoeuvre[],3,FALSE),"")</f>
        <v/>
      </c>
      <c r="H104" s="67" t="str">
        <f>IFERROR(IF(VLOOKUP(F104,tblManoeuvre[],8,FALSE)=0,"None",VLOOKUP(F104,tblManoeuvre[],8,FALSE)),"None")</f>
        <v>None</v>
      </c>
      <c r="I104" s="67"/>
      <c r="L104" s="4"/>
      <c r="M104" s="4"/>
      <c r="N104" s="4"/>
      <c r="O104" s="61">
        <f t="shared" si="16"/>
        <v>0</v>
      </c>
      <c r="P104" s="60">
        <f t="shared" si="17"/>
        <v>0</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c r="G105" s="60" t="str">
        <f>IFERROR(VLOOKUP(F105,tblManoeuvre[],2,FALSE)&amp;" "&amp;VLOOKUP(F105,tblManoeuvre[],3,FALSE),"")</f>
        <v/>
      </c>
      <c r="H105" s="67" t="str">
        <f>IFERROR(IF(VLOOKUP(F105,tblManoeuvre[],8,FALSE)=0,"None",VLOOKUP(F105,tblManoeuvre[],8,FALSE)),"None")</f>
        <v>None</v>
      </c>
      <c r="I105" s="67"/>
      <c r="L105" s="4"/>
      <c r="M105" s="4"/>
      <c r="N105" s="4"/>
      <c r="O105" s="61">
        <f t="shared" si="16"/>
        <v>0</v>
      </c>
      <c r="P105" s="60">
        <f t="shared" si="17"/>
        <v>0</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IFERROR(VLOOKUP(F106,tblManoeuvre[],2,FALSE)&amp;" "&amp;VLOOKUP(F106,tblManoeuvre[],3,FALSE),"")</f>
        <v/>
      </c>
      <c r="H106" s="67" t="str">
        <f>IFERROR(IF(VLOOKUP(F106,tblManoeuvre[],8,FALSE)=0,"None",VLOOKUP(F106,tblManoeuvre[],8,FALSE)),"None")</f>
        <v>None</v>
      </c>
      <c r="I106" s="67"/>
      <c r="L106" s="4"/>
      <c r="M106" s="4"/>
      <c r="N106" s="4"/>
      <c r="O106" s="61">
        <f t="shared" si="16"/>
        <v>0</v>
      </c>
      <c r="P106" s="60">
        <f t="shared" si="17"/>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IFERROR(VLOOKUP(F107,tblManoeuvre[],2,FALSE)&amp;" "&amp;VLOOKUP(F107,tblManoeuvre[],3,FALSE),"")</f>
        <v/>
      </c>
      <c r="H107" s="67" t="str">
        <f>IFERROR(IF(VLOOKUP(F107,tblManoeuvre[],8,FALSE)=0,"None",VLOOKUP(F107,tblManoeuvre[],8,FALSE)),"None")</f>
        <v>None</v>
      </c>
      <c r="I107" s="67"/>
      <c r="L107" s="4"/>
      <c r="M107" s="4"/>
      <c r="N107" s="4"/>
      <c r="O107" s="61">
        <f t="shared" si="16"/>
        <v>0</v>
      </c>
      <c r="P107" s="60">
        <f t="shared" si="17"/>
        <v>0</v>
      </c>
      <c r="Q107" s="61">
        <v>1</v>
      </c>
      <c r="R107" s="61">
        <v>1</v>
      </c>
      <c r="Y107" s="15">
        <v>1</v>
      </c>
      <c r="Z107" s="61" t="s">
        <v>252</v>
      </c>
      <c r="AA107" s="60" t="str" cm="1">
        <f t="array" ref="AA107">IF(VLOOKUP(Z107,$AI$1:$AJ$58,2,FALSE)&gt;=Y107,INDEX(tblDisciplines[Name],MATCH(1,(tblDisciplines[Discipline]=Z107)*(tblDisciplines[Rank]=Y107),0)),"")</f>
        <v/>
      </c>
    </row>
    <row r="108" spans="1:27">
      <c r="A108" s="1" t="s">
        <v>107</v>
      </c>
      <c r="B108" t="str">
        <f>IF($P$73&gt;=7,"●","○") &amp; IF(F226&lt;&gt;""," (" &amp; F226 &amp; ")","")</f>
        <v>○</v>
      </c>
      <c r="D108" s="19"/>
      <c r="E108" s="15" t="s">
        <v>1452</v>
      </c>
      <c r="F108" s="3"/>
      <c r="G108" s="60" t="str">
        <f>IFERROR(VLOOKUP(F108,tblManoeuvre[],2,FALSE)&amp;" "&amp;VLOOKUP(F108,tblManoeuvre[],3,FALSE),"")</f>
        <v/>
      </c>
      <c r="H108" s="67" t="str">
        <f>IFERROR(IF(VLOOKUP(F108,tblManoeuvre[],8,FALSE)=0,"None",VLOOKUP(F108,tblManoeuvre[],8,FALSE)),"None")</f>
        <v>None</v>
      </c>
      <c r="I108" s="67"/>
      <c r="L108" s="4"/>
      <c r="M108" s="4"/>
      <c r="N108" s="4"/>
      <c r="O108" s="61">
        <f t="shared" si="16"/>
        <v>0</v>
      </c>
      <c r="P108" s="60">
        <f t="shared" si="17"/>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 (Bill Manchester)</v>
      </c>
      <c r="D109" s="19"/>
      <c r="E109" s="15" t="s">
        <v>1454</v>
      </c>
      <c r="F109" s="3"/>
      <c r="G109" s="60" t="str">
        <f>IFERROR(VLOOKUP(F109,tblManoeuvre[],2,FALSE)&amp;" "&amp;VLOOKUP(F109,tblManoeuvre[],3,FALSE),"")</f>
        <v/>
      </c>
      <c r="H109" s="67" t="str">
        <f>IFERROR(IF(VLOOKUP(F109,tblManoeuvre[],8,FALSE)=0,"None",VLOOKUP(F109,tblManoeuvre[],8,FALSE)),"None")</f>
        <v>None</v>
      </c>
      <c r="I109" s="67"/>
      <c r="L109" s="4"/>
      <c r="M109" s="4"/>
      <c r="N109" s="4"/>
      <c r="O109" s="61">
        <f t="shared" si="16"/>
        <v>0</v>
      </c>
      <c r="P109" s="60">
        <f t="shared" si="17"/>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v>
      </c>
      <c r="D110" s="19"/>
      <c r="E110" s="15" t="s">
        <v>1455</v>
      </c>
      <c r="F110" s="3"/>
      <c r="G110" s="60" t="str">
        <f>IFERROR(VLOOKUP(F110,tblManoeuvre[],2,FALSE)&amp;" "&amp;VLOOKUP(F110,tblManoeuvre[],3,FALSE),"")</f>
        <v/>
      </c>
      <c r="H110" s="67" t="str">
        <f>IFERROR(IF(VLOOKUP(F110,tblManoeuvre[],8,FALSE)=0,"None",VLOOKUP(F110,tblManoeuvre[],8,FALSE)),"None")</f>
        <v>None</v>
      </c>
      <c r="I110" s="67"/>
      <c r="L110" s="4"/>
      <c r="M110" s="4"/>
      <c r="N110" s="4"/>
      <c r="O110" s="61">
        <f t="shared" si="16"/>
        <v>0</v>
      </c>
      <c r="P110" s="60">
        <f t="shared" si="17"/>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t="str">
        <f>IFERROR(VLOOKUP(F111,tblManoeuvre[],2,FALSE)&amp;" "&amp;VLOOKUP(F111,tblManoeuvre[],3,FALSE),"")</f>
        <v/>
      </c>
      <c r="H111" s="67" t="str">
        <f>IFERROR(IF(VLOOKUP(F111,tblManoeuvre[],8,FALSE)=0,"None",VLOOKUP(F111,tblManoeuvre[],8,FALSE)),"None")</f>
        <v>None</v>
      </c>
      <c r="I111" s="67"/>
      <c r="L111" s="4"/>
      <c r="M111" s="4"/>
      <c r="N111" s="4"/>
      <c r="O111" s="61">
        <f t="shared" si="16"/>
        <v>0</v>
      </c>
      <c r="P111" s="60">
        <f t="shared" si="17"/>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t="str">
        <f>IFERROR(VLOOKUP(F112,tblManoeuvre[],2,FALSE)&amp;" "&amp;VLOOKUP(F112,tblManoeuvre[],3,FALSE),"")</f>
        <v/>
      </c>
      <c r="H112" s="67" t="str">
        <f>IFERROR(IF(VLOOKUP(F112,tblManoeuvre[],8,FALSE)=0,"None",VLOOKUP(F112,tblManoeuvre[],8,FALSE)),"None")</f>
        <v>None</v>
      </c>
      <c r="I112" s="67"/>
      <c r="L112" s="4"/>
      <c r="M112" s="4"/>
      <c r="N112" s="4"/>
      <c r="O112" s="61">
        <f t="shared" si="16"/>
        <v>0</v>
      </c>
      <c r="P112" s="60">
        <f t="shared" si="17"/>
        <v>0</v>
      </c>
      <c r="Q112" s="61">
        <v>1</v>
      </c>
      <c r="R112" s="61">
        <v>1</v>
      </c>
      <c r="Y112" s="61" t="s">
        <v>1474</v>
      </c>
      <c r="Z112" s="61" t="str">
        <f t="shared" ref="Z112:Z121" si="18">G194</f>
        <v/>
      </c>
      <c r="AA112" s="60" t="str">
        <f t="shared" ref="AA112:AA121" si="19">IF(P194="","",F194)</f>
        <v/>
      </c>
    </row>
    <row r="113" spans="1:27">
      <c r="A113" s="1" t="s">
        <v>112</v>
      </c>
      <c r="B113" t="str">
        <f>IF($P$73&gt;=2,"●","○") &amp; IF(F231&lt;&gt;""," (" &amp; F231 &amp; ")","")</f>
        <v>●</v>
      </c>
      <c r="D113" s="19"/>
      <c r="E113" s="15" t="s">
        <v>1458</v>
      </c>
      <c r="F113" s="3"/>
      <c r="G113" s="60" t="str">
        <f>IFERROR(VLOOKUP(F113,tblManoeuvre[],2,FALSE)&amp;" "&amp;VLOOKUP(F113,tblManoeuvre[],3,FALSE),"")</f>
        <v/>
      </c>
      <c r="H113" s="67" t="str">
        <f>IFERROR(IF(VLOOKUP(F113,tblManoeuvre[],8,FALSE)=0,"None",VLOOKUP(F113,tblManoeuvre[],8,FALSE)),"None")</f>
        <v>None</v>
      </c>
      <c r="I113" s="67"/>
      <c r="L113" s="4"/>
      <c r="M113" s="4"/>
      <c r="N113" s="4"/>
      <c r="O113" s="61">
        <f t="shared" si="16"/>
        <v>0</v>
      </c>
      <c r="P113" s="60">
        <f t="shared" si="17"/>
        <v>0</v>
      </c>
      <c r="Q113" s="61">
        <v>1</v>
      </c>
      <c r="R113" s="61">
        <v>1</v>
      </c>
      <c r="Y113" s="61" t="s">
        <v>1474</v>
      </c>
      <c r="Z113" s="61" t="str">
        <f t="shared" si="18"/>
        <v/>
      </c>
      <c r="AA113" s="60" t="str">
        <f t="shared" si="19"/>
        <v/>
      </c>
    </row>
    <row r="114" spans="1:27">
      <c r="A114" s="1" t="s">
        <v>113</v>
      </c>
      <c r="B114" t="str">
        <f>IF($P$73&gt;=1,"●","○") &amp; IF(F232&lt;&gt;""," (" &amp; F232 &amp; ")","")</f>
        <v>●</v>
      </c>
      <c r="D114" s="19"/>
      <c r="E114" s="15" t="s">
        <v>1460</v>
      </c>
      <c r="F114" s="3"/>
      <c r="G114" s="60" t="str">
        <f>IFERROR(VLOOKUP(F114,tblManoeuvre[],2,FALSE)&amp;" "&amp;VLOOKUP(F114,tblManoeuvre[],3,FALSE),"")</f>
        <v/>
      </c>
      <c r="H114" s="67" t="str">
        <f>IFERROR(IF(VLOOKUP(F114,tblManoeuvre[],8,FALSE)=0,"None",VLOOKUP(F114,tblManoeuvre[],8,FALSE)),"None")</f>
        <v>None</v>
      </c>
      <c r="I114" s="67"/>
      <c r="L114" s="4"/>
      <c r="M114" s="4"/>
      <c r="N114" s="4"/>
      <c r="O114" s="61">
        <f t="shared" si="16"/>
        <v>0</v>
      </c>
      <c r="P114" s="60">
        <f t="shared" si="17"/>
        <v>0</v>
      </c>
      <c r="Q114" s="61">
        <v>1</v>
      </c>
      <c r="R114" s="61">
        <v>1</v>
      </c>
      <c r="Y114" s="61" t="s">
        <v>1474</v>
      </c>
      <c r="Z114" s="61" t="str">
        <f t="shared" si="18"/>
        <v/>
      </c>
      <c r="AA114" s="60" t="str">
        <f t="shared" si="19"/>
        <v/>
      </c>
    </row>
    <row r="115" spans="1:27">
      <c r="A115" s="1" t="s">
        <v>114</v>
      </c>
      <c r="B115" t="str">
        <f t="shared" ref="B115:B144" si="20">IF(AD2="","¬",AD2)</f>
        <v>Carthian Pull ●</v>
      </c>
      <c r="D115" s="19"/>
      <c r="E115" s="15" t="s">
        <v>1461</v>
      </c>
      <c r="F115" s="3"/>
      <c r="G115" s="60" t="str">
        <f>IFERROR(VLOOKUP(F115,tblManoeuvre[],2,FALSE)&amp;" "&amp;VLOOKUP(F115,tblManoeuvre[],3,FALSE),"")</f>
        <v/>
      </c>
      <c r="H115" s="67" t="str">
        <f>IFERROR(IF(VLOOKUP(F115,tblManoeuvre[],8,FALSE)=0,"None",VLOOKUP(F115,tblManoeuvre[],8,FALSE)),"None")</f>
        <v>None</v>
      </c>
      <c r="I115" s="67"/>
      <c r="L115" s="4"/>
      <c r="M115" s="4"/>
      <c r="N115" s="4"/>
      <c r="O115" s="61">
        <f t="shared" si="16"/>
        <v>0</v>
      </c>
      <c r="P115" s="60">
        <f t="shared" si="17"/>
        <v>0</v>
      </c>
      <c r="Q115" s="61">
        <v>1</v>
      </c>
      <c r="R115" s="61">
        <v>1</v>
      </c>
      <c r="Y115" s="61" t="s">
        <v>1474</v>
      </c>
      <c r="Z115" s="61" t="str">
        <f t="shared" si="18"/>
        <v/>
      </c>
      <c r="AA115" s="60" t="str">
        <f t="shared" si="19"/>
        <v/>
      </c>
    </row>
    <row r="116" spans="1:27">
      <c r="A116" s="1" t="s">
        <v>115</v>
      </c>
      <c r="B116" t="str">
        <f t="shared" si="20"/>
        <v>Fixer ●●</v>
      </c>
      <c r="D116" s="19"/>
      <c r="E116" s="15" t="s">
        <v>1462</v>
      </c>
      <c r="F116" s="3"/>
      <c r="G116" s="60" t="str">
        <f>IFERROR(VLOOKUP(F116,tblManoeuvre[],2,FALSE)&amp;" "&amp;VLOOKUP(F116,tblManoeuvre[],3,FALSE),"")</f>
        <v/>
      </c>
      <c r="H116" s="67" t="str">
        <f>IFERROR(IF(VLOOKUP(F116,tblManoeuvre[],8,FALSE)=0,"None",VLOOKUP(F116,tblManoeuvre[],8,FALSE)),"None")</f>
        <v>None</v>
      </c>
      <c r="I116" s="67"/>
      <c r="L116" s="4"/>
      <c r="M116" s="4"/>
      <c r="N116" s="4"/>
      <c r="O116" s="61">
        <f t="shared" si="16"/>
        <v>0</v>
      </c>
      <c r="P116" s="60">
        <f t="shared" si="17"/>
        <v>0</v>
      </c>
      <c r="Q116" s="61">
        <v>1</v>
      </c>
      <c r="R116" s="61">
        <v>1</v>
      </c>
      <c r="Y116" s="61" t="s">
        <v>1474</v>
      </c>
      <c r="Z116" s="61" t="str">
        <f t="shared" si="18"/>
        <v/>
      </c>
      <c r="AA116" s="60" t="str">
        <f t="shared" si="19"/>
        <v/>
      </c>
    </row>
    <row r="117" spans="1:27">
      <c r="A117" s="1" t="s">
        <v>116</v>
      </c>
      <c r="B117" t="str">
        <f t="shared" si="20"/>
        <v>Fucking Thief (Secret Society Junkie) ●</v>
      </c>
      <c r="D117" s="19"/>
      <c r="E117" s="15" t="s">
        <v>1463</v>
      </c>
      <c r="F117" s="3"/>
      <c r="G117" s="60" t="str">
        <f>IFERROR(VLOOKUP(F117,tblManoeuvre[],2,FALSE)&amp;" "&amp;VLOOKUP(F117,tblManoeuvre[],3,FALSE),"")</f>
        <v/>
      </c>
      <c r="H117" s="67" t="str">
        <f>IFERROR(IF(VLOOKUP(F117,tblManoeuvre[],8,FALSE)=0,"None",VLOOKUP(F117,tblManoeuvre[],8,FALSE)),"None")</f>
        <v>None</v>
      </c>
      <c r="I117" s="67"/>
      <c r="L117" s="4"/>
      <c r="M117" s="4"/>
      <c r="N117" s="4"/>
      <c r="O117" s="61">
        <f t="shared" si="16"/>
        <v>0</v>
      </c>
      <c r="P117" s="60">
        <f t="shared" si="17"/>
        <v>0</v>
      </c>
      <c r="Q117" s="61">
        <v>1</v>
      </c>
      <c r="R117" s="61">
        <v>1</v>
      </c>
      <c r="Y117" s="61" t="s">
        <v>1474</v>
      </c>
      <c r="Z117" s="61" t="str">
        <f t="shared" si="18"/>
        <v/>
      </c>
      <c r="AA117" s="60" t="str">
        <f t="shared" si="19"/>
        <v/>
      </c>
    </row>
    <row r="118" spans="1:27">
      <c r="A118" s="1" t="s">
        <v>117</v>
      </c>
      <c r="B118" t="str">
        <f t="shared" si="20"/>
        <v>Honey With Vinegar ●</v>
      </c>
      <c r="D118" s="19"/>
      <c r="E118" s="15" t="s">
        <v>1464</v>
      </c>
      <c r="F118" s="3"/>
      <c r="G118" s="60" t="str">
        <f>IFERROR(VLOOKUP(F118,tblManoeuvre[],2,FALSE)&amp;" "&amp;VLOOKUP(F118,tblManoeuvre[],3,FALSE),"")</f>
        <v/>
      </c>
      <c r="H118" s="67" t="str">
        <f>IFERROR(IF(VLOOKUP(F118,tblManoeuvre[],8,FALSE)=0,"None",VLOOKUP(F118,tblManoeuvre[],8,FALSE)),"None")</f>
        <v>None</v>
      </c>
      <c r="I118" s="67"/>
      <c r="L118" s="4"/>
      <c r="M118" s="4"/>
      <c r="N118" s="4"/>
      <c r="O118" s="61">
        <f t="shared" si="16"/>
        <v>0</v>
      </c>
      <c r="P118" s="60">
        <f t="shared" si="17"/>
        <v>0</v>
      </c>
      <c r="Q118" s="61">
        <v>1</v>
      </c>
      <c r="R118" s="61">
        <v>1</v>
      </c>
      <c r="Y118" s="61" t="s">
        <v>1474</v>
      </c>
      <c r="Z118" s="61" t="str">
        <f t="shared" si="18"/>
        <v/>
      </c>
      <c r="AA118" s="60" t="str">
        <f t="shared" si="19"/>
        <v/>
      </c>
    </row>
    <row r="119" spans="1:27">
      <c r="A119" s="1" t="s">
        <v>118</v>
      </c>
      <c r="B119" t="str">
        <f t="shared" si="20"/>
        <v>Picket Line ●●</v>
      </c>
      <c r="D119" s="19"/>
      <c r="E119" s="15" t="s">
        <v>1466</v>
      </c>
      <c r="F119" s="3"/>
      <c r="G119" s="60" t="str">
        <f>IFERROR(VLOOKUP(F119,tblManoeuvre[],2,FALSE)&amp;" "&amp;VLOOKUP(F119,tblManoeuvre[],3,FALSE),"")</f>
        <v/>
      </c>
      <c r="H119" s="67" t="str">
        <f>IFERROR(IF(VLOOKUP(F119,tblManoeuvre[],8,FALSE)=0,"None",VLOOKUP(F119,tblManoeuvre[],8,FALSE)),"None")</f>
        <v>None</v>
      </c>
      <c r="I119" s="67"/>
      <c r="L119" s="4"/>
      <c r="M119" s="4"/>
      <c r="N119" s="4"/>
      <c r="O119" s="61">
        <f t="shared" si="16"/>
        <v>0</v>
      </c>
      <c r="P119" s="60">
        <f t="shared" si="17"/>
        <v>0</v>
      </c>
      <c r="Q119" s="61">
        <v>1</v>
      </c>
      <c r="R119" s="61">
        <v>1</v>
      </c>
      <c r="Y119" s="61" t="s">
        <v>1474</v>
      </c>
      <c r="Z119" s="61" t="str">
        <f t="shared" si="18"/>
        <v/>
      </c>
      <c r="AA119" s="60" t="str">
        <f t="shared" si="19"/>
        <v/>
      </c>
    </row>
    <row r="120" spans="1:27">
      <c r="A120" s="1" t="s">
        <v>119</v>
      </c>
      <c r="B120" t="str">
        <f t="shared" si="20"/>
        <v>Secret Society Junkie ●</v>
      </c>
      <c r="D120" s="19"/>
      <c r="E120" s="15" t="s">
        <v>1468</v>
      </c>
      <c r="F120" s="3"/>
      <c r="G120" s="60" t="str">
        <f>IFERROR(VLOOKUP(F120,tblManoeuvre[],2,FALSE)&amp;" "&amp;VLOOKUP(F120,tblManoeuvre[],3,FALSE),"")</f>
        <v/>
      </c>
      <c r="H120" s="67" t="str">
        <f>IFERROR(IF(VLOOKUP(F120,tblManoeuvre[],8,FALSE)=0,"None",VLOOKUP(F120,tblManoeuvre[],8,FALSE)),"None")</f>
        <v>None</v>
      </c>
      <c r="I120" s="67"/>
      <c r="L120" s="4"/>
      <c r="M120" s="4"/>
      <c r="N120" s="4"/>
      <c r="O120" s="61">
        <f t="shared" si="16"/>
        <v>0</v>
      </c>
      <c r="P120" s="60">
        <f t="shared" si="17"/>
        <v>0</v>
      </c>
      <c r="Q120" s="61">
        <v>1</v>
      </c>
      <c r="R120" s="61">
        <v>1</v>
      </c>
      <c r="Y120" s="61" t="s">
        <v>1474</v>
      </c>
      <c r="Z120" s="61" t="str">
        <f t="shared" si="18"/>
        <v/>
      </c>
      <c r="AA120" s="60" t="str">
        <f t="shared" si="19"/>
        <v/>
      </c>
    </row>
    <row r="121" spans="1:27">
      <c r="A121" s="1" t="s">
        <v>120</v>
      </c>
      <c r="B121" t="str">
        <f t="shared" si="20"/>
        <v>¬</v>
      </c>
      <c r="Y121" s="61" t="s">
        <v>1474</v>
      </c>
      <c r="Z121" s="61" t="str">
        <f t="shared" si="18"/>
        <v/>
      </c>
      <c r="AA121" s="60" t="str">
        <f t="shared" si="19"/>
        <v/>
      </c>
    </row>
    <row r="122" spans="1:27" ht="15.75" thickBot="1">
      <c r="A122" s="1" t="s">
        <v>121</v>
      </c>
      <c r="B122" t="str">
        <f t="shared" si="20"/>
        <v>¬</v>
      </c>
      <c r="D122" s="14" t="s">
        <v>1475</v>
      </c>
      <c r="E122" s="14"/>
      <c r="F122" s="14"/>
      <c r="G122" s="14"/>
      <c r="H122" s="14"/>
      <c r="I122" s="14"/>
    </row>
    <row r="123" spans="1:27">
      <c r="A123" s="1" t="s">
        <v>122</v>
      </c>
      <c r="B123" t="str">
        <f t="shared" si="20"/>
        <v>¬</v>
      </c>
      <c r="D123" s="16" t="s">
        <v>927</v>
      </c>
      <c r="E123" s="17"/>
      <c r="F123" s="17"/>
      <c r="G123" s="17"/>
      <c r="H123" s="17"/>
      <c r="I123" s="17"/>
      <c r="Y123" s="15" t="s">
        <v>1476</v>
      </c>
      <c r="Z123" s="19"/>
      <c r="AA123" s="61" t="str">
        <f t="shared" ref="AA123:AA132" si="21">_xlfn.LET(_xlpm.name,VLOOKUP(Y123,$E$2:$F$362,2,FALSE),_xlpm.paid,_xlfn.IFNA(VLOOKUP(_xlpm.name,$F$121:$Q$215,11,FALSE)&gt;=VLOOKUP(_xlpm.name,$F$121:$Q$215,12,FALSE),FALSE),IF(AND(_xlpm.name&lt;&gt;"",_xlpm.paid),_xlpm.name,""))</f>
        <v/>
      </c>
    </row>
    <row r="124" spans="1:27">
      <c r="A124" s="1" t="s">
        <v>123</v>
      </c>
      <c r="B124" t="str">
        <f t="shared" si="20"/>
        <v>¬</v>
      </c>
      <c r="D124" s="19"/>
      <c r="E124" s="15" t="s">
        <v>83</v>
      </c>
      <c r="F124" s="19"/>
      <c r="G124" s="19"/>
      <c r="H124" s="19"/>
      <c r="I124" s="19"/>
      <c r="L124" s="4">
        <v>3</v>
      </c>
      <c r="M124" s="61">
        <f>IFERROR(VLOOKUP(G13,tblEffectiveStatus[#Data],2,FALSE),0)</f>
        <v>0</v>
      </c>
      <c r="P124" s="60">
        <f>MIN(L124+M124,R124)</f>
        <v>3</v>
      </c>
      <c r="R124" s="61">
        <v>10</v>
      </c>
      <c r="Y124" s="15" t="s">
        <v>1477</v>
      </c>
      <c r="Z124" s="19"/>
      <c r="AA124" s="61" t="str">
        <f t="shared" si="21"/>
        <v/>
      </c>
    </row>
    <row r="125" spans="1:27">
      <c r="A125" s="1" t="s">
        <v>124</v>
      </c>
      <c r="B125" t="str">
        <f t="shared" si="20"/>
        <v>¬</v>
      </c>
      <c r="D125" s="19"/>
      <c r="E125" s="15" t="str">
        <f>IF(F7="","Clan Status",F7&amp;" Status")</f>
        <v>Daeva Status</v>
      </c>
      <c r="F125" s="19"/>
      <c r="G125" s="19"/>
      <c r="H125" s="19"/>
      <c r="I125" s="19"/>
      <c r="L125" s="4">
        <v>2</v>
      </c>
      <c r="P125" s="60">
        <f>IF(L125="",0,MIN(L125,R125))</f>
        <v>2</v>
      </c>
      <c r="R125" s="61">
        <v>5</v>
      </c>
      <c r="Y125" s="15" t="s">
        <v>1478</v>
      </c>
      <c r="Z125" s="19"/>
      <c r="AA125" s="61" t="str">
        <f t="shared" si="21"/>
        <v/>
      </c>
    </row>
    <row r="126" spans="1:27">
      <c r="A126" s="1" t="s">
        <v>125</v>
      </c>
      <c r="B126" t="str">
        <f t="shared" si="20"/>
        <v>¬</v>
      </c>
      <c r="D126" s="19"/>
      <c r="E126" s="15" t="str">
        <f>IF(F9="","",F9&amp;" Status")</f>
        <v>Carthian Movement Status</v>
      </c>
      <c r="F126" s="19" t="str">
        <f>IF(F9="","",VLOOKUP(F9,tblCovenantShortName[#Data],2,FALSE))</f>
        <v>Carthian</v>
      </c>
      <c r="G126" s="19"/>
      <c r="H126" s="19"/>
      <c r="I126" s="19"/>
      <c r="L126" s="4">
        <v>3</v>
      </c>
      <c r="P126" s="60">
        <f>L126</f>
        <v>3</v>
      </c>
      <c r="R126" s="61">
        <f>5-SUM(L127:L129)</f>
        <v>5</v>
      </c>
      <c r="Y126" s="15" t="s">
        <v>1479</v>
      </c>
      <c r="Z126" s="19"/>
      <c r="AA126" s="61" t="str">
        <f t="shared" si="21"/>
        <v/>
      </c>
    </row>
    <row r="127" spans="1:27">
      <c r="A127" s="1" t="s">
        <v>126</v>
      </c>
      <c r="B127" t="str">
        <f t="shared" si="20"/>
        <v>¬</v>
      </c>
      <c r="D127" s="19"/>
      <c r="E127" s="15" t="str" cm="1">
        <f t="array" ref="E127">IF(F9="","",IFERROR(INDEX(Lists!$F$2:$F$5,SMALL(IF(Lists!$F$2:$F$5&lt;&gt;$F$9,ROW(Lists!$F$2:$F$5)-ROW(Lists!$F$2)+1),1))&amp;" Status",""))</f>
        <v>Circle of the Crone Status</v>
      </c>
      <c r="F127" s="19" t="str" cm="1">
        <f t="array" ref="F127">IF(F9="","",IFERROR(VLOOKUP(INDEX(Lists!$F$2:$F$5,SMALL(IF(Lists!$F$2:$F$5&lt;&gt;$F$9,ROW(Lists!$F$2:$F$5)-ROW(Lists!$F$2)+1),1)),tblCovenantShortName[],2,FALSE),""))</f>
        <v>Crone</v>
      </c>
      <c r="G127" s="19"/>
      <c r="H127" s="19"/>
      <c r="I127" s="19"/>
      <c r="L127" s="4"/>
      <c r="P127" s="60">
        <f>L127</f>
        <v>0</v>
      </c>
      <c r="R127" s="61">
        <f>MAX(0,MIN(P126-1,5-L126-L128-L129))</f>
        <v>2</v>
      </c>
      <c r="Y127" s="15" t="s">
        <v>1480</v>
      </c>
      <c r="Z127" s="19"/>
      <c r="AA127" s="61" t="str">
        <f t="shared" si="21"/>
        <v/>
      </c>
    </row>
    <row r="128" spans="1:27">
      <c r="A128" s="1" t="s">
        <v>127</v>
      </c>
      <c r="B128" t="str">
        <f t="shared" si="20"/>
        <v>¬</v>
      </c>
      <c r="D128" s="19"/>
      <c r="E128" s="15" t="str" cm="1">
        <f t="array" ref="E128">IF(F9="","",IFERROR(INDEX(Lists!$F$2:$F$5,SMALL(IF(Lists!$F$2:$F$5&lt;&gt;$F$9,ROW(Lists!$F$2:$F$5)-ROW(Lists!$F$2)+1),2))&amp;" Status",""))</f>
        <v>Invictus Status</v>
      </c>
      <c r="F128" s="19" t="str" cm="1">
        <f t="array" ref="F128">IF(F9="","",IFERROR(VLOOKUP(INDEX(Lists!$F$2:$F$5,SMALL(IF(Lists!$F$2:$F$5&lt;&gt;$F$9,ROW(Lists!$F$2:$F$5)-ROW(Lists!$F$2)+1),2)),tblCovenantShortName[],2,FALSE),""))</f>
        <v>Invictus</v>
      </c>
      <c r="G128" s="19"/>
      <c r="H128" s="19"/>
      <c r="I128" s="19"/>
      <c r="L128" s="4"/>
      <c r="P128" s="60">
        <f>L128</f>
        <v>0</v>
      </c>
      <c r="R128" s="61">
        <f>MAX(0,MIN(P126-1,5-L126-L127-L129))</f>
        <v>2</v>
      </c>
      <c r="Y128" s="15" t="s">
        <v>1481</v>
      </c>
      <c r="Z128" s="19"/>
      <c r="AA128" s="61" t="str">
        <f t="shared" si="21"/>
        <v/>
      </c>
    </row>
    <row r="129" spans="1:32">
      <c r="A129" s="1" t="s">
        <v>128</v>
      </c>
      <c r="B129" t="str">
        <f t="shared" si="20"/>
        <v>¬</v>
      </c>
      <c r="D129" s="19"/>
      <c r="E129" s="15" t="str" cm="1">
        <f t="array" ref="E129">IF(F9="","",IFERROR(INDEX(Lists!$F$2:$F$5,SMALL(IF(Lists!$F$2:$F$5&lt;&gt;$F$9,ROW(Lists!$F$2:$F$5)-ROW(Lists!$F$2)+1),3))&amp;" Status",""))</f>
        <v>Lancea et Sanctum Status</v>
      </c>
      <c r="F129" s="19" t="str" cm="1">
        <f t="array" ref="F129">IF(F9="","",IFERROR(VLOOKUP(INDEX(Lists!$F$2:$F$5,SMALL(IF(Lists!$F$2:$F$5&lt;&gt;$F$9,ROW(Lists!$F$2:$F$5)-ROW(Lists!$F$2)+1),3)),tblCovenantShortName[],2,FALSE),""))</f>
        <v>Lance</v>
      </c>
      <c r="G129" s="19"/>
      <c r="H129" s="19"/>
      <c r="I129" s="19"/>
      <c r="L129" s="4"/>
      <c r="P129" s="60">
        <f>L129</f>
        <v>0</v>
      </c>
      <c r="R129" s="61">
        <f>MAX(0,MIN(P126-1,5-L126-L127-L128))</f>
        <v>2</v>
      </c>
      <c r="Y129" s="15" t="s">
        <v>1482</v>
      </c>
      <c r="Z129" s="19"/>
      <c r="AA129" s="61" t="str">
        <f t="shared" si="21"/>
        <v/>
      </c>
    </row>
    <row r="130" spans="1:32">
      <c r="A130" s="1" t="s">
        <v>129</v>
      </c>
      <c r="B130" t="str">
        <f t="shared" si="20"/>
        <v>¬</v>
      </c>
      <c r="Y130" s="15" t="s">
        <v>1483</v>
      </c>
      <c r="Z130" s="19"/>
      <c r="AA130" s="61" t="str">
        <f t="shared" si="21"/>
        <v/>
      </c>
    </row>
    <row r="131" spans="1:32">
      <c r="A131" s="1" t="s">
        <v>130</v>
      </c>
      <c r="B131" t="str">
        <f t="shared" si="20"/>
        <v>¬</v>
      </c>
      <c r="D131" s="16" t="s">
        <v>1475</v>
      </c>
      <c r="E131" s="17"/>
      <c r="F131" s="16" t="s">
        <v>1446</v>
      </c>
      <c r="G131" s="17"/>
      <c r="H131" s="17"/>
      <c r="I131" s="17"/>
      <c r="Y131" s="15" t="s">
        <v>1484</v>
      </c>
      <c r="Z131" s="19"/>
      <c r="AA131" s="61" t="str">
        <f t="shared" si="21"/>
        <v/>
      </c>
    </row>
    <row r="132" spans="1:32">
      <c r="A132" s="1" t="s">
        <v>131</v>
      </c>
      <c r="B132" t="str">
        <f t="shared" si="20"/>
        <v>¬</v>
      </c>
      <c r="D132" s="19"/>
      <c r="E132" s="15" t="s">
        <v>94</v>
      </c>
      <c r="F132" s="3" t="str">
        <f>IFERROR(VLOOKUP(E132,tblManoeuvre[#Data],2,FALSE)&amp;" "&amp;VLOOKUP(E132,tblManoeuvre[#Data],3,FALSE),"")</f>
        <v/>
      </c>
      <c r="G132" s="19"/>
      <c r="H132" s="19"/>
      <c r="I132" s="19"/>
      <c r="L132" s="4">
        <v>1</v>
      </c>
      <c r="M132" s="4"/>
      <c r="N132" s="4"/>
      <c r="O132" s="61">
        <f>N132</f>
        <v>0</v>
      </c>
      <c r="P132" s="60">
        <f>MIN(SUM(L132,M132,O132),R132)</f>
        <v>1</v>
      </c>
      <c r="Q132" s="61">
        <f>_xlfn.IFNA(VLOOKUP($E132,tblDomain[],3,FALSE),"")</f>
        <v>1</v>
      </c>
      <c r="R132" s="61">
        <f>_xlfn.IFNA(VLOOKUP($E132,tblDomain[],4,FALSE),"")</f>
        <v>5</v>
      </c>
      <c r="Y132" s="15" t="s">
        <v>1485</v>
      </c>
      <c r="Z132" s="19"/>
      <c r="AA132" s="61" t="str">
        <f t="shared" si="21"/>
        <v/>
      </c>
    </row>
    <row r="133" spans="1:32">
      <c r="A133" s="1" t="s">
        <v>132</v>
      </c>
      <c r="B133" t="str">
        <f t="shared" si="20"/>
        <v>¬</v>
      </c>
      <c r="D133" s="19"/>
      <c r="E133" s="15" t="s">
        <v>95</v>
      </c>
      <c r="F133" s="3" t="str">
        <f>IFERROR(VLOOKUP(E133,tblManoeuvre[#Data],2,FALSE)&amp;" "&amp;VLOOKUP(E133,tblManoeuvre[#Data],3,FALSE),"")</f>
        <v/>
      </c>
      <c r="G133" s="19"/>
      <c r="H133" s="19"/>
      <c r="I133" s="19"/>
      <c r="L133" s="4"/>
      <c r="M133" s="4"/>
      <c r="N133" s="4"/>
      <c r="O133" s="61">
        <f>N133</f>
        <v>0</v>
      </c>
      <c r="P133" s="60">
        <f>MIN(SUM(L133,M133,O133),R133)</f>
        <v>0</v>
      </c>
      <c r="Q133" s="61">
        <f>_xlfn.IFNA(VLOOKUP($E133,tblDomain[],3,FALSE),"")</f>
        <v>1</v>
      </c>
      <c r="R133" s="61">
        <f>_xlfn.IFNA(VLOOKUP($E133,tblDomain[],4,FALSE),"")</f>
        <v>5</v>
      </c>
    </row>
    <row r="134" spans="1:32">
      <c r="A134" s="1" t="s">
        <v>133</v>
      </c>
      <c r="B134" t="str">
        <f t="shared" si="20"/>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2">_xlfn.LET(_xlpm.name,VLOOKUP(Y134,$E$2:$F$362,2,FALSE),_xlpm.note,VLOOKUP(Y134,$E$2:$G$362,3,FALSE),_xlpm.row,MATCH(Y134,$E$138:$E$157,0),_xlpm.dots,INDEX($P$138:$P$157,_xlpm.row),_xlpm.max,INDEX($Q$138:$Q$157,_xlpm.row),_xlpm.paid,_xlfn.IFNA(_xlpm.dots&gt;=_xlpm.max,FALSE),IF(AND(_xlpm.name&lt;&gt;"",_xlpm.paid),IF(_xlpm.note="",_xlpm.name,_xlpm.name&amp;" ("&amp;_xlpm.note&amp;")"),""))</f>
        <v>Status (LGL - Logistics)</v>
      </c>
      <c r="AC134" s="60" t="str" cm="1">
        <f t="array" ref="AC134:AC137">_xlfn.LET(_xlpm.raw,IFERROR(_xlfn.VSTACK(IFERROR(_xlfn._xlws.SORT(_xlfn._xlws.FILTER(AA134:AA211,AA134:AA211&lt;&gt;"")),""),IFERROR(_xlfn._xlws.SORT(_xlfn._xlws.FILTER(AA213:AA222,AA213:AA222&lt;&gt;"")),"")),""),_xlpm.sorted,IFERROR(_xlfn._xlws.FILTER(_xlpm.raw,_xlpm.raw&lt;&gt;""),""),IFERROR(LEFT(_xlpm.sorted,FIND(" (",_xlpm.sorted)-1),_xlpm.sorted))</f>
        <v>Allies</v>
      </c>
      <c r="AD134" s="20" t="str" cm="1">
        <f t="array" ref="AD134:AD137">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Underworld</v>
      </c>
      <c r="AE134" s="20">
        <f t="shared" ref="AE134:AE153" si="23">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1</v>
      </c>
      <c r="AF134" s="61" cm="1">
        <f t="array" ref="AF134">IF(AC134="","",SUMPRODUCT(($F$138:$F$157=AC134)*($G$138:$G$157=IF(AD134="","",AD134))*$P$138:$P$157))</f>
        <v>3</v>
      </c>
    </row>
    <row r="135" spans="1:32">
      <c r="A135" s="1" t="s">
        <v>134</v>
      </c>
      <c r="B135" t="str">
        <f t="shared" si="20"/>
        <v>¬</v>
      </c>
      <c r="D135" s="61" t="s">
        <v>1575</v>
      </c>
      <c r="E135" s="15" t="s">
        <v>97</v>
      </c>
      <c r="F135" s="19"/>
      <c r="G135" s="19"/>
      <c r="H135" s="19"/>
      <c r="I135" s="19"/>
      <c r="L135" s="4"/>
      <c r="M135" s="4">
        <v>5</v>
      </c>
      <c r="N135" s="4"/>
      <c r="O135" s="61">
        <f>N135</f>
        <v>0</v>
      </c>
      <c r="P135" s="60">
        <f>MIN(SUM(L135,M135,O135),R135)</f>
        <v>5</v>
      </c>
      <c r="Q135" s="61">
        <f>_xlfn.IFNA(VLOOKUP($E135,tblDomain[],3,FALSE),"")</f>
        <v>1</v>
      </c>
      <c r="R135" s="61">
        <f>_xlfn.IFNA(VLOOKUP($E135,tblDomain[],4,FALSE),"")</f>
        <v>5</v>
      </c>
      <c r="Y135" s="15" t="s">
        <v>177</v>
      </c>
      <c r="Z135" s="19"/>
      <c r="AA135" s="61" t="str">
        <f t="shared" si="22"/>
        <v>Allies (Underworld)</v>
      </c>
      <c r="AC135" s="60" t="str">
        <v>Contacts</v>
      </c>
      <c r="AD135" s="20" t="str">
        <v>bureaucracy, industry</v>
      </c>
      <c r="AE135" s="20">
        <f t="shared" si="23"/>
        <v>1</v>
      </c>
      <c r="AF135" s="61" cm="1">
        <f t="array" ref="AF135">IF(AC135="","",SUMPRODUCT(($F$138:$F$157=AC135)*($G$138:$G$157=IF(AD135="","",AD135))*$P$138:$P$157))</f>
        <v>2</v>
      </c>
    </row>
    <row r="136" spans="1:32">
      <c r="A136" s="1" t="s">
        <v>135</v>
      </c>
      <c r="B136" t="str">
        <f t="shared" si="20"/>
        <v>¬</v>
      </c>
      <c r="Y136" s="15" t="s">
        <v>178</v>
      </c>
      <c r="Z136" s="19"/>
      <c r="AA136" s="61" t="str">
        <f t="shared" si="22"/>
        <v>Resources</v>
      </c>
      <c r="AC136" s="60" t="str">
        <v>Resources</v>
      </c>
      <c r="AD136" s="20" t="str">
        <v/>
      </c>
      <c r="AE136" s="20">
        <f t="shared" si="23"/>
        <v>2</v>
      </c>
      <c r="AF136" s="61" cm="1">
        <f t="array" ref="AF136">IF(AC136="","",SUMPRODUCT(($F$138:$F$157=AC136)*($G$138:$G$157=IF(AD136="","",AD136))*$P$138:$P$157))</f>
        <v>5</v>
      </c>
    </row>
    <row r="137" spans="1:32">
      <c r="A137" s="1" t="s">
        <v>136</v>
      </c>
      <c r="B137" t="str">
        <f t="shared" si="20"/>
        <v>¬</v>
      </c>
      <c r="D137" s="16" t="s">
        <v>174</v>
      </c>
      <c r="E137" s="17"/>
      <c r="F137" s="17"/>
      <c r="G137" s="17"/>
      <c r="H137" s="61">
        <f>L225</f>
        <v>4</v>
      </c>
      <c r="I137" s="61">
        <f>SUM(AE134:AE155)+SUM(P125:P129)</f>
        <v>11</v>
      </c>
      <c r="Y137" s="15" t="s">
        <v>179</v>
      </c>
      <c r="Z137" s="19"/>
      <c r="AA137" s="61" t="str">
        <f t="shared" si="22"/>
        <v>Contacts (bureaucracy, industry)</v>
      </c>
      <c r="AC137" s="60" t="str">
        <v>Status</v>
      </c>
      <c r="AD137" s="20" t="str">
        <v>LGL - Logistics</v>
      </c>
      <c r="AE137" s="20">
        <f t="shared" si="23"/>
        <v>1</v>
      </c>
      <c r="AF137" s="61" cm="1">
        <f t="array" ref="AF137">IF(AC137="","",SUMPRODUCT(($F$138:$F$157=AC137)*($G$138:$G$157=IF(AD137="","",AD137))*$P$138:$P$157))</f>
        <v>5</v>
      </c>
    </row>
    <row r="138" spans="1:32">
      <c r="A138" s="1" t="s">
        <v>137</v>
      </c>
      <c r="B138" t="str">
        <f t="shared" si="20"/>
        <v>¬</v>
      </c>
      <c r="D138" s="19"/>
      <c r="E138" s="15" t="s">
        <v>176</v>
      </c>
      <c r="F138" s="3" t="s">
        <v>927</v>
      </c>
      <c r="G138" s="3" t="s">
        <v>929</v>
      </c>
      <c r="H138" s="67" t="str">
        <f>IFERROR(IF(VLOOKUP(F138,tblManoeuvre[],8,FALSE)=0,"None",VLOOKUP(F138,tblManoeuvre[],8,FALSE)),"None")</f>
        <v>None</v>
      </c>
      <c r="I138" s="67"/>
      <c r="L138" s="4">
        <v>5</v>
      </c>
      <c r="M138" s="4"/>
      <c r="N138" s="4"/>
      <c r="O138" s="61">
        <f t="shared" ref="O138:O157" si="24">N138</f>
        <v>0</v>
      </c>
      <c r="P138" s="60">
        <f t="shared" ref="P138:P157" si="25">MIN(SUM(L138,M138,O138),R138)</f>
        <v>5</v>
      </c>
      <c r="Q138" s="61">
        <f>_xlfn.IFNA(VLOOKUP($F138,tblInfluence[],3,FALSE),"")</f>
        <v>1</v>
      </c>
      <c r="R138" s="61">
        <f>_xlfn.IFNA(VLOOKUP($F138,tblInfluence[],4,FALSE),"")</f>
        <v>5</v>
      </c>
      <c r="Y138" s="15" t="s">
        <v>180</v>
      </c>
      <c r="Z138" s="19"/>
      <c r="AA138" s="61" t="str">
        <f t="shared" si="22"/>
        <v/>
      </c>
      <c r="AC138" s="60"/>
      <c r="AD138" s="20"/>
      <c r="AE138" s="20" t="str">
        <f t="shared" si="23"/>
        <v/>
      </c>
      <c r="AF138" s="61" t="str" cm="1">
        <f t="array" ref="AF138">IF(AC138="","",SUMPRODUCT(($F$138:$F$157=AC138)*($G$138:$G$157=IF(AD138="","",AD138))*$P$138:$P$157))</f>
        <v/>
      </c>
    </row>
    <row r="139" spans="1:32">
      <c r="A139" s="1" t="s">
        <v>138</v>
      </c>
      <c r="B139" t="str">
        <f t="shared" si="20"/>
        <v>¬</v>
      </c>
      <c r="D139" s="61" t="s">
        <v>1576</v>
      </c>
      <c r="E139" s="15" t="s">
        <v>177</v>
      </c>
      <c r="F139" s="3" t="s">
        <v>412</v>
      </c>
      <c r="G139" s="3" t="s">
        <v>415</v>
      </c>
      <c r="H139" s="67" t="str">
        <f>IFERROR(IF(VLOOKUP(F139,tblManoeuvre[],8,FALSE)=0,"None",VLOOKUP(F139,tblManoeuvre[],8,FALSE)),"None")</f>
        <v>None</v>
      </c>
      <c r="I139" s="67"/>
      <c r="L139" s="4"/>
      <c r="M139" s="4">
        <v>3</v>
      </c>
      <c r="N139" s="4"/>
      <c r="O139" s="61">
        <f t="shared" si="24"/>
        <v>0</v>
      </c>
      <c r="P139" s="60">
        <f t="shared" si="25"/>
        <v>3</v>
      </c>
      <c r="Q139" s="61">
        <f>_xlfn.IFNA(VLOOKUP($F139,tblInfluence[],3,FALSE),"")</f>
        <v>1</v>
      </c>
      <c r="R139" s="61">
        <f>_xlfn.IFNA(VLOOKUP($F139,tblInfluence[],4,FALSE),"")</f>
        <v>5</v>
      </c>
      <c r="Y139" s="15" t="s">
        <v>181</v>
      </c>
      <c r="Z139" s="19"/>
      <c r="AA139" s="61" t="str">
        <f t="shared" si="22"/>
        <v/>
      </c>
      <c r="AC139" s="60"/>
      <c r="AD139" s="20"/>
      <c r="AE139" s="20" t="str">
        <f t="shared" si="23"/>
        <v/>
      </c>
      <c r="AF139" s="61" t="str" cm="1">
        <f t="array" ref="AF139">IF(AC139="","",SUMPRODUCT(($F$138:$F$157=AC139)*($G$138:$G$157=IF(AD139="","",AD139))*$P$138:$P$157))</f>
        <v/>
      </c>
    </row>
    <row r="140" spans="1:32">
      <c r="A140" s="1" t="s">
        <v>139</v>
      </c>
      <c r="B140" t="str">
        <f t="shared" si="20"/>
        <v>¬</v>
      </c>
      <c r="D140" s="61" t="s">
        <v>1577</v>
      </c>
      <c r="E140" s="15" t="s">
        <v>178</v>
      </c>
      <c r="F140" s="3" t="s">
        <v>525</v>
      </c>
      <c r="G140" s="3"/>
      <c r="H140" s="67" t="str">
        <f>IFERROR(IF(VLOOKUP(F140,tblManoeuvre[],8,FALSE)=0,"None",VLOOKUP(F140,tblManoeuvre[],8,FALSE)),"None")</f>
        <v>None</v>
      </c>
      <c r="I140" s="67"/>
      <c r="L140" s="4"/>
      <c r="M140" s="4">
        <v>3</v>
      </c>
      <c r="N140" s="4">
        <v>2</v>
      </c>
      <c r="O140" s="61">
        <f t="shared" si="24"/>
        <v>2</v>
      </c>
      <c r="P140" s="60">
        <f t="shared" si="25"/>
        <v>5</v>
      </c>
      <c r="Q140" s="61">
        <f>_xlfn.IFNA(VLOOKUP($F140,tblInfluence[],3,FALSE),"")</f>
        <v>1</v>
      </c>
      <c r="R140" s="61">
        <f>_xlfn.IFNA(VLOOKUP($F140,tblInfluence[],4,FALSE),"")</f>
        <v>5</v>
      </c>
      <c r="Y140" s="15" t="s">
        <v>182</v>
      </c>
      <c r="Z140" s="19"/>
      <c r="AA140" s="61" t="str">
        <f t="shared" si="22"/>
        <v/>
      </c>
      <c r="AC140" s="60"/>
      <c r="AD140" s="20"/>
      <c r="AE140" s="20" t="str">
        <f t="shared" si="23"/>
        <v/>
      </c>
      <c r="AF140" s="61" t="str" cm="1">
        <f t="array" ref="AF140">IF(AC140="","",SUMPRODUCT(($F$138:$F$157=AC140)*($G$138:$G$157=IF(AD140="","",AD140))*$P$138:$P$157))</f>
        <v/>
      </c>
    </row>
    <row r="141" spans="1:32">
      <c r="A141" s="1" t="s">
        <v>140</v>
      </c>
      <c r="B141" t="str">
        <f t="shared" si="20"/>
        <v>¬</v>
      </c>
      <c r="D141" s="61" t="s">
        <v>1698</v>
      </c>
      <c r="E141" s="15" t="s">
        <v>179</v>
      </c>
      <c r="F141" s="3" t="s">
        <v>413</v>
      </c>
      <c r="G141" s="3" t="s">
        <v>928</v>
      </c>
      <c r="H141" s="67" t="str">
        <f>IFERROR(IF(VLOOKUP(F141,tblManoeuvre[],8,FALSE)=0,"None",VLOOKUP(F141,tblManoeuvre[],8,FALSE)),"None")</f>
        <v>None</v>
      </c>
      <c r="I141" s="67"/>
      <c r="L141" s="4"/>
      <c r="M141" s="4">
        <v>2</v>
      </c>
      <c r="N141" s="4"/>
      <c r="O141" s="61">
        <f t="shared" si="24"/>
        <v>0</v>
      </c>
      <c r="P141" s="60">
        <f t="shared" si="25"/>
        <v>2</v>
      </c>
      <c r="Q141" s="61">
        <f>_xlfn.IFNA(VLOOKUP($F141,tblInfluence[],3,FALSE),"")</f>
        <v>1</v>
      </c>
      <c r="R141" s="61">
        <f>_xlfn.IFNA(VLOOKUP($F141,tblInfluence[],4,FALSE),"")</f>
        <v>5</v>
      </c>
      <c r="Y141" s="15" t="s">
        <v>183</v>
      </c>
      <c r="Z141" s="19"/>
      <c r="AA141" s="61" t="str">
        <f t="shared" si="22"/>
        <v/>
      </c>
      <c r="AC141" s="60"/>
      <c r="AD141" s="20"/>
      <c r="AE141" s="20" t="str">
        <f t="shared" si="23"/>
        <v/>
      </c>
      <c r="AF141" s="61" t="str" cm="1">
        <f t="array" ref="AF141">IF(AC141="","",SUMPRODUCT(($F$138:$F$157=AC141)*($G$138:$G$157=IF(AD141="","",AD141))*$P$138:$P$157))</f>
        <v/>
      </c>
    </row>
    <row r="142" spans="1:32">
      <c r="A142" s="1" t="s">
        <v>141</v>
      </c>
      <c r="B142" t="str">
        <f t="shared" si="20"/>
        <v>¬</v>
      </c>
      <c r="D142" s="19"/>
      <c r="E142" s="15" t="s">
        <v>180</v>
      </c>
      <c r="F142" s="3"/>
      <c r="G142" s="3"/>
      <c r="H142" s="67" t="str">
        <f>IFERROR(IF(VLOOKUP(F142,tblManoeuvre[],8,FALSE)=0,"None",VLOOKUP(F142,tblManoeuvre[],8,FALSE)),"None")</f>
        <v>None</v>
      </c>
      <c r="I142" s="67"/>
      <c r="L142" s="4"/>
      <c r="M142" s="4"/>
      <c r="N142" s="4"/>
      <c r="O142" s="61">
        <f t="shared" si="24"/>
        <v>0</v>
      </c>
      <c r="P142" s="60">
        <f t="shared" si="25"/>
        <v>0</v>
      </c>
      <c r="Q142" s="61" t="str">
        <f>_xlfn.IFNA(VLOOKUP($F142,tblInfluence[],3,FALSE),"")</f>
        <v/>
      </c>
      <c r="R142" s="61" t="str">
        <f>_xlfn.IFNA(VLOOKUP($F142,tblInfluence[],4,FALSE),"")</f>
        <v/>
      </c>
      <c r="Y142" s="15" t="s">
        <v>184</v>
      </c>
      <c r="Z142" s="19"/>
      <c r="AA142" s="61" t="str">
        <f t="shared" si="22"/>
        <v/>
      </c>
      <c r="AC142" s="60"/>
      <c r="AD142" s="20"/>
      <c r="AE142" s="20" t="str">
        <f t="shared" si="23"/>
        <v/>
      </c>
      <c r="AF142" s="61" t="str" cm="1">
        <f t="array" ref="AF142">IF(AC142="","",SUMPRODUCT(($F$138:$F$157=AC142)*($G$138:$G$157=IF(AD142="","",AD142))*$P$138:$P$157))</f>
        <v/>
      </c>
    </row>
    <row r="143" spans="1:32">
      <c r="A143" s="1" t="s">
        <v>142</v>
      </c>
      <c r="B143" t="str">
        <f t="shared" si="20"/>
        <v>¬</v>
      </c>
      <c r="D143" s="19"/>
      <c r="E143" s="15" t="s">
        <v>181</v>
      </c>
      <c r="F143" s="3"/>
      <c r="G143" s="3" t="str">
        <f>IFERROR(VLOOKUP(F143,tblManoeuvre[#Data],2,FALSE)&amp;" "&amp;VLOOKUP(F143,tblManoeuvre[#Data],3,FALSE),"")</f>
        <v/>
      </c>
      <c r="H143" s="67" t="str">
        <f>IFERROR(IF(VLOOKUP(F143,tblManoeuvre[],8,FALSE)=0,"None",VLOOKUP(F143,tblManoeuvre[],8,FALSE)),"None")</f>
        <v>None</v>
      </c>
      <c r="I143" s="67"/>
      <c r="L143" s="4"/>
      <c r="M143" s="4"/>
      <c r="N143" s="4"/>
      <c r="O143" s="61">
        <f t="shared" si="24"/>
        <v>0</v>
      </c>
      <c r="P143" s="60">
        <f t="shared" si="25"/>
        <v>0</v>
      </c>
      <c r="Q143" s="61" t="str">
        <f>_xlfn.IFNA(VLOOKUP($F143,tblInfluence[],3,FALSE),"")</f>
        <v/>
      </c>
      <c r="R143" s="61" t="str">
        <f>_xlfn.IFNA(VLOOKUP($F143,tblInfluence[],4,FALSE),"")</f>
        <v/>
      </c>
      <c r="Y143" s="15" t="s">
        <v>185</v>
      </c>
      <c r="Z143" s="19"/>
      <c r="AA143" s="61" t="str">
        <f t="shared" si="22"/>
        <v/>
      </c>
      <c r="AC143" s="60"/>
      <c r="AD143" s="20"/>
      <c r="AE143" s="20" t="str">
        <f t="shared" si="23"/>
        <v/>
      </c>
      <c r="AF143" s="61" t="str" cm="1">
        <f t="array" ref="AF143">IF(AC143="","",SUMPRODUCT(($F$138:$F$157=AC143)*($G$138:$G$157=IF(AD143="","",AD143))*$P$138:$P$157))</f>
        <v/>
      </c>
    </row>
    <row r="144" spans="1:32">
      <c r="A144" s="1" t="s">
        <v>143</v>
      </c>
      <c r="B144" t="str">
        <f t="shared" si="20"/>
        <v>¬</v>
      </c>
      <c r="D144" s="19"/>
      <c r="E144" s="15" t="s">
        <v>182</v>
      </c>
      <c r="F144" s="3"/>
      <c r="G144" s="3" t="str">
        <f>IFERROR(VLOOKUP(F144,tblManoeuvre[#Data],2,FALSE)&amp;" "&amp;VLOOKUP(F144,tblManoeuvre[#Data],3,FALSE),"")</f>
        <v/>
      </c>
      <c r="H144" s="67" t="str">
        <f>IFERROR(IF(VLOOKUP(F144,tblManoeuvre[],8,FALSE)=0,"None",VLOOKUP(F144,tblManoeuvre[],8,FALSE)),"None")</f>
        <v>None</v>
      </c>
      <c r="I144" s="67"/>
      <c r="L144" s="4"/>
      <c r="M144" s="4"/>
      <c r="N144" s="4"/>
      <c r="O144" s="61">
        <f t="shared" si="24"/>
        <v>0</v>
      </c>
      <c r="P144" s="60">
        <f t="shared" si="25"/>
        <v>0</v>
      </c>
      <c r="Q144" s="61" t="str">
        <f>_xlfn.IFNA(VLOOKUP($F144,tblInfluence[],3,FALSE),"")</f>
        <v/>
      </c>
      <c r="R144" s="61" t="str">
        <f>_xlfn.IFNA(VLOOKUP($F144,tblInfluence[],4,FALSE),"")</f>
        <v/>
      </c>
      <c r="Y144" s="15" t="s">
        <v>186</v>
      </c>
      <c r="Z144" s="19"/>
      <c r="AA144" s="61" t="str">
        <f t="shared" si="22"/>
        <v/>
      </c>
      <c r="AC144" s="60"/>
      <c r="AD144" s="20"/>
      <c r="AE144" s="20" t="str">
        <f t="shared" si="23"/>
        <v/>
      </c>
      <c r="AF144" s="61" t="str" cm="1">
        <f t="array" ref="AF144">IF(AC144="","",SUMPRODUCT(($F$138:$F$157=AC144)*($G$138:$G$157=IF(AD144="","",AD144))*$P$138:$P$157))</f>
        <v/>
      </c>
    </row>
    <row r="145" spans="1:32">
      <c r="A145" s="1" t="s">
        <v>144</v>
      </c>
      <c r="B145" t="str">
        <f t="shared" ref="B145:B174" si="26">IF(AF2="","¬",AF2)</f>
        <v>Monthly, access Carthian Status in dots of Allies, Contacts, Haven or Herd.</v>
      </c>
      <c r="D145" s="19"/>
      <c r="E145" s="15" t="s">
        <v>183</v>
      </c>
      <c r="F145" s="3"/>
      <c r="G145" s="3" t="str">
        <f>IFERROR(VLOOKUP(F145,tblManoeuvre[#Data],2,FALSE)&amp;" "&amp;VLOOKUP(F145,tblManoeuvre[#Data],3,FALSE),"")</f>
        <v/>
      </c>
      <c r="H145" s="67" t="str">
        <f>IFERROR(IF(VLOOKUP(F145,tblManoeuvre[],8,FALSE)=0,"None",VLOOKUP(F145,tblManoeuvre[],8,FALSE)),"None")</f>
        <v>None</v>
      </c>
      <c r="I145" s="67"/>
      <c r="L145" s="4"/>
      <c r="M145" s="4"/>
      <c r="N145" s="4"/>
      <c r="O145" s="61">
        <f t="shared" si="24"/>
        <v>0</v>
      </c>
      <c r="P145" s="60">
        <f t="shared" si="25"/>
        <v>0</v>
      </c>
      <c r="Q145" s="61" t="str">
        <f>_xlfn.IFNA(VLOOKUP($F145,tblInfluence[],3,FALSE),"")</f>
        <v/>
      </c>
      <c r="R145" s="61" t="str">
        <f>_xlfn.IFNA(VLOOKUP($F145,tblInfluence[],4,FALSE),"")</f>
        <v/>
      </c>
      <c r="Y145" s="15" t="s">
        <v>187</v>
      </c>
      <c r="Z145" s="19"/>
      <c r="AA145" s="61" t="str">
        <f t="shared" si="22"/>
        <v/>
      </c>
      <c r="AC145" s="60"/>
      <c r="AD145" s="20"/>
      <c r="AE145" s="20" t="str">
        <f t="shared" si="23"/>
        <v/>
      </c>
      <c r="AF145" s="61" t="str" cm="1">
        <f t="array" ref="AF145">IF(AC145="","",SUMPRODUCT(($F$138:$F$157=AC145)*($G$138:$G$157=IF(AD145="","",AD145))*$P$138:$P$157))</f>
        <v/>
      </c>
    </row>
    <row r="146" spans="1:32">
      <c r="A146" s="1" t="s">
        <v>145</v>
      </c>
      <c r="B146" t="str">
        <f t="shared" si="26"/>
        <v>Reduce all Availability costs by one.</v>
      </c>
      <c r="D146" s="19"/>
      <c r="E146" s="15" t="s">
        <v>184</v>
      </c>
      <c r="F146" s="3"/>
      <c r="G146" s="3" t="str">
        <f>IFERROR(VLOOKUP(F146,tblManoeuvre[#Data],2,FALSE)&amp;" "&amp;VLOOKUP(F146,tblManoeuvre[#Data],3,FALSE),"")</f>
        <v/>
      </c>
      <c r="H146" s="67" t="str">
        <f>IFERROR(IF(VLOOKUP(F146,tblManoeuvre[],8,FALSE)=0,"None",VLOOKUP(F146,tblManoeuvre[],8,FALSE)),"None")</f>
        <v>None</v>
      </c>
      <c r="I146" s="67"/>
      <c r="L146" s="4"/>
      <c r="M146" s="4"/>
      <c r="N146" s="4"/>
      <c r="O146" s="61">
        <f t="shared" si="24"/>
        <v>0</v>
      </c>
      <c r="P146" s="60">
        <f t="shared" si="25"/>
        <v>0</v>
      </c>
      <c r="Q146" s="61" t="str">
        <f>_xlfn.IFNA(VLOOKUP($F146,tblInfluence[],3,FALSE),"")</f>
        <v/>
      </c>
      <c r="R146" s="61" t="str">
        <f>_xlfn.IFNA(VLOOKUP($F146,tblInfluence[],4,FALSE),"")</f>
        <v/>
      </c>
      <c r="Y146" s="15" t="s">
        <v>188</v>
      </c>
      <c r="Z146" s="19"/>
      <c r="AA146" s="61" t="str">
        <f t="shared" si="22"/>
        <v/>
      </c>
      <c r="AC146" s="60"/>
      <c r="AD146" s="20"/>
      <c r="AE146" s="20" t="str">
        <f t="shared" si="23"/>
        <v/>
      </c>
      <c r="AF146" s="61" t="str" cm="1">
        <f t="array" ref="AF146">IF(AC146="","",SUMPRODUCT(($F$138:$F$157=AC146)*($G$138:$G$157=IF(AD146="","",AD146))*$P$138:$P$157))</f>
        <v/>
      </c>
    </row>
    <row r="147" spans="1:32">
      <c r="A147" s="1" t="s">
        <v>146</v>
      </c>
      <c r="B147" t="str">
        <f t="shared" si="26"/>
        <v>Steal flawed knowledge of a single one-dot advantage restricted to another covenant.</v>
      </c>
      <c r="D147" s="19"/>
      <c r="E147" s="15" t="s">
        <v>185</v>
      </c>
      <c r="F147" s="3"/>
      <c r="G147" s="3" t="str">
        <f>IFERROR(VLOOKUP(F147,tblManoeuvre[#Data],2,FALSE)&amp;" "&amp;VLOOKUP(F147,tblManoeuvre[#Data],3,FALSE),"")</f>
        <v/>
      </c>
      <c r="H147" s="67" t="str">
        <f>IFERROR(IF(VLOOKUP(F147,tblManoeuvre[],8,FALSE)=0,"None",VLOOKUP(F147,tblManoeuvre[],8,FALSE)),"None")</f>
        <v>None</v>
      </c>
      <c r="I147" s="67"/>
      <c r="L147" s="4"/>
      <c r="M147" s="4"/>
      <c r="N147" s="4"/>
      <c r="O147" s="61">
        <f t="shared" si="24"/>
        <v>0</v>
      </c>
      <c r="P147" s="60">
        <f t="shared" si="25"/>
        <v>0</v>
      </c>
      <c r="Q147" s="61" t="str">
        <f>_xlfn.IFNA(VLOOKUP($F147,tblInfluence[],3,FALSE),"")</f>
        <v/>
      </c>
      <c r="R147" s="61" t="str">
        <f>_xlfn.IFNA(VLOOKUP($F147,tblInfluence[],4,FALSE),"")</f>
        <v/>
      </c>
      <c r="Y147" s="15" t="s">
        <v>189</v>
      </c>
      <c r="Z147" s="19"/>
      <c r="AA147" s="61" t="str">
        <f t="shared" si="22"/>
        <v/>
      </c>
      <c r="AC147" s="60"/>
      <c r="AD147" s="20"/>
      <c r="AE147" s="20" t="str">
        <f t="shared" si="23"/>
        <v/>
      </c>
      <c r="AF147" s="61" t="str" cm="1">
        <f t="array" ref="AF147">IF(AC147="","",SUMPRODUCT(($F$138:$F$157=AC147)*($G$138:$G$157=IF(AD147="","",AD147))*$P$138:$P$157))</f>
        <v/>
      </c>
    </row>
    <row r="148" spans="1:32">
      <c r="A148" s="1" t="s">
        <v>147</v>
      </c>
      <c r="B148" t="str">
        <f t="shared" si="26"/>
        <v>You earn influence from Allies, Contacts, and wide Mortal Status one step lower than normal. 1 point of influence at 2 dots or 4 dots respectively.</v>
      </c>
      <c r="D148" s="19"/>
      <c r="E148" s="15" t="s">
        <v>186</v>
      </c>
      <c r="F148" s="3"/>
      <c r="G148" s="3" t="str">
        <f>IFERROR(VLOOKUP(F148,tblManoeuvre[#Data],2,FALSE)&amp;" "&amp;VLOOKUP(F148,tblManoeuvre[#Data],3,FALSE),"")</f>
        <v/>
      </c>
      <c r="H148" s="67" t="str">
        <f>IFERROR(IF(VLOOKUP(F148,tblManoeuvre[],8,FALSE)=0,"None",VLOOKUP(F148,tblManoeuvre[],8,FALSE)),"None")</f>
        <v>None</v>
      </c>
      <c r="I148" s="67"/>
      <c r="L148" s="4"/>
      <c r="M148" s="4"/>
      <c r="N148" s="4"/>
      <c r="O148" s="61">
        <f t="shared" si="24"/>
        <v>0</v>
      </c>
      <c r="P148" s="60">
        <f t="shared" si="25"/>
        <v>0</v>
      </c>
      <c r="Q148" s="61" t="str">
        <f>_xlfn.IFNA(VLOOKUP($F148,tblInfluence[],3,FALSE),"")</f>
        <v/>
      </c>
      <c r="R148" s="61" t="str">
        <f>_xlfn.IFNA(VLOOKUP($F148,tblInfluence[],4,FALSE),"")</f>
        <v/>
      </c>
      <c r="Y148" s="15" t="s">
        <v>190</v>
      </c>
      <c r="Z148" s="19"/>
      <c r="AA148" s="61" t="str">
        <f t="shared" si="22"/>
        <v/>
      </c>
      <c r="AC148" s="60"/>
      <c r="AD148" s="20"/>
      <c r="AE148" s="20" t="str">
        <f t="shared" si="23"/>
        <v/>
      </c>
      <c r="AF148" s="61" t="str" cm="1">
        <f t="array" ref="AF148">IF(AC148="","",SUMPRODUCT(($F$138:$F$157=AC148)*($G$138:$G$157=IF(AD148="","",AD148))*$P$138:$P$157))</f>
        <v/>
      </c>
    </row>
    <row r="149" spans="1:32">
      <c r="A149" s="1" t="s">
        <v>148</v>
      </c>
      <c r="B149" t="str">
        <f t="shared" si="26"/>
        <v>Each chapter, you have a pool of dots equal to their Contacts (max 5), which can be applied to Allies separately or as one amount, to raise their effective level when taking the Social Merit Blocking action.</v>
      </c>
      <c r="D149" s="19"/>
      <c r="E149" s="15" t="s">
        <v>187</v>
      </c>
      <c r="F149" s="3"/>
      <c r="G149" s="3" t="str">
        <f>IFERROR(VLOOKUP(F149,tblManoeuvre[#Data],2,FALSE)&amp;" "&amp;VLOOKUP(F149,tblManoeuvre[#Data],3,FALSE),"")</f>
        <v/>
      </c>
      <c r="H149" s="67" t="str">
        <f>IFERROR(IF(VLOOKUP(F149,tblManoeuvre[],8,FALSE)=0,"None",VLOOKUP(F149,tblManoeuvre[],8,FALSE)),"None")</f>
        <v>None</v>
      </c>
      <c r="I149" s="67"/>
      <c r="L149" s="4"/>
      <c r="M149" s="4"/>
      <c r="N149" s="4"/>
      <c r="O149" s="61">
        <f t="shared" si="24"/>
        <v>0</v>
      </c>
      <c r="P149" s="60">
        <f t="shared" si="25"/>
        <v>0</v>
      </c>
      <c r="Q149" s="61" t="str">
        <f>_xlfn.IFNA(VLOOKUP($F149,tblInfluence[],3,FALSE),"")</f>
        <v/>
      </c>
      <c r="R149" s="61" t="str">
        <f>_xlfn.IFNA(VLOOKUP($F149,tblInfluence[],4,FALSE),"")</f>
        <v/>
      </c>
      <c r="Y149" s="15" t="s">
        <v>191</v>
      </c>
      <c r="Z149" s="19"/>
      <c r="AA149" s="61" t="str">
        <f t="shared" si="22"/>
        <v/>
      </c>
      <c r="AC149" s="60"/>
      <c r="AD149" s="20"/>
      <c r="AE149" s="20" t="str">
        <f t="shared" si="23"/>
        <v/>
      </c>
      <c r="AF149" s="61" t="str" cm="1">
        <f t="array" ref="AF149">IF(AC149="","",SUMPRODUCT(($F$138:$F$157=AC149)*($G$138:$G$157=IF(AD149="","",AD149))*$P$138:$P$157))</f>
        <v/>
      </c>
    </row>
    <row r="150" spans="1:32">
      <c r="A150" s="1" t="s">
        <v>149</v>
      </c>
      <c r="B150" t="str">
        <f t="shared" si="26"/>
        <v>Dots in Status or Mystery Cult Initiation representing human secret societies also count as dots of Herd.</v>
      </c>
      <c r="D150" s="19"/>
      <c r="E150" s="15" t="s">
        <v>188</v>
      </c>
      <c r="F150" s="3"/>
      <c r="G150" s="3" t="str">
        <f>IFERROR(VLOOKUP(F150,tblManoeuvre[#Data],2,FALSE)&amp;" "&amp;VLOOKUP(F150,tblManoeuvre[#Data],3,FALSE),"")</f>
        <v/>
      </c>
      <c r="H150" s="67" t="str">
        <f>IFERROR(IF(VLOOKUP(F150,tblManoeuvre[],8,FALSE)=0,"None",VLOOKUP(F150,tblManoeuvre[],8,FALSE)),"None")</f>
        <v>None</v>
      </c>
      <c r="I150" s="67"/>
      <c r="L150" s="4"/>
      <c r="M150" s="4"/>
      <c r="N150" s="4"/>
      <c r="O150" s="61">
        <f t="shared" si="24"/>
        <v>0</v>
      </c>
      <c r="P150" s="60">
        <f t="shared" si="25"/>
        <v>0</v>
      </c>
      <c r="Q150" s="61" t="str">
        <f>_xlfn.IFNA(VLOOKUP($F150,tblInfluence[],3,FALSE),"")</f>
        <v/>
      </c>
      <c r="R150" s="61" t="str">
        <f>_xlfn.IFNA(VLOOKUP($F150,tblInfluence[],4,FALSE),"")</f>
        <v/>
      </c>
      <c r="Y150" s="15" t="s">
        <v>192</v>
      </c>
      <c r="Z150" s="19"/>
      <c r="AA150" s="61" t="str">
        <f t="shared" si="22"/>
        <v/>
      </c>
      <c r="AC150" s="60"/>
      <c r="AD150" s="20"/>
      <c r="AE150" s="20" t="str">
        <f t="shared" si="23"/>
        <v/>
      </c>
      <c r="AF150" s="61" t="str" cm="1">
        <f t="array" ref="AF150">IF(AC150="","",SUMPRODUCT(($F$138:$F$157=AC150)*($G$138:$G$157=IF(AD150="","",AD150))*$P$138:$P$157))</f>
        <v/>
      </c>
    </row>
    <row r="151" spans="1:32">
      <c r="A151" s="1" t="s">
        <v>150</v>
      </c>
      <c r="B151" t="str">
        <f t="shared" si="26"/>
        <v>¬</v>
      </c>
      <c r="D151" s="19"/>
      <c r="E151" s="15" t="s">
        <v>189</v>
      </c>
      <c r="F151" s="3"/>
      <c r="G151" s="3" t="str">
        <f>IFERROR(VLOOKUP(F151,tblManoeuvre[#Data],2,FALSE)&amp;" "&amp;VLOOKUP(F151,tblManoeuvre[#Data],3,FALSE),"")</f>
        <v/>
      </c>
      <c r="H151" s="67" t="str">
        <f>IFERROR(IF(VLOOKUP(F151,tblManoeuvre[],8,FALSE)=0,"None",VLOOKUP(F151,tblManoeuvre[],8,FALSE)),"None")</f>
        <v>None</v>
      </c>
      <c r="I151" s="67"/>
      <c r="L151" s="4"/>
      <c r="M151" s="4"/>
      <c r="N151" s="4"/>
      <c r="O151" s="61">
        <f t="shared" si="24"/>
        <v>0</v>
      </c>
      <c r="P151" s="60">
        <f t="shared" si="25"/>
        <v>0</v>
      </c>
      <c r="Q151" s="61" t="str">
        <f>_xlfn.IFNA(VLOOKUP($F151,tblInfluence[],3,FALSE),"")</f>
        <v/>
      </c>
      <c r="R151" s="61" t="str">
        <f>_xlfn.IFNA(VLOOKUP($F151,tblInfluence[],4,FALSE),"")</f>
        <v/>
      </c>
      <c r="Y151" s="15" t="s">
        <v>193</v>
      </c>
      <c r="Z151" s="19"/>
      <c r="AA151" s="61" t="str">
        <f t="shared" si="22"/>
        <v/>
      </c>
      <c r="AC151" s="60"/>
      <c r="AD151" s="20"/>
      <c r="AE151" s="20" t="str">
        <f t="shared" si="23"/>
        <v/>
      </c>
      <c r="AF151" s="61" t="str" cm="1">
        <f t="array" ref="AF151">IF(AC151="","",SUMPRODUCT(($F$138:$F$157=AC151)*($G$138:$G$157=IF(AD151="","",AD151))*$P$138:$P$157))</f>
        <v/>
      </c>
    </row>
    <row r="152" spans="1:32">
      <c r="A152" s="1" t="s">
        <v>151</v>
      </c>
      <c r="B152" t="str">
        <f t="shared" si="26"/>
        <v>¬</v>
      </c>
      <c r="D152" s="19"/>
      <c r="E152" s="15" t="s">
        <v>190</v>
      </c>
      <c r="F152" s="3"/>
      <c r="G152" s="3" t="str">
        <f>IFERROR(VLOOKUP(F152,tblManoeuvre[#Data],2,FALSE)&amp;" "&amp;VLOOKUP(F152,tblManoeuvre[#Data],3,FALSE),"")</f>
        <v/>
      </c>
      <c r="H152" s="67" t="str">
        <f>IFERROR(IF(VLOOKUP(F152,tblManoeuvre[],8,FALSE)=0,"None",VLOOKUP(F152,tblManoeuvre[],8,FALSE)),"None")</f>
        <v>None</v>
      </c>
      <c r="I152" s="67"/>
      <c r="L152" s="4"/>
      <c r="M152" s="4"/>
      <c r="N152" s="4"/>
      <c r="O152" s="61">
        <f t="shared" si="24"/>
        <v>0</v>
      </c>
      <c r="P152" s="60">
        <f t="shared" si="25"/>
        <v>0</v>
      </c>
      <c r="Q152" s="61" t="str">
        <f>_xlfn.IFNA(VLOOKUP($F152,tblInfluence[],3,FALSE),"")</f>
        <v/>
      </c>
      <c r="R152" s="61" t="str">
        <f>_xlfn.IFNA(VLOOKUP($F152,tblInfluence[],4,FALSE),"")</f>
        <v/>
      </c>
      <c r="Y152" s="15" t="s">
        <v>194</v>
      </c>
      <c r="Z152" s="19"/>
      <c r="AA152" s="61" t="str">
        <f t="shared" si="22"/>
        <v/>
      </c>
      <c r="AC152" s="60"/>
      <c r="AD152" s="20"/>
      <c r="AE152" s="20" t="str">
        <f t="shared" si="23"/>
        <v/>
      </c>
      <c r="AF152" s="61" t="str" cm="1">
        <f t="array" ref="AF152">IF(AC152="","",SUMPRODUCT(($F$138:$F$157=AC152)*($G$138:$G$157=IF(AD152="","",AD152))*$P$138:$P$157))</f>
        <v/>
      </c>
    </row>
    <row r="153" spans="1:32">
      <c r="A153" s="1" t="s">
        <v>152</v>
      </c>
      <c r="B153" t="str">
        <f t="shared" si="26"/>
        <v>¬</v>
      </c>
      <c r="D153" s="19"/>
      <c r="E153" s="15" t="s">
        <v>191</v>
      </c>
      <c r="F153" s="3"/>
      <c r="G153" s="3" t="str">
        <f>IFERROR(VLOOKUP(F153,tblManoeuvre[#Data],2,FALSE)&amp;" "&amp;VLOOKUP(F153,tblManoeuvre[#Data],3,FALSE),"")</f>
        <v/>
      </c>
      <c r="H153" s="67" t="str">
        <f>IFERROR(IF(VLOOKUP(F153,tblManoeuvre[],8,FALSE)=0,"None",VLOOKUP(F153,tblManoeuvre[],8,FALSE)),"None")</f>
        <v>None</v>
      </c>
      <c r="I153" s="67"/>
      <c r="L153" s="4"/>
      <c r="M153" s="4"/>
      <c r="N153" s="4"/>
      <c r="O153" s="61">
        <f t="shared" si="24"/>
        <v>0</v>
      </c>
      <c r="P153" s="60">
        <f t="shared" si="25"/>
        <v>0</v>
      </c>
      <c r="Q153" s="61" t="str">
        <f>_xlfn.IFNA(VLOOKUP($F153,tblInfluence[],3,FALSE),"")</f>
        <v/>
      </c>
      <c r="R153" s="61" t="str">
        <f>_xlfn.IFNA(VLOOKUP($F153,tblInfluence[],4,FALSE),"")</f>
        <v/>
      </c>
      <c r="Y153" s="15" t="s">
        <v>195</v>
      </c>
      <c r="Z153" s="19"/>
      <c r="AA153" s="61" t="str">
        <f t="shared" si="22"/>
        <v/>
      </c>
      <c r="AC153" s="60"/>
      <c r="AD153" s="20"/>
      <c r="AE153" s="20" t="str">
        <f t="shared" si="23"/>
        <v/>
      </c>
      <c r="AF153" s="61" t="str" cm="1">
        <f t="array" ref="AF153">IF(AC153="","",SUMPRODUCT(($F$138:$F$157=AC153)*($G$138:$G$157=IF(AD153="","",AD153))*$P$138:$P$157))</f>
        <v/>
      </c>
    </row>
    <row r="154" spans="1:32">
      <c r="A154" s="1" t="s">
        <v>153</v>
      </c>
      <c r="B154" t="str">
        <f t="shared" si="26"/>
        <v>¬</v>
      </c>
      <c r="D154" s="19"/>
      <c r="E154" s="15" t="s">
        <v>192</v>
      </c>
      <c r="F154" s="3"/>
      <c r="G154" s="3" t="str">
        <f>IFERROR(VLOOKUP(F154,tblManoeuvre[#Data],2,FALSE)&amp;" "&amp;VLOOKUP(F154,tblManoeuvre[#Data],3,FALSE),"")</f>
        <v/>
      </c>
      <c r="H154" s="67" t="str">
        <f>IFERROR(IF(VLOOKUP(F154,tblManoeuvre[],8,FALSE)=0,"None",VLOOKUP(F154,tblManoeuvre[],8,FALSE)),"None")</f>
        <v>None</v>
      </c>
      <c r="I154" s="67"/>
      <c r="L154" s="4"/>
      <c r="M154" s="4"/>
      <c r="N154" s="4"/>
      <c r="O154" s="61">
        <f t="shared" si="24"/>
        <v>0</v>
      </c>
      <c r="P154" s="60">
        <f t="shared" si="25"/>
        <v>0</v>
      </c>
      <c r="Q154" s="61" t="str">
        <f>_xlfn.IFNA(VLOOKUP($F154,tblInfluence[],3,FALSE),"")</f>
        <v/>
      </c>
      <c r="R154" s="61" t="str">
        <f>_xlfn.IFNA(VLOOKUP($F154,tblInfluence[],4,FALSE),"")</f>
        <v/>
      </c>
    </row>
    <row r="155" spans="1:32">
      <c r="A155" s="1" t="s">
        <v>154</v>
      </c>
      <c r="B155" t="str">
        <f t="shared" si="26"/>
        <v>¬</v>
      </c>
      <c r="D155" s="19"/>
      <c r="E155" s="15" t="s">
        <v>193</v>
      </c>
      <c r="F155" s="3"/>
      <c r="G155" s="3" t="str">
        <f>IFERROR(VLOOKUP(F155,tblManoeuvre[#Data],2,FALSE)&amp;" "&amp;VLOOKUP(F155,tblManoeuvre[#Data],3,FALSE),"")</f>
        <v/>
      </c>
      <c r="H155" s="67" t="str">
        <f>IFERROR(IF(VLOOKUP(F155,tblManoeuvre[],8,FALSE)=0,"None",VLOOKUP(F155,tblManoeuvre[],8,FALSE)),"None")</f>
        <v>None</v>
      </c>
      <c r="I155" s="67"/>
      <c r="L155" s="4"/>
      <c r="M155" s="4"/>
      <c r="N155" s="4"/>
      <c r="O155" s="61">
        <f t="shared" si="24"/>
        <v>0</v>
      </c>
      <c r="P155" s="60">
        <f t="shared" si="25"/>
        <v>0</v>
      </c>
      <c r="Q155" s="61" t="str">
        <f>_xlfn.IFNA(VLOOKUP($F155,tblInfluence[],3,FALSE),"")</f>
        <v/>
      </c>
      <c r="R155" s="61" t="str">
        <f>_xlfn.IFNA(VLOOKUP($F155,tblInfluence[],4,FALSE),"")</f>
        <v/>
      </c>
      <c r="AE155" s="61">
        <f>IF(P160=5,1,0)</f>
        <v>1</v>
      </c>
    </row>
    <row r="156" spans="1:32">
      <c r="A156" s="1" t="s">
        <v>155</v>
      </c>
      <c r="B156" t="str">
        <f t="shared" si="26"/>
        <v>¬</v>
      </c>
      <c r="D156" s="19"/>
      <c r="E156" s="15" t="s">
        <v>194</v>
      </c>
      <c r="F156" s="3"/>
      <c r="G156" s="3" t="str">
        <f>IFERROR(VLOOKUP(F156,tblManoeuvre[#Data],2,FALSE)&amp;" "&amp;VLOOKUP(F156,tblManoeuvre[#Data],3,FALSE),"")</f>
        <v/>
      </c>
      <c r="H156" s="67" t="str">
        <f>IFERROR(IF(VLOOKUP(F156,tblManoeuvre[],8,FALSE)=0,"None",VLOOKUP(F156,tblManoeuvre[],8,FALSE)),"None")</f>
        <v>None</v>
      </c>
      <c r="I156" s="67"/>
      <c r="L156" s="4"/>
      <c r="M156" s="4"/>
      <c r="N156" s="4"/>
      <c r="O156" s="61">
        <f t="shared" si="24"/>
        <v>0</v>
      </c>
      <c r="P156" s="60">
        <f t="shared" si="25"/>
        <v>0</v>
      </c>
      <c r="Q156" s="61" t="str">
        <f>_xlfn.IFNA(VLOOKUP($F156,tblInfluence[],3,FALSE),"")</f>
        <v/>
      </c>
      <c r="R156" s="61" t="str">
        <f>_xlfn.IFNA(VLOOKUP($F156,tblInfluence[],4,FALSE),"")</f>
        <v/>
      </c>
      <c r="AE156" s="61" t="b">
        <f>COUNTIF(AA2:AA21,"*Honey With Vinegar*")&gt;0</f>
        <v>1</v>
      </c>
    </row>
    <row r="157" spans="1:32">
      <c r="A157" s="1" t="s">
        <v>156</v>
      </c>
      <c r="B157" t="str">
        <f t="shared" si="26"/>
        <v>¬</v>
      </c>
      <c r="D157" s="19"/>
      <c r="E157" s="15" t="s">
        <v>195</v>
      </c>
      <c r="F157" s="3"/>
      <c r="G157" s="3" t="str">
        <f>IFERROR(VLOOKUP(F157,tblManoeuvre[#Data],2,FALSE)&amp;" "&amp;VLOOKUP(F157,tblManoeuvre[#Data],3,FALSE),"")</f>
        <v/>
      </c>
      <c r="H157" s="67" t="str">
        <f>IFERROR(IF(VLOOKUP(F157,tblManoeuvre[],8,FALSE)=0,"None",VLOOKUP(F157,tblManoeuvre[],8,FALSE)),"None")</f>
        <v>None</v>
      </c>
      <c r="I157" s="67"/>
      <c r="L157" s="4"/>
      <c r="M157" s="4"/>
      <c r="N157" s="4"/>
      <c r="O157" s="61">
        <f t="shared" si="24"/>
        <v>0</v>
      </c>
      <c r="P157" s="60">
        <f t="shared" si="25"/>
        <v>0</v>
      </c>
      <c r="Q157" s="61" t="str">
        <f>_xlfn.IFNA(VLOOKUP($F157,tblInfluence[],3,FALSE),"")</f>
        <v/>
      </c>
      <c r="R157" s="61" t="str">
        <f>_xlfn.IFNA(VLOOKUP($F157,tblInfluence[],4,FALSE),"")</f>
        <v/>
      </c>
    </row>
    <row r="158" spans="1:32">
      <c r="A158" s="1" t="s">
        <v>157</v>
      </c>
      <c r="B158" t="str">
        <f t="shared" si="26"/>
        <v>¬</v>
      </c>
    </row>
    <row r="159" spans="1:32">
      <c r="A159" s="1" t="s">
        <v>158</v>
      </c>
      <c r="B159" t="str">
        <f t="shared" si="26"/>
        <v>¬</v>
      </c>
      <c r="D159" s="16" t="s">
        <v>1486</v>
      </c>
      <c r="E159" s="17"/>
      <c r="F159" s="17" t="s">
        <v>1487</v>
      </c>
      <c r="G159" s="17"/>
      <c r="H159" s="17"/>
      <c r="I159" s="17"/>
    </row>
    <row r="160" spans="1:32">
      <c r="A160" s="1" t="s">
        <v>159</v>
      </c>
      <c r="B160" t="str">
        <f t="shared" si="26"/>
        <v>¬</v>
      </c>
      <c r="D160" s="19"/>
      <c r="E160" s="15" t="s">
        <v>98</v>
      </c>
      <c r="F160" s="3" t="s">
        <v>1699</v>
      </c>
      <c r="G160" s="60"/>
      <c r="H160" s="60"/>
      <c r="I160" s="60"/>
      <c r="L160" s="4">
        <v>1</v>
      </c>
      <c r="M160" s="4"/>
      <c r="N160" s="4">
        <v>4</v>
      </c>
      <c r="O160" s="61">
        <f>N160</f>
        <v>4</v>
      </c>
      <c r="P160" s="60">
        <f>MIN(SUM(L160,M160,O160),R160)</f>
        <v>5</v>
      </c>
      <c r="Q160" s="61">
        <v>1</v>
      </c>
      <c r="R160" s="61">
        <v>5</v>
      </c>
    </row>
    <row r="161" spans="1:18">
      <c r="A161" s="1" t="s">
        <v>160</v>
      </c>
      <c r="B161" t="str">
        <f t="shared" si="26"/>
        <v>¬</v>
      </c>
      <c r="D161" s="19"/>
      <c r="E161" s="15" t="s">
        <v>100</v>
      </c>
      <c r="F161" s="3"/>
      <c r="G161" s="60"/>
      <c r="H161" s="60"/>
      <c r="I161" s="60"/>
      <c r="L161" s="4"/>
      <c r="M161" s="4"/>
      <c r="N161" s="4"/>
      <c r="O161" s="61">
        <f>N161</f>
        <v>0</v>
      </c>
      <c r="P161" s="60">
        <f>MIN(SUM(L161,M161,O161),R161)</f>
        <v>0</v>
      </c>
      <c r="Q161" s="61">
        <v>1</v>
      </c>
      <c r="R161" s="61">
        <v>5</v>
      </c>
    </row>
    <row r="162" spans="1:18">
      <c r="A162" s="1" t="s">
        <v>161</v>
      </c>
      <c r="B162" t="str">
        <f t="shared" si="26"/>
        <v>¬</v>
      </c>
    </row>
    <row r="163" spans="1:18" ht="15.75" thickBot="1">
      <c r="A163" s="1" t="s">
        <v>162</v>
      </c>
      <c r="B163" t="str">
        <f t="shared" si="26"/>
        <v>¬</v>
      </c>
      <c r="D163" s="14" t="s">
        <v>1488</v>
      </c>
      <c r="E163" s="14"/>
      <c r="F163" s="14"/>
      <c r="G163" s="14"/>
      <c r="H163" s="14"/>
      <c r="I163" s="14"/>
      <c r="N163" s="60">
        <f>SUM(N165:N174)+SUM(N177:N181)+SUM(N184:N185)+SUM(N187:N191)+SUM(N194:N203)</f>
        <v>6</v>
      </c>
    </row>
    <row r="164" spans="1:18">
      <c r="A164" s="1" t="s">
        <v>163</v>
      </c>
      <c r="B164" t="str">
        <f t="shared" si="26"/>
        <v>¬</v>
      </c>
      <c r="D164" s="16" t="s">
        <v>1489</v>
      </c>
      <c r="E164" s="15" t="s">
        <v>1490</v>
      </c>
      <c r="F164" s="61" t="str">
        <f>IFERROR(IF($F$8="",VLOOKUP($F$7,tblClans[],5,FALSE),VLOOKUP($F$8,tblBloodlines[],5,FALSE)),"")</f>
        <v>Celerity</v>
      </c>
      <c r="G164" s="61" t="str">
        <f>IFERROR(IF($F$8="",VLOOKUP($F$7,tblClans[],6,FALSE),VLOOKUP($F$8,tblBloodlines[],6,FALSE)),"")</f>
        <v>Majesty</v>
      </c>
      <c r="H164" s="61" t="str">
        <f>IFERROR(IF($F$8="",VLOOKUP($F$7,tblClans[],7,FALSE),VLOOKUP($F$8,tblBloodlines[],7,FALSE)),"")</f>
        <v>Vigour</v>
      </c>
      <c r="I164" s="61" t="str">
        <f>IFERROR(IF($F$8="",VLOOKUP($F$7,tblClans[],8,FALSE),VLOOKUP($F$8,tblBloodlines[],8,FALSE)),"")</f>
        <v/>
      </c>
      <c r="L164" s="60">
        <f>3-SUM(L165:L174)-SUM(L184:L185)</f>
        <v>0</v>
      </c>
    </row>
    <row r="165" spans="1:18">
      <c r="A165" s="1" t="s">
        <v>164</v>
      </c>
      <c r="B165" t="str">
        <f t="shared" si="26"/>
        <v>¬</v>
      </c>
      <c r="D165" s="19"/>
      <c r="E165" s="15" t="s">
        <v>236</v>
      </c>
      <c r="F165" s="19"/>
      <c r="G165" s="19"/>
      <c r="H165" s="19"/>
      <c r="I165" s="19"/>
      <c r="L165" s="4"/>
      <c r="N165" s="4"/>
      <c r="O165" s="61">
        <f t="shared" ref="O165:O174" si="27">ROUNDDOWN(IF(COUNTIF($F$164:$I$164,$E165)&gt;0,N165/3,N165/4),0)</f>
        <v>0</v>
      </c>
      <c r="P165" s="60">
        <f>MIN(SUM(L165,O165),R165)</f>
        <v>0</v>
      </c>
      <c r="Q165" s="61">
        <v>0</v>
      </c>
      <c r="R165" s="61">
        <v>5</v>
      </c>
    </row>
    <row r="166" spans="1:18">
      <c r="A166" s="1" t="s">
        <v>165</v>
      </c>
      <c r="B166" t="str">
        <f t="shared" si="26"/>
        <v>¬</v>
      </c>
      <c r="D166" s="19"/>
      <c r="E166" s="15" t="s">
        <v>237</v>
      </c>
      <c r="F166" s="19"/>
      <c r="G166" s="19"/>
      <c r="H166" s="19"/>
      <c r="I166" s="19"/>
      <c r="L166" s="4"/>
      <c r="N166" s="4"/>
      <c r="O166" s="61">
        <f t="shared" si="27"/>
        <v>0</v>
      </c>
      <c r="P166" s="60">
        <f t="shared" ref="P166:P174" si="28">MIN(SUM(L166,O166),R166)</f>
        <v>0</v>
      </c>
      <c r="Q166" s="61">
        <v>0</v>
      </c>
      <c r="R166" s="61">
        <v>5</v>
      </c>
    </row>
    <row r="167" spans="1:18">
      <c r="A167" s="1" t="s">
        <v>166</v>
      </c>
      <c r="B167" t="str">
        <f t="shared" si="26"/>
        <v>¬</v>
      </c>
      <c r="D167" s="19"/>
      <c r="E167" s="15" t="s">
        <v>238</v>
      </c>
      <c r="F167" s="19"/>
      <c r="G167" s="19"/>
      <c r="H167" s="19"/>
      <c r="I167" s="19"/>
      <c r="L167" s="4"/>
      <c r="N167" s="4">
        <v>3</v>
      </c>
      <c r="O167" s="61">
        <f t="shared" si="27"/>
        <v>1</v>
      </c>
      <c r="P167" s="60">
        <f t="shared" si="28"/>
        <v>1</v>
      </c>
      <c r="Q167" s="61">
        <v>0</v>
      </c>
      <c r="R167" s="61">
        <v>5</v>
      </c>
    </row>
    <row r="168" spans="1:18">
      <c r="A168" s="1" t="s">
        <v>167</v>
      </c>
      <c r="B168" t="str">
        <f t="shared" si="26"/>
        <v>¬</v>
      </c>
      <c r="D168" s="19"/>
      <c r="E168" s="15" t="s">
        <v>239</v>
      </c>
      <c r="F168" s="19"/>
      <c r="G168" s="19"/>
      <c r="H168" s="19"/>
      <c r="I168" s="19"/>
      <c r="L168" s="4">
        <v>1</v>
      </c>
      <c r="N168" s="4"/>
      <c r="O168" s="61">
        <f t="shared" si="27"/>
        <v>0</v>
      </c>
      <c r="P168" s="60">
        <f t="shared" si="28"/>
        <v>1</v>
      </c>
      <c r="Q168" s="61">
        <v>0</v>
      </c>
      <c r="R168" s="61">
        <v>5</v>
      </c>
    </row>
    <row r="169" spans="1:18">
      <c r="A169" s="1" t="s">
        <v>168</v>
      </c>
      <c r="B169" t="str">
        <f t="shared" si="26"/>
        <v>¬</v>
      </c>
      <c r="D169" s="19"/>
      <c r="E169" s="15" t="s">
        <v>240</v>
      </c>
      <c r="F169" s="19"/>
      <c r="G169" s="19"/>
      <c r="H169" s="19"/>
      <c r="I169" s="19"/>
      <c r="L169" s="4">
        <v>2</v>
      </c>
      <c r="N169" s="4">
        <v>3</v>
      </c>
      <c r="O169" s="61">
        <f t="shared" si="27"/>
        <v>1</v>
      </c>
      <c r="P169" s="60">
        <f t="shared" si="28"/>
        <v>3</v>
      </c>
      <c r="Q169" s="61">
        <v>0</v>
      </c>
      <c r="R169" s="61">
        <v>5</v>
      </c>
    </row>
    <row r="170" spans="1:18">
      <c r="A170" s="1" t="s">
        <v>169</v>
      </c>
      <c r="B170" t="str">
        <f t="shared" si="26"/>
        <v>¬</v>
      </c>
      <c r="D170" s="19"/>
      <c r="E170" s="15" t="s">
        <v>241</v>
      </c>
      <c r="F170" s="19"/>
      <c r="G170" s="19"/>
      <c r="H170" s="19"/>
      <c r="I170" s="19"/>
      <c r="L170" s="4"/>
      <c r="N170" s="4"/>
      <c r="O170" s="61">
        <f t="shared" si="27"/>
        <v>0</v>
      </c>
      <c r="P170" s="60">
        <f t="shared" si="28"/>
        <v>0</v>
      </c>
      <c r="Q170" s="61">
        <v>0</v>
      </c>
      <c r="R170" s="61">
        <v>5</v>
      </c>
    </row>
    <row r="171" spans="1:18">
      <c r="A171" s="1" t="s">
        <v>170</v>
      </c>
      <c r="B171" t="str">
        <f t="shared" si="26"/>
        <v>¬</v>
      </c>
      <c r="D171" s="19"/>
      <c r="E171" s="15" t="s">
        <v>242</v>
      </c>
      <c r="F171" s="19"/>
      <c r="G171" s="19"/>
      <c r="H171" s="19"/>
      <c r="I171" s="19"/>
      <c r="L171" s="4"/>
      <c r="N171" s="4"/>
      <c r="O171" s="61">
        <f t="shared" si="27"/>
        <v>0</v>
      </c>
      <c r="P171" s="60">
        <f t="shared" si="28"/>
        <v>0</v>
      </c>
      <c r="Q171" s="61">
        <v>0</v>
      </c>
      <c r="R171" s="61">
        <v>5</v>
      </c>
    </row>
    <row r="172" spans="1:18">
      <c r="A172" s="1" t="s">
        <v>171</v>
      </c>
      <c r="B172" t="str">
        <f t="shared" si="26"/>
        <v>¬</v>
      </c>
      <c r="D172" s="19"/>
      <c r="E172" s="15" t="s">
        <v>243</v>
      </c>
      <c r="F172" s="19"/>
      <c r="G172" s="19"/>
      <c r="H172" s="19"/>
      <c r="I172" s="19"/>
      <c r="L172" s="4"/>
      <c r="N172" s="4"/>
      <c r="O172" s="61">
        <f t="shared" si="27"/>
        <v>0</v>
      </c>
      <c r="P172" s="60">
        <f t="shared" si="28"/>
        <v>0</v>
      </c>
      <c r="Q172" s="61">
        <v>0</v>
      </c>
      <c r="R172" s="61">
        <v>5</v>
      </c>
    </row>
    <row r="173" spans="1:18">
      <c r="A173" s="1" t="s">
        <v>172</v>
      </c>
      <c r="B173" t="str">
        <f t="shared" si="26"/>
        <v>¬</v>
      </c>
      <c r="D173" s="19"/>
      <c r="E173" s="15" t="s">
        <v>244</v>
      </c>
      <c r="F173" s="19"/>
      <c r="G173" s="19"/>
      <c r="H173" s="19"/>
      <c r="I173" s="19"/>
      <c r="L173" s="4"/>
      <c r="N173" s="4"/>
      <c r="O173" s="61">
        <f t="shared" si="27"/>
        <v>0</v>
      </c>
      <c r="P173" s="60">
        <f t="shared" si="28"/>
        <v>0</v>
      </c>
      <c r="Q173" s="61">
        <v>0</v>
      </c>
      <c r="R173" s="61">
        <v>5</v>
      </c>
    </row>
    <row r="174" spans="1:18">
      <c r="A174" s="1" t="s">
        <v>173</v>
      </c>
      <c r="B174" t="str">
        <f t="shared" si="26"/>
        <v>¬</v>
      </c>
      <c r="D174" s="19"/>
      <c r="E174" s="15" t="s">
        <v>245</v>
      </c>
      <c r="F174" s="19"/>
      <c r="G174" s="19"/>
      <c r="H174" s="19"/>
      <c r="I174" s="19"/>
      <c r="L174" s="4"/>
      <c r="N174" s="4"/>
      <c r="O174" s="61">
        <f t="shared" si="27"/>
        <v>0</v>
      </c>
      <c r="P174" s="60">
        <f t="shared" si="28"/>
        <v>0</v>
      </c>
      <c r="Q174" s="61">
        <v>0</v>
      </c>
      <c r="R174" s="61">
        <v>5</v>
      </c>
    </row>
    <row r="175" spans="1:18">
      <c r="A175" s="1" t="s">
        <v>174</v>
      </c>
      <c r="B175" t="str">
        <f>_xlfn.CONCAT(I137-H137," / ",I137)</f>
        <v>7 / 11</v>
      </c>
    </row>
    <row r="176" spans="1:18">
      <c r="A176" s="1" t="s">
        <v>175</v>
      </c>
      <c r="B176" t="str">
        <f>REPT("□",I137-H137) &amp; REPT("■",H137)</f>
        <v>□□□□□□□■■■■</v>
      </c>
      <c r="D176" s="16" t="s">
        <v>1491</v>
      </c>
      <c r="E176" s="16"/>
      <c r="F176" s="16"/>
      <c r="G176" s="16"/>
      <c r="H176" s="16"/>
      <c r="I176" s="16"/>
    </row>
    <row r="177" spans="1:18">
      <c r="A177" s="1" t="s">
        <v>176</v>
      </c>
      <c r="B177" t="str">
        <f t="shared" ref="B177:B196" si="29">IF(AC134="","¬",AC134)</f>
        <v>Allies</v>
      </c>
      <c r="D177" s="19"/>
      <c r="E177" s="15" t="s">
        <v>1492</v>
      </c>
      <c r="F177" s="3"/>
      <c r="G177" s="19"/>
      <c r="H177" s="72" t="str">
        <f>IFERROR(IF(VLOOKUP(F177,tblDisciplines[],14,FALSE)=0,"None",VLOOKUP(F177,tblDisciplines[],14,FALSE)),"None")</f>
        <v>None</v>
      </c>
      <c r="I177" s="73"/>
      <c r="N177" s="4"/>
      <c r="O177" s="61">
        <f>N177</f>
        <v>0</v>
      </c>
      <c r="P177" s="60" t="str">
        <f>IF(O177=R177,O177,"")</f>
        <v/>
      </c>
      <c r="R177" s="61" t="str">
        <f>_xlfn.IFNA(VLOOKUP(F177,tblDisciplines[],15,FALSE),"")</f>
        <v/>
      </c>
    </row>
    <row r="178" spans="1:18">
      <c r="A178" s="1" t="s">
        <v>177</v>
      </c>
      <c r="B178" t="str">
        <f t="shared" si="29"/>
        <v>Contacts</v>
      </c>
      <c r="D178" s="19"/>
      <c r="E178" s="15" t="s">
        <v>1493</v>
      </c>
      <c r="F178" s="3"/>
      <c r="G178" s="19"/>
      <c r="H178" s="72" t="str">
        <f>IFERROR(IF(VLOOKUP(F178,tblDisciplines[],14,FALSE)=0,"None",VLOOKUP(F178,tblDisciplines[],14,FALSE)),"None")</f>
        <v>None</v>
      </c>
      <c r="I178" s="73"/>
      <c r="N178" s="4"/>
      <c r="O178" s="61">
        <f>N178</f>
        <v>0</v>
      </c>
      <c r="P178" s="60" t="str">
        <f>IF(O178=R178,O178,"")</f>
        <v/>
      </c>
      <c r="R178" s="61" t="str">
        <f>_xlfn.IFNA(VLOOKUP(F178,tblDisciplines[],15,FALSE),"")</f>
        <v/>
      </c>
    </row>
    <row r="179" spans="1:18">
      <c r="A179" s="1" t="s">
        <v>178</v>
      </c>
      <c r="B179" t="str">
        <f t="shared" si="29"/>
        <v>Resources</v>
      </c>
      <c r="D179" s="19"/>
      <c r="E179" s="15" t="s">
        <v>1494</v>
      </c>
      <c r="F179" s="3"/>
      <c r="G179" s="19"/>
      <c r="H179" s="72" t="str">
        <f>IFERROR(IF(VLOOKUP(F179,tblDisciplines[],14,FALSE)=0,"None",VLOOKUP(F179,tblDisciplines[],14,FALSE)),"None")</f>
        <v>None</v>
      </c>
      <c r="I179" s="73"/>
      <c r="N179" s="4"/>
      <c r="O179" s="61">
        <f>N179</f>
        <v>0</v>
      </c>
      <c r="P179" s="60" t="str">
        <f>IF(O179=R179,O179,"")</f>
        <v/>
      </c>
      <c r="R179" s="61" t="str">
        <f>_xlfn.IFNA(VLOOKUP(F179,tblDisciplines[],15,FALSE),"")</f>
        <v/>
      </c>
    </row>
    <row r="180" spans="1:18">
      <c r="A180" s="1" t="s">
        <v>179</v>
      </c>
      <c r="B180" t="str">
        <f t="shared" si="29"/>
        <v>Status</v>
      </c>
      <c r="D180" s="19"/>
      <c r="E180" s="15" t="s">
        <v>1495</v>
      </c>
      <c r="F180" s="3"/>
      <c r="G180" s="19"/>
      <c r="H180" s="72" t="str">
        <f>IFERROR(IF(VLOOKUP(F180,tblDisciplines[],14,FALSE)=0,"None",VLOOKUP(F180,tblDisciplines[],14,FALSE)),"None")</f>
        <v>None</v>
      </c>
      <c r="I180" s="73"/>
      <c r="N180" s="4"/>
      <c r="O180" s="61">
        <f>N180</f>
        <v>0</v>
      </c>
      <c r="P180" s="60" t="str">
        <f>IF(O180=R180,O180,"")</f>
        <v/>
      </c>
      <c r="R180" s="61" t="str">
        <f>_xlfn.IFNA(VLOOKUP(F180,tblDisciplines[],15,FALSE),"")</f>
        <v/>
      </c>
    </row>
    <row r="181" spans="1:18">
      <c r="A181" s="1" t="s">
        <v>180</v>
      </c>
      <c r="B181" t="str">
        <f t="shared" si="29"/>
        <v>¬</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29"/>
        <v>¬</v>
      </c>
    </row>
    <row r="183" spans="1:18">
      <c r="A183" s="1" t="s">
        <v>182</v>
      </c>
      <c r="B183" t="str">
        <f t="shared" si="29"/>
        <v>¬</v>
      </c>
      <c r="D183" s="16" t="s">
        <v>1497</v>
      </c>
      <c r="E183" s="16"/>
      <c r="F183" s="16"/>
      <c r="G183" s="16"/>
      <c r="H183" s="16"/>
      <c r="I183" s="16"/>
    </row>
    <row r="184" spans="1:18">
      <c r="A184" s="1" t="s">
        <v>183</v>
      </c>
      <c r="B184" t="str">
        <f t="shared" si="29"/>
        <v>¬</v>
      </c>
      <c r="D184" s="19"/>
      <c r="E184" s="15" t="s">
        <v>246</v>
      </c>
      <c r="F184" s="19"/>
      <c r="G184" s="19"/>
      <c r="H184" s="19"/>
      <c r="I184" s="60" t="b">
        <f>IF(OR(F$9="Circle of the Crone",COUNTIF(F$79:F$93,"Chorister")&gt;0),TRUE,FALSE)</f>
        <v>0</v>
      </c>
      <c r="L184" s="4"/>
      <c r="N184" s="4"/>
      <c r="O184" s="61">
        <f>ROUNDDOWN(N184/4,0)</f>
        <v>0</v>
      </c>
      <c r="P184" s="60">
        <f>SUM(L184,O184)</f>
        <v>0</v>
      </c>
      <c r="Q184" s="61">
        <v>0</v>
      </c>
      <c r="R184" s="61">
        <v>5</v>
      </c>
    </row>
    <row r="185" spans="1:18">
      <c r="A185" s="1" t="s">
        <v>184</v>
      </c>
      <c r="B185" t="str">
        <f t="shared" si="29"/>
        <v>¬</v>
      </c>
      <c r="D185" s="19"/>
      <c r="E185" s="15" t="s">
        <v>247</v>
      </c>
      <c r="F185" s="19"/>
      <c r="G185" s="19"/>
      <c r="H185" s="19"/>
      <c r="I185" s="60" t="b">
        <f>IF(OR(F$9="Lancea et Sanctum",COUNTIF(F$79:F$93,"Laity")&gt;0),TRUE,FALSE)</f>
        <v>0</v>
      </c>
      <c r="L185" s="4"/>
      <c r="N185" s="4"/>
      <c r="O185" s="61">
        <f>ROUNDDOWN(N185/4,0)</f>
        <v>0</v>
      </c>
      <c r="P185" s="60">
        <f>SUM(L185,O185)</f>
        <v>0</v>
      </c>
      <c r="Q185" s="61">
        <v>0</v>
      </c>
      <c r="R185" s="61">
        <v>5</v>
      </c>
    </row>
    <row r="186" spans="1:18">
      <c r="A186" s="1" t="s">
        <v>185</v>
      </c>
      <c r="B186" t="str">
        <f t="shared" si="29"/>
        <v>¬</v>
      </c>
      <c r="D186" s="19"/>
      <c r="E186" s="19"/>
      <c r="F186" s="19"/>
      <c r="G186" s="19"/>
      <c r="H186" s="19"/>
      <c r="I186" s="19"/>
      <c r="L186" s="60">
        <f>SUM(P184:P185)-SUM(L187:L191)</f>
        <v>0</v>
      </c>
    </row>
    <row r="187" spans="1:18">
      <c r="A187" s="1" t="s">
        <v>186</v>
      </c>
      <c r="B187" t="str">
        <f t="shared" si="29"/>
        <v>¬</v>
      </c>
      <c r="D187" s="19"/>
      <c r="E187" s="15" t="s">
        <v>248</v>
      </c>
      <c r="F187" s="19"/>
      <c r="G187" s="19"/>
      <c r="H187" s="19"/>
      <c r="I187" s="19"/>
      <c r="L187" s="4"/>
      <c r="M187" s="61">
        <f>IF(AND(I184,L184&gt;=1),1,0)</f>
        <v>0</v>
      </c>
      <c r="N187" s="4"/>
      <c r="O187" s="61">
        <f>ROUNDDOWN(N187/2,0)</f>
        <v>0</v>
      </c>
      <c r="P187" s="60">
        <f>MIN(SUM(L187,M187,O187),R187)</f>
        <v>0</v>
      </c>
      <c r="Q187" s="61">
        <v>0</v>
      </c>
      <c r="R187" s="61">
        <f>MAX(P$184,P$185)</f>
        <v>0</v>
      </c>
    </row>
    <row r="188" spans="1:18">
      <c r="A188" s="1" t="s">
        <v>187</v>
      </c>
      <c r="B188" t="str">
        <f t="shared" si="29"/>
        <v>¬</v>
      </c>
      <c r="D188" s="19"/>
      <c r="E188" s="15" t="s">
        <v>249</v>
      </c>
      <c r="F188" s="19"/>
      <c r="G188" s="19"/>
      <c r="H188" s="19"/>
      <c r="I188" s="19"/>
      <c r="L188" s="4"/>
      <c r="M188" s="61"/>
      <c r="N188" s="4"/>
      <c r="O188" s="61">
        <f>ROUNDDOWN(N188/2,0)</f>
        <v>0</v>
      </c>
      <c r="P188" s="60">
        <f>MIN(SUM(L188,M188,O188),R188)</f>
        <v>0</v>
      </c>
      <c r="Q188" s="61">
        <v>0</v>
      </c>
      <c r="R188" s="61">
        <f>MAX(P$184,P$185)</f>
        <v>0</v>
      </c>
    </row>
    <row r="189" spans="1:18">
      <c r="A189" s="1" t="s">
        <v>188</v>
      </c>
      <c r="B189" t="str">
        <f t="shared" si="29"/>
        <v>¬</v>
      </c>
      <c r="D189" s="19"/>
      <c r="E189" s="15" t="s">
        <v>250</v>
      </c>
      <c r="F189" s="19"/>
      <c r="G189" s="19"/>
      <c r="H189" s="19"/>
      <c r="I189" s="19"/>
      <c r="L189" s="4"/>
      <c r="M189" s="61">
        <f>IF(AND(I185,L185&gt;=1),1,0)</f>
        <v>0</v>
      </c>
      <c r="N189" s="4"/>
      <c r="O189" s="61">
        <f>ROUNDDOWN(N189/2,0)</f>
        <v>0</v>
      </c>
      <c r="P189" s="60">
        <f>MIN(SUM(L189,M189,O189),R189)</f>
        <v>0</v>
      </c>
      <c r="Q189" s="61">
        <v>0</v>
      </c>
      <c r="R189" s="61">
        <f>MAX(P$184,P$185)</f>
        <v>0</v>
      </c>
    </row>
    <row r="190" spans="1:18">
      <c r="A190" s="1" t="s">
        <v>189</v>
      </c>
      <c r="B190" t="str">
        <f t="shared" si="29"/>
        <v>¬</v>
      </c>
      <c r="D190" s="19"/>
      <c r="E190" s="15" t="s">
        <v>251</v>
      </c>
      <c r="F190" s="19"/>
      <c r="G190" s="19"/>
      <c r="H190" s="19"/>
      <c r="I190" s="19"/>
      <c r="L190" s="4"/>
      <c r="M190" s="61">
        <f>IF(AND(I184,L184&gt;=1),1,0)</f>
        <v>0</v>
      </c>
      <c r="N190" s="4"/>
      <c r="O190" s="61">
        <f>ROUNDDOWN(N190/2,0)</f>
        <v>0</v>
      </c>
      <c r="P190" s="60">
        <f>MIN(SUM(L190,M190,O190),R190)</f>
        <v>0</v>
      </c>
      <c r="Q190" s="61">
        <v>0</v>
      </c>
      <c r="R190" s="61">
        <f>MAX(P$184,P$185)</f>
        <v>0</v>
      </c>
    </row>
    <row r="191" spans="1:18">
      <c r="A191" s="1" t="s">
        <v>190</v>
      </c>
      <c r="B191" t="str">
        <f t="shared" si="29"/>
        <v>¬</v>
      </c>
      <c r="D191" s="19"/>
      <c r="E191" s="15" t="s">
        <v>252</v>
      </c>
      <c r="F191" s="19"/>
      <c r="G191" s="19"/>
      <c r="H191" s="19"/>
      <c r="I191" s="19"/>
      <c r="L191" s="4"/>
      <c r="M191" s="61">
        <f>IF(AND(I185,L185&gt;=1),1,0)</f>
        <v>0</v>
      </c>
      <c r="N191" s="4"/>
      <c r="O191" s="61">
        <f>ROUNDDOWN(N191/2,0)</f>
        <v>0</v>
      </c>
      <c r="P191" s="60">
        <f>MIN(SUM(L191,M191,O191),R191)</f>
        <v>0</v>
      </c>
      <c r="Q191" s="61">
        <v>0</v>
      </c>
      <c r="R191" s="61">
        <f>MAX(P$184,P$185)</f>
        <v>0</v>
      </c>
    </row>
    <row r="192" spans="1:18">
      <c r="A192" s="1" t="s">
        <v>191</v>
      </c>
      <c r="B192" t="str">
        <f t="shared" si="29"/>
        <v>¬</v>
      </c>
    </row>
    <row r="193" spans="1:18">
      <c r="A193" s="1" t="s">
        <v>192</v>
      </c>
      <c r="B193" t="str">
        <f t="shared" si="29"/>
        <v>¬</v>
      </c>
      <c r="D193" s="16" t="s">
        <v>1474</v>
      </c>
      <c r="E193" s="16"/>
      <c r="F193" s="16"/>
      <c r="G193" s="16"/>
      <c r="H193" s="16"/>
      <c r="I193" s="16"/>
      <c r="L193" s="60">
        <f>SUM(P184:P185)+SUM(O187:O191)-SUM(L194:L203)</f>
        <v>0</v>
      </c>
    </row>
    <row r="194" spans="1:18">
      <c r="A194" s="1" t="s">
        <v>193</v>
      </c>
      <c r="B194" t="str">
        <f t="shared" si="29"/>
        <v>¬</v>
      </c>
      <c r="D194" s="19"/>
      <c r="E194" s="15" t="s">
        <v>1498</v>
      </c>
      <c r="F194" s="3"/>
      <c r="G194" s="61" t="str">
        <f>_xlfn.IFNA(VLOOKUP(F194,tblDisciplines[],2,FALSE),"")</f>
        <v/>
      </c>
      <c r="H194" s="19"/>
      <c r="I194" s="19"/>
      <c r="L194" s="4"/>
      <c r="N194" s="4"/>
      <c r="O194" s="61">
        <f>N194</f>
        <v>0</v>
      </c>
      <c r="P194" s="60" t="str">
        <f>IF(OR(L194=R194,O194=R194),R194,MIN(SUM(L194,O194),R194))</f>
        <v/>
      </c>
      <c r="R194" s="61" t="str">
        <f>_xlfn.IFNA(VLOOKUP(F194,tblDisciplines[],3,FALSE),"")</f>
        <v/>
      </c>
    </row>
    <row r="195" spans="1:18">
      <c r="A195" s="1" t="s">
        <v>194</v>
      </c>
      <c r="B195" t="str">
        <f t="shared" si="29"/>
        <v>¬</v>
      </c>
      <c r="D195" s="19"/>
      <c r="E195" s="15" t="s">
        <v>1499</v>
      </c>
      <c r="F195" s="3"/>
      <c r="G195" s="61" t="str">
        <f>_xlfn.IFNA(VLOOKUP(F195,tblDisciplines[],2,FALSE),"")</f>
        <v/>
      </c>
      <c r="H195" s="19"/>
      <c r="I195" s="19"/>
      <c r="L195" s="4"/>
      <c r="N195" s="4"/>
      <c r="O195" s="61">
        <f t="shared" ref="O195:O203" si="30">N195</f>
        <v>0</v>
      </c>
      <c r="P195" s="60" t="str">
        <f t="shared" ref="P195:P203" si="31">IF(OR(L195=R195,O195=R195),R195,MIN(SUM(L195,O195),R195))</f>
        <v/>
      </c>
      <c r="R195" s="61" t="str">
        <f>_xlfn.IFNA(VLOOKUP(F195,tblDisciplines[],3,FALSE),"")</f>
        <v/>
      </c>
    </row>
    <row r="196" spans="1:18">
      <c r="A196" s="1" t="s">
        <v>195</v>
      </c>
      <c r="B196" t="str">
        <f t="shared" si="29"/>
        <v>¬</v>
      </c>
      <c r="D196" s="19"/>
      <c r="E196" s="15" t="s">
        <v>1500</v>
      </c>
      <c r="F196" s="3"/>
      <c r="G196" s="61" t="str">
        <f>_xlfn.IFNA(VLOOKUP(F196,tblDisciplines[],2,FALSE),"")</f>
        <v/>
      </c>
      <c r="H196" s="19"/>
      <c r="I196" s="19"/>
      <c r="L196" s="4"/>
      <c r="N196" s="4"/>
      <c r="O196" s="61">
        <f t="shared" si="30"/>
        <v>0</v>
      </c>
      <c r="P196" s="60" t="str">
        <f t="shared" si="31"/>
        <v/>
      </c>
      <c r="R196" s="61" t="str">
        <f>_xlfn.IFNA(VLOOKUP(F196,tblDisciplines[],3,FALSE),"")</f>
        <v/>
      </c>
    </row>
    <row r="197" spans="1:18">
      <c r="A197" s="1" t="s">
        <v>196</v>
      </c>
      <c r="B197" t="str">
        <f>IF(AD134="","¬",AD134)</f>
        <v>Underworld</v>
      </c>
      <c r="D197" s="19"/>
      <c r="E197" s="15" t="s">
        <v>1501</v>
      </c>
      <c r="F197" s="3"/>
      <c r="G197" s="61" t="str">
        <f>_xlfn.IFNA(VLOOKUP(F197,tblDisciplines[],2,FALSE),"")</f>
        <v/>
      </c>
      <c r="H197" s="19"/>
      <c r="I197" s="19"/>
      <c r="L197" s="4"/>
      <c r="N197" s="4"/>
      <c r="O197" s="61">
        <f t="shared" si="30"/>
        <v>0</v>
      </c>
      <c r="P197" s="60" t="str">
        <f t="shared" si="31"/>
        <v/>
      </c>
      <c r="R197" s="61" t="str">
        <f>_xlfn.IFNA(VLOOKUP(F197,tblDisciplines[],3,FALSE),"")</f>
        <v/>
      </c>
    </row>
    <row r="198" spans="1:18">
      <c r="A198" s="1" t="s">
        <v>197</v>
      </c>
      <c r="B198" t="str">
        <f t="shared" ref="B198:B216" si="32">IF(AD135="","¬",AD135)</f>
        <v>bureaucracy, industry</v>
      </c>
      <c r="D198" s="19"/>
      <c r="E198" s="15" t="s">
        <v>1502</v>
      </c>
      <c r="F198" s="3"/>
      <c r="G198" s="61" t="str">
        <f>_xlfn.IFNA(VLOOKUP(F198,tblDisciplines[],2,FALSE),"")</f>
        <v/>
      </c>
      <c r="H198" s="19"/>
      <c r="I198" s="19"/>
      <c r="L198" s="4"/>
      <c r="N198" s="4"/>
      <c r="O198" s="61">
        <f t="shared" si="30"/>
        <v>0</v>
      </c>
      <c r="P198" s="60" t="str">
        <f t="shared" si="31"/>
        <v/>
      </c>
      <c r="R198" s="61" t="str">
        <f>_xlfn.IFNA(VLOOKUP(F198,tblDisciplines[],3,FALSE),"")</f>
        <v/>
      </c>
    </row>
    <row r="199" spans="1:18">
      <c r="A199" s="1" t="s">
        <v>198</v>
      </c>
      <c r="B199" t="str">
        <f t="shared" si="32"/>
        <v>¬</v>
      </c>
      <c r="D199" s="19"/>
      <c r="E199" s="15" t="s">
        <v>1503</v>
      </c>
      <c r="F199" s="3"/>
      <c r="G199" s="61" t="str">
        <f>_xlfn.IFNA(VLOOKUP(F199,tblDisciplines[],2,FALSE),"")</f>
        <v/>
      </c>
      <c r="H199" s="19"/>
      <c r="I199" s="19"/>
      <c r="L199" s="4"/>
      <c r="N199" s="4"/>
      <c r="O199" s="61">
        <f t="shared" si="30"/>
        <v>0</v>
      </c>
      <c r="P199" s="60" t="str">
        <f t="shared" si="31"/>
        <v/>
      </c>
      <c r="R199" s="61" t="str">
        <f>_xlfn.IFNA(VLOOKUP(F199,tblDisciplines[],3,FALSE),"")</f>
        <v/>
      </c>
    </row>
    <row r="200" spans="1:18">
      <c r="A200" s="1" t="s">
        <v>199</v>
      </c>
      <c r="B200" t="str">
        <f t="shared" si="32"/>
        <v>LGL - Logistics</v>
      </c>
      <c r="D200" s="19"/>
      <c r="E200" s="15" t="s">
        <v>1504</v>
      </c>
      <c r="F200" s="3"/>
      <c r="G200" s="61" t="str">
        <f>_xlfn.IFNA(VLOOKUP(F200,tblDisciplines[],2,FALSE),"")</f>
        <v/>
      </c>
      <c r="H200" s="19"/>
      <c r="I200" s="19"/>
      <c r="L200" s="4"/>
      <c r="N200" s="4"/>
      <c r="O200" s="61">
        <f t="shared" si="30"/>
        <v>0</v>
      </c>
      <c r="P200" s="60" t="str">
        <f t="shared" si="31"/>
        <v/>
      </c>
      <c r="R200" s="61" t="str">
        <f>_xlfn.IFNA(VLOOKUP(F200,tblDisciplines[],3,FALSE),"")</f>
        <v/>
      </c>
    </row>
    <row r="201" spans="1:18">
      <c r="A201" s="1" t="s">
        <v>200</v>
      </c>
      <c r="B201" t="str">
        <f t="shared" si="32"/>
        <v>¬</v>
      </c>
      <c r="D201" s="19"/>
      <c r="E201" s="15" t="s">
        <v>1505</v>
      </c>
      <c r="F201" s="3"/>
      <c r="G201" s="61" t="str">
        <f>_xlfn.IFNA(VLOOKUP(F201,tblDisciplines[],2,FALSE),"")</f>
        <v/>
      </c>
      <c r="H201" s="19"/>
      <c r="I201" s="19"/>
      <c r="L201" s="4"/>
      <c r="N201" s="4"/>
      <c r="O201" s="61">
        <f t="shared" si="30"/>
        <v>0</v>
      </c>
      <c r="P201" s="60" t="str">
        <f t="shared" si="31"/>
        <v/>
      </c>
      <c r="R201" s="61" t="str">
        <f>_xlfn.IFNA(VLOOKUP(F201,tblDisciplines[],3,FALSE),"")</f>
        <v/>
      </c>
    </row>
    <row r="202" spans="1:18">
      <c r="A202" s="1" t="s">
        <v>201</v>
      </c>
      <c r="B202" t="str">
        <f t="shared" si="32"/>
        <v>¬</v>
      </c>
      <c r="D202" s="19"/>
      <c r="E202" s="15" t="s">
        <v>1506</v>
      </c>
      <c r="F202" s="3"/>
      <c r="G202" s="61" t="str">
        <f>_xlfn.IFNA(VLOOKUP(F202,tblDisciplines[],2,FALSE),"")</f>
        <v/>
      </c>
      <c r="H202" s="19"/>
      <c r="I202" s="19"/>
      <c r="L202" s="4"/>
      <c r="N202" s="4"/>
      <c r="O202" s="61">
        <f t="shared" si="30"/>
        <v>0</v>
      </c>
      <c r="P202" s="60" t="str">
        <f t="shared" si="31"/>
        <v/>
      </c>
      <c r="R202" s="61" t="str">
        <f>_xlfn.IFNA(VLOOKUP(F202,tblDisciplines[],3,FALSE),"")</f>
        <v/>
      </c>
    </row>
    <row r="203" spans="1:18">
      <c r="A203" s="1" t="s">
        <v>202</v>
      </c>
      <c r="B203" t="str">
        <f t="shared" si="32"/>
        <v>¬</v>
      </c>
      <c r="D203" s="19"/>
      <c r="E203" s="15" t="s">
        <v>1507</v>
      </c>
      <c r="F203" s="3"/>
      <c r="G203" s="61" t="str">
        <f>_xlfn.IFNA(VLOOKUP(F203,tblDisciplines[],2,FALSE),"")</f>
        <v/>
      </c>
      <c r="H203" s="19"/>
      <c r="I203" s="19"/>
      <c r="L203" s="4"/>
      <c r="N203" s="4"/>
      <c r="O203" s="61">
        <f t="shared" si="30"/>
        <v>0</v>
      </c>
      <c r="P203" s="60" t="str">
        <f t="shared" si="31"/>
        <v/>
      </c>
      <c r="R203" s="61" t="str">
        <f>_xlfn.IFNA(VLOOKUP(F203,tblDisciplines[],3,FALSE),"")</f>
        <v/>
      </c>
    </row>
    <row r="204" spans="1:18">
      <c r="A204" s="1" t="s">
        <v>203</v>
      </c>
      <c r="B204" t="str">
        <f t="shared" si="32"/>
        <v>¬</v>
      </c>
    </row>
    <row r="205" spans="1:18">
      <c r="A205" s="1" t="s">
        <v>204</v>
      </c>
      <c r="B205" t="str">
        <f t="shared" si="32"/>
        <v>¬</v>
      </c>
      <c r="D205" s="16" t="s">
        <v>1508</v>
      </c>
      <c r="E205" s="17"/>
      <c r="F205" s="17"/>
      <c r="G205" s="17"/>
      <c r="H205" s="17"/>
      <c r="I205" s="17"/>
    </row>
    <row r="206" spans="1:18">
      <c r="A206" s="1" t="s">
        <v>205</v>
      </c>
      <c r="B206" t="str">
        <f t="shared" si="32"/>
        <v>¬</v>
      </c>
      <c r="D206" s="19"/>
      <c r="E206" s="15" t="s">
        <v>1476</v>
      </c>
      <c r="F206" s="3"/>
      <c r="G206" s="19" t="str">
        <f>IFERROR(VLOOKUP(F206,tblManoeuvre[],2,FALSE)&amp;" "&amp;VLOOKUP(F206,tblManoeuvre[],3,FALSE),"")</f>
        <v/>
      </c>
      <c r="H206" s="68" t="str">
        <f>_xlfn.IFNA(IF(VLOOKUP(F206,tblMerits[],6,FALSE)=0,"None",VLOOKUP(F206,tblMerits[],6,FALSE)),"None")</f>
        <v>None</v>
      </c>
      <c r="I206" s="69"/>
      <c r="L206" s="4"/>
      <c r="M206" s="4"/>
      <c r="N206" s="4"/>
      <c r="O206" s="61">
        <f t="shared" ref="O206:O215" si="33">N206</f>
        <v>0</v>
      </c>
      <c r="P206" s="60">
        <f t="shared" ref="P206:P215" si="34">MIN(SUM(L206,M206,O206),R206)</f>
        <v>0</v>
      </c>
      <c r="Q206" s="61" t="str">
        <f>_xlfn.IFNA(VLOOKUP($F206,tblPacts[],3,FALSE),"")</f>
        <v/>
      </c>
      <c r="R206" s="61" t="str">
        <f>_xlfn.IFNA(VLOOKUP($F206,tblPacts[],4,FALSE),"")</f>
        <v/>
      </c>
    </row>
    <row r="207" spans="1:18">
      <c r="A207" s="1" t="s">
        <v>206</v>
      </c>
      <c r="B207" t="str">
        <f t="shared" si="32"/>
        <v>¬</v>
      </c>
      <c r="D207" s="19"/>
      <c r="E207" s="15" t="s">
        <v>1477</v>
      </c>
      <c r="F207" s="3"/>
      <c r="G207" s="19" t="str">
        <f>IFERROR(VLOOKUP(F207,tblManoeuvre[],2,FALSE)&amp;" "&amp;VLOOKUP(F207,tblManoeuvre[],3,FALSE),"")</f>
        <v/>
      </c>
      <c r="H207" s="68" t="str">
        <f>_xlfn.IFNA(IF(VLOOKUP(F207,tblMerits[],6,FALSE)=0,"None",VLOOKUP(F207,tblMerits[],6,FALSE)),"None")</f>
        <v>None</v>
      </c>
      <c r="I207" s="69"/>
      <c r="L207" s="4"/>
      <c r="M207" s="4"/>
      <c r="N207" s="4"/>
      <c r="O207" s="61">
        <f t="shared" si="33"/>
        <v>0</v>
      </c>
      <c r="P207" s="60">
        <f t="shared" si="34"/>
        <v>0</v>
      </c>
      <c r="Q207" s="61" t="str">
        <f>_xlfn.IFNA(VLOOKUP($F207,tblPacts[],3,FALSE),"")</f>
        <v/>
      </c>
      <c r="R207" s="61" t="str">
        <f>_xlfn.IFNA(VLOOKUP($F207,tblPacts[],4,FALSE),"")</f>
        <v/>
      </c>
    </row>
    <row r="208" spans="1:18">
      <c r="A208" s="1" t="s">
        <v>207</v>
      </c>
      <c r="B208" t="str">
        <f t="shared" si="32"/>
        <v>¬</v>
      </c>
      <c r="D208" s="19"/>
      <c r="E208" s="15" t="s">
        <v>1478</v>
      </c>
      <c r="F208" s="3"/>
      <c r="G208" s="19" t="str">
        <f>IFERROR(VLOOKUP(F208,tblManoeuvre[],2,FALSE)&amp;" "&amp;VLOOKUP(F208,tblManoeuvre[],3,FALSE),"")</f>
        <v/>
      </c>
      <c r="H208" s="68" t="str">
        <f>_xlfn.IFNA(IF(VLOOKUP(F208,tblMerits[],6,FALSE)=0,"None",VLOOKUP(F208,tblMerits[],6,FALSE)),"None")</f>
        <v>None</v>
      </c>
      <c r="I208" s="69"/>
      <c r="L208" s="4"/>
      <c r="M208" s="4"/>
      <c r="N208" s="4"/>
      <c r="O208" s="61">
        <f t="shared" si="33"/>
        <v>0</v>
      </c>
      <c r="P208" s="60">
        <f t="shared" si="34"/>
        <v>0</v>
      </c>
      <c r="Q208" s="61" t="str">
        <f>_xlfn.IFNA(VLOOKUP($F208,tblPacts[],3,FALSE),"")</f>
        <v/>
      </c>
      <c r="R208" s="61" t="str">
        <f>_xlfn.IFNA(VLOOKUP($F208,tblPacts[],4,FALSE),"")</f>
        <v/>
      </c>
    </row>
    <row r="209" spans="1:18">
      <c r="A209" s="1" t="s">
        <v>208</v>
      </c>
      <c r="B209" t="str">
        <f t="shared" si="32"/>
        <v>¬</v>
      </c>
      <c r="D209" s="19"/>
      <c r="E209" s="15" t="s">
        <v>1479</v>
      </c>
      <c r="F209" s="3"/>
      <c r="G209" s="19" t="str">
        <f>IFERROR(VLOOKUP(F209,tblManoeuvre[],2,FALSE)&amp;" "&amp;VLOOKUP(F209,tblManoeuvre[],3,FALSE),"")</f>
        <v/>
      </c>
      <c r="H209" s="68" t="str">
        <f>_xlfn.IFNA(IF(VLOOKUP(F209,tblMerits[],6,FALSE)=0,"None",VLOOKUP(F209,tblMerits[],6,FALSE)),"None")</f>
        <v>None</v>
      </c>
      <c r="I209" s="69"/>
      <c r="L209" s="4"/>
      <c r="M209" s="4"/>
      <c r="N209" s="4"/>
      <c r="O209" s="61">
        <f t="shared" si="33"/>
        <v>0</v>
      </c>
      <c r="P209" s="60">
        <f t="shared" si="34"/>
        <v>0</v>
      </c>
      <c r="Q209" s="61" t="str">
        <f>_xlfn.IFNA(VLOOKUP($F209,tblPacts[],3,FALSE),"")</f>
        <v/>
      </c>
      <c r="R209" s="61" t="str">
        <f>_xlfn.IFNA(VLOOKUP($F209,tblPacts[],4,FALSE),"")</f>
        <v/>
      </c>
    </row>
    <row r="210" spans="1:18">
      <c r="A210" s="1" t="s">
        <v>209</v>
      </c>
      <c r="B210" t="str">
        <f t="shared" si="32"/>
        <v>¬</v>
      </c>
      <c r="D210" s="19"/>
      <c r="E210" s="15" t="s">
        <v>1480</v>
      </c>
      <c r="F210" s="3"/>
      <c r="G210" s="19" t="str">
        <f>IFERROR(VLOOKUP(F210,tblManoeuvre[],2,FALSE)&amp;" "&amp;VLOOKUP(F210,tblManoeuvre[],3,FALSE),"")</f>
        <v/>
      </c>
      <c r="H210" s="68" t="str">
        <f>_xlfn.IFNA(IF(VLOOKUP(F210,tblMerits[],6,FALSE)=0,"None",VLOOKUP(F210,tblMerits[],6,FALSE)),"None")</f>
        <v>None</v>
      </c>
      <c r="I210" s="69"/>
      <c r="L210" s="4"/>
      <c r="M210" s="4"/>
      <c r="N210" s="4"/>
      <c r="O210" s="61">
        <f t="shared" si="33"/>
        <v>0</v>
      </c>
      <c r="P210" s="60">
        <f t="shared" si="34"/>
        <v>0</v>
      </c>
      <c r="Q210" s="61" t="str">
        <f>_xlfn.IFNA(VLOOKUP($F210,tblPacts[],3,FALSE),"")</f>
        <v/>
      </c>
      <c r="R210" s="61" t="str">
        <f>_xlfn.IFNA(VLOOKUP($F210,tblPacts[],4,FALSE),"")</f>
        <v/>
      </c>
    </row>
    <row r="211" spans="1:18">
      <c r="A211" s="1" t="s">
        <v>210</v>
      </c>
      <c r="B211" t="str">
        <f t="shared" si="32"/>
        <v>¬</v>
      </c>
      <c r="D211" s="19"/>
      <c r="E211" s="15" t="s">
        <v>1481</v>
      </c>
      <c r="F211" s="3"/>
      <c r="G211" s="19" t="str">
        <f>IFERROR(VLOOKUP(F211,tblManoeuvre[],2,FALSE)&amp;" "&amp;VLOOKUP(F211,tblManoeuvre[],3,FALSE),"")</f>
        <v/>
      </c>
      <c r="H211" s="68" t="str">
        <f>_xlfn.IFNA(IF(VLOOKUP(F211,tblMerits[],6,FALSE)=0,"None",VLOOKUP(F211,tblMerits[],6,FALSE)),"None")</f>
        <v>None</v>
      </c>
      <c r="I211" s="69"/>
      <c r="L211" s="4"/>
      <c r="M211" s="4"/>
      <c r="N211" s="4"/>
      <c r="O211" s="61">
        <f t="shared" si="33"/>
        <v>0</v>
      </c>
      <c r="P211" s="60">
        <f t="shared" si="34"/>
        <v>0</v>
      </c>
      <c r="Q211" s="61" t="str">
        <f>_xlfn.IFNA(VLOOKUP($F211,tblPacts[],3,FALSE),"")</f>
        <v/>
      </c>
      <c r="R211" s="61" t="str">
        <f>_xlfn.IFNA(VLOOKUP($F211,tblPacts[],4,FALSE),"")</f>
        <v/>
      </c>
    </row>
    <row r="212" spans="1:18">
      <c r="A212" s="1" t="s">
        <v>211</v>
      </c>
      <c r="B212" t="str">
        <f t="shared" si="32"/>
        <v>¬</v>
      </c>
      <c r="D212" s="19"/>
      <c r="E212" s="15" t="s">
        <v>1482</v>
      </c>
      <c r="F212" s="3"/>
      <c r="G212" s="19" t="str">
        <f>IFERROR(VLOOKUP(F212,tblManoeuvre[],2,FALSE)&amp;" "&amp;VLOOKUP(F212,tblManoeuvre[],3,FALSE),"")</f>
        <v/>
      </c>
      <c r="H212" s="68" t="str">
        <f>_xlfn.IFNA(IF(VLOOKUP(F212,tblMerits[],6,FALSE)=0,"None",VLOOKUP(F212,tblMerits[],6,FALSE)),"None")</f>
        <v>None</v>
      </c>
      <c r="I212" s="69"/>
      <c r="L212" s="4"/>
      <c r="M212" s="4"/>
      <c r="N212" s="4"/>
      <c r="O212" s="61">
        <f t="shared" si="33"/>
        <v>0</v>
      </c>
      <c r="P212" s="60">
        <f t="shared" si="34"/>
        <v>0</v>
      </c>
      <c r="Q212" s="61" t="str">
        <f>_xlfn.IFNA(VLOOKUP($F212,tblPacts[],3,FALSE),"")</f>
        <v/>
      </c>
      <c r="R212" s="61" t="str">
        <f>_xlfn.IFNA(VLOOKUP($F212,tblPacts[],4,FALSE),"")</f>
        <v/>
      </c>
    </row>
    <row r="213" spans="1:18">
      <c r="A213" s="1" t="s">
        <v>212</v>
      </c>
      <c r="B213" t="str">
        <f t="shared" si="32"/>
        <v>¬</v>
      </c>
      <c r="D213" s="19"/>
      <c r="E213" s="15" t="s">
        <v>1483</v>
      </c>
      <c r="F213" s="3"/>
      <c r="G213" s="19" t="str">
        <f>IFERROR(VLOOKUP(F213,tblManoeuvre[],2,FALSE)&amp;" "&amp;VLOOKUP(F213,tblManoeuvre[],3,FALSE),"")</f>
        <v/>
      </c>
      <c r="H213" s="68" t="str">
        <f>_xlfn.IFNA(IF(VLOOKUP(F213,tblMerits[],6,FALSE)=0,"None",VLOOKUP(F213,tblMerits[],6,FALSE)),"None")</f>
        <v>None</v>
      </c>
      <c r="I213" s="69"/>
      <c r="L213" s="4"/>
      <c r="M213" s="4"/>
      <c r="N213" s="4"/>
      <c r="O213" s="61">
        <f t="shared" si="33"/>
        <v>0</v>
      </c>
      <c r="P213" s="60">
        <f t="shared" si="34"/>
        <v>0</v>
      </c>
      <c r="Q213" s="61" t="str">
        <f>_xlfn.IFNA(VLOOKUP($F213,tblPacts[],3,FALSE),"")</f>
        <v/>
      </c>
      <c r="R213" s="61" t="str">
        <f>_xlfn.IFNA(VLOOKUP($F213,tblPacts[],4,FALSE),"")</f>
        <v/>
      </c>
    </row>
    <row r="214" spans="1:18">
      <c r="A214" s="1" t="s">
        <v>213</v>
      </c>
      <c r="B214" t="str">
        <f t="shared" si="32"/>
        <v>¬</v>
      </c>
      <c r="D214" s="19"/>
      <c r="E214" s="15" t="s">
        <v>1484</v>
      </c>
      <c r="F214" s="3"/>
      <c r="G214" s="19" t="str">
        <f>IFERROR(VLOOKUP(F214,tblManoeuvre[],2,FALSE)&amp;" "&amp;VLOOKUP(F214,tblManoeuvre[],3,FALSE),"")</f>
        <v/>
      </c>
      <c r="H214" s="68" t="str">
        <f>_xlfn.IFNA(IF(VLOOKUP(F214,tblMerits[],6,FALSE)=0,"None",VLOOKUP(F214,tblMerits[],6,FALSE)),"None")</f>
        <v>None</v>
      </c>
      <c r="I214" s="69"/>
      <c r="L214" s="4"/>
      <c r="M214" s="4"/>
      <c r="N214" s="4"/>
      <c r="O214" s="61">
        <f t="shared" si="33"/>
        <v>0</v>
      </c>
      <c r="P214" s="60">
        <f t="shared" si="34"/>
        <v>0</v>
      </c>
      <c r="Q214" s="61" t="str">
        <f>_xlfn.IFNA(VLOOKUP($F214,tblPacts[],3,FALSE),"")</f>
        <v/>
      </c>
      <c r="R214" s="61" t="str">
        <f>_xlfn.IFNA(VLOOKUP($F214,tblPacts[],4,FALSE),"")</f>
        <v/>
      </c>
    </row>
    <row r="215" spans="1:18">
      <c r="A215" s="1" t="s">
        <v>214</v>
      </c>
      <c r="B215" t="str">
        <f t="shared" si="32"/>
        <v>¬</v>
      </c>
      <c r="D215" s="19"/>
      <c r="E215" s="15" t="s">
        <v>1485</v>
      </c>
      <c r="F215" s="3"/>
      <c r="G215" s="19" t="str">
        <f>IFERROR(VLOOKUP(F215,tblManoeuvre[],2,FALSE)&amp;" "&amp;VLOOKUP(F215,tblManoeuvre[],3,FALSE),"")</f>
        <v/>
      </c>
      <c r="H215" s="68" t="str">
        <f>_xlfn.IFNA(IF(VLOOKUP(F215,tblMerits[],6,FALSE)=0,"None",VLOOKUP(F215,tblMerits[],6,FALSE)),"None")</f>
        <v>None</v>
      </c>
      <c r="I215" s="69"/>
      <c r="L215" s="4"/>
      <c r="M215" s="4"/>
      <c r="N215" s="4"/>
      <c r="O215" s="61">
        <f t="shared" si="33"/>
        <v>0</v>
      </c>
      <c r="P215" s="60">
        <f t="shared" si="34"/>
        <v>0</v>
      </c>
      <c r="Q215" s="61" t="str">
        <f>_xlfn.IFNA(VLOOKUP($F215,tblPacts[],3,FALSE),"")</f>
        <v/>
      </c>
      <c r="R215" s="61" t="str">
        <f>_xlfn.IFNA(VLOOKUP($F215,tblPacts[],4,FALSE),"")</f>
        <v/>
      </c>
    </row>
    <row r="216" spans="1:18">
      <c r="A216" s="1" t="s">
        <v>215</v>
      </c>
      <c r="B216" t="str">
        <f t="shared" si="32"/>
        <v>¬</v>
      </c>
    </row>
    <row r="217" spans="1:18">
      <c r="A217" s="1" t="s">
        <v>216</v>
      </c>
      <c r="B217" t="str">
        <f>IF(OR(AF134=0,AF134=""),"",REPT("●",AF134))</f>
        <v>●●●</v>
      </c>
      <c r="D217" s="16" t="s">
        <v>1509</v>
      </c>
      <c r="E217" s="16"/>
      <c r="F217" s="16"/>
      <c r="G217" s="16"/>
      <c r="H217" s="16"/>
      <c r="I217" s="16"/>
    </row>
    <row r="218" spans="1:18">
      <c r="A218" s="1" t="s">
        <v>217</v>
      </c>
      <c r="B218" t="str">
        <f t="shared" ref="B218:B236" si="35">IF(OR(AF135=0,AF135=""),"",REPT("●",AF135))</f>
        <v>●●</v>
      </c>
      <c r="D218" s="19"/>
      <c r="E218" s="15" t="s">
        <v>353</v>
      </c>
      <c r="F218" s="19"/>
      <c r="G218" s="19"/>
      <c r="H218" s="19"/>
      <c r="I218" s="19"/>
      <c r="M218" s="61">
        <f>IF(COUNTIF(F79:F93,"Giant")&gt;0,1,0)+IF(COUNTIF(F79:F93,"Small-Framed")&gt;0,-1,0)</f>
        <v>0</v>
      </c>
      <c r="P218" s="60">
        <f>5+M218</f>
        <v>5</v>
      </c>
    </row>
    <row r="219" spans="1:18">
      <c r="A219" s="1" t="s">
        <v>218</v>
      </c>
      <c r="B219" t="str">
        <f t="shared" si="35"/>
        <v>●●●●●</v>
      </c>
      <c r="D219" s="19"/>
      <c r="E219" s="15" t="s">
        <v>354</v>
      </c>
      <c r="F219" s="19"/>
      <c r="G219" s="19"/>
      <c r="H219" s="19"/>
      <c r="I219" s="19"/>
      <c r="P219" s="60">
        <f ca="1">VLOOKUP("Size",INDIRECT($AH$1),2,FALSE)+VLOOKUP("Strength",INDIRECT($AH$1),2,FALSE)+VLOOKUP("Dexterity",INDIRECT($AH$1),2,FALSE)+VLOOKUP("Vigour",INDIRECT($AH$1),2,FALSE)</f>
        <v>9</v>
      </c>
    </row>
    <row r="220" spans="1:18">
      <c r="A220" s="1" t="s">
        <v>219</v>
      </c>
      <c r="B220" t="str">
        <f t="shared" si="35"/>
        <v>●●●●●</v>
      </c>
      <c r="D220" s="19"/>
      <c r="E220" s="15" t="s">
        <v>355</v>
      </c>
      <c r="F220" s="19"/>
      <c r="G220" s="19"/>
      <c r="H220" s="19"/>
      <c r="I220" s="19"/>
      <c r="P220" s="60">
        <f ca="1">MIN(VLOOKUP("Dexterity",INDIRECT($AH$1),2,FALSE),VLOOKUP("Wits",INDIRECT($AH$1),2,FALSE))+VLOOKUP("Athletics",INDIRECT($AH$1),2,FALSE)</f>
        <v>5</v>
      </c>
    </row>
    <row r="221" spans="1:18">
      <c r="A221" s="1" t="s">
        <v>220</v>
      </c>
      <c r="B221" t="str">
        <f t="shared" si="35"/>
        <v/>
      </c>
      <c r="D221" s="19"/>
      <c r="E221" s="15" t="s">
        <v>52</v>
      </c>
      <c r="F221" s="19"/>
      <c r="G221" s="19"/>
      <c r="H221" s="19"/>
      <c r="I221" s="19"/>
      <c r="P221" s="60">
        <f ca="1">VLOOKUP("Size",INDIRECT($AH$1),2,FALSE)+VLOOKUP("Stamina",INDIRECT($AH$1),2,FALSE)+VLOOKUP("Resilience",INDIRECT($AH$1),2,FALSE)</f>
        <v>7</v>
      </c>
    </row>
    <row r="222" spans="1:18">
      <c r="A222" s="1" t="s">
        <v>221</v>
      </c>
      <c r="B222" t="str">
        <f t="shared" si="35"/>
        <v/>
      </c>
      <c r="D222" s="19"/>
      <c r="E222" s="19"/>
      <c r="F222" s="19"/>
      <c r="G222" s="19"/>
      <c r="H222" s="15" t="s">
        <v>1510</v>
      </c>
      <c r="I222" s="19"/>
      <c r="L222" s="4"/>
    </row>
    <row r="223" spans="1:18">
      <c r="A223" s="1" t="s">
        <v>222</v>
      </c>
      <c r="B223" t="str">
        <f t="shared" si="35"/>
        <v/>
      </c>
      <c r="D223" s="19"/>
      <c r="E223" s="15" t="s">
        <v>1511</v>
      </c>
      <c r="F223" s="7"/>
      <c r="G223" s="19"/>
      <c r="H223" s="15" t="s">
        <v>1512</v>
      </c>
      <c r="I223" s="19"/>
      <c r="L223" s="4"/>
    </row>
    <row r="224" spans="1:18">
      <c r="A224" s="1" t="s">
        <v>223</v>
      </c>
      <c r="B224" t="str">
        <f t="shared" si="35"/>
        <v/>
      </c>
      <c r="D224" s="19"/>
      <c r="E224" s="15" t="s">
        <v>1513</v>
      </c>
      <c r="F224" s="7"/>
      <c r="G224" s="19"/>
      <c r="H224" s="15" t="s">
        <v>1514</v>
      </c>
      <c r="I224" s="19"/>
      <c r="L224" s="4"/>
    </row>
    <row r="225" spans="1:12">
      <c r="A225" s="1" t="s">
        <v>224</v>
      </c>
      <c r="B225" t="str">
        <f t="shared" si="35"/>
        <v/>
      </c>
      <c r="D225" s="19"/>
      <c r="E225" s="15" t="s">
        <v>1515</v>
      </c>
      <c r="F225" s="7"/>
      <c r="G225" s="19"/>
      <c r="H225" s="15" t="s">
        <v>1516</v>
      </c>
      <c r="I225" s="19"/>
      <c r="L225" s="4">
        <v>4</v>
      </c>
    </row>
    <row r="226" spans="1:12">
      <c r="A226" s="1" t="s">
        <v>225</v>
      </c>
      <c r="B226" t="str">
        <f t="shared" si="35"/>
        <v/>
      </c>
      <c r="D226" s="19"/>
      <c r="E226" s="15" t="s">
        <v>1517</v>
      </c>
      <c r="F226" s="7"/>
      <c r="G226" s="19"/>
      <c r="H226" s="19"/>
      <c r="I226" s="19"/>
    </row>
    <row r="227" spans="1:12">
      <c r="A227" s="1" t="s">
        <v>226</v>
      </c>
      <c r="B227" t="str">
        <f t="shared" si="35"/>
        <v/>
      </c>
      <c r="D227" s="19"/>
      <c r="E227" s="15" t="s">
        <v>1518</v>
      </c>
      <c r="F227" s="7" t="s">
        <v>1700</v>
      </c>
      <c r="G227" s="19"/>
      <c r="H227" s="19"/>
      <c r="I227" s="19"/>
    </row>
    <row r="228" spans="1:12">
      <c r="A228" s="1" t="s">
        <v>227</v>
      </c>
      <c r="B228" t="str">
        <f t="shared" si="35"/>
        <v/>
      </c>
      <c r="D228" s="19"/>
      <c r="E228" s="15" t="s">
        <v>1519</v>
      </c>
      <c r="F228" s="7"/>
      <c r="G228" s="19"/>
      <c r="H228" s="19"/>
      <c r="I228" s="19"/>
    </row>
    <row r="229" spans="1:12">
      <c r="A229" s="1" t="s">
        <v>228</v>
      </c>
      <c r="B229" t="str">
        <f t="shared" si="35"/>
        <v/>
      </c>
      <c r="D229" s="19"/>
      <c r="E229" s="15" t="s">
        <v>1520</v>
      </c>
      <c r="F229" s="7"/>
      <c r="G229" s="19"/>
      <c r="H229" s="19"/>
      <c r="I229" s="19"/>
    </row>
    <row r="230" spans="1:12">
      <c r="A230" s="1" t="s">
        <v>229</v>
      </c>
      <c r="B230" t="str">
        <f t="shared" si="35"/>
        <v/>
      </c>
      <c r="D230" s="19"/>
      <c r="E230" s="15" t="s">
        <v>1521</v>
      </c>
      <c r="F230" s="7"/>
      <c r="G230" s="19"/>
      <c r="H230" s="19"/>
      <c r="I230" s="19"/>
    </row>
    <row r="231" spans="1:12">
      <c r="A231" s="1" t="s">
        <v>230</v>
      </c>
      <c r="B231" t="str">
        <f t="shared" si="35"/>
        <v/>
      </c>
      <c r="D231" s="19"/>
      <c r="E231" s="15" t="s">
        <v>1522</v>
      </c>
      <c r="F231" s="7"/>
      <c r="G231" s="19"/>
      <c r="H231" s="19"/>
      <c r="I231" s="19"/>
    </row>
    <row r="232" spans="1:12">
      <c r="A232" s="1" t="s">
        <v>231</v>
      </c>
      <c r="B232" t="str">
        <f t="shared" si="35"/>
        <v/>
      </c>
      <c r="D232" s="19"/>
      <c r="E232" s="15" t="s">
        <v>1523</v>
      </c>
      <c r="F232" s="7"/>
      <c r="G232" s="19"/>
      <c r="H232" s="19"/>
      <c r="I232" s="19"/>
    </row>
    <row r="233" spans="1:12">
      <c r="A233" s="1" t="s">
        <v>232</v>
      </c>
      <c r="B233" t="str">
        <f t="shared" si="35"/>
        <v/>
      </c>
      <c r="D233" s="19"/>
      <c r="E233" s="19"/>
      <c r="F233" s="19"/>
      <c r="G233" s="19"/>
      <c r="H233" s="19"/>
      <c r="I233" s="19"/>
    </row>
    <row r="234" spans="1:12">
      <c r="A234" s="1" t="s">
        <v>233</v>
      </c>
      <c r="B234" t="str">
        <f t="shared" si="35"/>
        <v/>
      </c>
      <c r="D234" s="19"/>
      <c r="E234" s="15" t="s">
        <v>343</v>
      </c>
      <c r="F234" s="61" t="str">
        <f>_xlfn.IFNA(VLOOKUP(F7,tblClans[],4,FALSE),"")</f>
        <v>Wanton Curse</v>
      </c>
      <c r="G234" s="19"/>
      <c r="H234" s="74" t="str">
        <f>_xlfn.IFNA(VLOOKUP(F234,tblBanes[],2,FALSE),"")</f>
        <v>Hungry at 5 or fewer Vitae, Starving at 3 or fewer. Dramatic Failures on feeding cause Persistent Dependent Condition toward a mortal NPC.</v>
      </c>
      <c r="I234" s="74"/>
    </row>
    <row r="235" spans="1:12">
      <c r="A235" s="1" t="s">
        <v>234</v>
      </c>
      <c r="B235" t="str">
        <f t="shared" si="35"/>
        <v/>
      </c>
      <c r="D235" s="19"/>
      <c r="E235" s="15" t="s">
        <v>344</v>
      </c>
      <c r="F235" s="19"/>
      <c r="G235" s="19"/>
      <c r="H235" s="19"/>
      <c r="I235" s="19"/>
    </row>
    <row r="236" spans="1:12">
      <c r="A236" s="1" t="s">
        <v>235</v>
      </c>
      <c r="B236" t="str">
        <f t="shared" si="35"/>
        <v/>
      </c>
      <c r="D236" s="19"/>
      <c r="E236" s="15" t="s">
        <v>345</v>
      </c>
      <c r="F236" s="3"/>
      <c r="G236" s="19"/>
      <c r="H236" s="70" t="str">
        <f>_xlfn.IFNA(VLOOKUP(F236,tblBanes[],2,FALSE),"")</f>
        <v/>
      </c>
      <c r="I236" s="71"/>
    </row>
    <row r="237" spans="1:12">
      <c r="A237" s="1" t="s">
        <v>236</v>
      </c>
      <c r="B237" t="str">
        <f ca="1">_xlfn.LET(_xlpm.v,VLOOKUP(tblCharDataEve[[#This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_xlfn.LET(_xlpm.v,VLOOKUP(tblCharDataEve[[#This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_xlfn.LET(_xlpm.v,VLOOKUP(tblCharDataEve[[#This Row],[Field]],INDIRECT($AH$1),2,FALSE),IF(OR(_xlpm.v=0,_xlpm.v=""),"-",REPT("●",_xlpm.v)))</f>
        <v>●</v>
      </c>
      <c r="D239" s="19"/>
      <c r="E239" s="19"/>
      <c r="F239" s="19"/>
      <c r="G239" s="19"/>
      <c r="H239" s="19"/>
      <c r="I239" s="19"/>
    </row>
    <row r="240" spans="1:12">
      <c r="A240" s="1" t="s">
        <v>239</v>
      </c>
      <c r="B240" t="str">
        <f ca="1">_xlfn.LET(_xlpm.v,VLOOKUP(tblCharDataEve[[#This Row],[Field]],INDIRECT($AH$1),2,FALSE),IF(OR(_xlpm.v=0,_xlpm.v=""),"-",REPT("●",_xlpm.v)))</f>
        <v>●</v>
      </c>
      <c r="D240" s="19"/>
      <c r="E240" s="15" t="s">
        <v>360</v>
      </c>
      <c r="F240" s="62"/>
      <c r="G240" s="63"/>
      <c r="H240" s="63"/>
      <c r="I240" s="64"/>
    </row>
    <row r="241" spans="1:9">
      <c r="A241" s="1" t="s">
        <v>240</v>
      </c>
      <c r="B241" t="str">
        <f ca="1">_xlfn.LET(_xlpm.v,VLOOKUP(tblCharDataEve[[#This Row],[Field]],INDIRECT($AH$1),2,FALSE),IF(OR(_xlpm.v=0,_xlpm.v=""),"-",REPT("●",_xlpm.v)))</f>
        <v>●●●</v>
      </c>
      <c r="D241" s="19"/>
      <c r="E241" s="15" t="s">
        <v>361</v>
      </c>
      <c r="F241" s="62"/>
      <c r="G241" s="63"/>
      <c r="H241" s="63"/>
      <c r="I241" s="64"/>
    </row>
    <row r="242" spans="1:9">
      <c r="A242" s="1" t="s">
        <v>241</v>
      </c>
      <c r="B242" t="str">
        <f ca="1">_xlfn.LET(_xlpm.v,VLOOKUP(tblCharDataEve[[#This Row],[Field]],INDIRECT($AH$1),2,FALSE),IF(OR(_xlpm.v=0,_xlpm.v=""),"-",REPT("●",_xlpm.v)))</f>
        <v>-</v>
      </c>
      <c r="D242" s="19"/>
      <c r="E242" s="15" t="s">
        <v>362</v>
      </c>
      <c r="F242" s="62"/>
      <c r="G242" s="63"/>
      <c r="H242" s="63"/>
      <c r="I242" s="64"/>
    </row>
    <row r="243" spans="1:9">
      <c r="A243" s="1" t="s">
        <v>242</v>
      </c>
      <c r="B243" t="str">
        <f ca="1">_xlfn.LET(_xlpm.v,VLOOKUP(tblCharDataEve[[#This Row],[Field]],INDIRECT($AH$1),2,FALSE),IF(OR(_xlpm.v=0,_xlpm.v=""),"-",REPT("●",_xlpm.v)))</f>
        <v>-</v>
      </c>
      <c r="D243" s="19"/>
      <c r="E243" s="19"/>
      <c r="F243" s="19"/>
      <c r="G243" s="19"/>
      <c r="H243" s="19"/>
      <c r="I243" s="19"/>
    </row>
    <row r="244" spans="1:9">
      <c r="A244" s="1" t="s">
        <v>243</v>
      </c>
      <c r="B244" t="str">
        <f ca="1">_xlfn.LET(_xlpm.v,VLOOKUP(tblCharDataEve[[#This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_xlfn.LET(_xlpm.v,VLOOKUP(tblCharDataEve[[#This Row],[Field]],INDIRECT($AH$1),2,FALSE),IF(OR(_xlpm.v=0,_xlpm.v=""),"-",REPT("●",_xlpm.v)))</f>
        <v>-</v>
      </c>
      <c r="D245" s="19"/>
      <c r="E245" s="15" t="s">
        <v>1524</v>
      </c>
      <c r="F245" s="62"/>
      <c r="G245" s="63"/>
      <c r="H245" s="63"/>
      <c r="I245" s="64"/>
    </row>
    <row r="246" spans="1:9">
      <c r="A246" s="1" t="s">
        <v>245</v>
      </c>
      <c r="B246" t="str">
        <f ca="1">_xlfn.LET(_xlpm.v,VLOOKUP(tblCharDataEve[[#This Row],[Field]],INDIRECT($AH$1),2,FALSE),IF(OR(_xlpm.v=0,_xlpm.v=""),"-",REPT("●",_xlpm.v)))</f>
        <v>-</v>
      </c>
    </row>
    <row r="247" spans="1:9">
      <c r="A247" s="1" t="s">
        <v>246</v>
      </c>
      <c r="B247" t="str">
        <f ca="1">_xlfn.LET(_xlpm.v,VLOOKUP(tblCharDataEve[[#This Row],[Field]],INDIRECT($AH$1),2,FALSE),IF(OR(_xlpm.v=0,_xlpm.v=""),"-",REPT("●",_xlpm.v)))</f>
        <v>-</v>
      </c>
      <c r="D247" s="16" t="s">
        <v>1525</v>
      </c>
      <c r="E247" s="16"/>
      <c r="F247" s="16" t="s">
        <v>1526</v>
      </c>
      <c r="G247" s="16" t="s">
        <v>1527</v>
      </c>
      <c r="H247" s="16"/>
      <c r="I247" s="16"/>
    </row>
    <row r="248" spans="1:9">
      <c r="A248" s="1" t="s">
        <v>247</v>
      </c>
      <c r="B248" t="str">
        <f ca="1">_xlfn.LET(_xlpm.v,VLOOKUP(tblCharDataEve[[#This Row],[Field]],INDIRECT($AH$1),2,FALSE),IF(OR(_xlpm.v=0,_xlpm.v=""),"-",REPT("●",_xlpm.v)))</f>
        <v>-</v>
      </c>
      <c r="D248" s="19"/>
      <c r="E248" s="15" t="s">
        <v>1528</v>
      </c>
      <c r="F248" s="7"/>
      <c r="G248" s="7"/>
      <c r="H248" s="19"/>
      <c r="I248" s="19" t="s">
        <v>1529</v>
      </c>
    </row>
    <row r="249" spans="1:9">
      <c r="A249" s="1" t="s">
        <v>248</v>
      </c>
      <c r="B249" t="str">
        <f ca="1">_xlfn.LET(_xlpm.v,VLOOKUP(tblCharDataEve[[#This Row],[Field]],INDIRECT($AH$1),2,FALSE),IF(OR(_xlpm.v=0,_xlpm.v=""),"-",REPT("●",_xlpm.v)))</f>
        <v>-</v>
      </c>
      <c r="D249" s="19"/>
      <c r="E249" s="15" t="s">
        <v>1530</v>
      </c>
      <c r="F249" s="7"/>
      <c r="G249" s="7"/>
      <c r="H249" s="19"/>
      <c r="I249" s="19" t="s">
        <v>1531</v>
      </c>
    </row>
    <row r="250" spans="1:9">
      <c r="A250" s="1" t="s">
        <v>249</v>
      </c>
      <c r="B250" t="str">
        <f ca="1">_xlfn.LET(_xlpm.v,VLOOKUP(tblCharDataEve[[#This Row],[Field]],INDIRECT($AH$1),2,FALSE),IF(OR(_xlpm.v=0,_xlpm.v=""),"-",REPT("●",_xlpm.v)))</f>
        <v>-</v>
      </c>
      <c r="D250" s="19" t="s">
        <v>1532</v>
      </c>
      <c r="E250" s="15" t="s">
        <v>1533</v>
      </c>
      <c r="F250" s="7"/>
      <c r="G250" s="7"/>
      <c r="H250" s="19"/>
      <c r="I250" s="19"/>
    </row>
    <row r="251" spans="1:9">
      <c r="A251" s="1" t="s">
        <v>250</v>
      </c>
      <c r="B251" t="str">
        <f ca="1">_xlfn.LET(_xlpm.v,VLOOKUP(tblCharDataEve[[#This Row],[Field]],INDIRECT($AH$1),2,FALSE),IF(OR(_xlpm.v=0,_xlpm.v=""),"-",REPT("●",_xlpm.v)))</f>
        <v>-</v>
      </c>
      <c r="D251" s="19" t="s">
        <v>1532</v>
      </c>
      <c r="E251" s="15" t="s">
        <v>1534</v>
      </c>
      <c r="F251" s="7"/>
      <c r="G251" s="7"/>
      <c r="H251" s="19"/>
      <c r="I251" s="19"/>
    </row>
    <row r="252" spans="1:9">
      <c r="A252" s="1" t="s">
        <v>251</v>
      </c>
      <c r="B252" t="str">
        <f ca="1">_xlfn.LET(_xlpm.v,VLOOKUP(tblCharDataEve[[#This Row],[Field]],INDIRECT($AH$1),2,FALSE),IF(OR(_xlpm.v=0,_xlpm.v=""),"-",REPT("●",_xlpm.v)))</f>
        <v>-</v>
      </c>
      <c r="D252" s="19" t="s">
        <v>1532</v>
      </c>
      <c r="E252" s="15" t="s">
        <v>1535</v>
      </c>
      <c r="F252" s="7"/>
      <c r="G252" s="7"/>
      <c r="H252" s="19"/>
      <c r="I252" s="19"/>
    </row>
    <row r="253" spans="1:9">
      <c r="A253" s="1" t="s">
        <v>252</v>
      </c>
      <c r="B253" t="str">
        <f ca="1">_xlfn.LET(_xlpm.v,VLOOKUP(tblCharDataEve[[#This Row],[Field]],INDIRECT($AH$1),2,FALSE),IF(OR(_xlpm.v=0,_xlpm.v=""),"-",REPT("●",_xlpm.v)))</f>
        <v>-</v>
      </c>
      <c r="D253" s="19" t="s">
        <v>1532</v>
      </c>
      <c r="E253" s="15" t="s">
        <v>1536</v>
      </c>
      <c r="F253" s="7"/>
      <c r="G253" s="7"/>
      <c r="H253" s="19"/>
      <c r="I253" s="19"/>
    </row>
    <row r="254" spans="1:9">
      <c r="A254" s="1" t="s">
        <v>253</v>
      </c>
      <c r="B254" t="str">
        <f t="shared" ref="B254:B283" si="36">IF(AD44="","¬",AD44)</f>
        <v>Celerity ●</v>
      </c>
      <c r="D254" s="19" t="s">
        <v>1532</v>
      </c>
      <c r="E254" s="15" t="s">
        <v>1537</v>
      </c>
      <c r="F254" s="7"/>
      <c r="G254" s="7"/>
      <c r="H254" s="19"/>
      <c r="I254" s="19"/>
    </row>
    <row r="255" spans="1:9">
      <c r="A255" s="1" t="s">
        <v>254</v>
      </c>
      <c r="B255" t="str">
        <f t="shared" si="36"/>
        <v>Dominate ● | Mesmerise</v>
      </c>
      <c r="D255" s="19" t="s">
        <v>1532</v>
      </c>
      <c r="E255" s="15" t="s">
        <v>1538</v>
      </c>
      <c r="F255" s="7"/>
      <c r="G255" s="7"/>
      <c r="H255" s="19"/>
      <c r="I255" s="19"/>
    </row>
    <row r="256" spans="1:9">
      <c r="A256" s="1" t="s">
        <v>255</v>
      </c>
      <c r="B256" t="str">
        <f t="shared" si="36"/>
        <v>Majesty ● | Awe</v>
      </c>
      <c r="D256" s="19" t="s">
        <v>1532</v>
      </c>
      <c r="E256" s="15" t="s">
        <v>1539</v>
      </c>
      <c r="F256" s="7"/>
      <c r="G256" s="7"/>
      <c r="H256" s="19"/>
      <c r="I256" s="19"/>
    </row>
    <row r="257" spans="1:9">
      <c r="A257" s="1" t="s">
        <v>256</v>
      </c>
      <c r="B257" t="str">
        <f t="shared" si="36"/>
        <v>Majesty ●● | Confidant</v>
      </c>
      <c r="D257" s="19" t="s">
        <v>1532</v>
      </c>
      <c r="E257" s="15" t="s">
        <v>1540</v>
      </c>
      <c r="F257" s="7"/>
      <c r="G257" s="7"/>
      <c r="H257" s="19"/>
      <c r="I257" s="19"/>
    </row>
    <row r="258" spans="1:9">
      <c r="A258" s="1" t="s">
        <v>257</v>
      </c>
      <c r="B258" t="str">
        <f t="shared" si="36"/>
        <v>Majesty ●●● | Green Eyes</v>
      </c>
      <c r="D258" s="19" t="s">
        <v>1532</v>
      </c>
      <c r="E258" s="15" t="s">
        <v>1541</v>
      </c>
      <c r="F258" s="7"/>
      <c r="G258" s="7"/>
      <c r="H258" s="19"/>
      <c r="I258" s="19"/>
    </row>
    <row r="259" spans="1:9">
      <c r="A259" s="1" t="s">
        <v>258</v>
      </c>
      <c r="B259" t="str">
        <f t="shared" si="36"/>
        <v>¬</v>
      </c>
      <c r="D259" s="19" t="s">
        <v>1532</v>
      </c>
      <c r="E259" s="15" t="s">
        <v>1542</v>
      </c>
      <c r="F259" s="7"/>
      <c r="G259" s="7"/>
      <c r="H259" s="19"/>
      <c r="I259" s="19"/>
    </row>
    <row r="260" spans="1:9">
      <c r="A260" s="1" t="s">
        <v>259</v>
      </c>
      <c r="B260" t="str">
        <f t="shared" si="36"/>
        <v>¬</v>
      </c>
      <c r="D260" s="19" t="s">
        <v>1532</v>
      </c>
      <c r="E260" s="15" t="s">
        <v>1543</v>
      </c>
      <c r="F260" s="7"/>
      <c r="G260" s="7"/>
      <c r="H260" s="19"/>
      <c r="I260" s="19"/>
    </row>
    <row r="261" spans="1:9">
      <c r="A261" s="1" t="s">
        <v>260</v>
      </c>
      <c r="B261" t="str">
        <f t="shared" si="36"/>
        <v>¬</v>
      </c>
      <c r="D261" s="19" t="s">
        <v>1532</v>
      </c>
      <c r="E261" s="15" t="s">
        <v>1544</v>
      </c>
      <c r="F261" s="7"/>
      <c r="G261" s="7"/>
      <c r="H261" s="19"/>
      <c r="I261" s="19"/>
    </row>
    <row r="262" spans="1:9">
      <c r="A262" s="1" t="s">
        <v>261</v>
      </c>
      <c r="B262" t="str">
        <f t="shared" si="36"/>
        <v>¬</v>
      </c>
      <c r="D262" s="19" t="s">
        <v>1532</v>
      </c>
      <c r="E262" s="15" t="s">
        <v>1545</v>
      </c>
      <c r="F262" s="7"/>
      <c r="G262" s="7"/>
      <c r="H262" s="19"/>
      <c r="I262" s="19"/>
    </row>
    <row r="263" spans="1:9">
      <c r="A263" s="1" t="s">
        <v>262</v>
      </c>
      <c r="B263" t="str">
        <f t="shared" si="36"/>
        <v>¬</v>
      </c>
      <c r="D263" s="19" t="s">
        <v>1532</v>
      </c>
      <c r="E263" s="15" t="s">
        <v>1546</v>
      </c>
      <c r="F263" s="7"/>
      <c r="G263" s="7"/>
      <c r="H263" s="19"/>
      <c r="I263" s="19"/>
    </row>
    <row r="264" spans="1:9">
      <c r="A264" s="1" t="s">
        <v>263</v>
      </c>
      <c r="B264" t="str">
        <f t="shared" si="36"/>
        <v>¬</v>
      </c>
      <c r="D264" s="19" t="s">
        <v>1532</v>
      </c>
      <c r="E264" s="15" t="s">
        <v>1547</v>
      </c>
      <c r="F264" s="7"/>
      <c r="G264" s="7"/>
      <c r="H264" s="19"/>
      <c r="I264" s="19"/>
    </row>
    <row r="265" spans="1:9">
      <c r="A265" s="1" t="s">
        <v>264</v>
      </c>
      <c r="B265" t="str">
        <f t="shared" si="36"/>
        <v>¬</v>
      </c>
      <c r="D265" s="19" t="s">
        <v>1532</v>
      </c>
      <c r="E265" s="15" t="s">
        <v>1548</v>
      </c>
      <c r="F265" s="7"/>
      <c r="G265" s="7"/>
      <c r="H265" s="19"/>
      <c r="I265" s="19"/>
    </row>
    <row r="266" spans="1:9">
      <c r="A266" s="1" t="s">
        <v>265</v>
      </c>
      <c r="B266" t="str">
        <f t="shared" si="36"/>
        <v>¬</v>
      </c>
      <c r="D266" s="19" t="s">
        <v>1532</v>
      </c>
      <c r="E266" s="15" t="s">
        <v>1549</v>
      </c>
      <c r="F266" s="7"/>
      <c r="G266" s="7"/>
      <c r="H266" s="19"/>
      <c r="I266" s="19"/>
    </row>
    <row r="267" spans="1:9">
      <c r="A267" s="1" t="s">
        <v>266</v>
      </c>
      <c r="B267" t="str">
        <f t="shared" si="36"/>
        <v>¬</v>
      </c>
      <c r="D267" s="19" t="s">
        <v>1532</v>
      </c>
      <c r="E267" s="15" t="s">
        <v>1550</v>
      </c>
      <c r="F267" s="7"/>
      <c r="G267" s="7"/>
      <c r="H267" s="19"/>
      <c r="I267" s="19"/>
    </row>
    <row r="268" spans="1:9">
      <c r="A268" s="1" t="s">
        <v>267</v>
      </c>
      <c r="B268" t="str">
        <f t="shared" si="36"/>
        <v>¬</v>
      </c>
      <c r="D268" s="19" t="s">
        <v>1532</v>
      </c>
      <c r="E268" s="15" t="s">
        <v>1551</v>
      </c>
      <c r="F268" s="7"/>
      <c r="G268" s="7"/>
      <c r="H268" s="19"/>
      <c r="I268" s="19"/>
    </row>
    <row r="269" spans="1:9">
      <c r="A269" s="1" t="s">
        <v>268</v>
      </c>
      <c r="B269" t="str">
        <f t="shared" si="36"/>
        <v>¬</v>
      </c>
      <c r="D269" s="19" t="s">
        <v>1532</v>
      </c>
      <c r="E269" s="15" t="s">
        <v>1552</v>
      </c>
      <c r="F269" s="7"/>
      <c r="G269" s="7"/>
      <c r="H269" s="19"/>
      <c r="I269" s="19"/>
    </row>
    <row r="270" spans="1:9">
      <c r="A270" s="1" t="s">
        <v>269</v>
      </c>
      <c r="B270" t="str">
        <f t="shared" si="36"/>
        <v>¬</v>
      </c>
      <c r="D270" s="19" t="s">
        <v>1532</v>
      </c>
      <c r="E270" s="15" t="s">
        <v>1553</v>
      </c>
      <c r="F270" s="7"/>
      <c r="G270" s="7"/>
      <c r="H270" s="19"/>
      <c r="I270" s="19"/>
    </row>
    <row r="271" spans="1:9">
      <c r="A271" s="1" t="s">
        <v>270</v>
      </c>
      <c r="B271" t="str">
        <f t="shared" si="36"/>
        <v>¬</v>
      </c>
      <c r="D271" s="19" t="s">
        <v>1532</v>
      </c>
      <c r="E271" s="15" t="s">
        <v>1554</v>
      </c>
      <c r="F271" s="7"/>
      <c r="G271" s="7"/>
      <c r="H271" s="19"/>
      <c r="I271" s="19"/>
    </row>
    <row r="272" spans="1:9">
      <c r="A272" s="1" t="s">
        <v>271</v>
      </c>
      <c r="B272" t="str">
        <f t="shared" si="36"/>
        <v>¬</v>
      </c>
      <c r="D272" s="19" t="s">
        <v>1532</v>
      </c>
      <c r="E272" s="15" t="s">
        <v>1555</v>
      </c>
      <c r="F272" s="7"/>
      <c r="G272" s="7"/>
      <c r="H272" s="19"/>
      <c r="I272" s="19"/>
    </row>
    <row r="273" spans="1:14">
      <c r="A273" s="1" t="s">
        <v>272</v>
      </c>
      <c r="B273" t="str">
        <f t="shared" si="36"/>
        <v>¬</v>
      </c>
      <c r="D273" s="19" t="s">
        <v>1532</v>
      </c>
      <c r="E273" s="15" t="s">
        <v>1556</v>
      </c>
      <c r="F273" s="7"/>
      <c r="G273" s="7"/>
      <c r="H273" s="19"/>
      <c r="I273" s="19"/>
    </row>
    <row r="274" spans="1:14">
      <c r="A274" s="1" t="s">
        <v>273</v>
      </c>
      <c r="B274" t="str">
        <f t="shared" si="36"/>
        <v>¬</v>
      </c>
      <c r="D274" s="19" t="s">
        <v>1532</v>
      </c>
      <c r="E274" s="15" t="s">
        <v>1557</v>
      </c>
      <c r="F274" s="7"/>
      <c r="G274" s="7"/>
      <c r="H274" s="19"/>
      <c r="I274" s="19"/>
    </row>
    <row r="275" spans="1:14">
      <c r="A275" s="1" t="s">
        <v>274</v>
      </c>
      <c r="B275" t="str">
        <f t="shared" si="36"/>
        <v>¬</v>
      </c>
      <c r="D275" s="19" t="s">
        <v>1532</v>
      </c>
      <c r="E275" s="15" t="s">
        <v>1558</v>
      </c>
      <c r="F275" s="7"/>
      <c r="G275" s="7"/>
      <c r="H275" s="19"/>
      <c r="I275" s="19"/>
    </row>
    <row r="276" spans="1:14">
      <c r="A276" s="1" t="s">
        <v>275</v>
      </c>
      <c r="B276" t="str">
        <f t="shared" si="36"/>
        <v>¬</v>
      </c>
      <c r="D276" s="19" t="s">
        <v>1532</v>
      </c>
      <c r="E276" s="15" t="s">
        <v>1559</v>
      </c>
      <c r="F276" s="7"/>
      <c r="G276" s="7"/>
      <c r="H276" s="19"/>
      <c r="I276" s="19"/>
    </row>
    <row r="277" spans="1:14">
      <c r="A277" s="1" t="s">
        <v>276</v>
      </c>
      <c r="B277" t="str">
        <f t="shared" si="36"/>
        <v>¬</v>
      </c>
      <c r="D277" s="19" t="s">
        <v>1532</v>
      </c>
      <c r="E277" s="15" t="s">
        <v>1560</v>
      </c>
      <c r="F277" s="7"/>
      <c r="G277" s="7"/>
      <c r="H277" s="19"/>
      <c r="I277" s="19"/>
    </row>
    <row r="278" spans="1:14">
      <c r="A278" s="1" t="s">
        <v>277</v>
      </c>
      <c r="B278" t="str">
        <f t="shared" si="36"/>
        <v>¬</v>
      </c>
    </row>
    <row r="279" spans="1:14">
      <c r="A279" s="1" t="s">
        <v>278</v>
      </c>
      <c r="B279" t="str">
        <f t="shared" si="36"/>
        <v>¬</v>
      </c>
      <c r="D279" s="16" t="s">
        <v>1561</v>
      </c>
      <c r="E279" s="16"/>
      <c r="F279" s="16" t="s">
        <v>1347</v>
      </c>
      <c r="G279" s="16" t="s">
        <v>1348</v>
      </c>
      <c r="H279" s="16" t="s">
        <v>1349</v>
      </c>
      <c r="I279" s="16" t="s">
        <v>1350</v>
      </c>
      <c r="N279" s="60">
        <f ca="1">SUM(N280:N282)</f>
        <v>3</v>
      </c>
    </row>
    <row r="280" spans="1:14">
      <c r="A280" s="1" t="s">
        <v>279</v>
      </c>
      <c r="B280" t="str">
        <f t="shared" si="36"/>
        <v>¬</v>
      </c>
      <c r="D280" s="61" cm="1">
        <f t="array" aca="1" ref="D280" ca="1">INDEX(Attendance!$C$14:$GP$44,
       MATCH($F$4, Attendance!$C$14:$C$44, 0),
       MATCH(1, (Attendance!$C$12:$GP$12=$E280) * (Attendance!$C$13:$GP$13="Paid"), 0)
)</f>
        <v>0</v>
      </c>
      <c r="E280" s="41">
        <v>46054</v>
      </c>
      <c r="F280" s="61" cm="1">
        <f t="array" aca="1" ref="F280" ca="1">N(INDEX(Attendance!$C$14:$GP$104,
       MATCH($F$4, Attendance!$C$14:$C$104, 0),
       MATCH(1, (Attendance!$C$12:$GP$12=$E280) * (Attendance!$C$13:$GP$13=$F$279), 0)
))</f>
        <v>3</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0</v>
      </c>
      <c r="I280" s="61" t="str" cm="1">
        <f t="array" aca="1" ref="I280" ca="1">INDEX(Attendance!$C$14:$GP$44,
       MATCH($F$4, Attendance!$C$14:$C$44, 0),
       MATCH(1, (Attendance!$C$12:$GP$12=$E280) * (Attendance!$C$13:$GP$13=$I$279), 0)
)</f>
        <v>Quiet</v>
      </c>
      <c r="K280" s="18"/>
      <c r="L280" s="18"/>
      <c r="M280" s="18" t="s">
        <v>1562</v>
      </c>
      <c r="N280" s="61">
        <f ca="1">SUM(F$280:F$316)</f>
        <v>3</v>
      </c>
    </row>
    <row r="281" spans="1:14">
      <c r="A281" s="1" t="s">
        <v>280</v>
      </c>
      <c r="B281" t="str">
        <f t="shared" si="36"/>
        <v>¬</v>
      </c>
      <c r="D281" s="61" t="str" cm="1">
        <f t="array" aca="1" ref="D281" ca="1">INDEX(Attendance!$C$14:$GP$44,
       MATCH($F$4, Attendance!$C$14:$C$44, 0),
       MATCH(1, (Attendance!$C$12:$GP$12=$E281) * (Attendance!$C$13:$GP$13="Paid"), 0)
)</f>
        <v> </v>
      </c>
      <c r="E281" s="42">
        <f t="shared" ref="E281:E316" si="37">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6"/>
        <v>¬</v>
      </c>
      <c r="D282" s="61" t="str" cm="1">
        <f t="array" aca="1" ref="D282" ca="1">INDEX(Attendance!$C$14:$GP$44,
       MATCH($F$4, Attendance!$C$14:$C$44, 0),
       MATCH(1, (Attendance!$C$12:$GP$12=$E282) * (Attendance!$C$13:$GP$13="Paid"), 0)
)</f>
        <v> </v>
      </c>
      <c r="E282" s="42">
        <f t="shared" si="37"/>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0</v>
      </c>
    </row>
    <row r="283" spans="1:14">
      <c r="A283" s="1" t="s">
        <v>282</v>
      </c>
      <c r="B283" t="str">
        <f t="shared" si="36"/>
        <v>¬</v>
      </c>
      <c r="D283" s="61" t="str" cm="1">
        <f t="array" aca="1" ref="D283" ca="1">INDEX(Attendance!$C$14:$GP$44,
       MATCH($F$4, Attendance!$C$14:$C$44, 0),
       MATCH(1, (Attendance!$C$12:$GP$12=$E283) * (Attendance!$C$13:$GP$13="Paid"), 0)
)</f>
        <v> </v>
      </c>
      <c r="E283" s="42">
        <f t="shared" si="37"/>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8">IF(AE44="","¬",AE44)</f>
        <v>Cost: 1 V per effect  •  Pool: -  •  Reflexive  •  1 turn</v>
      </c>
      <c r="D284" s="61" t="str" cm="1">
        <f t="array" aca="1" ref="D284" ca="1">INDEX(Attendance!$C$14:$GP$44,
       MATCH($F$4, Attendance!$C$14:$C$44, 0),
       MATCH(1, (Attendance!$C$12:$GP$12=$E284) * (Attendance!$C$13:$GP$13="Paid"), 0)
)</f>
        <v> </v>
      </c>
      <c r="E284" s="42">
        <f t="shared" si="37"/>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8"/>
        <v>Cost: - -3 in combat unless Blinded  •  Pool: 5  v Resolve + BP  •  Instant  •  Instant</v>
      </c>
      <c r="D285" s="61" t="str" cm="1">
        <f t="array" aca="1" ref="D285" ca="1">INDEX(Attendance!$C$14:$GP$44,
       MATCH($F$4, Attendance!$C$14:$C$44, 0),
       MATCH(1, (Attendance!$C$12:$GP$12=$E285) * (Attendance!$C$13:$GP$13="Paid"), 0)
)</f>
        <v> </v>
      </c>
      <c r="E285" s="42">
        <f t="shared" si="37"/>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8"/>
        <v>Cost: -  •  Pool: -  •  Instant  •  Scene</v>
      </c>
      <c r="D286" s="61" t="str" cm="1">
        <f t="array" aca="1" ref="D286" ca="1">INDEX(Attendance!$C$14:$GP$44,
       MATCH($F$4, Attendance!$C$14:$C$44, 0),
       MATCH(1, (Attendance!$C$12:$GP$12=$E286) * (Attendance!$C$13:$GP$13="Paid"), 0)
)</f>
        <v> </v>
      </c>
      <c r="E286" s="42">
        <f t="shared" si="37"/>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8"/>
        <v>Cost: - (req: Awed)   •  Pool: 9  v Resolve + BP  •  Contested</v>
      </c>
      <c r="D287" s="61" t="str" cm="1">
        <f t="array" aca="1" ref="D287" ca="1">INDEX(Attendance!$C$14:$GP$44,
       MATCH($F$4, Attendance!$C$14:$C$44, 0),
       MATCH(1, (Attendance!$C$12:$GP$12=$E287) * (Attendance!$C$13:$GP$13="Paid"), 0)
)</f>
        <v> </v>
      </c>
      <c r="E287" s="42">
        <f t="shared" si="37"/>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8"/>
        <v>Cost: 1 V (req: Charmed / Enthralled)   •  Pool: -  •  Instant  •  Scene</v>
      </c>
      <c r="D288" s="61" t="str" cm="1">
        <f t="array" aca="1" ref="D288" ca="1">INDEX(Attendance!$C$14:$GP$44,
       MATCH($F$4, Attendance!$C$14:$C$44, 0),
       MATCH(1, (Attendance!$C$12:$GP$12=$E288) * (Attendance!$C$13:$GP$13="Paid"), 0)
)</f>
        <v> </v>
      </c>
      <c r="E288" s="42">
        <f t="shared" si="37"/>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8"/>
        <v>¬</v>
      </c>
      <c r="D289" s="61" t="str" cm="1">
        <f t="array" aca="1" ref="D289" ca="1">INDEX(Attendance!$C$14:$GP$44,
       MATCH($F$4, Attendance!$C$14:$C$44, 0),
       MATCH(1, (Attendance!$C$12:$GP$12=$E289) * (Attendance!$C$13:$GP$13="Paid"), 0)
)</f>
        <v> </v>
      </c>
      <c r="E289" s="42">
        <f t="shared" si="37"/>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8"/>
        <v>¬</v>
      </c>
      <c r="D290" s="61" t="str" cm="1">
        <f t="array" aca="1" ref="D290" ca="1">INDEX(Attendance!$C$14:$GP$44,
       MATCH($F$4, Attendance!$C$14:$C$44, 0),
       MATCH(1, (Attendance!$C$12:$GP$12=$E290) * (Attendance!$C$13:$GP$13="Paid"), 0)
)</f>
        <v> </v>
      </c>
      <c r="E290" s="42">
        <f t="shared" si="37"/>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8"/>
        <v>¬</v>
      </c>
      <c r="D291" s="61" t="str" cm="1">
        <f t="array" aca="1" ref="D291" ca="1">INDEX(Attendance!$C$14:$GP$44,
       MATCH($F$4, Attendance!$C$14:$C$44, 0),
       MATCH(1, (Attendance!$C$12:$GP$12=$E291) * (Attendance!$C$13:$GP$13="Paid"), 0)
)</f>
        <v> </v>
      </c>
      <c r="E291" s="42">
        <f t="shared" si="37"/>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8"/>
        <v>¬</v>
      </c>
      <c r="D292" s="61" t="str" cm="1">
        <f t="array" aca="1" ref="D292" ca="1">INDEX(Attendance!$C$14:$GP$44,
       MATCH($F$4, Attendance!$C$14:$C$44, 0),
       MATCH(1, (Attendance!$C$12:$GP$12=$E292) * (Attendance!$C$13:$GP$13="Paid"), 0)
)</f>
        <v> </v>
      </c>
      <c r="E292" s="42">
        <f t="shared" si="37"/>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8"/>
        <v>¬</v>
      </c>
      <c r="D293" s="61" t="str" cm="1">
        <f t="array" aca="1" ref="D293" ca="1">INDEX(Attendance!$C$14:$GP$44,
       MATCH($F$4, Attendance!$C$14:$C$44, 0),
       MATCH(1, (Attendance!$C$12:$GP$12=$E293) * (Attendance!$C$13:$GP$13="Paid"), 0)
)</f>
        <v> </v>
      </c>
      <c r="E293" s="42">
        <f t="shared" si="37"/>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8"/>
        <v>¬</v>
      </c>
      <c r="D294" s="61" t="str" cm="1">
        <f t="array" aca="1" ref="D294" ca="1">INDEX(Attendance!$C$14:$GP$44,
       MATCH($F$4, Attendance!$C$14:$C$44, 0),
       MATCH(1, (Attendance!$C$12:$GP$12=$E294) * (Attendance!$C$13:$GP$13="Paid"), 0)
)</f>
        <v> </v>
      </c>
      <c r="E294" s="42">
        <f t="shared" si="37"/>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8"/>
        <v>¬</v>
      </c>
      <c r="D295" s="61" t="str" cm="1">
        <f t="array" aca="1" ref="D295" ca="1">INDEX(Attendance!$C$14:$GP$44,
       MATCH($F$4, Attendance!$C$14:$C$44, 0),
       MATCH(1, (Attendance!$C$12:$GP$12=$E295) * (Attendance!$C$13:$GP$13="Paid"), 0)
)</f>
        <v> </v>
      </c>
      <c r="E295" s="42">
        <f t="shared" si="37"/>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8"/>
        <v>¬</v>
      </c>
      <c r="D296" s="61" t="str" cm="1">
        <f t="array" aca="1" ref="D296" ca="1">INDEX(Attendance!$C$14:$GP$44,
       MATCH($F$4, Attendance!$C$14:$C$44, 0),
       MATCH(1, (Attendance!$C$12:$GP$12=$E296) * (Attendance!$C$13:$GP$13="Paid"), 0)
)</f>
        <v> </v>
      </c>
      <c r="E296" s="42">
        <f t="shared" si="37"/>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8"/>
        <v>¬</v>
      </c>
      <c r="D297" s="61" t="str" cm="1">
        <f t="array" aca="1" ref="D297" ca="1">INDEX(Attendance!$C$14:$GP$44,
       MATCH($F$4, Attendance!$C$14:$C$44, 0),
       MATCH(1, (Attendance!$C$12:$GP$12=$E297) * (Attendance!$C$13:$GP$13="Paid"), 0)
)</f>
        <v> </v>
      </c>
      <c r="E297" s="42">
        <f t="shared" si="37"/>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8"/>
        <v>¬</v>
      </c>
      <c r="D298" s="61" t="str" cm="1">
        <f t="array" aca="1" ref="D298" ca="1">INDEX(Attendance!$C$14:$GP$44,
       MATCH($F$4, Attendance!$C$14:$C$44, 0),
       MATCH(1, (Attendance!$C$12:$GP$12=$E298) * (Attendance!$C$13:$GP$13="Paid"), 0)
)</f>
        <v> </v>
      </c>
      <c r="E298" s="42">
        <f t="shared" si="37"/>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8"/>
        <v>¬</v>
      </c>
      <c r="D299" s="61" t="str" cm="1">
        <f t="array" aca="1" ref="D299" ca="1">INDEX(Attendance!$C$14:$GP$44,
       MATCH($F$4, Attendance!$C$14:$C$44, 0),
       MATCH(1, (Attendance!$C$12:$GP$12=$E299) * (Attendance!$C$13:$GP$13="Paid"), 0)
)</f>
        <v> </v>
      </c>
      <c r="E299" s="42">
        <f t="shared" si="37"/>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8"/>
        <v>¬</v>
      </c>
      <c r="D300" s="61" t="str" cm="1">
        <f t="array" aca="1" ref="D300" ca="1">INDEX(Attendance!$C$14:$GP$44,
       MATCH($F$4, Attendance!$C$14:$C$44, 0),
       MATCH(1, (Attendance!$C$12:$GP$12=$E300) * (Attendance!$C$13:$GP$13="Paid"), 0)
)</f>
        <v> </v>
      </c>
      <c r="E300" s="42">
        <f t="shared" si="37"/>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8"/>
        <v>¬</v>
      </c>
      <c r="D301" s="61" t="str" cm="1">
        <f t="array" aca="1" ref="D301" ca="1">INDEX(Attendance!$C$14:$GP$44,
       MATCH($F$4, Attendance!$C$14:$C$44, 0),
       MATCH(1, (Attendance!$C$12:$GP$12=$E301) * (Attendance!$C$13:$GP$13="Paid"), 0)
)</f>
        <v> </v>
      </c>
      <c r="E301" s="42">
        <f t="shared" si="37"/>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8"/>
        <v>¬</v>
      </c>
      <c r="D302" s="61" t="str" cm="1">
        <f t="array" aca="1" ref="D302" ca="1">INDEX(Attendance!$C$14:$GP$44,
       MATCH($F$4, Attendance!$C$14:$C$44, 0),
       MATCH(1, (Attendance!$C$12:$GP$12=$E302) * (Attendance!$C$13:$GP$13="Paid"), 0)
)</f>
        <v> </v>
      </c>
      <c r="E302" s="42">
        <f t="shared" si="37"/>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8"/>
        <v>¬</v>
      </c>
      <c r="D303" s="61" t="str" cm="1">
        <f t="array" aca="1" ref="D303" ca="1">INDEX(Attendance!$C$14:$GP$44,
       MATCH($F$4, Attendance!$C$14:$C$44, 0),
       MATCH(1, (Attendance!$C$12:$GP$12=$E303) * (Attendance!$C$13:$GP$13="Paid"), 0)
)</f>
        <v> </v>
      </c>
      <c r="E303" s="42">
        <f t="shared" si="37"/>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8"/>
        <v>¬</v>
      </c>
      <c r="D304" s="61" t="str" cm="1">
        <f t="array" aca="1" ref="D304" ca="1">INDEX(Attendance!$C$14:$GP$44,
       MATCH($F$4, Attendance!$C$14:$C$44, 0),
       MATCH(1, (Attendance!$C$12:$GP$12=$E304) * (Attendance!$C$13:$GP$13="Paid"), 0)
)</f>
        <v> </v>
      </c>
      <c r="E304" s="42">
        <f t="shared" si="37"/>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8"/>
        <v>¬</v>
      </c>
      <c r="D305" s="61" t="str" cm="1">
        <f t="array" aca="1" ref="D305" ca="1">INDEX(Attendance!$C$14:$GP$44,
       MATCH($F$4, Attendance!$C$14:$C$44, 0),
       MATCH(1, (Attendance!$C$12:$GP$12=$E305) * (Attendance!$C$13:$GP$13="Paid"), 0)
)</f>
        <v> </v>
      </c>
      <c r="E305" s="42">
        <f t="shared" si="37"/>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8"/>
        <v>¬</v>
      </c>
      <c r="D306" s="61" t="str" cm="1">
        <f t="array" aca="1" ref="D306" ca="1">INDEX(Attendance!$C$14:$GP$44,
       MATCH($F$4, Attendance!$C$14:$C$44, 0),
       MATCH(1, (Attendance!$C$12:$GP$12=$E306) * (Attendance!$C$13:$GP$13="Paid"), 0)
)</f>
        <v> </v>
      </c>
      <c r="E306" s="42">
        <f t="shared" si="37"/>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8"/>
        <v>¬</v>
      </c>
      <c r="D307" s="61" t="str" cm="1">
        <f t="array" aca="1" ref="D307" ca="1">INDEX(Attendance!$C$14:$GP$44,
       MATCH($F$4, Attendance!$C$14:$C$44, 0),
       MATCH(1, (Attendance!$C$12:$GP$12=$E307) * (Attendance!$C$13:$GP$13="Paid"), 0)
)</f>
        <v> </v>
      </c>
      <c r="E307" s="42">
        <f t="shared" si="37"/>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8"/>
        <v>¬</v>
      </c>
      <c r="D308" s="61" t="str" cm="1">
        <f t="array" aca="1" ref="D308" ca="1">INDEX(Attendance!$C$14:$GP$44,
       MATCH($F$4, Attendance!$C$14:$C$44, 0),
       MATCH(1, (Attendance!$C$12:$GP$12=$E308) * (Attendance!$C$13:$GP$13="Paid"), 0)
)</f>
        <v> </v>
      </c>
      <c r="E308" s="42">
        <f t="shared" si="37"/>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8"/>
        <v>¬</v>
      </c>
      <c r="D309" s="61" t="str" cm="1">
        <f t="array" aca="1" ref="D309" ca="1">INDEX(Attendance!$C$14:$GP$44,
       MATCH($F$4, Attendance!$C$14:$C$44, 0),
       MATCH(1, (Attendance!$C$12:$GP$12=$E309) * (Attendance!$C$13:$GP$13="Paid"), 0)
)</f>
        <v> </v>
      </c>
      <c r="E309" s="42">
        <f t="shared" si="37"/>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8"/>
        <v>¬</v>
      </c>
      <c r="D310" s="61" t="str" cm="1">
        <f t="array" aca="1" ref="D310" ca="1">INDEX(Attendance!$C$14:$GP$44,
       MATCH($F$4, Attendance!$C$14:$C$44, 0),
       MATCH(1, (Attendance!$C$12:$GP$12=$E310) * (Attendance!$C$13:$GP$13="Paid"), 0)
)</f>
        <v> </v>
      </c>
      <c r="E310" s="42">
        <f t="shared" si="37"/>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8"/>
        <v>¬</v>
      </c>
      <c r="D311" s="61" t="str" cm="1">
        <f t="array" aca="1" ref="D311" ca="1">INDEX(Attendance!$C$14:$GP$44,
       MATCH($F$4, Attendance!$C$14:$C$44, 0),
       MATCH(1, (Attendance!$C$12:$GP$12=$E311) * (Attendance!$C$13:$GP$13="Paid"), 0)
)</f>
        <v> </v>
      </c>
      <c r="E311" s="42">
        <f t="shared" si="37"/>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8"/>
        <v>¬</v>
      </c>
      <c r="D312" s="61" t="str" cm="1">
        <f t="array" aca="1" ref="D312" ca="1">INDEX(Attendance!$C$14:$GP$44,
       MATCH($F$4, Attendance!$C$14:$C$44, 0),
       MATCH(1, (Attendance!$C$12:$GP$12=$E312) * (Attendance!$C$13:$GP$13="Paid"), 0)
)</f>
        <v> </v>
      </c>
      <c r="E312" s="42">
        <f t="shared" si="37"/>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8"/>
        <v>¬</v>
      </c>
      <c r="D313" s="61" t="str" cm="1">
        <f t="array" aca="1" ref="D313" ca="1">INDEX(Attendance!$C$14:$GP$44,
       MATCH($F$4, Attendance!$C$14:$C$44, 0),
       MATCH(1, (Attendance!$C$12:$GP$12=$E313) * (Attendance!$C$13:$GP$13="Paid"), 0)
)</f>
        <v> </v>
      </c>
      <c r="E313" s="42">
        <f t="shared" si="37"/>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39">IF(AF44="","¬",AF44)</f>
        <v>Persistent improved Defence or Dodge. Activate for supernatural speed benefits. Unnatural Grace: add Celerity dots as bonus dice to non-combat speed-based pools.</v>
      </c>
      <c r="D314" s="61" t="str" cm="1">
        <f t="array" aca="1" ref="D314" ca="1">INDEX(Attendance!$C$14:$GP$44,
       MATCH($F$4, Attendance!$C$14:$C$44, 0),
       MATCH(1, (Attendance!$C$12:$GP$12=$E314) * (Attendance!$C$13:$GP$13="Paid"), 0)
)</f>
        <v> </v>
      </c>
      <c r="E314" s="42">
        <f t="shared" si="37"/>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39"/>
        <v>Impose Mesmerised Condition. Control with short commands.</v>
      </c>
      <c r="D315" s="61" t="str" cm="1">
        <f t="array" aca="1" ref="D315" ca="1">INDEX(Attendance!$C$14:$GP$44,
       MATCH($F$4, Attendance!$C$14:$C$44, 0),
       MATCH(1, (Attendance!$C$12:$GP$12=$E315) * (Attendance!$C$13:$GP$13="Paid"), 0)
)</f>
        <v> </v>
      </c>
      <c r="E315" s="42">
        <f t="shared" si="37"/>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39"/>
        <v>Become centre of attention. Subjects become Awed.</v>
      </c>
      <c r="D316" s="61" t="str" cm="1">
        <f t="array" aca="1" ref="D316" ca="1">INDEX(Attendance!$C$14:$GP$44,
       MATCH($F$4, Attendance!$C$14:$C$44, 0),
       MATCH(1, (Attendance!$C$12:$GP$12=$E316) * (Attendance!$C$13:$GP$13="Paid"), 0)
)</f>
        <v> </v>
      </c>
      <c r="E316" s="42">
        <f t="shared" si="37"/>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39"/>
        <v>Impose Charmed Condition.</v>
      </c>
    </row>
    <row r="318" spans="1:9">
      <c r="A318" s="1" t="s">
        <v>317</v>
      </c>
      <c r="B318" t="str">
        <f t="shared" si="39"/>
        <v>Shift emotions (1 V, any number of Charmed/Enthralled targets); rage/fear causes frenzy with no resist roll (Ride the Wave normal). Requests: 1 V per target, must be spoken and heard.</v>
      </c>
    </row>
    <row r="319" spans="1:9">
      <c r="A319" s="1" t="s">
        <v>318</v>
      </c>
      <c r="B319" t="str">
        <f t="shared" si="39"/>
        <v>¬</v>
      </c>
    </row>
    <row r="320" spans="1:9">
      <c r="A320" s="1" t="s">
        <v>319</v>
      </c>
      <c r="B320" t="str">
        <f t="shared" si="39"/>
        <v>¬</v>
      </c>
    </row>
    <row r="321" spans="1:2">
      <c r="A321" s="1" t="s">
        <v>320</v>
      </c>
      <c r="B321" t="str">
        <f t="shared" si="39"/>
        <v>¬</v>
      </c>
    </row>
    <row r="322" spans="1:2">
      <c r="A322" s="1" t="s">
        <v>321</v>
      </c>
      <c r="B322" t="str">
        <f t="shared" si="39"/>
        <v>¬</v>
      </c>
    </row>
    <row r="323" spans="1:2">
      <c r="A323" s="1" t="s">
        <v>322</v>
      </c>
      <c r="B323" t="str">
        <f t="shared" si="39"/>
        <v>¬</v>
      </c>
    </row>
    <row r="324" spans="1:2">
      <c r="A324" s="1" t="s">
        <v>323</v>
      </c>
      <c r="B324" t="str">
        <f t="shared" si="39"/>
        <v>¬</v>
      </c>
    </row>
    <row r="325" spans="1:2">
      <c r="A325" s="1" t="s">
        <v>324</v>
      </c>
      <c r="B325" t="str">
        <f t="shared" si="39"/>
        <v>¬</v>
      </c>
    </row>
    <row r="326" spans="1:2">
      <c r="A326" s="1" t="s">
        <v>325</v>
      </c>
      <c r="B326" t="str">
        <f t="shared" si="39"/>
        <v>¬</v>
      </c>
    </row>
    <row r="327" spans="1:2">
      <c r="A327" s="1" t="s">
        <v>326</v>
      </c>
      <c r="B327" t="str">
        <f t="shared" si="39"/>
        <v>¬</v>
      </c>
    </row>
    <row r="328" spans="1:2">
      <c r="A328" s="1" t="s">
        <v>327</v>
      </c>
      <c r="B328" t="str">
        <f t="shared" si="39"/>
        <v>¬</v>
      </c>
    </row>
    <row r="329" spans="1:2">
      <c r="A329" s="1" t="s">
        <v>328</v>
      </c>
      <c r="B329" t="str">
        <f t="shared" si="39"/>
        <v>¬</v>
      </c>
    </row>
    <row r="330" spans="1:2">
      <c r="A330" s="1" t="s">
        <v>329</v>
      </c>
      <c r="B330" t="str">
        <f t="shared" si="39"/>
        <v>¬</v>
      </c>
    </row>
    <row r="331" spans="1:2">
      <c r="A331" s="1" t="s">
        <v>330</v>
      </c>
      <c r="B331" t="str">
        <f t="shared" si="39"/>
        <v>¬</v>
      </c>
    </row>
    <row r="332" spans="1:2">
      <c r="A332" s="1" t="s">
        <v>331</v>
      </c>
      <c r="B332" t="str">
        <f t="shared" si="39"/>
        <v>¬</v>
      </c>
    </row>
    <row r="333" spans="1:2">
      <c r="A333" s="1" t="s">
        <v>332</v>
      </c>
      <c r="B333" t="str">
        <f t="shared" si="39"/>
        <v>¬</v>
      </c>
    </row>
    <row r="334" spans="1:2">
      <c r="A334" s="1" t="s">
        <v>333</v>
      </c>
      <c r="B334" t="str">
        <f t="shared" si="39"/>
        <v>¬</v>
      </c>
    </row>
    <row r="335" spans="1:2">
      <c r="A335" s="1" t="s">
        <v>334</v>
      </c>
      <c r="B335" t="str">
        <f t="shared" si="39"/>
        <v>¬</v>
      </c>
    </row>
    <row r="336" spans="1:2">
      <c r="A336" s="1" t="s">
        <v>335</v>
      </c>
      <c r="B336" t="str">
        <f t="shared" si="39"/>
        <v>¬</v>
      </c>
    </row>
    <row r="337" spans="1:2">
      <c r="A337" s="1" t="s">
        <v>336</v>
      </c>
      <c r="B337" t="str">
        <f t="shared" si="39"/>
        <v>¬</v>
      </c>
    </row>
    <row r="338" spans="1:2">
      <c r="A338" s="1" t="s">
        <v>337</v>
      </c>
      <c r="B338" t="str">
        <f t="shared" si="39"/>
        <v>¬</v>
      </c>
    </row>
    <row r="339" spans="1:2">
      <c r="A339" s="1" t="s">
        <v>338</v>
      </c>
      <c r="B339" t="str">
        <f t="shared" si="39"/>
        <v>¬</v>
      </c>
    </row>
    <row r="340" spans="1:2">
      <c r="A340" s="1" t="s">
        <v>339</v>
      </c>
      <c r="B340" t="str">
        <f t="shared" si="39"/>
        <v>¬</v>
      </c>
    </row>
    <row r="341" spans="1:2">
      <c r="A341" s="1" t="s">
        <v>340</v>
      </c>
      <c r="B341" t="str">
        <f t="shared" si="39"/>
        <v>¬</v>
      </c>
    </row>
    <row r="342" spans="1:2">
      <c r="A342" s="1" t="s">
        <v>341</v>
      </c>
      <c r="B342" t="str">
        <f t="shared" si="39"/>
        <v>¬</v>
      </c>
    </row>
    <row r="343" spans="1:2">
      <c r="A343" s="1" t="s">
        <v>342</v>
      </c>
      <c r="B343" t="str">
        <f t="shared" si="39"/>
        <v>¬</v>
      </c>
    </row>
    <row r="344" spans="1:2">
      <c r="A344" s="1" t="s">
        <v>343</v>
      </c>
      <c r="B344" s="8" t="str">
        <f>IF(VLOOKUP(tblCharDataEve[[#This Row],[Field]],$E$2:$F$361,2,FALSE)="","¬",VLOOKUP(tblCharDataEve[[#This Row],[Field]],$E$2:$F$361,2,FALSE))</f>
        <v>Wanton Curse</v>
      </c>
    </row>
    <row r="345" spans="1:2">
      <c r="A345" s="1" t="s">
        <v>344</v>
      </c>
      <c r="B345" s="8" t="str">
        <f>IF(VLOOKUP(tblCharDataEve[[#This Row],[Field]],$E$2:$F$361,2,FALSE)="","¬",VLOOKUP(tblCharDataEve[[#This Row],[Field]],$E$2:$F$361,2,FALSE))</f>
        <v>¬</v>
      </c>
    </row>
    <row r="346" spans="1:2">
      <c r="A346" s="1" t="s">
        <v>345</v>
      </c>
      <c r="B346" s="8" t="str">
        <f>IF(VLOOKUP(tblCharDataEve[[#This Row],[Field]],$E$2:$F$361,2,FALSE)="","¬",VLOOKUP(tblCharDataEve[[#This Row],[Field]],$E$2:$F$361,2,FALSE))</f>
        <v>¬</v>
      </c>
    </row>
    <row r="347" spans="1:2">
      <c r="A347" s="1" t="s">
        <v>346</v>
      </c>
      <c r="B347" s="8" t="str">
        <f>IF(VLOOKUP(tblCharDataEve[[#This Row],[Field]],$E$2:$F$361,2,FALSE)="","¬",VLOOKUP(tblCharDataEve[[#This Row],[Field]],$E$2:$F$361,2,FALSE))</f>
        <v>¬</v>
      </c>
    </row>
    <row r="348" spans="1:2">
      <c r="A348" s="1" t="s">
        <v>347</v>
      </c>
      <c r="B348" s="8" t="str">
        <f>IF(VLOOKUP(tblCharDataEve[[#This Row],[Field]],$E$2:$F$361,2,FALSE)="","¬",VLOOKUP(tblCharDataEve[[#This Row],[Field]],$E$2:$F$361,2,FALSE))</f>
        <v>¬</v>
      </c>
    </row>
    <row r="349" spans="1:2">
      <c r="A349" s="1" t="s">
        <v>348</v>
      </c>
      <c r="B349" t="str">
        <f>_xlfn.IFNA(VLOOKUP(B344,$F$234:$I$238,3,FALSE),"")</f>
        <v>Hungry at 5 or fewer Vitae, Starving at 3 or fewer. Dramatic Failures on feeding cause Persistent Dependent Condition toward a mortal NPC.</v>
      </c>
    </row>
    <row r="350" spans="1:2">
      <c r="A350" s="1" t="s">
        <v>349</v>
      </c>
      <c r="B350" t="str">
        <f>_xlfn.IFNA(VLOOKUP(B345,$F$234:$I$238,3,FALSE),"¬")</f>
        <v>¬</v>
      </c>
    </row>
    <row r="351" spans="1:2">
      <c r="A351" s="1" t="s">
        <v>350</v>
      </c>
      <c r="B351" t="str">
        <f>_xlfn.IFNA(VLOOKUP(B346,$F$234:$I$238,3,FALSE),"")</f>
        <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9</v>
      </c>
    </row>
    <row r="356" spans="1:2">
      <c r="A356" s="1" t="s">
        <v>355</v>
      </c>
      <c r="B356">
        <f ca="1">P220</f>
        <v>5</v>
      </c>
    </row>
    <row r="357" spans="1:2">
      <c r="A357" s="1" t="s">
        <v>356</v>
      </c>
      <c r="B357" t="str">
        <f>IF(F10="","¬",VLOOKUP(F10,tblAnchors[],2,FALSE))</f>
        <v>¬</v>
      </c>
    </row>
    <row r="358" spans="1:2">
      <c r="A358" s="1" t="s">
        <v>357</v>
      </c>
      <c r="B358" t="str">
        <f>IF(F10="","¬",VLOOKUP(F10,tblAnchors[],3,FALSE))</f>
        <v>¬</v>
      </c>
    </row>
    <row r="359" spans="1:2">
      <c r="A359" s="1" t="s">
        <v>358</v>
      </c>
      <c r="B359" t="str">
        <f>IF(F11="","¬",VLOOKUP(F11,tblAnchors[],2,FALSE))</f>
        <v>¬</v>
      </c>
    </row>
    <row r="360" spans="1:2">
      <c r="A360" s="1" t="s">
        <v>359</v>
      </c>
      <c r="B360" t="str">
        <f>IF(F11="","¬",VLOOKUP(F11,tblAnchors[],3,FALSE))</f>
        <v>¬</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mid 20s</v>
      </c>
    </row>
    <row r="365" spans="1:2">
      <c r="A365" s="1" t="s">
        <v>364</v>
      </c>
      <c r="B365" t="str">
        <f>_xlfn.LET(_xlpm.a,IF(F244="","",F244),_xlpm.b,IF(F245="","",F245),IF(AND(_xlpm.a&lt;&gt;"",_xlpm.b&lt;&gt;""),_xlpm.a&amp;", "&amp;_xlpm.b,IF(_xlpm.a&lt;&gt;"",_xlpm.a,IF(_xlpm.b&lt;&gt;"",_xlpm.b,""))))</f>
        <v/>
      </c>
    </row>
  </sheetData>
  <mergeCells count="89">
    <mergeCell ref="F240:I240"/>
    <mergeCell ref="F241:I241"/>
    <mergeCell ref="F242:I242"/>
    <mergeCell ref="F244:I244"/>
    <mergeCell ref="F245:I245"/>
    <mergeCell ref="H238:I238"/>
    <mergeCell ref="H208:I208"/>
    <mergeCell ref="H209:I209"/>
    <mergeCell ref="H210:I210"/>
    <mergeCell ref="H211:I211"/>
    <mergeCell ref="H212:I212"/>
    <mergeCell ref="H213:I213"/>
    <mergeCell ref="H214:I214"/>
    <mergeCell ref="H215:I215"/>
    <mergeCell ref="H234:I234"/>
    <mergeCell ref="H236:I236"/>
    <mergeCell ref="H237:I237"/>
    <mergeCell ref="H207:I207"/>
    <mergeCell ref="H153:I153"/>
    <mergeCell ref="H154:I154"/>
    <mergeCell ref="H155:I155"/>
    <mergeCell ref="H156:I156"/>
    <mergeCell ref="H157:I157"/>
    <mergeCell ref="H177:I177"/>
    <mergeCell ref="H178:I178"/>
    <mergeCell ref="H179:I179"/>
    <mergeCell ref="H180:I180"/>
    <mergeCell ref="H181:I181"/>
    <mergeCell ref="H206:I206"/>
    <mergeCell ref="H152:I152"/>
    <mergeCell ref="H141:I141"/>
    <mergeCell ref="H142:I142"/>
    <mergeCell ref="H143:I143"/>
    <mergeCell ref="H144:I144"/>
    <mergeCell ref="H145:I145"/>
    <mergeCell ref="H146:I146"/>
    <mergeCell ref="H147:I147"/>
    <mergeCell ref="H148:I148"/>
    <mergeCell ref="H149:I149"/>
    <mergeCell ref="H150:I150"/>
    <mergeCell ref="H151:I151"/>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11:I111"/>
    <mergeCell ref="H98:I98"/>
    <mergeCell ref="H101:I101"/>
    <mergeCell ref="H102:I102"/>
    <mergeCell ref="H103:I103"/>
    <mergeCell ref="H104:I104"/>
    <mergeCell ref="H105:I105"/>
    <mergeCell ref="H106:I106"/>
    <mergeCell ref="H107:I107"/>
    <mergeCell ref="H108:I108"/>
    <mergeCell ref="H109:I109"/>
    <mergeCell ref="H110:I110"/>
    <mergeCell ref="H97:I97"/>
    <mergeCell ref="H86:I86"/>
    <mergeCell ref="H87:I87"/>
    <mergeCell ref="H88:I88"/>
    <mergeCell ref="H89:I89"/>
    <mergeCell ref="H90:I90"/>
    <mergeCell ref="H91:I91"/>
    <mergeCell ref="H92:I92"/>
    <mergeCell ref="H93:I93"/>
    <mergeCell ref="H94:I94"/>
    <mergeCell ref="H95:I95"/>
    <mergeCell ref="H96:I96"/>
    <mergeCell ref="H85:I85"/>
    <mergeCell ref="O8:P8"/>
    <mergeCell ref="O9:P9"/>
    <mergeCell ref="O10:P10"/>
    <mergeCell ref="O11:P11"/>
    <mergeCell ref="O12:P12"/>
    <mergeCell ref="H79:I79"/>
    <mergeCell ref="H80:I80"/>
    <mergeCell ref="H81:I81"/>
    <mergeCell ref="H82:I82"/>
    <mergeCell ref="H83:I83"/>
    <mergeCell ref="H84:I84"/>
  </mergeCells>
  <dataValidations count="15">
    <dataValidation type="list" allowBlank="1" showInputMessage="1" showErrorMessage="1" sqref="G248:G277" xr:uid="{5C74B1F6-1E74-4CBC-B55A-F4087D5C92AF}">
      <formula1>$I$248:$I$249</formula1>
    </dataValidation>
    <dataValidation type="list" allowBlank="1" showInputMessage="1" showErrorMessage="1" sqref="F101:F120" xr:uid="{0A0C13C3-4416-4330-AA4F-AA108552DA72}">
      <formula1>lstManoeuvres</formula1>
    </dataValidation>
    <dataValidation type="list" allowBlank="1" showInputMessage="1" showErrorMessage="1" sqref="F79:F98" xr:uid="{2F5906EE-52B1-4DF3-B005-9DB5AA08FD1B}">
      <formula1>lstMerits</formula1>
    </dataValidation>
    <dataValidation type="list" allowBlank="1" showInputMessage="1" showErrorMessage="1" sqref="F236:F238" xr:uid="{18E84652-E9E1-49A2-B20D-D116EDA031CD}">
      <formula1>lstBanes</formula1>
    </dataValidation>
    <dataValidation type="list" allowBlank="1" showInputMessage="1" showErrorMessage="1" sqref="F206:F215" xr:uid="{F6E21375-7D85-4906-AA4D-FB07B887D699}">
      <formula1>lstPacts</formula1>
    </dataValidation>
    <dataValidation type="list" allowBlank="1" showInputMessage="1" showErrorMessage="1" sqref="G12:G13" xr:uid="{B0C3F69A-24BD-4340-8399-C0647A3FB986}">
      <formula1>lstStatus</formula1>
    </dataValidation>
    <dataValidation type="list" allowBlank="1" showInputMessage="1" showErrorMessage="1" sqref="F194:F205 F207:F215" xr:uid="{46239B1F-C069-4943-9B04-5C8879D9011B}">
      <formula1>lstRites</formula1>
    </dataValidation>
    <dataValidation type="list" allowBlank="1" showInputMessage="1" showErrorMessage="1" sqref="F177:F181" xr:uid="{BE85DE85-0871-454E-9835-9F585EC97527}">
      <formula1>lstDevotions</formula1>
    </dataValidation>
    <dataValidation type="list" allowBlank="1" showInputMessage="1" showErrorMessage="1" sqref="F17:F21" xr:uid="{EDD39E0B-C351-400F-8BB1-2134F5888B0F}">
      <formula1>"TRUE,FALSE"</formula1>
    </dataValidation>
    <dataValidation type="list" allowBlank="1" showInputMessage="1" showErrorMessage="1" sqref="F24" xr:uid="{BEA61FA2-1F83-430D-8EF7-B147F471EC01}">
      <formula1>$D$7:$D$8</formula1>
    </dataValidation>
    <dataValidation type="list" allowBlank="1" showInputMessage="1" showErrorMessage="1" sqref="I25 I30 I35 I41 I51 I61" xr:uid="{6CA1D1BE-CA96-444F-90DC-7C46F0772BDB}">
      <formula1>lstPriority</formula1>
    </dataValidation>
    <dataValidation type="list" allowBlank="1" showInputMessage="1" showErrorMessage="1" sqref="F10:F11" xr:uid="{C92756DF-AF85-4D23-8262-BD053CB62F65}">
      <formula1>lstNature</formula1>
    </dataValidation>
    <dataValidation type="list" allowBlank="1" showInputMessage="1" showErrorMessage="1" sqref="F8" xr:uid="{802B5DC4-7981-4C07-B47E-83C84BE5A4A9}">
      <formula1>lstBloodlines</formula1>
    </dataValidation>
    <dataValidation type="list" allowBlank="1" showInputMessage="1" showErrorMessage="1" sqref="F9" xr:uid="{9A3E6D1C-1171-47FD-8BD1-06F6D4884124}">
      <formula1>lstCovenant</formula1>
    </dataValidation>
    <dataValidation type="list" allowBlank="1" showInputMessage="1" showErrorMessage="1" sqref="F7" xr:uid="{44444457-4B6C-4ADA-9C95-A6B9657E143C}">
      <formula1>lstClan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87CAC67E-D45B-49F4-ACEE-964EC4119E38}">
          <x14:formula1>
            <xm:f>'Lookup-Domain'!$A$2:$A$8</xm:f>
          </x14:formula1>
          <xm:sqref>F161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B95AE-C237-44A2-AB13-78C7F148E1F6}">
  <dimension ref="A1:AK365"/>
  <sheetViews>
    <sheetView zoomScale="70" zoomScaleNormal="70" workbookViewId="0">
      <pane ySplit="1" topLeftCell="A73" activePane="bottomLeft" state="frozen"/>
      <selection pane="bottomLeft" activeCell="C162" sqref="C162"/>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
      </c>
      <c r="AC2" s="60" t="str" cm="1">
        <f t="array" ref="AC2:AC3">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Compliance Hold</v>
      </c>
      <c r="AD2" s="20" t="str">
        <f>IF(AC2="","¬",_xlfn.LET(_xlpm.base,IFERROR(LEFT(AC2,FIND(" (",AC2)-1),AC2),IFERROR(VLOOKUP(_xlpm.base,tblManoeuvre[],2,FALSE) &amp; " " &amp; REPT("●",VLOOKUP(_xlpm.base,tblManoeuvre[],3,FALSE)) &amp; " | " &amp; AC2,AC2 &amp; " " &amp; REPT("●",VLOOKUP(_xlpm.base,$F$79:$P$120,11,FALSE)))))</f>
        <v>Police Tactics ● | Compliance Hold</v>
      </c>
      <c r="AE2" s="20"/>
      <c r="AF2" s="20" t="str">
        <f>IF(LEN(AC2)=0,"¬",_xlfn.LET(_xlpm.base,IFERROR(LEFT(AC2,FIND(" (",AC2)-1),AC2),IFERROR(VLOOKUP(_xlpm.base,tblMerits[],5,FALSE),IFERROR(VLOOKUP(_xlpm.base,tblManoeuvre[],9,FALSE),"¬"))))</f>
        <v>+2 bonus to all overpower rolls once Hold established.</v>
      </c>
      <c r="AI2" s="15" t="s">
        <v>25</v>
      </c>
      <c r="AJ2" s="61">
        <f t="shared" ref="AJ2:AJ58" si="1">VLOOKUP(AI2,$E$3:$P$221,12,FALSE)</f>
        <v>0</v>
      </c>
      <c r="AK2" s="61">
        <f>IF(AJ2=0,IF(COUNTIF($E$42:$E$49,AI2)&gt;0,-3,-1),AJ2)</f>
        <v>-3</v>
      </c>
    </row>
    <row r="3" spans="1:37">
      <c r="A3" s="1" t="s">
        <v>2</v>
      </c>
      <c r="B3">
        <f ca="1">N3</f>
        <v>0</v>
      </c>
      <c r="D3" s="19"/>
      <c r="E3" s="15" t="s">
        <v>4</v>
      </c>
      <c r="F3" s="3" t="s">
        <v>933</v>
      </c>
      <c r="G3" s="18"/>
      <c r="H3" s="18"/>
      <c r="I3" s="18" t="s">
        <v>1425</v>
      </c>
      <c r="N3" s="60">
        <f ca="1">10+SUM(N4:N6)-SUM(N7)</f>
        <v>0</v>
      </c>
      <c r="Y3" s="15" t="s">
        <v>115</v>
      </c>
      <c r="Z3" s="19"/>
      <c r="AA3" s="61" t="str">
        <f t="shared" si="0"/>
        <v/>
      </c>
      <c r="AC3" s="60" t="str">
        <v>Weapon Retention</v>
      </c>
      <c r="AD3" s="20" t="str">
        <f>IF(AC3="","¬",_xlfn.LET(_xlpm.base,IFERROR(LEFT(AC3,FIND(" (",AC3)-1),AC3),IFERROR(VLOOKUP(_xlpm.base,tblManoeuvre[],2,FALSE) &amp; " " &amp; REPT("●",VLOOKUP(_xlpm.base,tblManoeuvre[],3,FALSE)) &amp; " | " &amp; AC3,AC3 &amp; " " &amp; REPT("●",VLOOKUP(_xlpm.base,$F$79:$P$120,11,FALSE)))))</f>
        <v>Police Tactics ●● | Weapon Retention</v>
      </c>
      <c r="AE3" s="20"/>
      <c r="AF3" s="20" t="str">
        <f>IF(LEN(AC3)=0,"¬",_xlfn.LET(_xlpm.base,IFERROR(LEFT(AC3,FIND(" (",AC3)-1),AC3),IFERROR(VLOOKUP(_xlpm.base,tblMerits[],5,FALSE),IFERROR(VLOOKUP(_xlpm.base,tblManoeuvre[],9,FALSE),"¬"))))</f>
        <v>Reduce successes to disarm or control your weapon by Weaponry (or Brawl for Brawling weapons).</v>
      </c>
      <c r="AI3" s="15" t="s">
        <v>41</v>
      </c>
      <c r="AJ3" s="61">
        <f t="shared" si="1"/>
        <v>0</v>
      </c>
      <c r="AK3" s="61">
        <f>IF(AJ3=0,IF(COUNTIF($E$42:$E$49,AI3)&gt;0,-3,-1),AJ3)</f>
        <v>-1</v>
      </c>
    </row>
    <row r="4" spans="1:37">
      <c r="A4" s="1" t="s">
        <v>3</v>
      </c>
      <c r="B4">
        <f ca="1">SUM(N3:N9)</f>
        <v>14</v>
      </c>
      <c r="D4" s="19"/>
      <c r="E4" s="15" t="s">
        <v>5</v>
      </c>
      <c r="F4" s="3" t="s">
        <v>934</v>
      </c>
      <c r="G4" s="18"/>
      <c r="H4" s="18"/>
      <c r="I4" s="18" t="s">
        <v>1426</v>
      </c>
      <c r="N4" s="61">
        <f>K73*2</f>
        <v>0</v>
      </c>
      <c r="Y4" s="15" t="s">
        <v>116</v>
      </c>
      <c r="Z4" s="19"/>
      <c r="AA4" s="61" t="str">
        <f t="shared" si="0"/>
        <v/>
      </c>
      <c r="AC4" s="60"/>
      <c r="AD4" s="20" t="str">
        <f>IF(AC4="","¬",_xlfn.LET(_xlpm.base,IFERROR(LEFT(AC4,FIND(" (",AC4)-1),AC4),IFERROR(VLOOKUP(_xlpm.base,tblManoeuvre[],2,FALSE) &amp; " " &amp; REPT("●",VLOOKUP(_xlpm.base,tblManoeuvre[],3,FALSE)) &amp; " | " &amp; AC4,AC4 &amp; " " &amp; REPT("●",VLOOKUP(_xlpm.base,$F$79:$P$120,11,FALSE)))))</f>
        <v>¬</v>
      </c>
      <c r="AE4" s="20"/>
      <c r="AF4" s="20" t="str">
        <f>IF(LEN(AC4)=0,"¬",_xlfn.LET(_xlpm.base,IFERROR(LEFT(AC4,FIND(" (",AC4)-1),AC4),IFERROR(VLOOKUP(_xlpm.base,tblMerits[],5,FALSE),IFERROR(VLOOKUP(_xlpm.base,tblManoeuvre[],9,FALSE),"¬"))))</f>
        <v>¬</v>
      </c>
      <c r="AI4" s="15" t="s">
        <v>236</v>
      </c>
      <c r="AJ4" s="61">
        <f t="shared" si="1"/>
        <v>0</v>
      </c>
      <c r="AK4" s="61">
        <f>AJ4</f>
        <v>0</v>
      </c>
    </row>
    <row r="5" spans="1:37">
      <c r="A5" s="1" t="s">
        <v>4</v>
      </c>
      <c r="B5" t="str">
        <f>IF(VLOOKUP(tblCharDataGel[[#This Row],[Field]],$E$2:$F$362,2,FALSE)="","¬",VLOOKUP(tblCharDataGel[[#This Row],[Field]],$E$2:$F$362,2,FALSE))</f>
        <v>Stefan S</v>
      </c>
      <c r="D5" s="19"/>
      <c r="E5" s="15" t="s">
        <v>6</v>
      </c>
      <c r="F5" s="3" t="s">
        <v>935</v>
      </c>
      <c r="G5" s="18"/>
      <c r="H5" s="18"/>
      <c r="I5" s="18" t="s">
        <v>1427</v>
      </c>
      <c r="N5" s="61">
        <f>N16</f>
        <v>0</v>
      </c>
      <c r="Y5" s="15" t="s">
        <v>117</v>
      </c>
      <c r="Z5" s="19"/>
      <c r="AA5" s="61" t="str">
        <f t="shared" si="0"/>
        <v/>
      </c>
      <c r="AC5" s="60"/>
      <c r="AD5" s="20" t="str">
        <f>IF(AC5="","¬",_xlfn.LET(_xlpm.base,IFERROR(LEFT(AC5,FIND(" (",AC5)-1),AC5),IFERROR(VLOOKUP(_xlpm.base,tblManoeuvre[],2,FALSE) &amp; " " &amp; REPT("●",VLOOKUP(_xlpm.base,tblManoeuvre[],3,FALSE)) &amp; " | " &amp; AC5,AC5 &amp; " " &amp; REPT("●",VLOOKUP(_xlpm.base,$F$79:$P$120,11,FALSE)))))</f>
        <v>¬</v>
      </c>
      <c r="AE5" s="20"/>
      <c r="AF5" s="20" t="str">
        <f>IF(LEN(AC5)=0,"¬",_xlfn.LET(_xlpm.base,IFERROR(LEFT(AC5,FIND(" (",AC5)-1),AC5),IFERROR(VLOOKUP(_xlpm.base,tblMerits[],5,FALSE),IFERROR(VLOOKUP(_xlpm.base,tblManoeuvre[],9,FALSE),"¬"))))</f>
        <v>¬</v>
      </c>
      <c r="AI5" s="15" t="s">
        <v>33</v>
      </c>
      <c r="AJ5" s="61">
        <f t="shared" si="1"/>
        <v>1</v>
      </c>
      <c r="AK5" s="61">
        <f>IF(AJ5=0,IF(COUNTIF($E$42:$E$49,AI5)&gt;0,-3,-1),AJ5)</f>
        <v>1</v>
      </c>
    </row>
    <row r="6" spans="1:37">
      <c r="A6" s="1" t="s">
        <v>5</v>
      </c>
      <c r="B6" t="str">
        <f>IF(VLOOKUP(tblCharDataGel[[#This Row],[Field]],$E$2:$F$362,2,FALSE)="","¬",VLOOKUP(tblCharDataGel[[#This Row],[Field]],$E$2:$F$362,2,FALSE))</f>
        <v>Jelle 'Gel' Dunneweld</v>
      </c>
      <c r="D6" s="19"/>
      <c r="E6" s="15" t="s">
        <v>7</v>
      </c>
      <c r="F6" s="3" t="s">
        <v>552</v>
      </c>
      <c r="G6" s="18"/>
      <c r="H6" s="18"/>
      <c r="I6" s="18" t="s">
        <v>1347</v>
      </c>
      <c r="N6" s="61">
        <f ca="1">N279</f>
        <v>0</v>
      </c>
      <c r="Y6" s="15" t="s">
        <v>118</v>
      </c>
      <c r="Z6" s="19"/>
      <c r="AA6" s="61" t="str">
        <f t="shared" si="0"/>
        <v/>
      </c>
      <c r="AC6" s="60"/>
      <c r="AD6" s="20" t="str">
        <f>IF(AC6="","¬",_xlfn.LET(_xlpm.base,IFERROR(LEFT(AC6,FIND(" (",AC6)-1),AC6),IFERROR(VLOOKUP(_xlpm.base,tblManoeuvre[],2,FALSE) &amp; " " &amp; REPT("●",VLOOKUP(_xlpm.base,tblManoeuvre[],3,FALSE)) &amp; " | " &amp; AC6,AC6 &amp; " " &amp; REPT("●",VLOOKUP(_xlpm.base,$F$79:$P$120,11,FALSE)))))</f>
        <v>¬</v>
      </c>
      <c r="AE6" s="20"/>
      <c r="AF6" s="20" t="str">
        <f>IF(LEN(AC6)=0,"¬",_xlfn.LET(_xlpm.base,IFERROR(LEFT(AC6,FIND(" (",AC6)-1),AC6),IFERROR(VLOOKUP(_xlpm.base,tblMerits[],5,FALSE),IFERROR(VLOOKUP(_xlpm.base,tblManoeuvre[],9,FALSE),"¬"))))</f>
        <v>¬</v>
      </c>
      <c r="AI6" s="15" t="s">
        <v>237</v>
      </c>
      <c r="AJ6" s="61">
        <f t="shared" si="1"/>
        <v>0</v>
      </c>
      <c r="AK6" s="61">
        <f>AJ6</f>
        <v>0</v>
      </c>
    </row>
    <row r="7" spans="1:37">
      <c r="A7" s="1" t="s">
        <v>6</v>
      </c>
      <c r="B7" t="str">
        <f>IF(VLOOKUP(tblCharDataGel[[#This Row],[Field]],$E$2:$F$362,2,FALSE)="","¬",VLOOKUP(tblCharDataGel[[#This Row],[Field]],$E$2:$F$362,2,FALSE))</f>
        <v>Former Beat Cop</v>
      </c>
      <c r="D7" s="19" t="str">
        <f>VLOOKUP(F7,tblClans[],3,FALSE)</f>
        <v>Manipulation</v>
      </c>
      <c r="E7" s="15" t="s">
        <v>8</v>
      </c>
      <c r="F7" s="3" t="s">
        <v>790</v>
      </c>
      <c r="G7" s="18"/>
      <c r="H7" s="18"/>
      <c r="I7" s="18"/>
      <c r="N7" s="60">
        <f>SUM(N8:N12)</f>
        <v>10</v>
      </c>
      <c r="Y7" s="15" t="s">
        <v>119</v>
      </c>
      <c r="Z7" s="19"/>
      <c r="AA7" s="61" t="str">
        <f t="shared" si="0"/>
        <v/>
      </c>
      <c r="AC7" s="60"/>
      <c r="AD7" s="20" t="str">
        <f>IF(AC7="","¬",_xlfn.LET(_xlpm.base,IFERROR(LEFT(AC7,FIND(" (",AC7)-1),AC7),IFERROR(VLOOKUP(_xlpm.base,tblManoeuvre[],2,FALSE) &amp; " " &amp; REPT("●",VLOOKUP(_xlpm.base,tblManoeuvre[],3,FALSE)) &amp; " | " &amp; AC7,AC7 &amp; " " &amp; REPT("●",VLOOKUP(_xlpm.base,$F$79:$P$120,11,FALSE)))))</f>
        <v>¬</v>
      </c>
      <c r="AE7" s="20"/>
      <c r="AF7" s="20" t="str">
        <f>IF(LEN(AC7)=0,"¬",_xlfn.LET(_xlpm.base,IFERROR(LEFT(AC7,FIND(" (",AC7)-1),AC7),IFERROR(VLOOKUP(_xlpm.base,tblMerits[],5,FALSE),IFERROR(VLOOKUP(_xlpm.base,tblManoeuvre[],9,FALSE),"¬"))))</f>
        <v>¬</v>
      </c>
      <c r="AI7" s="15" t="s">
        <v>49</v>
      </c>
      <c r="AJ7" s="61">
        <f t="shared" si="1"/>
        <v>1</v>
      </c>
      <c r="AK7" s="61">
        <f>AJ7</f>
        <v>1</v>
      </c>
    </row>
    <row r="8" spans="1:37">
      <c r="A8" s="1" t="s">
        <v>7</v>
      </c>
      <c r="B8" t="str">
        <f>IF(VLOOKUP(tblCharDataGel[[#This Row],[Field]],$E$2:$F$362,2,FALSE)="","¬",LOWER(VLOOKUP(tblCharDataGel[[#This Row],[Field]],$E$2:$F$362,2,FALSE)))</f>
        <v>he/him</v>
      </c>
      <c r="D8" s="19" t="str">
        <f>VLOOKUP(F7,tblClans[],2,FALSE)</f>
        <v>Dexterity</v>
      </c>
      <c r="E8" s="15" t="s">
        <v>10</v>
      </c>
      <c r="F8" s="3"/>
      <c r="G8" s="61" t="str">
        <f>IFERROR(IF(OR(AND(VLOOKUP(F8,tblBloodlines[],2,FALSE)="",VLOOKUP(F8,tblBloodlines[],3,FALSE)="",VLOOKUP(F8,tblBloodlines[],4,FALSE)=""),AND(VLOOKUP(F8,tblBloodlines[],2,FALSE)="",VLOOKUP(F8,tblBloodlines[],3,FALSE)="",F9=VLOOKUP(F8,tblBloodlines[],4,FALSE)),F7=VLOOKUP(F8,tblBloodlines[],2,FALSE),F7=VLOOKUP(F8,tblBloodlines[],3,FALSE)),TRUE,FALSE),"")</f>
        <v/>
      </c>
      <c r="H8" s="18"/>
      <c r="I8" s="18" t="s">
        <v>1428</v>
      </c>
      <c r="N8" s="61">
        <f>N23</f>
        <v>0</v>
      </c>
      <c r="O8" s="65">
        <f>N8/SUM(N$7:N$12)</f>
        <v>0</v>
      </c>
      <c r="P8" s="66"/>
      <c r="Y8" s="15" t="s">
        <v>120</v>
      </c>
      <c r="Z8" s="19"/>
      <c r="AA8" s="61" t="str">
        <f t="shared" si="0"/>
        <v/>
      </c>
      <c r="AC8" s="60"/>
      <c r="AD8" s="20" t="str">
        <f>IF(AC8="","¬",_xlfn.LET(_xlpm.base,IFERROR(LEFT(AC8,FIND(" (",AC8)-1),AC8),IFERROR(VLOOKUP(_xlpm.base,tblManoeuvre[],2,FALSE) &amp; " " &amp; REPT("●",VLOOKUP(_xlpm.base,tblManoeuvre[],3,FALSE)) &amp; " | " &amp; AC8,AC8 &amp; " " &amp; REPT("●",VLOOKUP(_xlpm.base,$F$79:$P$120,11,FALSE)))))</f>
        <v>¬</v>
      </c>
      <c r="AE8" s="20"/>
      <c r="AF8" s="20" t="str">
        <f>IF(LEN(AC8)=0,"¬",_xlfn.LET(_xlpm.base,IFERROR(LEFT(AC8,FIND(" (",AC8)-1),AC8),IFERROR(VLOOKUP(_xlpm.base,tblMerits[],5,FALSE),IFERROR(VLOOKUP(_xlpm.base,tblManoeuvre[],9,FALSE),"¬"))))</f>
        <v>¬</v>
      </c>
      <c r="AI8" s="15" t="s">
        <v>34</v>
      </c>
      <c r="AJ8" s="61">
        <f t="shared" si="1"/>
        <v>2</v>
      </c>
      <c r="AK8" s="61">
        <f>IF(AJ8=0,IF(COUNTIF($E$42:$E$49,AI8)&gt;0,-3,-1),AJ8)</f>
        <v>2</v>
      </c>
    </row>
    <row r="9" spans="1:37">
      <c r="A9" s="1" t="s">
        <v>8</v>
      </c>
      <c r="B9" t="str">
        <f>IF(VLOOKUP(tblCharDataGel[[#This Row],[Field]],$E$2:$F$362,2,FALSE)="","¬",VLOOKUP(tblCharDataGel[[#This Row],[Field]],$E$2:$F$362,2,FALSE))</f>
        <v>Daeva</v>
      </c>
      <c r="D9" s="19"/>
      <c r="E9" s="15" t="s">
        <v>11</v>
      </c>
      <c r="F9" s="3" t="s">
        <v>396</v>
      </c>
      <c r="G9" s="18"/>
      <c r="H9" s="18"/>
      <c r="I9" s="18" t="s">
        <v>1429</v>
      </c>
      <c r="N9" s="61">
        <f>N40+T40</f>
        <v>4</v>
      </c>
      <c r="O9" s="65">
        <f>N9/SUM(N$7:N$12)</f>
        <v>0.2</v>
      </c>
      <c r="P9" s="66"/>
      <c r="Y9" s="15" t="s">
        <v>121</v>
      </c>
      <c r="Z9" s="19"/>
      <c r="AA9" s="61" t="str">
        <f t="shared" si="0"/>
        <v/>
      </c>
      <c r="AC9" s="60"/>
      <c r="AD9" s="20" t="str">
        <f>IF(AC9="","¬",_xlfn.LET(_xlpm.base,IFERROR(LEFT(AC9,FIND(" (",AC9)-1),AC9),IFERROR(VLOOKUP(_xlpm.base,tblManoeuvre[],2,FALSE) &amp; " " &amp; REPT("●",VLOOKUP(_xlpm.base,tblManoeuvre[],3,FALSE)) &amp; " | " &amp; AC9,AC9 &amp; " " &amp; REPT("●",VLOOKUP(_xlpm.base,$F$79:$P$120,11,FALSE)))))</f>
        <v>¬</v>
      </c>
      <c r="AE9" s="20"/>
      <c r="AF9" s="20" t="str">
        <f>IF(LEN(AC9)=0,"¬",_xlfn.LET(_xlpm.base,IFERROR(LEFT(AC9,FIND(" (",AC9)-1),AC9),IFERROR(VLOOKUP(_xlpm.base,tblMerits[],5,FALSE),IFERROR(VLOOKUP(_xlpm.base,tblManoeuvre[],9,FALSE),"¬"))))</f>
        <v>¬</v>
      </c>
      <c r="AI9" s="15" t="s">
        <v>238</v>
      </c>
      <c r="AJ9" s="61">
        <f t="shared" si="1"/>
        <v>2</v>
      </c>
      <c r="AK9" s="61">
        <f>AJ9</f>
        <v>2</v>
      </c>
    </row>
    <row r="10" spans="1:37">
      <c r="A10" s="1" t="s">
        <v>9</v>
      </c>
      <c r="B10" t="str">
        <f>CONCATENATE(Elements,B9," icon.svg")</f>
        <v>D:\Terra Mortis\Character Sheets\Sheet Elements\Daeva icon.svg</v>
      </c>
      <c r="D10" s="19"/>
      <c r="E10" s="15" t="s">
        <v>13</v>
      </c>
      <c r="F10" s="3" t="s">
        <v>375</v>
      </c>
      <c r="G10" s="18"/>
      <c r="H10" s="18"/>
      <c r="I10" s="18" t="s">
        <v>1430</v>
      </c>
      <c r="N10" s="61">
        <f>N77</f>
        <v>6</v>
      </c>
      <c r="O10" s="65">
        <f>N10/SUM(N$7:N$12)</f>
        <v>0.3</v>
      </c>
      <c r="P10" s="66"/>
      <c r="Y10" s="15" t="s">
        <v>122</v>
      </c>
      <c r="Z10" s="19"/>
      <c r="AA10" s="61" t="str">
        <f t="shared" si="0"/>
        <v/>
      </c>
      <c r="AC10" s="60"/>
      <c r="AD10" s="20" t="str">
        <f>IF(AC10="","¬",_xlfn.LET(_xlpm.base,IFERROR(LEFT(AC10,FIND(" (",AC10)-1),AC10),IFERROR(VLOOKUP(_xlpm.base,tblManoeuvre[],2,FALSE) &amp; " " &amp; REPT("●",VLOOKUP(_xlpm.base,tblManoeuvre[],3,FALSE)) &amp; " | " &amp; AC10,AC10 &amp; " " &amp; REPT("●",VLOOKUP(_xlpm.base,$F$79:$P$120,11,FALSE)))))</f>
        <v>¬</v>
      </c>
      <c r="AE10" s="20"/>
      <c r="AF10" s="20" t="str">
        <f>IF(LEN(AC10)=0,"¬",_xlfn.LET(_xlpm.base,IFERROR(LEFT(AC10,FIND(" (",AC10)-1),AC10),IFERROR(VLOOKUP(_xlpm.base,tblMerits[],5,FALSE),IFERROR(VLOOKUP(_xlpm.base,tblManoeuvre[],9,FALSE),"¬"))))</f>
        <v>¬</v>
      </c>
      <c r="AI10" s="15" t="s">
        <v>24</v>
      </c>
      <c r="AJ10" s="61">
        <f t="shared" si="1"/>
        <v>4</v>
      </c>
      <c r="AK10" s="61">
        <f>AJ10+IFERROR(INDEX($V$26:$V$38,MATCH(AI10,$E$26:$E$38,0)),0)</f>
        <v>4</v>
      </c>
    </row>
    <row r="11" spans="1:37">
      <c r="A11" s="1" t="s">
        <v>10</v>
      </c>
      <c r="B11" t="str">
        <f>IF(VLOOKUP(tblCharDataGel[[#This Row],[Field]],$E$2:$F$362,2,FALSE)="","¬",VLOOKUP(tblCharDataGel[[#This Row],[Field]],$E$2:$F$362,2,FALSE))</f>
        <v>¬</v>
      </c>
      <c r="D11" s="19"/>
      <c r="E11" s="15" t="s">
        <v>14</v>
      </c>
      <c r="F11" s="3" t="s">
        <v>936</v>
      </c>
      <c r="G11" s="18"/>
      <c r="H11" s="18"/>
      <c r="I11" s="18" t="s">
        <v>1431</v>
      </c>
      <c r="N11" s="61">
        <f>N163</f>
        <v>0</v>
      </c>
      <c r="O11" s="65">
        <f>N11/SUM(N$7:N$12)</f>
        <v>0</v>
      </c>
      <c r="P11" s="66"/>
      <c r="Y11" s="15" t="s">
        <v>123</v>
      </c>
      <c r="Z11" s="19"/>
      <c r="AA11" s="61" t="str">
        <f t="shared" si="0"/>
        <v/>
      </c>
      <c r="AC11" s="60"/>
      <c r="AD11" s="20" t="str">
        <f>IF(AC11="","¬",_xlfn.LET(_xlpm.base,IFERROR(LEFT(AC11,FIND(" (",AC11)-1),AC11),IFERROR(VLOOKUP(_xlpm.base,tblManoeuvre[],2,FALSE) &amp; " " &amp; REPT("●",VLOOKUP(_xlpm.base,tblManoeuvre[],3,FALSE)) &amp; " | " &amp; AC11,AC11 &amp; " " &amp; REPT("●",VLOOKUP(_xlpm.base,$F$79:$P$120,11,FALSE)))))</f>
        <v>¬</v>
      </c>
      <c r="AE11" s="20"/>
      <c r="AF11" s="20" t="str">
        <f>IF(LEN(AC11)=0,"¬",_xlfn.LET(_xlpm.base,IFERROR(LEFT(AC11,FIND(" (",AC11)-1),AC11),IFERROR(VLOOKUP(_xlpm.base,tblMerits[],5,FALSE),IFERROR(VLOOKUP(_xlpm.base,tblManoeuvre[],9,FALSE),"¬"))))</f>
        <v>¬</v>
      </c>
      <c r="AI11" s="15" t="s">
        <v>26</v>
      </c>
      <c r="AJ11" s="61">
        <f t="shared" si="1"/>
        <v>2</v>
      </c>
      <c r="AK11" s="61">
        <f>IF(AJ11=0,IF(COUNTIF($E$42:$E$49,AI11)&gt;0,-3,-1),AJ11)</f>
        <v>2</v>
      </c>
    </row>
    <row r="12" spans="1:37">
      <c r="A12" s="1" t="s">
        <v>11</v>
      </c>
      <c r="B12" t="str">
        <f>IF(VLOOKUP(tblCharDataGel[[#This Row],[Field]],$E$2:$F$362,2,FALSE)="","¬",VLOOKUP(tblCharDataGel[[#This Row],[Field]],$E$2:$F$362,2,FALSE))</f>
        <v>Invictus</v>
      </c>
      <c r="D12" s="19"/>
      <c r="E12" s="15" t="s">
        <v>15</v>
      </c>
      <c r="F12" s="3"/>
      <c r="G12" s="3"/>
      <c r="H12" s="18"/>
      <c r="I12" s="18" t="s">
        <v>1432</v>
      </c>
      <c r="N12" s="61">
        <f>N71</f>
        <v>0</v>
      </c>
      <c r="O12" s="65">
        <f>N12/SUM(N$7:N$12)</f>
        <v>0</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0</v>
      </c>
      <c r="AK12" s="61">
        <f>IF(AJ12=0,IF(COUNTIF($E$42:$E$49,AI12)&gt;0,-3,-1),AJ12)</f>
        <v>-3</v>
      </c>
    </row>
    <row r="13" spans="1:37">
      <c r="A13" s="1" t="s">
        <v>12</v>
      </c>
      <c r="B13" t="str">
        <f>_xlfn.IFNA(CONCATENATE(Elements,VLOOKUP(B12,tblCovenantShortName[#Data],2,FALSE)," icon.svg"),"")</f>
        <v>D:\Terra Mortis\Character Sheets\Sheet Elements\Invictus icon.svg</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0</v>
      </c>
      <c r="AK13" s="61">
        <f t="shared" ref="AK13:AK19" si="2">AJ13</f>
        <v>0</v>
      </c>
    </row>
    <row r="14" spans="1:37">
      <c r="A14" s="1" t="s">
        <v>13</v>
      </c>
      <c r="B14" t="str">
        <f>IF(VLOOKUP(tblCharDataGel[[#This Row],[Field]],$E$2:$F$362,2,FALSE)="","¬",VLOOKUP(tblCharDataGel[[#This Row],[Field]],$E$2:$F$362,2,FALSE))</f>
        <v>Follower</v>
      </c>
      <c r="D14" s="19"/>
      <c r="E14" s="15" t="s">
        <v>1433</v>
      </c>
      <c r="F14" s="28">
        <v>44593</v>
      </c>
      <c r="G14" s="3" t="s">
        <v>634</v>
      </c>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0</v>
      </c>
      <c r="AK14" s="61">
        <f t="shared" si="2"/>
        <v>0</v>
      </c>
    </row>
    <row r="15" spans="1:37">
      <c r="A15" s="1" t="s">
        <v>14</v>
      </c>
      <c r="B15" t="str">
        <f>IF(VLOOKUP(tblCharDataGel[[#This Row],[Field]],$E$2:$F$362,2,FALSE)="","¬",VLOOKUP(tblCharDataGel[[#This Row],[Field]],$E$2:$F$362,2,FALSE))</f>
        <v>Idealist</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3</v>
      </c>
      <c r="AK15" s="61">
        <f t="shared" ca="1" si="2"/>
        <v>3</v>
      </c>
    </row>
    <row r="16" spans="1:37" ht="15.75" thickBot="1">
      <c r="A16" s="1" t="s">
        <v>15</v>
      </c>
      <c r="B16" t="str">
        <f ca="1">_xlfn.LET(_xlpm.a,VLOOKUP(tblCharDataGel[[#This Row],[Field]],$E$2:$F$362,2,FALSE),_xlpm.b,VLOOKUP(OFFSET(tblCharDataGel[[#This Row],[Field]],1,0),$E$2:$F$362,2,FALSE),IF(AND(_xlpm.a&lt;&gt;"",_xlpm.b&lt;&gt;""),_xlpm.a&amp;" &amp; "&amp;_xlpm.b,IF(_xlpm.a&lt;&gt;"",_xlpm.a,IF(_xlpm.b&lt;&gt;"",_xlpm.b,"¬"))))</f>
        <v>¬</v>
      </c>
      <c r="D16" s="14" t="s">
        <v>1427</v>
      </c>
      <c r="E16" s="14"/>
      <c r="F16" s="14"/>
      <c r="G16" s="14"/>
      <c r="H16" s="14"/>
      <c r="I16" s="14"/>
      <c r="N16" s="60">
        <f>SUM(N17:N21)</f>
        <v>0</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REPT("●",IFERROR(INDEX($P$26:$P$38,MATCH(tblCharDataGel[[#This Row],[Field]],$E$26:$E$38,0)),0))&amp;REPT("○",IFERROR(INDEX($V$26:$V$38,MATCH(tblCharDataGel[[#This Row],[Field]],$E$26:$E$38,0)),0))</f>
        <v>●●</v>
      </c>
      <c r="D17" s="19"/>
      <c r="E17" s="15" t="s">
        <v>1435</v>
      </c>
      <c r="F17" s="3"/>
      <c r="G17" s="19"/>
      <c r="H17" s="19"/>
      <c r="I17" s="19"/>
      <c r="N17" s="61">
        <f>IF(F17=TRUE,3,0)</f>
        <v>0</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2</v>
      </c>
      <c r="AK17" s="61">
        <f>AJ17+IFERROR(INDEX($V$26:$V$38,MATCH(AI17,$E$26:$E$38,0)),0)</f>
        <v>2</v>
      </c>
    </row>
    <row r="18" spans="1:37">
      <c r="A18" s="1" t="s">
        <v>17</v>
      </c>
      <c r="B18" t="str">
        <f>REPT("●",IFERROR(INDEX($P$26:$P$38,MATCH(tblCharDataGel[[#This Row],[Field]],$E$26:$E$38,0)),0))&amp;REPT("○",IFERROR(INDEX($V$26:$V$38,MATCH(tblCharDataGel[[#This Row],[Field]],$E$26:$E$38,0)),0))</f>
        <v>●●●</v>
      </c>
      <c r="D18" s="19"/>
      <c r="E18" s="15" t="s">
        <v>1436</v>
      </c>
      <c r="F18" s="3"/>
      <c r="G18" s="19"/>
      <c r="H18" s="19"/>
      <c r="I18" s="19"/>
      <c r="N18" s="61">
        <f>IF(F18=TRUE,3,0)</f>
        <v>0</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0</v>
      </c>
      <c r="AK18" s="61">
        <f t="shared" si="2"/>
        <v>0</v>
      </c>
    </row>
    <row r="19" spans="1:37">
      <c r="A19" s="1" t="s">
        <v>18</v>
      </c>
      <c r="B19" t="str">
        <f>REPT("●",IFERROR(INDEX($P$26:$P$38,MATCH(tblCharDataGel[[#This Row],[Field]],$E$26:$E$38,0)),0))&amp;REPT("○",IFERROR(INDEX($V$26:$V$38,MATCH(tblCharDataGel[[#This Row],[Field]],$E$26:$E$38,0)),0))</f>
        <v>●●</v>
      </c>
      <c r="D19" s="19"/>
      <c r="E19" s="15" t="s">
        <v>1437</v>
      </c>
      <c r="F19" s="3"/>
      <c r="G19" s="19"/>
      <c r="H19" s="19"/>
      <c r="I19" s="19"/>
      <c r="N19" s="61">
        <f>IF(F19=TRUE,3,0)</f>
        <v>0</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0</v>
      </c>
      <c r="AK19" s="61">
        <f t="shared" si="2"/>
        <v>0</v>
      </c>
    </row>
    <row r="20" spans="1:37">
      <c r="A20" s="1" t="s">
        <v>19</v>
      </c>
      <c r="B20" t="str">
        <f>REPT("●",IFERROR(INDEX($P$26:$P$38,MATCH(tblCharDataGel[[#This Row],[Field]],$E$26:$E$38,0)),0))&amp;REPT("○",IFERROR(INDEX($V$26:$V$38,MATCH(tblCharDataGel[[#This Row],[Field]],$E$26:$E$38,0)),0))</f>
        <v>●●</v>
      </c>
      <c r="D20" s="19"/>
      <c r="E20" s="15" t="s">
        <v>1438</v>
      </c>
      <c r="F20" s="3"/>
      <c r="G20" s="19"/>
      <c r="H20" s="19"/>
      <c r="I20" s="19"/>
      <c r="N20" s="61">
        <f>IF(F20=TRUE,3,0)</f>
        <v>0</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REPT("●",IFERROR(INDEX($P$26:$P$38,MATCH(tblCharDataGel[[#This Row],[Field]],$E$26:$E$38,0)),0))&amp;REPT("○",IFERROR(INDEX($V$26:$V$38,MATCH(tblCharDataGel[[#This Row],[Field]],$E$26:$E$38,0)),0))</f>
        <v>●●</v>
      </c>
      <c r="D21" s="19"/>
      <c r="E21" s="15" t="s">
        <v>11</v>
      </c>
      <c r="F21" s="3"/>
      <c r="G21" s="19"/>
      <c r="H21" s="19"/>
      <c r="I21" s="19"/>
      <c r="N21" s="61">
        <f>IF(F21=TRUE,3,0)</f>
        <v>0</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1</v>
      </c>
      <c r="AK21" s="61">
        <f>IF(AJ21=0,IF(COUNTIF($E$42:$E$49,AI21)&gt;0,-3,-1),AJ21)</f>
        <v>1</v>
      </c>
    </row>
    <row r="22" spans="1:37">
      <c r="A22" s="1" t="s">
        <v>21</v>
      </c>
      <c r="B22" t="str">
        <f>REPT("●",IFERROR(INDEX($P$26:$P$38,MATCH(tblCharDataGel[[#This Row],[Field]],$E$26:$E$38,0)),0))&amp;REPT("○",IFERROR(INDEX($V$26:$V$38,MATCH(tblCharDataGel[[#This Row],[Field]],$E$26:$E$38,0)),0))</f>
        <v>●●</v>
      </c>
      <c r="Y22" s="15" t="s">
        <v>1439</v>
      </c>
      <c r="Z22" s="61" t="str">
        <f>IFERROR(VLOOKUP(AA22,tblManoeuvre[],2,FALSE),"")</f>
        <v>Police Tactics</v>
      </c>
      <c r="AA22" s="61" t="str">
        <f t="shared" ref="AA22:AA41" si="3">_xlfn.LET(_xlpm.name,VLOOKUP(Y22,$E$2:$F$362,2,FALSE),_xlpm.paid,_xlfn.IFNA(VLOOKUP(_xlpm.name,$F$79:$Q$120,11,FALSE)&gt;=VLOOKUP(_xlpm.name,$F$79:$Q$120,12,FALSE),FALSE),IF(AND(_xlpm.name&lt;&gt;"",_xlpm.paid),_xlpm.name,""))</f>
        <v>Compliance Hold</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0</v>
      </c>
      <c r="AK22" s="61">
        <f>IF(AJ22=0,IF(COUNTIF($E$42:$E$49,AI22)&gt;0,-3,-1),AJ22)</f>
        <v>-1</v>
      </c>
    </row>
    <row r="23" spans="1:37" ht="15.75" thickBot="1">
      <c r="A23" s="1" t="s">
        <v>22</v>
      </c>
      <c r="B23" t="str">
        <f>REPT("●",IFERROR(INDEX($P$26:$P$38,MATCH(tblCharDataGel[[#This Row],[Field]],$E$26:$E$38,0)),0))&amp;REPT("○",IFERROR(INDEX($V$26:$V$38,MATCH(tblCharDataGel[[#This Row],[Field]],$E$26:$E$38,0)),0))</f>
        <v>●●</v>
      </c>
      <c r="D23" s="14" t="s">
        <v>1440</v>
      </c>
      <c r="E23" s="14"/>
      <c r="F23" s="14"/>
      <c r="G23" s="14"/>
      <c r="H23" s="14"/>
      <c r="I23" s="14"/>
      <c r="N23" s="60">
        <f>SUM(N26:N28,N31:N33,N36:N38)</f>
        <v>0</v>
      </c>
      <c r="Y23" s="15" t="s">
        <v>1441</v>
      </c>
      <c r="Z23" s="61" t="str">
        <f>IFERROR(VLOOKUP(AA23,tblManoeuvre[],2,FALSE),"")</f>
        <v>Police Tactics</v>
      </c>
      <c r="AA23" s="61" t="str">
        <f t="shared" si="3"/>
        <v>Weapon Retention</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0</v>
      </c>
      <c r="AK23" s="61">
        <f>IF(AJ23=0,VLOOKUP(AI23,$E$42:$Q$69,13,FALSE),AJ23)</f>
        <v>0</v>
      </c>
    </row>
    <row r="24" spans="1:37">
      <c r="A24" s="1" t="s">
        <v>23</v>
      </c>
      <c r="B24" t="str">
        <f>REPT("●",IFERROR(INDEX($P$26:$P$38,MATCH(tblCharDataGel[[#This Row],[Field]],$E$26:$E$38,0)),0))&amp;REPT("○",IFERROR(INDEX($V$26:$V$38,MATCH(tblCharDataGel[[#This Row],[Field]],$E$26:$E$38,0)),0))</f>
        <v>●●●</v>
      </c>
      <c r="E24" s="15" t="s">
        <v>1442</v>
      </c>
      <c r="F24" s="3" t="s">
        <v>23</v>
      </c>
      <c r="Y24" s="15" t="s">
        <v>1443</v>
      </c>
      <c r="Z24" s="61" t="str">
        <f>IFERROR(VLOOKUP(AA24,tblManoeuvre[],2,FALSE),"")</f>
        <v/>
      </c>
      <c r="AA24" s="61" t="str">
        <f t="shared" si="3"/>
        <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7</v>
      </c>
      <c r="AK24" s="61">
        <f ca="1">AJ24</f>
        <v>7</v>
      </c>
    </row>
    <row r="25" spans="1:37">
      <c r="A25" s="1" t="s">
        <v>24</v>
      </c>
      <c r="B25" t="str">
        <f>REPT("●",IFERROR(INDEX($P$26:$P$38,MATCH(tblCharDataGel[[#This Row],[Field]],$E$26:$E$38,0)),0))&amp;REPT("○",IFERROR(INDEX($V$26:$V$38,MATCH(tblCharDataGel[[#This Row],[Field]],$E$26:$E$38,0)),0))</f>
        <v>●●●●</v>
      </c>
      <c r="D25" s="16" t="s">
        <v>1444</v>
      </c>
      <c r="E25" s="17"/>
      <c r="F25" s="17"/>
      <c r="G25" s="17" t="s">
        <v>1445</v>
      </c>
      <c r="H25" s="16" t="s">
        <v>1446</v>
      </c>
      <c r="I25" s="3" t="s">
        <v>1567</v>
      </c>
      <c r="L25" s="60">
        <f>IF(I25="",0,VLOOKUP(I25,tblPriority[#Data],2,FALSE))-SUM(L26:L28)</f>
        <v>0</v>
      </c>
      <c r="Y25" s="15" t="s">
        <v>1447</v>
      </c>
      <c r="Z25" s="61" t="str">
        <f>IFERROR(VLOOKUP(AA25,tblManoeuvre[],2,FALSE),"")</f>
        <v/>
      </c>
      <c r="AA25" s="61" t="str">
        <f t="shared" si="3"/>
        <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7</v>
      </c>
      <c r="AK25" s="61">
        <f>AJ25</f>
        <v>7</v>
      </c>
    </row>
    <row r="26" spans="1:37">
      <c r="A26" s="1" t="s">
        <v>25</v>
      </c>
      <c r="B26" t="str">
        <f>REPT("●",IFERROR(INDEX($P$42:$P$69,MATCH(tblCharDataGel[[#This Row],[Field]],$E$42:$E$69,0)),0))&amp;REPT("○",IFERROR(INDEX($V$42:$V$69,MATCH(tblCharDataGel[[#This Row],[Field]],$E$42:$E$69,0)),0))&amp;IF(IFERROR(INDEX($W$42:$W$69,MATCH(tblCharDataGel[[#This Row],[Field]],$E$42:$E$69,0)),0)=1,"†","")</f>
        <v/>
      </c>
      <c r="D26" s="18"/>
      <c r="E26" s="15" t="s">
        <v>16</v>
      </c>
      <c r="F26" s="18"/>
      <c r="G26" s="3"/>
      <c r="H26" s="18"/>
      <c r="I26" s="18"/>
      <c r="L26" s="3">
        <v>1</v>
      </c>
      <c r="M26" s="60">
        <f>IF(E26=$F$24,2,1)</f>
        <v>1</v>
      </c>
      <c r="N26" s="3"/>
      <c r="O26" s="61">
        <f>ROUNDDOWN(N26/4,0)</f>
        <v>0</v>
      </c>
      <c r="P26" s="60">
        <f>MIN(SUM(L26,M26,O26),R26)</f>
        <v>2</v>
      </c>
      <c r="R26" s="61">
        <v>5</v>
      </c>
      <c r="U26" s="4"/>
      <c r="V26" s="61">
        <f>U26</f>
        <v>0</v>
      </c>
      <c r="Y26" s="15" t="s">
        <v>1449</v>
      </c>
      <c r="Z26" s="61" t="str">
        <f>IFERROR(VLOOKUP(AA26,tblManoeuvre[],2,FALSE),"")</f>
        <v/>
      </c>
      <c r="AA26" s="61" t="str">
        <f t="shared" si="3"/>
        <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2</v>
      </c>
      <c r="AK26" s="61">
        <f>AJ26+IFERROR(INDEX($V$26:$V$38,MATCH(AI26,$E$26:$E$38,0)),0)</f>
        <v>2</v>
      </c>
    </row>
    <row r="27" spans="1:37">
      <c r="A27" s="1" t="s">
        <v>26</v>
      </c>
      <c r="B27" t="str">
        <f>REPT("●",IFERROR(INDEX($P$42:$P$69,MATCH(tblCharDataGel[[#This Row],[Field]],$E$42:$E$69,0)),0))&amp;REPT("○",IFERROR(INDEX($V$42:$V$69,MATCH(tblCharDataGel[[#This Row],[Field]],$E$42:$E$69,0)),0))&amp;IF(IFERROR(INDEX($W$42:$W$69,MATCH(tblCharDataGel[[#This Row],[Field]],$E$42:$E$69,0)),0)=1,"†","")</f>
        <v>●●</v>
      </c>
      <c r="D27" s="18"/>
      <c r="E27" s="15" t="s">
        <v>17</v>
      </c>
      <c r="F27" s="18"/>
      <c r="G27" s="3"/>
      <c r="H27" s="18"/>
      <c r="I27" s="18"/>
      <c r="L27" s="3">
        <v>2</v>
      </c>
      <c r="M27" s="60">
        <f>IF(E27=$F$24,2,1)</f>
        <v>1</v>
      </c>
      <c r="N27" s="3"/>
      <c r="O27" s="61">
        <f>ROUNDDOWN(N27/4,0)</f>
        <v>0</v>
      </c>
      <c r="P27" s="60">
        <f>MIN(SUM(L27,M27,O27),R27)</f>
        <v>3</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1</v>
      </c>
      <c r="AK27" s="61">
        <f>IF(AJ27=0,IF(COUNTIF($E$42:$E$49,AI27)&gt;0,-3,-1),AJ27)</f>
        <v>1</v>
      </c>
    </row>
    <row r="28" spans="1:37">
      <c r="A28" s="1" t="s">
        <v>27</v>
      </c>
      <c r="B28" t="str">
        <f>REPT("●",IFERROR(INDEX($P$42:$P$69,MATCH(tblCharDataGel[[#This Row],[Field]],$E$42:$E$69,0)),0))&amp;REPT("○",IFERROR(INDEX($V$42:$V$69,MATCH(tblCharDataGel[[#This Row],[Field]],$E$42:$E$69,0)),0))&amp;IF(IFERROR(INDEX($W$42:$W$69,MATCH(tblCharDataGel[[#This Row],[Field]],$E$42:$E$69,0)),0)=1,"†","")</f>
        <v/>
      </c>
      <c r="D28" s="18"/>
      <c r="E28" s="15" t="s">
        <v>18</v>
      </c>
      <c r="F28" s="18"/>
      <c r="G28" s="3"/>
      <c r="H28" s="18"/>
      <c r="I28" s="18"/>
      <c r="L28" s="3">
        <v>1</v>
      </c>
      <c r="M28" s="60">
        <f>IF(E28=$F$24,2,1)</f>
        <v>1</v>
      </c>
      <c r="N28" s="3"/>
      <c r="O28" s="61">
        <f>ROUNDDOWN(N28/4,0)</f>
        <v>0</v>
      </c>
      <c r="P28" s="60">
        <f>MIN(SUM(L28,M28,O28),R28)</f>
        <v>2</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4</v>
      </c>
      <c r="AK28" s="61">
        <f>IF(AJ28=0,IF(COUNTIF($E$42:$E$49,AI28)&gt;0,-3,-1),AJ28)</f>
        <v>4</v>
      </c>
    </row>
    <row r="29" spans="1:37">
      <c r="A29" s="1" t="s">
        <v>28</v>
      </c>
      <c r="B29" t="str">
        <f>REPT("●",IFERROR(INDEX($P$42:$P$69,MATCH(tblCharDataGel[[#This Row],[Field]],$E$42:$E$69,0)),0))&amp;REPT("○",IFERROR(INDEX($V$42:$V$69,MATCH(tblCharDataGel[[#This Row],[Field]],$E$42:$E$69,0)),0))&amp;IF(IFERROR(INDEX($W$42:$W$69,MATCH(tblCharDataGel[[#This Row],[Field]],$E$42:$E$69,0)),0)=1,"†","")</f>
        <v>●●●●○†</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0</v>
      </c>
      <c r="AK29" s="61">
        <f>IF(AJ29=0,IF(COUNTIF($E$42:$E$49,AI29)&gt;0,-3,-1),AJ29)</f>
        <v>-1</v>
      </c>
    </row>
    <row r="30" spans="1:37">
      <c r="A30" s="1" t="s">
        <v>29</v>
      </c>
      <c r="B30" t="str">
        <f>REPT("●",IFERROR(INDEX($P$42:$P$69,MATCH(tblCharDataGel[[#This Row],[Field]],$E$42:$E$69,0)),0))&amp;REPT("○",IFERROR(INDEX($V$42:$V$69,MATCH(tblCharDataGel[[#This Row],[Field]],$E$42:$E$69,0)),0))&amp;IF(IFERROR(INDEX($W$42:$W$69,MATCH(tblCharDataGel[[#This Row],[Field]],$E$42:$E$69,0)),0)=1,"†","")</f>
        <v/>
      </c>
      <c r="D30" s="16" t="s">
        <v>1453</v>
      </c>
      <c r="E30" s="17"/>
      <c r="F30" s="17"/>
      <c r="G30" s="17" t="s">
        <v>1445</v>
      </c>
      <c r="H30" s="16" t="s">
        <v>1446</v>
      </c>
      <c r="I30" s="3" t="s">
        <v>1566</v>
      </c>
      <c r="L30" s="60">
        <f>IF(I30="",0,VLOOKUP(I30,tblPriority[#Data],2,FALSE))-SUM(L31:L33)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1</v>
      </c>
      <c r="AK30" s="61">
        <f>AJ30</f>
        <v>1</v>
      </c>
    </row>
    <row r="31" spans="1:37">
      <c r="A31" s="1" t="s">
        <v>30</v>
      </c>
      <c r="B31" t="str">
        <f>REPT("●",IFERROR(INDEX($P$42:$P$69,MATCH(tblCharDataGel[[#This Row],[Field]],$E$42:$E$69,0)),0))&amp;REPT("○",IFERROR(INDEX($V$42:$V$69,MATCH(tblCharDataGel[[#This Row],[Field]],$E$42:$E$69,0)),0))&amp;IF(IFERROR(INDEX($W$42:$W$69,MATCH(tblCharDataGel[[#This Row],[Field]],$E$42:$E$69,0)),0)=1,"†","")</f>
        <v>●●●</v>
      </c>
      <c r="D31" s="18"/>
      <c r="E31" s="15" t="s">
        <v>19</v>
      </c>
      <c r="F31" s="18"/>
      <c r="G31" s="3"/>
      <c r="H31" s="18"/>
      <c r="I31" s="18"/>
      <c r="L31" s="3">
        <v>1</v>
      </c>
      <c r="M31" s="60">
        <f>IF(E31=$F$24,2,1)</f>
        <v>1</v>
      </c>
      <c r="N31" s="3"/>
      <c r="O31" s="61">
        <f>ROUNDDOWN(N31/4,0)</f>
        <v>0</v>
      </c>
      <c r="P31" s="60">
        <f>MIN(SUM(L31,M31,O31),R31)</f>
        <v>2</v>
      </c>
      <c r="R31" s="61">
        <v>5</v>
      </c>
      <c r="U31" s="4"/>
      <c r="V31" s="61">
        <f>$P$174+U31</f>
        <v>0</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3</v>
      </c>
      <c r="AK31" s="61">
        <f>AJ31+IFERROR(INDEX($V$26:$V$38,MATCH(AI31,$E$26:$E$38,0)),0)</f>
        <v>3</v>
      </c>
    </row>
    <row r="32" spans="1:37">
      <c r="A32" s="1" t="s">
        <v>31</v>
      </c>
      <c r="B32" t="str">
        <f>REPT("●",IFERROR(INDEX($P$42:$P$69,MATCH(tblCharDataGel[[#This Row],[Field]],$E$42:$E$69,0)),0))&amp;REPT("○",IFERROR(INDEX($V$42:$V$69,MATCH(tblCharDataGel[[#This Row],[Field]],$E$42:$E$69,0)),0))&amp;IF(IFERROR(INDEX($W$42:$W$69,MATCH(tblCharDataGel[[#This Row],[Field]],$E$42:$E$69,0)),0)=1,"†","")</f>
        <v/>
      </c>
      <c r="D32" s="18"/>
      <c r="E32" s="15" t="s">
        <v>20</v>
      </c>
      <c r="F32" s="18"/>
      <c r="G32" s="3"/>
      <c r="H32" s="18"/>
      <c r="I32" s="18"/>
      <c r="L32" s="3">
        <v>1</v>
      </c>
      <c r="M32" s="60">
        <f>IF(E32=$F$24,2,1)</f>
        <v>1</v>
      </c>
      <c r="N32" s="3"/>
      <c r="O32" s="61">
        <f>ROUNDDOWN(N32/4,0)</f>
        <v>0</v>
      </c>
      <c r="P32" s="60">
        <f>MIN(SUM(L32,M32,O32),R32)</f>
        <v>2</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REPT("●",IFERROR(INDEX($P$42:$P$69,MATCH(tblCharDataGel[[#This Row],[Field]],$E$42:$E$69,0)),0))&amp;REPT("○",IFERROR(INDEX($V$42:$V$69,MATCH(tblCharDataGel[[#This Row],[Field]],$E$42:$E$69,0)),0))&amp;IF(IFERROR(INDEX($W$42:$W$69,MATCH(tblCharDataGel[[#This Row],[Field]],$E$42:$E$69,0)),0)=1,"†","")</f>
        <v>●●</v>
      </c>
      <c r="D33" s="18"/>
      <c r="E33" s="15" t="s">
        <v>21</v>
      </c>
      <c r="F33" s="18"/>
      <c r="G33" s="3"/>
      <c r="H33" s="18"/>
      <c r="I33" s="18"/>
      <c r="L33" s="3">
        <v>1</v>
      </c>
      <c r="M33" s="60">
        <f>IF(E33=$F$24,2,1)</f>
        <v>1</v>
      </c>
      <c r="N33" s="3"/>
      <c r="O33" s="61">
        <f>ROUNDDOWN(N33/4,0)</f>
        <v>0</v>
      </c>
      <c r="P33" s="60">
        <f>MIN(SUM(L33,M33,O33),R33)</f>
        <v>2</v>
      </c>
      <c r="R33" s="61">
        <v>5</v>
      </c>
      <c r="U33" s="4"/>
      <c r="V33" s="61">
        <f>$P$173+U33</f>
        <v>0</v>
      </c>
      <c r="Y33" s="15" t="s">
        <v>1457</v>
      </c>
      <c r="Z33" s="61" t="str">
        <f>IFERROR(VLOOKUP(AA33,tblManoeuvre[],2,FALSE),"")</f>
        <v/>
      </c>
      <c r="AA33" s="61" t="str">
        <f t="shared" si="3"/>
        <v/>
      </c>
      <c r="AI33" s="15" t="s">
        <v>241</v>
      </c>
      <c r="AJ33" s="61">
        <f t="shared" si="1"/>
        <v>0</v>
      </c>
      <c r="AK33" s="61">
        <f>AJ33</f>
        <v>0</v>
      </c>
    </row>
    <row r="34" spans="1:37">
      <c r="A34" s="1" t="s">
        <v>33</v>
      </c>
      <c r="B34" t="str">
        <f>REPT("●",IFERROR(INDEX($P$42:$P$69,MATCH(tblCharDataGel[[#This Row],[Field]],$E$42:$E$69,0)),0))&amp;REPT("○",IFERROR(INDEX($V$42:$V$69,MATCH(tblCharDataGel[[#This Row],[Field]],$E$42:$E$69,0)),0))&amp;IF(IFERROR(INDEX($W$42:$W$69,MATCH(tblCharDataGel[[#This Row],[Field]],$E$42:$E$69,0)),0)=1,"†","")</f>
        <v>●</v>
      </c>
      <c r="Y34" s="15" t="s">
        <v>1458</v>
      </c>
      <c r="Z34" s="61" t="str">
        <f>IFERROR(VLOOKUP(AA34,tblManoeuvre[],2,FALSE),"")</f>
        <v/>
      </c>
      <c r="AA34" s="61" t="str">
        <f t="shared" si="3"/>
        <v/>
      </c>
      <c r="AI34" s="15" t="s">
        <v>242</v>
      </c>
      <c r="AJ34" s="61">
        <f t="shared" si="1"/>
        <v>0</v>
      </c>
      <c r="AK34" s="61">
        <f>AJ34</f>
        <v>0</v>
      </c>
    </row>
    <row r="35" spans="1:37">
      <c r="A35" s="1" t="s">
        <v>34</v>
      </c>
      <c r="B35" t="str">
        <f>REPT("●",IFERROR(INDEX($P$42:$P$69,MATCH(tblCharDataGel[[#This Row],[Field]],$E$42:$E$69,0)),0))&amp;REPT("○",IFERROR(INDEX($V$42:$V$69,MATCH(tblCharDataGel[[#This Row],[Field]],$E$42:$E$69,0)),0))&amp;IF(IFERROR(INDEX($W$42:$W$69,MATCH(tblCharDataGel[[#This Row],[Field]],$E$42:$E$69,0)),0)=1,"†","")</f>
        <v>●●†</v>
      </c>
      <c r="D35" s="16" t="s">
        <v>1459</v>
      </c>
      <c r="E35" s="17"/>
      <c r="F35" s="17"/>
      <c r="G35" s="17" t="s">
        <v>1445</v>
      </c>
      <c r="H35" s="16" t="s">
        <v>1446</v>
      </c>
      <c r="I35" s="3" t="s">
        <v>1565</v>
      </c>
      <c r="L35" s="60">
        <f>IF(I35="",0,VLOOKUP(I35,tblPriority[#Data],2,FALSE))-SUM(L36:L38)</f>
        <v>0</v>
      </c>
      <c r="Y35" s="15" t="s">
        <v>1460</v>
      </c>
      <c r="Z35" s="61" t="str">
        <f>IFERROR(VLOOKUP(AA35,tblManoeuvre[],2,FALSE),"")</f>
        <v/>
      </c>
      <c r="AA35" s="61" t="str">
        <f t="shared" si="3"/>
        <v/>
      </c>
      <c r="AI35" s="15" t="s">
        <v>30</v>
      </c>
      <c r="AJ35" s="61">
        <f t="shared" si="1"/>
        <v>3</v>
      </c>
      <c r="AK35" s="61">
        <f>IF(AJ35=0,IF(COUNTIF($E$42:$E$49,AI35)&gt;0,-3,-1),AJ35)</f>
        <v>3</v>
      </c>
    </row>
    <row r="36" spans="1:37">
      <c r="A36" s="1" t="s">
        <v>35</v>
      </c>
      <c r="B36" t="str">
        <f>REPT("●",IFERROR(INDEX($P$42:$P$69,MATCH(tblCharDataGel[[#This Row],[Field]],$E$42:$E$69,0)),0))&amp;REPT("○",IFERROR(INDEX($V$42:$V$69,MATCH(tblCharDataGel[[#This Row],[Field]],$E$42:$E$69,0)),0))&amp;IF(IFERROR(INDEX($W$42:$W$69,MATCH(tblCharDataGel[[#This Row],[Field]],$E$42:$E$69,0)),0)=1,"†","")</f>
        <v/>
      </c>
      <c r="D36" s="18"/>
      <c r="E36" s="15" t="s">
        <v>22</v>
      </c>
      <c r="F36" s="18"/>
      <c r="G36" s="3"/>
      <c r="H36" s="18"/>
      <c r="I36" s="18"/>
      <c r="L36" s="3">
        <v>1</v>
      </c>
      <c r="M36" s="60">
        <f>IF(E36=$F$24,2,1)</f>
        <v>1</v>
      </c>
      <c r="N36" s="3"/>
      <c r="O36" s="61">
        <f>ROUNDDOWN(N36/4,0)</f>
        <v>0</v>
      </c>
      <c r="P36" s="60">
        <f>MIN(SUM(L36,M36,O36),R36)</f>
        <v>2</v>
      </c>
      <c r="R36" s="61">
        <v>5</v>
      </c>
      <c r="U36" s="4"/>
      <c r="V36" s="61">
        <f>U36</f>
        <v>0</v>
      </c>
      <c r="Y36" s="15" t="s">
        <v>1461</v>
      </c>
      <c r="Z36" s="61" t="str">
        <f>IFERROR(VLOOKUP(AA36,tblManoeuvre[],2,FALSE),"")</f>
        <v/>
      </c>
      <c r="AA36" s="61" t="str">
        <f t="shared" si="3"/>
        <v/>
      </c>
      <c r="AI36" s="15" t="s">
        <v>45</v>
      </c>
      <c r="AJ36" s="61">
        <f t="shared" si="1"/>
        <v>1</v>
      </c>
      <c r="AK36" s="61">
        <f>IF(AJ36=0,IF(COUNTIF($E$42:$E$49,AI36)&gt;0,-3,-1),AJ36)</f>
        <v>1</v>
      </c>
    </row>
    <row r="37" spans="1:37">
      <c r="A37" s="1" t="s">
        <v>36</v>
      </c>
      <c r="B37" t="str">
        <f>REPT("●",IFERROR(INDEX($P$42:$P$69,MATCH(tblCharDataGel[[#This Row],[Field]],$E$42:$E$69,0)),0))&amp;REPT("○",IFERROR(INDEX($V$42:$V$69,MATCH(tblCharDataGel[[#This Row],[Field]],$E$42:$E$69,0)),0))&amp;IF(IFERROR(INDEX($W$42:$W$69,MATCH(tblCharDataGel[[#This Row],[Field]],$E$42:$E$69,0)),0)=1,"†","")</f>
        <v/>
      </c>
      <c r="D37" s="18"/>
      <c r="E37" s="15" t="s">
        <v>23</v>
      </c>
      <c r="F37" s="18"/>
      <c r="G37" s="3"/>
      <c r="H37" s="18"/>
      <c r="I37" s="18"/>
      <c r="L37" s="3">
        <v>1</v>
      </c>
      <c r="M37" s="60">
        <f>IF(E37=$F$24,2,1)</f>
        <v>2</v>
      </c>
      <c r="N37" s="3"/>
      <c r="O37" s="61">
        <f>ROUNDDOWN(N37/4,0)</f>
        <v>0</v>
      </c>
      <c r="P37" s="60">
        <f>MIN(SUM(L37,M37,O37),R37)</f>
        <v>3</v>
      </c>
      <c r="R37" s="61">
        <v>5</v>
      </c>
      <c r="U37" s="4"/>
      <c r="V37" s="61">
        <f>U37</f>
        <v>0</v>
      </c>
      <c r="Y37" s="15" t="s">
        <v>1462</v>
      </c>
      <c r="Z37" s="61" t="str">
        <f>IFERROR(VLOOKUP(AA37,tblManoeuvre[],2,FALSE),"")</f>
        <v/>
      </c>
      <c r="AA37" s="61" t="str">
        <f t="shared" si="3"/>
        <v/>
      </c>
      <c r="AI37" s="15" t="s">
        <v>31</v>
      </c>
      <c r="AJ37" s="61">
        <f t="shared" si="1"/>
        <v>0</v>
      </c>
      <c r="AK37" s="61">
        <f>IF(AJ37=0,IF(COUNTIF($E$42:$E$49,AI37)&gt;0,-3,-1),AJ37)</f>
        <v>-3</v>
      </c>
    </row>
    <row r="38" spans="1:37">
      <c r="A38" s="1" t="s">
        <v>37</v>
      </c>
      <c r="B38" t="str">
        <f>REPT("●",IFERROR(INDEX($P$42:$P$69,MATCH(tblCharDataGel[[#This Row],[Field]],$E$42:$E$69,0)),0))&amp;REPT("○",IFERROR(INDEX($V$42:$V$69,MATCH(tblCharDataGel[[#This Row],[Field]],$E$42:$E$69,0)),0))&amp;IF(IFERROR(INDEX($W$42:$W$69,MATCH(tblCharDataGel[[#This Row],[Field]],$E$42:$E$69,0)),0)=1,"†","")</f>
        <v/>
      </c>
      <c r="D38" s="18"/>
      <c r="E38" s="15" t="s">
        <v>24</v>
      </c>
      <c r="F38" s="18"/>
      <c r="G38" s="3"/>
      <c r="H38" s="18"/>
      <c r="I38" s="18"/>
      <c r="L38" s="3">
        <v>3</v>
      </c>
      <c r="M38" s="60">
        <f>IF(E38=$F$24,2,1)</f>
        <v>1</v>
      </c>
      <c r="N38" s="3"/>
      <c r="O38" s="61">
        <f>ROUNDDOWN(N38/4,0)</f>
        <v>0</v>
      </c>
      <c r="P38" s="60">
        <f>MIN(SUM(L38,M38,O38),R38)</f>
        <v>4</v>
      </c>
      <c r="R38" s="61">
        <v>5</v>
      </c>
      <c r="U38" s="4"/>
      <c r="V38" s="61">
        <f>U38</f>
        <v>0</v>
      </c>
      <c r="Y38" s="15" t="s">
        <v>1463</v>
      </c>
      <c r="Z38" s="61" t="str">
        <f>IFERROR(VLOOKUP(AA38,tblManoeuvre[],2,FALSE),"")</f>
        <v/>
      </c>
      <c r="AA38" s="61" t="str">
        <f t="shared" si="3"/>
        <v/>
      </c>
      <c r="AI38" s="15" t="s">
        <v>22</v>
      </c>
      <c r="AJ38" s="61">
        <f t="shared" si="1"/>
        <v>2</v>
      </c>
      <c r="AK38" s="61">
        <f>AJ38+IFERROR(INDEX($V$26:$V$38,MATCH(AI38,$E$26:$E$38,0)),0)</f>
        <v>2</v>
      </c>
    </row>
    <row r="39" spans="1:37">
      <c r="A39" s="1" t="s">
        <v>38</v>
      </c>
      <c r="B39" t="str">
        <f>REPT("●",IFERROR(INDEX($P$42:$P$69,MATCH(tblCharDataGel[[#This Row],[Field]],$E$42:$E$69,0)),0))&amp;REPT("○",IFERROR(INDEX($V$42:$V$69,MATCH(tblCharDataGel[[#This Row],[Field]],$E$42:$E$69,0)),0))&amp;IF(IFERROR(INDEX($W$42:$W$69,MATCH(tblCharDataGel[[#This Row],[Field]],$E$42:$E$69,0)),0)=1,"†","")</f>
        <v/>
      </c>
      <c r="Y39" s="15" t="s">
        <v>1464</v>
      </c>
      <c r="Z39" s="61" t="str">
        <f>IFERROR(VLOOKUP(AA39,tblManoeuvre[],2,FALSE),"")</f>
        <v/>
      </c>
      <c r="AA39" s="61" t="str">
        <f t="shared" si="3"/>
        <v/>
      </c>
      <c r="AI39" s="15" t="s">
        <v>243</v>
      </c>
      <c r="AJ39" s="61">
        <f t="shared" si="1"/>
        <v>0</v>
      </c>
      <c r="AK39" s="61">
        <f>AJ39</f>
        <v>0</v>
      </c>
    </row>
    <row r="40" spans="1:37" ht="15.75" thickBot="1">
      <c r="A40" s="1" t="s">
        <v>39</v>
      </c>
      <c r="B40" t="str">
        <f>REPT("●",IFERROR(INDEX($P$42:$P$69,MATCH(tblCharDataGel[[#This Row],[Field]],$E$42:$E$69,0)),0))&amp;REPT("○",IFERROR(INDEX($V$42:$V$69,MATCH(tblCharDataGel[[#This Row],[Field]],$E$42:$E$69,0)),0))&amp;IF(IFERROR(INDEX($W$42:$W$69,MATCH(tblCharDataGel[[#This Row],[Field]],$E$42:$E$69,0)),0)=1,"†","")</f>
        <v/>
      </c>
      <c r="D40" s="14" t="s">
        <v>1465</v>
      </c>
      <c r="E40" s="14"/>
      <c r="F40" s="14"/>
      <c r="G40" s="14"/>
      <c r="H40" s="14"/>
      <c r="I40" s="14"/>
      <c r="N40" s="60">
        <f>SUM(N42:N49,N52:N59,N62:N69)</f>
        <v>0</v>
      </c>
      <c r="T40" s="60">
        <f>MAX(0,SUM(T42:T49,T52:T59,T62:T69)-3+IF(P161&gt;=3,2,0))</f>
        <v>4</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1"/>
        <v>0</v>
      </c>
      <c r="AK40" s="61">
        <f>AJ40</f>
        <v>0</v>
      </c>
    </row>
    <row r="41" spans="1:37">
      <c r="A41" s="1" t="s">
        <v>40</v>
      </c>
      <c r="B41" t="str">
        <f>REPT("●",IFERROR(INDEX($P$42:$P$69,MATCH(tblCharDataGel[[#This Row],[Field]],$E$42:$E$69,0)),0))&amp;REPT("○",IFERROR(INDEX($V$42:$V$69,MATCH(tblCharDataGel[[#This Row],[Field]],$E$42:$E$69,0)),0))&amp;IF(IFERROR(INDEX($W$42:$W$69,MATCH(tblCharDataGel[[#This Row],[Field]],$E$42:$E$69,0)),0)=1,"†","")</f>
        <v>●</v>
      </c>
      <c r="D41" s="16" t="s">
        <v>1444</v>
      </c>
      <c r="E41" s="17"/>
      <c r="F41" s="17"/>
      <c r="G41" s="17" t="s">
        <v>1467</v>
      </c>
      <c r="H41" s="16" t="s">
        <v>1446</v>
      </c>
      <c r="I41" s="3" t="s">
        <v>1565</v>
      </c>
      <c r="L41" s="60">
        <f>IF(I41="",0,VLOOKUP(I41,tblPriority[#Data],3,FALSE))-SUM(L42:L49)</f>
        <v>0</v>
      </c>
      <c r="T41" s="60">
        <f>3+IF(P161&gt;=3,2,0)-SUM(T42:T49,T52:T59,T62:T69)</f>
        <v>0</v>
      </c>
      <c r="Y41" s="15" t="s">
        <v>1468</v>
      </c>
      <c r="Z41" s="61" t="str">
        <f>IFERROR(VLOOKUP(AA41,tblManoeuvre[],2,FALSE),"")</f>
        <v/>
      </c>
      <c r="AA41" s="61" t="str">
        <f t="shared" si="3"/>
        <v/>
      </c>
      <c r="AI41" s="15" t="s">
        <v>244</v>
      </c>
      <c r="AJ41" s="61">
        <f t="shared" si="1"/>
        <v>0</v>
      </c>
      <c r="AK41" s="61">
        <f>AJ41</f>
        <v>0</v>
      </c>
    </row>
    <row r="42" spans="1:37">
      <c r="A42" s="1" t="s">
        <v>41</v>
      </c>
      <c r="B42" t="str">
        <f>REPT("●",IFERROR(INDEX($P$42:$P$69,MATCH(tblCharDataGel[[#This Row],[Field]],$E$42:$E$69,0)),0))&amp;REPT("○",IFERROR(INDEX($V$42:$V$69,MATCH(tblCharDataGel[[#This Row],[Field]],$E$42:$E$69,0)),0))&amp;IF(IFERROR(INDEX($W$42:$W$69,MATCH(tblCharDataGel[[#This Row],[Field]],$E$42:$E$69,0)),0)=1,"†","")</f>
        <v/>
      </c>
      <c r="D42" s="18"/>
      <c r="E42" s="15" t="s">
        <v>25</v>
      </c>
      <c r="F42" s="18"/>
      <c r="G42" s="3"/>
      <c r="H42" s="18"/>
      <c r="I42" s="18"/>
      <c r="L42" s="4"/>
      <c r="M42" s="60"/>
      <c r="N42" s="4"/>
      <c r="O42" s="61">
        <f>ROUNDDOWN(N42/2,0)</f>
        <v>0</v>
      </c>
      <c r="P42" s="60">
        <f t="shared" ref="P42:P49" si="4">MIN(SUM(L42,M42,O42),R42)</f>
        <v>0</v>
      </c>
      <c r="R42" s="61">
        <v>5</v>
      </c>
      <c r="T42" s="4"/>
      <c r="U42" s="4"/>
      <c r="V42" s="61">
        <f t="shared" ref="V42:V49" si="5">U42</f>
        <v>0</v>
      </c>
      <c r="W42" s="4"/>
      <c r="AI42" s="15" t="s">
        <v>18</v>
      </c>
      <c r="AJ42" s="61">
        <f t="shared" si="1"/>
        <v>2</v>
      </c>
      <c r="AK42" s="61">
        <f>AJ42+IFERROR(INDEX($V$26:$V$38,MATCH(AI42,$E$26:$E$38,0)),0)</f>
        <v>2</v>
      </c>
    </row>
    <row r="43" spans="1:37">
      <c r="A43" s="1" t="s">
        <v>42</v>
      </c>
      <c r="B43" t="str">
        <f>REPT("●",IFERROR(INDEX($P$42:$P$69,MATCH(tblCharDataGel[[#This Row],[Field]],$E$42:$E$69,0)),0))&amp;REPT("○",IFERROR(INDEX($V$42:$V$69,MATCH(tblCharDataGel[[#This Row],[Field]],$E$42:$E$69,0)),0))&amp;IF(IFERROR(INDEX($W$42:$W$69,MATCH(tblCharDataGel[[#This Row],[Field]],$E$42:$E$69,0)),0)=1,"†","")</f>
        <v>●†</v>
      </c>
      <c r="D43" s="18"/>
      <c r="E43" s="15" t="s">
        <v>26</v>
      </c>
      <c r="F43" s="18"/>
      <c r="G43" s="3"/>
      <c r="H43" s="18"/>
      <c r="I43" s="18"/>
      <c r="L43" s="4">
        <v>2</v>
      </c>
      <c r="M43" s="60"/>
      <c r="N43" s="4"/>
      <c r="O43" s="61">
        <f t="shared" ref="O43:O49" si="6">ROUNDDOWN(N43/2,0)</f>
        <v>0</v>
      </c>
      <c r="P43" s="60">
        <f t="shared" si="4"/>
        <v>2</v>
      </c>
      <c r="R43" s="61">
        <v>5</v>
      </c>
      <c r="T43" s="4"/>
      <c r="U43" s="4"/>
      <c r="V43" s="61">
        <f t="shared" si="5"/>
        <v>0</v>
      </c>
      <c r="W43" s="4"/>
      <c r="AI43" s="15" t="s">
        <v>32</v>
      </c>
      <c r="AJ43" s="61">
        <f t="shared" si="1"/>
        <v>2</v>
      </c>
      <c r="AK43" s="61">
        <f>IF(AJ43=0,IF(COUNTIF($E$42:$E$49,AI43)&gt;0,-3,-1),AJ43)</f>
        <v>2</v>
      </c>
    </row>
    <row r="44" spans="1:37">
      <c r="A44" s="1" t="s">
        <v>43</v>
      </c>
      <c r="B44" t="str">
        <f>REPT("●",IFERROR(INDEX($P$42:$P$69,MATCH(tblCharDataGel[[#This Row],[Field]],$E$42:$E$69,0)),0))&amp;REPT("○",IFERROR(INDEX($V$42:$V$69,MATCH(tblCharDataGel[[#This Row],[Field]],$E$42:$E$69,0)),0))&amp;IF(IFERROR(INDEX($W$42:$W$69,MATCH(tblCharDataGel[[#This Row],[Field]],$E$42:$E$69,0)),0)=1,"†","")</f>
        <v/>
      </c>
      <c r="D44" s="18"/>
      <c r="E44" s="15" t="s">
        <v>27</v>
      </c>
      <c r="F44" s="18"/>
      <c r="G44" s="3"/>
      <c r="H44" s="18"/>
      <c r="I44" s="18"/>
      <c r="L44" s="4"/>
      <c r="M44" s="60"/>
      <c r="N44" s="4"/>
      <c r="O44" s="61">
        <f t="shared" si="6"/>
        <v>0</v>
      </c>
      <c r="P44" s="60">
        <f t="shared" si="4"/>
        <v>0</v>
      </c>
      <c r="R44" s="61">
        <v>5</v>
      </c>
      <c r="T44" s="4"/>
      <c r="U44" s="4"/>
      <c r="V44" s="61">
        <f t="shared" si="5"/>
        <v>0</v>
      </c>
      <c r="W44" s="4"/>
      <c r="Y44" s="15">
        <v>1</v>
      </c>
      <c r="Z44" s="61" t="s">
        <v>236</v>
      </c>
      <c r="AA44" s="60" t="str" cm="1">
        <f t="array" ref="AA44">IF(OR(Y44=0,Y44=""),"",IF(VLOOKUP(Z44,$AI$1:$AJ$58,2,FALSE)&gt;=Y44,INDEX(tblDisciplines[Name],MATCH(1,(tblDisciplines[Discipline]=Z44)*(tblDisciplines[Rank]=Y44),0)),""))</f>
        <v/>
      </c>
      <c r="AC44" s="60" t="str" cm="1">
        <f t="array" ref="AC44:AC46">IFERROR(_xlfn.VSTACK(IFERROR(_xlfn._xlws.FILTER(AA44:AA121,AA44:AA121&lt;&gt;""),""),IFERROR(_xlfn._xlws.SORT(_xlfn._xlws.FILTER(AA123:AA132,AA123:AA132&lt;&gt;"")),"")),"")</f>
        <v>Celerity 2</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Celerity ●●</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1 V per effect  •  Pool: -  •  Reflexive  •  1 turn</v>
      </c>
      <c r="AF44" s="20" t="str">
        <f>IF(AC44="","",IFERROR(VLOOKUP(AC44,tblDisciplines[],12,FALSE),VLOOKUP(AC44,tblPacts[],5,FALSE)))</f>
        <v>Persistent improved Defence or Dodge. Activate for supernatural speed benefits. Unnatural Grace: add Celerity dots as bonus dice to non-combat speed-based pools.</v>
      </c>
      <c r="AI44" s="15" t="s">
        <v>353</v>
      </c>
      <c r="AJ44" s="61">
        <f t="shared" si="1"/>
        <v>5</v>
      </c>
      <c r="AK44" s="61">
        <f>AJ44</f>
        <v>5</v>
      </c>
    </row>
    <row r="45" spans="1:37">
      <c r="A45" s="1" t="s">
        <v>44</v>
      </c>
      <c r="B45" t="str">
        <f>REPT("●",IFERROR(INDEX($P$42:$P$69,MATCH(tblCharDataGel[[#This Row],[Field]],$E$42:$E$69,0)),0))&amp;REPT("○",IFERROR(INDEX($V$42:$V$69,MATCH(tblCharDataGel[[#This Row],[Field]],$E$42:$E$69,0)),0))&amp;IF(IFERROR(INDEX($W$42:$W$69,MATCH(tblCharDataGel[[#This Row],[Field]],$E$42:$E$69,0)),0)=1,"†","")</f>
        <v>●</v>
      </c>
      <c r="D45" s="18"/>
      <c r="E45" s="15" t="s">
        <v>28</v>
      </c>
      <c r="F45" s="18"/>
      <c r="G45" s="3" t="s">
        <v>938</v>
      </c>
      <c r="H45" s="18"/>
      <c r="I45" s="18"/>
      <c r="L45" s="4">
        <v>4</v>
      </c>
      <c r="M45" s="60"/>
      <c r="N45" s="4"/>
      <c r="O45" s="61">
        <f t="shared" si="6"/>
        <v>0</v>
      </c>
      <c r="P45" s="60">
        <f t="shared" si="4"/>
        <v>4</v>
      </c>
      <c r="R45" s="61">
        <v>5</v>
      </c>
      <c r="T45" s="4">
        <v>1</v>
      </c>
      <c r="U45" s="4">
        <v>1</v>
      </c>
      <c r="V45" s="61">
        <f t="shared" si="5"/>
        <v>1</v>
      </c>
      <c r="W45" s="4">
        <v>1</v>
      </c>
      <c r="Y45" s="15">
        <v>2</v>
      </c>
      <c r="Z45" s="61" t="s">
        <v>236</v>
      </c>
      <c r="AA45" s="60" t="str" cm="1">
        <f t="array" ref="AA45">IF(OR(Y45=0,Y45=""),"",IF(VLOOKUP(Z45,$AI$1:$AJ$58,2,FALSE)&gt;=Y45,INDEX(tblDisciplines[Name],MATCH(1,(tblDisciplines[Discipline]=Z45)*(tblDisciplines[Rank]=Y45),0)),""))</f>
        <v/>
      </c>
      <c r="AC45" s="60" t="str">
        <v>Awe</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Majesty ● | Awe</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  •  Pool: -  •  Instant  •  Scene</v>
      </c>
      <c r="AF45" s="20" t="str">
        <f>IF(AC45="","",IFERROR(VLOOKUP(AC45,tblDisciplines[],12,FALSE),VLOOKUP(AC45,tblPacts[],5,FALSE)))</f>
        <v>Become centre of attention. Subjects become Awed.</v>
      </c>
      <c r="AI45" s="15" t="s">
        <v>46</v>
      </c>
      <c r="AJ45" s="61">
        <f t="shared" si="1"/>
        <v>0</v>
      </c>
      <c r="AK45" s="61">
        <f>IF(AJ45=0,IF(COUNTIF($E$42:$E$49,AI45)&gt;0,-3,-1),AJ45)</f>
        <v>-1</v>
      </c>
    </row>
    <row r="46" spans="1:37">
      <c r="A46" s="1" t="s">
        <v>45</v>
      </c>
      <c r="B46" t="str">
        <f>REPT("●",IFERROR(INDEX($P$42:$P$69,MATCH(tblCharDataGel[[#This Row],[Field]],$E$42:$E$69,0)),0))&amp;REPT("○",IFERROR(INDEX($V$42:$V$69,MATCH(tblCharDataGel[[#This Row],[Field]],$E$42:$E$69,0)),0))&amp;IF(IFERROR(INDEX($W$42:$W$69,MATCH(tblCharDataGel[[#This Row],[Field]],$E$42:$E$69,0)),0)=1,"†","")</f>
        <v>●</v>
      </c>
      <c r="D46" s="18"/>
      <c r="E46" s="15" t="s">
        <v>29</v>
      </c>
      <c r="F46" s="18"/>
      <c r="G46" s="3"/>
      <c r="H46" s="18"/>
      <c r="I46" s="18"/>
      <c r="L46" s="4"/>
      <c r="M46" s="60"/>
      <c r="N46" s="4"/>
      <c r="O46" s="61">
        <f t="shared" si="6"/>
        <v>0</v>
      </c>
      <c r="P46" s="60">
        <f t="shared" si="4"/>
        <v>0</v>
      </c>
      <c r="R46" s="61">
        <v>5</v>
      </c>
      <c r="T46" s="4"/>
      <c r="U46" s="4"/>
      <c r="V46" s="61">
        <f t="shared" si="5"/>
        <v>0</v>
      </c>
      <c r="W46" s="4"/>
      <c r="Y46" s="15">
        <v>3</v>
      </c>
      <c r="Z46" s="61" t="s">
        <v>236</v>
      </c>
      <c r="AA46" s="60" t="str" cm="1">
        <f t="array" ref="AA46">IF(OR(Y46=0,Y46=""),"",IF(VLOOKUP(Z46,$AI$1:$AJ$58,2,FALSE)&gt;=Y46,INDEX(tblDisciplines[Name],MATCH(1,(tblDisciplines[Discipline]=Z46)*(tblDisciplines[Rank]=Y46),0)),""))</f>
        <v/>
      </c>
      <c r="AC46" s="60" t="str">
        <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
      </c>
      <c r="AF46" s="20" t="str">
        <f>IF(AC46="","",IFERROR(VLOOKUP(AC46,tblDisciplines[],12,FALSE),VLOOKUP(AC46,tblPacts[],5,FALSE)))</f>
        <v/>
      </c>
      <c r="AI46" s="15" t="s">
        <v>354</v>
      </c>
      <c r="AJ46" s="61">
        <f t="shared" ca="1" si="1"/>
        <v>9</v>
      </c>
      <c r="AK46" s="61">
        <f ca="1">AJ46</f>
        <v>9</v>
      </c>
    </row>
    <row r="47" spans="1:37">
      <c r="A47" s="1" t="s">
        <v>46</v>
      </c>
      <c r="B47" t="str">
        <f>REPT("●",IFERROR(INDEX($P$42:$P$69,MATCH(tblCharDataGel[[#This Row],[Field]],$E$42:$E$69,0)),0))&amp;REPT("○",IFERROR(INDEX($V$42:$V$69,MATCH(tblCharDataGel[[#This Row],[Field]],$E$42:$E$69,0)),0))&amp;IF(IFERROR(INDEX($W$42:$W$69,MATCH(tblCharDataGel[[#This Row],[Field]],$E$42:$E$69,0)),0)=1,"†","")</f>
        <v/>
      </c>
      <c r="D47" s="18"/>
      <c r="E47" s="15" t="s">
        <v>30</v>
      </c>
      <c r="F47" s="18"/>
      <c r="G47" s="3" t="s">
        <v>939</v>
      </c>
      <c r="H47" s="18"/>
      <c r="I47" s="18"/>
      <c r="L47" s="4">
        <v>3</v>
      </c>
      <c r="M47" s="60"/>
      <c r="N47" s="4"/>
      <c r="O47" s="61">
        <f t="shared" si="6"/>
        <v>0</v>
      </c>
      <c r="P47" s="60">
        <f t="shared" si="4"/>
        <v>3</v>
      </c>
      <c r="R47" s="61">
        <v>5</v>
      </c>
      <c r="T47" s="4">
        <v>1</v>
      </c>
      <c r="U47" s="4"/>
      <c r="V47" s="61">
        <f t="shared" si="5"/>
        <v>0</v>
      </c>
      <c r="W47" s="4"/>
      <c r="Y47" s="15">
        <v>4</v>
      </c>
      <c r="Z47" s="61" t="s">
        <v>236</v>
      </c>
      <c r="AA47" s="60" t="str" cm="1">
        <f t="array" ref="AA47">IF(OR(Y47=0,Y47=""),"",IF(VLOOKUP(Z47,$AI$1:$AJ$58,2,FALSE)&gt;=Y47,INDEX(tblDisciplines[Name],MATCH(1,(tblDisciplines[Discipline]=Z47)*(tblDisciplines[Rank]=Y47),0)),""))</f>
        <v/>
      </c>
      <c r="AC47" s="60"/>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
      </c>
      <c r="AF47" s="20" t="str">
        <f>IF(AC47="","",IFERROR(VLOOKUP(AC47,tblDisciplines[],12,FALSE),VLOOKUP(AC47,tblPacts[],5,FALSE)))</f>
        <v/>
      </c>
      <c r="AI47" s="15" t="s">
        <v>21</v>
      </c>
      <c r="AJ47" s="61">
        <f t="shared" si="1"/>
        <v>2</v>
      </c>
      <c r="AK47" s="61">
        <f>AJ47+IFERROR(INDEX($V$26:$V$38,MATCH(AI47,$E$26:$E$38,0)),0)</f>
        <v>2</v>
      </c>
    </row>
    <row r="48" spans="1:37">
      <c r="A48" s="1" t="s">
        <v>47</v>
      </c>
      <c r="B48" t="str">
        <f>REPT("●",IFERROR(INDEX($P$42:$P$69,MATCH(tblCharDataGel[[#This Row],[Field]],$E$42:$E$69,0)),0))&amp;REPT("○",IFERROR(INDEX($V$42:$V$69,MATCH(tblCharDataGel[[#This Row],[Field]],$E$42:$E$69,0)),0))&amp;IF(IFERROR(INDEX($W$42:$W$69,MATCH(tblCharDataGel[[#This Row],[Field]],$E$42:$E$69,0)),0)=1,"†","")</f>
        <v/>
      </c>
      <c r="D48" s="18"/>
      <c r="E48" s="15" t="s">
        <v>31</v>
      </c>
      <c r="F48" s="18"/>
      <c r="G48" s="3"/>
      <c r="H48" s="18"/>
      <c r="I48" s="18"/>
      <c r="L48" s="4"/>
      <c r="M48" s="60"/>
      <c r="N48" s="4"/>
      <c r="O48" s="61">
        <f t="shared" si="6"/>
        <v>0</v>
      </c>
      <c r="P48" s="60">
        <f t="shared" si="4"/>
        <v>0</v>
      </c>
      <c r="R48" s="61">
        <v>5</v>
      </c>
      <c r="T48" s="4"/>
      <c r="U48" s="4"/>
      <c r="V48" s="61">
        <f t="shared" si="5"/>
        <v>0</v>
      </c>
      <c r="W48" s="4"/>
      <c r="Y48" s="15">
        <v>5</v>
      </c>
      <c r="Z48" s="61" t="s">
        <v>236</v>
      </c>
      <c r="AA48" s="60" t="str" cm="1">
        <f t="array" ref="AA48">IF(OR(Y48=0,Y48=""),"",IF(VLOOKUP(Z48,$AI$1:$AJ$58,2,FALSE)&gt;=Y48,INDEX(tblDisciplines[Name],MATCH(1,(tblDisciplines[Discipline]=Z48)*(tblDisciplines[Rank]=Y48),0)),""))</f>
        <v/>
      </c>
      <c r="AC48" s="60"/>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
      </c>
      <c r="AF48" s="20" t="str">
        <f>IF(AC48="","",IFERROR(VLOOKUP(AC48,tblDisciplines[],12,FALSE),VLOOKUP(AC48,tblPacts[],5,FALSE)))</f>
        <v/>
      </c>
      <c r="AI48" s="15" t="s">
        <v>38</v>
      </c>
      <c r="AJ48" s="61">
        <f t="shared" si="1"/>
        <v>0</v>
      </c>
      <c r="AK48" s="61">
        <f>IF(AJ48=0,IF(COUNTIF($E$42:$E$49,AI48)&gt;0,-3,-1),AJ48)</f>
        <v>-1</v>
      </c>
    </row>
    <row r="49" spans="1:37">
      <c r="A49" s="1" t="s">
        <v>48</v>
      </c>
      <c r="B49" t="str">
        <f>REPT("●",IFERROR(INDEX($P$42:$P$69,MATCH(tblCharDataGel[[#This Row],[Field]],$E$42:$E$69,0)),0))&amp;REPT("○",IFERROR(INDEX($V$42:$V$69,MATCH(tblCharDataGel[[#This Row],[Field]],$E$42:$E$69,0)),0))&amp;IF(IFERROR(INDEX($W$42:$W$69,MATCH(tblCharDataGel[[#This Row],[Field]],$E$42:$E$69,0)),0)=1,"†","")</f>
        <v>●</v>
      </c>
      <c r="D49" s="18"/>
      <c r="E49" s="15" t="s">
        <v>32</v>
      </c>
      <c r="F49" s="18"/>
      <c r="G49" s="3"/>
      <c r="H49" s="18"/>
      <c r="I49" s="18"/>
      <c r="L49" s="4">
        <v>2</v>
      </c>
      <c r="M49" s="60"/>
      <c r="N49" s="4"/>
      <c r="O49" s="61">
        <f t="shared" si="6"/>
        <v>0</v>
      </c>
      <c r="P49" s="60">
        <f t="shared" si="4"/>
        <v>2</v>
      </c>
      <c r="R49" s="61">
        <v>5</v>
      </c>
      <c r="T49" s="4"/>
      <c r="U49" s="4"/>
      <c r="V49" s="61">
        <f t="shared" si="5"/>
        <v>0</v>
      </c>
      <c r="W49" s="4"/>
      <c r="Y49" s="15">
        <v>1</v>
      </c>
      <c r="Z49" s="61" t="s">
        <v>237</v>
      </c>
      <c r="AA49" s="60" t="str" cm="1">
        <f t="array" ref="AA49">IF(OR(Y49=0,Y49=""),"",IF(VLOOKUP(Z49,$AI$1:$AJ$58,2,FALSE)&gt;=Y49,INDEX(tblDisciplines[Name],MATCH(1,(tblDisciplines[Discipline]=Z49)*(tblDisciplines[Rank]=Y49),0)),""))</f>
        <v/>
      </c>
      <c r="AC49" s="60"/>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
      </c>
      <c r="AF49" s="20" t="str">
        <f>IF(AC49="","",IFERROR(VLOOKUP(AC49,tblDisciplines[],12,FALSE),VLOOKUP(AC49,tblPacts[],5,FALSE)))</f>
        <v/>
      </c>
      <c r="AI49" s="15" t="s">
        <v>47</v>
      </c>
      <c r="AJ49" s="61">
        <f t="shared" si="1"/>
        <v>0</v>
      </c>
      <c r="AK49" s="61">
        <f>IF(AJ49=0,IF(COUNTIF($E$42:$E$49,AI49)&gt;0,-3,-1),AJ49)</f>
        <v>-1</v>
      </c>
    </row>
    <row r="50" spans="1:37">
      <c r="A50" s="1" t="s">
        <v>49</v>
      </c>
      <c r="B50" t="str">
        <f ca="1">REPT("●",VLOOKUP(tblCharDataGel[[#This Row],[Field]],INDIRECT($AH$1),2,FALSE)) &amp; REPT("○",10-VLOOKUP(tblCharDataGel[[#This Row],[Field]],INDIRECT($AH$1),2,FALSE)) &amp; REPT("○",10-VLOOKUP(tblCharDataGel[[#This Row],[Field]],INDIRECT($AH$1),2,FALSE))</f>
        <v>●○○○○○○○○○○○○○○○○○○</v>
      </c>
      <c r="Y50" s="15">
        <v>2</v>
      </c>
      <c r="Z50" s="61" t="s">
        <v>237</v>
      </c>
      <c r="AA50" s="60" t="str" cm="1">
        <f t="array" ref="AA50">IF(OR(Y50=0,Y50=""),"",IF(VLOOKUP(Z50,$AI$1:$AJ$58,2,FALSE)&gt;=Y50,INDEX(tblDisciplines[Name],MATCH(1,(tblDisciplines[Discipline]=Z50)*(tblDisciplines[Rank]=Y50),0)),""))</f>
        <v/>
      </c>
      <c r="AC50" s="60"/>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
      </c>
      <c r="AF50" s="20" t="str">
        <f>IF(AC50="","",IFERROR(VLOOKUP(AC50,tblDisciplines[],12,FALSE),VLOOKUP(AC50,tblPacts[],5,FALSE)))</f>
        <v/>
      </c>
      <c r="AI50" s="15" t="s">
        <v>19</v>
      </c>
      <c r="AJ50" s="61">
        <f t="shared" si="1"/>
        <v>2</v>
      </c>
      <c r="AK50" s="61">
        <f>AJ50+IFERROR(INDEX($V$26:$V$38,MATCH(AI50,$E$26:$E$38,0)),0)</f>
        <v>2</v>
      </c>
    </row>
    <row r="51" spans="1:37">
      <c r="A51" s="1" t="s">
        <v>50</v>
      </c>
      <c r="B51">
        <f>P72</f>
        <v>1</v>
      </c>
      <c r="D51" s="16" t="s">
        <v>1453</v>
      </c>
      <c r="E51" s="17"/>
      <c r="F51" s="17"/>
      <c r="G51" s="17" t="s">
        <v>1467</v>
      </c>
      <c r="H51" s="16" t="s">
        <v>1446</v>
      </c>
      <c r="I51" s="3" t="s">
        <v>1567</v>
      </c>
      <c r="L51" s="60">
        <f>IF(I51="",0,VLOOKUP(I51,tblPriority[#Data],3,FALSE))-SUM(L52:L59)</f>
        <v>3</v>
      </c>
      <c r="Y51" s="15">
        <v>3</v>
      </c>
      <c r="Z51" s="61" t="s">
        <v>237</v>
      </c>
      <c r="AA51" s="60" t="str" cm="1">
        <f t="array" ref="AA51">IF(OR(Y51=0,Y51=""),"",IF(VLOOKUP(Z51,$AI$1:$AJ$58,2,FALSE)&gt;=Y51,INDEX(tblDisciplines[Name],MATCH(1,(tblDisciplines[Discipline]=Z51)*(tblDisciplines[Rank]=Y51),0)),""))</f>
        <v/>
      </c>
      <c r="AC51" s="60"/>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
      </c>
      <c r="AF51" s="20" t="str">
        <f>IF(AC51="","",IFERROR(VLOOKUP(AC51,tblDisciplines[],12,FALSE),VLOOKUP(AC51,tblPacts[],5,FALSE)))</f>
        <v/>
      </c>
      <c r="AI51" s="15" t="s">
        <v>48</v>
      </c>
      <c r="AJ51" s="61">
        <f t="shared" si="1"/>
        <v>1</v>
      </c>
      <c r="AK51" s="61">
        <f>IF(AJ51=0,IF(COUNTIF($E$42:$E$49,AI51)&gt;0,-3,-1),AJ51)</f>
        <v>1</v>
      </c>
    </row>
    <row r="52" spans="1:37">
      <c r="A52" s="1" t="s">
        <v>51</v>
      </c>
      <c r="B52" t="str">
        <f>_xlfn.IFNA(VLOOKUP(P72,tblBloodPotency[#Data],5,FALSE),"")</f>
        <v/>
      </c>
      <c r="D52" s="18"/>
      <c r="E52" s="15" t="s">
        <v>33</v>
      </c>
      <c r="F52" s="18"/>
      <c r="G52" s="3"/>
      <c r="H52" s="18"/>
      <c r="I52" s="18"/>
      <c r="L52" s="4">
        <v>1</v>
      </c>
      <c r="M52" s="60"/>
      <c r="N52" s="4"/>
      <c r="O52" s="61">
        <f>ROUNDDOWN(N52/2,0)</f>
        <v>0</v>
      </c>
      <c r="P52" s="60">
        <f t="shared" ref="P52:P59" si="7">MIN(SUM(L52,M52,O52),R52)</f>
        <v>1</v>
      </c>
      <c r="R52" s="61">
        <v>5</v>
      </c>
      <c r="T52" s="4"/>
      <c r="U52" s="4"/>
      <c r="V52" s="61">
        <f t="shared" ref="V52:V59" si="8">U52</f>
        <v>0</v>
      </c>
      <c r="W52" s="4"/>
      <c r="Y52" s="15">
        <v>4</v>
      </c>
      <c r="Z52" s="61" t="s">
        <v>237</v>
      </c>
      <c r="AA52" s="60" t="str" cm="1">
        <f t="array" ref="AA52">IF(OR(Y52=0,Y52=""),"",IF(VLOOKUP(Z52,$AI$1:$AJ$58,2,FALSE)&gt;=Y52,INDEX(tblDisciplines[Name],MATCH(1,(tblDisciplines[Discipline]=Z52)*(tblDisciplines[Rank]=Y52),0)),""))</f>
        <v/>
      </c>
      <c r="AC52" s="60"/>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
      </c>
      <c r="AF52" s="20" t="str">
        <f>IF(AC52="","",IFERROR(VLOOKUP(AC52,tblDisciplines[],12,FALSE),VLOOKUP(AC52,tblPacts[],5,FALSE)))</f>
        <v/>
      </c>
      <c r="AI52" s="15" t="s">
        <v>39</v>
      </c>
      <c r="AJ52" s="61">
        <f t="shared" si="1"/>
        <v>0</v>
      </c>
      <c r="AK52" s="61">
        <f>IF(AJ52=0,IF(COUNTIF($E$42:$E$49,AI52)&gt;0,-3,-1),AJ52)</f>
        <v>-1</v>
      </c>
    </row>
    <row r="53" spans="1:37">
      <c r="A53" s="1" t="s">
        <v>52</v>
      </c>
      <c r="B53" t="str">
        <f ca="1">REPT("□",P221) &amp; REPT("■",15-P221)</f>
        <v>□□□□□□□■■■■■■■■</v>
      </c>
      <c r="D53" s="18"/>
      <c r="E53" s="15" t="s">
        <v>34</v>
      </c>
      <c r="F53" s="18"/>
      <c r="G53" s="3" t="s">
        <v>940</v>
      </c>
      <c r="H53" s="18"/>
      <c r="I53" s="18"/>
      <c r="L53" s="4">
        <v>2</v>
      </c>
      <c r="M53" s="60"/>
      <c r="N53" s="4"/>
      <c r="O53" s="61">
        <f t="shared" ref="O53:O59" si="9">ROUNDDOWN(N53/2,0)</f>
        <v>0</v>
      </c>
      <c r="P53" s="60">
        <f t="shared" si="7"/>
        <v>2</v>
      </c>
      <c r="R53" s="61">
        <v>5</v>
      </c>
      <c r="T53" s="4">
        <v>1</v>
      </c>
      <c r="U53" s="4"/>
      <c r="V53" s="61">
        <f t="shared" si="8"/>
        <v>0</v>
      </c>
      <c r="W53" s="4">
        <v>1</v>
      </c>
      <c r="Y53" s="15">
        <v>5</v>
      </c>
      <c r="Z53" s="61" t="s">
        <v>237</v>
      </c>
      <c r="AA53" s="60" t="str" cm="1">
        <f t="array" ref="AA53">IF(OR(Y53=0,Y53=""),"",IF(VLOOKUP(Z53,$AI$1:$AJ$58,2,FALSE)&gt;=Y53,INDEX(tblDisciplines[Name],MATCH(1,(tblDisciplines[Discipline]=Z53)*(tblDisciplines[Rank]=Y53),0)),""))</f>
        <v/>
      </c>
      <c r="AC53" s="60"/>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
      </c>
      <c r="AF53" s="20" t="str">
        <f>IF(AC53="","",IFERROR(VLOOKUP(AC53,tblDisciplines[],12,FALSE),VLOOKUP(AC53,tblPacts[],5,FALSE)))</f>
        <v/>
      </c>
      <c r="AI53" s="15" t="s">
        <v>247</v>
      </c>
      <c r="AJ53" s="61">
        <f t="shared" si="1"/>
        <v>0</v>
      </c>
      <c r="AK53" s="61">
        <f>AJ53</f>
        <v>0</v>
      </c>
    </row>
    <row r="54" spans="1:37">
      <c r="A54" s="1" t="s">
        <v>53</v>
      </c>
      <c r="B54" t="str">
        <f>_xlfn.CONCAT(P74-L224," / ",P74)</f>
        <v>6 / 6</v>
      </c>
      <c r="D54" s="18"/>
      <c r="E54" s="15" t="s">
        <v>35</v>
      </c>
      <c r="F54" s="18"/>
      <c r="G54" s="3"/>
      <c r="H54" s="18"/>
      <c r="I54" s="18"/>
      <c r="L54" s="4"/>
      <c r="M54" s="60"/>
      <c r="N54" s="4"/>
      <c r="O54" s="61">
        <f t="shared" si="9"/>
        <v>0</v>
      </c>
      <c r="P54" s="60">
        <f t="shared" si="7"/>
        <v>0</v>
      </c>
      <c r="R54" s="61">
        <v>5</v>
      </c>
      <c r="T54" s="4"/>
      <c r="U54" s="4"/>
      <c r="V54" s="61">
        <f t="shared" si="8"/>
        <v>0</v>
      </c>
      <c r="W54" s="4"/>
      <c r="Y54" s="15">
        <f>P167</f>
        <v>2</v>
      </c>
      <c r="Z54" s="61" t="s">
        <v>238</v>
      </c>
      <c r="AA54" s="60" t="str" cm="1">
        <f t="array" ref="AA54">IF(OR(Y54=0,Y54=""),"",IF(VLOOKUP(Z54,$AI$1:$AJ$58,2,FALSE)&gt;=Y54,INDEX(tblDisciplines[Name],MATCH(1,(tblDisciplines[Discipline]=Z54)*(tblDisciplines[Rank]=Y54),0)),""))</f>
        <v>Celerity 2</v>
      </c>
      <c r="AC54" s="60"/>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
      </c>
      <c r="AF54" s="20" t="str">
        <f>IF(AC54="","",IFERROR(VLOOKUP(AC54,tblDisciplines[],12,FALSE),VLOOKUP(AC54,tblPacts[],5,FALSE)))</f>
        <v/>
      </c>
      <c r="AI54" s="15" t="s">
        <v>252</v>
      </c>
      <c r="AJ54" s="61">
        <f t="shared" si="1"/>
        <v>0</v>
      </c>
      <c r="AK54" s="61">
        <f>AJ54</f>
        <v>0</v>
      </c>
    </row>
    <row r="55" spans="1:37">
      <c r="A55" s="1" t="s">
        <v>54</v>
      </c>
      <c r="B55" t="str">
        <f>REPT("□",P74) &amp; REPT("■",10-P74)</f>
        <v>□□□□□□■■■■</v>
      </c>
      <c r="D55" s="18"/>
      <c r="E55" s="15" t="s">
        <v>36</v>
      </c>
      <c r="F55" s="18"/>
      <c r="G55" s="3"/>
      <c r="H55" s="18"/>
      <c r="I55" s="18"/>
      <c r="L55" s="4"/>
      <c r="M55" s="60"/>
      <c r="N55" s="4"/>
      <c r="O55" s="61">
        <f t="shared" si="9"/>
        <v>0</v>
      </c>
      <c r="P55" s="60">
        <f t="shared" si="7"/>
        <v>0</v>
      </c>
      <c r="R55" s="61">
        <v>5</v>
      </c>
      <c r="T55" s="4"/>
      <c r="U55" s="4"/>
      <c r="V55" s="61">
        <f t="shared" si="8"/>
        <v>0</v>
      </c>
      <c r="W55" s="4"/>
      <c r="Y55" s="15">
        <v>1</v>
      </c>
      <c r="Z55" s="61" t="s">
        <v>239</v>
      </c>
      <c r="AA55" s="60" t="str" cm="1">
        <f t="array" ref="AA55">IF(OR(Y55=0,Y55=""),"",IF(VLOOKUP(Z55,$AI$1:$AJ$58,2,FALSE)&gt;=Y55,INDEX(tblDisciplines[Name],MATCH(1,(tblDisciplines[Discipline]=Z55)*(tblDisciplines[Rank]=Y55),0)),""))</f>
        <v/>
      </c>
      <c r="AC55" s="60"/>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
      </c>
      <c r="AF55" s="20" t="str">
        <f>IF(AC55="","",IFERROR(VLOOKUP(AC55,tblDisciplines[],12,FALSE),VLOOKUP(AC55,tblPacts[],5,FALSE)))</f>
        <v/>
      </c>
      <c r="AI55" s="15" t="s">
        <v>245</v>
      </c>
      <c r="AJ55" s="61">
        <f t="shared" si="1"/>
        <v>0</v>
      </c>
      <c r="AK55" s="61">
        <f>AJ55+IFERROR(INDEX($V$26:$V$38,MATCH(AI55,$E$26:$E$38,0)),0)</f>
        <v>0</v>
      </c>
    </row>
    <row r="56" spans="1:37">
      <c r="A56" s="1" t="s">
        <v>55</v>
      </c>
      <c r="B56" t="str">
        <f ca="1">_xlfn.CONCAT(P75-L223," / ",P75)</f>
        <v>10 / 10</v>
      </c>
      <c r="D56" s="19"/>
      <c r="E56" s="15" t="s">
        <v>37</v>
      </c>
      <c r="F56" s="18"/>
      <c r="G56" s="3"/>
      <c r="H56" s="18"/>
      <c r="I56" s="18"/>
      <c r="L56" s="4"/>
      <c r="M56" s="60"/>
      <c r="N56" s="4"/>
      <c r="O56" s="61">
        <f t="shared" si="9"/>
        <v>0</v>
      </c>
      <c r="P56" s="60">
        <f t="shared" si="7"/>
        <v>0</v>
      </c>
      <c r="R56" s="61">
        <v>5</v>
      </c>
      <c r="T56" s="4"/>
      <c r="U56" s="4"/>
      <c r="V56" s="61">
        <f t="shared" si="8"/>
        <v>0</v>
      </c>
      <c r="W56" s="4"/>
      <c r="Y56" s="15">
        <v>2</v>
      </c>
      <c r="Z56" s="61" t="s">
        <v>239</v>
      </c>
      <c r="AA56" s="60" t="str" cm="1">
        <f t="array" ref="AA56">IF(OR(Y56=0,Y56=""),"",IF(VLOOKUP(Z56,$AI$1:$AJ$58,2,FALSE)&gt;=Y56,INDEX(tblDisciplines[Name],MATCH(1,(tblDisciplines[Discipline]=Z56)*(tblDisciplines[Rank]=Y56),0)),""))</f>
        <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1"/>
        <v>1</v>
      </c>
      <c r="AK56" s="61">
        <f>IF(AJ56=0,IF(COUNTIF($E$42:$E$49,AI56)&gt;0,-3,-1),AJ56)</f>
        <v>1</v>
      </c>
    </row>
    <row r="57" spans="1:37">
      <c r="A57" s="1" t="s">
        <v>56</v>
      </c>
      <c r="B57" t="str">
        <f ca="1">REPT("□",P75-L223) &amp; REPT("■",20-P75+L223)</f>
        <v>□□□□□□□□□□■■■■■■■■■■</v>
      </c>
      <c r="D57" s="19"/>
      <c r="E57" s="15" t="s">
        <v>38</v>
      </c>
      <c r="F57" s="18"/>
      <c r="G57" s="3"/>
      <c r="H57" s="18"/>
      <c r="I57" s="18"/>
      <c r="L57" s="4"/>
      <c r="M57" s="60"/>
      <c r="N57" s="4"/>
      <c r="O57" s="61">
        <f t="shared" si="9"/>
        <v>0</v>
      </c>
      <c r="P57" s="60">
        <f t="shared" si="7"/>
        <v>0</v>
      </c>
      <c r="R57" s="61">
        <v>5</v>
      </c>
      <c r="T57" s="4"/>
      <c r="U57" s="4"/>
      <c r="V57" s="61">
        <f t="shared" si="8"/>
        <v>0</v>
      </c>
      <c r="W57" s="4"/>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1"/>
        <v>6</v>
      </c>
      <c r="AK57" s="61">
        <f>AJ57</f>
        <v>6</v>
      </c>
    </row>
    <row r="58" spans="1:37">
      <c r="A58" s="1" t="s">
        <v>57</v>
      </c>
      <c r="B58">
        <f ca="1">VLOOKUP(VLOOKUP("Blood Potency", INDIRECT($AH$1),2,FALSE),tblBloodPotency[#Data],3,FALSE)</f>
        <v>1</v>
      </c>
      <c r="D58" s="19"/>
      <c r="E58" s="15" t="s">
        <v>39</v>
      </c>
      <c r="F58" s="18"/>
      <c r="G58" s="3"/>
      <c r="H58" s="18"/>
      <c r="I58" s="18"/>
      <c r="L58" s="4"/>
      <c r="M58" s="60"/>
      <c r="N58" s="4"/>
      <c r="O58" s="61">
        <f t="shared" si="9"/>
        <v>0</v>
      </c>
      <c r="P58" s="60">
        <f t="shared" si="7"/>
        <v>0</v>
      </c>
      <c r="R58" s="61">
        <v>5</v>
      </c>
      <c r="T58" s="4"/>
      <c r="U58" s="4"/>
      <c r="V58" s="61">
        <f t="shared" si="8"/>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1"/>
        <v>3</v>
      </c>
      <c r="AK58" s="61">
        <f>AJ58+IFERROR(INDEX($V$26:$V$38,MATCH(AI58,$E$26:$E$38,0)),0)</f>
        <v>3</v>
      </c>
    </row>
    <row r="59" spans="1:37">
      <c r="A59" s="1" t="s">
        <v>58</v>
      </c>
      <c r="B59" t="str">
        <f ca="1">VLOOKUP(VLOOKUP("Blood Potency", INDIRECT($AH$1),2,FALSE),tblBloodPotency[#Data],4,FALSE)</f>
        <v>Animals</v>
      </c>
      <c r="D59" s="19"/>
      <c r="E59" s="15" t="s">
        <v>40</v>
      </c>
      <c r="F59" s="18"/>
      <c r="G59" s="3"/>
      <c r="H59" s="18"/>
      <c r="I59" s="18"/>
      <c r="L59" s="4">
        <v>1</v>
      </c>
      <c r="M59" s="60"/>
      <c r="N59" s="4"/>
      <c r="O59" s="61">
        <f t="shared" si="9"/>
        <v>0</v>
      </c>
      <c r="P59" s="60">
        <f t="shared" si="7"/>
        <v>1</v>
      </c>
      <c r="R59" s="61">
        <v>5</v>
      </c>
      <c r="T59" s="4"/>
      <c r="U59" s="4"/>
      <c r="V59" s="61">
        <f t="shared" si="8"/>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0">IFERROR(IF(VLOOKUP(SUBSTITUTE(A60," Spec",""),$E$42:$G$69,3,FALSE)=0,"",VLOOKUP(SUBSTITUTE(A60," Spec",""),$E$42:$G$69,3,FALSE)),"")</f>
        <v/>
      </c>
      <c r="Y60" s="15">
        <v>1</v>
      </c>
      <c r="Z60" s="61" t="s">
        <v>240</v>
      </c>
      <c r="AA60" s="60" t="str" cm="1">
        <f t="array" ref="AA60">IF(OR(Y60=0,Y60=""),"",IF(VLOOKUP(Z60,$AI$1:$AJ$58,2,FALSE)&gt;=Y60,INDEX(tblDisciplines[Name],MATCH(1,(tblDisciplines[Discipline]=Z60)*(tblDisciplines[Rank]=Y60),0)),""))</f>
        <v>Awe</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0"/>
        <v/>
      </c>
      <c r="D61" s="16" t="s">
        <v>1459</v>
      </c>
      <c r="E61" s="17"/>
      <c r="F61" s="17"/>
      <c r="G61" s="17" t="s">
        <v>1467</v>
      </c>
      <c r="H61" s="16" t="s">
        <v>1446</v>
      </c>
      <c r="I61" s="3" t="s">
        <v>1566</v>
      </c>
      <c r="L61" s="60">
        <f>IF(I61="",0,VLOOKUP(I61,tblPriority[#Data],3,FALSE))-SUM(L62:L69)</f>
        <v>0</v>
      </c>
      <c r="Y61" s="15">
        <v>2</v>
      </c>
      <c r="Z61" s="61" t="s">
        <v>240</v>
      </c>
      <c r="AA61" s="60" t="str" cm="1">
        <f t="array" ref="AA61">IF(OR(Y61=0,Y61=""),"",IF(VLOOKUP(Z61,$AI$1:$AJ$58,2,FALSE)&gt;=Y61,INDEX(tblDisciplines[Name],MATCH(1,(tblDisciplines[Discipline]=Z61)*(tblDisciplines[Rank]=Y61),0)),""))</f>
        <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0"/>
        <v/>
      </c>
      <c r="D62" s="18"/>
      <c r="E62" s="15" t="s">
        <v>41</v>
      </c>
      <c r="F62" s="18"/>
      <c r="G62" s="3"/>
      <c r="H62" s="18"/>
      <c r="I62" s="18"/>
      <c r="L62" s="4"/>
      <c r="M62" s="60"/>
      <c r="N62" s="4"/>
      <c r="O62" s="61">
        <f>ROUNDDOWN(N62/2,0)</f>
        <v>0</v>
      </c>
      <c r="P62" s="60">
        <f t="shared" ref="P62:P69" si="11">MIN(SUM(L62,M62,O62),R62)</f>
        <v>0</v>
      </c>
      <c r="R62" s="61">
        <v>5</v>
      </c>
      <c r="T62" s="4"/>
      <c r="U62" s="4"/>
      <c r="V62" s="61">
        <f t="shared" ref="V62:V69" si="12">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0"/>
        <v>crime scene</v>
      </c>
      <c r="D63" s="19"/>
      <c r="E63" s="15" t="s">
        <v>42</v>
      </c>
      <c r="F63" s="18"/>
      <c r="G63" s="3" t="s">
        <v>566</v>
      </c>
      <c r="H63" s="18"/>
      <c r="I63" s="18"/>
      <c r="L63" s="4">
        <v>1</v>
      </c>
      <c r="M63" s="60"/>
      <c r="N63" s="4"/>
      <c r="O63" s="61">
        <f t="shared" ref="O63:O69" si="13">ROUNDDOWN(N63/2,0)</f>
        <v>0</v>
      </c>
      <c r="P63" s="60">
        <f t="shared" si="11"/>
        <v>1</v>
      </c>
      <c r="R63" s="61">
        <v>5</v>
      </c>
      <c r="T63" s="4">
        <v>1</v>
      </c>
      <c r="U63" s="4"/>
      <c r="V63" s="61">
        <f t="shared" si="12"/>
        <v>0</v>
      </c>
      <c r="W63" s="4">
        <v>1</v>
      </c>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0"/>
        <v/>
      </c>
      <c r="D64" s="19"/>
      <c r="E64" s="15" t="s">
        <v>43</v>
      </c>
      <c r="F64" s="18"/>
      <c r="G64" s="3"/>
      <c r="H64" s="18"/>
      <c r="I64" s="18"/>
      <c r="L64" s="4"/>
      <c r="M64" s="60"/>
      <c r="N64" s="4"/>
      <c r="O64" s="61">
        <f t="shared" si="13"/>
        <v>0</v>
      </c>
      <c r="P64" s="60">
        <f t="shared" si="11"/>
        <v>0</v>
      </c>
      <c r="R64" s="61">
        <v>5</v>
      </c>
      <c r="T64" s="4"/>
      <c r="U64" s="4"/>
      <c r="V64" s="61">
        <f t="shared" si="12"/>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0"/>
        <v>mysteries</v>
      </c>
      <c r="D65" s="19"/>
      <c r="E65" s="15" t="s">
        <v>44</v>
      </c>
      <c r="F65" s="18"/>
      <c r="G65" s="3" t="s">
        <v>941</v>
      </c>
      <c r="H65" s="18"/>
      <c r="I65" s="18"/>
      <c r="L65" s="4">
        <v>1</v>
      </c>
      <c r="M65" s="60"/>
      <c r="N65" s="4"/>
      <c r="O65" s="61">
        <f t="shared" si="13"/>
        <v>0</v>
      </c>
      <c r="P65" s="60">
        <f t="shared" si="11"/>
        <v>1</v>
      </c>
      <c r="R65" s="61">
        <v>5</v>
      </c>
      <c r="T65" s="4"/>
      <c r="U65" s="4"/>
      <c r="V65" s="61">
        <f t="shared" si="12"/>
        <v>0</v>
      </c>
      <c r="W65" s="4"/>
      <c r="Y65" s="15">
        <v>1</v>
      </c>
      <c r="Z65" s="61" t="s">
        <v>241</v>
      </c>
      <c r="AA65" s="60" t="str" cm="1">
        <f t="array" ref="AA65">IF(OR(Y65=0,Y65=""),"",IF(VLOOKUP(Z65,$AI$1:$AJ$58,2,FALSE)&gt;=Y65,INDEX(tblDisciplines[Name],MATCH(1,(tblDisciplines[Discipline]=Z65)*(tblDisciplines[Rank]=Y65),0)),""))</f>
        <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0"/>
        <v/>
      </c>
      <c r="D66" s="19"/>
      <c r="E66" s="15" t="s">
        <v>45</v>
      </c>
      <c r="F66" s="18"/>
      <c r="G66" s="3"/>
      <c r="H66" s="18"/>
      <c r="I66" s="18"/>
      <c r="L66" s="4">
        <v>1</v>
      </c>
      <c r="M66" s="60"/>
      <c r="N66" s="4"/>
      <c r="O66" s="61">
        <f t="shared" si="13"/>
        <v>0</v>
      </c>
      <c r="P66" s="60">
        <f t="shared" si="11"/>
        <v>1</v>
      </c>
      <c r="R66" s="61">
        <v>5</v>
      </c>
      <c r="T66" s="4">
        <v>1</v>
      </c>
      <c r="U66" s="4"/>
      <c r="V66" s="61">
        <f t="shared" si="12"/>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0"/>
        <v/>
      </c>
      <c r="D67" s="19"/>
      <c r="E67" s="15" t="s">
        <v>46</v>
      </c>
      <c r="F67" s="18"/>
      <c r="G67" s="3"/>
      <c r="H67" s="18"/>
      <c r="I67" s="18"/>
      <c r="L67" s="4"/>
      <c r="M67" s="60"/>
      <c r="N67" s="4"/>
      <c r="O67" s="61">
        <f t="shared" si="13"/>
        <v>0</v>
      </c>
      <c r="P67" s="60">
        <f t="shared" si="11"/>
        <v>0</v>
      </c>
      <c r="R67" s="61">
        <v>5</v>
      </c>
      <c r="T67" s="4"/>
      <c r="U67" s="4"/>
      <c r="V67" s="61">
        <f t="shared" si="12"/>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0"/>
        <v/>
      </c>
      <c r="D68" s="18"/>
      <c r="E68" s="15" t="s">
        <v>47</v>
      </c>
      <c r="F68" s="18"/>
      <c r="G68" s="3"/>
      <c r="H68" s="18"/>
      <c r="I68" s="18"/>
      <c r="L68" s="4"/>
      <c r="M68" s="60"/>
      <c r="N68" s="4"/>
      <c r="O68" s="61">
        <f t="shared" si="13"/>
        <v>0</v>
      </c>
      <c r="P68" s="60">
        <f t="shared" si="11"/>
        <v>0</v>
      </c>
      <c r="R68" s="61">
        <v>5</v>
      </c>
      <c r="T68" s="4"/>
      <c r="U68" s="4"/>
      <c r="V68" s="61">
        <f t="shared" si="12"/>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0"/>
        <v>street fighting</v>
      </c>
      <c r="D69" s="18"/>
      <c r="E69" s="15" t="s">
        <v>48</v>
      </c>
      <c r="F69" s="18"/>
      <c r="G69" s="3"/>
      <c r="H69" s="18"/>
      <c r="I69" s="18"/>
      <c r="L69" s="4">
        <v>1</v>
      </c>
      <c r="M69" s="60"/>
      <c r="N69" s="4"/>
      <c r="O69" s="61">
        <f t="shared" si="13"/>
        <v>0</v>
      </c>
      <c r="P69" s="60">
        <f t="shared" si="11"/>
        <v>1</v>
      </c>
      <c r="R69" s="61">
        <v>5</v>
      </c>
      <c r="T69" s="4"/>
      <c r="U69" s="4"/>
      <c r="V69" s="61">
        <f t="shared" si="12"/>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0"/>
        <v/>
      </c>
      <c r="Y70" s="15">
        <v>1</v>
      </c>
      <c r="Z70" s="61" t="s">
        <v>242</v>
      </c>
      <c r="AA70" s="60" t="str" cm="1">
        <f t="array" ref="AA70">IF(OR(Y70=0,Y70=""),"",IF(VLOOKUP(Z70,$AI$1:$AJ$58,2,FALSE)&gt;=Y70,INDEX(tblDisciplines[Name],MATCH(1,(tblDisciplines[Discipline]=Z70)*(tblDisciplines[Rank]=Y70),0)),""))</f>
        <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0"/>
        <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0"/>
        <v/>
      </c>
      <c r="D72" s="19"/>
      <c r="E72" s="15" t="s">
        <v>49</v>
      </c>
      <c r="F72" s="19"/>
      <c r="G72" s="19"/>
      <c r="H72" s="19"/>
      <c r="I72" s="19"/>
      <c r="K72" s="4"/>
      <c r="L72" s="4"/>
      <c r="M72" s="60">
        <v>1</v>
      </c>
      <c r="N72" s="4"/>
      <c r="O72" s="61">
        <f>ROUNDDOWN(N72/5,0)</f>
        <v>0</v>
      </c>
      <c r="P72" s="60">
        <f>MIN(SUM(K72*-1,ROUNDDOWN(L72/5,0),M72,O72),R72)</f>
        <v>1</v>
      </c>
      <c r="R72" s="61">
        <v>2</v>
      </c>
      <c r="Y72" s="15">
        <v>3</v>
      </c>
      <c r="Z72" s="61" t="s">
        <v>242</v>
      </c>
      <c r="AA72" s="60" t="str" cm="1">
        <f t="array" ref="AA72">IF(OR(Y72=0,Y72=""),"",IF(VLOOKUP(Z72,$AI$1:$AJ$58,2,FALSE)&gt;=Y72,INDEX(tblDisciplines[Name],MATCH(1,(tblDisciplines[Discipline]=Z72)*(tblDisciplines[Rank]=Y72),0)),""))</f>
        <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0"/>
        <v/>
      </c>
      <c r="D73" s="19"/>
      <c r="E73" s="15" t="s">
        <v>1448</v>
      </c>
      <c r="F73" s="19"/>
      <c r="G73" s="19"/>
      <c r="H73" s="19"/>
      <c r="I73" s="19"/>
      <c r="K73" s="4"/>
      <c r="M73" s="60">
        <v>7</v>
      </c>
      <c r="N73" s="4"/>
      <c r="O73" s="61">
        <f>ROUNDDOWN(N73/2,0)</f>
        <v>0</v>
      </c>
      <c r="P73" s="60">
        <f>MIN(SUM(K73*-1,M73,O73),R73)</f>
        <v>7</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0"/>
        <v/>
      </c>
      <c r="D74" s="19"/>
      <c r="E74" s="15" t="s">
        <v>53</v>
      </c>
      <c r="F74" s="19"/>
      <c r="G74" s="19"/>
      <c r="H74" s="19"/>
      <c r="I74" s="19"/>
      <c r="K74" s="4"/>
      <c r="M74" s="60">
        <f>P28+P38</f>
        <v>6</v>
      </c>
      <c r="N74" s="4"/>
      <c r="O74" s="61">
        <f>N74</f>
        <v>0</v>
      </c>
      <c r="P74" s="60">
        <f>MIN(SUM(K74*-1,M74,O74),R74)</f>
        <v>6</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0"/>
        <v/>
      </c>
      <c r="D75" s="19"/>
      <c r="E75" s="15" t="s">
        <v>55</v>
      </c>
      <c r="F75" s="19"/>
      <c r="G75" s="19"/>
      <c r="H75" s="19"/>
      <c r="I75" s="19"/>
      <c r="P75" s="60">
        <f ca="1">VLOOKUP(VLOOKUP("Blood Potency",INDIRECT($AH$1),2,FALSE),tblBloodPotency[],2,FALSE)</f>
        <v>10</v>
      </c>
      <c r="Y75" s="15">
        <v>1</v>
      </c>
      <c r="Z75" s="61" t="s">
        <v>243</v>
      </c>
      <c r="AA75" s="60" t="str" cm="1">
        <f t="array" ref="AA75">IF(OR(Y75=0,Y75=""),"",IF(VLOOKUP(Z75,$AI$1:$AJ$58,2,FALSE)&gt;=Y75,INDEX(tblDisciplines[Name],MATCH(1,(tblDisciplines[Discipline]=Z75)*(tblDisciplines[Rank]=Y75),0)),""))</f>
        <v/>
      </c>
    </row>
    <row r="76" spans="1:32">
      <c r="A76" s="1" t="s">
        <v>75</v>
      </c>
      <c r="B76" t="str">
        <f t="shared" si="10"/>
        <v/>
      </c>
      <c r="Y76" s="15">
        <v>2</v>
      </c>
      <c r="Z76" s="61" t="s">
        <v>243</v>
      </c>
      <c r="AA76" s="60" t="str" cm="1">
        <f t="array" ref="AA76">IF(OR(Y76=0,Y76=""),"",IF(VLOOKUP(Z76,$AI$1:$AJ$58,2,FALSE)&gt;=Y76,INDEX(tblDisciplines[Name],MATCH(1,(tblDisciplines[Discipline]=Z76)*(tblDisciplines[Rank]=Y76),0)),""))</f>
        <v/>
      </c>
    </row>
    <row r="77" spans="1:32" ht="15.75" thickBot="1">
      <c r="A77" s="1" t="s">
        <v>76</v>
      </c>
      <c r="B77" t="str">
        <f t="shared" si="10"/>
        <v>motives</v>
      </c>
      <c r="D77" s="14" t="s">
        <v>1470</v>
      </c>
      <c r="E77" s="14"/>
      <c r="F77" s="14"/>
      <c r="G77" s="14"/>
      <c r="H77" s="14"/>
      <c r="I77" s="14"/>
      <c r="N77" s="60">
        <f>SUM(N79:N98,N101:N120,N206:N215,N132:N135,N138:N157,N160:N161)</f>
        <v>6</v>
      </c>
      <c r="Y77" s="15">
        <v>3</v>
      </c>
      <c r="Z77" s="61" t="s">
        <v>243</v>
      </c>
      <c r="AA77" s="60" t="str" cm="1">
        <f t="array" ref="AA77">IF(OR(Y77=0,Y77=""),"",IF(VLOOKUP(Z77,$AI$1:$AJ$58,2,FALSE)&gt;=Y77,INDEX(tblDisciplines[Name],MATCH(1,(tblDisciplines[Discipline]=Z77)*(tblDisciplines[Rank]=Y77),0)),""))</f>
        <v/>
      </c>
    </row>
    <row r="78" spans="1:32">
      <c r="A78" s="1" t="s">
        <v>77</v>
      </c>
      <c r="B78" t="str">
        <f t="shared" si="10"/>
        <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0"/>
        <v>command</v>
      </c>
      <c r="D79" s="19"/>
      <c r="E79" s="15" t="s">
        <v>114</v>
      </c>
      <c r="F79" s="3" t="s">
        <v>1701</v>
      </c>
      <c r="G79" s="3"/>
      <c r="H79" s="67" t="str">
        <f>_xlfn.IFNA(IF(VLOOKUP(F79,tblMerits[],6,FALSE)=0,"None",VLOOKUP(F79,tblMerits[],6,FALSE)),"None")</f>
        <v>Invictus Status 1</v>
      </c>
      <c r="I79" s="67"/>
      <c r="L79" s="4"/>
      <c r="M79" s="4"/>
      <c r="N79" s="4"/>
      <c r="O79" s="61">
        <f>N79</f>
        <v>0</v>
      </c>
      <c r="P79" s="60">
        <f t="shared" ref="P79:P98" si="14">MIN(SUM(L79,M79,O79),R79)</f>
        <v>0</v>
      </c>
      <c r="Q79" s="61">
        <f>_xlfn.IFNA(VLOOKUP($F79,tblMerits[],3,FALSE),"")</f>
        <v>1</v>
      </c>
      <c r="R79" s="61">
        <f>_xlfn.IFNA(VLOOKUP($F79,tblMerits[],4,FALSE),"")</f>
        <v>1</v>
      </c>
      <c r="Y79" s="15">
        <v>5</v>
      </c>
      <c r="Z79" s="61" t="s">
        <v>243</v>
      </c>
      <c r="AA79" s="60" t="str" cm="1">
        <f t="array" ref="AA79">IF(OR(Y79=0,Y79=""),"",IF(VLOOKUP(Z79,$AI$1:$AJ$58,2,FALSE)&gt;=Y79,INDEX(tblDisciplines[Name],MATCH(1,(tblDisciplines[Discipline]=Z79)*(tblDisciplines[Rank]=Y79),0)),""))</f>
        <v/>
      </c>
    </row>
    <row r="80" spans="1:32">
      <c r="A80" s="1" t="s">
        <v>79</v>
      </c>
      <c r="B80" t="str">
        <f t="shared" si="10"/>
        <v/>
      </c>
      <c r="D80" s="19"/>
      <c r="E80" s="15" t="s">
        <v>115</v>
      </c>
      <c r="F80" s="3"/>
      <c r="G80" s="3"/>
      <c r="H80" s="67" t="str">
        <f>_xlfn.IFNA(IF(VLOOKUP(F80,tblMerits[],6,FALSE)=0,"None",VLOOKUP(F80,tblMerits[],6,FALSE)),"None")</f>
        <v>None</v>
      </c>
      <c r="I80" s="67"/>
      <c r="L80" s="4"/>
      <c r="M80" s="4"/>
      <c r="N80" s="4"/>
      <c r="O80" s="61">
        <f t="shared" ref="O80:O98" si="15">N80</f>
        <v>0</v>
      </c>
      <c r="P80" s="60">
        <f t="shared" si="14"/>
        <v>0</v>
      </c>
      <c r="Q80" s="61" t="str">
        <f>_xlfn.IFNA(VLOOKUP($F80,tblMerits[],3,FALSE),"")</f>
        <v/>
      </c>
      <c r="R80" s="61" t="str">
        <f>_xlfn.IFNA(VLOOKUP($F80,tblMerits[],4,FALSE),"")</f>
        <v/>
      </c>
      <c r="Y80" s="15">
        <f>P173</f>
        <v>0</v>
      </c>
      <c r="Z80" s="61" t="s">
        <v>244</v>
      </c>
      <c r="AA80" s="60" t="str" cm="1">
        <f t="array" ref="AA80">IF(OR(Y80=0,Y80=""),"",IF(VLOOKUP(Z80,$AI$1:$AJ$58,2,FALSE)&gt;=Y80,INDEX(tblDisciplines[Name],MATCH(1,(tblDisciplines[Discipline]=Z80)*(tblDisciplines[Rank]=Y80),0)),""))</f>
        <v/>
      </c>
    </row>
    <row r="81" spans="1:27">
      <c r="A81" s="1" t="s">
        <v>80</v>
      </c>
      <c r="B81" t="str">
        <f t="shared" si="10"/>
        <v/>
      </c>
      <c r="D81" s="19"/>
      <c r="E81" s="15" t="s">
        <v>116</v>
      </c>
      <c r="F81" s="3"/>
      <c r="G81" s="3"/>
      <c r="H81" s="67" t="str">
        <f>_xlfn.IFNA(IF(VLOOKUP(F81,tblMerits[],6,FALSE)=0,"None",VLOOKUP(F81,tblMerits[],6,FALSE)),"None")</f>
        <v>None</v>
      </c>
      <c r="I81" s="67"/>
      <c r="L81" s="4"/>
      <c r="M81" s="4"/>
      <c r="N81" s="4"/>
      <c r="O81" s="61">
        <f t="shared" si="15"/>
        <v>0</v>
      </c>
      <c r="P81" s="60">
        <f t="shared" si="14"/>
        <v>0</v>
      </c>
      <c r="Q81" s="61" t="str">
        <f>_xlfn.IFNA(VLOOKUP($F81,tblMerits[],3,FALSE),"")</f>
        <v/>
      </c>
      <c r="R81" s="61" t="str">
        <f>_xlfn.IFNA(VLOOKUP($F81,tblMerits[],4,FALSE),"")</f>
        <v/>
      </c>
      <c r="Y81" s="15">
        <f>P174</f>
        <v>0</v>
      </c>
      <c r="Z81" s="61" t="s">
        <v>245</v>
      </c>
      <c r="AA81" s="60" t="str" cm="1">
        <f t="array" ref="AA81">IF(OR(Y81=0,Y81=""),"",IF(VLOOKUP(Z81,$AI$1:$AJ$58,2,FALSE)&gt;=Y81,INDEX(tblDisciplines[Name],MATCH(1,(tblDisciplines[Discipline]=Z81)*(tblDisciplines[Rank]=Y81),0)),""))</f>
        <v/>
      </c>
    </row>
    <row r="82" spans="1:27">
      <c r="A82" s="1" t="s">
        <v>81</v>
      </c>
      <c r="B82" t="str">
        <f t="shared" si="10"/>
        <v/>
      </c>
      <c r="D82" s="19"/>
      <c r="E82" s="15" t="s">
        <v>117</v>
      </c>
      <c r="F82" s="3"/>
      <c r="G82" s="3"/>
      <c r="H82" s="67" t="str">
        <f>_xlfn.IFNA(IF(VLOOKUP(F82,tblMerits[],6,FALSE)=0,"None",VLOOKUP(F82,tblMerits[],6,FALSE)),"None")</f>
        <v>None</v>
      </c>
      <c r="I82" s="67"/>
      <c r="L82" s="4"/>
      <c r="M82" s="4"/>
      <c r="N82" s="4"/>
      <c r="O82" s="61">
        <f t="shared" si="15"/>
        <v>0</v>
      </c>
      <c r="P82" s="60">
        <f t="shared" si="14"/>
        <v>0</v>
      </c>
      <c r="Q82" s="61" t="str">
        <f>_xlfn.IFNA(VLOOKUP($F82,tblMerits[],3,FALSE),"")</f>
        <v/>
      </c>
      <c r="R82" s="61" t="str">
        <f>_xlfn.IFNA(VLOOKUP($F82,tblMerits[],4,FALSE),"")</f>
        <v/>
      </c>
      <c r="Y82" s="61" t="s">
        <v>1472</v>
      </c>
      <c r="Z82" s="19"/>
      <c r="AA82" s="60" t="str">
        <f>IF(P177="","",F177)</f>
        <v/>
      </c>
    </row>
    <row r="83" spans="1:27">
      <c r="A83" s="1" t="s">
        <v>82</v>
      </c>
      <c r="B83" t="str">
        <f t="shared" si="10"/>
        <v/>
      </c>
      <c r="D83" s="19"/>
      <c r="E83" s="15" t="s">
        <v>118</v>
      </c>
      <c r="F83" s="3"/>
      <c r="G83" s="3"/>
      <c r="H83" s="67" t="str">
        <f>_xlfn.IFNA(IF(VLOOKUP(F83,tblMerits[],6,FALSE)=0,"None",VLOOKUP(F83,tblMerits[],6,FALSE)),"None")</f>
        <v>None</v>
      </c>
      <c r="I83" s="67"/>
      <c r="L83" s="4"/>
      <c r="M83" s="4"/>
      <c r="N83" s="4"/>
      <c r="O83" s="61">
        <f t="shared" si="15"/>
        <v>0</v>
      </c>
      <c r="P83" s="60">
        <f t="shared" si="14"/>
        <v>0</v>
      </c>
      <c r="Q83" s="61" t="str">
        <f>_xlfn.IFNA(VLOOKUP($F83,tblMerits[],3,FALSE),"")</f>
        <v/>
      </c>
      <c r="R83" s="61" t="str">
        <f>_xlfn.IFNA(VLOOKUP($F83,tblMerits[],4,FALSE),"")</f>
        <v/>
      </c>
      <c r="Y83" s="61" t="s">
        <v>1472</v>
      </c>
      <c r="Z83" s="19"/>
      <c r="AA83" s="60" t="str">
        <f>IF(P178="","",F178)</f>
        <v/>
      </c>
    </row>
    <row r="84" spans="1:27">
      <c r="A84" s="1" t="s">
        <v>83</v>
      </c>
      <c r="B84">
        <f>P124</f>
        <v>1</v>
      </c>
      <c r="D84" s="19"/>
      <c r="E84" s="15" t="s">
        <v>119</v>
      </c>
      <c r="F84" s="3"/>
      <c r="G84" s="3"/>
      <c r="H84" s="67" t="str">
        <f>_xlfn.IFNA(IF(VLOOKUP(F84,tblMerits[],6,FALSE)=0,"None",VLOOKUP(F84,tblMerits[],6,FALSE)),"None")</f>
        <v>None</v>
      </c>
      <c r="I84" s="67"/>
      <c r="L84" s="4"/>
      <c r="M84" s="4"/>
      <c r="N84" s="4"/>
      <c r="O84" s="61">
        <f t="shared" si="15"/>
        <v>0</v>
      </c>
      <c r="P84" s="60">
        <f t="shared" si="14"/>
        <v>0</v>
      </c>
      <c r="Q84" s="61" t="str">
        <f>_xlfn.IFNA(VLOOKUP($F84,tblMerits[],3,FALSE),"")</f>
        <v/>
      </c>
      <c r="R84" s="61" t="str">
        <f>_xlfn.IFNA(VLOOKUP($F84,tblMerits[],4,FALSE),"")</f>
        <v/>
      </c>
      <c r="Y84" s="61" t="s">
        <v>1472</v>
      </c>
      <c r="Z84" s="19"/>
      <c r="AA84" s="60" t="str">
        <f>IF(P179="","",F179)</f>
        <v/>
      </c>
    </row>
    <row r="85" spans="1:27">
      <c r="A85" s="1" t="s">
        <v>84</v>
      </c>
      <c r="B85">
        <f>P125</f>
        <v>1</v>
      </c>
      <c r="D85" s="19"/>
      <c r="E85" s="15" t="s">
        <v>120</v>
      </c>
      <c r="F85" s="3"/>
      <c r="G85" s="3"/>
      <c r="H85" s="67" t="str">
        <f>_xlfn.IFNA(IF(VLOOKUP(F85,tblMerits[],6,FALSE)=0,"None",VLOOKUP(F85,tblMerits[],6,FALSE)),"None")</f>
        <v>None</v>
      </c>
      <c r="I85" s="67"/>
      <c r="L85" s="4"/>
      <c r="M85" s="4"/>
      <c r="N85" s="4"/>
      <c r="O85" s="61">
        <f t="shared" si="15"/>
        <v>0</v>
      </c>
      <c r="P85" s="60">
        <f t="shared" si="14"/>
        <v>0</v>
      </c>
      <c r="Q85" s="61" t="str">
        <f>_xlfn.IFNA(VLOOKUP($F85,tblMerits[],3,FALSE),"")</f>
        <v/>
      </c>
      <c r="R85" s="61" t="str">
        <f>_xlfn.IFNA(VLOOKUP($F85,tblMerits[],4,FALSE),"")</f>
        <v/>
      </c>
      <c r="Y85" s="61" t="s">
        <v>1472</v>
      </c>
      <c r="Z85" s="19"/>
      <c r="AA85" s="60" t="str">
        <f>IF(P180="","",F180)</f>
        <v/>
      </c>
    </row>
    <row r="86" spans="1:27">
      <c r="A86" s="1" t="s">
        <v>85</v>
      </c>
      <c r="B86">
        <f>P126</f>
        <v>1</v>
      </c>
      <c r="D86" s="19"/>
      <c r="E86" s="15" t="s">
        <v>121</v>
      </c>
      <c r="F86" s="3"/>
      <c r="G86" s="3"/>
      <c r="H86" s="67" t="str">
        <f>_xlfn.IFNA(IF(VLOOKUP(F86,tblMerits[],6,FALSE)=0,"None",VLOOKUP(F86,tblMerits[],6,FALSE)),"None")</f>
        <v>None</v>
      </c>
      <c r="I86" s="67"/>
      <c r="L86" s="4"/>
      <c r="M86" s="4"/>
      <c r="N86" s="4"/>
      <c r="O86" s="61">
        <f t="shared" si="15"/>
        <v>0</v>
      </c>
      <c r="P86" s="60">
        <f t="shared" si="14"/>
        <v>0</v>
      </c>
      <c r="Q86" s="61" t="str">
        <f>_xlfn.IFNA(VLOOKUP($F86,tblMerits[],3,FALSE),"")</f>
        <v/>
      </c>
      <c r="R86" s="61" t="str">
        <f>_xlfn.IFNA(VLOOKUP($F86,tblMerits[],4,FALSE),"")</f>
        <v/>
      </c>
      <c r="Y86" s="61" t="s">
        <v>1472</v>
      </c>
      <c r="Z86" s="19"/>
      <c r="AA86" s="60" t="str">
        <f>IF(P181="","",F181)</f>
        <v/>
      </c>
    </row>
    <row r="87" spans="1:27">
      <c r="A87" s="1" t="s">
        <v>86</v>
      </c>
      <c r="B87" t="str">
        <f>IF(F126="","¬",F126)</f>
        <v>Invictus</v>
      </c>
      <c r="D87" s="19"/>
      <c r="E87" s="15" t="s">
        <v>122</v>
      </c>
      <c r="F87" s="3"/>
      <c r="G87" s="3"/>
      <c r="H87" s="67" t="str">
        <f>_xlfn.IFNA(IF(VLOOKUP(F87,tblMerits[],6,FALSE)=0,"None",VLOOKUP(F87,tblMerits[],6,FALSE)),"None")</f>
        <v>None</v>
      </c>
      <c r="I87" s="67"/>
      <c r="L87" s="4"/>
      <c r="M87" s="4"/>
      <c r="N87" s="4"/>
      <c r="O87" s="61">
        <f t="shared" si="15"/>
        <v>0</v>
      </c>
      <c r="P87" s="60">
        <f t="shared" si="14"/>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
      </c>
    </row>
    <row r="88" spans="1:27">
      <c r="A88" s="1" t="s">
        <v>87</v>
      </c>
      <c r="B88" t="str">
        <f>REPT("●",P126)</f>
        <v>●</v>
      </c>
      <c r="D88" s="19"/>
      <c r="E88" s="15" t="s">
        <v>123</v>
      </c>
      <c r="F88" s="3"/>
      <c r="G88" s="3"/>
      <c r="H88" s="67" t="str">
        <f>_xlfn.IFNA(IF(VLOOKUP(F88,tblMerits[],6,FALSE)=0,"None",VLOOKUP(F88,tblMerits[],6,FALSE)),"None")</f>
        <v>None</v>
      </c>
      <c r="I88" s="67"/>
      <c r="L88" s="4"/>
      <c r="M88" s="4"/>
      <c r="N88" s="4"/>
      <c r="O88" s="61">
        <f t="shared" si="15"/>
        <v>0</v>
      </c>
      <c r="P88" s="60">
        <f t="shared" si="14"/>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Carthian</v>
      </c>
      <c r="D89" s="19"/>
      <c r="E89" s="15" t="s">
        <v>124</v>
      </c>
      <c r="F89" s="3"/>
      <c r="G89" s="3"/>
      <c r="H89" s="67" t="str">
        <f>_xlfn.IFNA(IF(VLOOKUP(F89,tblMerits[],6,FALSE)=0,"None",VLOOKUP(F89,tblMerits[],6,FALSE)),"None")</f>
        <v>None</v>
      </c>
      <c r="I89" s="67"/>
      <c r="L89" s="4"/>
      <c r="M89" s="4"/>
      <c r="N89" s="4"/>
      <c r="O89" s="61">
        <f t="shared" si="15"/>
        <v>0</v>
      </c>
      <c r="P89" s="60">
        <f t="shared" si="14"/>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_xlfn.IFNA(IF(VLOOKUP(F90,tblMerits[],6,FALSE)=0,"None",VLOOKUP(F90,tblMerits[],6,FALSE)),"None")</f>
        <v>None</v>
      </c>
      <c r="I90" s="67"/>
      <c r="L90" s="4"/>
      <c r="M90" s="4"/>
      <c r="N90" s="4"/>
      <c r="O90" s="61">
        <f t="shared" si="15"/>
        <v>0</v>
      </c>
      <c r="P90" s="60">
        <f t="shared" si="14"/>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Crone</v>
      </c>
      <c r="D91" s="19"/>
      <c r="E91" s="15" t="s">
        <v>126</v>
      </c>
      <c r="F91" s="3"/>
      <c r="G91" s="3"/>
      <c r="H91" s="67" t="str">
        <f>_xlfn.IFNA(IF(VLOOKUP(F91,tblMerits[],6,FALSE)=0,"None",VLOOKUP(F91,tblMerits[],6,FALSE)),"None")</f>
        <v>None</v>
      </c>
      <c r="I91" s="67"/>
      <c r="L91" s="4"/>
      <c r="M91" s="4"/>
      <c r="N91" s="4"/>
      <c r="O91" s="61">
        <f t="shared" si="15"/>
        <v>0</v>
      </c>
      <c r="P91" s="60">
        <f t="shared" si="14"/>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5"/>
        <v>0</v>
      </c>
      <c r="P92" s="60">
        <f t="shared" si="14"/>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Lance</v>
      </c>
      <c r="D93" s="19"/>
      <c r="E93" s="15" t="s">
        <v>128</v>
      </c>
      <c r="F93" s="3"/>
      <c r="G93" s="3"/>
      <c r="H93" s="67" t="str">
        <f>_xlfn.IFNA(IF(VLOOKUP(F93,tblMerits[],6,FALSE)=0,"None",VLOOKUP(F93,tblMerits[],6,FALSE)),"None")</f>
        <v>None</v>
      </c>
      <c r="I93" s="67"/>
      <c r="L93" s="4"/>
      <c r="M93" s="4"/>
      <c r="N93" s="4"/>
      <c r="O93" s="61">
        <f t="shared" si="15"/>
        <v>0</v>
      </c>
      <c r="P93" s="60">
        <f t="shared" si="14"/>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5"/>
        <v>0</v>
      </c>
      <c r="P94" s="60">
        <f t="shared" si="14"/>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5"/>
        <v>0</v>
      </c>
      <c r="P95" s="60">
        <f t="shared" si="14"/>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5"/>
        <v>0</v>
      </c>
      <c r="P96" s="60">
        <f t="shared" si="14"/>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5"/>
        <v>0</v>
      </c>
      <c r="P97" s="60">
        <f t="shared" si="14"/>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5"/>
        <v>0</v>
      </c>
      <c r="P98" s="60">
        <f t="shared" si="14"/>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t="s">
        <v>1702</v>
      </c>
      <c r="G101" s="60" t="str">
        <f>IFERROR(VLOOKUP(F101,tblManoeuvre[],2,FALSE)&amp;" "&amp;VLOOKUP(F101,tblManoeuvre[],3,FALSE),"")</f>
        <v>Police Tactics 1</v>
      </c>
      <c r="H101" s="67" t="str">
        <f>IFERROR(IF(VLOOKUP(F101,tblManoeuvre[],8,FALSE)=0,"None",VLOOKUP(F101,tblManoeuvre[],8,FALSE)),"None")</f>
        <v>Brawl 2, Weaponry 1</v>
      </c>
      <c r="I101" s="67"/>
      <c r="L101" s="4"/>
      <c r="M101" s="4"/>
      <c r="N101" s="4">
        <v>1</v>
      </c>
      <c r="O101" s="61">
        <f t="shared" ref="O101:O120" si="16">N101</f>
        <v>1</v>
      </c>
      <c r="P101" s="60">
        <f t="shared" ref="P101:P120" si="17">MIN(SUM(L101,M101,O101),R101)</f>
        <v>1</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Police</v>
      </c>
      <c r="D102" s="19"/>
      <c r="E102" s="15" t="s">
        <v>1441</v>
      </c>
      <c r="F102" s="3" t="s">
        <v>1703</v>
      </c>
      <c r="G102" s="60" t="str">
        <f>IFERROR(VLOOKUP(F102,tblManoeuvre[],2,FALSE)&amp;" "&amp;VLOOKUP(F102,tblManoeuvre[],3,FALSE),"")</f>
        <v>Police Tactics 2</v>
      </c>
      <c r="H102" s="67" t="str">
        <f>IFERROR(IF(VLOOKUP(F102,tblManoeuvre[],8,FALSE)=0,"None",VLOOKUP(F102,tblManoeuvre[],8,FALSE)),"None")</f>
        <v>Brawl 2, Weaponry 1</v>
      </c>
      <c r="I102" s="67"/>
      <c r="L102" s="4"/>
      <c r="M102" s="4"/>
      <c r="N102" s="4">
        <v>1</v>
      </c>
      <c r="O102" s="61">
        <f t="shared" si="16"/>
        <v>1</v>
      </c>
      <c r="P102" s="60">
        <f t="shared" si="17"/>
        <v>1</v>
      </c>
      <c r="Q102" s="61">
        <v>1</v>
      </c>
      <c r="R102" s="61">
        <v>1</v>
      </c>
      <c r="Y102" s="15">
        <v>1</v>
      </c>
      <c r="Z102" s="61" t="s">
        <v>251</v>
      </c>
      <c r="AA102" s="60" t="str" cm="1">
        <f t="array" ref="AA102">IF(VLOOKUP(Z102,$AI$1:$AJ$58,2,FALSE)&gt;=Y102,INDEX(tblDisciplines[Name],MATCH(1,(tblDisciplines[Discipline]=Z102)*(tblDisciplines[Rank]=Y102),0)),"")</f>
        <v/>
      </c>
    </row>
    <row r="103" spans="1:27">
      <c r="A103" s="1" t="s">
        <v>102</v>
      </c>
      <c r="B103">
        <f>P73</f>
        <v>7</v>
      </c>
      <c r="D103" s="19"/>
      <c r="E103" s="15" t="s">
        <v>1443</v>
      </c>
      <c r="F103" s="3" t="s">
        <v>1704</v>
      </c>
      <c r="G103" s="60" t="str">
        <f>IFERROR(VLOOKUP(F103,tblManoeuvre[],2,FALSE)&amp;" "&amp;VLOOKUP(F103,tblManoeuvre[],3,FALSE),"")</f>
        <v>Police Tactics 3</v>
      </c>
      <c r="H103" s="67" t="str">
        <f>IFERROR(IF(VLOOKUP(F103,tblManoeuvre[],8,FALSE)=0,"None",VLOOKUP(F103,tblManoeuvre[],8,FALSE)),"None")</f>
        <v>Brawl 2, Weaponry 1</v>
      </c>
      <c r="I103" s="67"/>
      <c r="L103" s="4"/>
      <c r="M103" s="4"/>
      <c r="N103" s="4"/>
      <c r="O103" s="61">
        <f t="shared" si="16"/>
        <v>0</v>
      </c>
      <c r="P103" s="60">
        <f t="shared" si="17"/>
        <v>0</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c r="G104" s="60" t="str">
        <f>IFERROR(VLOOKUP(F104,tblManoeuvre[],2,FALSE)&amp;" "&amp;VLOOKUP(F104,tblManoeuvre[],3,FALSE),"")</f>
        <v/>
      </c>
      <c r="H104" s="67" t="str">
        <f>IFERROR(IF(VLOOKUP(F104,tblManoeuvre[],8,FALSE)=0,"None",VLOOKUP(F104,tblManoeuvre[],8,FALSE)),"None")</f>
        <v>None</v>
      </c>
      <c r="I104" s="67"/>
      <c r="L104" s="4"/>
      <c r="M104" s="4"/>
      <c r="N104" s="4"/>
      <c r="O104" s="61">
        <f t="shared" si="16"/>
        <v>0</v>
      </c>
      <c r="P104" s="60">
        <f t="shared" si="17"/>
        <v>0</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c r="G105" s="60" t="str">
        <f>IFERROR(VLOOKUP(F105,tblManoeuvre[],2,FALSE)&amp;" "&amp;VLOOKUP(F105,tblManoeuvre[],3,FALSE),"")</f>
        <v/>
      </c>
      <c r="H105" s="67" t="str">
        <f>IFERROR(IF(VLOOKUP(F105,tblManoeuvre[],8,FALSE)=0,"None",VLOOKUP(F105,tblManoeuvre[],8,FALSE)),"None")</f>
        <v>None</v>
      </c>
      <c r="I105" s="67"/>
      <c r="L105" s="4"/>
      <c r="M105" s="4"/>
      <c r="N105" s="4"/>
      <c r="O105" s="61">
        <f t="shared" si="16"/>
        <v>0</v>
      </c>
      <c r="P105" s="60">
        <f t="shared" si="17"/>
        <v>0</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IFERROR(VLOOKUP(F106,tblManoeuvre[],2,FALSE)&amp;" "&amp;VLOOKUP(F106,tblManoeuvre[],3,FALSE),"")</f>
        <v/>
      </c>
      <c r="H106" s="67" t="str">
        <f>IFERROR(IF(VLOOKUP(F106,tblManoeuvre[],8,FALSE)=0,"None",VLOOKUP(F106,tblManoeuvre[],8,FALSE)),"None")</f>
        <v>None</v>
      </c>
      <c r="I106" s="67"/>
      <c r="L106" s="4"/>
      <c r="M106" s="4"/>
      <c r="N106" s="4"/>
      <c r="O106" s="61">
        <f t="shared" si="16"/>
        <v>0</v>
      </c>
      <c r="P106" s="60">
        <f t="shared" si="17"/>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IFERROR(VLOOKUP(F107,tblManoeuvre[],2,FALSE)&amp;" "&amp;VLOOKUP(F107,tblManoeuvre[],3,FALSE),"")</f>
        <v/>
      </c>
      <c r="H107" s="67" t="str">
        <f>IFERROR(IF(VLOOKUP(F107,tblManoeuvre[],8,FALSE)=0,"None",VLOOKUP(F107,tblManoeuvre[],8,FALSE)),"None")</f>
        <v>None</v>
      </c>
      <c r="I107" s="67"/>
      <c r="L107" s="4"/>
      <c r="M107" s="4"/>
      <c r="N107" s="4"/>
      <c r="O107" s="61">
        <f t="shared" si="16"/>
        <v>0</v>
      </c>
      <c r="P107" s="60">
        <f t="shared" si="17"/>
        <v>0</v>
      </c>
      <c r="Q107" s="61">
        <v>1</v>
      </c>
      <c r="R107" s="61">
        <v>1</v>
      </c>
      <c r="Y107" s="15">
        <v>1</v>
      </c>
      <c r="Z107" s="61" t="s">
        <v>252</v>
      </c>
      <c r="AA107" s="60" t="str" cm="1">
        <f t="array" ref="AA107">IF(VLOOKUP(Z107,$AI$1:$AJ$58,2,FALSE)&gt;=Y107,INDEX(tblDisciplines[Name],MATCH(1,(tblDisciplines[Discipline]=Z107)*(tblDisciplines[Rank]=Y107),0)),"")</f>
        <v/>
      </c>
    </row>
    <row r="108" spans="1:27">
      <c r="A108" s="1" t="s">
        <v>107</v>
      </c>
      <c r="B108" t="str">
        <f>IF($P$73&gt;=7,"●","○") &amp; IF(F226&lt;&gt;""," (" &amp; F226 &amp; ")","")</f>
        <v>●</v>
      </c>
      <c r="D108" s="19"/>
      <c r="E108" s="15" t="s">
        <v>1452</v>
      </c>
      <c r="F108" s="3"/>
      <c r="G108" s="60" t="str">
        <f>IFERROR(VLOOKUP(F108,tblManoeuvre[],2,FALSE)&amp;" "&amp;VLOOKUP(F108,tblManoeuvre[],3,FALSE),"")</f>
        <v/>
      </c>
      <c r="H108" s="67" t="str">
        <f>IFERROR(IF(VLOOKUP(F108,tblManoeuvre[],8,FALSE)=0,"None",VLOOKUP(F108,tblManoeuvre[],8,FALSE)),"None")</f>
        <v>None</v>
      </c>
      <c r="I108" s="67"/>
      <c r="L108" s="4"/>
      <c r="M108" s="4"/>
      <c r="N108" s="4"/>
      <c r="O108" s="61">
        <f t="shared" si="16"/>
        <v>0</v>
      </c>
      <c r="P108" s="60">
        <f t="shared" si="17"/>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v>
      </c>
      <c r="D109" s="19"/>
      <c r="E109" s="15" t="s">
        <v>1454</v>
      </c>
      <c r="F109" s="3"/>
      <c r="G109" s="60" t="str">
        <f>IFERROR(VLOOKUP(F109,tblManoeuvre[],2,FALSE)&amp;" "&amp;VLOOKUP(F109,tblManoeuvre[],3,FALSE),"")</f>
        <v/>
      </c>
      <c r="H109" s="67" t="str">
        <f>IFERROR(IF(VLOOKUP(F109,tblManoeuvre[],8,FALSE)=0,"None",VLOOKUP(F109,tblManoeuvre[],8,FALSE)),"None")</f>
        <v>None</v>
      </c>
      <c r="I109" s="67"/>
      <c r="L109" s="4"/>
      <c r="M109" s="4"/>
      <c r="N109" s="4"/>
      <c r="O109" s="61">
        <f t="shared" si="16"/>
        <v>0</v>
      </c>
      <c r="P109" s="60">
        <f t="shared" si="17"/>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v>
      </c>
      <c r="D110" s="19"/>
      <c r="E110" s="15" t="s">
        <v>1455</v>
      </c>
      <c r="F110" s="3"/>
      <c r="G110" s="60" t="str">
        <f>IFERROR(VLOOKUP(F110,tblManoeuvre[],2,FALSE)&amp;" "&amp;VLOOKUP(F110,tblManoeuvre[],3,FALSE),"")</f>
        <v/>
      </c>
      <c r="H110" s="67" t="str">
        <f>IFERROR(IF(VLOOKUP(F110,tblManoeuvre[],8,FALSE)=0,"None",VLOOKUP(F110,tblManoeuvre[],8,FALSE)),"None")</f>
        <v>None</v>
      </c>
      <c r="I110" s="67"/>
      <c r="L110" s="4"/>
      <c r="M110" s="4"/>
      <c r="N110" s="4"/>
      <c r="O110" s="61">
        <f t="shared" si="16"/>
        <v>0</v>
      </c>
      <c r="P110" s="60">
        <f t="shared" si="17"/>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t="str">
        <f>IFERROR(VLOOKUP(F111,tblManoeuvre[],2,FALSE)&amp;" "&amp;VLOOKUP(F111,tblManoeuvre[],3,FALSE),"")</f>
        <v/>
      </c>
      <c r="H111" s="67" t="str">
        <f>IFERROR(IF(VLOOKUP(F111,tblManoeuvre[],8,FALSE)=0,"None",VLOOKUP(F111,tblManoeuvre[],8,FALSE)),"None")</f>
        <v>None</v>
      </c>
      <c r="I111" s="67"/>
      <c r="L111" s="4"/>
      <c r="M111" s="4"/>
      <c r="N111" s="4"/>
      <c r="O111" s="61">
        <f t="shared" si="16"/>
        <v>0</v>
      </c>
      <c r="P111" s="60">
        <f t="shared" si="17"/>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t="str">
        <f>IFERROR(VLOOKUP(F112,tblManoeuvre[],2,FALSE)&amp;" "&amp;VLOOKUP(F112,tblManoeuvre[],3,FALSE),"")</f>
        <v/>
      </c>
      <c r="H112" s="67" t="str">
        <f>IFERROR(IF(VLOOKUP(F112,tblManoeuvre[],8,FALSE)=0,"None",VLOOKUP(F112,tblManoeuvre[],8,FALSE)),"None")</f>
        <v>None</v>
      </c>
      <c r="I112" s="67"/>
      <c r="L112" s="4"/>
      <c r="M112" s="4"/>
      <c r="N112" s="4"/>
      <c r="O112" s="61">
        <f t="shared" si="16"/>
        <v>0</v>
      </c>
      <c r="P112" s="60">
        <f t="shared" si="17"/>
        <v>0</v>
      </c>
      <c r="Q112" s="61">
        <v>1</v>
      </c>
      <c r="R112" s="61">
        <v>1</v>
      </c>
      <c r="Y112" s="61" t="s">
        <v>1474</v>
      </c>
      <c r="Z112" s="61" t="str">
        <f t="shared" ref="Z112:Z121" si="18">G194</f>
        <v/>
      </c>
      <c r="AA112" s="60" t="str">
        <f t="shared" ref="AA112:AA121" si="19">IF(P194="","",F194)</f>
        <v/>
      </c>
    </row>
    <row r="113" spans="1:27">
      <c r="A113" s="1" t="s">
        <v>112</v>
      </c>
      <c r="B113" t="str">
        <f>IF($P$73&gt;=2,"●","○") &amp; IF(F231&lt;&gt;""," (" &amp; F231 &amp; ")","")</f>
        <v>●</v>
      </c>
      <c r="D113" s="19"/>
      <c r="E113" s="15" t="s">
        <v>1458</v>
      </c>
      <c r="F113" s="3"/>
      <c r="G113" s="60" t="str">
        <f>IFERROR(VLOOKUP(F113,tblManoeuvre[],2,FALSE)&amp;" "&amp;VLOOKUP(F113,tblManoeuvre[],3,FALSE),"")</f>
        <v/>
      </c>
      <c r="H113" s="67" t="str">
        <f>IFERROR(IF(VLOOKUP(F113,tblManoeuvre[],8,FALSE)=0,"None",VLOOKUP(F113,tblManoeuvre[],8,FALSE)),"None")</f>
        <v>None</v>
      </c>
      <c r="I113" s="67"/>
      <c r="L113" s="4"/>
      <c r="M113" s="4"/>
      <c r="N113" s="4"/>
      <c r="O113" s="61">
        <f t="shared" si="16"/>
        <v>0</v>
      </c>
      <c r="P113" s="60">
        <f t="shared" si="17"/>
        <v>0</v>
      </c>
      <c r="Q113" s="61">
        <v>1</v>
      </c>
      <c r="R113" s="61">
        <v>1</v>
      </c>
      <c r="Y113" s="61" t="s">
        <v>1474</v>
      </c>
      <c r="Z113" s="61" t="str">
        <f t="shared" si="18"/>
        <v/>
      </c>
      <c r="AA113" s="60" t="str">
        <f t="shared" si="19"/>
        <v/>
      </c>
    </row>
    <row r="114" spans="1:27">
      <c r="A114" s="1" t="s">
        <v>113</v>
      </c>
      <c r="B114" t="str">
        <f>IF($P$73&gt;=1,"●","○") &amp; IF(F232&lt;&gt;""," (" &amp; F232 &amp; ")","")</f>
        <v>●</v>
      </c>
      <c r="D114" s="19"/>
      <c r="E114" s="15" t="s">
        <v>1460</v>
      </c>
      <c r="F114" s="3"/>
      <c r="G114" s="60" t="str">
        <f>IFERROR(VLOOKUP(F114,tblManoeuvre[],2,FALSE)&amp;" "&amp;VLOOKUP(F114,tblManoeuvre[],3,FALSE),"")</f>
        <v/>
      </c>
      <c r="H114" s="67" t="str">
        <f>IFERROR(IF(VLOOKUP(F114,tblManoeuvre[],8,FALSE)=0,"None",VLOOKUP(F114,tblManoeuvre[],8,FALSE)),"None")</f>
        <v>None</v>
      </c>
      <c r="I114" s="67"/>
      <c r="L114" s="4"/>
      <c r="M114" s="4"/>
      <c r="N114" s="4"/>
      <c r="O114" s="61">
        <f t="shared" si="16"/>
        <v>0</v>
      </c>
      <c r="P114" s="60">
        <f t="shared" si="17"/>
        <v>0</v>
      </c>
      <c r="Q114" s="61">
        <v>1</v>
      </c>
      <c r="R114" s="61">
        <v>1</v>
      </c>
      <c r="Y114" s="61" t="s">
        <v>1474</v>
      </c>
      <c r="Z114" s="61" t="str">
        <f t="shared" si="18"/>
        <v/>
      </c>
      <c r="AA114" s="60" t="str">
        <f t="shared" si="19"/>
        <v/>
      </c>
    </row>
    <row r="115" spans="1:27">
      <c r="A115" s="1" t="s">
        <v>114</v>
      </c>
      <c r="B115" t="str">
        <f t="shared" ref="B115:B144" si="20">IF(AD2="","¬",AD2)</f>
        <v>Police Tactics ● | Compliance Hold</v>
      </c>
      <c r="D115" s="19"/>
      <c r="E115" s="15" t="s">
        <v>1461</v>
      </c>
      <c r="F115" s="3"/>
      <c r="G115" s="60" t="str">
        <f>IFERROR(VLOOKUP(F115,tblManoeuvre[],2,FALSE)&amp;" "&amp;VLOOKUP(F115,tblManoeuvre[],3,FALSE),"")</f>
        <v/>
      </c>
      <c r="H115" s="67" t="str">
        <f>IFERROR(IF(VLOOKUP(F115,tblManoeuvre[],8,FALSE)=0,"None",VLOOKUP(F115,tblManoeuvre[],8,FALSE)),"None")</f>
        <v>None</v>
      </c>
      <c r="I115" s="67"/>
      <c r="L115" s="4"/>
      <c r="M115" s="4"/>
      <c r="N115" s="4"/>
      <c r="O115" s="61">
        <f t="shared" si="16"/>
        <v>0</v>
      </c>
      <c r="P115" s="60">
        <f t="shared" si="17"/>
        <v>0</v>
      </c>
      <c r="Q115" s="61">
        <v>1</v>
      </c>
      <c r="R115" s="61">
        <v>1</v>
      </c>
      <c r="Y115" s="61" t="s">
        <v>1474</v>
      </c>
      <c r="Z115" s="61" t="str">
        <f t="shared" si="18"/>
        <v/>
      </c>
      <c r="AA115" s="60" t="str">
        <f t="shared" si="19"/>
        <v/>
      </c>
    </row>
    <row r="116" spans="1:27">
      <c r="A116" s="1" t="s">
        <v>115</v>
      </c>
      <c r="B116" t="str">
        <f t="shared" si="20"/>
        <v>Police Tactics ●● | Weapon Retention</v>
      </c>
      <c r="D116" s="19"/>
      <c r="E116" s="15" t="s">
        <v>1462</v>
      </c>
      <c r="F116" s="3"/>
      <c r="G116" s="60" t="str">
        <f>IFERROR(VLOOKUP(F116,tblManoeuvre[],2,FALSE)&amp;" "&amp;VLOOKUP(F116,tblManoeuvre[],3,FALSE),"")</f>
        <v/>
      </c>
      <c r="H116" s="67" t="str">
        <f>IFERROR(IF(VLOOKUP(F116,tblManoeuvre[],8,FALSE)=0,"None",VLOOKUP(F116,tblManoeuvre[],8,FALSE)),"None")</f>
        <v>None</v>
      </c>
      <c r="I116" s="67"/>
      <c r="L116" s="4"/>
      <c r="M116" s="4"/>
      <c r="N116" s="4"/>
      <c r="O116" s="61">
        <f t="shared" si="16"/>
        <v>0</v>
      </c>
      <c r="P116" s="60">
        <f t="shared" si="17"/>
        <v>0</v>
      </c>
      <c r="Q116" s="61">
        <v>1</v>
      </c>
      <c r="R116" s="61">
        <v>1</v>
      </c>
      <c r="Y116" s="61" t="s">
        <v>1474</v>
      </c>
      <c r="Z116" s="61" t="str">
        <f t="shared" si="18"/>
        <v/>
      </c>
      <c r="AA116" s="60" t="str">
        <f t="shared" si="19"/>
        <v/>
      </c>
    </row>
    <row r="117" spans="1:27">
      <c r="A117" s="1" t="s">
        <v>116</v>
      </c>
      <c r="B117" t="str">
        <f t="shared" si="20"/>
        <v>¬</v>
      </c>
      <c r="D117" s="19"/>
      <c r="E117" s="15" t="s">
        <v>1463</v>
      </c>
      <c r="F117" s="3"/>
      <c r="G117" s="60" t="str">
        <f>IFERROR(VLOOKUP(F117,tblManoeuvre[],2,FALSE)&amp;" "&amp;VLOOKUP(F117,tblManoeuvre[],3,FALSE),"")</f>
        <v/>
      </c>
      <c r="H117" s="67" t="str">
        <f>IFERROR(IF(VLOOKUP(F117,tblManoeuvre[],8,FALSE)=0,"None",VLOOKUP(F117,tblManoeuvre[],8,FALSE)),"None")</f>
        <v>None</v>
      </c>
      <c r="I117" s="67"/>
      <c r="L117" s="4"/>
      <c r="M117" s="4"/>
      <c r="N117" s="4"/>
      <c r="O117" s="61">
        <f t="shared" si="16"/>
        <v>0</v>
      </c>
      <c r="P117" s="60">
        <f t="shared" si="17"/>
        <v>0</v>
      </c>
      <c r="Q117" s="61">
        <v>1</v>
      </c>
      <c r="R117" s="61">
        <v>1</v>
      </c>
      <c r="Y117" s="61" t="s">
        <v>1474</v>
      </c>
      <c r="Z117" s="61" t="str">
        <f t="shared" si="18"/>
        <v/>
      </c>
      <c r="AA117" s="60" t="str">
        <f t="shared" si="19"/>
        <v/>
      </c>
    </row>
    <row r="118" spans="1:27">
      <c r="A118" s="1" t="s">
        <v>117</v>
      </c>
      <c r="B118" t="str">
        <f t="shared" si="20"/>
        <v>¬</v>
      </c>
      <c r="D118" s="19"/>
      <c r="E118" s="15" t="s">
        <v>1464</v>
      </c>
      <c r="F118" s="3"/>
      <c r="G118" s="60" t="str">
        <f>IFERROR(VLOOKUP(F118,tblManoeuvre[],2,FALSE)&amp;" "&amp;VLOOKUP(F118,tblManoeuvre[],3,FALSE),"")</f>
        <v/>
      </c>
      <c r="H118" s="67" t="str">
        <f>IFERROR(IF(VLOOKUP(F118,tblManoeuvre[],8,FALSE)=0,"None",VLOOKUP(F118,tblManoeuvre[],8,FALSE)),"None")</f>
        <v>None</v>
      </c>
      <c r="I118" s="67"/>
      <c r="L118" s="4"/>
      <c r="M118" s="4"/>
      <c r="N118" s="4"/>
      <c r="O118" s="61">
        <f t="shared" si="16"/>
        <v>0</v>
      </c>
      <c r="P118" s="60">
        <f t="shared" si="17"/>
        <v>0</v>
      </c>
      <c r="Q118" s="61">
        <v>1</v>
      </c>
      <c r="R118" s="61">
        <v>1</v>
      </c>
      <c r="Y118" s="61" t="s">
        <v>1474</v>
      </c>
      <c r="Z118" s="61" t="str">
        <f t="shared" si="18"/>
        <v/>
      </c>
      <c r="AA118" s="60" t="str">
        <f t="shared" si="19"/>
        <v/>
      </c>
    </row>
    <row r="119" spans="1:27">
      <c r="A119" s="1" t="s">
        <v>118</v>
      </c>
      <c r="B119" t="str">
        <f t="shared" si="20"/>
        <v>¬</v>
      </c>
      <c r="D119" s="19"/>
      <c r="E119" s="15" t="s">
        <v>1466</v>
      </c>
      <c r="F119" s="3"/>
      <c r="G119" s="60" t="str">
        <f>IFERROR(VLOOKUP(F119,tblManoeuvre[],2,FALSE)&amp;" "&amp;VLOOKUP(F119,tblManoeuvre[],3,FALSE),"")</f>
        <v/>
      </c>
      <c r="H119" s="67" t="str">
        <f>IFERROR(IF(VLOOKUP(F119,tblManoeuvre[],8,FALSE)=0,"None",VLOOKUP(F119,tblManoeuvre[],8,FALSE)),"None")</f>
        <v>None</v>
      </c>
      <c r="I119" s="67"/>
      <c r="L119" s="4"/>
      <c r="M119" s="4"/>
      <c r="N119" s="4"/>
      <c r="O119" s="61">
        <f t="shared" si="16"/>
        <v>0</v>
      </c>
      <c r="P119" s="60">
        <f t="shared" si="17"/>
        <v>0</v>
      </c>
      <c r="Q119" s="61">
        <v>1</v>
      </c>
      <c r="R119" s="61">
        <v>1</v>
      </c>
      <c r="Y119" s="61" t="s">
        <v>1474</v>
      </c>
      <c r="Z119" s="61" t="str">
        <f t="shared" si="18"/>
        <v/>
      </c>
      <c r="AA119" s="60" t="str">
        <f t="shared" si="19"/>
        <v/>
      </c>
    </row>
    <row r="120" spans="1:27">
      <c r="A120" s="1" t="s">
        <v>119</v>
      </c>
      <c r="B120" t="str">
        <f t="shared" si="20"/>
        <v>¬</v>
      </c>
      <c r="D120" s="19"/>
      <c r="E120" s="15" t="s">
        <v>1468</v>
      </c>
      <c r="F120" s="3"/>
      <c r="G120" s="60" t="str">
        <f>IFERROR(VLOOKUP(F120,tblManoeuvre[],2,FALSE)&amp;" "&amp;VLOOKUP(F120,tblManoeuvre[],3,FALSE),"")</f>
        <v/>
      </c>
      <c r="H120" s="67" t="str">
        <f>IFERROR(IF(VLOOKUP(F120,tblManoeuvre[],8,FALSE)=0,"None",VLOOKUP(F120,tblManoeuvre[],8,FALSE)),"None")</f>
        <v>None</v>
      </c>
      <c r="I120" s="67"/>
      <c r="L120" s="4"/>
      <c r="M120" s="4"/>
      <c r="N120" s="4"/>
      <c r="O120" s="61">
        <f t="shared" si="16"/>
        <v>0</v>
      </c>
      <c r="P120" s="60">
        <f t="shared" si="17"/>
        <v>0</v>
      </c>
      <c r="Q120" s="61">
        <v>1</v>
      </c>
      <c r="R120" s="61">
        <v>1</v>
      </c>
      <c r="Y120" s="61" t="s">
        <v>1474</v>
      </c>
      <c r="Z120" s="61" t="str">
        <f t="shared" si="18"/>
        <v/>
      </c>
      <c r="AA120" s="60" t="str">
        <f t="shared" si="19"/>
        <v/>
      </c>
    </row>
    <row r="121" spans="1:27">
      <c r="A121" s="1" t="s">
        <v>120</v>
      </c>
      <c r="B121" t="str">
        <f t="shared" si="20"/>
        <v>¬</v>
      </c>
      <c r="Y121" s="61" t="s">
        <v>1474</v>
      </c>
      <c r="Z121" s="61" t="str">
        <f t="shared" si="18"/>
        <v/>
      </c>
      <c r="AA121" s="60" t="str">
        <f t="shared" si="19"/>
        <v/>
      </c>
    </row>
    <row r="122" spans="1:27" ht="15.75" thickBot="1">
      <c r="A122" s="1" t="s">
        <v>121</v>
      </c>
      <c r="B122" t="str">
        <f t="shared" si="20"/>
        <v>¬</v>
      </c>
      <c r="D122" s="14" t="s">
        <v>1475</v>
      </c>
      <c r="E122" s="14"/>
      <c r="F122" s="14"/>
      <c r="G122" s="14"/>
      <c r="H122" s="14"/>
      <c r="I122" s="14"/>
    </row>
    <row r="123" spans="1:27">
      <c r="A123" s="1" t="s">
        <v>122</v>
      </c>
      <c r="B123" t="str">
        <f t="shared" si="20"/>
        <v>¬</v>
      </c>
      <c r="D123" s="16" t="s">
        <v>927</v>
      </c>
      <c r="E123" s="17"/>
      <c r="F123" s="17"/>
      <c r="G123" s="17"/>
      <c r="H123" s="17"/>
      <c r="I123" s="17"/>
      <c r="Y123" s="15" t="s">
        <v>1476</v>
      </c>
      <c r="Z123" s="19"/>
      <c r="AA123" s="61" t="str">
        <f t="shared" ref="AA123:AA132" si="21">_xlfn.LET(_xlpm.name,VLOOKUP(Y123,$E$2:$F$362,2,FALSE),_xlpm.paid,_xlfn.IFNA(VLOOKUP(_xlpm.name,$F$121:$Q$215,11,FALSE)&gt;=VLOOKUP(_xlpm.name,$F$121:$Q$215,12,FALSE),FALSE),IF(AND(_xlpm.name&lt;&gt;"",_xlpm.paid),_xlpm.name,""))</f>
        <v/>
      </c>
    </row>
    <row r="124" spans="1:27">
      <c r="A124" s="1" t="s">
        <v>123</v>
      </c>
      <c r="B124" t="str">
        <f t="shared" si="20"/>
        <v>¬</v>
      </c>
      <c r="D124" s="19"/>
      <c r="E124" s="15" t="s">
        <v>83</v>
      </c>
      <c r="F124" s="19"/>
      <c r="G124" s="19"/>
      <c r="H124" s="19"/>
      <c r="I124" s="19"/>
      <c r="L124" s="4">
        <v>1</v>
      </c>
      <c r="M124" s="61">
        <f>IFERROR(VLOOKUP(G13,tblEffectiveStatus[#Data],2,FALSE),0)</f>
        <v>0</v>
      </c>
      <c r="P124" s="60">
        <f>MIN(L124+M124,R124)</f>
        <v>1</v>
      </c>
      <c r="R124" s="61">
        <v>10</v>
      </c>
      <c r="Y124" s="15" t="s">
        <v>1477</v>
      </c>
      <c r="Z124" s="19"/>
      <c r="AA124" s="61" t="str">
        <f t="shared" si="21"/>
        <v/>
      </c>
    </row>
    <row r="125" spans="1:27">
      <c r="A125" s="1" t="s">
        <v>124</v>
      </c>
      <c r="B125" t="str">
        <f t="shared" si="20"/>
        <v>¬</v>
      </c>
      <c r="D125" s="19"/>
      <c r="E125" s="15" t="str">
        <f>IF(F7="","Clan Status",F7&amp;" Status")</f>
        <v>Daeva Status</v>
      </c>
      <c r="F125" s="19"/>
      <c r="G125" s="19"/>
      <c r="H125" s="19"/>
      <c r="I125" s="19"/>
      <c r="L125" s="4">
        <v>1</v>
      </c>
      <c r="P125" s="60">
        <f>IF(L125="",0,MIN(L125,R125))</f>
        <v>1</v>
      </c>
      <c r="R125" s="61">
        <v>5</v>
      </c>
      <c r="Y125" s="15" t="s">
        <v>1478</v>
      </c>
      <c r="Z125" s="19"/>
      <c r="AA125" s="61" t="str">
        <f t="shared" si="21"/>
        <v/>
      </c>
    </row>
    <row r="126" spans="1:27">
      <c r="A126" s="1" t="s">
        <v>125</v>
      </c>
      <c r="B126" t="str">
        <f t="shared" si="20"/>
        <v>¬</v>
      </c>
      <c r="D126" s="19"/>
      <c r="E126" s="15" t="str">
        <f>IF(F9="","",F9&amp;" Status")</f>
        <v>Invictus Status</v>
      </c>
      <c r="F126" s="19" t="str">
        <f>IF(F9="","",VLOOKUP(F9,tblCovenantShortName[#Data],2,FALSE))</f>
        <v>Invictus</v>
      </c>
      <c r="G126" s="19"/>
      <c r="H126" s="19"/>
      <c r="I126" s="19"/>
      <c r="L126" s="4">
        <v>1</v>
      </c>
      <c r="P126" s="60">
        <f>L126</f>
        <v>1</v>
      </c>
      <c r="R126" s="61">
        <f>5-SUM(L127:L129)</f>
        <v>5</v>
      </c>
      <c r="Y126" s="15" t="s">
        <v>1479</v>
      </c>
      <c r="Z126" s="19"/>
      <c r="AA126" s="61" t="str">
        <f t="shared" si="21"/>
        <v/>
      </c>
    </row>
    <row r="127" spans="1:27">
      <c r="A127" s="1" t="s">
        <v>126</v>
      </c>
      <c r="B127" t="str">
        <f t="shared" si="20"/>
        <v>¬</v>
      </c>
      <c r="D127" s="19"/>
      <c r="E127" s="15" t="str" cm="1">
        <f t="array" ref="E127">IF(F9="","",IFERROR(INDEX(Lists!$F$2:$F$5,SMALL(IF(Lists!$F$2:$F$5&lt;&gt;$F$9,ROW(Lists!$F$2:$F$5)-ROW(Lists!$F$2)+1),1))&amp;" Status",""))</f>
        <v>Carthian Movement Status</v>
      </c>
      <c r="F127" s="19" t="str" cm="1">
        <f t="array" ref="F127">IF(F9="","",IFERROR(VLOOKUP(INDEX(Lists!$F$2:$F$5,SMALL(IF(Lists!$F$2:$F$5&lt;&gt;$F$9,ROW(Lists!$F$2:$F$5)-ROW(Lists!$F$2)+1),1)),tblCovenantShortName[],2,FALSE),""))</f>
        <v>Carthian</v>
      </c>
      <c r="G127" s="19"/>
      <c r="H127" s="19"/>
      <c r="I127" s="19"/>
      <c r="L127" s="4"/>
      <c r="P127" s="60">
        <f>L127</f>
        <v>0</v>
      </c>
      <c r="R127" s="61">
        <f>MAX(0,MIN(P126-1,5-L126-L128-L129))</f>
        <v>0</v>
      </c>
      <c r="Y127" s="15" t="s">
        <v>1480</v>
      </c>
      <c r="Z127" s="19"/>
      <c r="AA127" s="61" t="str">
        <f t="shared" si="21"/>
        <v/>
      </c>
    </row>
    <row r="128" spans="1:27">
      <c r="A128" s="1" t="s">
        <v>127</v>
      </c>
      <c r="B128" t="str">
        <f t="shared" si="20"/>
        <v>¬</v>
      </c>
      <c r="D128" s="19"/>
      <c r="E128" s="15" t="str" cm="1">
        <f t="array" ref="E128">IF(F9="","",IFERROR(INDEX(Lists!$F$2:$F$5,SMALL(IF(Lists!$F$2:$F$5&lt;&gt;$F$9,ROW(Lists!$F$2:$F$5)-ROW(Lists!$F$2)+1),2))&amp;" Status",""))</f>
        <v>Circle of the Crone Status</v>
      </c>
      <c r="F128" s="19" t="str" cm="1">
        <f t="array" ref="F128">IF(F9="","",IFERROR(VLOOKUP(INDEX(Lists!$F$2:$F$5,SMALL(IF(Lists!$F$2:$F$5&lt;&gt;$F$9,ROW(Lists!$F$2:$F$5)-ROW(Lists!$F$2)+1),2)),tblCovenantShortName[],2,FALSE),""))</f>
        <v>Crone</v>
      </c>
      <c r="G128" s="19"/>
      <c r="H128" s="19"/>
      <c r="I128" s="19"/>
      <c r="L128" s="4"/>
      <c r="P128" s="60">
        <f>L128</f>
        <v>0</v>
      </c>
      <c r="R128" s="61">
        <f>MAX(0,MIN(P126-1,5-L126-L127-L129))</f>
        <v>0</v>
      </c>
      <c r="Y128" s="15" t="s">
        <v>1481</v>
      </c>
      <c r="Z128" s="19"/>
      <c r="AA128" s="61" t="str">
        <f t="shared" si="21"/>
        <v/>
      </c>
    </row>
    <row r="129" spans="1:32">
      <c r="A129" s="1" t="s">
        <v>128</v>
      </c>
      <c r="B129" t="str">
        <f t="shared" si="20"/>
        <v>¬</v>
      </c>
      <c r="D129" s="19"/>
      <c r="E129" s="15" t="str" cm="1">
        <f t="array" ref="E129">IF(F9="","",IFERROR(INDEX(Lists!$F$2:$F$5,SMALL(IF(Lists!$F$2:$F$5&lt;&gt;$F$9,ROW(Lists!$F$2:$F$5)-ROW(Lists!$F$2)+1),3))&amp;" Status",""))</f>
        <v>Lancea et Sanctum Status</v>
      </c>
      <c r="F129" s="19" t="str" cm="1">
        <f t="array" ref="F129">IF(F9="","",IFERROR(VLOOKUP(INDEX(Lists!$F$2:$F$5,SMALL(IF(Lists!$F$2:$F$5&lt;&gt;$F$9,ROW(Lists!$F$2:$F$5)-ROW(Lists!$F$2)+1),3)),tblCovenantShortName[],2,FALSE),""))</f>
        <v>Lance</v>
      </c>
      <c r="G129" s="19"/>
      <c r="H129" s="19"/>
      <c r="I129" s="19"/>
      <c r="L129" s="4"/>
      <c r="P129" s="60">
        <f>L129</f>
        <v>0</v>
      </c>
      <c r="R129" s="61">
        <f>MAX(0,MIN(P126-1,5-L126-L127-L128))</f>
        <v>0</v>
      </c>
      <c r="Y129" s="15" t="s">
        <v>1482</v>
      </c>
      <c r="Z129" s="19"/>
      <c r="AA129" s="61" t="str">
        <f t="shared" si="21"/>
        <v/>
      </c>
    </row>
    <row r="130" spans="1:32">
      <c r="A130" s="1" t="s">
        <v>129</v>
      </c>
      <c r="B130" t="str">
        <f t="shared" si="20"/>
        <v>¬</v>
      </c>
      <c r="Y130" s="15" t="s">
        <v>1483</v>
      </c>
      <c r="Z130" s="19"/>
      <c r="AA130" s="61" t="str">
        <f t="shared" si="21"/>
        <v/>
      </c>
    </row>
    <row r="131" spans="1:32">
      <c r="A131" s="1" t="s">
        <v>130</v>
      </c>
      <c r="B131" t="str">
        <f t="shared" si="20"/>
        <v>¬</v>
      </c>
      <c r="D131" s="16" t="s">
        <v>1475</v>
      </c>
      <c r="E131" s="17"/>
      <c r="F131" s="16" t="s">
        <v>1446</v>
      </c>
      <c r="G131" s="17"/>
      <c r="H131" s="17"/>
      <c r="I131" s="17"/>
      <c r="Y131" s="15" t="s">
        <v>1484</v>
      </c>
      <c r="Z131" s="19"/>
      <c r="AA131" s="61" t="str">
        <f t="shared" si="21"/>
        <v/>
      </c>
    </row>
    <row r="132" spans="1:32">
      <c r="A132" s="1" t="s">
        <v>131</v>
      </c>
      <c r="B132" t="str">
        <f t="shared" si="20"/>
        <v>¬</v>
      </c>
      <c r="D132" s="19"/>
      <c r="E132" s="15" t="s">
        <v>94</v>
      </c>
      <c r="F132" s="3"/>
      <c r="G132" s="19"/>
      <c r="H132" s="19"/>
      <c r="I132" s="19"/>
      <c r="L132" s="4">
        <v>2</v>
      </c>
      <c r="M132" s="4"/>
      <c r="N132" s="4"/>
      <c r="O132" s="61">
        <f>N132</f>
        <v>0</v>
      </c>
      <c r="P132" s="60">
        <f>MIN(SUM(L132,M132,O132),R132)</f>
        <v>2</v>
      </c>
      <c r="Q132" s="61">
        <f>_xlfn.IFNA(VLOOKUP($E132,tblDomain[],3,FALSE),"")</f>
        <v>1</v>
      </c>
      <c r="R132" s="61">
        <f>_xlfn.IFNA(VLOOKUP($E132,tblDomain[],4,FALSE),"")</f>
        <v>5</v>
      </c>
      <c r="Y132" s="15" t="s">
        <v>1485</v>
      </c>
      <c r="Z132" s="19"/>
      <c r="AA132" s="61" t="str">
        <f t="shared" si="21"/>
        <v/>
      </c>
    </row>
    <row r="133" spans="1:32">
      <c r="A133" s="1" t="s">
        <v>132</v>
      </c>
      <c r="B133" t="str">
        <f t="shared" si="20"/>
        <v>¬</v>
      </c>
      <c r="D133" s="19"/>
      <c r="E133" s="15" t="s">
        <v>95</v>
      </c>
      <c r="F133" s="3"/>
      <c r="G133" s="19"/>
      <c r="H133" s="19"/>
      <c r="I133" s="19"/>
      <c r="L133" s="4">
        <v>2</v>
      </c>
      <c r="M133" s="4"/>
      <c r="N133" s="4"/>
      <c r="O133" s="61">
        <f>N133</f>
        <v>0</v>
      </c>
      <c r="P133" s="60">
        <f>MIN(SUM(L133,M133,O133),R133)</f>
        <v>2</v>
      </c>
      <c r="Q133" s="61">
        <f>_xlfn.IFNA(VLOOKUP($E133,tblDomain[],3,FALSE),"")</f>
        <v>1</v>
      </c>
      <c r="R133" s="61">
        <f>_xlfn.IFNA(VLOOKUP($E133,tblDomain[],4,FALSE),"")</f>
        <v>5</v>
      </c>
    </row>
    <row r="134" spans="1:32">
      <c r="A134" s="1" t="s">
        <v>133</v>
      </c>
      <c r="B134" t="str">
        <f t="shared" si="20"/>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2">_xlfn.LET(_xlpm.name,VLOOKUP(Y134,$E$2:$F$362,2,FALSE),_xlpm.note,VLOOKUP(Y134,$E$2:$G$362,3,FALSE),_xlpm.row,MATCH(Y134,$E$138:$E$157,0),_xlpm.dots,INDEX($P$138:$P$157,_xlpm.row),_xlpm.max,INDEX($Q$138:$Q$157,_xlpm.row),_xlpm.paid,_xlfn.IFNA(_xlpm.dots&gt;=_xlpm.max,FALSE),IF(AND(_xlpm.name&lt;&gt;"",_xlpm.paid),IF(_xlpm.note="",_xlpm.name,_xlpm.name&amp;" ("&amp;_xlpm.note&amp;")"),""))</f>
        <v>Allies (Police)</v>
      </c>
      <c r="AC134" s="60" t="str" cm="1">
        <f t="array" ref="AC134:AC136">_xlfn.LET(_xlpm.raw,IFERROR(_xlfn.VSTACK(IFERROR(_xlfn._xlws.SORT(_xlfn._xlws.FILTER(AA134:AA211,AA134:AA211&lt;&gt;"")),""),IFERROR(_xlfn._xlws.SORT(_xlfn._xlws.FILTER(AA213:AA222,AA213:AA222&lt;&gt;"")),"")),""),_xlpm.sorted,IFERROR(_xlfn._xlws.FILTER(_xlpm.raw,_xlpm.raw&lt;&gt;""),""),IFERROR(LEFT(_xlpm.sorted,FIND(" (",_xlpm.sorted)-1),_xlpm.sorted))</f>
        <v>Allies</v>
      </c>
      <c r="AD134" s="20" t="str" cm="1">
        <f t="array" ref="AD134:AD136">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Police</v>
      </c>
      <c r="AE134" s="20">
        <f t="shared" ref="AE134:AE153" si="23">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1</v>
      </c>
      <c r="AF134" s="61" cm="1">
        <f t="array" ref="AF134">IF(AC134="","",SUMPRODUCT(($F$138:$F$157=AC134)*($G$138:$G$157=IF(AD134="","",AD134))*$P$138:$P$157))</f>
        <v>3</v>
      </c>
    </row>
    <row r="135" spans="1:32">
      <c r="A135" s="1" t="s">
        <v>134</v>
      </c>
      <c r="B135" t="str">
        <f t="shared" si="20"/>
        <v>¬</v>
      </c>
      <c r="D135" s="19"/>
      <c r="E135" s="15" t="s">
        <v>97</v>
      </c>
      <c r="F135" s="19"/>
      <c r="G135" s="19"/>
      <c r="H135" s="19"/>
      <c r="I135" s="19"/>
      <c r="L135" s="4">
        <v>2</v>
      </c>
      <c r="M135" s="4"/>
      <c r="N135" s="4"/>
      <c r="O135" s="61">
        <f>N135</f>
        <v>0</v>
      </c>
      <c r="P135" s="60">
        <f>MIN(SUM(L135,M135,O135),R135)</f>
        <v>2</v>
      </c>
      <c r="Q135" s="61">
        <f>_xlfn.IFNA(VLOOKUP($E135,tblDomain[],3,FALSE),"")</f>
        <v>1</v>
      </c>
      <c r="R135" s="61">
        <f>_xlfn.IFNA(VLOOKUP($E135,tblDomain[],4,FALSE),"")</f>
        <v>5</v>
      </c>
      <c r="Y135" s="15" t="s">
        <v>177</v>
      </c>
      <c r="Z135" s="19"/>
      <c r="AA135" s="61" t="str">
        <f t="shared" si="22"/>
        <v>Contacts (Police, Street, Underworld)</v>
      </c>
      <c r="AC135" s="60" t="str">
        <v>Allies</v>
      </c>
      <c r="AD135" s="20" t="str">
        <v>Underworld</v>
      </c>
      <c r="AE135" s="20">
        <f t="shared" si="23"/>
        <v>0</v>
      </c>
      <c r="AF135" s="61" cm="1">
        <f t="array" ref="AF135">IF(AC135="","",SUMPRODUCT(($F$138:$F$157=AC135)*($G$138:$G$157=IF(AD135="","",AD135))*$P$138:$P$157))</f>
        <v>1</v>
      </c>
    </row>
    <row r="136" spans="1:32">
      <c r="A136" s="1" t="s">
        <v>135</v>
      </c>
      <c r="B136" t="str">
        <f t="shared" si="20"/>
        <v>¬</v>
      </c>
      <c r="Y136" s="15" t="s">
        <v>178</v>
      </c>
      <c r="Z136" s="19"/>
      <c r="AA136" s="61" t="str">
        <f t="shared" si="22"/>
        <v>Allies (Underworld)</v>
      </c>
      <c r="AC136" s="60" t="str">
        <v>Contacts</v>
      </c>
      <c r="AD136" s="20" t="str">
        <v>Police, Street, Underworld</v>
      </c>
      <c r="AE136" s="20">
        <f t="shared" si="23"/>
        <v>0</v>
      </c>
      <c r="AF136" s="61" cm="1">
        <f t="array" ref="AF136">IF(AC136="","",SUMPRODUCT(($F$138:$F$157=AC136)*($G$138:$G$157=IF(AD136="","",AD136))*$P$138:$P$157))</f>
        <v>2</v>
      </c>
    </row>
    <row r="137" spans="1:32">
      <c r="A137" s="1" t="s">
        <v>136</v>
      </c>
      <c r="B137" t="str">
        <f t="shared" si="20"/>
        <v>¬</v>
      </c>
      <c r="D137" s="16" t="s">
        <v>174</v>
      </c>
      <c r="E137" s="17"/>
      <c r="F137" s="17"/>
      <c r="G137" s="17"/>
      <c r="H137" s="61">
        <f>L225</f>
        <v>0</v>
      </c>
      <c r="I137" s="61">
        <f>SUM(AE134:AE155)+SUM(P125:P129)</f>
        <v>3</v>
      </c>
      <c r="Y137" s="15" t="s">
        <v>179</v>
      </c>
      <c r="Z137" s="19"/>
      <c r="AA137" s="61" t="str">
        <f t="shared" si="22"/>
        <v/>
      </c>
      <c r="AC137" s="60"/>
      <c r="AD137" s="20"/>
      <c r="AE137" s="20" t="str">
        <f t="shared" si="23"/>
        <v/>
      </c>
      <c r="AF137" s="61" t="str" cm="1">
        <f t="array" ref="AF137">IF(AC137="","",SUMPRODUCT(($F$138:$F$157=AC137)*($G$138:$G$157=IF(AD137="","",AD137))*$P$138:$P$157))</f>
        <v/>
      </c>
    </row>
    <row r="138" spans="1:32">
      <c r="A138" s="1" t="s">
        <v>137</v>
      </c>
      <c r="B138" t="str">
        <f t="shared" si="20"/>
        <v>¬</v>
      </c>
      <c r="D138" s="19"/>
      <c r="E138" s="15" t="s">
        <v>176</v>
      </c>
      <c r="F138" s="3" t="s">
        <v>412</v>
      </c>
      <c r="G138" s="3" t="s">
        <v>528</v>
      </c>
      <c r="H138" s="67" t="str">
        <f>IFERROR(IF(VLOOKUP(F138,tblManoeuvre[],8,FALSE)=0,"None",VLOOKUP(F138,tblManoeuvre[],8,FALSE)),"None")</f>
        <v>None</v>
      </c>
      <c r="I138" s="67"/>
      <c r="L138" s="4">
        <v>3</v>
      </c>
      <c r="M138" s="4"/>
      <c r="N138" s="4"/>
      <c r="O138" s="61">
        <f t="shared" ref="O138:O157" si="24">N138</f>
        <v>0</v>
      </c>
      <c r="P138" s="60">
        <f t="shared" ref="P138:P157" si="25">MIN(SUM(L138,M138,O138),R138)</f>
        <v>3</v>
      </c>
      <c r="Q138" s="61">
        <f>_xlfn.IFNA(VLOOKUP($F138,tblInfluence[],3,FALSE),"")</f>
        <v>1</v>
      </c>
      <c r="R138" s="61">
        <f>_xlfn.IFNA(VLOOKUP($F138,tblInfluence[],4,FALSE),"")</f>
        <v>5</v>
      </c>
      <c r="Y138" s="15" t="s">
        <v>180</v>
      </c>
      <c r="Z138" s="19"/>
      <c r="AA138" s="61" t="str">
        <f t="shared" si="22"/>
        <v/>
      </c>
      <c r="AC138" s="60"/>
      <c r="AD138" s="20"/>
      <c r="AE138" s="20" t="str">
        <f t="shared" si="23"/>
        <v/>
      </c>
      <c r="AF138" s="61" t="str" cm="1">
        <f t="array" ref="AF138">IF(AC138="","",SUMPRODUCT(($F$138:$F$157=AC138)*($G$138:$G$157=IF(AD138="","",AD138))*$P$138:$P$157))</f>
        <v/>
      </c>
    </row>
    <row r="139" spans="1:32">
      <c r="A139" s="1" t="s">
        <v>138</v>
      </c>
      <c r="B139" t="str">
        <f t="shared" si="20"/>
        <v>¬</v>
      </c>
      <c r="D139" s="61" t="s">
        <v>1664</v>
      </c>
      <c r="E139" s="15" t="s">
        <v>177</v>
      </c>
      <c r="F139" s="3" t="s">
        <v>413</v>
      </c>
      <c r="G139" s="3" t="s">
        <v>946</v>
      </c>
      <c r="H139" s="67" t="str">
        <f>IFERROR(IF(VLOOKUP(F139,tblManoeuvre[],8,FALSE)=0,"None",VLOOKUP(F139,tblManoeuvre[],8,FALSE)),"None")</f>
        <v>None</v>
      </c>
      <c r="I139" s="67"/>
      <c r="L139" s="4"/>
      <c r="M139" s="4">
        <v>2</v>
      </c>
      <c r="N139" s="4"/>
      <c r="O139" s="61">
        <f t="shared" si="24"/>
        <v>0</v>
      </c>
      <c r="P139" s="60">
        <f t="shared" si="25"/>
        <v>2</v>
      </c>
      <c r="Q139" s="61">
        <f>_xlfn.IFNA(VLOOKUP($F139,tblInfluence[],3,FALSE),"")</f>
        <v>1</v>
      </c>
      <c r="R139" s="61">
        <f>_xlfn.IFNA(VLOOKUP($F139,tblInfluence[],4,FALSE),"")</f>
        <v>5</v>
      </c>
      <c r="Y139" s="15" t="s">
        <v>181</v>
      </c>
      <c r="Z139" s="19"/>
      <c r="AA139" s="61" t="str">
        <f t="shared" si="22"/>
        <v/>
      </c>
      <c r="AC139" s="60"/>
      <c r="AD139" s="20"/>
      <c r="AE139" s="20" t="str">
        <f t="shared" si="23"/>
        <v/>
      </c>
      <c r="AF139" s="61" t="str" cm="1">
        <f t="array" ref="AF139">IF(AC139="","",SUMPRODUCT(($F$138:$F$157=AC139)*($G$138:$G$157=IF(AD139="","",AD139))*$P$138:$P$157))</f>
        <v/>
      </c>
    </row>
    <row r="140" spans="1:32">
      <c r="A140" s="1" t="s">
        <v>139</v>
      </c>
      <c r="B140" t="str">
        <f t="shared" si="20"/>
        <v>¬</v>
      </c>
      <c r="D140" s="19"/>
      <c r="E140" s="15" t="s">
        <v>178</v>
      </c>
      <c r="F140" s="3" t="s">
        <v>412</v>
      </c>
      <c r="G140" s="3" t="s">
        <v>415</v>
      </c>
      <c r="H140" s="67" t="str">
        <f>IFERROR(IF(VLOOKUP(F140,tblManoeuvre[],8,FALSE)=0,"None",VLOOKUP(F140,tblManoeuvre[],8,FALSE)),"None")</f>
        <v>None</v>
      </c>
      <c r="I140" s="67"/>
      <c r="L140" s="4">
        <v>1</v>
      </c>
      <c r="M140" s="4"/>
      <c r="N140" s="4"/>
      <c r="O140" s="61">
        <f t="shared" si="24"/>
        <v>0</v>
      </c>
      <c r="P140" s="60">
        <f t="shared" si="25"/>
        <v>1</v>
      </c>
      <c r="Q140" s="61">
        <f>_xlfn.IFNA(VLOOKUP($F140,tblInfluence[],3,FALSE),"")</f>
        <v>1</v>
      </c>
      <c r="R140" s="61">
        <f>_xlfn.IFNA(VLOOKUP($F140,tblInfluence[],4,FALSE),"")</f>
        <v>5</v>
      </c>
      <c r="Y140" s="15" t="s">
        <v>182</v>
      </c>
      <c r="Z140" s="19"/>
      <c r="AA140" s="61" t="str">
        <f t="shared" si="22"/>
        <v/>
      </c>
      <c r="AC140" s="60"/>
      <c r="AD140" s="20"/>
      <c r="AE140" s="20" t="str">
        <f t="shared" si="23"/>
        <v/>
      </c>
      <c r="AF140" s="61" t="str" cm="1">
        <f t="array" ref="AF140">IF(AC140="","",SUMPRODUCT(($F$138:$F$157=AC140)*($G$138:$G$157=IF(AD140="","",AD140))*$P$138:$P$157))</f>
        <v/>
      </c>
    </row>
    <row r="141" spans="1:32">
      <c r="A141" s="1" t="s">
        <v>140</v>
      </c>
      <c r="B141" t="str">
        <f t="shared" si="20"/>
        <v>¬</v>
      </c>
      <c r="D141" s="19"/>
      <c r="E141" s="15" t="s">
        <v>179</v>
      </c>
      <c r="F141" s="3"/>
      <c r="G141" s="3"/>
      <c r="H141" s="67" t="str">
        <f>IFERROR(IF(VLOOKUP(F141,tblManoeuvre[],8,FALSE)=0,"None",VLOOKUP(F141,tblManoeuvre[],8,FALSE)),"None")</f>
        <v>None</v>
      </c>
      <c r="I141" s="67"/>
      <c r="L141" s="4"/>
      <c r="M141" s="4"/>
      <c r="N141" s="4"/>
      <c r="O141" s="61">
        <f t="shared" si="24"/>
        <v>0</v>
      </c>
      <c r="P141" s="60">
        <f t="shared" si="25"/>
        <v>0</v>
      </c>
      <c r="Q141" s="61" t="str">
        <f>_xlfn.IFNA(VLOOKUP($F141,tblInfluence[],3,FALSE),"")</f>
        <v/>
      </c>
      <c r="R141" s="61" t="str">
        <f>_xlfn.IFNA(VLOOKUP($F141,tblInfluence[],4,FALSE),"")</f>
        <v/>
      </c>
      <c r="Y141" s="15" t="s">
        <v>183</v>
      </c>
      <c r="Z141" s="19"/>
      <c r="AA141" s="61" t="str">
        <f t="shared" si="22"/>
        <v/>
      </c>
      <c r="AC141" s="60"/>
      <c r="AD141" s="20"/>
      <c r="AE141" s="20" t="str">
        <f t="shared" si="23"/>
        <v/>
      </c>
      <c r="AF141" s="61" t="str" cm="1">
        <f t="array" ref="AF141">IF(AC141="","",SUMPRODUCT(($F$138:$F$157=AC141)*($G$138:$G$157=IF(AD141="","",AD141))*$P$138:$P$157))</f>
        <v/>
      </c>
    </row>
    <row r="142" spans="1:32">
      <c r="A142" s="1" t="s">
        <v>141</v>
      </c>
      <c r="B142" t="str">
        <f t="shared" si="20"/>
        <v>¬</v>
      </c>
      <c r="D142" s="19"/>
      <c r="E142" s="15" t="s">
        <v>180</v>
      </c>
      <c r="F142" s="3"/>
      <c r="G142" s="3"/>
      <c r="H142" s="67" t="str">
        <f>IFERROR(IF(VLOOKUP(F142,tblManoeuvre[],8,FALSE)=0,"None",VLOOKUP(F142,tblManoeuvre[],8,FALSE)),"None")</f>
        <v>None</v>
      </c>
      <c r="I142" s="67"/>
      <c r="L142" s="4"/>
      <c r="M142" s="4"/>
      <c r="N142" s="4"/>
      <c r="O142" s="61">
        <f t="shared" si="24"/>
        <v>0</v>
      </c>
      <c r="P142" s="60">
        <f t="shared" si="25"/>
        <v>0</v>
      </c>
      <c r="Q142" s="61" t="str">
        <f>_xlfn.IFNA(VLOOKUP($F142,tblInfluence[],3,FALSE),"")</f>
        <v/>
      </c>
      <c r="R142" s="61" t="str">
        <f>_xlfn.IFNA(VLOOKUP($F142,tblInfluence[],4,FALSE),"")</f>
        <v/>
      </c>
      <c r="Y142" s="15" t="s">
        <v>184</v>
      </c>
      <c r="Z142" s="19"/>
      <c r="AA142" s="61" t="str">
        <f t="shared" si="22"/>
        <v/>
      </c>
      <c r="AC142" s="60"/>
      <c r="AD142" s="20"/>
      <c r="AE142" s="20" t="str">
        <f t="shared" si="23"/>
        <v/>
      </c>
      <c r="AF142" s="61" t="str" cm="1">
        <f t="array" ref="AF142">IF(AC142="","",SUMPRODUCT(($F$138:$F$157=AC142)*($G$138:$G$157=IF(AD142="","",AD142))*$P$138:$P$157))</f>
        <v/>
      </c>
    </row>
    <row r="143" spans="1:32">
      <c r="A143" s="1" t="s">
        <v>142</v>
      </c>
      <c r="B143" t="str">
        <f t="shared" si="20"/>
        <v>¬</v>
      </c>
      <c r="D143" s="19"/>
      <c r="E143" s="15" t="s">
        <v>181</v>
      </c>
      <c r="F143" s="3"/>
      <c r="G143" s="3" t="str">
        <f>IFERROR(VLOOKUP(F143,tblManoeuvre[],2,FALSE)&amp;" "&amp;VLOOKUP(F143,tblManoeuvre[],3,FALSE),"")</f>
        <v/>
      </c>
      <c r="H143" s="67" t="str">
        <f>IFERROR(IF(VLOOKUP(F143,tblManoeuvre[],8,FALSE)=0,"None",VLOOKUP(F143,tblManoeuvre[],8,FALSE)),"None")</f>
        <v>None</v>
      </c>
      <c r="I143" s="67"/>
      <c r="L143" s="4"/>
      <c r="M143" s="4"/>
      <c r="N143" s="4"/>
      <c r="O143" s="61">
        <f t="shared" si="24"/>
        <v>0</v>
      </c>
      <c r="P143" s="60">
        <f t="shared" si="25"/>
        <v>0</v>
      </c>
      <c r="Q143" s="61" t="str">
        <f>_xlfn.IFNA(VLOOKUP($F143,tblInfluence[],3,FALSE),"")</f>
        <v/>
      </c>
      <c r="R143" s="61" t="str">
        <f>_xlfn.IFNA(VLOOKUP($F143,tblInfluence[],4,FALSE),"")</f>
        <v/>
      </c>
      <c r="Y143" s="15" t="s">
        <v>185</v>
      </c>
      <c r="Z143" s="19"/>
      <c r="AA143" s="61" t="str">
        <f t="shared" si="22"/>
        <v/>
      </c>
      <c r="AC143" s="60"/>
      <c r="AD143" s="20"/>
      <c r="AE143" s="20" t="str">
        <f t="shared" si="23"/>
        <v/>
      </c>
      <c r="AF143" s="61" t="str" cm="1">
        <f t="array" ref="AF143">IF(AC143="","",SUMPRODUCT(($F$138:$F$157=AC143)*($G$138:$G$157=IF(AD143="","",AD143))*$P$138:$P$157))</f>
        <v/>
      </c>
    </row>
    <row r="144" spans="1:32">
      <c r="A144" s="1" t="s">
        <v>143</v>
      </c>
      <c r="B144" t="str">
        <f t="shared" si="20"/>
        <v>¬</v>
      </c>
      <c r="D144" s="19"/>
      <c r="E144" s="15" t="s">
        <v>182</v>
      </c>
      <c r="F144" s="3"/>
      <c r="G144" s="3"/>
      <c r="H144" s="67" t="str">
        <f>IFERROR(IF(VLOOKUP(F144,tblManoeuvre[],8,FALSE)=0,"None",VLOOKUP(F144,tblManoeuvre[],8,FALSE)),"None")</f>
        <v>None</v>
      </c>
      <c r="I144" s="67"/>
      <c r="L144" s="4"/>
      <c r="M144" s="4"/>
      <c r="N144" s="4"/>
      <c r="O144" s="61">
        <f t="shared" si="24"/>
        <v>0</v>
      </c>
      <c r="P144" s="60">
        <f t="shared" si="25"/>
        <v>0</v>
      </c>
      <c r="Q144" s="61" t="str">
        <f>_xlfn.IFNA(VLOOKUP($F144,tblInfluence[],3,FALSE),"")</f>
        <v/>
      </c>
      <c r="R144" s="61" t="str">
        <f>_xlfn.IFNA(VLOOKUP($F144,tblInfluence[],4,FALSE),"")</f>
        <v/>
      </c>
      <c r="Y144" s="15" t="s">
        <v>186</v>
      </c>
      <c r="Z144" s="19"/>
      <c r="AA144" s="61" t="str">
        <f t="shared" si="22"/>
        <v/>
      </c>
      <c r="AC144" s="60"/>
      <c r="AD144" s="20"/>
      <c r="AE144" s="20" t="str">
        <f t="shared" si="23"/>
        <v/>
      </c>
      <c r="AF144" s="61" t="str" cm="1">
        <f t="array" ref="AF144">IF(AC144="","",SUMPRODUCT(($F$138:$F$157=AC144)*($G$138:$G$157=IF(AD144="","",AD144))*$P$138:$P$157))</f>
        <v/>
      </c>
    </row>
    <row r="145" spans="1:32">
      <c r="A145" s="1" t="s">
        <v>144</v>
      </c>
      <c r="B145" t="str">
        <f t="shared" ref="B145:B174" si="26">IF(AF2="","¬",AF2)</f>
        <v>+2 bonus to all overpower rolls once Hold established.</v>
      </c>
      <c r="D145" s="19"/>
      <c r="E145" s="15" t="s">
        <v>183</v>
      </c>
      <c r="F145" s="3"/>
      <c r="G145" s="3" t="str">
        <f>IFERROR(VLOOKUP(F145,tblManoeuvre[],2,FALSE)&amp;" "&amp;VLOOKUP(F145,tblManoeuvre[],3,FALSE),"")</f>
        <v/>
      </c>
      <c r="H145" s="67" t="str">
        <f>IFERROR(IF(VLOOKUP(F145,tblManoeuvre[],8,FALSE)=0,"None",VLOOKUP(F145,tblManoeuvre[],8,FALSE)),"None")</f>
        <v>None</v>
      </c>
      <c r="I145" s="67"/>
      <c r="L145" s="4"/>
      <c r="M145" s="4"/>
      <c r="N145" s="4"/>
      <c r="O145" s="61">
        <f t="shared" si="24"/>
        <v>0</v>
      </c>
      <c r="P145" s="60">
        <f t="shared" si="25"/>
        <v>0</v>
      </c>
      <c r="Q145" s="61" t="str">
        <f>_xlfn.IFNA(VLOOKUP($F145,tblInfluence[],3,FALSE),"")</f>
        <v/>
      </c>
      <c r="R145" s="61" t="str">
        <f>_xlfn.IFNA(VLOOKUP($F145,tblInfluence[],4,FALSE),"")</f>
        <v/>
      </c>
      <c r="Y145" s="15" t="s">
        <v>187</v>
      </c>
      <c r="Z145" s="19"/>
      <c r="AA145" s="61" t="str">
        <f t="shared" si="22"/>
        <v/>
      </c>
      <c r="AC145" s="60"/>
      <c r="AD145" s="20"/>
      <c r="AE145" s="20" t="str">
        <f t="shared" si="23"/>
        <v/>
      </c>
      <c r="AF145" s="61" t="str" cm="1">
        <f t="array" ref="AF145">IF(AC145="","",SUMPRODUCT(($F$138:$F$157=AC145)*($G$138:$G$157=IF(AD145="","",AD145))*$P$138:$P$157))</f>
        <v/>
      </c>
    </row>
    <row r="146" spans="1:32">
      <c r="A146" s="1" t="s">
        <v>145</v>
      </c>
      <c r="B146" t="str">
        <f t="shared" si="26"/>
        <v>Reduce successes to disarm or control your weapon by Weaponry (or Brawl for Brawling weapons).</v>
      </c>
      <c r="D146" s="19"/>
      <c r="E146" s="15" t="s">
        <v>184</v>
      </c>
      <c r="F146" s="3"/>
      <c r="G146" s="3" t="str">
        <f>IFERROR(VLOOKUP(F146,tblManoeuvre[],2,FALSE)&amp;" "&amp;VLOOKUP(F146,tblManoeuvre[],3,FALSE),"")</f>
        <v/>
      </c>
      <c r="H146" s="67" t="str">
        <f>IFERROR(IF(VLOOKUP(F146,tblManoeuvre[],8,FALSE)=0,"None",VLOOKUP(F146,tblManoeuvre[],8,FALSE)),"None")</f>
        <v>None</v>
      </c>
      <c r="I146" s="67"/>
      <c r="L146" s="4"/>
      <c r="M146" s="4"/>
      <c r="N146" s="4"/>
      <c r="O146" s="61">
        <f t="shared" si="24"/>
        <v>0</v>
      </c>
      <c r="P146" s="60">
        <f t="shared" si="25"/>
        <v>0</v>
      </c>
      <c r="Q146" s="61" t="str">
        <f>_xlfn.IFNA(VLOOKUP($F146,tblInfluence[],3,FALSE),"")</f>
        <v/>
      </c>
      <c r="R146" s="61" t="str">
        <f>_xlfn.IFNA(VLOOKUP($F146,tblInfluence[],4,FALSE),"")</f>
        <v/>
      </c>
      <c r="Y146" s="15" t="s">
        <v>188</v>
      </c>
      <c r="Z146" s="19"/>
      <c r="AA146" s="61" t="str">
        <f t="shared" si="22"/>
        <v/>
      </c>
      <c r="AC146" s="60"/>
      <c r="AD146" s="20"/>
      <c r="AE146" s="20" t="str">
        <f t="shared" si="23"/>
        <v/>
      </c>
      <c r="AF146" s="61" t="str" cm="1">
        <f t="array" ref="AF146">IF(AC146="","",SUMPRODUCT(($F$138:$F$157=AC146)*($G$138:$G$157=IF(AD146="","",AD146))*$P$138:$P$157))</f>
        <v/>
      </c>
    </row>
    <row r="147" spans="1:32">
      <c r="A147" s="1" t="s">
        <v>146</v>
      </c>
      <c r="B147" t="str">
        <f t="shared" si="26"/>
        <v>¬</v>
      </c>
      <c r="D147" s="19"/>
      <c r="E147" s="15" t="s">
        <v>185</v>
      </c>
      <c r="F147" s="3"/>
      <c r="G147" s="3" t="str">
        <f>IFERROR(VLOOKUP(F147,tblManoeuvre[],2,FALSE)&amp;" "&amp;VLOOKUP(F147,tblManoeuvre[],3,FALSE),"")</f>
        <v/>
      </c>
      <c r="H147" s="67" t="str">
        <f>IFERROR(IF(VLOOKUP(F147,tblManoeuvre[],8,FALSE)=0,"None",VLOOKUP(F147,tblManoeuvre[],8,FALSE)),"None")</f>
        <v>None</v>
      </c>
      <c r="I147" s="67"/>
      <c r="L147" s="4"/>
      <c r="M147" s="4"/>
      <c r="N147" s="4"/>
      <c r="O147" s="61">
        <f t="shared" si="24"/>
        <v>0</v>
      </c>
      <c r="P147" s="60">
        <f t="shared" si="25"/>
        <v>0</v>
      </c>
      <c r="Q147" s="61" t="str">
        <f>_xlfn.IFNA(VLOOKUP($F147,tblInfluence[],3,FALSE),"")</f>
        <v/>
      </c>
      <c r="R147" s="61" t="str">
        <f>_xlfn.IFNA(VLOOKUP($F147,tblInfluence[],4,FALSE),"")</f>
        <v/>
      </c>
      <c r="Y147" s="15" t="s">
        <v>189</v>
      </c>
      <c r="Z147" s="19"/>
      <c r="AA147" s="61" t="str">
        <f t="shared" si="22"/>
        <v/>
      </c>
      <c r="AC147" s="60"/>
      <c r="AD147" s="20"/>
      <c r="AE147" s="20" t="str">
        <f t="shared" si="23"/>
        <v/>
      </c>
      <c r="AF147" s="61" t="str" cm="1">
        <f t="array" ref="AF147">IF(AC147="","",SUMPRODUCT(($F$138:$F$157=AC147)*($G$138:$G$157=IF(AD147="","",AD147))*$P$138:$P$157))</f>
        <v/>
      </c>
    </row>
    <row r="148" spans="1:32">
      <c r="A148" s="1" t="s">
        <v>147</v>
      </c>
      <c r="B148" t="str">
        <f t="shared" si="26"/>
        <v>¬</v>
      </c>
      <c r="D148" s="19"/>
      <c r="E148" s="15" t="s">
        <v>186</v>
      </c>
      <c r="F148" s="3"/>
      <c r="G148" s="3" t="str">
        <f>IFERROR(VLOOKUP(F148,tblManoeuvre[],2,FALSE)&amp;" "&amp;VLOOKUP(F148,tblManoeuvre[],3,FALSE),"")</f>
        <v/>
      </c>
      <c r="H148" s="67" t="str">
        <f>IFERROR(IF(VLOOKUP(F148,tblManoeuvre[],8,FALSE)=0,"None",VLOOKUP(F148,tblManoeuvre[],8,FALSE)),"None")</f>
        <v>None</v>
      </c>
      <c r="I148" s="67"/>
      <c r="L148" s="4"/>
      <c r="M148" s="4"/>
      <c r="N148" s="4"/>
      <c r="O148" s="61">
        <f t="shared" si="24"/>
        <v>0</v>
      </c>
      <c r="P148" s="60">
        <f t="shared" si="25"/>
        <v>0</v>
      </c>
      <c r="Q148" s="61" t="str">
        <f>_xlfn.IFNA(VLOOKUP($F148,tblInfluence[],3,FALSE),"")</f>
        <v/>
      </c>
      <c r="R148" s="61" t="str">
        <f>_xlfn.IFNA(VLOOKUP($F148,tblInfluence[],4,FALSE),"")</f>
        <v/>
      </c>
      <c r="Y148" s="15" t="s">
        <v>190</v>
      </c>
      <c r="Z148" s="19"/>
      <c r="AA148" s="61" t="str">
        <f t="shared" si="22"/>
        <v/>
      </c>
      <c r="AC148" s="60"/>
      <c r="AD148" s="20"/>
      <c r="AE148" s="20" t="str">
        <f t="shared" si="23"/>
        <v/>
      </c>
      <c r="AF148" s="61" t="str" cm="1">
        <f t="array" ref="AF148">IF(AC148="","",SUMPRODUCT(($F$138:$F$157=AC148)*($G$138:$G$157=IF(AD148="","",AD148))*$P$138:$P$157))</f>
        <v/>
      </c>
    </row>
    <row r="149" spans="1:32">
      <c r="A149" s="1" t="s">
        <v>148</v>
      </c>
      <c r="B149" t="str">
        <f t="shared" si="26"/>
        <v>¬</v>
      </c>
      <c r="D149" s="19"/>
      <c r="E149" s="15" t="s">
        <v>187</v>
      </c>
      <c r="F149" s="3"/>
      <c r="G149" s="3" t="str">
        <f>IFERROR(VLOOKUP(F149,tblManoeuvre[],2,FALSE)&amp;" "&amp;VLOOKUP(F149,tblManoeuvre[],3,FALSE),"")</f>
        <v/>
      </c>
      <c r="H149" s="67" t="str">
        <f>IFERROR(IF(VLOOKUP(F149,tblManoeuvre[],8,FALSE)=0,"None",VLOOKUP(F149,tblManoeuvre[],8,FALSE)),"None")</f>
        <v>None</v>
      </c>
      <c r="I149" s="67"/>
      <c r="L149" s="4"/>
      <c r="M149" s="4"/>
      <c r="N149" s="4"/>
      <c r="O149" s="61">
        <f t="shared" si="24"/>
        <v>0</v>
      </c>
      <c r="P149" s="60">
        <f t="shared" si="25"/>
        <v>0</v>
      </c>
      <c r="Q149" s="61" t="str">
        <f>_xlfn.IFNA(VLOOKUP($F149,tblInfluence[],3,FALSE),"")</f>
        <v/>
      </c>
      <c r="R149" s="61" t="str">
        <f>_xlfn.IFNA(VLOOKUP($F149,tblInfluence[],4,FALSE),"")</f>
        <v/>
      </c>
      <c r="Y149" s="15" t="s">
        <v>191</v>
      </c>
      <c r="Z149" s="19"/>
      <c r="AA149" s="61" t="str">
        <f t="shared" si="22"/>
        <v/>
      </c>
      <c r="AC149" s="60"/>
      <c r="AD149" s="20"/>
      <c r="AE149" s="20" t="str">
        <f t="shared" si="23"/>
        <v/>
      </c>
      <c r="AF149" s="61" t="str" cm="1">
        <f t="array" ref="AF149">IF(AC149="","",SUMPRODUCT(($F$138:$F$157=AC149)*($G$138:$G$157=IF(AD149="","",AD149))*$P$138:$P$157))</f>
        <v/>
      </c>
    </row>
    <row r="150" spans="1:32">
      <c r="A150" s="1" t="s">
        <v>149</v>
      </c>
      <c r="B150" t="str">
        <f t="shared" si="26"/>
        <v>¬</v>
      </c>
      <c r="D150" s="19"/>
      <c r="E150" s="15" t="s">
        <v>188</v>
      </c>
      <c r="F150" s="3"/>
      <c r="G150" s="3" t="str">
        <f>IFERROR(VLOOKUP(F150,tblManoeuvre[],2,FALSE)&amp;" "&amp;VLOOKUP(F150,tblManoeuvre[],3,FALSE),"")</f>
        <v/>
      </c>
      <c r="H150" s="67" t="str">
        <f>IFERROR(IF(VLOOKUP(F150,tblManoeuvre[],8,FALSE)=0,"None",VLOOKUP(F150,tblManoeuvre[],8,FALSE)),"None")</f>
        <v>None</v>
      </c>
      <c r="I150" s="67"/>
      <c r="L150" s="4"/>
      <c r="M150" s="4"/>
      <c r="N150" s="4"/>
      <c r="O150" s="61">
        <f t="shared" si="24"/>
        <v>0</v>
      </c>
      <c r="P150" s="60">
        <f t="shared" si="25"/>
        <v>0</v>
      </c>
      <c r="Q150" s="61" t="str">
        <f>_xlfn.IFNA(VLOOKUP($F150,tblInfluence[],3,FALSE),"")</f>
        <v/>
      </c>
      <c r="R150" s="61" t="str">
        <f>_xlfn.IFNA(VLOOKUP($F150,tblInfluence[],4,FALSE),"")</f>
        <v/>
      </c>
      <c r="Y150" s="15" t="s">
        <v>192</v>
      </c>
      <c r="Z150" s="19"/>
      <c r="AA150" s="61" t="str">
        <f t="shared" si="22"/>
        <v/>
      </c>
      <c r="AC150" s="60"/>
      <c r="AD150" s="20"/>
      <c r="AE150" s="20" t="str">
        <f t="shared" si="23"/>
        <v/>
      </c>
      <c r="AF150" s="61" t="str" cm="1">
        <f t="array" ref="AF150">IF(AC150="","",SUMPRODUCT(($F$138:$F$157=AC150)*($G$138:$G$157=IF(AD150="","",AD150))*$P$138:$P$157))</f>
        <v/>
      </c>
    </row>
    <row r="151" spans="1:32">
      <c r="A151" s="1" t="s">
        <v>150</v>
      </c>
      <c r="B151" t="str">
        <f t="shared" si="26"/>
        <v>¬</v>
      </c>
      <c r="D151" s="19"/>
      <c r="E151" s="15" t="s">
        <v>189</v>
      </c>
      <c r="F151" s="3"/>
      <c r="G151" s="3" t="str">
        <f>IFERROR(VLOOKUP(F151,tblManoeuvre[],2,FALSE)&amp;" "&amp;VLOOKUP(F151,tblManoeuvre[],3,FALSE),"")</f>
        <v/>
      </c>
      <c r="H151" s="67" t="str">
        <f>IFERROR(IF(VLOOKUP(F151,tblManoeuvre[],8,FALSE)=0,"None",VLOOKUP(F151,tblManoeuvre[],8,FALSE)),"None")</f>
        <v>None</v>
      </c>
      <c r="I151" s="67"/>
      <c r="L151" s="4"/>
      <c r="M151" s="4"/>
      <c r="N151" s="4"/>
      <c r="O151" s="61">
        <f t="shared" si="24"/>
        <v>0</v>
      </c>
      <c r="P151" s="60">
        <f t="shared" si="25"/>
        <v>0</v>
      </c>
      <c r="Q151" s="61" t="str">
        <f>_xlfn.IFNA(VLOOKUP($F151,tblInfluence[],3,FALSE),"")</f>
        <v/>
      </c>
      <c r="R151" s="61" t="str">
        <f>_xlfn.IFNA(VLOOKUP($F151,tblInfluence[],4,FALSE),"")</f>
        <v/>
      </c>
      <c r="Y151" s="15" t="s">
        <v>193</v>
      </c>
      <c r="Z151" s="19"/>
      <c r="AA151" s="61" t="str">
        <f t="shared" si="22"/>
        <v/>
      </c>
      <c r="AC151" s="60"/>
      <c r="AD151" s="20"/>
      <c r="AE151" s="20" t="str">
        <f t="shared" si="23"/>
        <v/>
      </c>
      <c r="AF151" s="61" t="str" cm="1">
        <f t="array" ref="AF151">IF(AC151="","",SUMPRODUCT(($F$138:$F$157=AC151)*($G$138:$G$157=IF(AD151="","",AD151))*$P$138:$P$157))</f>
        <v/>
      </c>
    </row>
    <row r="152" spans="1:32">
      <c r="A152" s="1" t="s">
        <v>151</v>
      </c>
      <c r="B152" t="str">
        <f t="shared" si="26"/>
        <v>¬</v>
      </c>
      <c r="D152" s="19"/>
      <c r="E152" s="15" t="s">
        <v>190</v>
      </c>
      <c r="F152" s="3"/>
      <c r="G152" s="3" t="str">
        <f>IFERROR(VLOOKUP(F152,tblManoeuvre[],2,FALSE)&amp;" "&amp;VLOOKUP(F152,tblManoeuvre[],3,FALSE),"")</f>
        <v/>
      </c>
      <c r="H152" s="67" t="str">
        <f>IFERROR(IF(VLOOKUP(F152,tblManoeuvre[],8,FALSE)=0,"None",VLOOKUP(F152,tblManoeuvre[],8,FALSE)),"None")</f>
        <v>None</v>
      </c>
      <c r="I152" s="67"/>
      <c r="L152" s="4"/>
      <c r="M152" s="4"/>
      <c r="N152" s="4"/>
      <c r="O152" s="61">
        <f t="shared" si="24"/>
        <v>0</v>
      </c>
      <c r="P152" s="60">
        <f t="shared" si="25"/>
        <v>0</v>
      </c>
      <c r="Q152" s="61" t="str">
        <f>_xlfn.IFNA(VLOOKUP($F152,tblInfluence[],3,FALSE),"")</f>
        <v/>
      </c>
      <c r="R152" s="61" t="str">
        <f>_xlfn.IFNA(VLOOKUP($F152,tblInfluence[],4,FALSE),"")</f>
        <v/>
      </c>
      <c r="Y152" s="15" t="s">
        <v>194</v>
      </c>
      <c r="Z152" s="19"/>
      <c r="AA152" s="61" t="str">
        <f t="shared" si="22"/>
        <v/>
      </c>
      <c r="AC152" s="60"/>
      <c r="AD152" s="20"/>
      <c r="AE152" s="20" t="str">
        <f t="shared" si="23"/>
        <v/>
      </c>
      <c r="AF152" s="61" t="str" cm="1">
        <f t="array" ref="AF152">IF(AC152="","",SUMPRODUCT(($F$138:$F$157=AC152)*($G$138:$G$157=IF(AD152="","",AD152))*$P$138:$P$157))</f>
        <v/>
      </c>
    </row>
    <row r="153" spans="1:32">
      <c r="A153" s="1" t="s">
        <v>152</v>
      </c>
      <c r="B153" t="str">
        <f t="shared" si="26"/>
        <v>¬</v>
      </c>
      <c r="D153" s="19"/>
      <c r="E153" s="15" t="s">
        <v>191</v>
      </c>
      <c r="F153" s="3"/>
      <c r="G153" s="3" t="str">
        <f>IFERROR(VLOOKUP(F153,tblManoeuvre[],2,FALSE)&amp;" "&amp;VLOOKUP(F153,tblManoeuvre[],3,FALSE),"")</f>
        <v/>
      </c>
      <c r="H153" s="67" t="str">
        <f>IFERROR(IF(VLOOKUP(F153,tblManoeuvre[],8,FALSE)=0,"None",VLOOKUP(F153,tblManoeuvre[],8,FALSE)),"None")</f>
        <v>None</v>
      </c>
      <c r="I153" s="67"/>
      <c r="L153" s="4"/>
      <c r="M153" s="4"/>
      <c r="N153" s="4"/>
      <c r="O153" s="61">
        <f t="shared" si="24"/>
        <v>0</v>
      </c>
      <c r="P153" s="60">
        <f t="shared" si="25"/>
        <v>0</v>
      </c>
      <c r="Q153" s="61" t="str">
        <f>_xlfn.IFNA(VLOOKUP($F153,tblInfluence[],3,FALSE),"")</f>
        <v/>
      </c>
      <c r="R153" s="61" t="str">
        <f>_xlfn.IFNA(VLOOKUP($F153,tblInfluence[],4,FALSE),"")</f>
        <v/>
      </c>
      <c r="Y153" s="15" t="s">
        <v>195</v>
      </c>
      <c r="Z153" s="19"/>
      <c r="AA153" s="61" t="str">
        <f t="shared" si="22"/>
        <v/>
      </c>
      <c r="AC153" s="60"/>
      <c r="AD153" s="20"/>
      <c r="AE153" s="20" t="str">
        <f t="shared" si="23"/>
        <v/>
      </c>
      <c r="AF153" s="61" t="str" cm="1">
        <f t="array" ref="AF153">IF(AC153="","",SUMPRODUCT(($F$138:$F$157=AC153)*($G$138:$G$157=IF(AD153="","",AD153))*$P$138:$P$157))</f>
        <v/>
      </c>
    </row>
    <row r="154" spans="1:32">
      <c r="A154" s="1" t="s">
        <v>153</v>
      </c>
      <c r="B154" t="str">
        <f t="shared" si="26"/>
        <v>¬</v>
      </c>
      <c r="D154" s="19"/>
      <c r="E154" s="15" t="s">
        <v>192</v>
      </c>
      <c r="F154" s="3"/>
      <c r="G154" s="3" t="str">
        <f>IFERROR(VLOOKUP(F154,tblManoeuvre[],2,FALSE)&amp;" "&amp;VLOOKUP(F154,tblManoeuvre[],3,FALSE),"")</f>
        <v/>
      </c>
      <c r="H154" s="67" t="str">
        <f>IFERROR(IF(VLOOKUP(F154,tblManoeuvre[],8,FALSE)=0,"None",VLOOKUP(F154,tblManoeuvre[],8,FALSE)),"None")</f>
        <v>None</v>
      </c>
      <c r="I154" s="67"/>
      <c r="L154" s="4"/>
      <c r="M154" s="4"/>
      <c r="N154" s="4"/>
      <c r="O154" s="61">
        <f t="shared" si="24"/>
        <v>0</v>
      </c>
      <c r="P154" s="60">
        <f t="shared" si="25"/>
        <v>0</v>
      </c>
      <c r="Q154" s="61" t="str">
        <f>_xlfn.IFNA(VLOOKUP($F154,tblInfluence[],3,FALSE),"")</f>
        <v/>
      </c>
      <c r="R154" s="61" t="str">
        <f>_xlfn.IFNA(VLOOKUP($F154,tblInfluence[],4,FALSE),"")</f>
        <v/>
      </c>
    </row>
    <row r="155" spans="1:32">
      <c r="A155" s="1" t="s">
        <v>154</v>
      </c>
      <c r="B155" t="str">
        <f t="shared" si="26"/>
        <v>¬</v>
      </c>
      <c r="D155" s="19"/>
      <c r="E155" s="15" t="s">
        <v>193</v>
      </c>
      <c r="F155" s="3"/>
      <c r="G155" s="3" t="str">
        <f>IFERROR(VLOOKUP(F155,tblManoeuvre[],2,FALSE)&amp;" "&amp;VLOOKUP(F155,tblManoeuvre[],3,FALSE),"")</f>
        <v/>
      </c>
      <c r="H155" s="67" t="str">
        <f>IFERROR(IF(VLOOKUP(F155,tblManoeuvre[],8,FALSE)=0,"None",VLOOKUP(F155,tblManoeuvre[],8,FALSE)),"None")</f>
        <v>None</v>
      </c>
      <c r="I155" s="67"/>
      <c r="L155" s="4"/>
      <c r="M155" s="4"/>
      <c r="N155" s="4"/>
      <c r="O155" s="61">
        <f t="shared" si="24"/>
        <v>0</v>
      </c>
      <c r="P155" s="60">
        <f t="shared" si="25"/>
        <v>0</v>
      </c>
      <c r="Q155" s="61" t="str">
        <f>_xlfn.IFNA(VLOOKUP($F155,tblInfluence[],3,FALSE),"")</f>
        <v/>
      </c>
      <c r="R155" s="61" t="str">
        <f>_xlfn.IFNA(VLOOKUP($F155,tblInfluence[],4,FALSE),"")</f>
        <v/>
      </c>
      <c r="AE155" s="61">
        <f>IF(P160=5,1,0)</f>
        <v>0</v>
      </c>
    </row>
    <row r="156" spans="1:32">
      <c r="A156" s="1" t="s">
        <v>155</v>
      </c>
      <c r="B156" t="str">
        <f t="shared" si="26"/>
        <v>¬</v>
      </c>
      <c r="D156" s="19"/>
      <c r="E156" s="15" t="s">
        <v>194</v>
      </c>
      <c r="F156" s="3"/>
      <c r="G156" s="3" t="str">
        <f>IFERROR(VLOOKUP(F156,tblManoeuvre[],2,FALSE)&amp;" "&amp;VLOOKUP(F156,tblManoeuvre[],3,FALSE),"")</f>
        <v/>
      </c>
      <c r="H156" s="67" t="str">
        <f>IFERROR(IF(VLOOKUP(F156,tblManoeuvre[],8,FALSE)=0,"None",VLOOKUP(F156,tblManoeuvre[],8,FALSE)),"None")</f>
        <v>None</v>
      </c>
      <c r="I156" s="67"/>
      <c r="L156" s="4"/>
      <c r="M156" s="4"/>
      <c r="N156" s="4"/>
      <c r="O156" s="61">
        <f t="shared" si="24"/>
        <v>0</v>
      </c>
      <c r="P156" s="60">
        <f t="shared" si="25"/>
        <v>0</v>
      </c>
      <c r="Q156" s="61" t="str">
        <f>_xlfn.IFNA(VLOOKUP($F156,tblInfluence[],3,FALSE),"")</f>
        <v/>
      </c>
      <c r="R156" s="61" t="str">
        <f>_xlfn.IFNA(VLOOKUP($F156,tblInfluence[],4,FALSE),"")</f>
        <v/>
      </c>
      <c r="AE156" s="61" t="b">
        <f>COUNTIF(AA2:AA21,"*Honey With Vinegar*")&gt;0</f>
        <v>0</v>
      </c>
    </row>
    <row r="157" spans="1:32">
      <c r="A157" s="1" t="s">
        <v>156</v>
      </c>
      <c r="B157" t="str">
        <f t="shared" si="26"/>
        <v>¬</v>
      </c>
      <c r="D157" s="19"/>
      <c r="E157" s="15" t="s">
        <v>195</v>
      </c>
      <c r="F157" s="3"/>
      <c r="G157" s="3" t="str">
        <f>IFERROR(VLOOKUP(F157,tblManoeuvre[],2,FALSE)&amp;" "&amp;VLOOKUP(F157,tblManoeuvre[],3,FALSE),"")</f>
        <v/>
      </c>
      <c r="H157" s="67" t="str">
        <f>IFERROR(IF(VLOOKUP(F157,tblManoeuvre[],8,FALSE)=0,"None",VLOOKUP(F157,tblManoeuvre[],8,FALSE)),"None")</f>
        <v>None</v>
      </c>
      <c r="I157" s="67"/>
      <c r="L157" s="4"/>
      <c r="M157" s="4"/>
      <c r="N157" s="4"/>
      <c r="O157" s="61">
        <f t="shared" si="24"/>
        <v>0</v>
      </c>
      <c r="P157" s="60">
        <f t="shared" si="25"/>
        <v>0</v>
      </c>
      <c r="Q157" s="61" t="str">
        <f>_xlfn.IFNA(VLOOKUP($F157,tblInfluence[],3,FALSE),"")</f>
        <v/>
      </c>
      <c r="R157" s="61" t="str">
        <f>_xlfn.IFNA(VLOOKUP($F157,tblInfluence[],4,FALSE),"")</f>
        <v/>
      </c>
    </row>
    <row r="158" spans="1:32">
      <c r="A158" s="1" t="s">
        <v>157</v>
      </c>
      <c r="B158" t="str">
        <f t="shared" si="26"/>
        <v>¬</v>
      </c>
    </row>
    <row r="159" spans="1:32">
      <c r="A159" s="1" t="s">
        <v>158</v>
      </c>
      <c r="B159" t="str">
        <f t="shared" si="26"/>
        <v>¬</v>
      </c>
      <c r="D159" s="16" t="s">
        <v>1486</v>
      </c>
      <c r="E159" s="17"/>
      <c r="F159" s="17" t="s">
        <v>1487</v>
      </c>
      <c r="G159" s="17"/>
      <c r="H159" s="17"/>
      <c r="I159" s="17"/>
    </row>
    <row r="160" spans="1:32">
      <c r="A160" s="1" t="s">
        <v>159</v>
      </c>
      <c r="B160" t="str">
        <f t="shared" si="26"/>
        <v>¬</v>
      </c>
      <c r="D160" s="19"/>
      <c r="E160" s="15" t="s">
        <v>98</v>
      </c>
      <c r="F160" s="3"/>
      <c r="G160" s="60"/>
      <c r="H160" s="60"/>
      <c r="I160" s="60"/>
      <c r="L160" s="4"/>
      <c r="M160" s="4"/>
      <c r="N160" s="4"/>
      <c r="O160" s="61">
        <f>N160</f>
        <v>0</v>
      </c>
      <c r="P160" s="60">
        <f>MIN(SUM(L160,M160,O160),R160)</f>
        <v>0</v>
      </c>
      <c r="Q160" s="61">
        <v>1</v>
      </c>
      <c r="R160" s="61">
        <v>5</v>
      </c>
    </row>
    <row r="161" spans="1:18">
      <c r="A161" s="1" t="s">
        <v>160</v>
      </c>
      <c r="B161" t="str">
        <f t="shared" si="26"/>
        <v>¬</v>
      </c>
      <c r="D161" s="19"/>
      <c r="E161" s="15" t="s">
        <v>100</v>
      </c>
      <c r="F161" s="3" t="s">
        <v>528</v>
      </c>
      <c r="G161" s="60"/>
      <c r="H161" s="60"/>
      <c r="I161" s="60"/>
      <c r="L161" s="4"/>
      <c r="M161" s="4"/>
      <c r="N161" s="4">
        <v>4</v>
      </c>
      <c r="O161" s="61">
        <f>N161</f>
        <v>4</v>
      </c>
      <c r="P161" s="60">
        <f>MIN(SUM(L161,M161,O161),R161)</f>
        <v>4</v>
      </c>
      <c r="Q161" s="61">
        <v>1</v>
      </c>
      <c r="R161" s="61">
        <v>5</v>
      </c>
    </row>
    <row r="162" spans="1:18">
      <c r="A162" s="1" t="s">
        <v>161</v>
      </c>
      <c r="B162" t="str">
        <f t="shared" si="26"/>
        <v>¬</v>
      </c>
    </row>
    <row r="163" spans="1:18" ht="15.75" thickBot="1">
      <c r="A163" s="1" t="s">
        <v>162</v>
      </c>
      <c r="B163" t="str">
        <f t="shared" si="26"/>
        <v>¬</v>
      </c>
      <c r="D163" s="14" t="s">
        <v>1488</v>
      </c>
      <c r="E163" s="14"/>
      <c r="F163" s="14"/>
      <c r="G163" s="14"/>
      <c r="H163" s="14"/>
      <c r="I163" s="14"/>
      <c r="N163" s="60">
        <f>SUM(N165:N174)+SUM(N177:N181)+SUM(N184:N185)+SUM(N187:N191)+SUM(N194:N203)</f>
        <v>0</v>
      </c>
    </row>
    <row r="164" spans="1:18">
      <c r="A164" s="1" t="s">
        <v>163</v>
      </c>
      <c r="B164" t="str">
        <f t="shared" si="26"/>
        <v>¬</v>
      </c>
      <c r="D164" s="16" t="s">
        <v>1489</v>
      </c>
      <c r="E164" s="15" t="s">
        <v>1490</v>
      </c>
      <c r="F164" s="61" t="str">
        <f>IFERROR(IF($F$8="",VLOOKUP($F$7,tblClans[],5,FALSE),VLOOKUP($F$8,tblBloodlines[],5,FALSE)),"")</f>
        <v>Celerity</v>
      </c>
      <c r="G164" s="61" t="str">
        <f>IFERROR(IF($F$8="",VLOOKUP($F$7,tblClans[],6,FALSE),VLOOKUP($F$8,tblBloodlines[],6,FALSE)),"")</f>
        <v>Majesty</v>
      </c>
      <c r="H164" s="61" t="str">
        <f>IFERROR(IF($F$8="",VLOOKUP($F$7,tblClans[],7,FALSE),VLOOKUP($F$8,tblBloodlines[],7,FALSE)),"")</f>
        <v>Vigour</v>
      </c>
      <c r="I164" s="61" t="str">
        <f>IFERROR(IF($F$8="",VLOOKUP($F$7,tblClans[],8,FALSE),VLOOKUP($F$8,tblBloodlines[],8,FALSE)),"")</f>
        <v/>
      </c>
      <c r="L164" s="60">
        <f>3-SUM(L165:L174)-SUM(L184:L185)</f>
        <v>0</v>
      </c>
    </row>
    <row r="165" spans="1:18">
      <c r="A165" s="1" t="s">
        <v>164</v>
      </c>
      <c r="B165" t="str">
        <f t="shared" si="26"/>
        <v>¬</v>
      </c>
      <c r="D165" s="19"/>
      <c r="E165" s="15" t="s">
        <v>236</v>
      </c>
      <c r="F165" s="19"/>
      <c r="G165" s="19"/>
      <c r="H165" s="19"/>
      <c r="I165" s="19"/>
      <c r="L165" s="4"/>
      <c r="N165" s="4"/>
      <c r="O165" s="61">
        <f t="shared" ref="O165:O174" si="27">ROUNDDOWN(IF(COUNTIF($F$164:$I$164,$E165)&gt;0,N165/3,N165/4),0)</f>
        <v>0</v>
      </c>
      <c r="P165" s="60">
        <f>MIN(SUM(L165,O165),R165)</f>
        <v>0</v>
      </c>
      <c r="Q165" s="61">
        <v>0</v>
      </c>
      <c r="R165" s="61">
        <v>5</v>
      </c>
    </row>
    <row r="166" spans="1:18">
      <c r="A166" s="1" t="s">
        <v>165</v>
      </c>
      <c r="B166" t="str">
        <f t="shared" si="26"/>
        <v>¬</v>
      </c>
      <c r="D166" s="19"/>
      <c r="E166" s="15" t="s">
        <v>237</v>
      </c>
      <c r="F166" s="19"/>
      <c r="G166" s="19"/>
      <c r="H166" s="19"/>
      <c r="I166" s="19"/>
      <c r="L166" s="4"/>
      <c r="N166" s="4"/>
      <c r="O166" s="61">
        <f t="shared" si="27"/>
        <v>0</v>
      </c>
      <c r="P166" s="60">
        <f t="shared" ref="P166:P174" si="28">MIN(SUM(L166,O166),R166)</f>
        <v>0</v>
      </c>
      <c r="Q166" s="61">
        <v>0</v>
      </c>
      <c r="R166" s="61">
        <v>5</v>
      </c>
    </row>
    <row r="167" spans="1:18">
      <c r="A167" s="1" t="s">
        <v>166</v>
      </c>
      <c r="B167" t="str">
        <f t="shared" si="26"/>
        <v>¬</v>
      </c>
      <c r="D167" s="19"/>
      <c r="E167" s="15" t="s">
        <v>238</v>
      </c>
      <c r="F167" s="19"/>
      <c r="G167" s="19"/>
      <c r="H167" s="19"/>
      <c r="I167" s="19"/>
      <c r="L167" s="4">
        <v>2</v>
      </c>
      <c r="N167" s="4"/>
      <c r="O167" s="61">
        <f t="shared" si="27"/>
        <v>0</v>
      </c>
      <c r="P167" s="60">
        <f t="shared" si="28"/>
        <v>2</v>
      </c>
      <c r="Q167" s="61">
        <v>0</v>
      </c>
      <c r="R167" s="61">
        <v>5</v>
      </c>
    </row>
    <row r="168" spans="1:18">
      <c r="A168" s="1" t="s">
        <v>167</v>
      </c>
      <c r="B168" t="str">
        <f t="shared" si="26"/>
        <v>¬</v>
      </c>
      <c r="D168" s="19"/>
      <c r="E168" s="15" t="s">
        <v>239</v>
      </c>
      <c r="F168" s="19"/>
      <c r="G168" s="19"/>
      <c r="H168" s="19"/>
      <c r="I168" s="19"/>
      <c r="L168" s="4"/>
      <c r="N168" s="4"/>
      <c r="O168" s="61">
        <f t="shared" si="27"/>
        <v>0</v>
      </c>
      <c r="P168" s="60">
        <f t="shared" si="28"/>
        <v>0</v>
      </c>
      <c r="Q168" s="61">
        <v>0</v>
      </c>
      <c r="R168" s="61">
        <v>5</v>
      </c>
    </row>
    <row r="169" spans="1:18">
      <c r="A169" s="1" t="s">
        <v>168</v>
      </c>
      <c r="B169" t="str">
        <f t="shared" si="26"/>
        <v>¬</v>
      </c>
      <c r="D169" s="19"/>
      <c r="E169" s="15" t="s">
        <v>240</v>
      </c>
      <c r="F169" s="19"/>
      <c r="G169" s="19"/>
      <c r="H169" s="19"/>
      <c r="I169" s="19"/>
      <c r="L169" s="4">
        <v>1</v>
      </c>
      <c r="N169" s="4"/>
      <c r="O169" s="61">
        <f t="shared" si="27"/>
        <v>0</v>
      </c>
      <c r="P169" s="60">
        <f t="shared" si="28"/>
        <v>1</v>
      </c>
      <c r="Q169" s="61">
        <v>0</v>
      </c>
      <c r="R169" s="61">
        <v>5</v>
      </c>
    </row>
    <row r="170" spans="1:18">
      <c r="A170" s="1" t="s">
        <v>169</v>
      </c>
      <c r="B170" t="str">
        <f t="shared" si="26"/>
        <v>¬</v>
      </c>
      <c r="D170" s="19"/>
      <c r="E170" s="15" t="s">
        <v>241</v>
      </c>
      <c r="F170" s="19"/>
      <c r="G170" s="19"/>
      <c r="H170" s="19"/>
      <c r="I170" s="19"/>
      <c r="L170" s="4"/>
      <c r="N170" s="4"/>
      <c r="O170" s="61">
        <f t="shared" si="27"/>
        <v>0</v>
      </c>
      <c r="P170" s="60">
        <f t="shared" si="28"/>
        <v>0</v>
      </c>
      <c r="Q170" s="61">
        <v>0</v>
      </c>
      <c r="R170" s="61">
        <v>5</v>
      </c>
    </row>
    <row r="171" spans="1:18">
      <c r="A171" s="1" t="s">
        <v>170</v>
      </c>
      <c r="B171" t="str">
        <f t="shared" si="26"/>
        <v>¬</v>
      </c>
      <c r="D171" s="19"/>
      <c r="E171" s="15" t="s">
        <v>242</v>
      </c>
      <c r="F171" s="19"/>
      <c r="G171" s="19"/>
      <c r="H171" s="19"/>
      <c r="I171" s="19"/>
      <c r="L171" s="4"/>
      <c r="N171" s="4"/>
      <c r="O171" s="61">
        <f t="shared" si="27"/>
        <v>0</v>
      </c>
      <c r="P171" s="60">
        <f t="shared" si="28"/>
        <v>0</v>
      </c>
      <c r="Q171" s="61">
        <v>0</v>
      </c>
      <c r="R171" s="61">
        <v>5</v>
      </c>
    </row>
    <row r="172" spans="1:18">
      <c r="A172" s="1" t="s">
        <v>171</v>
      </c>
      <c r="B172" t="str">
        <f t="shared" si="26"/>
        <v>¬</v>
      </c>
      <c r="D172" s="19"/>
      <c r="E172" s="15" t="s">
        <v>243</v>
      </c>
      <c r="F172" s="19"/>
      <c r="G172" s="19"/>
      <c r="H172" s="19"/>
      <c r="I172" s="19"/>
      <c r="L172" s="4"/>
      <c r="N172" s="4"/>
      <c r="O172" s="61">
        <f t="shared" si="27"/>
        <v>0</v>
      </c>
      <c r="P172" s="60">
        <f t="shared" si="28"/>
        <v>0</v>
      </c>
      <c r="Q172" s="61">
        <v>0</v>
      </c>
      <c r="R172" s="61">
        <v>5</v>
      </c>
    </row>
    <row r="173" spans="1:18">
      <c r="A173" s="1" t="s">
        <v>172</v>
      </c>
      <c r="B173" t="str">
        <f t="shared" si="26"/>
        <v>¬</v>
      </c>
      <c r="D173" s="19"/>
      <c r="E173" s="15" t="s">
        <v>244</v>
      </c>
      <c r="F173" s="19"/>
      <c r="G173" s="19"/>
      <c r="H173" s="19"/>
      <c r="I173" s="19"/>
      <c r="L173" s="4"/>
      <c r="N173" s="4"/>
      <c r="O173" s="61">
        <f t="shared" si="27"/>
        <v>0</v>
      </c>
      <c r="P173" s="60">
        <f t="shared" si="28"/>
        <v>0</v>
      </c>
      <c r="Q173" s="61">
        <v>0</v>
      </c>
      <c r="R173" s="61">
        <v>5</v>
      </c>
    </row>
    <row r="174" spans="1:18">
      <c r="A174" s="1" t="s">
        <v>173</v>
      </c>
      <c r="B174" t="str">
        <f t="shared" si="26"/>
        <v>¬</v>
      </c>
      <c r="D174" s="19"/>
      <c r="E174" s="15" t="s">
        <v>245</v>
      </c>
      <c r="F174" s="19"/>
      <c r="G174" s="19"/>
      <c r="H174" s="19"/>
      <c r="I174" s="19"/>
      <c r="L174" s="4"/>
      <c r="N174" s="4"/>
      <c r="O174" s="61">
        <f t="shared" si="27"/>
        <v>0</v>
      </c>
      <c r="P174" s="60">
        <f t="shared" si="28"/>
        <v>0</v>
      </c>
      <c r="Q174" s="61">
        <v>0</v>
      </c>
      <c r="R174" s="61">
        <v>5</v>
      </c>
    </row>
    <row r="175" spans="1:18">
      <c r="A175" s="1" t="s">
        <v>174</v>
      </c>
      <c r="B175" t="str">
        <f>_xlfn.CONCAT(I137-H137," / ",I137)</f>
        <v>3 / 3</v>
      </c>
    </row>
    <row r="176" spans="1:18">
      <c r="A176" s="1" t="s">
        <v>175</v>
      </c>
      <c r="B176" t="str">
        <f>REPT("□",I137-H137) &amp; REPT("■",H137)</f>
        <v>□□□</v>
      </c>
      <c r="D176" s="16" t="s">
        <v>1491</v>
      </c>
      <c r="E176" s="16"/>
      <c r="F176" s="16"/>
      <c r="G176" s="16"/>
      <c r="H176" s="16"/>
      <c r="I176" s="16"/>
    </row>
    <row r="177" spans="1:18">
      <c r="A177" s="1" t="s">
        <v>176</v>
      </c>
      <c r="B177" t="str">
        <f t="shared" ref="B177:B196" si="29">IF(AC134="","¬",AC134)</f>
        <v>Allies</v>
      </c>
      <c r="D177" s="19"/>
      <c r="E177" s="15" t="s">
        <v>1492</v>
      </c>
      <c r="F177" s="3"/>
      <c r="G177" s="19"/>
      <c r="H177" s="72" t="str">
        <f>IFERROR(IF(VLOOKUP(F177,tblDisciplines[],14,FALSE)=0,"None",VLOOKUP(F177,tblDisciplines[],14,FALSE)),"None")</f>
        <v>None</v>
      </c>
      <c r="I177" s="73"/>
      <c r="N177" s="4"/>
      <c r="O177" s="61">
        <f>N177</f>
        <v>0</v>
      </c>
      <c r="P177" s="60" t="str">
        <f>IF(O177=R177,O177,"")</f>
        <v/>
      </c>
      <c r="R177" s="61" t="str">
        <f>_xlfn.IFNA(VLOOKUP(F177,tblDisciplines[],15,FALSE),"")</f>
        <v/>
      </c>
    </row>
    <row r="178" spans="1:18">
      <c r="A178" s="1" t="s">
        <v>177</v>
      </c>
      <c r="B178" t="str">
        <f t="shared" si="29"/>
        <v>Allies</v>
      </c>
      <c r="D178" s="19"/>
      <c r="E178" s="15" t="s">
        <v>1493</v>
      </c>
      <c r="F178" s="3"/>
      <c r="G178" s="19"/>
      <c r="H178" s="72" t="str">
        <f>IFERROR(IF(VLOOKUP(F178,tblDisciplines[],14,FALSE)=0,"None",VLOOKUP(F178,tblDisciplines[],14,FALSE)),"None")</f>
        <v>None</v>
      </c>
      <c r="I178" s="73"/>
      <c r="N178" s="4"/>
      <c r="O178" s="61">
        <f>N178</f>
        <v>0</v>
      </c>
      <c r="P178" s="60" t="str">
        <f>IF(O178=R178,O178,"")</f>
        <v/>
      </c>
      <c r="R178" s="61" t="str">
        <f>_xlfn.IFNA(VLOOKUP(F178,tblDisciplines[],15,FALSE),"")</f>
        <v/>
      </c>
    </row>
    <row r="179" spans="1:18">
      <c r="A179" s="1" t="s">
        <v>178</v>
      </c>
      <c r="B179" t="str">
        <f t="shared" si="29"/>
        <v>Contacts</v>
      </c>
      <c r="D179" s="19"/>
      <c r="E179" s="15" t="s">
        <v>1494</v>
      </c>
      <c r="F179" s="3"/>
      <c r="G179" s="19"/>
      <c r="H179" s="72" t="str">
        <f>IFERROR(IF(VLOOKUP(F179,tblDisciplines[],14,FALSE)=0,"None",VLOOKUP(F179,tblDisciplines[],14,FALSE)),"None")</f>
        <v>None</v>
      </c>
      <c r="I179" s="73"/>
      <c r="N179" s="4"/>
      <c r="O179" s="61">
        <f>N179</f>
        <v>0</v>
      </c>
      <c r="P179" s="60" t="str">
        <f>IF(O179=R179,O179,"")</f>
        <v/>
      </c>
      <c r="R179" s="61" t="str">
        <f>_xlfn.IFNA(VLOOKUP(F179,tblDisciplines[],15,FALSE),"")</f>
        <v/>
      </c>
    </row>
    <row r="180" spans="1:18">
      <c r="A180" s="1" t="s">
        <v>179</v>
      </c>
      <c r="B180" t="str">
        <f t="shared" si="29"/>
        <v>¬</v>
      </c>
      <c r="D180" s="19"/>
      <c r="E180" s="15" t="s">
        <v>1495</v>
      </c>
      <c r="F180" s="3"/>
      <c r="G180" s="19"/>
      <c r="H180" s="72" t="str">
        <f>IFERROR(IF(VLOOKUP(F180,tblDisciplines[],14,FALSE)=0,"None",VLOOKUP(F180,tblDisciplines[],14,FALSE)),"None")</f>
        <v>None</v>
      </c>
      <c r="I180" s="73"/>
      <c r="N180" s="4"/>
      <c r="O180" s="61">
        <f>N180</f>
        <v>0</v>
      </c>
      <c r="P180" s="60" t="str">
        <f>IF(O180=R180,O180,"")</f>
        <v/>
      </c>
      <c r="R180" s="61" t="str">
        <f>_xlfn.IFNA(VLOOKUP(F180,tblDisciplines[],15,FALSE),"")</f>
        <v/>
      </c>
    </row>
    <row r="181" spans="1:18">
      <c r="A181" s="1" t="s">
        <v>180</v>
      </c>
      <c r="B181" t="str">
        <f t="shared" si="29"/>
        <v>¬</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29"/>
        <v>¬</v>
      </c>
    </row>
    <row r="183" spans="1:18">
      <c r="A183" s="1" t="s">
        <v>182</v>
      </c>
      <c r="B183" t="str">
        <f t="shared" si="29"/>
        <v>¬</v>
      </c>
      <c r="D183" s="16" t="s">
        <v>1497</v>
      </c>
      <c r="E183" s="16"/>
      <c r="F183" s="16"/>
      <c r="G183" s="16"/>
      <c r="H183" s="16"/>
      <c r="I183" s="16"/>
    </row>
    <row r="184" spans="1:18">
      <c r="A184" s="1" t="s">
        <v>183</v>
      </c>
      <c r="B184" t="str">
        <f t="shared" si="29"/>
        <v>¬</v>
      </c>
      <c r="D184" s="19"/>
      <c r="E184" s="15" t="s">
        <v>246</v>
      </c>
      <c r="F184" s="19"/>
      <c r="G184" s="19"/>
      <c r="H184" s="19"/>
      <c r="I184" s="60" t="b">
        <f>IF(OR(F$9="Circle of the Crone",COUNTIF(F$79:F$93,"Chorister")&gt;0),TRUE,FALSE)</f>
        <v>0</v>
      </c>
      <c r="L184" s="4"/>
      <c r="N184" s="4"/>
      <c r="O184" s="61">
        <f>ROUNDDOWN(N184/4,0)</f>
        <v>0</v>
      </c>
      <c r="P184" s="60">
        <f>SUM(L184,O184)</f>
        <v>0</v>
      </c>
      <c r="Q184" s="61">
        <v>0</v>
      </c>
      <c r="R184" s="61">
        <v>5</v>
      </c>
    </row>
    <row r="185" spans="1:18">
      <c r="A185" s="1" t="s">
        <v>184</v>
      </c>
      <c r="B185" t="str">
        <f t="shared" si="29"/>
        <v>¬</v>
      </c>
      <c r="D185" s="19"/>
      <c r="E185" s="15" t="s">
        <v>247</v>
      </c>
      <c r="F185" s="19"/>
      <c r="G185" s="19"/>
      <c r="H185" s="19"/>
      <c r="I185" s="60" t="b">
        <f>IF(OR(F$9="Lancea et Sanctum",COUNTIF(F$79:F$93,"Laity")&gt;0),TRUE,FALSE)</f>
        <v>0</v>
      </c>
      <c r="L185" s="4"/>
      <c r="N185" s="4"/>
      <c r="O185" s="61">
        <f>ROUNDDOWN(N185/4,0)</f>
        <v>0</v>
      </c>
      <c r="P185" s="60">
        <f>SUM(L185,O185)</f>
        <v>0</v>
      </c>
      <c r="Q185" s="61">
        <v>0</v>
      </c>
      <c r="R185" s="61">
        <v>5</v>
      </c>
    </row>
    <row r="186" spans="1:18">
      <c r="A186" s="1" t="s">
        <v>185</v>
      </c>
      <c r="B186" t="str">
        <f t="shared" si="29"/>
        <v>¬</v>
      </c>
      <c r="D186" s="19"/>
      <c r="E186" s="19"/>
      <c r="F186" s="19"/>
      <c r="G186" s="19"/>
      <c r="H186" s="19"/>
      <c r="I186" s="19"/>
      <c r="L186" s="60">
        <f>SUM(P184:P185)-SUM(L187:L191)</f>
        <v>0</v>
      </c>
    </row>
    <row r="187" spans="1:18">
      <c r="A187" s="1" t="s">
        <v>186</v>
      </c>
      <c r="B187" t="str">
        <f t="shared" si="29"/>
        <v>¬</v>
      </c>
      <c r="D187" s="19"/>
      <c r="E187" s="15" t="s">
        <v>248</v>
      </c>
      <c r="F187" s="19"/>
      <c r="G187" s="19"/>
      <c r="H187" s="19"/>
      <c r="I187" s="19"/>
      <c r="L187" s="4"/>
      <c r="M187" s="61">
        <f>IF(AND(I184,L184&gt;=1),1,0)</f>
        <v>0</v>
      </c>
      <c r="N187" s="4"/>
      <c r="O187" s="61">
        <f>ROUNDDOWN(N187/2,0)</f>
        <v>0</v>
      </c>
      <c r="P187" s="60">
        <f>MIN(SUM(L187,M187,O187),R187)</f>
        <v>0</v>
      </c>
      <c r="Q187" s="61">
        <v>0</v>
      </c>
      <c r="R187" s="61">
        <f>MAX(P$184,P$185)</f>
        <v>0</v>
      </c>
    </row>
    <row r="188" spans="1:18">
      <c r="A188" s="1" t="s">
        <v>187</v>
      </c>
      <c r="B188" t="str">
        <f t="shared" si="29"/>
        <v>¬</v>
      </c>
      <c r="D188" s="19"/>
      <c r="E188" s="15" t="s">
        <v>249</v>
      </c>
      <c r="F188" s="19"/>
      <c r="G188" s="19"/>
      <c r="H188" s="19"/>
      <c r="I188" s="19"/>
      <c r="L188" s="4"/>
      <c r="M188" s="61"/>
      <c r="N188" s="4"/>
      <c r="O188" s="61">
        <f>ROUNDDOWN(N188/2,0)</f>
        <v>0</v>
      </c>
      <c r="P188" s="60">
        <f>MIN(SUM(L188,M188,O188),R188)</f>
        <v>0</v>
      </c>
      <c r="Q188" s="61">
        <v>0</v>
      </c>
      <c r="R188" s="61">
        <f>MAX(P$184,P$185)</f>
        <v>0</v>
      </c>
    </row>
    <row r="189" spans="1:18">
      <c r="A189" s="1" t="s">
        <v>188</v>
      </c>
      <c r="B189" t="str">
        <f t="shared" si="29"/>
        <v>¬</v>
      </c>
      <c r="D189" s="19"/>
      <c r="E189" s="15" t="s">
        <v>250</v>
      </c>
      <c r="F189" s="19"/>
      <c r="G189" s="19"/>
      <c r="H189" s="19"/>
      <c r="I189" s="19"/>
      <c r="L189" s="4"/>
      <c r="M189" s="61">
        <f>IF(AND(I185,L185&gt;=1),1,0)</f>
        <v>0</v>
      </c>
      <c r="N189" s="4"/>
      <c r="O189" s="61">
        <f>ROUNDDOWN(N189/2,0)</f>
        <v>0</v>
      </c>
      <c r="P189" s="60">
        <f>MIN(SUM(L189,M189,O189),R189)</f>
        <v>0</v>
      </c>
      <c r="Q189" s="61">
        <v>0</v>
      </c>
      <c r="R189" s="61">
        <f>MAX(P$184,P$185)</f>
        <v>0</v>
      </c>
    </row>
    <row r="190" spans="1:18">
      <c r="A190" s="1" t="s">
        <v>189</v>
      </c>
      <c r="B190" t="str">
        <f t="shared" si="29"/>
        <v>¬</v>
      </c>
      <c r="D190" s="19"/>
      <c r="E190" s="15" t="s">
        <v>251</v>
      </c>
      <c r="F190" s="19"/>
      <c r="G190" s="19"/>
      <c r="H190" s="19"/>
      <c r="I190" s="19"/>
      <c r="L190" s="4"/>
      <c r="M190" s="61">
        <f>IF(AND(I184,L184&gt;=1),1,0)</f>
        <v>0</v>
      </c>
      <c r="N190" s="4"/>
      <c r="O190" s="61">
        <f>ROUNDDOWN(N190/2,0)</f>
        <v>0</v>
      </c>
      <c r="P190" s="60">
        <f>MIN(SUM(L190,M190,O190),R190)</f>
        <v>0</v>
      </c>
      <c r="Q190" s="61">
        <v>0</v>
      </c>
      <c r="R190" s="61">
        <f>MAX(P$184,P$185)</f>
        <v>0</v>
      </c>
    </row>
    <row r="191" spans="1:18">
      <c r="A191" s="1" t="s">
        <v>190</v>
      </c>
      <c r="B191" t="str">
        <f t="shared" si="29"/>
        <v>¬</v>
      </c>
      <c r="D191" s="19"/>
      <c r="E191" s="15" t="s">
        <v>252</v>
      </c>
      <c r="F191" s="19"/>
      <c r="G191" s="19"/>
      <c r="H191" s="19"/>
      <c r="I191" s="19"/>
      <c r="L191" s="4"/>
      <c r="M191" s="61">
        <f>IF(AND(I185,L185&gt;=1),1,0)</f>
        <v>0</v>
      </c>
      <c r="N191" s="4"/>
      <c r="O191" s="61">
        <f>ROUNDDOWN(N191/2,0)</f>
        <v>0</v>
      </c>
      <c r="P191" s="60">
        <f>MIN(SUM(L191,M191,O191),R191)</f>
        <v>0</v>
      </c>
      <c r="Q191" s="61">
        <v>0</v>
      </c>
      <c r="R191" s="61">
        <f>MAX(P$184,P$185)</f>
        <v>0</v>
      </c>
    </row>
    <row r="192" spans="1:18">
      <c r="A192" s="1" t="s">
        <v>191</v>
      </c>
      <c r="B192" t="str">
        <f t="shared" si="29"/>
        <v>¬</v>
      </c>
    </row>
    <row r="193" spans="1:18">
      <c r="A193" s="1" t="s">
        <v>192</v>
      </c>
      <c r="B193" t="str">
        <f t="shared" si="29"/>
        <v>¬</v>
      </c>
      <c r="D193" s="16" t="s">
        <v>1474</v>
      </c>
      <c r="E193" s="16"/>
      <c r="F193" s="16"/>
      <c r="G193" s="16"/>
      <c r="H193" s="16"/>
      <c r="I193" s="16"/>
      <c r="L193" s="60">
        <f>SUM(P184:P185)+SUM(O187:O191)</f>
        <v>0</v>
      </c>
    </row>
    <row r="194" spans="1:18">
      <c r="A194" s="1" t="s">
        <v>193</v>
      </c>
      <c r="B194" t="str">
        <f t="shared" si="29"/>
        <v>¬</v>
      </c>
      <c r="D194" s="19"/>
      <c r="E194" s="15" t="s">
        <v>1498</v>
      </c>
      <c r="F194" s="3"/>
      <c r="G194" s="61" t="str">
        <f>_xlfn.IFNA(VLOOKUP(F194,tblDisciplines[],2,FALSE),"")</f>
        <v/>
      </c>
      <c r="H194" s="19"/>
      <c r="I194" s="19"/>
      <c r="L194" s="4"/>
      <c r="N194" s="4"/>
      <c r="O194" s="61">
        <f>N194</f>
        <v>0</v>
      </c>
      <c r="P194" s="60" t="str">
        <f>IF(OR(L194=R194,O194=R194),R194,MIN(SUM(L194,O194),R194))</f>
        <v/>
      </c>
      <c r="R194" s="61" t="str">
        <f>_xlfn.IFNA(VLOOKUP(F194,tblDisciplines[],3,FALSE),"")</f>
        <v/>
      </c>
    </row>
    <row r="195" spans="1:18">
      <c r="A195" s="1" t="s">
        <v>194</v>
      </c>
      <c r="B195" t="str">
        <f t="shared" si="29"/>
        <v>¬</v>
      </c>
      <c r="D195" s="19"/>
      <c r="E195" s="15" t="s">
        <v>1499</v>
      </c>
      <c r="F195" s="3"/>
      <c r="G195" s="61" t="str">
        <f>_xlfn.IFNA(VLOOKUP(F195,tblDisciplines[],2,FALSE),"")</f>
        <v/>
      </c>
      <c r="H195" s="19"/>
      <c r="I195" s="19"/>
      <c r="L195" s="4"/>
      <c r="N195" s="4"/>
      <c r="O195" s="61">
        <f t="shared" ref="O195:O203" si="30">N195</f>
        <v>0</v>
      </c>
      <c r="P195" s="60" t="str">
        <f t="shared" ref="P195:P203" si="31">IF(OR(L195=R195,O195=R195),R195,MIN(SUM(L195,O195),R195))</f>
        <v/>
      </c>
      <c r="R195" s="61" t="str">
        <f>_xlfn.IFNA(VLOOKUP(F195,tblDisciplines[],3,FALSE),"")</f>
        <v/>
      </c>
    </row>
    <row r="196" spans="1:18">
      <c r="A196" s="1" t="s">
        <v>195</v>
      </c>
      <c r="B196" t="str">
        <f t="shared" si="29"/>
        <v>¬</v>
      </c>
      <c r="D196" s="19"/>
      <c r="E196" s="15" t="s">
        <v>1500</v>
      </c>
      <c r="F196" s="3"/>
      <c r="G196" s="61" t="str">
        <f>_xlfn.IFNA(VLOOKUP(F196,tblDisciplines[],2,FALSE),"")</f>
        <v/>
      </c>
      <c r="H196" s="19"/>
      <c r="I196" s="19"/>
      <c r="L196" s="4"/>
      <c r="N196" s="4"/>
      <c r="O196" s="61">
        <f t="shared" si="30"/>
        <v>0</v>
      </c>
      <c r="P196" s="60" t="str">
        <f t="shared" si="31"/>
        <v/>
      </c>
      <c r="R196" s="61" t="str">
        <f>_xlfn.IFNA(VLOOKUP(F196,tblDisciplines[],3,FALSE),"")</f>
        <v/>
      </c>
    </row>
    <row r="197" spans="1:18">
      <c r="A197" s="1" t="s">
        <v>196</v>
      </c>
      <c r="B197" t="str">
        <f>IF(AD134="","¬",AD134)</f>
        <v>Police</v>
      </c>
      <c r="D197" s="19"/>
      <c r="E197" s="15" t="s">
        <v>1501</v>
      </c>
      <c r="F197" s="3"/>
      <c r="G197" s="61" t="str">
        <f>_xlfn.IFNA(VLOOKUP(F197,tblDisciplines[],2,FALSE),"")</f>
        <v/>
      </c>
      <c r="H197" s="19"/>
      <c r="I197" s="19"/>
      <c r="L197" s="4"/>
      <c r="N197" s="4"/>
      <c r="O197" s="61">
        <f t="shared" si="30"/>
        <v>0</v>
      </c>
      <c r="P197" s="60" t="str">
        <f t="shared" si="31"/>
        <v/>
      </c>
      <c r="R197" s="61" t="str">
        <f>_xlfn.IFNA(VLOOKUP(F197,tblDisciplines[],3,FALSE),"")</f>
        <v/>
      </c>
    </row>
    <row r="198" spans="1:18">
      <c r="A198" s="1" t="s">
        <v>197</v>
      </c>
      <c r="B198" t="str">
        <f t="shared" ref="B198:B216" si="32">IF(AD135="","¬",AD135)</f>
        <v>Underworld</v>
      </c>
      <c r="D198" s="19"/>
      <c r="E198" s="15" t="s">
        <v>1502</v>
      </c>
      <c r="F198" s="3"/>
      <c r="G198" s="61" t="str">
        <f>_xlfn.IFNA(VLOOKUP(F198,tblDisciplines[],2,FALSE),"")</f>
        <v/>
      </c>
      <c r="H198" s="19"/>
      <c r="I198" s="19"/>
      <c r="L198" s="4"/>
      <c r="N198" s="4"/>
      <c r="O198" s="61">
        <f t="shared" si="30"/>
        <v>0</v>
      </c>
      <c r="P198" s="60" t="str">
        <f t="shared" si="31"/>
        <v/>
      </c>
      <c r="R198" s="61" t="str">
        <f>_xlfn.IFNA(VLOOKUP(F198,tblDisciplines[],3,FALSE),"")</f>
        <v/>
      </c>
    </row>
    <row r="199" spans="1:18">
      <c r="A199" s="1" t="s">
        <v>198</v>
      </c>
      <c r="B199" t="str">
        <f t="shared" si="32"/>
        <v>Police, Street, Underworld</v>
      </c>
      <c r="D199" s="19"/>
      <c r="E199" s="15" t="s">
        <v>1503</v>
      </c>
      <c r="F199" s="3"/>
      <c r="G199" s="61" t="str">
        <f>_xlfn.IFNA(VLOOKUP(F199,tblDisciplines[],2,FALSE),"")</f>
        <v/>
      </c>
      <c r="H199" s="19"/>
      <c r="I199" s="19"/>
      <c r="L199" s="4"/>
      <c r="N199" s="4"/>
      <c r="O199" s="61">
        <f t="shared" si="30"/>
        <v>0</v>
      </c>
      <c r="P199" s="60" t="str">
        <f t="shared" si="31"/>
        <v/>
      </c>
      <c r="R199" s="61" t="str">
        <f>_xlfn.IFNA(VLOOKUP(F199,tblDisciplines[],3,FALSE),"")</f>
        <v/>
      </c>
    </row>
    <row r="200" spans="1:18">
      <c r="A200" s="1" t="s">
        <v>199</v>
      </c>
      <c r="B200" t="str">
        <f t="shared" si="32"/>
        <v>¬</v>
      </c>
      <c r="D200" s="19"/>
      <c r="E200" s="15" t="s">
        <v>1504</v>
      </c>
      <c r="F200" s="3"/>
      <c r="G200" s="61" t="str">
        <f>_xlfn.IFNA(VLOOKUP(F200,tblDisciplines[],2,FALSE),"")</f>
        <v/>
      </c>
      <c r="H200" s="19"/>
      <c r="I200" s="19"/>
      <c r="L200" s="4"/>
      <c r="N200" s="4"/>
      <c r="O200" s="61">
        <f t="shared" si="30"/>
        <v>0</v>
      </c>
      <c r="P200" s="60" t="str">
        <f t="shared" si="31"/>
        <v/>
      </c>
      <c r="R200" s="61" t="str">
        <f>_xlfn.IFNA(VLOOKUP(F200,tblDisciplines[],3,FALSE),"")</f>
        <v/>
      </c>
    </row>
    <row r="201" spans="1:18">
      <c r="A201" s="1" t="s">
        <v>200</v>
      </c>
      <c r="B201" t="str">
        <f t="shared" si="32"/>
        <v>¬</v>
      </c>
      <c r="D201" s="19"/>
      <c r="E201" s="15" t="s">
        <v>1505</v>
      </c>
      <c r="F201" s="3"/>
      <c r="G201" s="61" t="str">
        <f>_xlfn.IFNA(VLOOKUP(F201,tblDisciplines[],2,FALSE),"")</f>
        <v/>
      </c>
      <c r="H201" s="19"/>
      <c r="I201" s="19"/>
      <c r="L201" s="4"/>
      <c r="N201" s="4"/>
      <c r="O201" s="61">
        <f t="shared" si="30"/>
        <v>0</v>
      </c>
      <c r="P201" s="60" t="str">
        <f t="shared" si="31"/>
        <v/>
      </c>
      <c r="R201" s="61" t="str">
        <f>_xlfn.IFNA(VLOOKUP(F201,tblDisciplines[],3,FALSE),"")</f>
        <v/>
      </c>
    </row>
    <row r="202" spans="1:18">
      <c r="A202" s="1" t="s">
        <v>201</v>
      </c>
      <c r="B202" t="str">
        <f t="shared" si="32"/>
        <v>¬</v>
      </c>
      <c r="D202" s="19"/>
      <c r="E202" s="15" t="s">
        <v>1506</v>
      </c>
      <c r="F202" s="3"/>
      <c r="G202" s="61" t="str">
        <f>_xlfn.IFNA(VLOOKUP(F202,tblDisciplines[],2,FALSE),"")</f>
        <v/>
      </c>
      <c r="H202" s="19"/>
      <c r="I202" s="19"/>
      <c r="L202" s="4"/>
      <c r="N202" s="4"/>
      <c r="O202" s="61">
        <f t="shared" si="30"/>
        <v>0</v>
      </c>
      <c r="P202" s="60" t="str">
        <f t="shared" si="31"/>
        <v/>
      </c>
      <c r="R202" s="61" t="str">
        <f>_xlfn.IFNA(VLOOKUP(F202,tblDisciplines[],3,FALSE),"")</f>
        <v/>
      </c>
    </row>
    <row r="203" spans="1:18">
      <c r="A203" s="1" t="s">
        <v>202</v>
      </c>
      <c r="B203" t="str">
        <f t="shared" si="32"/>
        <v>¬</v>
      </c>
      <c r="D203" s="19"/>
      <c r="E203" s="15" t="s">
        <v>1507</v>
      </c>
      <c r="F203" s="3"/>
      <c r="G203" s="61" t="str">
        <f>_xlfn.IFNA(VLOOKUP(F203,tblDisciplines[],2,FALSE),"")</f>
        <v/>
      </c>
      <c r="H203" s="19"/>
      <c r="I203" s="19"/>
      <c r="L203" s="4"/>
      <c r="N203" s="4"/>
      <c r="O203" s="61">
        <f t="shared" si="30"/>
        <v>0</v>
      </c>
      <c r="P203" s="60" t="str">
        <f t="shared" si="31"/>
        <v/>
      </c>
      <c r="R203" s="61" t="str">
        <f>_xlfn.IFNA(VLOOKUP(F203,tblDisciplines[],3,FALSE),"")</f>
        <v/>
      </c>
    </row>
    <row r="204" spans="1:18">
      <c r="A204" s="1" t="s">
        <v>203</v>
      </c>
      <c r="B204" t="str">
        <f t="shared" si="32"/>
        <v>¬</v>
      </c>
    </row>
    <row r="205" spans="1:18">
      <c r="A205" s="1" t="s">
        <v>204</v>
      </c>
      <c r="B205" t="str">
        <f t="shared" si="32"/>
        <v>¬</v>
      </c>
      <c r="D205" s="16" t="s">
        <v>1508</v>
      </c>
      <c r="E205" s="17"/>
      <c r="F205" s="17"/>
      <c r="G205" s="17"/>
      <c r="H205" s="17"/>
      <c r="I205" s="17"/>
    </row>
    <row r="206" spans="1:18">
      <c r="A206" s="1" t="s">
        <v>205</v>
      </c>
      <c r="B206" t="str">
        <f t="shared" si="32"/>
        <v>¬</v>
      </c>
      <c r="D206" s="19"/>
      <c r="E206" s="15" t="s">
        <v>1476</v>
      </c>
      <c r="F206" s="3"/>
      <c r="G206" s="19" t="str">
        <f>IFERROR(VLOOKUP(F206,tblManoeuvre[],2,FALSE)&amp;" "&amp;VLOOKUP(F206,tblManoeuvre[],3,FALSE),"")</f>
        <v/>
      </c>
      <c r="H206" s="68" t="str">
        <f>_xlfn.IFNA(IF(VLOOKUP(F206,tblMerits[],6,FALSE)=0,"None",VLOOKUP(F206,tblMerits[],6,FALSE)),"None")</f>
        <v>None</v>
      </c>
      <c r="I206" s="69"/>
      <c r="L206" s="4"/>
      <c r="M206" s="4"/>
      <c r="N206" s="4"/>
      <c r="O206" s="61">
        <f t="shared" ref="O206:O215" si="33">N206</f>
        <v>0</v>
      </c>
      <c r="P206" s="60">
        <f t="shared" ref="P206:P215" si="34">MIN(SUM(L206,M206,O206),R206)</f>
        <v>0</v>
      </c>
      <c r="Q206" s="61" t="str">
        <f>_xlfn.IFNA(VLOOKUP($F206,tblPacts[],3,FALSE),"")</f>
        <v/>
      </c>
      <c r="R206" s="61" t="str">
        <f>_xlfn.IFNA(VLOOKUP($F206,tblPacts[],4,FALSE),"")</f>
        <v/>
      </c>
    </row>
    <row r="207" spans="1:18">
      <c r="A207" s="1" t="s">
        <v>206</v>
      </c>
      <c r="B207" t="str">
        <f t="shared" si="32"/>
        <v>¬</v>
      </c>
      <c r="D207" s="19"/>
      <c r="E207" s="15" t="s">
        <v>1477</v>
      </c>
      <c r="F207" s="3"/>
      <c r="G207" s="19" t="str">
        <f>IFERROR(VLOOKUP(F207,tblManoeuvre[],2,FALSE)&amp;" "&amp;VLOOKUP(F207,tblManoeuvre[],3,FALSE),"")</f>
        <v/>
      </c>
      <c r="H207" s="68" t="str">
        <f>_xlfn.IFNA(IF(VLOOKUP(F207,tblMerits[],6,FALSE)=0,"None",VLOOKUP(F207,tblMerits[],6,FALSE)),"None")</f>
        <v>None</v>
      </c>
      <c r="I207" s="69"/>
      <c r="L207" s="4"/>
      <c r="M207" s="4"/>
      <c r="N207" s="4"/>
      <c r="O207" s="61">
        <f t="shared" si="33"/>
        <v>0</v>
      </c>
      <c r="P207" s="60">
        <f t="shared" si="34"/>
        <v>0</v>
      </c>
      <c r="Q207" s="61" t="str">
        <f>_xlfn.IFNA(VLOOKUP($F207,tblPacts[],3,FALSE),"")</f>
        <v/>
      </c>
      <c r="R207" s="61" t="str">
        <f>_xlfn.IFNA(VLOOKUP($F207,tblPacts[],4,FALSE),"")</f>
        <v/>
      </c>
    </row>
    <row r="208" spans="1:18">
      <c r="A208" s="1" t="s">
        <v>207</v>
      </c>
      <c r="B208" t="str">
        <f t="shared" si="32"/>
        <v>¬</v>
      </c>
      <c r="D208" s="19"/>
      <c r="E208" s="15" t="s">
        <v>1478</v>
      </c>
      <c r="F208" s="3"/>
      <c r="G208" s="19" t="str">
        <f>IFERROR(VLOOKUP(F208,tblManoeuvre[],2,FALSE)&amp;" "&amp;VLOOKUP(F208,tblManoeuvre[],3,FALSE),"")</f>
        <v/>
      </c>
      <c r="H208" s="68" t="str">
        <f>_xlfn.IFNA(IF(VLOOKUP(F208,tblMerits[],6,FALSE)=0,"None",VLOOKUP(F208,tblMerits[],6,FALSE)),"None")</f>
        <v>None</v>
      </c>
      <c r="I208" s="69"/>
      <c r="L208" s="4"/>
      <c r="M208" s="4"/>
      <c r="N208" s="4"/>
      <c r="O208" s="61">
        <f t="shared" si="33"/>
        <v>0</v>
      </c>
      <c r="P208" s="60">
        <f t="shared" si="34"/>
        <v>0</v>
      </c>
      <c r="Q208" s="61" t="str">
        <f>_xlfn.IFNA(VLOOKUP($F208,tblPacts[],3,FALSE),"")</f>
        <v/>
      </c>
      <c r="R208" s="61" t="str">
        <f>_xlfn.IFNA(VLOOKUP($F208,tblPacts[],4,FALSE),"")</f>
        <v/>
      </c>
    </row>
    <row r="209" spans="1:18">
      <c r="A209" s="1" t="s">
        <v>208</v>
      </c>
      <c r="B209" t="str">
        <f t="shared" si="32"/>
        <v>¬</v>
      </c>
      <c r="D209" s="19"/>
      <c r="E209" s="15" t="s">
        <v>1479</v>
      </c>
      <c r="F209" s="3"/>
      <c r="G209" s="19" t="str">
        <f>IFERROR(VLOOKUP(F209,tblManoeuvre[],2,FALSE)&amp;" "&amp;VLOOKUP(F209,tblManoeuvre[],3,FALSE),"")</f>
        <v/>
      </c>
      <c r="H209" s="68" t="str">
        <f>_xlfn.IFNA(IF(VLOOKUP(F209,tblMerits[],6,FALSE)=0,"None",VLOOKUP(F209,tblMerits[],6,FALSE)),"None")</f>
        <v>None</v>
      </c>
      <c r="I209" s="69"/>
      <c r="L209" s="4"/>
      <c r="M209" s="4"/>
      <c r="N209" s="4"/>
      <c r="O209" s="61">
        <f t="shared" si="33"/>
        <v>0</v>
      </c>
      <c r="P209" s="60">
        <f t="shared" si="34"/>
        <v>0</v>
      </c>
      <c r="Q209" s="61" t="str">
        <f>_xlfn.IFNA(VLOOKUP($F209,tblPacts[],3,FALSE),"")</f>
        <v/>
      </c>
      <c r="R209" s="61" t="str">
        <f>_xlfn.IFNA(VLOOKUP($F209,tblPacts[],4,FALSE),"")</f>
        <v/>
      </c>
    </row>
    <row r="210" spans="1:18">
      <c r="A210" s="1" t="s">
        <v>209</v>
      </c>
      <c r="B210" t="str">
        <f t="shared" si="32"/>
        <v>¬</v>
      </c>
      <c r="D210" s="19"/>
      <c r="E210" s="15" t="s">
        <v>1480</v>
      </c>
      <c r="F210" s="3"/>
      <c r="G210" s="19" t="str">
        <f>IFERROR(VLOOKUP(F210,tblManoeuvre[],2,FALSE)&amp;" "&amp;VLOOKUP(F210,tblManoeuvre[],3,FALSE),"")</f>
        <v/>
      </c>
      <c r="H210" s="68" t="str">
        <f>_xlfn.IFNA(IF(VLOOKUP(F210,tblMerits[],6,FALSE)=0,"None",VLOOKUP(F210,tblMerits[],6,FALSE)),"None")</f>
        <v>None</v>
      </c>
      <c r="I210" s="69"/>
      <c r="L210" s="4"/>
      <c r="M210" s="4"/>
      <c r="N210" s="4"/>
      <c r="O210" s="61">
        <f t="shared" si="33"/>
        <v>0</v>
      </c>
      <c r="P210" s="60">
        <f t="shared" si="34"/>
        <v>0</v>
      </c>
      <c r="Q210" s="61" t="str">
        <f>_xlfn.IFNA(VLOOKUP($F210,tblPacts[],3,FALSE),"")</f>
        <v/>
      </c>
      <c r="R210" s="61" t="str">
        <f>_xlfn.IFNA(VLOOKUP($F210,tblPacts[],4,FALSE),"")</f>
        <v/>
      </c>
    </row>
    <row r="211" spans="1:18">
      <c r="A211" s="1" t="s">
        <v>210</v>
      </c>
      <c r="B211" t="str">
        <f t="shared" si="32"/>
        <v>¬</v>
      </c>
      <c r="D211" s="19"/>
      <c r="E211" s="15" t="s">
        <v>1481</v>
      </c>
      <c r="F211" s="3"/>
      <c r="G211" s="19" t="str">
        <f>IFERROR(VLOOKUP(F211,tblManoeuvre[],2,FALSE)&amp;" "&amp;VLOOKUP(F211,tblManoeuvre[],3,FALSE),"")</f>
        <v/>
      </c>
      <c r="H211" s="68" t="str">
        <f>_xlfn.IFNA(IF(VLOOKUP(F211,tblMerits[],6,FALSE)=0,"None",VLOOKUP(F211,tblMerits[],6,FALSE)),"None")</f>
        <v>None</v>
      </c>
      <c r="I211" s="69"/>
      <c r="L211" s="4"/>
      <c r="M211" s="4"/>
      <c r="N211" s="4"/>
      <c r="O211" s="61">
        <f t="shared" si="33"/>
        <v>0</v>
      </c>
      <c r="P211" s="60">
        <f t="shared" si="34"/>
        <v>0</v>
      </c>
      <c r="Q211" s="61" t="str">
        <f>_xlfn.IFNA(VLOOKUP($F211,tblPacts[],3,FALSE),"")</f>
        <v/>
      </c>
      <c r="R211" s="61" t="str">
        <f>_xlfn.IFNA(VLOOKUP($F211,tblPacts[],4,FALSE),"")</f>
        <v/>
      </c>
    </row>
    <row r="212" spans="1:18">
      <c r="A212" s="1" t="s">
        <v>211</v>
      </c>
      <c r="B212" t="str">
        <f t="shared" si="32"/>
        <v>¬</v>
      </c>
      <c r="D212" s="19"/>
      <c r="E212" s="15" t="s">
        <v>1482</v>
      </c>
      <c r="F212" s="3"/>
      <c r="G212" s="19" t="str">
        <f>IFERROR(VLOOKUP(F212,tblManoeuvre[],2,FALSE)&amp;" "&amp;VLOOKUP(F212,tblManoeuvre[],3,FALSE),"")</f>
        <v/>
      </c>
      <c r="H212" s="68" t="str">
        <f>_xlfn.IFNA(IF(VLOOKUP(F212,tblMerits[],6,FALSE)=0,"None",VLOOKUP(F212,tblMerits[],6,FALSE)),"None")</f>
        <v>None</v>
      </c>
      <c r="I212" s="69"/>
      <c r="L212" s="4"/>
      <c r="M212" s="4"/>
      <c r="N212" s="4"/>
      <c r="O212" s="61">
        <f t="shared" si="33"/>
        <v>0</v>
      </c>
      <c r="P212" s="60">
        <f t="shared" si="34"/>
        <v>0</v>
      </c>
      <c r="Q212" s="61" t="str">
        <f>_xlfn.IFNA(VLOOKUP($F212,tblPacts[],3,FALSE),"")</f>
        <v/>
      </c>
      <c r="R212" s="61" t="str">
        <f>_xlfn.IFNA(VLOOKUP($F212,tblPacts[],4,FALSE),"")</f>
        <v/>
      </c>
    </row>
    <row r="213" spans="1:18">
      <c r="A213" s="1" t="s">
        <v>212</v>
      </c>
      <c r="B213" t="str">
        <f t="shared" si="32"/>
        <v>¬</v>
      </c>
      <c r="D213" s="19"/>
      <c r="E213" s="15" t="s">
        <v>1483</v>
      </c>
      <c r="F213" s="3"/>
      <c r="G213" s="19" t="str">
        <f>IFERROR(VLOOKUP(F213,tblManoeuvre[],2,FALSE)&amp;" "&amp;VLOOKUP(F213,tblManoeuvre[],3,FALSE),"")</f>
        <v/>
      </c>
      <c r="H213" s="68" t="str">
        <f>_xlfn.IFNA(IF(VLOOKUP(F213,tblMerits[],6,FALSE)=0,"None",VLOOKUP(F213,tblMerits[],6,FALSE)),"None")</f>
        <v>None</v>
      </c>
      <c r="I213" s="69"/>
      <c r="L213" s="4"/>
      <c r="M213" s="4"/>
      <c r="N213" s="4"/>
      <c r="O213" s="61">
        <f t="shared" si="33"/>
        <v>0</v>
      </c>
      <c r="P213" s="60">
        <f t="shared" si="34"/>
        <v>0</v>
      </c>
      <c r="Q213" s="61" t="str">
        <f>_xlfn.IFNA(VLOOKUP($F213,tblPacts[],3,FALSE),"")</f>
        <v/>
      </c>
      <c r="R213" s="61" t="str">
        <f>_xlfn.IFNA(VLOOKUP($F213,tblPacts[],4,FALSE),"")</f>
        <v/>
      </c>
    </row>
    <row r="214" spans="1:18">
      <c r="A214" s="1" t="s">
        <v>213</v>
      </c>
      <c r="B214" t="str">
        <f t="shared" si="32"/>
        <v>¬</v>
      </c>
      <c r="D214" s="19"/>
      <c r="E214" s="15" t="s">
        <v>1484</v>
      </c>
      <c r="F214" s="3"/>
      <c r="G214" s="19" t="str">
        <f>IFERROR(VLOOKUP(F214,tblManoeuvre[],2,FALSE)&amp;" "&amp;VLOOKUP(F214,tblManoeuvre[],3,FALSE),"")</f>
        <v/>
      </c>
      <c r="H214" s="68" t="str">
        <f>_xlfn.IFNA(IF(VLOOKUP(F214,tblMerits[],6,FALSE)=0,"None",VLOOKUP(F214,tblMerits[],6,FALSE)),"None")</f>
        <v>None</v>
      </c>
      <c r="I214" s="69"/>
      <c r="L214" s="4"/>
      <c r="M214" s="4"/>
      <c r="N214" s="4"/>
      <c r="O214" s="61">
        <f t="shared" si="33"/>
        <v>0</v>
      </c>
      <c r="P214" s="60">
        <f t="shared" si="34"/>
        <v>0</v>
      </c>
      <c r="Q214" s="61" t="str">
        <f>_xlfn.IFNA(VLOOKUP($F214,tblPacts[],3,FALSE),"")</f>
        <v/>
      </c>
      <c r="R214" s="61" t="str">
        <f>_xlfn.IFNA(VLOOKUP($F214,tblPacts[],4,FALSE),"")</f>
        <v/>
      </c>
    </row>
    <row r="215" spans="1:18">
      <c r="A215" s="1" t="s">
        <v>214</v>
      </c>
      <c r="B215" t="str">
        <f t="shared" si="32"/>
        <v>¬</v>
      </c>
      <c r="D215" s="19"/>
      <c r="E215" s="15" t="s">
        <v>1485</v>
      </c>
      <c r="F215" s="3"/>
      <c r="G215" s="19" t="str">
        <f>IFERROR(VLOOKUP(F215,tblManoeuvre[],2,FALSE)&amp;" "&amp;VLOOKUP(F215,tblManoeuvre[],3,FALSE),"")</f>
        <v/>
      </c>
      <c r="H215" s="68" t="str">
        <f>_xlfn.IFNA(IF(VLOOKUP(F215,tblMerits[],6,FALSE)=0,"None",VLOOKUP(F215,tblMerits[],6,FALSE)),"None")</f>
        <v>None</v>
      </c>
      <c r="I215" s="69"/>
      <c r="L215" s="4"/>
      <c r="M215" s="4"/>
      <c r="N215" s="4"/>
      <c r="O215" s="61">
        <f t="shared" si="33"/>
        <v>0</v>
      </c>
      <c r="P215" s="60">
        <f t="shared" si="34"/>
        <v>0</v>
      </c>
      <c r="Q215" s="61" t="str">
        <f>_xlfn.IFNA(VLOOKUP($F215,tblPacts[],3,FALSE),"")</f>
        <v/>
      </c>
      <c r="R215" s="61" t="str">
        <f>_xlfn.IFNA(VLOOKUP($F215,tblPacts[],4,FALSE),"")</f>
        <v/>
      </c>
    </row>
    <row r="216" spans="1:18">
      <c r="A216" s="1" t="s">
        <v>215</v>
      </c>
      <c r="B216" t="str">
        <f t="shared" si="32"/>
        <v>¬</v>
      </c>
    </row>
    <row r="217" spans="1:18">
      <c r="A217" s="1" t="s">
        <v>216</v>
      </c>
      <c r="B217" t="str">
        <f>IF(OR(AF134=0,AF134=""),"",REPT("●",AF134))</f>
        <v>●●●</v>
      </c>
      <c r="D217" s="16" t="s">
        <v>1509</v>
      </c>
      <c r="E217" s="16"/>
      <c r="F217" s="16"/>
      <c r="G217" s="16"/>
      <c r="H217" s="16"/>
      <c r="I217" s="16"/>
    </row>
    <row r="218" spans="1:18">
      <c r="A218" s="1" t="s">
        <v>217</v>
      </c>
      <c r="B218" t="str">
        <f t="shared" ref="B218:B236" si="35">IF(OR(AF135=0,AF135=""),"",REPT("●",AF135))</f>
        <v>●</v>
      </c>
      <c r="D218" s="19"/>
      <c r="E218" s="15" t="s">
        <v>353</v>
      </c>
      <c r="F218" s="19"/>
      <c r="G218" s="19"/>
      <c r="H218" s="19"/>
      <c r="I218" s="19"/>
      <c r="M218" s="61">
        <f>IF(COUNTIF(F79:F93,"Giant")&gt;0,1,0)+IF(COUNTIF(F79:F93,"Small-Framed")&gt;0,-1,0)</f>
        <v>0</v>
      </c>
      <c r="P218" s="60">
        <f>5+M218</f>
        <v>5</v>
      </c>
    </row>
    <row r="219" spans="1:18">
      <c r="A219" s="1" t="s">
        <v>218</v>
      </c>
      <c r="B219" t="str">
        <f t="shared" si="35"/>
        <v>●●</v>
      </c>
      <c r="D219" s="19"/>
      <c r="E219" s="15" t="s">
        <v>354</v>
      </c>
      <c r="F219" s="19"/>
      <c r="G219" s="19"/>
      <c r="H219" s="19"/>
      <c r="I219" s="19"/>
      <c r="P219" s="60">
        <f ca="1">VLOOKUP("Size",INDIRECT($AH$1),2,FALSE)+VLOOKUP("Strength",INDIRECT($AH$1),2,FALSE)+VLOOKUP("Dexterity",INDIRECT($AH$1),2,FALSE)+VLOOKUP("Vigour",INDIRECT($AH$1),2,FALSE)</f>
        <v>9</v>
      </c>
    </row>
    <row r="220" spans="1:18">
      <c r="A220" s="1" t="s">
        <v>219</v>
      </c>
      <c r="B220" t="str">
        <f t="shared" si="35"/>
        <v/>
      </c>
      <c r="D220" s="19"/>
      <c r="E220" s="15" t="s">
        <v>355</v>
      </c>
      <c r="F220" s="19"/>
      <c r="G220" s="19"/>
      <c r="H220" s="19"/>
      <c r="I220" s="19"/>
      <c r="P220" s="60">
        <f ca="1">MIN(VLOOKUP("Dexterity",INDIRECT($AH$1),2,FALSE),VLOOKUP("Wits",INDIRECT($AH$1),2,FALSE))+VLOOKUP("Athletics",INDIRECT($AH$1),2,FALSE)</f>
        <v>3</v>
      </c>
    </row>
    <row r="221" spans="1:18">
      <c r="A221" s="1" t="s">
        <v>220</v>
      </c>
      <c r="B221" t="str">
        <f t="shared" si="35"/>
        <v/>
      </c>
      <c r="D221" s="19"/>
      <c r="E221" s="15" t="s">
        <v>52</v>
      </c>
      <c r="F221" s="19"/>
      <c r="G221" s="19"/>
      <c r="H221" s="19"/>
      <c r="I221" s="19"/>
      <c r="P221" s="60">
        <f ca="1">VLOOKUP("Size",INDIRECT($AH$1),2,FALSE)+VLOOKUP("Stamina",INDIRECT($AH$1),2,FALSE)+VLOOKUP("Resilience",INDIRECT($AH$1),2,FALSE)</f>
        <v>7</v>
      </c>
    </row>
    <row r="222" spans="1:18">
      <c r="A222" s="1" t="s">
        <v>221</v>
      </c>
      <c r="B222" t="str">
        <f t="shared" si="35"/>
        <v/>
      </c>
      <c r="D222" s="19"/>
      <c r="E222" s="19"/>
      <c r="F222" s="19"/>
      <c r="G222" s="19"/>
      <c r="H222" s="15" t="s">
        <v>1510</v>
      </c>
      <c r="I222" s="19"/>
      <c r="L222" s="4"/>
    </row>
    <row r="223" spans="1:18">
      <c r="A223" s="1" t="s">
        <v>222</v>
      </c>
      <c r="B223" t="str">
        <f t="shared" si="35"/>
        <v/>
      </c>
      <c r="D223" s="19"/>
      <c r="E223" s="15" t="s">
        <v>1511</v>
      </c>
      <c r="F223" s="7"/>
      <c r="G223" s="19"/>
      <c r="H223" s="15" t="s">
        <v>1512</v>
      </c>
      <c r="I223" s="19"/>
      <c r="L223" s="4"/>
    </row>
    <row r="224" spans="1:18">
      <c r="A224" s="1" t="s">
        <v>223</v>
      </c>
      <c r="B224" t="str">
        <f t="shared" si="35"/>
        <v/>
      </c>
      <c r="D224" s="19"/>
      <c r="E224" s="15" t="s">
        <v>1513</v>
      </c>
      <c r="F224" s="7"/>
      <c r="G224" s="19"/>
      <c r="H224" s="15" t="s">
        <v>1514</v>
      </c>
      <c r="I224" s="19"/>
      <c r="L224" s="4"/>
    </row>
    <row r="225" spans="1:12">
      <c r="A225" s="1" t="s">
        <v>224</v>
      </c>
      <c r="B225" t="str">
        <f t="shared" si="35"/>
        <v/>
      </c>
      <c r="D225" s="19"/>
      <c r="E225" s="15" t="s">
        <v>1515</v>
      </c>
      <c r="F225" s="7"/>
      <c r="G225" s="19"/>
      <c r="H225" s="15" t="s">
        <v>1516</v>
      </c>
      <c r="I225" s="19"/>
      <c r="L225" s="4"/>
    </row>
    <row r="226" spans="1:12">
      <c r="A226" s="1" t="s">
        <v>225</v>
      </c>
      <c r="B226" t="str">
        <f t="shared" si="35"/>
        <v/>
      </c>
      <c r="D226" s="19"/>
      <c r="E226" s="15" t="s">
        <v>1517</v>
      </c>
      <c r="F226" s="7"/>
      <c r="G226" s="19"/>
      <c r="H226" s="19"/>
      <c r="I226" s="19"/>
    </row>
    <row r="227" spans="1:12">
      <c r="A227" s="1" t="s">
        <v>226</v>
      </c>
      <c r="B227" t="str">
        <f t="shared" si="35"/>
        <v/>
      </c>
      <c r="D227" s="19"/>
      <c r="E227" s="15" t="s">
        <v>1518</v>
      </c>
      <c r="F227" s="7"/>
      <c r="G227" s="19"/>
      <c r="H227" s="19"/>
      <c r="I227" s="19"/>
    </row>
    <row r="228" spans="1:12">
      <c r="A228" s="1" t="s">
        <v>227</v>
      </c>
      <c r="B228" t="str">
        <f t="shared" si="35"/>
        <v/>
      </c>
      <c r="D228" s="19"/>
      <c r="E228" s="15" t="s">
        <v>1519</v>
      </c>
      <c r="F228" s="7"/>
      <c r="G228" s="19"/>
      <c r="H228" s="19"/>
      <c r="I228" s="19"/>
    </row>
    <row r="229" spans="1:12">
      <c r="A229" s="1" t="s">
        <v>228</v>
      </c>
      <c r="B229" t="str">
        <f t="shared" si="35"/>
        <v/>
      </c>
      <c r="D229" s="19"/>
      <c r="E229" s="15" t="s">
        <v>1520</v>
      </c>
      <c r="F229" s="7"/>
      <c r="G229" s="19"/>
      <c r="H229" s="19"/>
      <c r="I229" s="19"/>
    </row>
    <row r="230" spans="1:12">
      <c r="A230" s="1" t="s">
        <v>229</v>
      </c>
      <c r="B230" t="str">
        <f t="shared" si="35"/>
        <v/>
      </c>
      <c r="D230" s="19"/>
      <c r="E230" s="15" t="s">
        <v>1521</v>
      </c>
      <c r="F230" s="7"/>
      <c r="G230" s="19"/>
      <c r="H230" s="19"/>
      <c r="I230" s="19"/>
    </row>
    <row r="231" spans="1:12">
      <c r="A231" s="1" t="s">
        <v>230</v>
      </c>
      <c r="B231" t="str">
        <f t="shared" si="35"/>
        <v/>
      </c>
      <c r="D231" s="19"/>
      <c r="E231" s="15" t="s">
        <v>1522</v>
      </c>
      <c r="F231" s="7"/>
      <c r="G231" s="19"/>
      <c r="H231" s="19"/>
      <c r="I231" s="19"/>
    </row>
    <row r="232" spans="1:12">
      <c r="A232" s="1" t="s">
        <v>231</v>
      </c>
      <c r="B232" t="str">
        <f t="shared" si="35"/>
        <v/>
      </c>
      <c r="D232" s="19"/>
      <c r="E232" s="15" t="s">
        <v>1523</v>
      </c>
      <c r="F232" s="7"/>
      <c r="G232" s="19"/>
      <c r="H232" s="19"/>
      <c r="I232" s="19"/>
    </row>
    <row r="233" spans="1:12">
      <c r="A233" s="1" t="s">
        <v>232</v>
      </c>
      <c r="B233" t="str">
        <f t="shared" si="35"/>
        <v/>
      </c>
      <c r="D233" s="19"/>
      <c r="E233" s="19"/>
      <c r="F233" s="19"/>
      <c r="G233" s="19"/>
      <c r="H233" s="19"/>
      <c r="I233" s="19"/>
    </row>
    <row r="234" spans="1:12">
      <c r="A234" s="1" t="s">
        <v>233</v>
      </c>
      <c r="B234" t="str">
        <f t="shared" si="35"/>
        <v/>
      </c>
      <c r="D234" s="19"/>
      <c r="E234" s="15" t="s">
        <v>343</v>
      </c>
      <c r="F234" s="61" t="str">
        <f>_xlfn.IFNA(VLOOKUP(F7,tblClans[],4,FALSE),"")</f>
        <v>Wanton Curse</v>
      </c>
      <c r="G234" s="19"/>
      <c r="H234" s="74" t="str">
        <f>_xlfn.IFNA(VLOOKUP(F234,tblBanes[],2,FALSE),"")</f>
        <v>Hungry at 5 or fewer Vitae, Starving at 3 or fewer. Dramatic Failures on feeding cause Persistent Dependent Condition toward a mortal NPC.</v>
      </c>
      <c r="I234" s="74"/>
    </row>
    <row r="235" spans="1:12">
      <c r="A235" s="1" t="s">
        <v>234</v>
      </c>
      <c r="B235" t="str">
        <f t="shared" si="35"/>
        <v/>
      </c>
      <c r="D235" s="19"/>
      <c r="E235" s="15" t="s">
        <v>344</v>
      </c>
      <c r="F235" s="19"/>
      <c r="G235" s="19"/>
      <c r="H235" s="19"/>
      <c r="I235" s="19"/>
    </row>
    <row r="236" spans="1:12">
      <c r="A236" s="1" t="s">
        <v>235</v>
      </c>
      <c r="B236" t="str">
        <f t="shared" si="35"/>
        <v/>
      </c>
      <c r="D236" s="19"/>
      <c r="E236" s="15" t="s">
        <v>345</v>
      </c>
      <c r="F236" s="3"/>
      <c r="G236" s="19"/>
      <c r="H236" s="70" t="str">
        <f>_xlfn.IFNA(VLOOKUP(F236,tblBanes[],2,FALSE),"")</f>
        <v/>
      </c>
      <c r="I236" s="71"/>
    </row>
    <row r="237" spans="1:12">
      <c r="A237" s="1" t="s">
        <v>236</v>
      </c>
      <c r="B237" t="str">
        <f ca="1">_xlfn.LET(_xlpm.v,VLOOKUP(tblCharDataGel[[#This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_xlfn.LET(_xlpm.v,VLOOKUP(tblCharDataGel[[#This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_xlfn.LET(_xlpm.v,VLOOKUP(tblCharDataGel[[#This Row],[Field]],INDIRECT($AH$1),2,FALSE),IF(OR(_xlpm.v=0,_xlpm.v=""),"-",REPT("●",_xlpm.v)))</f>
        <v>●●</v>
      </c>
      <c r="D239" s="19"/>
      <c r="E239" s="19"/>
      <c r="F239" s="19"/>
      <c r="G239" s="19"/>
      <c r="H239" s="19"/>
      <c r="I239" s="19"/>
    </row>
    <row r="240" spans="1:12">
      <c r="A240" s="1" t="s">
        <v>239</v>
      </c>
      <c r="B240" t="str">
        <f ca="1">_xlfn.LET(_xlpm.v,VLOOKUP(tblCharDataGel[[#This Row],[Field]],INDIRECT($AH$1),2,FALSE),IF(OR(_xlpm.v=0,_xlpm.v=""),"-",REPT("●",_xlpm.v)))</f>
        <v>-</v>
      </c>
      <c r="D240" s="19"/>
      <c r="E240" s="15" t="s">
        <v>360</v>
      </c>
      <c r="F240" s="62"/>
      <c r="G240" s="63"/>
      <c r="H240" s="63"/>
      <c r="I240" s="64"/>
    </row>
    <row r="241" spans="1:9">
      <c r="A241" s="1" t="s">
        <v>240</v>
      </c>
      <c r="B241" t="str">
        <f ca="1">_xlfn.LET(_xlpm.v,VLOOKUP(tblCharDataGel[[#This Row],[Field]],INDIRECT($AH$1),2,FALSE),IF(OR(_xlpm.v=0,_xlpm.v=""),"-",REPT("●",_xlpm.v)))</f>
        <v>●</v>
      </c>
      <c r="D241" s="19"/>
      <c r="E241" s="15" t="s">
        <v>361</v>
      </c>
      <c r="F241" s="62"/>
      <c r="G241" s="63"/>
      <c r="H241" s="63"/>
      <c r="I241" s="64"/>
    </row>
    <row r="242" spans="1:9">
      <c r="A242" s="1" t="s">
        <v>241</v>
      </c>
      <c r="B242" t="str">
        <f ca="1">_xlfn.LET(_xlpm.v,VLOOKUP(tblCharDataGel[[#This Row],[Field]],INDIRECT($AH$1),2,FALSE),IF(OR(_xlpm.v=0,_xlpm.v=""),"-",REPT("●",_xlpm.v)))</f>
        <v>-</v>
      </c>
      <c r="D242" s="19"/>
      <c r="E242" s="15" t="s">
        <v>362</v>
      </c>
      <c r="F242" s="62"/>
      <c r="G242" s="63"/>
      <c r="H242" s="63"/>
      <c r="I242" s="64"/>
    </row>
    <row r="243" spans="1:9">
      <c r="A243" s="1" t="s">
        <v>242</v>
      </c>
      <c r="B243" t="str">
        <f ca="1">_xlfn.LET(_xlpm.v,VLOOKUP(tblCharDataGel[[#This Row],[Field]],INDIRECT($AH$1),2,FALSE),IF(OR(_xlpm.v=0,_xlpm.v=""),"-",REPT("●",_xlpm.v)))</f>
        <v>-</v>
      </c>
      <c r="D243" s="19"/>
      <c r="E243" s="19"/>
      <c r="F243" s="19"/>
      <c r="G243" s="19"/>
      <c r="H243" s="19"/>
      <c r="I243" s="19"/>
    </row>
    <row r="244" spans="1:9">
      <c r="A244" s="1" t="s">
        <v>243</v>
      </c>
      <c r="B244" t="str">
        <f ca="1">_xlfn.LET(_xlpm.v,VLOOKUP(tblCharDataGel[[#This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_xlfn.LET(_xlpm.v,VLOOKUP(tblCharDataGel[[#This Row],[Field]],INDIRECT($AH$1),2,FALSE),IF(OR(_xlpm.v=0,_xlpm.v=""),"-",REPT("●",_xlpm.v)))</f>
        <v>-</v>
      </c>
      <c r="D245" s="19"/>
      <c r="E245" s="15" t="s">
        <v>1524</v>
      </c>
      <c r="F245" s="62"/>
      <c r="G245" s="63"/>
      <c r="H245" s="63"/>
      <c r="I245" s="64"/>
    </row>
    <row r="246" spans="1:9">
      <c r="A246" s="1" t="s">
        <v>245</v>
      </c>
      <c r="B246" t="str">
        <f ca="1">_xlfn.LET(_xlpm.v,VLOOKUP(tblCharDataGel[[#This Row],[Field]],INDIRECT($AH$1),2,FALSE),IF(OR(_xlpm.v=0,_xlpm.v=""),"-",REPT("●",_xlpm.v)))</f>
        <v>-</v>
      </c>
    </row>
    <row r="247" spans="1:9">
      <c r="A247" s="1" t="s">
        <v>246</v>
      </c>
      <c r="B247" t="str">
        <f ca="1">_xlfn.LET(_xlpm.v,VLOOKUP(tblCharDataGel[[#This Row],[Field]],INDIRECT($AH$1),2,FALSE),IF(OR(_xlpm.v=0,_xlpm.v=""),"-",REPT("●",_xlpm.v)))</f>
        <v>-</v>
      </c>
      <c r="D247" s="16" t="s">
        <v>1525</v>
      </c>
      <c r="E247" s="16"/>
      <c r="F247" s="16" t="s">
        <v>1526</v>
      </c>
      <c r="G247" s="16" t="s">
        <v>1527</v>
      </c>
      <c r="H247" s="16"/>
      <c r="I247" s="16"/>
    </row>
    <row r="248" spans="1:9">
      <c r="A248" s="1" t="s">
        <v>247</v>
      </c>
      <c r="B248" t="str">
        <f ca="1">_xlfn.LET(_xlpm.v,VLOOKUP(tblCharDataGel[[#This Row],[Field]],INDIRECT($AH$1),2,FALSE),IF(OR(_xlpm.v=0,_xlpm.v=""),"-",REPT("●",_xlpm.v)))</f>
        <v>-</v>
      </c>
      <c r="D248" s="19"/>
      <c r="E248" s="15" t="s">
        <v>1528</v>
      </c>
      <c r="F248" s="7"/>
      <c r="G248" s="7"/>
      <c r="H248" s="19"/>
      <c r="I248" s="19" t="s">
        <v>1529</v>
      </c>
    </row>
    <row r="249" spans="1:9">
      <c r="A249" s="1" t="s">
        <v>248</v>
      </c>
      <c r="B249" t="str">
        <f ca="1">_xlfn.LET(_xlpm.v,VLOOKUP(tblCharDataGel[[#This Row],[Field]],INDIRECT($AH$1),2,FALSE),IF(OR(_xlpm.v=0,_xlpm.v=""),"-",REPT("●",_xlpm.v)))</f>
        <v>-</v>
      </c>
      <c r="D249" s="19"/>
      <c r="E249" s="15" t="s">
        <v>1530</v>
      </c>
      <c r="F249" s="7"/>
      <c r="G249" s="7"/>
      <c r="H249" s="19"/>
      <c r="I249" s="19" t="s">
        <v>1531</v>
      </c>
    </row>
    <row r="250" spans="1:9">
      <c r="A250" s="1" t="s">
        <v>249</v>
      </c>
      <c r="B250" t="str">
        <f ca="1">_xlfn.LET(_xlpm.v,VLOOKUP(tblCharDataGel[[#This Row],[Field]],INDIRECT($AH$1),2,FALSE),IF(OR(_xlpm.v=0,_xlpm.v=""),"-",REPT("●",_xlpm.v)))</f>
        <v>-</v>
      </c>
      <c r="D250" s="19" t="s">
        <v>1532</v>
      </c>
      <c r="E250" s="15" t="s">
        <v>1533</v>
      </c>
      <c r="F250" s="7"/>
      <c r="G250" s="7"/>
      <c r="H250" s="19"/>
      <c r="I250" s="19"/>
    </row>
    <row r="251" spans="1:9">
      <c r="A251" s="1" t="s">
        <v>250</v>
      </c>
      <c r="B251" t="str">
        <f ca="1">_xlfn.LET(_xlpm.v,VLOOKUP(tblCharDataGel[[#This Row],[Field]],INDIRECT($AH$1),2,FALSE),IF(OR(_xlpm.v=0,_xlpm.v=""),"-",REPT("●",_xlpm.v)))</f>
        <v>-</v>
      </c>
      <c r="D251" s="19" t="s">
        <v>1532</v>
      </c>
      <c r="E251" s="15" t="s">
        <v>1534</v>
      </c>
      <c r="F251" s="7"/>
      <c r="G251" s="7"/>
      <c r="H251" s="19"/>
      <c r="I251" s="19"/>
    </row>
    <row r="252" spans="1:9">
      <c r="A252" s="1" t="s">
        <v>251</v>
      </c>
      <c r="B252" t="str">
        <f ca="1">_xlfn.LET(_xlpm.v,VLOOKUP(tblCharDataGel[[#This Row],[Field]],INDIRECT($AH$1),2,FALSE),IF(OR(_xlpm.v=0,_xlpm.v=""),"-",REPT("●",_xlpm.v)))</f>
        <v>-</v>
      </c>
      <c r="D252" s="19" t="s">
        <v>1532</v>
      </c>
      <c r="E252" s="15" t="s">
        <v>1535</v>
      </c>
      <c r="F252" s="7"/>
      <c r="G252" s="7"/>
      <c r="H252" s="19"/>
      <c r="I252" s="19"/>
    </row>
    <row r="253" spans="1:9">
      <c r="A253" s="1" t="s">
        <v>252</v>
      </c>
      <c r="B253" t="str">
        <f ca="1">_xlfn.LET(_xlpm.v,VLOOKUP(tblCharDataGel[[#This Row],[Field]],INDIRECT($AH$1),2,FALSE),IF(OR(_xlpm.v=0,_xlpm.v=""),"-",REPT("●",_xlpm.v)))</f>
        <v>-</v>
      </c>
      <c r="D253" s="19" t="s">
        <v>1532</v>
      </c>
      <c r="E253" s="15" t="s">
        <v>1536</v>
      </c>
      <c r="F253" s="7"/>
      <c r="G253" s="7"/>
      <c r="H253" s="19"/>
      <c r="I253" s="19"/>
    </row>
    <row r="254" spans="1:9">
      <c r="A254" s="1" t="s">
        <v>253</v>
      </c>
      <c r="B254" t="str">
        <f t="shared" ref="B254:B283" si="36">IF(AD44="","¬",AD44)</f>
        <v>Celerity ●●</v>
      </c>
      <c r="D254" s="19" t="s">
        <v>1532</v>
      </c>
      <c r="E254" s="15" t="s">
        <v>1537</v>
      </c>
      <c r="F254" s="7"/>
      <c r="G254" s="7"/>
      <c r="H254" s="19"/>
      <c r="I254" s="19"/>
    </row>
    <row r="255" spans="1:9">
      <c r="A255" s="1" t="s">
        <v>254</v>
      </c>
      <c r="B255" t="str">
        <f t="shared" si="36"/>
        <v>Majesty ● | Awe</v>
      </c>
      <c r="D255" s="19" t="s">
        <v>1532</v>
      </c>
      <c r="E255" s="15" t="s">
        <v>1538</v>
      </c>
      <c r="F255" s="7"/>
      <c r="G255" s="7"/>
      <c r="H255" s="19"/>
      <c r="I255" s="19"/>
    </row>
    <row r="256" spans="1:9">
      <c r="A256" s="1" t="s">
        <v>255</v>
      </c>
      <c r="B256" t="str">
        <f t="shared" si="36"/>
        <v>¬</v>
      </c>
      <c r="D256" s="19" t="s">
        <v>1532</v>
      </c>
      <c r="E256" s="15" t="s">
        <v>1539</v>
      </c>
      <c r="F256" s="7"/>
      <c r="G256" s="7"/>
      <c r="H256" s="19"/>
      <c r="I256" s="19"/>
    </row>
    <row r="257" spans="1:9">
      <c r="A257" s="1" t="s">
        <v>256</v>
      </c>
      <c r="B257" t="str">
        <f t="shared" si="36"/>
        <v>¬</v>
      </c>
      <c r="D257" s="19" t="s">
        <v>1532</v>
      </c>
      <c r="E257" s="15" t="s">
        <v>1540</v>
      </c>
      <c r="F257" s="7"/>
      <c r="G257" s="7"/>
      <c r="H257" s="19"/>
      <c r="I257" s="19"/>
    </row>
    <row r="258" spans="1:9">
      <c r="A258" s="1" t="s">
        <v>257</v>
      </c>
      <c r="B258" t="str">
        <f t="shared" si="36"/>
        <v>¬</v>
      </c>
      <c r="D258" s="19" t="s">
        <v>1532</v>
      </c>
      <c r="E258" s="15" t="s">
        <v>1541</v>
      </c>
      <c r="F258" s="7"/>
      <c r="G258" s="7"/>
      <c r="H258" s="19"/>
      <c r="I258" s="19"/>
    </row>
    <row r="259" spans="1:9">
      <c r="A259" s="1" t="s">
        <v>258</v>
      </c>
      <c r="B259" t="str">
        <f t="shared" si="36"/>
        <v>¬</v>
      </c>
      <c r="D259" s="19" t="s">
        <v>1532</v>
      </c>
      <c r="E259" s="15" t="s">
        <v>1542</v>
      </c>
      <c r="F259" s="7"/>
      <c r="G259" s="7"/>
      <c r="H259" s="19"/>
      <c r="I259" s="19"/>
    </row>
    <row r="260" spans="1:9">
      <c r="A260" s="1" t="s">
        <v>259</v>
      </c>
      <c r="B260" t="str">
        <f t="shared" si="36"/>
        <v>¬</v>
      </c>
      <c r="D260" s="19" t="s">
        <v>1532</v>
      </c>
      <c r="E260" s="15" t="s">
        <v>1543</v>
      </c>
      <c r="F260" s="7"/>
      <c r="G260" s="7"/>
      <c r="H260" s="19"/>
      <c r="I260" s="19"/>
    </row>
    <row r="261" spans="1:9">
      <c r="A261" s="1" t="s">
        <v>260</v>
      </c>
      <c r="B261" t="str">
        <f t="shared" si="36"/>
        <v>¬</v>
      </c>
      <c r="D261" s="19" t="s">
        <v>1532</v>
      </c>
      <c r="E261" s="15" t="s">
        <v>1544</v>
      </c>
      <c r="F261" s="7"/>
      <c r="G261" s="7"/>
      <c r="H261" s="19"/>
      <c r="I261" s="19"/>
    </row>
    <row r="262" spans="1:9">
      <c r="A262" s="1" t="s">
        <v>261</v>
      </c>
      <c r="B262" t="str">
        <f t="shared" si="36"/>
        <v>¬</v>
      </c>
      <c r="D262" s="19" t="s">
        <v>1532</v>
      </c>
      <c r="E262" s="15" t="s">
        <v>1545</v>
      </c>
      <c r="F262" s="7"/>
      <c r="G262" s="7"/>
      <c r="H262" s="19"/>
      <c r="I262" s="19"/>
    </row>
    <row r="263" spans="1:9">
      <c r="A263" s="1" t="s">
        <v>262</v>
      </c>
      <c r="B263" t="str">
        <f t="shared" si="36"/>
        <v>¬</v>
      </c>
      <c r="D263" s="19" t="s">
        <v>1532</v>
      </c>
      <c r="E263" s="15" t="s">
        <v>1546</v>
      </c>
      <c r="F263" s="7"/>
      <c r="G263" s="7"/>
      <c r="H263" s="19"/>
      <c r="I263" s="19"/>
    </row>
    <row r="264" spans="1:9">
      <c r="A264" s="1" t="s">
        <v>263</v>
      </c>
      <c r="B264" t="str">
        <f t="shared" si="36"/>
        <v>¬</v>
      </c>
      <c r="D264" s="19" t="s">
        <v>1532</v>
      </c>
      <c r="E264" s="15" t="s">
        <v>1547</v>
      </c>
      <c r="F264" s="7"/>
      <c r="G264" s="7"/>
      <c r="H264" s="19"/>
      <c r="I264" s="19"/>
    </row>
    <row r="265" spans="1:9">
      <c r="A265" s="1" t="s">
        <v>264</v>
      </c>
      <c r="B265" t="str">
        <f t="shared" si="36"/>
        <v>¬</v>
      </c>
      <c r="D265" s="19" t="s">
        <v>1532</v>
      </c>
      <c r="E265" s="15" t="s">
        <v>1548</v>
      </c>
      <c r="F265" s="7"/>
      <c r="G265" s="7"/>
      <c r="H265" s="19"/>
      <c r="I265" s="19"/>
    </row>
    <row r="266" spans="1:9">
      <c r="A266" s="1" t="s">
        <v>265</v>
      </c>
      <c r="B266" t="str">
        <f t="shared" si="36"/>
        <v>¬</v>
      </c>
      <c r="D266" s="19" t="s">
        <v>1532</v>
      </c>
      <c r="E266" s="15" t="s">
        <v>1549</v>
      </c>
      <c r="F266" s="7"/>
      <c r="G266" s="7"/>
      <c r="H266" s="19"/>
      <c r="I266" s="19"/>
    </row>
    <row r="267" spans="1:9">
      <c r="A267" s="1" t="s">
        <v>266</v>
      </c>
      <c r="B267" t="str">
        <f t="shared" si="36"/>
        <v>¬</v>
      </c>
      <c r="D267" s="19" t="s">
        <v>1532</v>
      </c>
      <c r="E267" s="15" t="s">
        <v>1550</v>
      </c>
      <c r="F267" s="7"/>
      <c r="G267" s="7"/>
      <c r="H267" s="19"/>
      <c r="I267" s="19"/>
    </row>
    <row r="268" spans="1:9">
      <c r="A268" s="1" t="s">
        <v>267</v>
      </c>
      <c r="B268" t="str">
        <f t="shared" si="36"/>
        <v>¬</v>
      </c>
      <c r="D268" s="19" t="s">
        <v>1532</v>
      </c>
      <c r="E268" s="15" t="s">
        <v>1551</v>
      </c>
      <c r="F268" s="7"/>
      <c r="G268" s="7"/>
      <c r="H268" s="19"/>
      <c r="I268" s="19"/>
    </row>
    <row r="269" spans="1:9">
      <c r="A269" s="1" t="s">
        <v>268</v>
      </c>
      <c r="B269" t="str">
        <f t="shared" si="36"/>
        <v>¬</v>
      </c>
      <c r="D269" s="19" t="s">
        <v>1532</v>
      </c>
      <c r="E269" s="15" t="s">
        <v>1552</v>
      </c>
      <c r="F269" s="7"/>
      <c r="G269" s="7"/>
      <c r="H269" s="19"/>
      <c r="I269" s="19"/>
    </row>
    <row r="270" spans="1:9">
      <c r="A270" s="1" t="s">
        <v>269</v>
      </c>
      <c r="B270" t="str">
        <f t="shared" si="36"/>
        <v>¬</v>
      </c>
      <c r="D270" s="19" t="s">
        <v>1532</v>
      </c>
      <c r="E270" s="15" t="s">
        <v>1553</v>
      </c>
      <c r="F270" s="7"/>
      <c r="G270" s="7"/>
      <c r="H270" s="19"/>
      <c r="I270" s="19"/>
    </row>
    <row r="271" spans="1:9">
      <c r="A271" s="1" t="s">
        <v>270</v>
      </c>
      <c r="B271" t="str">
        <f t="shared" si="36"/>
        <v>¬</v>
      </c>
      <c r="D271" s="19" t="s">
        <v>1532</v>
      </c>
      <c r="E271" s="15" t="s">
        <v>1554</v>
      </c>
      <c r="F271" s="7"/>
      <c r="G271" s="7"/>
      <c r="H271" s="19"/>
      <c r="I271" s="19"/>
    </row>
    <row r="272" spans="1:9">
      <c r="A272" s="1" t="s">
        <v>271</v>
      </c>
      <c r="B272" t="str">
        <f t="shared" si="36"/>
        <v>¬</v>
      </c>
      <c r="D272" s="19" t="s">
        <v>1532</v>
      </c>
      <c r="E272" s="15" t="s">
        <v>1555</v>
      </c>
      <c r="F272" s="7"/>
      <c r="G272" s="7"/>
      <c r="H272" s="19"/>
      <c r="I272" s="19"/>
    </row>
    <row r="273" spans="1:14">
      <c r="A273" s="1" t="s">
        <v>272</v>
      </c>
      <c r="B273" t="str">
        <f t="shared" si="36"/>
        <v>¬</v>
      </c>
      <c r="D273" s="19" t="s">
        <v>1532</v>
      </c>
      <c r="E273" s="15" t="s">
        <v>1556</v>
      </c>
      <c r="F273" s="7"/>
      <c r="G273" s="7"/>
      <c r="H273" s="19"/>
      <c r="I273" s="19"/>
    </row>
    <row r="274" spans="1:14">
      <c r="A274" s="1" t="s">
        <v>273</v>
      </c>
      <c r="B274" t="str">
        <f t="shared" si="36"/>
        <v>¬</v>
      </c>
      <c r="D274" s="19" t="s">
        <v>1532</v>
      </c>
      <c r="E274" s="15" t="s">
        <v>1557</v>
      </c>
      <c r="F274" s="7"/>
      <c r="G274" s="7"/>
      <c r="H274" s="19"/>
      <c r="I274" s="19"/>
    </row>
    <row r="275" spans="1:14">
      <c r="A275" s="1" t="s">
        <v>274</v>
      </c>
      <c r="B275" t="str">
        <f t="shared" si="36"/>
        <v>¬</v>
      </c>
      <c r="D275" s="19" t="s">
        <v>1532</v>
      </c>
      <c r="E275" s="15" t="s">
        <v>1558</v>
      </c>
      <c r="F275" s="7"/>
      <c r="G275" s="7"/>
      <c r="H275" s="19"/>
      <c r="I275" s="19"/>
    </row>
    <row r="276" spans="1:14">
      <c r="A276" s="1" t="s">
        <v>275</v>
      </c>
      <c r="B276" t="str">
        <f t="shared" si="36"/>
        <v>¬</v>
      </c>
      <c r="D276" s="19" t="s">
        <v>1532</v>
      </c>
      <c r="E276" s="15" t="s">
        <v>1559</v>
      </c>
      <c r="F276" s="7"/>
      <c r="G276" s="7"/>
      <c r="H276" s="19"/>
      <c r="I276" s="19"/>
    </row>
    <row r="277" spans="1:14">
      <c r="A277" s="1" t="s">
        <v>276</v>
      </c>
      <c r="B277" t="str">
        <f t="shared" si="36"/>
        <v>¬</v>
      </c>
      <c r="D277" s="19" t="s">
        <v>1532</v>
      </c>
      <c r="E277" s="15" t="s">
        <v>1560</v>
      </c>
      <c r="F277" s="7"/>
      <c r="G277" s="7"/>
      <c r="H277" s="19"/>
      <c r="I277" s="19"/>
    </row>
    <row r="278" spans="1:14">
      <c r="A278" s="1" t="s">
        <v>277</v>
      </c>
      <c r="B278" t="str">
        <f t="shared" si="36"/>
        <v>¬</v>
      </c>
    </row>
    <row r="279" spans="1:14">
      <c r="A279" s="1" t="s">
        <v>278</v>
      </c>
      <c r="B279" t="str">
        <f t="shared" si="36"/>
        <v>¬</v>
      </c>
      <c r="D279" s="16" t="s">
        <v>1561</v>
      </c>
      <c r="E279" s="16"/>
      <c r="F279" s="16" t="s">
        <v>1347</v>
      </c>
      <c r="G279" s="16" t="s">
        <v>1348</v>
      </c>
      <c r="H279" s="16" t="s">
        <v>1349</v>
      </c>
      <c r="I279" s="16" t="s">
        <v>1350</v>
      </c>
      <c r="N279" s="60">
        <f ca="1">SUM(N280:N282)</f>
        <v>0</v>
      </c>
    </row>
    <row r="280" spans="1:14">
      <c r="A280" s="1" t="s">
        <v>279</v>
      </c>
      <c r="B280" t="str">
        <f t="shared" si="36"/>
        <v>¬</v>
      </c>
      <c r="D280" s="61" t="str" cm="1">
        <f t="array" aca="1" ref="D280" ca="1">INDEX(Attendance!$C$14:$GP$44,
       MATCH($F$4, Attendance!$C$14:$C$44, 0),
       MATCH(1, (Attendance!$C$12:$GP$12=$E280) * (Attendance!$C$13:$GP$13="Paid"), 0)
)</f>
        <v>Absent</v>
      </c>
      <c r="E280" s="41">
        <v>46054</v>
      </c>
      <c r="F280" s="61" cm="1">
        <f t="array" aca="1" ref="F280" ca="1">N(INDEX(Attendance!$C$14:$GP$104,
       MATCH($F$4, Attendance!$C$14:$C$104, 0),
       MATCH(1, (Attendance!$C$12:$GP$12=$E280) * (Attendance!$C$13:$GP$13=$F$279), 0)
))</f>
        <v>0</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0</v>
      </c>
      <c r="I280" s="61" t="str" cm="1">
        <f t="array" aca="1" ref="I280" ca="1">INDEX(Attendance!$C$14:$GP$44,
       MATCH($F$4, Attendance!$C$14:$C$44, 0),
       MATCH(1, (Attendance!$C$12:$GP$12=$E280) * (Attendance!$C$13:$GP$13=$I$279), 0)
)</f>
        <v>Quiet</v>
      </c>
      <c r="K280" s="18"/>
      <c r="L280" s="18"/>
      <c r="M280" s="18" t="s">
        <v>1562</v>
      </c>
      <c r="N280" s="61">
        <f ca="1">SUM(F$280:F$316)</f>
        <v>0</v>
      </c>
    </row>
    <row r="281" spans="1:14">
      <c r="A281" s="1" t="s">
        <v>280</v>
      </c>
      <c r="B281" t="str">
        <f t="shared" si="36"/>
        <v>¬</v>
      </c>
      <c r="D281" s="61" t="str" cm="1">
        <f t="array" aca="1" ref="D281" ca="1">INDEX(Attendance!$C$14:$GP$44,
       MATCH($F$4, Attendance!$C$14:$C$44, 0),
       MATCH(1, (Attendance!$C$12:$GP$12=$E281) * (Attendance!$C$13:$GP$13="Paid"), 0)
)</f>
        <v> </v>
      </c>
      <c r="E281" s="42">
        <f t="shared" ref="E281:E316" si="37">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6"/>
        <v>¬</v>
      </c>
      <c r="D282" s="61" t="str" cm="1">
        <f t="array" aca="1" ref="D282" ca="1">INDEX(Attendance!$C$14:$GP$44,
       MATCH($F$4, Attendance!$C$14:$C$44, 0),
       MATCH(1, (Attendance!$C$12:$GP$12=$E282) * (Attendance!$C$13:$GP$13="Paid"), 0)
)</f>
        <v> </v>
      </c>
      <c r="E282" s="42">
        <f t="shared" si="37"/>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0</v>
      </c>
    </row>
    <row r="283" spans="1:14">
      <c r="A283" s="1" t="s">
        <v>282</v>
      </c>
      <c r="B283" t="str">
        <f t="shared" si="36"/>
        <v>¬</v>
      </c>
      <c r="D283" s="61" t="str" cm="1">
        <f t="array" aca="1" ref="D283" ca="1">INDEX(Attendance!$C$14:$GP$44,
       MATCH($F$4, Attendance!$C$14:$C$44, 0),
       MATCH(1, (Attendance!$C$12:$GP$12=$E283) * (Attendance!$C$13:$GP$13="Paid"), 0)
)</f>
        <v> </v>
      </c>
      <c r="E283" s="42">
        <f t="shared" si="37"/>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8">IF(AE44="","¬",AE44)</f>
        <v>Cost: 1 V per effect  •  Pool: -  •  Reflexive  •  1 turn</v>
      </c>
      <c r="D284" s="61" t="str" cm="1">
        <f t="array" aca="1" ref="D284" ca="1">INDEX(Attendance!$C$14:$GP$44,
       MATCH($F$4, Attendance!$C$14:$C$44, 0),
       MATCH(1, (Attendance!$C$12:$GP$12=$E284) * (Attendance!$C$13:$GP$13="Paid"), 0)
)</f>
        <v> </v>
      </c>
      <c r="E284" s="42">
        <f t="shared" si="37"/>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8"/>
        <v>Cost: -  •  Pool: -  •  Instant  •  Scene</v>
      </c>
      <c r="D285" s="61" t="str" cm="1">
        <f t="array" aca="1" ref="D285" ca="1">INDEX(Attendance!$C$14:$GP$44,
       MATCH($F$4, Attendance!$C$14:$C$44, 0),
       MATCH(1, (Attendance!$C$12:$GP$12=$E285) * (Attendance!$C$13:$GP$13="Paid"), 0)
)</f>
        <v> </v>
      </c>
      <c r="E285" s="42">
        <f t="shared" si="37"/>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8"/>
        <v>¬</v>
      </c>
      <c r="D286" s="61" t="str" cm="1">
        <f t="array" aca="1" ref="D286" ca="1">INDEX(Attendance!$C$14:$GP$44,
       MATCH($F$4, Attendance!$C$14:$C$44, 0),
       MATCH(1, (Attendance!$C$12:$GP$12=$E286) * (Attendance!$C$13:$GP$13="Paid"), 0)
)</f>
        <v> </v>
      </c>
      <c r="E286" s="42">
        <f t="shared" si="37"/>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8"/>
        <v>¬</v>
      </c>
      <c r="D287" s="61" t="str" cm="1">
        <f t="array" aca="1" ref="D287" ca="1">INDEX(Attendance!$C$14:$GP$44,
       MATCH($F$4, Attendance!$C$14:$C$44, 0),
       MATCH(1, (Attendance!$C$12:$GP$12=$E287) * (Attendance!$C$13:$GP$13="Paid"), 0)
)</f>
        <v> </v>
      </c>
      <c r="E287" s="42">
        <f t="shared" si="37"/>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8"/>
        <v>¬</v>
      </c>
      <c r="D288" s="61" t="str" cm="1">
        <f t="array" aca="1" ref="D288" ca="1">INDEX(Attendance!$C$14:$GP$44,
       MATCH($F$4, Attendance!$C$14:$C$44, 0),
       MATCH(1, (Attendance!$C$12:$GP$12=$E288) * (Attendance!$C$13:$GP$13="Paid"), 0)
)</f>
        <v> </v>
      </c>
      <c r="E288" s="42">
        <f t="shared" si="37"/>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8"/>
        <v>¬</v>
      </c>
      <c r="D289" s="61" t="str" cm="1">
        <f t="array" aca="1" ref="D289" ca="1">INDEX(Attendance!$C$14:$GP$44,
       MATCH($F$4, Attendance!$C$14:$C$44, 0),
       MATCH(1, (Attendance!$C$12:$GP$12=$E289) * (Attendance!$C$13:$GP$13="Paid"), 0)
)</f>
        <v> </v>
      </c>
      <c r="E289" s="42">
        <f t="shared" si="37"/>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8"/>
        <v>¬</v>
      </c>
      <c r="D290" s="61" t="str" cm="1">
        <f t="array" aca="1" ref="D290" ca="1">INDEX(Attendance!$C$14:$GP$44,
       MATCH($F$4, Attendance!$C$14:$C$44, 0),
       MATCH(1, (Attendance!$C$12:$GP$12=$E290) * (Attendance!$C$13:$GP$13="Paid"), 0)
)</f>
        <v> </v>
      </c>
      <c r="E290" s="42">
        <f t="shared" si="37"/>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8"/>
        <v>¬</v>
      </c>
      <c r="D291" s="61" t="str" cm="1">
        <f t="array" aca="1" ref="D291" ca="1">INDEX(Attendance!$C$14:$GP$44,
       MATCH($F$4, Attendance!$C$14:$C$44, 0),
       MATCH(1, (Attendance!$C$12:$GP$12=$E291) * (Attendance!$C$13:$GP$13="Paid"), 0)
)</f>
        <v> </v>
      </c>
      <c r="E291" s="42">
        <f t="shared" si="37"/>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8"/>
        <v>¬</v>
      </c>
      <c r="D292" s="61" t="str" cm="1">
        <f t="array" aca="1" ref="D292" ca="1">INDEX(Attendance!$C$14:$GP$44,
       MATCH($F$4, Attendance!$C$14:$C$44, 0),
       MATCH(1, (Attendance!$C$12:$GP$12=$E292) * (Attendance!$C$13:$GP$13="Paid"), 0)
)</f>
        <v> </v>
      </c>
      <c r="E292" s="42">
        <f t="shared" si="37"/>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8"/>
        <v>¬</v>
      </c>
      <c r="D293" s="61" t="str" cm="1">
        <f t="array" aca="1" ref="D293" ca="1">INDEX(Attendance!$C$14:$GP$44,
       MATCH($F$4, Attendance!$C$14:$C$44, 0),
       MATCH(1, (Attendance!$C$12:$GP$12=$E293) * (Attendance!$C$13:$GP$13="Paid"), 0)
)</f>
        <v> </v>
      </c>
      <c r="E293" s="42">
        <f t="shared" si="37"/>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8"/>
        <v>¬</v>
      </c>
      <c r="D294" s="61" t="str" cm="1">
        <f t="array" aca="1" ref="D294" ca="1">INDEX(Attendance!$C$14:$GP$44,
       MATCH($F$4, Attendance!$C$14:$C$44, 0),
       MATCH(1, (Attendance!$C$12:$GP$12=$E294) * (Attendance!$C$13:$GP$13="Paid"), 0)
)</f>
        <v> </v>
      </c>
      <c r="E294" s="42">
        <f t="shared" si="37"/>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8"/>
        <v>¬</v>
      </c>
      <c r="D295" s="61" t="str" cm="1">
        <f t="array" aca="1" ref="D295" ca="1">INDEX(Attendance!$C$14:$GP$44,
       MATCH($F$4, Attendance!$C$14:$C$44, 0),
       MATCH(1, (Attendance!$C$12:$GP$12=$E295) * (Attendance!$C$13:$GP$13="Paid"), 0)
)</f>
        <v> </v>
      </c>
      <c r="E295" s="42">
        <f t="shared" si="37"/>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8"/>
        <v>¬</v>
      </c>
      <c r="D296" s="61" t="str" cm="1">
        <f t="array" aca="1" ref="D296" ca="1">INDEX(Attendance!$C$14:$GP$44,
       MATCH($F$4, Attendance!$C$14:$C$44, 0),
       MATCH(1, (Attendance!$C$12:$GP$12=$E296) * (Attendance!$C$13:$GP$13="Paid"), 0)
)</f>
        <v> </v>
      </c>
      <c r="E296" s="42">
        <f t="shared" si="37"/>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8"/>
        <v>¬</v>
      </c>
      <c r="D297" s="61" t="str" cm="1">
        <f t="array" aca="1" ref="D297" ca="1">INDEX(Attendance!$C$14:$GP$44,
       MATCH($F$4, Attendance!$C$14:$C$44, 0),
       MATCH(1, (Attendance!$C$12:$GP$12=$E297) * (Attendance!$C$13:$GP$13="Paid"), 0)
)</f>
        <v> </v>
      </c>
      <c r="E297" s="42">
        <f t="shared" si="37"/>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8"/>
        <v>¬</v>
      </c>
      <c r="D298" s="61" t="str" cm="1">
        <f t="array" aca="1" ref="D298" ca="1">INDEX(Attendance!$C$14:$GP$44,
       MATCH($F$4, Attendance!$C$14:$C$44, 0),
       MATCH(1, (Attendance!$C$12:$GP$12=$E298) * (Attendance!$C$13:$GP$13="Paid"), 0)
)</f>
        <v> </v>
      </c>
      <c r="E298" s="42">
        <f t="shared" si="37"/>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8"/>
        <v>¬</v>
      </c>
      <c r="D299" s="61" t="str" cm="1">
        <f t="array" aca="1" ref="D299" ca="1">INDEX(Attendance!$C$14:$GP$44,
       MATCH($F$4, Attendance!$C$14:$C$44, 0),
       MATCH(1, (Attendance!$C$12:$GP$12=$E299) * (Attendance!$C$13:$GP$13="Paid"), 0)
)</f>
        <v> </v>
      </c>
      <c r="E299" s="42">
        <f t="shared" si="37"/>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8"/>
        <v>¬</v>
      </c>
      <c r="D300" s="61" t="str" cm="1">
        <f t="array" aca="1" ref="D300" ca="1">INDEX(Attendance!$C$14:$GP$44,
       MATCH($F$4, Attendance!$C$14:$C$44, 0),
       MATCH(1, (Attendance!$C$12:$GP$12=$E300) * (Attendance!$C$13:$GP$13="Paid"), 0)
)</f>
        <v> </v>
      </c>
      <c r="E300" s="42">
        <f t="shared" si="37"/>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8"/>
        <v>¬</v>
      </c>
      <c r="D301" s="61" t="str" cm="1">
        <f t="array" aca="1" ref="D301" ca="1">INDEX(Attendance!$C$14:$GP$44,
       MATCH($F$4, Attendance!$C$14:$C$44, 0),
       MATCH(1, (Attendance!$C$12:$GP$12=$E301) * (Attendance!$C$13:$GP$13="Paid"), 0)
)</f>
        <v> </v>
      </c>
      <c r="E301" s="42">
        <f t="shared" si="37"/>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8"/>
        <v>¬</v>
      </c>
      <c r="D302" s="61" t="str" cm="1">
        <f t="array" aca="1" ref="D302" ca="1">INDEX(Attendance!$C$14:$GP$44,
       MATCH($F$4, Attendance!$C$14:$C$44, 0),
       MATCH(1, (Attendance!$C$12:$GP$12=$E302) * (Attendance!$C$13:$GP$13="Paid"), 0)
)</f>
        <v> </v>
      </c>
      <c r="E302" s="42">
        <f t="shared" si="37"/>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8"/>
        <v>¬</v>
      </c>
      <c r="D303" s="61" t="str" cm="1">
        <f t="array" aca="1" ref="D303" ca="1">INDEX(Attendance!$C$14:$GP$44,
       MATCH($F$4, Attendance!$C$14:$C$44, 0),
       MATCH(1, (Attendance!$C$12:$GP$12=$E303) * (Attendance!$C$13:$GP$13="Paid"), 0)
)</f>
        <v> </v>
      </c>
      <c r="E303" s="42">
        <f t="shared" si="37"/>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8"/>
        <v>¬</v>
      </c>
      <c r="D304" s="61" t="str" cm="1">
        <f t="array" aca="1" ref="D304" ca="1">INDEX(Attendance!$C$14:$GP$44,
       MATCH($F$4, Attendance!$C$14:$C$44, 0),
       MATCH(1, (Attendance!$C$12:$GP$12=$E304) * (Attendance!$C$13:$GP$13="Paid"), 0)
)</f>
        <v> </v>
      </c>
      <c r="E304" s="42">
        <f t="shared" si="37"/>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8"/>
        <v>¬</v>
      </c>
      <c r="D305" s="61" t="str" cm="1">
        <f t="array" aca="1" ref="D305" ca="1">INDEX(Attendance!$C$14:$GP$44,
       MATCH($F$4, Attendance!$C$14:$C$44, 0),
       MATCH(1, (Attendance!$C$12:$GP$12=$E305) * (Attendance!$C$13:$GP$13="Paid"), 0)
)</f>
        <v> </v>
      </c>
      <c r="E305" s="42">
        <f t="shared" si="37"/>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8"/>
        <v>¬</v>
      </c>
      <c r="D306" s="61" t="str" cm="1">
        <f t="array" aca="1" ref="D306" ca="1">INDEX(Attendance!$C$14:$GP$44,
       MATCH($F$4, Attendance!$C$14:$C$44, 0),
       MATCH(1, (Attendance!$C$12:$GP$12=$E306) * (Attendance!$C$13:$GP$13="Paid"), 0)
)</f>
        <v> </v>
      </c>
      <c r="E306" s="42">
        <f t="shared" si="37"/>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8"/>
        <v>¬</v>
      </c>
      <c r="D307" s="61" t="str" cm="1">
        <f t="array" aca="1" ref="D307" ca="1">INDEX(Attendance!$C$14:$GP$44,
       MATCH($F$4, Attendance!$C$14:$C$44, 0),
       MATCH(1, (Attendance!$C$12:$GP$12=$E307) * (Attendance!$C$13:$GP$13="Paid"), 0)
)</f>
        <v> </v>
      </c>
      <c r="E307" s="42">
        <f t="shared" si="37"/>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8"/>
        <v>¬</v>
      </c>
      <c r="D308" s="61" t="str" cm="1">
        <f t="array" aca="1" ref="D308" ca="1">INDEX(Attendance!$C$14:$GP$44,
       MATCH($F$4, Attendance!$C$14:$C$44, 0),
       MATCH(1, (Attendance!$C$12:$GP$12=$E308) * (Attendance!$C$13:$GP$13="Paid"), 0)
)</f>
        <v> </v>
      </c>
      <c r="E308" s="42">
        <f t="shared" si="37"/>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8"/>
        <v>¬</v>
      </c>
      <c r="D309" s="61" t="str" cm="1">
        <f t="array" aca="1" ref="D309" ca="1">INDEX(Attendance!$C$14:$GP$44,
       MATCH($F$4, Attendance!$C$14:$C$44, 0),
       MATCH(1, (Attendance!$C$12:$GP$12=$E309) * (Attendance!$C$13:$GP$13="Paid"), 0)
)</f>
        <v> </v>
      </c>
      <c r="E309" s="42">
        <f t="shared" si="37"/>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8"/>
        <v>¬</v>
      </c>
      <c r="D310" s="61" t="str" cm="1">
        <f t="array" aca="1" ref="D310" ca="1">INDEX(Attendance!$C$14:$GP$44,
       MATCH($F$4, Attendance!$C$14:$C$44, 0),
       MATCH(1, (Attendance!$C$12:$GP$12=$E310) * (Attendance!$C$13:$GP$13="Paid"), 0)
)</f>
        <v> </v>
      </c>
      <c r="E310" s="42">
        <f t="shared" si="37"/>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8"/>
        <v>¬</v>
      </c>
      <c r="D311" s="61" t="str" cm="1">
        <f t="array" aca="1" ref="D311" ca="1">INDEX(Attendance!$C$14:$GP$44,
       MATCH($F$4, Attendance!$C$14:$C$44, 0),
       MATCH(1, (Attendance!$C$12:$GP$12=$E311) * (Attendance!$C$13:$GP$13="Paid"), 0)
)</f>
        <v> </v>
      </c>
      <c r="E311" s="42">
        <f t="shared" si="37"/>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8"/>
        <v>¬</v>
      </c>
      <c r="D312" s="61" t="str" cm="1">
        <f t="array" aca="1" ref="D312" ca="1">INDEX(Attendance!$C$14:$GP$44,
       MATCH($F$4, Attendance!$C$14:$C$44, 0),
       MATCH(1, (Attendance!$C$12:$GP$12=$E312) * (Attendance!$C$13:$GP$13="Paid"), 0)
)</f>
        <v> </v>
      </c>
      <c r="E312" s="42">
        <f t="shared" si="37"/>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8"/>
        <v>¬</v>
      </c>
      <c r="D313" s="61" t="str" cm="1">
        <f t="array" aca="1" ref="D313" ca="1">INDEX(Attendance!$C$14:$GP$44,
       MATCH($F$4, Attendance!$C$14:$C$44, 0),
       MATCH(1, (Attendance!$C$12:$GP$12=$E313) * (Attendance!$C$13:$GP$13="Paid"), 0)
)</f>
        <v> </v>
      </c>
      <c r="E313" s="42">
        <f t="shared" si="37"/>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39">IF(AF44="","¬",AF44)</f>
        <v>Persistent improved Defence or Dodge. Activate for supernatural speed benefits. Unnatural Grace: add Celerity dots as bonus dice to non-combat speed-based pools.</v>
      </c>
      <c r="D314" s="61" t="str" cm="1">
        <f t="array" aca="1" ref="D314" ca="1">INDEX(Attendance!$C$14:$GP$44,
       MATCH($F$4, Attendance!$C$14:$C$44, 0),
       MATCH(1, (Attendance!$C$12:$GP$12=$E314) * (Attendance!$C$13:$GP$13="Paid"), 0)
)</f>
        <v> </v>
      </c>
      <c r="E314" s="42">
        <f t="shared" si="37"/>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39"/>
        <v>Become centre of attention. Subjects become Awed.</v>
      </c>
      <c r="D315" s="61" t="str" cm="1">
        <f t="array" aca="1" ref="D315" ca="1">INDEX(Attendance!$C$14:$GP$44,
       MATCH($F$4, Attendance!$C$14:$C$44, 0),
       MATCH(1, (Attendance!$C$12:$GP$12=$E315) * (Attendance!$C$13:$GP$13="Paid"), 0)
)</f>
        <v> </v>
      </c>
      <c r="E315" s="42">
        <f t="shared" si="37"/>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39"/>
        <v>¬</v>
      </c>
      <c r="D316" s="61" t="str" cm="1">
        <f t="array" aca="1" ref="D316" ca="1">INDEX(Attendance!$C$14:$GP$44,
       MATCH($F$4, Attendance!$C$14:$C$44, 0),
       MATCH(1, (Attendance!$C$12:$GP$12=$E316) * (Attendance!$C$13:$GP$13="Paid"), 0)
)</f>
        <v> </v>
      </c>
      <c r="E316" s="42">
        <f t="shared" si="37"/>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39"/>
        <v>¬</v>
      </c>
    </row>
    <row r="318" spans="1:9">
      <c r="A318" s="1" t="s">
        <v>317</v>
      </c>
      <c r="B318" t="str">
        <f t="shared" si="39"/>
        <v>¬</v>
      </c>
    </row>
    <row r="319" spans="1:9">
      <c r="A319" s="1" t="s">
        <v>318</v>
      </c>
      <c r="B319" t="str">
        <f t="shared" si="39"/>
        <v>¬</v>
      </c>
    </row>
    <row r="320" spans="1:9">
      <c r="A320" s="1" t="s">
        <v>319</v>
      </c>
      <c r="B320" t="str">
        <f t="shared" si="39"/>
        <v>¬</v>
      </c>
    </row>
    <row r="321" spans="1:2">
      <c r="A321" s="1" t="s">
        <v>320</v>
      </c>
      <c r="B321" t="str">
        <f t="shared" si="39"/>
        <v>¬</v>
      </c>
    </row>
    <row r="322" spans="1:2">
      <c r="A322" s="1" t="s">
        <v>321</v>
      </c>
      <c r="B322" t="str">
        <f t="shared" si="39"/>
        <v>¬</v>
      </c>
    </row>
    <row r="323" spans="1:2">
      <c r="A323" s="1" t="s">
        <v>322</v>
      </c>
      <c r="B323" t="str">
        <f t="shared" si="39"/>
        <v>¬</v>
      </c>
    </row>
    <row r="324" spans="1:2">
      <c r="A324" s="1" t="s">
        <v>323</v>
      </c>
      <c r="B324" t="str">
        <f t="shared" si="39"/>
        <v>¬</v>
      </c>
    </row>
    <row r="325" spans="1:2">
      <c r="A325" s="1" t="s">
        <v>324</v>
      </c>
      <c r="B325" t="str">
        <f t="shared" si="39"/>
        <v>¬</v>
      </c>
    </row>
    <row r="326" spans="1:2">
      <c r="A326" s="1" t="s">
        <v>325</v>
      </c>
      <c r="B326" t="str">
        <f t="shared" si="39"/>
        <v>¬</v>
      </c>
    </row>
    <row r="327" spans="1:2">
      <c r="A327" s="1" t="s">
        <v>326</v>
      </c>
      <c r="B327" t="str">
        <f t="shared" si="39"/>
        <v>¬</v>
      </c>
    </row>
    <row r="328" spans="1:2">
      <c r="A328" s="1" t="s">
        <v>327</v>
      </c>
      <c r="B328" t="str">
        <f t="shared" si="39"/>
        <v>¬</v>
      </c>
    </row>
    <row r="329" spans="1:2">
      <c r="A329" s="1" t="s">
        <v>328</v>
      </c>
      <c r="B329" t="str">
        <f t="shared" si="39"/>
        <v>¬</v>
      </c>
    </row>
    <row r="330" spans="1:2">
      <c r="A330" s="1" t="s">
        <v>329</v>
      </c>
      <c r="B330" t="str">
        <f t="shared" si="39"/>
        <v>¬</v>
      </c>
    </row>
    <row r="331" spans="1:2">
      <c r="A331" s="1" t="s">
        <v>330</v>
      </c>
      <c r="B331" t="str">
        <f t="shared" si="39"/>
        <v>¬</v>
      </c>
    </row>
    <row r="332" spans="1:2">
      <c r="A332" s="1" t="s">
        <v>331</v>
      </c>
      <c r="B332" t="str">
        <f t="shared" si="39"/>
        <v>¬</v>
      </c>
    </row>
    <row r="333" spans="1:2">
      <c r="A333" s="1" t="s">
        <v>332</v>
      </c>
      <c r="B333" t="str">
        <f t="shared" si="39"/>
        <v>¬</v>
      </c>
    </row>
    <row r="334" spans="1:2">
      <c r="A334" s="1" t="s">
        <v>333</v>
      </c>
      <c r="B334" t="str">
        <f t="shared" si="39"/>
        <v>¬</v>
      </c>
    </row>
    <row r="335" spans="1:2">
      <c r="A335" s="1" t="s">
        <v>334</v>
      </c>
      <c r="B335" t="str">
        <f t="shared" si="39"/>
        <v>¬</v>
      </c>
    </row>
    <row r="336" spans="1:2">
      <c r="A336" s="1" t="s">
        <v>335</v>
      </c>
      <c r="B336" t="str">
        <f t="shared" si="39"/>
        <v>¬</v>
      </c>
    </row>
    <row r="337" spans="1:2">
      <c r="A337" s="1" t="s">
        <v>336</v>
      </c>
      <c r="B337" t="str">
        <f t="shared" si="39"/>
        <v>¬</v>
      </c>
    </row>
    <row r="338" spans="1:2">
      <c r="A338" s="1" t="s">
        <v>337</v>
      </c>
      <c r="B338" t="str">
        <f t="shared" si="39"/>
        <v>¬</v>
      </c>
    </row>
    <row r="339" spans="1:2">
      <c r="A339" s="1" t="s">
        <v>338</v>
      </c>
      <c r="B339" t="str">
        <f t="shared" si="39"/>
        <v>¬</v>
      </c>
    </row>
    <row r="340" spans="1:2">
      <c r="A340" s="1" t="s">
        <v>339</v>
      </c>
      <c r="B340" t="str">
        <f t="shared" si="39"/>
        <v>¬</v>
      </c>
    </row>
    <row r="341" spans="1:2">
      <c r="A341" s="1" t="s">
        <v>340</v>
      </c>
      <c r="B341" t="str">
        <f t="shared" si="39"/>
        <v>¬</v>
      </c>
    </row>
    <row r="342" spans="1:2">
      <c r="A342" s="1" t="s">
        <v>341</v>
      </c>
      <c r="B342" t="str">
        <f t="shared" si="39"/>
        <v>¬</v>
      </c>
    </row>
    <row r="343" spans="1:2">
      <c r="A343" s="1" t="s">
        <v>342</v>
      </c>
      <c r="B343" t="str">
        <f t="shared" si="39"/>
        <v>¬</v>
      </c>
    </row>
    <row r="344" spans="1:2">
      <c r="A344" s="1" t="s">
        <v>343</v>
      </c>
      <c r="B344" s="8" t="str">
        <f>IF(VLOOKUP(tblCharDataGel[[#This Row],[Field]],$E$2:$F$361,2,FALSE)="","¬",VLOOKUP(tblCharDataGel[[#This Row],[Field]],$E$2:$F$361,2,FALSE))</f>
        <v>Wanton Curse</v>
      </c>
    </row>
    <row r="345" spans="1:2">
      <c r="A345" s="1" t="s">
        <v>344</v>
      </c>
      <c r="B345" s="8" t="str">
        <f>IF(VLOOKUP(tblCharDataGel[[#This Row],[Field]],$E$2:$F$361,2,FALSE)="","¬",VLOOKUP(tblCharDataGel[[#This Row],[Field]],$E$2:$F$361,2,FALSE))</f>
        <v>¬</v>
      </c>
    </row>
    <row r="346" spans="1:2">
      <c r="A346" s="1" t="s">
        <v>345</v>
      </c>
      <c r="B346" s="8" t="str">
        <f>IF(VLOOKUP(tblCharDataGel[[#This Row],[Field]],$E$2:$F$361,2,FALSE)="","¬",VLOOKUP(tblCharDataGel[[#This Row],[Field]],$E$2:$F$361,2,FALSE))</f>
        <v>¬</v>
      </c>
    </row>
    <row r="347" spans="1:2">
      <c r="A347" s="1" t="s">
        <v>346</v>
      </c>
      <c r="B347" s="8" t="str">
        <f>IF(VLOOKUP(tblCharDataGel[[#This Row],[Field]],$E$2:$F$361,2,FALSE)="","¬",VLOOKUP(tblCharDataGel[[#This Row],[Field]],$E$2:$F$361,2,FALSE))</f>
        <v>¬</v>
      </c>
    </row>
    <row r="348" spans="1:2">
      <c r="A348" s="1" t="s">
        <v>347</v>
      </c>
      <c r="B348" s="8" t="str">
        <f>IF(VLOOKUP(tblCharDataGel[[#This Row],[Field]],$E$2:$F$361,2,FALSE)="","¬",VLOOKUP(tblCharDataGel[[#This Row],[Field]],$E$2:$F$361,2,FALSE))</f>
        <v>¬</v>
      </c>
    </row>
    <row r="349" spans="1:2">
      <c r="A349" s="1" t="s">
        <v>348</v>
      </c>
      <c r="B349" t="str">
        <f>_xlfn.IFNA(VLOOKUP(B344,$F$234:$I$238,3,FALSE),"")</f>
        <v>Hungry at 5 or fewer Vitae, Starving at 3 or fewer. Dramatic Failures on feeding cause Persistent Dependent Condition toward a mortal NPC.</v>
      </c>
    </row>
    <row r="350" spans="1:2">
      <c r="A350" s="1" t="s">
        <v>349</v>
      </c>
      <c r="B350" t="str">
        <f>_xlfn.IFNA(VLOOKUP(B345,$F$234:$I$238,3,FALSE),"¬")</f>
        <v>¬</v>
      </c>
    </row>
    <row r="351" spans="1:2">
      <c r="A351" s="1" t="s">
        <v>350</v>
      </c>
      <c r="B351" t="str">
        <f>_xlfn.IFNA(VLOOKUP(B346,$F$234:$I$238,3,FALSE),"")</f>
        <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9</v>
      </c>
    </row>
    <row r="356" spans="1:2">
      <c r="A356" s="1" t="s">
        <v>355</v>
      </c>
      <c r="B356">
        <f ca="1">P220</f>
        <v>3</v>
      </c>
    </row>
    <row r="357" spans="1:2">
      <c r="A357" s="1" t="s">
        <v>356</v>
      </c>
      <c r="B357" t="str">
        <f>IF(F10="","¬",VLOOKUP(F10,tblAnchors[],2,FALSE))</f>
        <v>Follow a directive blindly, for the sake of following.</v>
      </c>
    </row>
    <row r="358" spans="1:2">
      <c r="A358" s="1" t="s">
        <v>357</v>
      </c>
      <c r="B358" t="str">
        <f>IF(F10="","¬",VLOOKUP(F10,tblAnchors[],3,FALSE))</f>
        <v>Follow a dangerous directive without hesitation.</v>
      </c>
    </row>
    <row r="359" spans="1:2">
      <c r="A359" s="1" t="s">
        <v>358</v>
      </c>
      <c r="B359" t="str">
        <f>IF(F11="","¬",VLOOKUP(F11,tblAnchors[],2,FALSE))</f>
        <v>Deny a compromise that would water down your ideal.</v>
      </c>
    </row>
    <row r="360" spans="1:2">
      <c r="A360" s="1" t="s">
        <v>359</v>
      </c>
      <c r="B360" t="str">
        <f>IF(F11="","¬",VLOOKUP(F11,tblAnchors[],3,FALSE))</f>
        <v>Refuse safety for fear of abandoning your ideal's purity.</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mid 30s</v>
      </c>
    </row>
    <row r="365" spans="1:2">
      <c r="A365" s="1" t="s">
        <v>364</v>
      </c>
      <c r="B365" t="str">
        <f>_xlfn.LET(_xlpm.a,IF(F244="","",F244),_xlpm.b,IF(F245="","",F245),IF(AND(_xlpm.a&lt;&gt;"",_xlpm.b&lt;&gt;""),_xlpm.a&amp;", "&amp;_xlpm.b,IF(_xlpm.a&lt;&gt;"",_xlpm.a,IF(_xlpm.b&lt;&gt;"",_xlpm.b,""))))</f>
        <v/>
      </c>
    </row>
  </sheetData>
  <mergeCells count="89">
    <mergeCell ref="H85:I85"/>
    <mergeCell ref="O8:P8"/>
    <mergeCell ref="O9:P9"/>
    <mergeCell ref="O10:P10"/>
    <mergeCell ref="O11:P11"/>
    <mergeCell ref="O12:P12"/>
    <mergeCell ref="H79:I79"/>
    <mergeCell ref="H80:I80"/>
    <mergeCell ref="H81:I81"/>
    <mergeCell ref="H82:I82"/>
    <mergeCell ref="H83:I83"/>
    <mergeCell ref="H84:I84"/>
    <mergeCell ref="H97:I97"/>
    <mergeCell ref="H86:I86"/>
    <mergeCell ref="H87:I87"/>
    <mergeCell ref="H88:I88"/>
    <mergeCell ref="H89:I89"/>
    <mergeCell ref="H90:I90"/>
    <mergeCell ref="H91:I91"/>
    <mergeCell ref="H92:I92"/>
    <mergeCell ref="H93:I93"/>
    <mergeCell ref="H94:I94"/>
    <mergeCell ref="H95:I95"/>
    <mergeCell ref="H96:I96"/>
    <mergeCell ref="H111:I111"/>
    <mergeCell ref="H98:I98"/>
    <mergeCell ref="H101:I101"/>
    <mergeCell ref="H102:I102"/>
    <mergeCell ref="H103:I103"/>
    <mergeCell ref="H104:I104"/>
    <mergeCell ref="H105:I105"/>
    <mergeCell ref="H106:I106"/>
    <mergeCell ref="H107:I107"/>
    <mergeCell ref="H108:I108"/>
    <mergeCell ref="H109:I109"/>
    <mergeCell ref="H110:I110"/>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52:I152"/>
    <mergeCell ref="H141:I141"/>
    <mergeCell ref="H142:I142"/>
    <mergeCell ref="H143:I143"/>
    <mergeCell ref="H144:I144"/>
    <mergeCell ref="H145:I145"/>
    <mergeCell ref="H146:I146"/>
    <mergeCell ref="H147:I147"/>
    <mergeCell ref="H148:I148"/>
    <mergeCell ref="H149:I149"/>
    <mergeCell ref="H150:I150"/>
    <mergeCell ref="H151:I151"/>
    <mergeCell ref="H207:I207"/>
    <mergeCell ref="H153:I153"/>
    <mergeCell ref="H154:I154"/>
    <mergeCell ref="H155:I155"/>
    <mergeCell ref="H156:I156"/>
    <mergeCell ref="H157:I157"/>
    <mergeCell ref="H177:I177"/>
    <mergeCell ref="H178:I178"/>
    <mergeCell ref="H179:I179"/>
    <mergeCell ref="H180:I180"/>
    <mergeCell ref="H181:I181"/>
    <mergeCell ref="H206:I206"/>
    <mergeCell ref="H238:I238"/>
    <mergeCell ref="H208:I208"/>
    <mergeCell ref="H209:I209"/>
    <mergeCell ref="H210:I210"/>
    <mergeCell ref="H211:I211"/>
    <mergeCell ref="H212:I212"/>
    <mergeCell ref="H213:I213"/>
    <mergeCell ref="H214:I214"/>
    <mergeCell ref="H215:I215"/>
    <mergeCell ref="H234:I234"/>
    <mergeCell ref="H236:I236"/>
    <mergeCell ref="H237:I237"/>
    <mergeCell ref="F240:I240"/>
    <mergeCell ref="F241:I241"/>
    <mergeCell ref="F242:I242"/>
    <mergeCell ref="F244:I244"/>
    <mergeCell ref="F245:I245"/>
  </mergeCells>
  <dataValidations disablePrompts="1" count="15">
    <dataValidation type="list" allowBlank="1" showInputMessage="1" showErrorMessage="1" sqref="G248:G277" xr:uid="{E3D50B31-FF3B-40EC-BFBE-63576D8515E3}">
      <formula1>$I$248:$I$249</formula1>
    </dataValidation>
    <dataValidation type="list" allowBlank="1" showInputMessage="1" showErrorMessage="1" sqref="F104:F120" xr:uid="{AFD8150C-7323-4744-9E5C-7BA59B9FD56E}">
      <formula1>lstManoeuvres</formula1>
    </dataValidation>
    <dataValidation type="list" allowBlank="1" showInputMessage="1" showErrorMessage="1" sqref="F79:F98" xr:uid="{8BF51591-4759-4354-A280-ADD322B114D5}">
      <formula1>lstMerits</formula1>
    </dataValidation>
    <dataValidation type="list" allowBlank="1" showInputMessage="1" showErrorMessage="1" sqref="F236:F238" xr:uid="{A9FA4BF2-F4EB-40F1-9EFB-CF35D6F89746}">
      <formula1>lstBanes</formula1>
    </dataValidation>
    <dataValidation type="list" allowBlank="1" showInputMessage="1" showErrorMessage="1" sqref="F206:F215" xr:uid="{975FE78F-D0E4-42A6-BFC0-1BB2B4702CA6}">
      <formula1>lstPacts</formula1>
    </dataValidation>
    <dataValidation type="list" allowBlank="1" showInputMessage="1" showErrorMessage="1" sqref="G12:G13" xr:uid="{260AB3A5-EC5D-4B2D-8787-BB5BD3113CA7}">
      <formula1>lstStatus</formula1>
    </dataValidation>
    <dataValidation type="list" allowBlank="1" showInputMessage="1" showErrorMessage="1" sqref="F194:F205 F207:F215" xr:uid="{88C9C7D8-754C-4D7A-885B-F068BAE6DDC4}">
      <formula1>lstRites</formula1>
    </dataValidation>
    <dataValidation type="list" allowBlank="1" showInputMessage="1" showErrorMessage="1" sqref="F177:F181" xr:uid="{F4986F7F-A3D1-4827-B37D-F933F9409DD9}">
      <formula1>lstDevotions</formula1>
    </dataValidation>
    <dataValidation type="list" allowBlank="1" showInputMessage="1" showErrorMessage="1" sqref="F17:F21" xr:uid="{2A05B31E-254A-470C-A585-4B554E7FAF49}">
      <formula1>"TRUE,FALSE"</formula1>
    </dataValidation>
    <dataValidation type="list" allowBlank="1" showInputMessage="1" showErrorMessage="1" sqref="F24" xr:uid="{E7FC9057-DC77-48A4-998F-2300D44028BE}">
      <formula1>$D$7:$D$8</formula1>
    </dataValidation>
    <dataValidation type="list" allowBlank="1" showInputMessage="1" showErrorMessage="1" sqref="I25 I30 I35 I41 I51 I61" xr:uid="{CFA92D11-67B6-4E58-A25B-6987AFA771D6}">
      <formula1>lstPriority</formula1>
    </dataValidation>
    <dataValidation type="list" allowBlank="1" showInputMessage="1" showErrorMessage="1" sqref="F10:F11" xr:uid="{F3DC97CC-290E-4719-8266-A2353906FB6F}">
      <formula1>lstNature</formula1>
    </dataValidation>
    <dataValidation type="list" allowBlank="1" showInputMessage="1" showErrorMessage="1" sqref="F8" xr:uid="{30064931-E79A-4429-9B59-7C1C7D94EF8C}">
      <formula1>lstBloodlines</formula1>
    </dataValidation>
    <dataValidation type="list" allowBlank="1" showInputMessage="1" showErrorMessage="1" sqref="F9" xr:uid="{54F127B5-2783-40BA-B544-3EAD4609A1CC}">
      <formula1>lstCovenant</formula1>
    </dataValidation>
    <dataValidation type="list" allowBlank="1" showInputMessage="1" showErrorMessage="1" sqref="F7" xr:uid="{3B4F726A-758C-454D-98DD-5C782864D7B9}">
      <formula1>lstClan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BAAB8353-9CAE-44B2-A6A3-F05CE99687D5}">
          <x14:formula1>
            <xm:f>'Lookup-Domain'!$A$2:$A$8</xm:f>
          </x14:formula1>
          <xm:sqref>F141:F157</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214B4-3257-4CC6-A9C2-0DC73D897E3C}">
  <dimension ref="A1:AK365"/>
  <sheetViews>
    <sheetView zoomScale="70" zoomScaleNormal="70" workbookViewId="0">
      <pane ySplit="1" topLeftCell="A2" activePane="bottomLeft" state="frozen"/>
      <selection pane="bottomLeft" activeCell="D124" sqref="D124"/>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Stigmata</v>
      </c>
      <c r="AC2" s="60" t="str" cm="1">
        <f t="array" ref="AC2:AC11">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Anointed</v>
      </c>
      <c r="AD2" s="20" t="str">
        <f>IF(AC2="","¬",_xlfn.LET(_xlpm.base,IFERROR(LEFT(AC2,FIND(" (",AC2)-1),AC2),IFERROR(VLOOKUP(_xlpm.base,tblManoeuvre[],2,FALSE) &amp; " " &amp; REPT("●",VLOOKUP(_xlpm.base,tblManoeuvre[],3,FALSE)) &amp; " | " &amp; AC2,AC2 &amp; " " &amp; REPT("●",VLOOKUP(_xlpm.base,$F$79:$P$120,11,FALSE)))))</f>
        <v>Anointed ●●</v>
      </c>
      <c r="AE2" s="20"/>
      <c r="AF2" s="20" t="str">
        <f>IF(LEN(AC2)=0,"¬",_xlfn.LET(_xlpm.base,IFERROR(LEFT(AC2,FIND(" (",AC2)-1),AC2),IFERROR(VLOOKUP(_xlpm.base,tblMerits[],5,FALSE),IFERROR(VLOOKUP(_xlpm.base,tblManoeuvre[],9,FALSE),"¬"))))</f>
        <v>Once per session, roll Presence + Expression to preach the Raptured Condition.</v>
      </c>
      <c r="AI2" s="15" t="s">
        <v>25</v>
      </c>
      <c r="AJ2" s="61">
        <f t="shared" ref="AJ2:AJ58" si="1">VLOOKUP(AI2,$E$3:$P$221,12,FALSE)</f>
        <v>0</v>
      </c>
      <c r="AK2" s="61">
        <f>IF(AJ2=0,IF(COUNTIF($E$42:$E$49,AI2)&gt;0,-3,-1),AJ2)</f>
        <v>-3</v>
      </c>
    </row>
    <row r="3" spans="1:37">
      <c r="A3" s="1" t="s">
        <v>2</v>
      </c>
      <c r="B3">
        <f ca="1">N3</f>
        <v>0</v>
      </c>
      <c r="D3" s="19"/>
      <c r="E3" s="15" t="s">
        <v>4</v>
      </c>
      <c r="F3" s="3" t="s">
        <v>951</v>
      </c>
      <c r="G3" s="18"/>
      <c r="H3" s="18"/>
      <c r="I3" s="18" t="s">
        <v>1425</v>
      </c>
      <c r="N3" s="60">
        <f ca="1">10+SUM(N4:N6)-SUM(N7)</f>
        <v>0</v>
      </c>
      <c r="Y3" s="15" t="s">
        <v>115</v>
      </c>
      <c r="Z3" s="19"/>
      <c r="AA3" s="61" t="str">
        <f t="shared" si="0"/>
        <v>Flock</v>
      </c>
      <c r="AC3" s="60" t="str">
        <v>Defensive Combat (Weaponry)</v>
      </c>
      <c r="AD3" s="20" t="str">
        <f>IF(AC3="","¬",_xlfn.LET(_xlpm.base,IFERROR(LEFT(AC3,FIND(" (",AC3)-1),AC3),IFERROR(VLOOKUP(_xlpm.base,tblManoeuvre[],2,FALSE) &amp; " " &amp; REPT("●",VLOOKUP(_xlpm.base,tblManoeuvre[],3,FALSE)) &amp; " | " &amp; AC3,AC3 &amp; " " &amp; REPT("●",VLOOKUP(_xlpm.base,$F$79:$P$120,11,FALSE)))))</f>
        <v>Defensive Combat (Weaponry) ●</v>
      </c>
      <c r="AE3" s="20"/>
      <c r="AF3" s="20" t="str">
        <f>IF(LEN(AC3)=0,"¬",_xlfn.LET(_xlpm.base,IFERROR(LEFT(AC3,FIND(" (",AC3)-1),AC3),IFERROR(VLOOKUP(_xlpm.base,tblMerits[],5,FALSE),IFERROR(VLOOKUP(_xlpm.base,tblManoeuvre[],9,FALSE),"¬"))))</f>
        <v>Substitute chosen Skill for Athletics in Defence, if equipped for that Skill.</v>
      </c>
      <c r="AI3" s="15" t="s">
        <v>41</v>
      </c>
      <c r="AJ3" s="61">
        <f t="shared" si="1"/>
        <v>0</v>
      </c>
      <c r="AK3" s="61">
        <f>IF(AJ3=0,IF(COUNTIF($E$42:$E$49,AI3)&gt;0,-3,-1),AJ3)</f>
        <v>-1</v>
      </c>
    </row>
    <row r="4" spans="1:37">
      <c r="A4" s="1" t="s">
        <v>3</v>
      </c>
      <c r="B4">
        <f ca="1">SUM(N3:N9)</f>
        <v>28</v>
      </c>
      <c r="D4" s="19"/>
      <c r="E4" s="15" t="s">
        <v>5</v>
      </c>
      <c r="F4" s="3" t="s">
        <v>952</v>
      </c>
      <c r="G4" s="18"/>
      <c r="H4" s="18"/>
      <c r="I4" s="18" t="s">
        <v>1426</v>
      </c>
      <c r="N4" s="61">
        <f>K73*2</f>
        <v>6</v>
      </c>
      <c r="Y4" s="15" t="s">
        <v>116</v>
      </c>
      <c r="Z4" s="19"/>
      <c r="AA4" s="61" t="str">
        <f t="shared" si="0"/>
        <v>Anointed</v>
      </c>
      <c r="AC4" s="60" t="str">
        <v>Flock</v>
      </c>
      <c r="AD4" s="20" t="str">
        <f>IF(AC4="","¬",_xlfn.LET(_xlpm.base,IFERROR(LEFT(AC4,FIND(" (",AC4)-1),AC4),IFERROR(VLOOKUP(_xlpm.base,tblManoeuvre[],2,FALSE) &amp; " " &amp; REPT("●",VLOOKUP(_xlpm.base,tblManoeuvre[],3,FALSE)) &amp; " | " &amp; AC4,AC4 &amp; " " &amp; REPT("●",VLOOKUP(_xlpm.base,$F$79:$P$120,11,FALSE)))))</f>
        <v>Flock ●●</v>
      </c>
      <c r="AE4" s="20"/>
      <c r="AF4" s="20" t="str">
        <f>IF(LEN(AC4)=0,"¬",_xlfn.LET(_xlpm.base,IFERROR(LEFT(AC4,FIND(" (",AC4)-1),AC4),IFERROR(VLOOKUP(_xlpm.base,tblMerits[],5,FALSE),IFERROR(VLOOKUP(_xlpm.base,tblManoeuvre[],9,FALSE),"¬"))))</f>
        <v>Herd serves as Willpower source. Dots apply as additional Herd dots.</v>
      </c>
      <c r="AI4" s="15" t="s">
        <v>236</v>
      </c>
      <c r="AJ4" s="61">
        <f t="shared" si="1"/>
        <v>0</v>
      </c>
      <c r="AK4" s="61">
        <f>AJ4</f>
        <v>0</v>
      </c>
    </row>
    <row r="5" spans="1:37">
      <c r="A5" s="1" t="s">
        <v>4</v>
      </c>
      <c r="B5" t="str">
        <f>IF(VLOOKUP(tblCharDataHazel[[#This Row],[Field]],$E$2:$F$362,2,FALSE)="","¬",VLOOKUP(tblCharDataHazel[[#This Row],[Field]],$E$2:$F$362,2,FALSE))</f>
        <v>Marni K</v>
      </c>
      <c r="D5" s="19"/>
      <c r="E5" s="15" t="s">
        <v>6</v>
      </c>
      <c r="F5" s="3" t="s">
        <v>953</v>
      </c>
      <c r="G5" s="18"/>
      <c r="H5" s="18"/>
      <c r="I5" s="18" t="s">
        <v>1427</v>
      </c>
      <c r="N5" s="61">
        <f>N16</f>
        <v>0</v>
      </c>
      <c r="Y5" s="15" t="s">
        <v>117</v>
      </c>
      <c r="Z5" s="19"/>
      <c r="AA5" s="61" t="str">
        <f t="shared" si="0"/>
        <v>Defensive Combat (Weaponry)</v>
      </c>
      <c r="AC5" s="60" t="str">
        <v>Quick Draw (Swords)</v>
      </c>
      <c r="AD5" s="20" t="str">
        <f>IF(AC5="","¬",_xlfn.LET(_xlpm.base,IFERROR(LEFT(AC5,FIND(" (",AC5)-1),AC5),IFERROR(VLOOKUP(_xlpm.base,tblManoeuvre[],2,FALSE) &amp; " " &amp; REPT("●",VLOOKUP(_xlpm.base,tblManoeuvre[],3,FALSE)) &amp; " | " &amp; AC5,AC5 &amp; " " &amp; REPT("●",VLOOKUP(_xlpm.base,$F$79:$P$120,11,FALSE)))))</f>
        <v>Quick Draw (Swords) ●</v>
      </c>
      <c r="AE5" s="20"/>
      <c r="AF5" s="20" t="str">
        <f>IF(LEN(AC5)=0,"¬",_xlfn.LET(_xlpm.base,IFERROR(LEFT(AC5,FIND(" (",AC5)-1),AC5),IFERROR(VLOOKUP(_xlpm.base,tblMerits[],5,FALSE),IFERROR(VLOOKUP(_xlpm.base,tblManoeuvre[],9,FALSE),"¬"))))</f>
        <v>Draw a weapon from a chosen Specialty reflexively while Defence is available. Initiative bonuses only apply if using the weapon.</v>
      </c>
      <c r="AI5" s="15" t="s">
        <v>33</v>
      </c>
      <c r="AJ5" s="61">
        <f t="shared" si="1"/>
        <v>0</v>
      </c>
      <c r="AK5" s="61">
        <f>IF(AJ5=0,IF(COUNTIF($E$42:$E$49,AI5)&gt;0,-3,-1),AJ5)</f>
        <v>-1</v>
      </c>
    </row>
    <row r="6" spans="1:37">
      <c r="A6" s="1" t="s">
        <v>5</v>
      </c>
      <c r="B6" t="str">
        <f>IF(VLOOKUP(tblCharDataHazel[[#This Row],[Field]],$E$2:$F$362,2,FALSE)="","¬",VLOOKUP(tblCharDataHazel[[#This Row],[Field]],$E$2:$F$362,2,FALSE))</f>
        <v>Sister Hazel</v>
      </c>
      <c r="D6" s="19"/>
      <c r="E6" s="15" t="s">
        <v>7</v>
      </c>
      <c r="F6" s="3" t="s">
        <v>369</v>
      </c>
      <c r="G6" s="18"/>
      <c r="H6" s="18"/>
      <c r="I6" s="18" t="s">
        <v>1347</v>
      </c>
      <c r="N6" s="61">
        <f ca="1">N279</f>
        <v>3</v>
      </c>
      <c r="Y6" s="15" t="s">
        <v>118</v>
      </c>
      <c r="Z6" s="19"/>
      <c r="AA6" s="61" t="str">
        <f t="shared" si="0"/>
        <v>Quick Draw (Swords)</v>
      </c>
      <c r="AC6" s="60" t="str">
        <v>Stigmata</v>
      </c>
      <c r="AD6" s="20" t="str">
        <f>IF(AC6="","¬",_xlfn.LET(_xlpm.base,IFERROR(LEFT(AC6,FIND(" (",AC6)-1),AC6),IFERROR(VLOOKUP(_xlpm.base,tblManoeuvre[],2,FALSE) &amp; " " &amp; REPT("●",VLOOKUP(_xlpm.base,tblManoeuvre[],3,FALSE)) &amp; " | " &amp; AC6,AC6 &amp; " " &amp; REPT("●",VLOOKUP(_xlpm.base,$F$79:$P$120,11,FALSE)))))</f>
        <v>Stigmata ●</v>
      </c>
      <c r="AE6" s="20"/>
      <c r="AF6" s="20" t="str">
        <f>IF(LEN(AC6)=0,"¬",_xlfn.LET(_xlpm.base,IFERROR(LEFT(AC6,FIND(" (",AC6)-1),AC6),IFERROR(VLOOKUP(_xlpm.base,tblMerits[],5,FALSE),IFERROR(VLOOKUP(_xlpm.base,tblManoeuvre[],9,FALSE),"¬"))))</f>
        <v>Bleed dots in Vitae weekly (or at will for Willpower). This Vitae inspires without addiction or bonding, bolstering Theban Sorcery and Willpower.</v>
      </c>
      <c r="AI6" s="15" t="s">
        <v>237</v>
      </c>
      <c r="AJ6" s="61">
        <f t="shared" si="1"/>
        <v>0</v>
      </c>
      <c r="AK6" s="61">
        <f>AJ6</f>
        <v>0</v>
      </c>
    </row>
    <row r="7" spans="1:37">
      <c r="A7" s="1" t="s">
        <v>6</v>
      </c>
      <c r="B7" t="str">
        <f>IF(VLOOKUP(tblCharDataHazel[[#This Row],[Field]],$E$2:$F$362,2,FALSE)="","¬",VLOOKUP(tblCharDataHazel[[#This Row],[Field]],$E$2:$F$362,2,FALSE))</f>
        <v>Dogmatic Nun Bruiser</v>
      </c>
      <c r="D7" s="19" t="str">
        <f>VLOOKUP(F7,tblClans[],3,FALSE)</f>
        <v>Resolve</v>
      </c>
      <c r="E7" s="15" t="s">
        <v>8</v>
      </c>
      <c r="F7" s="3" t="s">
        <v>553</v>
      </c>
      <c r="G7" s="18"/>
      <c r="H7" s="18"/>
      <c r="I7" s="18"/>
      <c r="N7" s="60">
        <f>SUM(N8:N12)</f>
        <v>19</v>
      </c>
      <c r="Y7" s="15" t="s">
        <v>119</v>
      </c>
      <c r="Z7" s="19"/>
      <c r="AA7" s="61" t="str">
        <f t="shared" si="0"/>
        <v/>
      </c>
      <c r="AC7" s="60" t="str">
        <v>Hamstring</v>
      </c>
      <c r="AD7" s="20" t="str">
        <f>IF(AC7="","¬",_xlfn.LET(_xlpm.base,IFERROR(LEFT(AC7,FIND(" (",AC7)-1),AC7),IFERROR(VLOOKUP(_xlpm.base,tblManoeuvre[],2,FALSE) &amp; " " &amp; REPT("●",VLOOKUP(_xlpm.base,tblManoeuvre[],3,FALSE)) &amp; " | " &amp; AC7,AC7 &amp; " " &amp; REPT("●",VLOOKUP(_xlpm.base,$F$79:$P$120,11,FALSE)))))</f>
        <v>Kindred Dueling ● | Hamstring</v>
      </c>
      <c r="AE7" s="20"/>
      <c r="AF7" s="20" t="str">
        <f>IF(LEN(AC7)=0,"¬",_xlfn.LET(_xlpm.base,IFERROR(LEFT(AC7,FIND(" (",AC7)-1),AC7),IFERROR(VLOOKUP(_xlpm.base,tblMerits[],5,FALSE),IFERROR(VLOOKUP(_xlpm.base,tblManoeuvre[],9,FALSE),"¬"))))</f>
        <v>You can use a called shot to deny a vampire's limb the benefits of Physical Intensity.</v>
      </c>
      <c r="AI7" s="15" t="s">
        <v>49</v>
      </c>
      <c r="AJ7" s="61">
        <f t="shared" si="1"/>
        <v>2</v>
      </c>
      <c r="AK7" s="61">
        <f>AJ7</f>
        <v>2</v>
      </c>
    </row>
    <row r="8" spans="1:37">
      <c r="A8" s="1" t="s">
        <v>7</v>
      </c>
      <c r="B8" t="str">
        <f>IF(VLOOKUP(tblCharDataHazel[[#This Row],[Field]],$E$2:$F$362,2,FALSE)="","¬",LOWER(VLOOKUP(tblCharDataHazel[[#This Row],[Field]],$E$2:$F$362,2,FALSE)))</f>
        <v>she/her</v>
      </c>
      <c r="D8" s="19" t="str">
        <f>VLOOKUP(F7,tblClans[],2,FALSE)</f>
        <v>Presence</v>
      </c>
      <c r="E8" s="15" t="s">
        <v>10</v>
      </c>
      <c r="F8" s="3"/>
      <c r="G8" s="61" t="str">
        <f>IFERROR(IF(OR(AND(VLOOKUP(F8,tblBloodlines[],2,FALSE)="",VLOOKUP(F8,tblBloodlines[],3,FALSE)="",VLOOKUP(F8,tblBloodlines[],4,FALSE)=""),AND(VLOOKUP(F8,tblBloodlines[],2,FALSE)="",VLOOKUP(F8,tblBloodlines[],3,FALSE)="",F9=VLOOKUP(F8,tblBloodlines[],4,FALSE)),F7=VLOOKUP(F8,tblBloodlines[],2,FALSE),F7=VLOOKUP(F8,tblBloodlines[],3,FALSE)),TRUE,FALSE),"")</f>
        <v/>
      </c>
      <c r="H8" s="18"/>
      <c r="I8" s="18" t="s">
        <v>1428</v>
      </c>
      <c r="N8" s="61">
        <f>N23</f>
        <v>0</v>
      </c>
      <c r="O8" s="65">
        <f>N8/SUM(N$7:N$12)</f>
        <v>0</v>
      </c>
      <c r="P8" s="66"/>
      <c r="Y8" s="15" t="s">
        <v>120</v>
      </c>
      <c r="Z8" s="19"/>
      <c r="AA8" s="61" t="str">
        <f t="shared" si="0"/>
        <v/>
      </c>
      <c r="AC8" s="60" t="str">
        <v>Taunt</v>
      </c>
      <c r="AD8" s="20" t="str">
        <f>IF(AC8="","¬",_xlfn.LET(_xlpm.base,IFERROR(LEFT(AC8,FIND(" (",AC8)-1),AC8),IFERROR(VLOOKUP(_xlpm.base,tblManoeuvre[],2,FALSE) &amp; " " &amp; REPT("●",VLOOKUP(_xlpm.base,tblManoeuvre[],3,FALSE)) &amp; " | " &amp; AC8,AC8 &amp; " " &amp; REPT("●",VLOOKUP(_xlpm.base,$F$79:$P$120,11,FALSE)))))</f>
        <v>Kindred Dueling ●● | Taunt</v>
      </c>
      <c r="AE8" s="20"/>
      <c r="AF8" s="20" t="str">
        <f>IF(LEN(AC8)=0,"¬",_xlfn.LET(_xlpm.base,IFERROR(LEFT(AC8,FIND(" (",AC8)-1),AC8),IFERROR(VLOOKUP(_xlpm.base,tblMerits[],5,FALSE),IFERROR(VLOOKUP(_xlpm.base,tblManoeuvre[],9,FALSE),"¬"))))</f>
        <v>Exchange up to your Weaponry in attack dice to provoke, on hit, a frenzy roll penalised by your exchanged dice.</v>
      </c>
      <c r="AI8" s="15" t="s">
        <v>34</v>
      </c>
      <c r="AJ8" s="61">
        <f t="shared" si="1"/>
        <v>0</v>
      </c>
      <c r="AK8" s="61">
        <f>IF(AJ8=0,IF(COUNTIF($E$42:$E$49,AI8)&gt;0,-3,-1),AJ8)</f>
        <v>-1</v>
      </c>
    </row>
    <row r="9" spans="1:37">
      <c r="A9" s="1" t="s">
        <v>8</v>
      </c>
      <c r="B9" t="str">
        <f>IF(VLOOKUP(tblCharDataHazel[[#This Row],[Field]],$E$2:$F$362,2,FALSE)="","¬",VLOOKUP(tblCharDataHazel[[#This Row],[Field]],$E$2:$F$362,2,FALSE))</f>
        <v>Ventrue</v>
      </c>
      <c r="D9" s="19"/>
      <c r="E9" s="15" t="s">
        <v>11</v>
      </c>
      <c r="F9" s="3" t="s">
        <v>556</v>
      </c>
      <c r="G9" s="18"/>
      <c r="H9" s="18"/>
      <c r="I9" s="18" t="s">
        <v>1429</v>
      </c>
      <c r="N9" s="61">
        <f>N40+T40</f>
        <v>0</v>
      </c>
      <c r="O9" s="65">
        <f>N9/SUM(N$7:N$12)</f>
        <v>0</v>
      </c>
      <c r="P9" s="66"/>
      <c r="Y9" s="15" t="s">
        <v>121</v>
      </c>
      <c r="Z9" s="19"/>
      <c r="AA9" s="61" t="str">
        <f t="shared" si="0"/>
        <v/>
      </c>
      <c r="AC9" s="60" t="str">
        <v>Carving</v>
      </c>
      <c r="AD9" s="20" t="str">
        <f>IF(AC9="","¬",_xlfn.LET(_xlpm.base,IFERROR(LEFT(AC9,FIND(" (",AC9)-1),AC9),IFERROR(VLOOKUP(_xlpm.base,tblManoeuvre[],2,FALSE) &amp; " " &amp; REPT("●",VLOOKUP(_xlpm.base,tblManoeuvre[],3,FALSE)) &amp; " | " &amp; AC9,AC9 &amp; " " &amp; REPT("●",VLOOKUP(_xlpm.base,$F$79:$P$120,11,FALSE)))))</f>
        <v>Kindred Dueling ●●● | Carving</v>
      </c>
      <c r="AE9" s="20"/>
      <c r="AF9" s="20" t="str">
        <f>IF(LEN(AC9)=0,"¬",_xlfn.LET(_xlpm.base,IFERROR(LEFT(AC9,FIND(" (",AC9)-1),AC9),IFERROR(VLOOKUP(_xlpm.base,tblMerits[],5,FALSE),IFERROR(VLOOKUP(_xlpm.base,tblManoeuvre[],9,FALSE),"¬"))))</f>
        <v>Deal lethal damage to the Kindred body.</v>
      </c>
      <c r="AI9" s="15" t="s">
        <v>238</v>
      </c>
      <c r="AJ9" s="61">
        <f t="shared" si="1"/>
        <v>1</v>
      </c>
      <c r="AK9" s="61">
        <f>AJ9</f>
        <v>1</v>
      </c>
    </row>
    <row r="10" spans="1:37">
      <c r="A10" s="1" t="s">
        <v>9</v>
      </c>
      <c r="B10" t="str">
        <f>CONCATENATE(Elements,B9," icon.svg")</f>
        <v>D:\Terra Mortis\Character Sheets\Sheet Elements\Ventrue icon.svg</v>
      </c>
      <c r="D10" s="19"/>
      <c r="E10" s="15" t="s">
        <v>13</v>
      </c>
      <c r="F10" s="3" t="s">
        <v>954</v>
      </c>
      <c r="G10" s="18"/>
      <c r="H10" s="18"/>
      <c r="I10" s="18" t="s">
        <v>1430</v>
      </c>
      <c r="N10" s="61">
        <f>N77</f>
        <v>16</v>
      </c>
      <c r="O10" s="65">
        <f>N10/SUM(N$7:N$12)</f>
        <v>0.42105263157894735</v>
      </c>
      <c r="P10" s="66"/>
      <c r="Y10" s="15" t="s">
        <v>122</v>
      </c>
      <c r="Z10" s="19"/>
      <c r="AA10" s="61" t="str">
        <f t="shared" si="0"/>
        <v/>
      </c>
      <c r="AC10" s="60" t="str">
        <v>Pincushion</v>
      </c>
      <c r="AD10" s="20" t="str">
        <f>IF(AC10="","¬",_xlfn.LET(_xlpm.base,IFERROR(LEFT(AC10,FIND(" (",AC10)-1),AC10),IFERROR(VLOOKUP(_xlpm.base,tblManoeuvre[],2,FALSE) &amp; " " &amp; REPT("●",VLOOKUP(_xlpm.base,tblManoeuvre[],3,FALSE)) &amp; " | " &amp; AC10,AC10 &amp; " " &amp; REPT("●",VLOOKUP(_xlpm.base,$F$79:$P$120,11,FALSE)))))</f>
        <v>Kindred Dueling ●●●● | Pincushion</v>
      </c>
      <c r="AE10" s="20"/>
      <c r="AF10" s="20" t="str">
        <f>IF(LEN(AC10)=0,"¬",_xlfn.LET(_xlpm.base,IFERROR(LEFT(AC10,FIND(" (",AC10)-1),AC10),IFERROR(VLOOKUP(_xlpm.base,tblMerits[],5,FALSE),IFERROR(VLOOKUP(_xlpm.base,tblManoeuvre[],9,FALSE),"¬"))))</f>
        <v>You can lodge your weapon into the victim on a hit, preventing the wound from healing with Vitae use. You can withdraw it reflexively, but others must roll Strength + Stamina - damage caused as an instant action.</v>
      </c>
      <c r="AI10" s="15" t="s">
        <v>24</v>
      </c>
      <c r="AJ10" s="61">
        <f t="shared" si="1"/>
        <v>3</v>
      </c>
      <c r="AK10" s="61">
        <f>AJ10+IFERROR(INDEX($V$26:$V$38,MATCH(AI10,$E$26:$E$38,0)),0)</f>
        <v>3</v>
      </c>
    </row>
    <row r="11" spans="1:37">
      <c r="A11" s="1" t="s">
        <v>10</v>
      </c>
      <c r="B11" t="str">
        <f>IF(VLOOKUP(tblCharDataHazel[[#This Row],[Field]],$E$2:$F$362,2,FALSE)="","¬",VLOOKUP(tblCharDataHazel[[#This Row],[Field]],$E$2:$F$362,2,FALSE))</f>
        <v>¬</v>
      </c>
      <c r="D11" s="19"/>
      <c r="E11" s="15" t="s">
        <v>14</v>
      </c>
      <c r="F11" s="3" t="s">
        <v>558</v>
      </c>
      <c r="G11" s="18"/>
      <c r="H11" s="18"/>
      <c r="I11" s="18" t="s">
        <v>1431</v>
      </c>
      <c r="N11" s="61">
        <f>N163</f>
        <v>3</v>
      </c>
      <c r="O11" s="65">
        <f>N11/SUM(N$7:N$12)</f>
        <v>7.8947368421052627E-2</v>
      </c>
      <c r="P11" s="66"/>
      <c r="Y11" s="15" t="s">
        <v>123</v>
      </c>
      <c r="Z11" s="19"/>
      <c r="AA11" s="61" t="str">
        <f t="shared" si="0"/>
        <v/>
      </c>
      <c r="AC11" s="60" t="str">
        <v>Spray</v>
      </c>
      <c r="AD11" s="20" t="str">
        <f>IF(AC11="","¬",_xlfn.LET(_xlpm.base,IFERROR(LEFT(AC11,FIND(" (",AC11)-1),AC11),IFERROR(VLOOKUP(_xlpm.base,tblManoeuvre[],2,FALSE) &amp; " " &amp; REPT("●",VLOOKUP(_xlpm.base,tblManoeuvre[],3,FALSE)) &amp; " | " &amp; AC11,AC11 &amp; " " &amp; REPT("●",VLOOKUP(_xlpm.base,$F$79:$P$120,11,FALSE)))))</f>
        <v>Kindred Dueling ●●●●● | Spray</v>
      </c>
      <c r="AE11" s="20"/>
      <c r="AF11" s="20" t="str">
        <f>IF(LEN(AC11)=0,"¬",_xlfn.LET(_xlpm.base,IFERROR(LEFT(AC11,FIND(" (",AC11)-1),AC11),IFERROR(VLOOKUP(_xlpm.base,tblMerits[],5,FALSE),IFERROR(VLOOKUP(_xlpm.base,tblManoeuvre[],9,FALSE),"¬"))))</f>
        <v>Sacrifice your Defence to make an attack that can exchange points of damage inflicted for points of Vitae damaged.</v>
      </c>
      <c r="AI11" s="15" t="s">
        <v>26</v>
      </c>
      <c r="AJ11" s="61">
        <f t="shared" si="1"/>
        <v>0</v>
      </c>
      <c r="AK11" s="61">
        <f>IF(AJ11=0,IF(COUNTIF($E$42:$E$49,AI11)&gt;0,-3,-1),AJ11)</f>
        <v>-3</v>
      </c>
    </row>
    <row r="12" spans="1:37">
      <c r="A12" s="1" t="s">
        <v>11</v>
      </c>
      <c r="B12" t="str">
        <f>IF(VLOOKUP(tblCharDataHazel[[#This Row],[Field]],$E$2:$F$362,2,FALSE)="","¬",VLOOKUP(tblCharDataHazel[[#This Row],[Field]],$E$2:$F$362,2,FALSE))</f>
        <v>Lancea et Sanctum</v>
      </c>
      <c r="D12" s="19"/>
      <c r="E12" s="15" t="s">
        <v>15</v>
      </c>
      <c r="F12" s="3"/>
      <c r="G12" s="3"/>
      <c r="H12" s="18"/>
      <c r="I12" s="18" t="s">
        <v>1432</v>
      </c>
      <c r="N12" s="61">
        <f>N71</f>
        <v>0</v>
      </c>
      <c r="O12" s="65">
        <f>N12/SUM(N$7:N$12)</f>
        <v>0</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0</v>
      </c>
      <c r="AK12" s="61">
        <f>IF(AJ12=0,IF(COUNTIF($E$42:$E$49,AI12)&gt;0,-3,-1),AJ12)</f>
        <v>-3</v>
      </c>
    </row>
    <row r="13" spans="1:37">
      <c r="A13" s="1" t="s">
        <v>12</v>
      </c>
      <c r="B13" t="str">
        <f>_xlfn.IFNA(CONCATENATE(Elements,VLOOKUP(B12,tblCovenantShortName[#Data],2,FALSE)," icon.svg"),"")</f>
        <v>D:\Terra Mortis\Character Sheets\Sheet Elements\Lance icon.svg</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0</v>
      </c>
      <c r="AK13" s="61">
        <f t="shared" ref="AK13:AK19" si="2">AJ13</f>
        <v>0</v>
      </c>
    </row>
    <row r="14" spans="1:37">
      <c r="A14" s="1" t="s">
        <v>13</v>
      </c>
      <c r="B14" t="str">
        <f>IF(VLOOKUP(tblCharDataHazel[[#This Row],[Field]],$E$2:$F$362,2,FALSE)="","¬",VLOOKUP(tblCharDataHazel[[#This Row],[Field]],$E$2:$F$362,2,FALSE))</f>
        <v>Penitent</v>
      </c>
      <c r="D14" s="19"/>
      <c r="E14" s="15" t="s">
        <v>1433</v>
      </c>
      <c r="F14" s="28"/>
      <c r="G14" s="3"/>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0</v>
      </c>
      <c r="AK14" s="61">
        <f t="shared" si="2"/>
        <v>0</v>
      </c>
    </row>
    <row r="15" spans="1:37">
      <c r="A15" s="1" t="s">
        <v>14</v>
      </c>
      <c r="B15" t="str">
        <f>IF(VLOOKUP(tblCharDataHazel[[#This Row],[Field]],$E$2:$F$362,2,FALSE)="","¬",VLOOKUP(tblCharDataHazel[[#This Row],[Field]],$E$2:$F$362,2,FALSE))</f>
        <v>Authoritarian</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2</v>
      </c>
      <c r="AK15" s="61">
        <f t="shared" ca="1" si="2"/>
        <v>2</v>
      </c>
    </row>
    <row r="16" spans="1:37" ht="15.75" thickBot="1">
      <c r="A16" s="1" t="s">
        <v>15</v>
      </c>
      <c r="B16" t="str">
        <f ca="1">_xlfn.LET(_xlpm.a,VLOOKUP(tblCharDataHazel[[#This Row],[Field]],$E$2:$F$362,2,FALSE),_xlpm.b,VLOOKUP(OFFSET(tblCharDataHazel[[#This Row],[Field]],1,0),$E$2:$F$362,2,FALSE),IF(AND(_xlpm.a&lt;&gt;"",_xlpm.b&lt;&gt;""),_xlpm.a&amp;" &amp; "&amp;_xlpm.b,IF(_xlpm.a&lt;&gt;"",_xlpm.a,IF(_xlpm.b&lt;&gt;"",_xlpm.b,"¬"))))</f>
        <v>¬</v>
      </c>
      <c r="D16" s="14" t="s">
        <v>1427</v>
      </c>
      <c r="E16" s="14"/>
      <c r="F16" s="14"/>
      <c r="G16" s="14"/>
      <c r="H16" s="14"/>
      <c r="I16" s="14"/>
      <c r="N16" s="60">
        <f>SUM(N17:N21)</f>
        <v>0</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REPT("●",IFERROR(INDEX($P$26:$P$38,MATCH(tblCharDataHazel[[#This Row],[Field]],$E$26:$E$38,0)),0))&amp;REPT("○",IFERROR(INDEX($V$26:$V$38,MATCH(tblCharDataHazel[[#This Row],[Field]],$E$26:$E$38,0)),0))</f>
        <v>●●●●</v>
      </c>
      <c r="D17" s="19"/>
      <c r="E17" s="15" t="s">
        <v>1435</v>
      </c>
      <c r="F17" s="3"/>
      <c r="G17" s="19"/>
      <c r="H17" s="19"/>
      <c r="I17" s="19"/>
      <c r="N17" s="61">
        <f>IF(F17=TRUE,3,0)</f>
        <v>0</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2</v>
      </c>
      <c r="AK17" s="61">
        <f>AJ17+IFERROR(INDEX($V$26:$V$38,MATCH(AI17,$E$26:$E$38,0)),0)</f>
        <v>2</v>
      </c>
    </row>
    <row r="18" spans="1:37">
      <c r="A18" s="1" t="s">
        <v>17</v>
      </c>
      <c r="B18" t="str">
        <f>REPT("●",IFERROR(INDEX($P$26:$P$38,MATCH(tblCharDataHazel[[#This Row],[Field]],$E$26:$E$38,0)),0))&amp;REPT("○",IFERROR(INDEX($V$26:$V$38,MATCH(tblCharDataHazel[[#This Row],[Field]],$E$26:$E$38,0)),0))</f>
        <v>●●</v>
      </c>
      <c r="D18" s="19"/>
      <c r="E18" s="15" t="s">
        <v>1436</v>
      </c>
      <c r="F18" s="3"/>
      <c r="G18" s="19"/>
      <c r="H18" s="19"/>
      <c r="I18" s="19"/>
      <c r="N18" s="61">
        <f>IF(F18=TRUE,3,0)</f>
        <v>0</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0</v>
      </c>
      <c r="AK18" s="61">
        <f t="shared" si="2"/>
        <v>0</v>
      </c>
    </row>
    <row r="19" spans="1:37">
      <c r="A19" s="1" t="s">
        <v>18</v>
      </c>
      <c r="B19" t="str">
        <f>REPT("●",IFERROR(INDEX($P$26:$P$38,MATCH(tblCharDataHazel[[#This Row],[Field]],$E$26:$E$38,0)),0))&amp;REPT("○",IFERROR(INDEX($V$26:$V$38,MATCH(tblCharDataHazel[[#This Row],[Field]],$E$26:$E$38,0)),0))</f>
        <v>●●●</v>
      </c>
      <c r="D19" s="19"/>
      <c r="E19" s="15" t="s">
        <v>1437</v>
      </c>
      <c r="F19" s="3"/>
      <c r="G19" s="19"/>
      <c r="H19" s="19"/>
      <c r="I19" s="19"/>
      <c r="N19" s="61">
        <f>IF(F19=TRUE,3,0)</f>
        <v>0</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3</v>
      </c>
      <c r="AK19" s="61">
        <f t="shared" si="2"/>
        <v>3</v>
      </c>
    </row>
    <row r="20" spans="1:37">
      <c r="A20" s="1" t="s">
        <v>19</v>
      </c>
      <c r="B20" t="str">
        <f>REPT("●",IFERROR(INDEX($P$26:$P$38,MATCH(tblCharDataHazel[[#This Row],[Field]],$E$26:$E$38,0)),0))&amp;REPT("○",IFERROR(INDEX($V$26:$V$38,MATCH(tblCharDataHazel[[#This Row],[Field]],$E$26:$E$38,0)),0))</f>
        <v>●●●</v>
      </c>
      <c r="D20" s="19"/>
      <c r="E20" s="15" t="s">
        <v>1438</v>
      </c>
      <c r="F20" s="3"/>
      <c r="G20" s="19"/>
      <c r="H20" s="19"/>
      <c r="I20" s="19"/>
      <c r="N20" s="61">
        <f>IF(F20=TRUE,3,0)</f>
        <v>0</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REPT("●",IFERROR(INDEX($P$26:$P$38,MATCH(tblCharDataHazel[[#This Row],[Field]],$E$26:$E$38,0)),0))&amp;REPT("○",IFERROR(INDEX($V$26:$V$38,MATCH(tblCharDataHazel[[#This Row],[Field]],$E$26:$E$38,0)),0))</f>
        <v>●●</v>
      </c>
      <c r="D21" s="19"/>
      <c r="E21" s="15" t="s">
        <v>11</v>
      </c>
      <c r="F21" s="3"/>
      <c r="G21" s="19"/>
      <c r="H21" s="19"/>
      <c r="I21" s="19"/>
      <c r="N21" s="61">
        <f>IF(F21=TRUE,3,0)</f>
        <v>0</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1</v>
      </c>
      <c r="AK21" s="61">
        <f>IF(AJ21=0,IF(COUNTIF($E$42:$E$49,AI21)&gt;0,-3,-1),AJ21)</f>
        <v>1</v>
      </c>
    </row>
    <row r="22" spans="1:37">
      <c r="A22" s="1" t="s">
        <v>21</v>
      </c>
      <c r="B22" t="str">
        <f>REPT("●",IFERROR(INDEX($P$26:$P$38,MATCH(tblCharDataHazel[[#This Row],[Field]],$E$26:$E$38,0)),0))&amp;REPT("○",IFERROR(INDEX($V$26:$V$38,MATCH(tblCharDataHazel[[#This Row],[Field]],$E$26:$E$38,0)),0))</f>
        <v>●●</v>
      </c>
      <c r="Y22" s="15" t="s">
        <v>1439</v>
      </c>
      <c r="Z22" s="61" t="str">
        <f>IFERROR(VLOOKUP(AA22,tblManoeuvre[],2,FALSE),"")</f>
        <v>Kindred Dueling</v>
      </c>
      <c r="AA22" s="61" t="str">
        <f t="shared" ref="AA22:AA41" si="3">_xlfn.LET(_xlpm.name,VLOOKUP(Y22,$E$2:$F$362,2,FALSE),_xlpm.paid,_xlfn.IFNA(VLOOKUP(_xlpm.name,$F$79:$Q$120,11,FALSE)&gt;=VLOOKUP(_xlpm.name,$F$79:$Q$120,12,FALSE),FALSE),IF(AND(_xlpm.name&lt;&gt;"",_xlpm.paid),_xlpm.name,""))</f>
        <v>Hamstring</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3</v>
      </c>
      <c r="AK22" s="61">
        <f>IF(AJ22=0,IF(COUNTIF($E$42:$E$49,AI22)&gt;0,-3,-1),AJ22)</f>
        <v>3</v>
      </c>
    </row>
    <row r="23" spans="1:37" ht="15.75" thickBot="1">
      <c r="A23" s="1" t="s">
        <v>22</v>
      </c>
      <c r="B23" t="str">
        <f>REPT("●",IFERROR(INDEX($P$26:$P$38,MATCH(tblCharDataHazel[[#This Row],[Field]],$E$26:$E$38,0)),0))&amp;REPT("○",IFERROR(INDEX($V$26:$V$38,MATCH(tblCharDataHazel[[#This Row],[Field]],$E$26:$E$38,0)),0))</f>
        <v>●●</v>
      </c>
      <c r="D23" s="14" t="s">
        <v>1440</v>
      </c>
      <c r="E23" s="14"/>
      <c r="F23" s="14"/>
      <c r="G23" s="14"/>
      <c r="H23" s="14"/>
      <c r="I23" s="14"/>
      <c r="N23" s="60">
        <f>SUM(N26:N28,N31:N33,N36:N38)</f>
        <v>0</v>
      </c>
      <c r="Y23" s="15" t="s">
        <v>1441</v>
      </c>
      <c r="Z23" s="61" t="str">
        <f>IFERROR(VLOOKUP(AA23,tblManoeuvre[],2,FALSE),"")</f>
        <v>Kindred Dueling</v>
      </c>
      <c r="AA23" s="61" t="str">
        <f t="shared" si="3"/>
        <v>Taunt</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0</v>
      </c>
      <c r="AK23" s="61">
        <f>IF(AJ23=0,VLOOKUP(AI23,$E$42:$Q$69,13,FALSE),AJ23)</f>
        <v>0</v>
      </c>
    </row>
    <row r="24" spans="1:37">
      <c r="A24" s="1" t="s">
        <v>23</v>
      </c>
      <c r="B24" t="str">
        <f>REPT("●",IFERROR(INDEX($P$26:$P$38,MATCH(tblCharDataHazel[[#This Row],[Field]],$E$26:$E$38,0)),0))&amp;REPT("○",IFERROR(INDEX($V$26:$V$38,MATCH(tblCharDataHazel[[#This Row],[Field]],$E$26:$E$38,0)),0))</f>
        <v>●</v>
      </c>
      <c r="E24" s="15" t="s">
        <v>1442</v>
      </c>
      <c r="F24" s="3" t="s">
        <v>18</v>
      </c>
      <c r="Y24" s="15" t="s">
        <v>1443</v>
      </c>
      <c r="Z24" s="61" t="str">
        <f>IFERROR(VLOOKUP(AA24,tblManoeuvre[],2,FALSE),"")</f>
        <v>Kindred Dueling</v>
      </c>
      <c r="AA24" s="61" t="str">
        <f t="shared" si="3"/>
        <v>Carving</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7</v>
      </c>
      <c r="AK24" s="61">
        <f ca="1">AJ24</f>
        <v>7</v>
      </c>
    </row>
    <row r="25" spans="1:37">
      <c r="A25" s="1" t="s">
        <v>24</v>
      </c>
      <c r="B25" t="str">
        <f>REPT("●",IFERROR(INDEX($P$26:$P$38,MATCH(tblCharDataHazel[[#This Row],[Field]],$E$26:$E$38,0)),0))&amp;REPT("○",IFERROR(INDEX($V$26:$V$38,MATCH(tblCharDataHazel[[#This Row],[Field]],$E$26:$E$38,0)),0))</f>
        <v>●●●</v>
      </c>
      <c r="D25" s="16" t="s">
        <v>1444</v>
      </c>
      <c r="E25" s="17"/>
      <c r="F25" s="17"/>
      <c r="G25" s="17"/>
      <c r="H25" s="16" t="s">
        <v>1446</v>
      </c>
      <c r="I25" s="3" t="s">
        <v>1565</v>
      </c>
      <c r="L25" s="60">
        <f>IF(I25="",0,VLOOKUP(I25,tblPriority[#Data],2,FALSE))-SUM(L26:L28)</f>
        <v>0</v>
      </c>
      <c r="Y25" s="15" t="s">
        <v>1447</v>
      </c>
      <c r="Z25" s="61" t="str">
        <f>IFERROR(VLOOKUP(AA25,tblManoeuvre[],2,FALSE),"")</f>
        <v>Kindred Dueling</v>
      </c>
      <c r="AA25" s="61" t="str">
        <f t="shared" si="3"/>
        <v>Pincushion</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4</v>
      </c>
      <c r="AK25" s="61">
        <f>AJ25</f>
        <v>4</v>
      </c>
    </row>
    <row r="26" spans="1:37">
      <c r="A26" s="1" t="s">
        <v>25</v>
      </c>
      <c r="B26" t="str">
        <f>REPT("●",IFERROR(INDEX($P$42:$P$69,MATCH(tblCharDataHazel[[#This Row],[Field]],$E$42:$E$69,0)),0))&amp;REPT("○",IFERROR(INDEX($V$42:$V$69,MATCH(tblCharDataHazel[[#This Row],[Field]],$E$42:$E$69,0)),0))&amp;IF(IFERROR(INDEX($W$42:$W$69,MATCH(tblCharDataHazel[[#This Row],[Field]],$E$42:$E$69,0)),0)=1,"†","")</f>
        <v/>
      </c>
      <c r="D26" s="18"/>
      <c r="E26" s="15" t="s">
        <v>16</v>
      </c>
      <c r="F26" s="18"/>
      <c r="G26" s="18"/>
      <c r="H26" s="18"/>
      <c r="I26" s="18"/>
      <c r="L26" s="3">
        <v>3</v>
      </c>
      <c r="M26" s="60">
        <f>IF(E26=$F$24,2,1)</f>
        <v>1</v>
      </c>
      <c r="N26" s="3"/>
      <c r="O26" s="61">
        <f>ROUNDDOWN(N26/4,0)</f>
        <v>0</v>
      </c>
      <c r="P26" s="60">
        <f>MIN(SUM(L26,M26,O26),R26)</f>
        <v>4</v>
      </c>
      <c r="R26" s="61">
        <v>5</v>
      </c>
      <c r="U26" s="4"/>
      <c r="V26" s="61">
        <f>U26</f>
        <v>0</v>
      </c>
      <c r="Y26" s="15" t="s">
        <v>1449</v>
      </c>
      <c r="Z26" s="61" t="str">
        <f>IFERROR(VLOOKUP(AA26,tblManoeuvre[],2,FALSE),"")</f>
        <v>Kindred Dueling</v>
      </c>
      <c r="AA26" s="61" t="str">
        <f t="shared" si="3"/>
        <v>Spray</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4</v>
      </c>
      <c r="AK26" s="61">
        <f>AJ26+IFERROR(INDEX($V$26:$V$38,MATCH(AI26,$E$26:$E$38,0)),0)</f>
        <v>4</v>
      </c>
    </row>
    <row r="27" spans="1:37">
      <c r="A27" s="1" t="s">
        <v>26</v>
      </c>
      <c r="B27" t="str">
        <f>REPT("●",IFERROR(INDEX($P$42:$P$69,MATCH(tblCharDataHazel[[#This Row],[Field]],$E$42:$E$69,0)),0))&amp;REPT("○",IFERROR(INDEX($V$42:$V$69,MATCH(tblCharDataHazel[[#This Row],[Field]],$E$42:$E$69,0)),0))&amp;IF(IFERROR(INDEX($W$42:$W$69,MATCH(tblCharDataHazel[[#This Row],[Field]],$E$42:$E$69,0)),0)=1,"†","")</f>
        <v/>
      </c>
      <c r="D27" s="18"/>
      <c r="E27" s="15" t="s">
        <v>17</v>
      </c>
      <c r="F27" s="18"/>
      <c r="G27" s="18"/>
      <c r="H27" s="18"/>
      <c r="I27" s="18"/>
      <c r="L27" s="3">
        <v>1</v>
      </c>
      <c r="M27" s="60">
        <f>IF(E27=$F$24,2,1)</f>
        <v>1</v>
      </c>
      <c r="N27" s="3"/>
      <c r="O27" s="61">
        <f>ROUNDDOWN(N27/4,0)</f>
        <v>0</v>
      </c>
      <c r="P27" s="60">
        <f>MIN(SUM(L27,M27,O27),R27)</f>
        <v>2</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0</v>
      </c>
      <c r="AK27" s="61">
        <f>IF(AJ27=0,IF(COUNTIF($E$42:$E$49,AI27)&gt;0,-3,-1),AJ27)</f>
        <v>-1</v>
      </c>
    </row>
    <row r="28" spans="1:37">
      <c r="A28" s="1" t="s">
        <v>27</v>
      </c>
      <c r="B28" t="str">
        <f>REPT("●",IFERROR(INDEX($P$42:$P$69,MATCH(tblCharDataHazel[[#This Row],[Field]],$E$42:$E$69,0)),0))&amp;REPT("○",IFERROR(INDEX($V$42:$V$69,MATCH(tblCharDataHazel[[#This Row],[Field]],$E$42:$E$69,0)),0))&amp;IF(IFERROR(INDEX($W$42:$W$69,MATCH(tblCharDataHazel[[#This Row],[Field]],$E$42:$E$69,0)),0)=1,"†","")</f>
        <v/>
      </c>
      <c r="D28" s="18"/>
      <c r="E28" s="15" t="s">
        <v>18</v>
      </c>
      <c r="F28" s="18"/>
      <c r="G28" s="18"/>
      <c r="H28" s="18"/>
      <c r="I28" s="18"/>
      <c r="L28" s="3">
        <v>1</v>
      </c>
      <c r="M28" s="60">
        <f>IF(E28=$F$24,2,1)</f>
        <v>2</v>
      </c>
      <c r="N28" s="3"/>
      <c r="O28" s="61">
        <f>ROUNDDOWN(N28/4,0)</f>
        <v>0</v>
      </c>
      <c r="P28" s="60">
        <f>MIN(SUM(L28,M28,O28),R28)</f>
        <v>3</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2</v>
      </c>
      <c r="AK28" s="61">
        <f>IF(AJ28=0,IF(COUNTIF($E$42:$E$49,AI28)&gt;0,-3,-1),AJ28)</f>
        <v>2</v>
      </c>
    </row>
    <row r="29" spans="1:37">
      <c r="A29" s="1" t="s">
        <v>28</v>
      </c>
      <c r="B29" t="str">
        <f>REPT("●",IFERROR(INDEX($P$42:$P$69,MATCH(tblCharDataHazel[[#This Row],[Field]],$E$42:$E$69,0)),0))&amp;REPT("○",IFERROR(INDEX($V$42:$V$69,MATCH(tblCharDataHazel[[#This Row],[Field]],$E$42:$E$69,0)),0))&amp;IF(IFERROR(INDEX($W$42:$W$69,MATCH(tblCharDataHazel[[#This Row],[Field]],$E$42:$E$69,0)),0)=1,"†","")</f>
        <v>●●</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0</v>
      </c>
      <c r="AK29" s="61">
        <f>IF(AJ29=0,IF(COUNTIF($E$42:$E$49,AI29)&gt;0,-3,-1),AJ29)</f>
        <v>-1</v>
      </c>
    </row>
    <row r="30" spans="1:37">
      <c r="A30" s="1" t="s">
        <v>29</v>
      </c>
      <c r="B30" t="str">
        <f>REPT("●",IFERROR(INDEX($P$42:$P$69,MATCH(tblCharDataHazel[[#This Row],[Field]],$E$42:$E$69,0)),0))&amp;REPT("○",IFERROR(INDEX($V$42:$V$69,MATCH(tblCharDataHazel[[#This Row],[Field]],$E$42:$E$69,0)),0))&amp;IF(IFERROR(INDEX($W$42:$W$69,MATCH(tblCharDataHazel[[#This Row],[Field]],$E$42:$E$69,0)),0)=1,"†","")</f>
        <v/>
      </c>
      <c r="D30" s="16" t="s">
        <v>1453</v>
      </c>
      <c r="E30" s="17"/>
      <c r="F30" s="17"/>
      <c r="G30" s="17"/>
      <c r="H30" s="16" t="s">
        <v>1446</v>
      </c>
      <c r="I30" s="3" t="s">
        <v>1567</v>
      </c>
      <c r="L30" s="60">
        <f>IF(I30="",0,VLOOKUP(I30,tblPriority[#Data],2,FALSE))-SUM(L31:L33)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0</v>
      </c>
      <c r="AK30" s="61">
        <f>AJ30</f>
        <v>0</v>
      </c>
    </row>
    <row r="31" spans="1:37">
      <c r="A31" s="1" t="s">
        <v>30</v>
      </c>
      <c r="B31" t="str">
        <f>REPT("●",IFERROR(INDEX($P$42:$P$69,MATCH(tblCharDataHazel[[#This Row],[Field]],$E$42:$E$69,0)),0))&amp;REPT("○",IFERROR(INDEX($V$42:$V$69,MATCH(tblCharDataHazel[[#This Row],[Field]],$E$42:$E$69,0)),0))&amp;IF(IFERROR(INDEX($W$42:$W$69,MATCH(tblCharDataHazel[[#This Row],[Field]],$E$42:$E$69,0)),0)=1,"†","")</f>
        <v>●●</v>
      </c>
      <c r="D31" s="18"/>
      <c r="E31" s="15" t="s">
        <v>19</v>
      </c>
      <c r="F31" s="18"/>
      <c r="G31" s="18"/>
      <c r="H31" s="18"/>
      <c r="I31" s="18"/>
      <c r="L31" s="3">
        <v>2</v>
      </c>
      <c r="M31" s="60">
        <f>IF(E31=$F$24,2,1)</f>
        <v>1</v>
      </c>
      <c r="N31" s="3"/>
      <c r="O31" s="61">
        <f>ROUNDDOWN(N31/4,0)</f>
        <v>0</v>
      </c>
      <c r="P31" s="60">
        <f>MIN(SUM(L31,M31,O31),R31)</f>
        <v>3</v>
      </c>
      <c r="R31" s="61">
        <v>5</v>
      </c>
      <c r="U31" s="4"/>
      <c r="V31" s="61">
        <f>$P$174+U31</f>
        <v>0</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1</v>
      </c>
      <c r="AK31" s="61">
        <f>AJ31+IFERROR(INDEX($V$26:$V$38,MATCH(AI31,$E$26:$E$38,0)),0)</f>
        <v>1</v>
      </c>
    </row>
    <row r="32" spans="1:37">
      <c r="A32" s="1" t="s">
        <v>31</v>
      </c>
      <c r="B32" t="str">
        <f>REPT("●",IFERROR(INDEX($P$42:$P$69,MATCH(tblCharDataHazel[[#This Row],[Field]],$E$42:$E$69,0)),0))&amp;REPT("○",IFERROR(INDEX($V$42:$V$69,MATCH(tblCharDataHazel[[#This Row],[Field]],$E$42:$E$69,0)),0))&amp;IF(IFERROR(INDEX($W$42:$W$69,MATCH(tblCharDataHazel[[#This Row],[Field]],$E$42:$E$69,0)),0)=1,"†","")</f>
        <v/>
      </c>
      <c r="D32" s="18"/>
      <c r="E32" s="15" t="s">
        <v>20</v>
      </c>
      <c r="F32" s="18"/>
      <c r="G32" s="18"/>
      <c r="H32" s="18"/>
      <c r="I32" s="18"/>
      <c r="L32" s="3">
        <v>1</v>
      </c>
      <c r="M32" s="60">
        <f>IF(E32=$F$24,2,1)</f>
        <v>1</v>
      </c>
      <c r="N32" s="3"/>
      <c r="O32" s="61">
        <f>ROUNDDOWN(N32/4,0)</f>
        <v>0</v>
      </c>
      <c r="P32" s="60">
        <f>MIN(SUM(L32,M32,O32),R32)</f>
        <v>2</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REPT("●",IFERROR(INDEX($P$42:$P$69,MATCH(tblCharDataHazel[[#This Row],[Field]],$E$42:$E$69,0)),0))&amp;REPT("○",IFERROR(INDEX($V$42:$V$69,MATCH(tblCharDataHazel[[#This Row],[Field]],$E$42:$E$69,0)),0))&amp;IF(IFERROR(INDEX($W$42:$W$69,MATCH(tblCharDataHazel[[#This Row],[Field]],$E$42:$E$69,0)),0)=1,"†","")</f>
        <v/>
      </c>
      <c r="D33" s="18"/>
      <c r="E33" s="15" t="s">
        <v>21</v>
      </c>
      <c r="F33" s="18"/>
      <c r="G33" s="18"/>
      <c r="H33" s="18"/>
      <c r="I33" s="18"/>
      <c r="L33" s="3">
        <v>1</v>
      </c>
      <c r="M33" s="60">
        <f>IF(E33=$F$24,2,1)</f>
        <v>1</v>
      </c>
      <c r="N33" s="3"/>
      <c r="O33" s="61">
        <f>ROUNDDOWN(N33/4,0)</f>
        <v>0</v>
      </c>
      <c r="P33" s="60">
        <f>MIN(SUM(L33,M33,O33),R33)</f>
        <v>2</v>
      </c>
      <c r="R33" s="61">
        <v>5</v>
      </c>
      <c r="U33" s="4"/>
      <c r="V33" s="61">
        <f>$P$173+U33</f>
        <v>0</v>
      </c>
      <c r="Y33" s="15" t="s">
        <v>1457</v>
      </c>
      <c r="Z33" s="61" t="str">
        <f>IFERROR(VLOOKUP(AA33,tblManoeuvre[],2,FALSE),"")</f>
        <v/>
      </c>
      <c r="AA33" s="61" t="str">
        <f t="shared" si="3"/>
        <v/>
      </c>
      <c r="AI33" s="15" t="s">
        <v>241</v>
      </c>
      <c r="AJ33" s="61">
        <f t="shared" si="1"/>
        <v>0</v>
      </c>
      <c r="AK33" s="61">
        <f>AJ33</f>
        <v>0</v>
      </c>
    </row>
    <row r="34" spans="1:37">
      <c r="A34" s="1" t="s">
        <v>33</v>
      </c>
      <c r="B34" t="str">
        <f>REPT("●",IFERROR(INDEX($P$42:$P$69,MATCH(tblCharDataHazel[[#This Row],[Field]],$E$42:$E$69,0)),0))&amp;REPT("○",IFERROR(INDEX($V$42:$V$69,MATCH(tblCharDataHazel[[#This Row],[Field]],$E$42:$E$69,0)),0))&amp;IF(IFERROR(INDEX($W$42:$W$69,MATCH(tblCharDataHazel[[#This Row],[Field]],$E$42:$E$69,0)),0)=1,"†","")</f>
        <v/>
      </c>
      <c r="Y34" s="15" t="s">
        <v>1458</v>
      </c>
      <c r="Z34" s="61" t="str">
        <f>IFERROR(VLOOKUP(AA34,tblManoeuvre[],2,FALSE),"")</f>
        <v/>
      </c>
      <c r="AA34" s="61" t="str">
        <f t="shared" si="3"/>
        <v/>
      </c>
      <c r="AI34" s="15" t="s">
        <v>242</v>
      </c>
      <c r="AJ34" s="61">
        <f t="shared" si="1"/>
        <v>0</v>
      </c>
      <c r="AK34" s="61">
        <f>AJ34</f>
        <v>0</v>
      </c>
    </row>
    <row r="35" spans="1:37">
      <c r="A35" s="1" t="s">
        <v>34</v>
      </c>
      <c r="B35" t="str">
        <f>REPT("●",IFERROR(INDEX($P$42:$P$69,MATCH(tblCharDataHazel[[#This Row],[Field]],$E$42:$E$69,0)),0))&amp;REPT("○",IFERROR(INDEX($V$42:$V$69,MATCH(tblCharDataHazel[[#This Row],[Field]],$E$42:$E$69,0)),0))&amp;IF(IFERROR(INDEX($W$42:$W$69,MATCH(tblCharDataHazel[[#This Row],[Field]],$E$42:$E$69,0)),0)=1,"†","")</f>
        <v/>
      </c>
      <c r="D35" s="16" t="s">
        <v>1459</v>
      </c>
      <c r="E35" s="17"/>
      <c r="F35" s="17"/>
      <c r="G35" s="17"/>
      <c r="H35" s="16" t="s">
        <v>1446</v>
      </c>
      <c r="I35" s="3" t="s">
        <v>1566</v>
      </c>
      <c r="L35" s="60">
        <f>IF(I35="",0,VLOOKUP(I35,tblPriority[#Data],2,FALSE))-SUM(L36:L38)</f>
        <v>0</v>
      </c>
      <c r="Y35" s="15" t="s">
        <v>1460</v>
      </c>
      <c r="Z35" s="61" t="str">
        <f>IFERROR(VLOOKUP(AA35,tblManoeuvre[],2,FALSE),"")</f>
        <v/>
      </c>
      <c r="AA35" s="61" t="str">
        <f t="shared" si="3"/>
        <v/>
      </c>
      <c r="AI35" s="15" t="s">
        <v>30</v>
      </c>
      <c r="AJ35" s="61">
        <f t="shared" si="1"/>
        <v>2</v>
      </c>
      <c r="AK35" s="61">
        <f>IF(AJ35=0,IF(COUNTIF($E$42:$E$49,AI35)&gt;0,-3,-1),AJ35)</f>
        <v>2</v>
      </c>
    </row>
    <row r="36" spans="1:37">
      <c r="A36" s="1" t="s">
        <v>35</v>
      </c>
      <c r="B36" t="str">
        <f>REPT("●",IFERROR(INDEX($P$42:$P$69,MATCH(tblCharDataHazel[[#This Row],[Field]],$E$42:$E$69,0)),0))&amp;REPT("○",IFERROR(INDEX($V$42:$V$69,MATCH(tblCharDataHazel[[#This Row],[Field]],$E$42:$E$69,0)),0))&amp;IF(IFERROR(INDEX($W$42:$W$69,MATCH(tblCharDataHazel[[#This Row],[Field]],$E$42:$E$69,0)),0)=1,"†","")</f>
        <v/>
      </c>
      <c r="D36" s="18"/>
      <c r="E36" s="15" t="s">
        <v>22</v>
      </c>
      <c r="F36" s="18"/>
      <c r="G36" s="18"/>
      <c r="H36" s="18"/>
      <c r="I36" s="18"/>
      <c r="L36" s="3">
        <v>1</v>
      </c>
      <c r="M36" s="60">
        <f>IF(E36=$F$24,2,1)</f>
        <v>1</v>
      </c>
      <c r="N36" s="3"/>
      <c r="O36" s="61">
        <f>ROUNDDOWN(N36/4,0)</f>
        <v>0</v>
      </c>
      <c r="P36" s="60">
        <f>MIN(SUM(L36,M36,O36),R36)</f>
        <v>2</v>
      </c>
      <c r="R36" s="61">
        <v>5</v>
      </c>
      <c r="U36" s="4"/>
      <c r="V36" s="61">
        <f>U36</f>
        <v>0</v>
      </c>
      <c r="Y36" s="15" t="s">
        <v>1461</v>
      </c>
      <c r="Z36" s="61" t="str">
        <f>IFERROR(VLOOKUP(AA36,tblManoeuvre[],2,FALSE),"")</f>
        <v/>
      </c>
      <c r="AA36" s="61" t="str">
        <f t="shared" si="3"/>
        <v/>
      </c>
      <c r="AI36" s="15" t="s">
        <v>45</v>
      </c>
      <c r="AJ36" s="61">
        <f t="shared" si="1"/>
        <v>1</v>
      </c>
      <c r="AK36" s="61">
        <f>IF(AJ36=0,IF(COUNTIF($E$42:$E$49,AI36)&gt;0,-3,-1),AJ36)</f>
        <v>1</v>
      </c>
    </row>
    <row r="37" spans="1:37">
      <c r="A37" s="1" t="s">
        <v>36</v>
      </c>
      <c r="B37" t="str">
        <f>REPT("●",IFERROR(INDEX($P$42:$P$69,MATCH(tblCharDataHazel[[#This Row],[Field]],$E$42:$E$69,0)),0))&amp;REPT("○",IFERROR(INDEX($V$42:$V$69,MATCH(tblCharDataHazel[[#This Row],[Field]],$E$42:$E$69,0)),0))&amp;IF(IFERROR(INDEX($W$42:$W$69,MATCH(tblCharDataHazel[[#This Row],[Field]],$E$42:$E$69,0)),0)=1,"†","")</f>
        <v/>
      </c>
      <c r="D37" s="18"/>
      <c r="E37" s="15" t="s">
        <v>23</v>
      </c>
      <c r="F37" s="18"/>
      <c r="G37" s="18"/>
      <c r="H37" s="18"/>
      <c r="I37" s="18"/>
      <c r="L37" s="3"/>
      <c r="M37" s="60">
        <f>IF(E37=$F$24,2,1)</f>
        <v>1</v>
      </c>
      <c r="N37" s="3"/>
      <c r="O37" s="61">
        <f>ROUNDDOWN(N37/4,0)</f>
        <v>0</v>
      </c>
      <c r="P37" s="60">
        <f>MIN(SUM(L37,M37,O37),R37)</f>
        <v>1</v>
      </c>
      <c r="R37" s="61">
        <v>5</v>
      </c>
      <c r="U37" s="4"/>
      <c r="V37" s="61">
        <f>U37</f>
        <v>0</v>
      </c>
      <c r="Y37" s="15" t="s">
        <v>1462</v>
      </c>
      <c r="Z37" s="61" t="str">
        <f>IFERROR(VLOOKUP(AA37,tblManoeuvre[],2,FALSE),"")</f>
        <v/>
      </c>
      <c r="AA37" s="61" t="str">
        <f t="shared" si="3"/>
        <v/>
      </c>
      <c r="AI37" s="15" t="s">
        <v>31</v>
      </c>
      <c r="AJ37" s="61">
        <f t="shared" si="1"/>
        <v>0</v>
      </c>
      <c r="AK37" s="61">
        <f>IF(AJ37=0,IF(COUNTIF($E$42:$E$49,AI37)&gt;0,-3,-1),AJ37)</f>
        <v>-3</v>
      </c>
    </row>
    <row r="38" spans="1:37">
      <c r="A38" s="1" t="s">
        <v>37</v>
      </c>
      <c r="B38" t="str">
        <f>REPT("●",IFERROR(INDEX($P$42:$P$69,MATCH(tblCharDataHazel[[#This Row],[Field]],$E$42:$E$69,0)),0))&amp;REPT("○",IFERROR(INDEX($V$42:$V$69,MATCH(tblCharDataHazel[[#This Row],[Field]],$E$42:$E$69,0)),0))&amp;IF(IFERROR(INDEX($W$42:$W$69,MATCH(tblCharDataHazel[[#This Row],[Field]],$E$42:$E$69,0)),0)=1,"†","")</f>
        <v/>
      </c>
      <c r="D38" s="18"/>
      <c r="E38" s="15" t="s">
        <v>24</v>
      </c>
      <c r="F38" s="18"/>
      <c r="G38" s="18"/>
      <c r="H38" s="18"/>
      <c r="I38" s="18"/>
      <c r="L38" s="3">
        <v>2</v>
      </c>
      <c r="M38" s="60">
        <f>IF(E38=$F$24,2,1)</f>
        <v>1</v>
      </c>
      <c r="N38" s="3"/>
      <c r="O38" s="61">
        <f>ROUNDDOWN(N38/4,0)</f>
        <v>0</v>
      </c>
      <c r="P38" s="60">
        <f>MIN(SUM(L38,M38,O38),R38)</f>
        <v>3</v>
      </c>
      <c r="R38" s="61">
        <v>5</v>
      </c>
      <c r="U38" s="4"/>
      <c r="V38" s="61">
        <f>U38</f>
        <v>0</v>
      </c>
      <c r="Y38" s="15" t="s">
        <v>1463</v>
      </c>
      <c r="Z38" s="61" t="str">
        <f>IFERROR(VLOOKUP(AA38,tblManoeuvre[],2,FALSE),"")</f>
        <v/>
      </c>
      <c r="AA38" s="61" t="str">
        <f t="shared" si="3"/>
        <v/>
      </c>
      <c r="AI38" s="15" t="s">
        <v>22</v>
      </c>
      <c r="AJ38" s="61">
        <f t="shared" si="1"/>
        <v>2</v>
      </c>
      <c r="AK38" s="61">
        <f>AJ38+IFERROR(INDEX($V$26:$V$38,MATCH(AI38,$E$26:$E$38,0)),0)</f>
        <v>2</v>
      </c>
    </row>
    <row r="39" spans="1:37">
      <c r="A39" s="1" t="s">
        <v>38</v>
      </c>
      <c r="B39" t="str">
        <f>REPT("●",IFERROR(INDEX($P$42:$P$69,MATCH(tblCharDataHazel[[#This Row],[Field]],$E$42:$E$69,0)),0))&amp;REPT("○",IFERROR(INDEX($V$42:$V$69,MATCH(tblCharDataHazel[[#This Row],[Field]],$E$42:$E$69,0)),0))&amp;IF(IFERROR(INDEX($W$42:$W$69,MATCH(tblCharDataHazel[[#This Row],[Field]],$E$42:$E$69,0)),0)=1,"†","")</f>
        <v>●●</v>
      </c>
      <c r="Y39" s="15" t="s">
        <v>1464</v>
      </c>
      <c r="Z39" s="61" t="str">
        <f>IFERROR(VLOOKUP(AA39,tblManoeuvre[],2,FALSE),"")</f>
        <v/>
      </c>
      <c r="AA39" s="61" t="str">
        <f t="shared" si="3"/>
        <v/>
      </c>
      <c r="AI39" s="15" t="s">
        <v>243</v>
      </c>
      <c r="AJ39" s="61">
        <f t="shared" si="1"/>
        <v>0</v>
      </c>
      <c r="AK39" s="61">
        <f>AJ39</f>
        <v>0</v>
      </c>
    </row>
    <row r="40" spans="1:37" ht="15.75" thickBot="1">
      <c r="A40" s="1" t="s">
        <v>39</v>
      </c>
      <c r="B40" t="str">
        <f>REPT("●",IFERROR(INDEX($P$42:$P$69,MATCH(tblCharDataHazel[[#This Row],[Field]],$E$42:$E$69,0)),0))&amp;REPT("○",IFERROR(INDEX($V$42:$V$69,MATCH(tblCharDataHazel[[#This Row],[Field]],$E$42:$E$69,0)),0))&amp;IF(IFERROR(INDEX($W$42:$W$69,MATCH(tblCharDataHazel[[#This Row],[Field]],$E$42:$E$69,0)),0)=1,"†","")</f>
        <v/>
      </c>
      <c r="D40" s="14" t="s">
        <v>1465</v>
      </c>
      <c r="E40" s="14"/>
      <c r="F40" s="14"/>
      <c r="G40" s="14"/>
      <c r="H40" s="14"/>
      <c r="I40" s="14"/>
      <c r="N40" s="60">
        <f>SUM(N42:N49,N52:N59,N62:N69)</f>
        <v>0</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1"/>
        <v>0</v>
      </c>
      <c r="AK40" s="61">
        <f>AJ40</f>
        <v>0</v>
      </c>
    </row>
    <row r="41" spans="1:37">
      <c r="A41" s="1" t="s">
        <v>40</v>
      </c>
      <c r="B41" t="str">
        <f>REPT("●",IFERROR(INDEX($P$42:$P$69,MATCH(tblCharDataHazel[[#This Row],[Field]],$E$42:$E$69,0)),0))&amp;REPT("○",IFERROR(INDEX($V$42:$V$69,MATCH(tblCharDataHazel[[#This Row],[Field]],$E$42:$E$69,0)),0))&amp;IF(IFERROR(INDEX($W$42:$W$69,MATCH(tblCharDataHazel[[#This Row],[Field]],$E$42:$E$69,0)),0)=1,"†","")</f>
        <v>●●●●●</v>
      </c>
      <c r="D41" s="16" t="s">
        <v>1444</v>
      </c>
      <c r="E41" s="17"/>
      <c r="F41" s="17"/>
      <c r="G41" s="17" t="s">
        <v>1467</v>
      </c>
      <c r="H41" s="16" t="s">
        <v>1446</v>
      </c>
      <c r="I41" s="3" t="s">
        <v>1566</v>
      </c>
      <c r="L41" s="60">
        <f>IF(I41="",0,VLOOKUP(I41,tblPriority[#Data],3,FALSE))-SUM(L42:L49)</f>
        <v>0</v>
      </c>
      <c r="T41" s="60">
        <f>MAX(3+IF(P161&gt;=3,2,0)-SUM(T42:T49,T52:T59,T62:T69),0)</f>
        <v>3</v>
      </c>
      <c r="Y41" s="15" t="s">
        <v>1468</v>
      </c>
      <c r="Z41" s="61" t="str">
        <f>IFERROR(VLOOKUP(AA41,tblManoeuvre[],2,FALSE),"")</f>
        <v/>
      </c>
      <c r="AA41" s="61" t="str">
        <f t="shared" si="3"/>
        <v/>
      </c>
      <c r="AI41" s="15" t="s">
        <v>244</v>
      </c>
      <c r="AJ41" s="61">
        <f t="shared" si="1"/>
        <v>0</v>
      </c>
      <c r="AK41" s="61">
        <f>AJ41</f>
        <v>0</v>
      </c>
    </row>
    <row r="42" spans="1:37">
      <c r="A42" s="1" t="s">
        <v>41</v>
      </c>
      <c r="B42" t="str">
        <f>REPT("●",IFERROR(INDEX($P$42:$P$69,MATCH(tblCharDataHazel[[#This Row],[Field]],$E$42:$E$69,0)),0))&amp;REPT("○",IFERROR(INDEX($V$42:$V$69,MATCH(tblCharDataHazel[[#This Row],[Field]],$E$42:$E$69,0)),0))&amp;IF(IFERROR(INDEX($W$42:$W$69,MATCH(tblCharDataHazel[[#This Row],[Field]],$E$42:$E$69,0)),0)=1,"†","")</f>
        <v/>
      </c>
      <c r="D42" s="18"/>
      <c r="E42" s="15" t="s">
        <v>25</v>
      </c>
      <c r="F42" s="18"/>
      <c r="G42" s="3"/>
      <c r="H42" s="18"/>
      <c r="I42" s="18"/>
      <c r="L42" s="4"/>
      <c r="M42" s="60"/>
      <c r="N42" s="4"/>
      <c r="O42" s="61">
        <f>ROUNDDOWN(N42/2,0)</f>
        <v>0</v>
      </c>
      <c r="P42" s="60">
        <f t="shared" ref="P42:P49" si="4">MIN(SUM(L42,M42,O42),R42)</f>
        <v>0</v>
      </c>
      <c r="R42" s="61">
        <v>5</v>
      </c>
      <c r="T42" s="4"/>
      <c r="U42" s="4"/>
      <c r="V42" s="61">
        <f t="shared" ref="V42:V49" si="5">U42</f>
        <v>0</v>
      </c>
      <c r="W42" s="4"/>
      <c r="AI42" s="15" t="s">
        <v>18</v>
      </c>
      <c r="AJ42" s="61">
        <f t="shared" si="1"/>
        <v>3</v>
      </c>
      <c r="AK42" s="61">
        <f>AJ42+IFERROR(INDEX($V$26:$V$38,MATCH(AI42,$E$26:$E$38,0)),0)</f>
        <v>3</v>
      </c>
    </row>
    <row r="43" spans="1:37">
      <c r="A43" s="1" t="s">
        <v>42</v>
      </c>
      <c r="B43" t="str">
        <f>REPT("●",IFERROR(INDEX($P$42:$P$69,MATCH(tblCharDataHazel[[#This Row],[Field]],$E$42:$E$69,0)),0))&amp;REPT("○",IFERROR(INDEX($V$42:$V$69,MATCH(tblCharDataHazel[[#This Row],[Field]],$E$42:$E$69,0)),0))&amp;IF(IFERROR(INDEX($W$42:$W$69,MATCH(tblCharDataHazel[[#This Row],[Field]],$E$42:$E$69,0)),0)=1,"†","")</f>
        <v>●</v>
      </c>
      <c r="D43" s="18"/>
      <c r="E43" s="15" t="s">
        <v>26</v>
      </c>
      <c r="F43" s="18"/>
      <c r="G43" s="3"/>
      <c r="H43" s="18"/>
      <c r="I43" s="18"/>
      <c r="L43" s="4"/>
      <c r="M43" s="60"/>
      <c r="N43" s="4"/>
      <c r="O43" s="61">
        <f t="shared" ref="O43:O49" si="6">ROUNDDOWN(N43/2,0)</f>
        <v>0</v>
      </c>
      <c r="P43" s="60">
        <f t="shared" si="4"/>
        <v>0</v>
      </c>
      <c r="R43" s="61">
        <v>5</v>
      </c>
      <c r="T43" s="4"/>
      <c r="U43" s="4"/>
      <c r="V43" s="61">
        <f t="shared" si="5"/>
        <v>0</v>
      </c>
      <c r="W43" s="4"/>
      <c r="AI43" s="15" t="s">
        <v>32</v>
      </c>
      <c r="AJ43" s="61">
        <f t="shared" si="1"/>
        <v>0</v>
      </c>
      <c r="AK43" s="61">
        <f>IF(AJ43=0,IF(COUNTIF($E$42:$E$49,AI43)&gt;0,-3,-1),AJ43)</f>
        <v>-3</v>
      </c>
    </row>
    <row r="44" spans="1:37">
      <c r="A44" s="1" t="s">
        <v>43</v>
      </c>
      <c r="B44" t="str">
        <f>REPT("●",IFERROR(INDEX($P$42:$P$69,MATCH(tblCharDataHazel[[#This Row],[Field]],$E$42:$E$69,0)),0))&amp;REPT("○",IFERROR(INDEX($V$42:$V$69,MATCH(tblCharDataHazel[[#This Row],[Field]],$E$42:$E$69,0)),0))&amp;IF(IFERROR(INDEX($W$42:$W$69,MATCH(tblCharDataHazel[[#This Row],[Field]],$E$42:$E$69,0)),0)=1,"†","")</f>
        <v>●●●</v>
      </c>
      <c r="D44" s="18"/>
      <c r="E44" s="15" t="s">
        <v>27</v>
      </c>
      <c r="F44" s="18"/>
      <c r="G44" s="3"/>
      <c r="H44" s="18"/>
      <c r="I44" s="18"/>
      <c r="L44" s="4"/>
      <c r="M44" s="60"/>
      <c r="N44" s="4"/>
      <c r="O44" s="61">
        <f t="shared" si="6"/>
        <v>0</v>
      </c>
      <c r="P44" s="60">
        <f t="shared" si="4"/>
        <v>0</v>
      </c>
      <c r="R44" s="61">
        <v>5</v>
      </c>
      <c r="T44" s="4"/>
      <c r="U44" s="4"/>
      <c r="V44" s="61">
        <f t="shared" si="5"/>
        <v>0</v>
      </c>
      <c r="W44" s="4"/>
      <c r="Y44" s="15">
        <v>1</v>
      </c>
      <c r="Z44" s="61" t="s">
        <v>236</v>
      </c>
      <c r="AA44" s="60" t="str" cm="1">
        <f t="array" ref="AA44">IF(OR(Y44=0,Y44=""),"",IF(VLOOKUP(Z44,$AI$1:$AJ$58,2,FALSE)&gt;=Y44,INDEX(tblDisciplines[Name],MATCH(1,(tblDisciplines[Discipline]=Z44)*(tblDisciplines[Rank]=Y44),0)),""))</f>
        <v/>
      </c>
      <c r="AC44" s="60" t="str" cm="1">
        <f t="array" ref="AC44:AC48">IFERROR(_xlfn.VSTACK(IFERROR(_xlfn._xlws.FILTER(AA44:AA121,AA44:AA121&lt;&gt;""),""),IFERROR(_xlfn._xlws.SORT(_xlfn._xlws.FILTER(AA123:AA132,AA123:AA132&lt;&gt;"")),"")),"")</f>
        <v>Celerity 1</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Celerity ●</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1 V per effect  •  Pool: -  •  Reflexive  •  1 turn</v>
      </c>
      <c r="AF44" s="20" t="str">
        <f>IF(AC44="","",IFERROR(VLOOKUP(AC44,tblDisciplines[],12,FALSE),VLOOKUP(AC44,tblPacts[],5,FALSE)))</f>
        <v>Persistent improved Defence or Dodge. Activate for supernatural speed benefits. Unnatural Grace: add Celerity dots as bonus dice to non-combat speed-based pools.</v>
      </c>
      <c r="AI44" s="15" t="s">
        <v>353</v>
      </c>
      <c r="AJ44" s="61">
        <f t="shared" si="1"/>
        <v>5</v>
      </c>
      <c r="AK44" s="61">
        <f>AJ44</f>
        <v>5</v>
      </c>
    </row>
    <row r="45" spans="1:37">
      <c r="A45" s="1" t="s">
        <v>44</v>
      </c>
      <c r="B45" t="str">
        <f>REPT("●",IFERROR(INDEX($P$42:$P$69,MATCH(tblCharDataHazel[[#This Row],[Field]],$E$42:$E$69,0)),0))&amp;REPT("○",IFERROR(INDEX($V$42:$V$69,MATCH(tblCharDataHazel[[#This Row],[Field]],$E$42:$E$69,0)),0))&amp;IF(IFERROR(INDEX($W$42:$W$69,MATCH(tblCharDataHazel[[#This Row],[Field]],$E$42:$E$69,0)),0)=1,"†","")</f>
        <v/>
      </c>
      <c r="D45" s="18"/>
      <c r="E45" s="15" t="s">
        <v>28</v>
      </c>
      <c r="F45" s="18"/>
      <c r="G45" s="3"/>
      <c r="H45" s="18"/>
      <c r="I45" s="18"/>
      <c r="L45" s="4">
        <v>2</v>
      </c>
      <c r="M45" s="60"/>
      <c r="N45" s="4"/>
      <c r="O45" s="61">
        <f t="shared" si="6"/>
        <v>0</v>
      </c>
      <c r="P45" s="60">
        <f t="shared" si="4"/>
        <v>2</v>
      </c>
      <c r="R45" s="61">
        <v>5</v>
      </c>
      <c r="T45" s="4"/>
      <c r="U45" s="4"/>
      <c r="V45" s="61">
        <f t="shared" si="5"/>
        <v>0</v>
      </c>
      <c r="W45" s="4"/>
      <c r="Y45" s="15">
        <v>2</v>
      </c>
      <c r="Z45" s="61" t="s">
        <v>236</v>
      </c>
      <c r="AA45" s="60" t="str" cm="1">
        <f t="array" ref="AA45">IF(OR(Y45=0,Y45=""),"",IF(VLOOKUP(Z45,$AI$1:$AJ$58,2,FALSE)&gt;=Y45,INDEX(tblDisciplines[Name],MATCH(1,(tblDisciplines[Discipline]=Z45)*(tblDisciplines[Rank]=Y45),0)),""))</f>
        <v/>
      </c>
      <c r="AC45" s="60" t="str">
        <v>Mesmerise</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Dominate ● | Mesmerise</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 -3 in combat unless Blinded  •  Pool: 10  v Resolve + BP  •  Instant  •  Instant</v>
      </c>
      <c r="AF45" s="20" t="str">
        <f>IF(AC45="","",IFERROR(VLOOKUP(AC45,tblDisciplines[],12,FALSE),VLOOKUP(AC45,tblPacts[],5,FALSE)))</f>
        <v>Impose Mesmerised Condition. Control with short commands.</v>
      </c>
      <c r="AI45" s="15" t="s">
        <v>46</v>
      </c>
      <c r="AJ45" s="61">
        <f t="shared" si="1"/>
        <v>0</v>
      </c>
      <c r="AK45" s="61">
        <f>IF(AJ45=0,IF(COUNTIF($E$42:$E$49,AI45)&gt;0,-3,-1),AJ45)</f>
        <v>-1</v>
      </c>
    </row>
    <row r="46" spans="1:37">
      <c r="A46" s="1" t="s">
        <v>45</v>
      </c>
      <c r="B46" t="str">
        <f>REPT("●",IFERROR(INDEX($P$42:$P$69,MATCH(tblCharDataHazel[[#This Row],[Field]],$E$42:$E$69,0)),0))&amp;REPT("○",IFERROR(INDEX($V$42:$V$69,MATCH(tblCharDataHazel[[#This Row],[Field]],$E$42:$E$69,0)),0))&amp;IF(IFERROR(INDEX($W$42:$W$69,MATCH(tblCharDataHazel[[#This Row],[Field]],$E$42:$E$69,0)),0)=1,"†","")</f>
        <v>●</v>
      </c>
      <c r="D46" s="18"/>
      <c r="E46" s="15" t="s">
        <v>29</v>
      </c>
      <c r="F46" s="18"/>
      <c r="G46" s="3"/>
      <c r="H46" s="18"/>
      <c r="I46" s="18"/>
      <c r="L46" s="4"/>
      <c r="M46" s="60"/>
      <c r="N46" s="4"/>
      <c r="O46" s="61">
        <f t="shared" si="6"/>
        <v>0</v>
      </c>
      <c r="P46" s="60">
        <f t="shared" si="4"/>
        <v>0</v>
      </c>
      <c r="R46" s="61">
        <v>5</v>
      </c>
      <c r="T46" s="4"/>
      <c r="U46" s="4"/>
      <c r="V46" s="61">
        <f t="shared" si="5"/>
        <v>0</v>
      </c>
      <c r="W46" s="4"/>
      <c r="Y46" s="15">
        <v>3</v>
      </c>
      <c r="Z46" s="61" t="s">
        <v>236</v>
      </c>
      <c r="AA46" s="60" t="str" cm="1">
        <f t="array" ref="AA46">IF(OR(Y46=0,Y46=""),"",IF(VLOOKUP(Z46,$AI$1:$AJ$58,2,FALSE)&gt;=Y46,INDEX(tblDisciplines[Name],MATCH(1,(tblDisciplines[Discipline]=Z46)*(tblDisciplines[Rank]=Y46),0)),""))</f>
        <v/>
      </c>
      <c r="AC46" s="60" t="str">
        <v>Iron Edict</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Dominate ●● | Iron Edict</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1 V (0 in bond) (req: Mesmerised); -3 in combat unless Blinded  •  Pool: -  •  Instant  •  Instant</v>
      </c>
      <c r="AF46" s="20" t="str">
        <f>IF(AC46="","",IFERROR(VLOOKUP(AC46,tblDisciplines[],12,FALSE),VLOOKUP(AC46,tblPacts[],5,FALSE)))</f>
        <v>Impose Dominated Condition. Give long, detailed commands.</v>
      </c>
      <c r="AI46" s="15" t="s">
        <v>354</v>
      </c>
      <c r="AJ46" s="61">
        <f t="shared" ca="1" si="1"/>
        <v>10</v>
      </c>
      <c r="AK46" s="61">
        <f ca="1">AJ46</f>
        <v>10</v>
      </c>
    </row>
    <row r="47" spans="1:37">
      <c r="A47" s="1" t="s">
        <v>46</v>
      </c>
      <c r="B47" t="str">
        <f>REPT("●",IFERROR(INDEX($P$42:$P$69,MATCH(tblCharDataHazel[[#This Row],[Field]],$E$42:$E$69,0)),0))&amp;REPT("○",IFERROR(INDEX($V$42:$V$69,MATCH(tblCharDataHazel[[#This Row],[Field]],$E$42:$E$69,0)),0))&amp;IF(IFERROR(INDEX($W$42:$W$69,MATCH(tblCharDataHazel[[#This Row],[Field]],$E$42:$E$69,0)),0)=1,"†","")</f>
        <v/>
      </c>
      <c r="D47" s="18"/>
      <c r="E47" s="15" t="s">
        <v>30</v>
      </c>
      <c r="F47" s="18"/>
      <c r="G47" s="3"/>
      <c r="H47" s="18"/>
      <c r="I47" s="18"/>
      <c r="L47" s="4">
        <v>2</v>
      </c>
      <c r="M47" s="60"/>
      <c r="N47" s="4"/>
      <c r="O47" s="61">
        <f t="shared" si="6"/>
        <v>0</v>
      </c>
      <c r="P47" s="60">
        <f t="shared" si="4"/>
        <v>2</v>
      </c>
      <c r="R47" s="61">
        <v>5</v>
      </c>
      <c r="T47" s="4"/>
      <c r="U47" s="4"/>
      <c r="V47" s="61">
        <f t="shared" si="5"/>
        <v>0</v>
      </c>
      <c r="W47" s="4"/>
      <c r="Y47" s="15">
        <v>4</v>
      </c>
      <c r="Z47" s="61" t="s">
        <v>236</v>
      </c>
      <c r="AA47" s="60" t="str" cm="1">
        <f t="array" ref="AA47">IF(OR(Y47=0,Y47=""),"",IF(VLOOKUP(Z47,$AI$1:$AJ$58,2,FALSE)&gt;=Y47,INDEX(tblDisciplines[Name],MATCH(1,(tblDisciplines[Discipline]=Z47)*(tblDisciplines[Rank]=Y47),0)),""))</f>
        <v/>
      </c>
      <c r="AC47" s="60" t="str">
        <v>Entombed Command</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Dominate ●●● | Entombed Command</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Cost: - (req: Mesmerised)   •  Pool: 10  - Resolve  •  Instant  •  1 week/success (1 month bonded)</v>
      </c>
      <c r="AF47" s="20" t="str">
        <f>IF(AC47="","",IFERROR(VLOOKUP(AC47,tblDisciplines[],12,FALSE),VLOOKUP(AC47,tblPacts[],5,FALSE)))</f>
        <v>Establish triggers for other Dominate powers.</v>
      </c>
      <c r="AI47" s="15" t="s">
        <v>21</v>
      </c>
      <c r="AJ47" s="61">
        <f t="shared" si="1"/>
        <v>2</v>
      </c>
      <c r="AK47" s="61">
        <f>AJ47+IFERROR(INDEX($V$26:$V$38,MATCH(AI47,$E$26:$E$38,0)),0)</f>
        <v>2</v>
      </c>
    </row>
    <row r="48" spans="1:37">
      <c r="A48" s="1" t="s">
        <v>47</v>
      </c>
      <c r="B48" t="str">
        <f>REPT("●",IFERROR(INDEX($P$42:$P$69,MATCH(tblCharDataHazel[[#This Row],[Field]],$E$42:$E$69,0)),0))&amp;REPT("○",IFERROR(INDEX($V$42:$V$69,MATCH(tblCharDataHazel[[#This Row],[Field]],$E$42:$E$69,0)),0))&amp;IF(IFERROR(INDEX($W$42:$W$69,MATCH(tblCharDataHazel[[#This Row],[Field]],$E$42:$E$69,0)),0)=1,"†","")</f>
        <v/>
      </c>
      <c r="D48" s="18"/>
      <c r="E48" s="15" t="s">
        <v>31</v>
      </c>
      <c r="F48" s="18"/>
      <c r="G48" s="3"/>
      <c r="H48" s="18"/>
      <c r="I48" s="18"/>
      <c r="L48" s="4"/>
      <c r="M48" s="60"/>
      <c r="N48" s="4"/>
      <c r="O48" s="61">
        <f t="shared" si="6"/>
        <v>0</v>
      </c>
      <c r="P48" s="60">
        <f t="shared" si="4"/>
        <v>0</v>
      </c>
      <c r="R48" s="61">
        <v>5</v>
      </c>
      <c r="T48" s="4"/>
      <c r="U48" s="4"/>
      <c r="V48" s="61">
        <f t="shared" si="5"/>
        <v>0</v>
      </c>
      <c r="W48" s="4"/>
      <c r="Y48" s="15">
        <v>5</v>
      </c>
      <c r="Z48" s="61" t="s">
        <v>236</v>
      </c>
      <c r="AA48" s="60" t="str" cm="1">
        <f t="array" ref="AA48">IF(OR(Y48=0,Y48=""),"",IF(VLOOKUP(Z48,$AI$1:$AJ$58,2,FALSE)&gt;=Y48,INDEX(tblDisciplines[Name],MATCH(1,(tblDisciplines[Discipline]=Z48)*(tblDisciplines[Rank]=Y48),0)),""))</f>
        <v/>
      </c>
      <c r="AC48" s="60" t="str">
        <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
      </c>
      <c r="AF48" s="20" t="str">
        <f>IF(AC48="","",IFERROR(VLOOKUP(AC48,tblDisciplines[],12,FALSE),VLOOKUP(AC48,tblPacts[],5,FALSE)))</f>
        <v/>
      </c>
      <c r="AI48" s="15" t="s">
        <v>38</v>
      </c>
      <c r="AJ48" s="61">
        <f t="shared" si="1"/>
        <v>2</v>
      </c>
      <c r="AK48" s="61">
        <f>IF(AJ48=0,IF(COUNTIF($E$42:$E$49,AI48)&gt;0,-3,-1),AJ48)</f>
        <v>2</v>
      </c>
    </row>
    <row r="49" spans="1:37">
      <c r="A49" s="1" t="s">
        <v>48</v>
      </c>
      <c r="B49" t="str">
        <f>REPT("●",IFERROR(INDEX($P$42:$P$69,MATCH(tblCharDataHazel[[#This Row],[Field]],$E$42:$E$69,0)),0))&amp;REPT("○",IFERROR(INDEX($V$42:$V$69,MATCH(tblCharDataHazel[[#This Row],[Field]],$E$42:$E$69,0)),0))&amp;IF(IFERROR(INDEX($W$42:$W$69,MATCH(tblCharDataHazel[[#This Row],[Field]],$E$42:$E$69,0)),0)=1,"†","")</f>
        <v>●●●</v>
      </c>
      <c r="D49" s="18"/>
      <c r="E49" s="15" t="s">
        <v>32</v>
      </c>
      <c r="F49" s="18"/>
      <c r="G49" s="3"/>
      <c r="H49" s="18"/>
      <c r="I49" s="18"/>
      <c r="L49" s="4"/>
      <c r="M49" s="60"/>
      <c r="N49" s="4"/>
      <c r="O49" s="61">
        <f t="shared" si="6"/>
        <v>0</v>
      </c>
      <c r="P49" s="60">
        <f t="shared" si="4"/>
        <v>0</v>
      </c>
      <c r="R49" s="61">
        <v>5</v>
      </c>
      <c r="T49" s="4"/>
      <c r="U49" s="4"/>
      <c r="V49" s="61">
        <f t="shared" si="5"/>
        <v>0</v>
      </c>
      <c r="W49" s="4"/>
      <c r="Y49" s="15">
        <v>1</v>
      </c>
      <c r="Z49" s="61" t="s">
        <v>237</v>
      </c>
      <c r="AA49" s="60" t="str" cm="1">
        <f t="array" ref="AA49">IF(OR(Y49=0,Y49=""),"",IF(VLOOKUP(Z49,$AI$1:$AJ$58,2,FALSE)&gt;=Y49,INDEX(tblDisciplines[Name],MATCH(1,(tblDisciplines[Discipline]=Z49)*(tblDisciplines[Rank]=Y49),0)),""))</f>
        <v/>
      </c>
      <c r="AC49" s="60"/>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
      </c>
      <c r="AF49" s="20" t="str">
        <f>IF(AC49="","",IFERROR(VLOOKUP(AC49,tblDisciplines[],12,FALSE),VLOOKUP(AC49,tblPacts[],5,FALSE)))</f>
        <v/>
      </c>
      <c r="AI49" s="15" t="s">
        <v>47</v>
      </c>
      <c r="AJ49" s="61">
        <f t="shared" si="1"/>
        <v>0</v>
      </c>
      <c r="AK49" s="61">
        <f>IF(AJ49=0,IF(COUNTIF($E$42:$E$49,AI49)&gt;0,-3,-1),AJ49)</f>
        <v>-1</v>
      </c>
    </row>
    <row r="50" spans="1:37">
      <c r="A50" s="1" t="s">
        <v>49</v>
      </c>
      <c r="B50" t="str">
        <f ca="1">REPT("●",VLOOKUP(tblCharDataHazel[[#This Row],[Field]],INDIRECT($AH$1),2,FALSE)) &amp; REPT("○",10-VLOOKUP(tblCharDataHazel[[#This Row],[Field]],INDIRECT($AH$1),2,FALSE)) &amp; REPT("○",10-VLOOKUP(tblCharDataHazel[[#This Row],[Field]],INDIRECT($AH$1),2,FALSE))</f>
        <v>●●○○○○○○○○○○○○○○○○</v>
      </c>
      <c r="Y50" s="15">
        <v>2</v>
      </c>
      <c r="Z50" s="61" t="s">
        <v>237</v>
      </c>
      <c r="AA50" s="60" t="str" cm="1">
        <f t="array" ref="AA50">IF(OR(Y50=0,Y50=""),"",IF(VLOOKUP(Z50,$AI$1:$AJ$58,2,FALSE)&gt;=Y50,INDEX(tblDisciplines[Name],MATCH(1,(tblDisciplines[Discipline]=Z50)*(tblDisciplines[Rank]=Y50),0)),""))</f>
        <v/>
      </c>
      <c r="AC50" s="60"/>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
      </c>
      <c r="AF50" s="20" t="str">
        <f>IF(AC50="","",IFERROR(VLOOKUP(AC50,tblDisciplines[],12,FALSE),VLOOKUP(AC50,tblPacts[],5,FALSE)))</f>
        <v/>
      </c>
      <c r="AI50" s="15" t="s">
        <v>19</v>
      </c>
      <c r="AJ50" s="61">
        <f t="shared" si="1"/>
        <v>3</v>
      </c>
      <c r="AK50" s="61">
        <f>AJ50+IFERROR(INDEX($V$26:$V$38,MATCH(AI50,$E$26:$E$38,0)),0)</f>
        <v>3</v>
      </c>
    </row>
    <row r="51" spans="1:37">
      <c r="A51" s="1" t="s">
        <v>50</v>
      </c>
      <c r="B51">
        <f>P72</f>
        <v>2</v>
      </c>
      <c r="D51" s="16" t="s">
        <v>1453</v>
      </c>
      <c r="E51" s="17"/>
      <c r="F51" s="17"/>
      <c r="G51" s="17" t="s">
        <v>1467</v>
      </c>
      <c r="H51" s="16" t="s">
        <v>1446</v>
      </c>
      <c r="I51" s="3" t="s">
        <v>1567</v>
      </c>
      <c r="L51" s="60">
        <f>IF(I51="",0,VLOOKUP(I51,tblPriority[#Data],3,FALSE))-SUM(L52:L59)</f>
        <v>0</v>
      </c>
      <c r="Y51" s="15">
        <v>3</v>
      </c>
      <c r="Z51" s="61" t="s">
        <v>237</v>
      </c>
      <c r="AA51" s="60" t="str" cm="1">
        <f t="array" ref="AA51">IF(OR(Y51=0,Y51=""),"",IF(VLOOKUP(Z51,$AI$1:$AJ$58,2,FALSE)&gt;=Y51,INDEX(tblDisciplines[Name],MATCH(1,(tblDisciplines[Discipline]=Z51)*(tblDisciplines[Rank]=Y51),0)),""))</f>
        <v/>
      </c>
      <c r="AC51" s="60"/>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
      </c>
      <c r="AF51" s="20" t="str">
        <f>IF(AC51="","",IFERROR(VLOOKUP(AC51,tblDisciplines[],12,FALSE),VLOOKUP(AC51,tblPacts[],5,FALSE)))</f>
        <v/>
      </c>
      <c r="AI51" s="15" t="s">
        <v>48</v>
      </c>
      <c r="AJ51" s="61">
        <f t="shared" si="1"/>
        <v>3</v>
      </c>
      <c r="AK51" s="61">
        <f>IF(AJ51=0,IF(COUNTIF($E$42:$E$49,AI51)&gt;0,-3,-1),AJ51)</f>
        <v>3</v>
      </c>
    </row>
    <row r="52" spans="1:37">
      <c r="A52" s="1" t="s">
        <v>51</v>
      </c>
      <c r="B52" t="str">
        <f>_xlfn.IFNA(VLOOKUP(P72,tblBloodPotency[#Data],5,FALSE),"")</f>
        <v>†</v>
      </c>
      <c r="D52" s="18"/>
      <c r="E52" s="15" t="s">
        <v>33</v>
      </c>
      <c r="F52" s="18"/>
      <c r="G52" s="3"/>
      <c r="H52" s="18"/>
      <c r="I52" s="18"/>
      <c r="L52" s="4"/>
      <c r="M52" s="60"/>
      <c r="N52" s="4"/>
      <c r="O52" s="61">
        <f>ROUNDDOWN(N52/2,0)</f>
        <v>0</v>
      </c>
      <c r="P52" s="60">
        <f t="shared" ref="P52:P59" si="7">MIN(SUM(L52,M52,O52),R52)</f>
        <v>0</v>
      </c>
      <c r="R52" s="61">
        <v>5</v>
      </c>
      <c r="T52" s="4"/>
      <c r="U52" s="4"/>
      <c r="V52" s="61">
        <f t="shared" ref="V52:V59" si="8">U52</f>
        <v>0</v>
      </c>
      <c r="W52" s="4"/>
      <c r="Y52" s="15">
        <v>4</v>
      </c>
      <c r="Z52" s="61" t="s">
        <v>237</v>
      </c>
      <c r="AA52" s="60" t="str" cm="1">
        <f t="array" ref="AA52">IF(OR(Y52=0,Y52=""),"",IF(VLOOKUP(Z52,$AI$1:$AJ$58,2,FALSE)&gt;=Y52,INDEX(tblDisciplines[Name],MATCH(1,(tblDisciplines[Discipline]=Z52)*(tblDisciplines[Rank]=Y52),0)),""))</f>
        <v/>
      </c>
      <c r="AC52" s="60"/>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
      </c>
      <c r="AF52" s="20" t="str">
        <f>IF(AC52="","",IFERROR(VLOOKUP(AC52,tblDisciplines[],12,FALSE),VLOOKUP(AC52,tblPacts[],5,FALSE)))</f>
        <v/>
      </c>
      <c r="AI52" s="15" t="s">
        <v>39</v>
      </c>
      <c r="AJ52" s="61">
        <f t="shared" si="1"/>
        <v>0</v>
      </c>
      <c r="AK52" s="61">
        <f>IF(AJ52=0,IF(COUNTIF($E$42:$E$49,AI52)&gt;0,-3,-1),AJ52)</f>
        <v>-1</v>
      </c>
    </row>
    <row r="53" spans="1:37">
      <c r="A53" s="1" t="s">
        <v>52</v>
      </c>
      <c r="B53" t="str">
        <f ca="1">REPT("□",P221) &amp; REPT("■",15-P221)</f>
        <v>□□□□□□□■■■■■■■■</v>
      </c>
      <c r="D53" s="18"/>
      <c r="E53" s="15" t="s">
        <v>34</v>
      </c>
      <c r="F53" s="18"/>
      <c r="G53" s="3"/>
      <c r="H53" s="18"/>
      <c r="I53" s="18"/>
      <c r="L53" s="4"/>
      <c r="M53" s="60"/>
      <c r="N53" s="4"/>
      <c r="O53" s="61">
        <f t="shared" ref="O53:O59" si="9">ROUNDDOWN(N53/2,0)</f>
        <v>0</v>
      </c>
      <c r="P53" s="60">
        <f t="shared" si="7"/>
        <v>0</v>
      </c>
      <c r="R53" s="61">
        <v>5</v>
      </c>
      <c r="T53" s="4"/>
      <c r="U53" s="4"/>
      <c r="V53" s="61">
        <f t="shared" si="8"/>
        <v>0</v>
      </c>
      <c r="W53" s="4"/>
      <c r="Y53" s="15">
        <v>5</v>
      </c>
      <c r="Z53" s="61" t="s">
        <v>237</v>
      </c>
      <c r="AA53" s="60" t="str" cm="1">
        <f t="array" ref="AA53">IF(OR(Y53=0,Y53=""),"",IF(VLOOKUP(Z53,$AI$1:$AJ$58,2,FALSE)&gt;=Y53,INDEX(tblDisciplines[Name],MATCH(1,(tblDisciplines[Discipline]=Z53)*(tblDisciplines[Rank]=Y53),0)),""))</f>
        <v/>
      </c>
      <c r="AC53" s="60"/>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
      </c>
      <c r="AF53" s="20" t="str">
        <f>IF(AC53="","",IFERROR(VLOOKUP(AC53,tblDisciplines[],12,FALSE),VLOOKUP(AC53,tblPacts[],5,FALSE)))</f>
        <v/>
      </c>
      <c r="AI53" s="15" t="s">
        <v>247</v>
      </c>
      <c r="AJ53" s="61">
        <f t="shared" si="1"/>
        <v>0</v>
      </c>
      <c r="AK53" s="61">
        <f>AJ53</f>
        <v>0</v>
      </c>
    </row>
    <row r="54" spans="1:37">
      <c r="A54" s="1" t="s">
        <v>53</v>
      </c>
      <c r="B54" t="str">
        <f>_xlfn.CONCAT(P74-L224," / ",P74)</f>
        <v>6 / 6</v>
      </c>
      <c r="D54" s="18"/>
      <c r="E54" s="15" t="s">
        <v>35</v>
      </c>
      <c r="F54" s="18"/>
      <c r="G54" s="3"/>
      <c r="H54" s="18"/>
      <c r="I54" s="18"/>
      <c r="L54" s="4"/>
      <c r="M54" s="60"/>
      <c r="N54" s="4"/>
      <c r="O54" s="61">
        <f t="shared" si="9"/>
        <v>0</v>
      </c>
      <c r="P54" s="60">
        <f t="shared" si="7"/>
        <v>0</v>
      </c>
      <c r="R54" s="61">
        <v>5</v>
      </c>
      <c r="T54" s="4"/>
      <c r="U54" s="4"/>
      <c r="V54" s="61">
        <f t="shared" si="8"/>
        <v>0</v>
      </c>
      <c r="W54" s="4"/>
      <c r="Y54" s="15">
        <f>P167</f>
        <v>1</v>
      </c>
      <c r="Z54" s="61" t="s">
        <v>238</v>
      </c>
      <c r="AA54" s="60" t="str" cm="1">
        <f t="array" ref="AA54">IF(OR(Y54=0,Y54=""),"",IF(VLOOKUP(Z54,$AI$1:$AJ$58,2,FALSE)&gt;=Y54,INDEX(tblDisciplines[Name],MATCH(1,(tblDisciplines[Discipline]=Z54)*(tblDisciplines[Rank]=Y54),0)),""))</f>
        <v>Celerity 1</v>
      </c>
      <c r="AC54" s="60"/>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
      </c>
      <c r="AF54" s="20" t="str">
        <f>IF(AC54="","",IFERROR(VLOOKUP(AC54,tblDisciplines[],12,FALSE),VLOOKUP(AC54,tblPacts[],5,FALSE)))</f>
        <v/>
      </c>
      <c r="AI54" s="15" t="s">
        <v>252</v>
      </c>
      <c r="AJ54" s="61">
        <f t="shared" si="1"/>
        <v>0</v>
      </c>
      <c r="AK54" s="61">
        <f>AJ54</f>
        <v>0</v>
      </c>
    </row>
    <row r="55" spans="1:37">
      <c r="A55" s="1" t="s">
        <v>54</v>
      </c>
      <c r="B55" t="str">
        <f>REPT("□",P74) &amp; REPT("■",10-P74)</f>
        <v>□□□□□□■■■■</v>
      </c>
      <c r="D55" s="18"/>
      <c r="E55" s="15" t="s">
        <v>36</v>
      </c>
      <c r="F55" s="18"/>
      <c r="G55" s="3"/>
      <c r="H55" s="18"/>
      <c r="I55" s="18"/>
      <c r="L55" s="4"/>
      <c r="M55" s="60"/>
      <c r="N55" s="4"/>
      <c r="O55" s="61">
        <f t="shared" si="9"/>
        <v>0</v>
      </c>
      <c r="P55" s="60">
        <f t="shared" si="7"/>
        <v>0</v>
      </c>
      <c r="R55" s="61">
        <v>5</v>
      </c>
      <c r="T55" s="4"/>
      <c r="U55" s="4"/>
      <c r="V55" s="61">
        <f t="shared" si="8"/>
        <v>0</v>
      </c>
      <c r="W55" s="4"/>
      <c r="Y55" s="15">
        <v>1</v>
      </c>
      <c r="Z55" s="61" t="s">
        <v>239</v>
      </c>
      <c r="AA55" s="60" t="str" cm="1">
        <f t="array" ref="AA55">IF(OR(Y55=0,Y55=""),"",IF(VLOOKUP(Z55,$AI$1:$AJ$58,2,FALSE)&gt;=Y55,INDEX(tblDisciplines[Name],MATCH(1,(tblDisciplines[Discipline]=Z55)*(tblDisciplines[Rank]=Y55),0)),""))</f>
        <v>Mesmerise</v>
      </c>
      <c r="AC55" s="60"/>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
      </c>
      <c r="AF55" s="20" t="str">
        <f>IF(AC55="","",IFERROR(VLOOKUP(AC55,tblDisciplines[],12,FALSE),VLOOKUP(AC55,tblPacts[],5,FALSE)))</f>
        <v/>
      </c>
      <c r="AI55" s="15" t="s">
        <v>245</v>
      </c>
      <c r="AJ55" s="61">
        <f t="shared" si="1"/>
        <v>0</v>
      </c>
      <c r="AK55" s="61">
        <f>AJ55+IFERROR(INDEX($V$26:$V$38,MATCH(AI55,$E$26:$E$38,0)),0)</f>
        <v>0</v>
      </c>
    </row>
    <row r="56" spans="1:37">
      <c r="A56" s="1" t="s">
        <v>55</v>
      </c>
      <c r="B56" t="str">
        <f ca="1">_xlfn.CONCAT(P75-L223," / ",P75)</f>
        <v>11 / 11</v>
      </c>
      <c r="D56" s="19"/>
      <c r="E56" s="15" t="s">
        <v>37</v>
      </c>
      <c r="F56" s="18"/>
      <c r="G56" s="3"/>
      <c r="H56" s="18"/>
      <c r="I56" s="18"/>
      <c r="L56" s="4"/>
      <c r="M56" s="60"/>
      <c r="N56" s="4"/>
      <c r="O56" s="61">
        <f t="shared" si="9"/>
        <v>0</v>
      </c>
      <c r="P56" s="60">
        <f t="shared" si="7"/>
        <v>0</v>
      </c>
      <c r="R56" s="61">
        <v>5</v>
      </c>
      <c r="T56" s="4"/>
      <c r="U56" s="4"/>
      <c r="V56" s="61">
        <f t="shared" si="8"/>
        <v>0</v>
      </c>
      <c r="W56" s="4"/>
      <c r="Y56" s="15">
        <v>2</v>
      </c>
      <c r="Z56" s="61" t="s">
        <v>239</v>
      </c>
      <c r="AA56" s="60" t="str" cm="1">
        <f t="array" ref="AA56">IF(OR(Y56=0,Y56=""),"",IF(VLOOKUP(Z56,$AI$1:$AJ$58,2,FALSE)&gt;=Y56,INDEX(tblDisciplines[Name],MATCH(1,(tblDisciplines[Discipline]=Z56)*(tblDisciplines[Rank]=Y56),0)),""))</f>
        <v>Iron Edict</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1"/>
        <v>5</v>
      </c>
      <c r="AK56" s="61">
        <f>IF(AJ56=0,IF(COUNTIF($E$42:$E$49,AI56)&gt;0,-3,-1),AJ56)</f>
        <v>5</v>
      </c>
    </row>
    <row r="57" spans="1:37">
      <c r="A57" s="1" t="s">
        <v>56</v>
      </c>
      <c r="B57" t="str">
        <f ca="1">REPT("□",P75-L223) &amp; REPT("■",20-P75+L223)</f>
        <v>□□□□□□□□□□□■■■■■■■■■</v>
      </c>
      <c r="D57" s="19"/>
      <c r="E57" s="15" t="s">
        <v>38</v>
      </c>
      <c r="F57" s="18"/>
      <c r="G57" s="3"/>
      <c r="H57" s="18"/>
      <c r="I57" s="18"/>
      <c r="L57" s="4">
        <v>2</v>
      </c>
      <c r="M57" s="60"/>
      <c r="N57" s="4"/>
      <c r="O57" s="61">
        <f t="shared" si="9"/>
        <v>0</v>
      </c>
      <c r="P57" s="60">
        <f t="shared" si="7"/>
        <v>2</v>
      </c>
      <c r="R57" s="61">
        <v>5</v>
      </c>
      <c r="T57" s="4"/>
      <c r="U57" s="4"/>
      <c r="V57" s="61">
        <f t="shared" si="8"/>
        <v>0</v>
      </c>
      <c r="W57" s="4"/>
      <c r="Y57" s="15">
        <v>3</v>
      </c>
      <c r="Z57" s="61" t="s">
        <v>239</v>
      </c>
      <c r="AA57" s="60" t="str" cm="1">
        <f t="array" ref="AA57">IF(OR(Y57=0,Y57=""),"",IF(VLOOKUP(Z57,$AI$1:$AJ$58,2,FALSE)&gt;=Y57,INDEX(tblDisciplines[Name],MATCH(1,(tblDisciplines[Discipline]=Z57)*(tblDisciplines[Rank]=Y57),0)),""))</f>
        <v>Entombed Command</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1"/>
        <v>6</v>
      </c>
      <c r="AK57" s="61">
        <f>AJ57</f>
        <v>6</v>
      </c>
    </row>
    <row r="58" spans="1:37">
      <c r="A58" s="1" t="s">
        <v>57</v>
      </c>
      <c r="B58">
        <f ca="1">VLOOKUP(VLOOKUP("Blood Potency", INDIRECT($AH$1),2,FALSE),tblBloodPotency[#Data],3,FALSE)</f>
        <v>2</v>
      </c>
      <c r="D58" s="19"/>
      <c r="E58" s="15" t="s">
        <v>39</v>
      </c>
      <c r="F58" s="18"/>
      <c r="G58" s="3"/>
      <c r="H58" s="18"/>
      <c r="I58" s="18"/>
      <c r="L58" s="4"/>
      <c r="M58" s="60"/>
      <c r="N58" s="4"/>
      <c r="O58" s="61">
        <f t="shared" si="9"/>
        <v>0</v>
      </c>
      <c r="P58" s="60">
        <f t="shared" si="7"/>
        <v>0</v>
      </c>
      <c r="R58" s="61">
        <v>5</v>
      </c>
      <c r="T58" s="4"/>
      <c r="U58" s="4"/>
      <c r="V58" s="61">
        <f t="shared" si="8"/>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1"/>
        <v>2</v>
      </c>
      <c r="AK58" s="61">
        <f>AJ58+IFERROR(INDEX($V$26:$V$38,MATCH(AI58,$E$26:$E$38,0)),0)</f>
        <v>2</v>
      </c>
    </row>
    <row r="59" spans="1:37">
      <c r="A59" s="1" t="s">
        <v>58</v>
      </c>
      <c r="B59" t="str">
        <f ca="1">VLOOKUP(VLOOKUP("Blood Potency", INDIRECT($AH$1),2,FALSE),tblBloodPotency[#Data],4,FALSE)</f>
        <v>Animals</v>
      </c>
      <c r="D59" s="19"/>
      <c r="E59" s="15" t="s">
        <v>40</v>
      </c>
      <c r="F59" s="18"/>
      <c r="G59" s="3" t="s">
        <v>955</v>
      </c>
      <c r="H59" s="18"/>
      <c r="I59" s="18"/>
      <c r="L59" s="4">
        <v>5</v>
      </c>
      <c r="M59" s="60"/>
      <c r="N59" s="4"/>
      <c r="O59" s="61">
        <f t="shared" si="9"/>
        <v>0</v>
      </c>
      <c r="P59" s="60">
        <f t="shared" si="7"/>
        <v>5</v>
      </c>
      <c r="R59" s="61">
        <v>5</v>
      </c>
      <c r="T59" s="4"/>
      <c r="U59" s="4"/>
      <c r="V59" s="61">
        <f t="shared" si="8"/>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0">IFERROR(IF(VLOOKUP(SUBSTITUTE(A60," Spec",""),$E$42:$G$69,3,FALSE)=0,"",VLOOKUP(SUBSTITUTE(A60," Spec",""),$E$42:$G$69,3,FALSE)),"")</f>
        <v/>
      </c>
      <c r="Y60" s="15">
        <v>1</v>
      </c>
      <c r="Z60" s="61" t="s">
        <v>240</v>
      </c>
      <c r="AA60" s="60" t="str" cm="1">
        <f t="array" ref="AA60">IF(OR(Y60=0,Y60=""),"",IF(VLOOKUP(Z60,$AI$1:$AJ$58,2,FALSE)&gt;=Y60,INDEX(tblDisciplines[Name],MATCH(1,(tblDisciplines[Discipline]=Z60)*(tblDisciplines[Rank]=Y60),0)),""))</f>
        <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0"/>
        <v/>
      </c>
      <c r="D61" s="16" t="s">
        <v>1459</v>
      </c>
      <c r="E61" s="17"/>
      <c r="F61" s="17"/>
      <c r="G61" s="17" t="s">
        <v>1467</v>
      </c>
      <c r="H61" s="16" t="s">
        <v>1446</v>
      </c>
      <c r="I61" s="3" t="s">
        <v>1565</v>
      </c>
      <c r="L61" s="60">
        <f>IF(I61="",0,VLOOKUP(I61,tblPriority[#Data],3,FALSE))-SUM(L62:L69)</f>
        <v>3</v>
      </c>
      <c r="Y61" s="15">
        <v>2</v>
      </c>
      <c r="Z61" s="61" t="s">
        <v>240</v>
      </c>
      <c r="AA61" s="60" t="str" cm="1">
        <f t="array" ref="AA61">IF(OR(Y61=0,Y61=""),"",IF(VLOOKUP(Z61,$AI$1:$AJ$58,2,FALSE)&gt;=Y61,INDEX(tblDisciplines[Name],MATCH(1,(tblDisciplines[Discipline]=Z61)*(tblDisciplines[Rank]=Y61),0)),""))</f>
        <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0"/>
        <v/>
      </c>
      <c r="D62" s="18"/>
      <c r="E62" s="15" t="s">
        <v>41</v>
      </c>
      <c r="F62" s="18"/>
      <c r="G62" s="3"/>
      <c r="H62" s="18"/>
      <c r="I62" s="18"/>
      <c r="L62" s="4"/>
      <c r="M62" s="60"/>
      <c r="N62" s="4"/>
      <c r="O62" s="61">
        <f>ROUNDDOWN(N62/2,0)</f>
        <v>0</v>
      </c>
      <c r="P62" s="60">
        <f t="shared" ref="P62:P69" si="11">MIN(SUM(L62,M62,O62),R62)</f>
        <v>0</v>
      </c>
      <c r="R62" s="61">
        <v>5</v>
      </c>
      <c r="T62" s="4"/>
      <c r="U62" s="4"/>
      <c r="V62" s="61">
        <f t="shared" ref="V62:V69" si="12">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0"/>
        <v/>
      </c>
      <c r="D63" s="19"/>
      <c r="E63" s="15" t="s">
        <v>42</v>
      </c>
      <c r="F63" s="18"/>
      <c r="G63" s="3"/>
      <c r="H63" s="18"/>
      <c r="I63" s="18"/>
      <c r="L63" s="4">
        <v>1</v>
      </c>
      <c r="M63" s="60"/>
      <c r="N63" s="4"/>
      <c r="O63" s="61">
        <f t="shared" ref="O63:O69" si="13">ROUNDDOWN(N63/2,0)</f>
        <v>0</v>
      </c>
      <c r="P63" s="60">
        <f t="shared" si="11"/>
        <v>1</v>
      </c>
      <c r="R63" s="61">
        <v>5</v>
      </c>
      <c r="T63" s="4"/>
      <c r="U63" s="4"/>
      <c r="V63" s="61">
        <f t="shared" si="12"/>
        <v>0</v>
      </c>
      <c r="W63" s="4"/>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0"/>
        <v/>
      </c>
      <c r="D64" s="19"/>
      <c r="E64" s="15" t="s">
        <v>43</v>
      </c>
      <c r="F64" s="18"/>
      <c r="G64" s="3"/>
      <c r="H64" s="18"/>
      <c r="I64" s="18"/>
      <c r="L64" s="4">
        <v>3</v>
      </c>
      <c r="M64" s="60"/>
      <c r="N64" s="4"/>
      <c r="O64" s="61">
        <f t="shared" si="13"/>
        <v>0</v>
      </c>
      <c r="P64" s="60">
        <f t="shared" si="11"/>
        <v>3</v>
      </c>
      <c r="R64" s="61">
        <v>5</v>
      </c>
      <c r="T64" s="4"/>
      <c r="U64" s="4"/>
      <c r="V64" s="61">
        <f t="shared" si="12"/>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0"/>
        <v/>
      </c>
      <c r="D65" s="19"/>
      <c r="E65" s="15" t="s">
        <v>44</v>
      </c>
      <c r="F65" s="18"/>
      <c r="G65" s="3"/>
      <c r="H65" s="18"/>
      <c r="I65" s="18"/>
      <c r="L65" s="4"/>
      <c r="M65" s="60"/>
      <c r="N65" s="4"/>
      <c r="O65" s="61">
        <f t="shared" si="13"/>
        <v>0</v>
      </c>
      <c r="P65" s="60">
        <f t="shared" si="11"/>
        <v>0</v>
      </c>
      <c r="R65" s="61">
        <v>5</v>
      </c>
      <c r="T65" s="4"/>
      <c r="U65" s="4"/>
      <c r="V65" s="61">
        <f t="shared" si="12"/>
        <v>0</v>
      </c>
      <c r="W65" s="4"/>
      <c r="Y65" s="15">
        <v>1</v>
      </c>
      <c r="Z65" s="61" t="s">
        <v>241</v>
      </c>
      <c r="AA65" s="60" t="str" cm="1">
        <f t="array" ref="AA65">IF(OR(Y65=0,Y65=""),"",IF(VLOOKUP(Z65,$AI$1:$AJ$58,2,FALSE)&gt;=Y65,INDEX(tblDisciplines[Name],MATCH(1,(tblDisciplines[Discipline]=Z65)*(tblDisciplines[Rank]=Y65),0)),""))</f>
        <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0"/>
        <v/>
      </c>
      <c r="D66" s="19"/>
      <c r="E66" s="15" t="s">
        <v>45</v>
      </c>
      <c r="F66" s="18"/>
      <c r="G66" s="3"/>
      <c r="H66" s="18"/>
      <c r="I66" s="18"/>
      <c r="L66" s="4">
        <v>1</v>
      </c>
      <c r="M66" s="60"/>
      <c r="N66" s="4"/>
      <c r="O66" s="61">
        <f t="shared" si="13"/>
        <v>0</v>
      </c>
      <c r="P66" s="60">
        <f t="shared" si="11"/>
        <v>1</v>
      </c>
      <c r="R66" s="61">
        <v>5</v>
      </c>
      <c r="T66" s="4"/>
      <c r="U66" s="4"/>
      <c r="V66" s="61">
        <f t="shared" si="12"/>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0"/>
        <v/>
      </c>
      <c r="D67" s="19"/>
      <c r="E67" s="15" t="s">
        <v>46</v>
      </c>
      <c r="F67" s="18"/>
      <c r="G67" s="3"/>
      <c r="H67" s="18"/>
      <c r="I67" s="18"/>
      <c r="L67" s="4"/>
      <c r="M67" s="60"/>
      <c r="N67" s="4"/>
      <c r="O67" s="61">
        <f t="shared" si="13"/>
        <v>0</v>
      </c>
      <c r="P67" s="60">
        <f t="shared" si="11"/>
        <v>0</v>
      </c>
      <c r="R67" s="61">
        <v>5</v>
      </c>
      <c r="T67" s="4"/>
      <c r="U67" s="4"/>
      <c r="V67" s="61">
        <f t="shared" si="12"/>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0"/>
        <v/>
      </c>
      <c r="D68" s="18"/>
      <c r="E68" s="15" t="s">
        <v>47</v>
      </c>
      <c r="F68" s="18"/>
      <c r="G68" s="3"/>
      <c r="H68" s="18"/>
      <c r="I68" s="18"/>
      <c r="L68" s="4"/>
      <c r="M68" s="60"/>
      <c r="N68" s="4"/>
      <c r="O68" s="61">
        <f t="shared" si="13"/>
        <v>0</v>
      </c>
      <c r="P68" s="60">
        <f t="shared" si="11"/>
        <v>0</v>
      </c>
      <c r="R68" s="61">
        <v>5</v>
      </c>
      <c r="T68" s="4"/>
      <c r="U68" s="4"/>
      <c r="V68" s="61">
        <f t="shared" si="12"/>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0"/>
        <v/>
      </c>
      <c r="D69" s="18"/>
      <c r="E69" s="15" t="s">
        <v>48</v>
      </c>
      <c r="F69" s="18"/>
      <c r="G69" s="3"/>
      <c r="H69" s="18"/>
      <c r="I69" s="18"/>
      <c r="L69" s="4">
        <v>3</v>
      </c>
      <c r="M69" s="60"/>
      <c r="N69" s="4"/>
      <c r="O69" s="61">
        <f t="shared" si="13"/>
        <v>0</v>
      </c>
      <c r="P69" s="60">
        <f t="shared" si="11"/>
        <v>3</v>
      </c>
      <c r="R69" s="61">
        <v>5</v>
      </c>
      <c r="T69" s="4"/>
      <c r="U69" s="4"/>
      <c r="V69" s="61">
        <f t="shared" si="12"/>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0"/>
        <v/>
      </c>
      <c r="Y70" s="15">
        <v>1</v>
      </c>
      <c r="Z70" s="61" t="s">
        <v>242</v>
      </c>
      <c r="AA70" s="60" t="str" cm="1">
        <f t="array" ref="AA70">IF(OR(Y70=0,Y70=""),"",IF(VLOOKUP(Z70,$AI$1:$AJ$58,2,FALSE)&gt;=Y70,INDEX(tblDisciplines[Name],MATCH(1,(tblDisciplines[Discipline]=Z70)*(tblDisciplines[Rank]=Y70),0)),""))</f>
        <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0"/>
        <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0"/>
        <v/>
      </c>
      <c r="D72" s="19"/>
      <c r="E72" s="15" t="s">
        <v>49</v>
      </c>
      <c r="F72" s="19"/>
      <c r="G72" s="19"/>
      <c r="H72" s="19"/>
      <c r="I72" s="19"/>
      <c r="K72" s="4"/>
      <c r="L72" s="4">
        <v>5</v>
      </c>
      <c r="M72" s="60">
        <v>1</v>
      </c>
      <c r="N72" s="4"/>
      <c r="O72" s="61">
        <f>ROUNDDOWN(N72/5,0)</f>
        <v>0</v>
      </c>
      <c r="P72" s="60">
        <f>MIN(SUM(K72*-1,ROUNDDOWN(L72/5,0),M72,O72),R72)</f>
        <v>2</v>
      </c>
      <c r="R72" s="61">
        <v>2</v>
      </c>
      <c r="Y72" s="15">
        <v>3</v>
      </c>
      <c r="Z72" s="61" t="s">
        <v>242</v>
      </c>
      <c r="AA72" s="60" t="str" cm="1">
        <f t="array" ref="AA72">IF(OR(Y72=0,Y72=""),"",IF(VLOOKUP(Z72,$AI$1:$AJ$58,2,FALSE)&gt;=Y72,INDEX(tblDisciplines[Name],MATCH(1,(tblDisciplines[Discipline]=Z72)*(tblDisciplines[Rank]=Y72),0)),""))</f>
        <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0"/>
        <v/>
      </c>
      <c r="D73" s="19"/>
      <c r="E73" s="15" t="s">
        <v>1448</v>
      </c>
      <c r="F73" s="19"/>
      <c r="G73" s="19"/>
      <c r="H73" s="19"/>
      <c r="I73" s="19"/>
      <c r="K73" s="4">
        <v>3</v>
      </c>
      <c r="M73" s="60">
        <v>7</v>
      </c>
      <c r="N73" s="4"/>
      <c r="O73" s="61">
        <f>ROUNDDOWN(N73/2,0)</f>
        <v>0</v>
      </c>
      <c r="P73" s="60">
        <f>MIN(SUM(K73*-1,M73,O73),R73)</f>
        <v>4</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0"/>
        <v/>
      </c>
      <c r="D74" s="19"/>
      <c r="E74" s="15" t="s">
        <v>53</v>
      </c>
      <c r="F74" s="19"/>
      <c r="G74" s="19"/>
      <c r="H74" s="19"/>
      <c r="I74" s="19"/>
      <c r="K74" s="4"/>
      <c r="M74" s="60">
        <f>P28+P38</f>
        <v>6</v>
      </c>
      <c r="N74" s="4"/>
      <c r="O74" s="61">
        <f>N74</f>
        <v>0</v>
      </c>
      <c r="P74" s="60">
        <f>MIN(SUM(K74*-1,M74,O74),R74)</f>
        <v>6</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0"/>
        <v>Swords</v>
      </c>
      <c r="D75" s="19"/>
      <c r="E75" s="15" t="s">
        <v>55</v>
      </c>
      <c r="F75" s="19"/>
      <c r="G75" s="19"/>
      <c r="H75" s="19"/>
      <c r="I75" s="19"/>
      <c r="P75" s="60">
        <f ca="1">VLOOKUP(VLOOKUP("Blood Potency",INDIRECT($AH$1),2,FALSE),tblBloodPotency[],2,FALSE)</f>
        <v>11</v>
      </c>
      <c r="Y75" s="15">
        <v>1</v>
      </c>
      <c r="Z75" s="61" t="s">
        <v>243</v>
      </c>
      <c r="AA75" s="60" t="str" cm="1">
        <f t="array" ref="AA75">IF(OR(Y75=0,Y75=""),"",IF(VLOOKUP(Z75,$AI$1:$AJ$58,2,FALSE)&gt;=Y75,INDEX(tblDisciplines[Name],MATCH(1,(tblDisciplines[Discipline]=Z75)*(tblDisciplines[Rank]=Y75),0)),""))</f>
        <v/>
      </c>
    </row>
    <row r="76" spans="1:32">
      <c r="A76" s="1" t="s">
        <v>75</v>
      </c>
      <c r="B76" t="str">
        <f t="shared" si="10"/>
        <v/>
      </c>
      <c r="Y76" s="15">
        <v>2</v>
      </c>
      <c r="Z76" s="61" t="s">
        <v>243</v>
      </c>
      <c r="AA76" s="60" t="str" cm="1">
        <f t="array" ref="AA76">IF(OR(Y76=0,Y76=""),"",IF(VLOOKUP(Z76,$AI$1:$AJ$58,2,FALSE)&gt;=Y76,INDEX(tblDisciplines[Name],MATCH(1,(tblDisciplines[Discipline]=Z76)*(tblDisciplines[Rank]=Y76),0)),""))</f>
        <v/>
      </c>
    </row>
    <row r="77" spans="1:32" ht="15.75" thickBot="1">
      <c r="A77" s="1" t="s">
        <v>76</v>
      </c>
      <c r="B77" t="str">
        <f t="shared" si="10"/>
        <v/>
      </c>
      <c r="D77" s="14" t="s">
        <v>1470</v>
      </c>
      <c r="E77" s="14"/>
      <c r="F77" s="14"/>
      <c r="G77" s="14"/>
      <c r="H77" s="14"/>
      <c r="I77" s="14"/>
      <c r="N77" s="60">
        <f>SUM(N79:N98,N101:N120,N206:N215,N132:N135,N138:N157,N160:N161)</f>
        <v>16</v>
      </c>
      <c r="Y77" s="15">
        <v>3</v>
      </c>
      <c r="Z77" s="61" t="s">
        <v>243</v>
      </c>
      <c r="AA77" s="60" t="str" cm="1">
        <f t="array" ref="AA77">IF(OR(Y77=0,Y77=""),"",IF(VLOOKUP(Z77,$AI$1:$AJ$58,2,FALSE)&gt;=Y77,INDEX(tblDisciplines[Name],MATCH(1,(tblDisciplines[Discipline]=Z77)*(tblDisciplines[Rank]=Y77),0)),""))</f>
        <v/>
      </c>
    </row>
    <row r="78" spans="1:32">
      <c r="A78" s="1" t="s">
        <v>77</v>
      </c>
      <c r="B78" t="str">
        <f t="shared" si="10"/>
        <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0"/>
        <v/>
      </c>
      <c r="D79" s="19"/>
      <c r="E79" s="15" t="s">
        <v>114</v>
      </c>
      <c r="F79" s="3" t="s">
        <v>1681</v>
      </c>
      <c r="G79" s="3"/>
      <c r="H79" s="67" t="str">
        <f>_xlfn.IFNA(IF(VLOOKUP(F79,tblMerits[],6,FALSE)=0,"None",VLOOKUP(F79,tblMerits[],6,FALSE)),"None")</f>
        <v>Lancea Status 1, Humanity 3 + Merit rating (or mortal)</v>
      </c>
      <c r="I79" s="67"/>
      <c r="L79" s="4">
        <v>1</v>
      </c>
      <c r="M79" s="4"/>
      <c r="N79" s="4"/>
      <c r="O79" s="61">
        <f>N79</f>
        <v>0</v>
      </c>
      <c r="P79" s="60">
        <f t="shared" ref="P79:P98" si="14">MIN(SUM(L79,M79,O79),R79)</f>
        <v>1</v>
      </c>
      <c r="Q79" s="61">
        <f>_xlfn.IFNA(VLOOKUP($F79,tblMerits[],3,FALSE),"")</f>
        <v>1</v>
      </c>
      <c r="R79" s="61">
        <f>_xlfn.IFNA(VLOOKUP($F79,tblMerits[],4,FALSE),"")</f>
        <v>5</v>
      </c>
      <c r="Y79" s="15">
        <v>5</v>
      </c>
      <c r="Z79" s="61" t="s">
        <v>243</v>
      </c>
      <c r="AA79" s="60" t="str" cm="1">
        <f t="array" ref="AA79">IF(OR(Y79=0,Y79=""),"",IF(VLOOKUP(Z79,$AI$1:$AJ$58,2,FALSE)&gt;=Y79,INDEX(tblDisciplines[Name],MATCH(1,(tblDisciplines[Discipline]=Z79)*(tblDisciplines[Rank]=Y79),0)),""))</f>
        <v/>
      </c>
    </row>
    <row r="80" spans="1:32">
      <c r="A80" s="1" t="s">
        <v>79</v>
      </c>
      <c r="B80" t="str">
        <f t="shared" si="10"/>
        <v/>
      </c>
      <c r="D80" s="19"/>
      <c r="E80" s="15" t="s">
        <v>115</v>
      </c>
      <c r="F80" s="3" t="s">
        <v>1680</v>
      </c>
      <c r="G80" s="3"/>
      <c r="H80" s="67" t="str">
        <f>_xlfn.IFNA(IF(VLOOKUP(F80,tblMerits[],6,FALSE)=0,"None",VLOOKUP(F80,tblMerits[],6,FALSE)),"None")</f>
        <v>Herd</v>
      </c>
      <c r="I80" s="67"/>
      <c r="L80" s="4"/>
      <c r="M80" s="4"/>
      <c r="N80" s="4">
        <v>2</v>
      </c>
      <c r="O80" s="61">
        <f t="shared" ref="O80:O98" si="15">N80</f>
        <v>2</v>
      </c>
      <c r="P80" s="60">
        <f t="shared" si="14"/>
        <v>2</v>
      </c>
      <c r="Q80" s="61">
        <f>_xlfn.IFNA(VLOOKUP($F80,tblMerits[],3,FALSE),"")</f>
        <v>1</v>
      </c>
      <c r="R80" s="61">
        <f>_xlfn.IFNA(VLOOKUP($F80,tblMerits[],4,FALSE),"")</f>
        <v>5</v>
      </c>
      <c r="Y80" s="15">
        <f>P173</f>
        <v>0</v>
      </c>
      <c r="Z80" s="61" t="s">
        <v>244</v>
      </c>
      <c r="AA80" s="60" t="str" cm="1">
        <f t="array" ref="AA80">IF(OR(Y80=0,Y80=""),"",IF(VLOOKUP(Z80,$AI$1:$AJ$58,2,FALSE)&gt;=Y80,INDEX(tblDisciplines[Name],MATCH(1,(tblDisciplines[Discipline]=Z80)*(tblDisciplines[Rank]=Y80),0)),""))</f>
        <v/>
      </c>
    </row>
    <row r="81" spans="1:27">
      <c r="A81" s="1" t="s">
        <v>80</v>
      </c>
      <c r="B81" t="str">
        <f t="shared" si="10"/>
        <v/>
      </c>
      <c r="D81" s="19"/>
      <c r="E81" s="15" t="s">
        <v>116</v>
      </c>
      <c r="F81" s="3" t="s">
        <v>1705</v>
      </c>
      <c r="G81" s="3"/>
      <c r="H81" s="67" t="str">
        <f>_xlfn.IFNA(IF(VLOOKUP(F81,tblMerits[],6,FALSE)=0,"None",VLOOKUP(F81,tblMerits[],6,FALSE)),"None")</f>
        <v>Lance Status 1</v>
      </c>
      <c r="I81" s="67"/>
      <c r="L81" s="4"/>
      <c r="M81" s="4"/>
      <c r="N81" s="4">
        <v>2</v>
      </c>
      <c r="O81" s="61">
        <f t="shared" si="15"/>
        <v>2</v>
      </c>
      <c r="P81" s="60">
        <f t="shared" si="14"/>
        <v>2</v>
      </c>
      <c r="Q81" s="61">
        <f>_xlfn.IFNA(VLOOKUP($F81,tblMerits[],3,FALSE),"")</f>
        <v>2</v>
      </c>
      <c r="R81" s="61">
        <f>_xlfn.IFNA(VLOOKUP($F81,tblMerits[],4,FALSE),"")</f>
        <v>2</v>
      </c>
      <c r="Y81" s="15">
        <f>P174</f>
        <v>0</v>
      </c>
      <c r="Z81" s="61" t="s">
        <v>245</v>
      </c>
      <c r="AA81" s="60" t="str" cm="1">
        <f t="array" ref="AA81">IF(OR(Y81=0,Y81=""),"",IF(VLOOKUP(Z81,$AI$1:$AJ$58,2,FALSE)&gt;=Y81,INDEX(tblDisciplines[Name],MATCH(1,(tblDisciplines[Discipline]=Z81)*(tblDisciplines[Rank]=Y81),0)),""))</f>
        <v/>
      </c>
    </row>
    <row r="82" spans="1:27">
      <c r="A82" s="1" t="s">
        <v>81</v>
      </c>
      <c r="B82" t="str">
        <f t="shared" si="10"/>
        <v/>
      </c>
      <c r="D82" s="19"/>
      <c r="E82" s="15" t="s">
        <v>117</v>
      </c>
      <c r="F82" s="3" t="s">
        <v>1591</v>
      </c>
      <c r="G82" s="3" t="s">
        <v>40</v>
      </c>
      <c r="H82" s="67" t="str">
        <f>_xlfn.IFNA(IF(VLOOKUP(F82,tblMerits[],6,FALSE)=0,"None",VLOOKUP(F82,tblMerits[],6,FALSE)),"None")</f>
        <v>Brawl 1 or Weaponry 1</v>
      </c>
      <c r="I82" s="67"/>
      <c r="L82" s="4"/>
      <c r="M82" s="4"/>
      <c r="N82" s="4">
        <v>1</v>
      </c>
      <c r="O82" s="61">
        <f t="shared" si="15"/>
        <v>1</v>
      </c>
      <c r="P82" s="60">
        <f t="shared" si="14"/>
        <v>1</v>
      </c>
      <c r="Q82" s="61">
        <f>_xlfn.IFNA(VLOOKUP($F82,tblMerits[],3,FALSE),"")</f>
        <v>1</v>
      </c>
      <c r="R82" s="61">
        <f>_xlfn.IFNA(VLOOKUP($F82,tblMerits[],4,FALSE),"")</f>
        <v>1</v>
      </c>
      <c r="Y82" s="61" t="s">
        <v>1472</v>
      </c>
      <c r="Z82" s="19"/>
      <c r="AA82" s="60" t="str">
        <f>IF(P177="","",F177)</f>
        <v/>
      </c>
    </row>
    <row r="83" spans="1:27">
      <c r="A83" s="1" t="s">
        <v>82</v>
      </c>
      <c r="B83" t="str">
        <f t="shared" si="10"/>
        <v/>
      </c>
      <c r="D83" s="19"/>
      <c r="E83" s="15" t="s">
        <v>118</v>
      </c>
      <c r="F83" s="3" t="s">
        <v>1610</v>
      </c>
      <c r="G83" s="3" t="s">
        <v>955</v>
      </c>
      <c r="H83" s="67" t="str">
        <f>_xlfn.IFNA(IF(VLOOKUP(F83,tblMerits[],6,FALSE)=0,"None",VLOOKUP(F83,tblMerits[],6,FALSE)),"None")</f>
        <v>Wits 3, relevant Specialty</v>
      </c>
      <c r="I83" s="67"/>
      <c r="L83" s="4"/>
      <c r="M83" s="4"/>
      <c r="N83" s="4">
        <v>1</v>
      </c>
      <c r="O83" s="61">
        <f t="shared" si="15"/>
        <v>1</v>
      </c>
      <c r="P83" s="60">
        <f t="shared" si="14"/>
        <v>1</v>
      </c>
      <c r="Q83" s="61">
        <f>_xlfn.IFNA(VLOOKUP($F83,tblMerits[],3,FALSE),"")</f>
        <v>1</v>
      </c>
      <c r="R83" s="61">
        <f>_xlfn.IFNA(VLOOKUP($F83,tblMerits[],4,FALSE),"")</f>
        <v>1</v>
      </c>
      <c r="Y83" s="61" t="s">
        <v>1472</v>
      </c>
      <c r="Z83" s="19"/>
      <c r="AA83" s="60" t="str">
        <f>IF(P178="","",F178)</f>
        <v/>
      </c>
    </row>
    <row r="84" spans="1:27">
      <c r="A84" s="1" t="s">
        <v>83</v>
      </c>
      <c r="B84">
        <f>P124</f>
        <v>2</v>
      </c>
      <c r="D84" s="19"/>
      <c r="E84" s="15" t="s">
        <v>119</v>
      </c>
      <c r="F84" s="3"/>
      <c r="G84" s="3"/>
      <c r="H84" s="67" t="str">
        <f>_xlfn.IFNA(IF(VLOOKUP(F84,tblMerits[],6,FALSE)=0,"None",VLOOKUP(F84,tblMerits[],6,FALSE)),"None")</f>
        <v>None</v>
      </c>
      <c r="I84" s="67"/>
      <c r="L84" s="4"/>
      <c r="M84" s="4"/>
      <c r="N84" s="4"/>
      <c r="O84" s="61">
        <f t="shared" si="15"/>
        <v>0</v>
      </c>
      <c r="P84" s="60">
        <f t="shared" si="14"/>
        <v>0</v>
      </c>
      <c r="Q84" s="61" t="str">
        <f>_xlfn.IFNA(VLOOKUP($F84,tblMerits[],3,FALSE),"")</f>
        <v/>
      </c>
      <c r="R84" s="61" t="str">
        <f>_xlfn.IFNA(VLOOKUP($F84,tblMerits[],4,FALSE),"")</f>
        <v/>
      </c>
      <c r="Y84" s="61" t="s">
        <v>1472</v>
      </c>
      <c r="Z84" s="19"/>
      <c r="AA84" s="60" t="str">
        <f>IF(P179="","",F179)</f>
        <v/>
      </c>
    </row>
    <row r="85" spans="1:27">
      <c r="A85" s="1" t="s">
        <v>84</v>
      </c>
      <c r="B85">
        <f>P125</f>
        <v>2</v>
      </c>
      <c r="D85" s="19"/>
      <c r="E85" s="15" t="s">
        <v>120</v>
      </c>
      <c r="F85" s="3"/>
      <c r="G85" s="3"/>
      <c r="H85" s="67" t="str">
        <f>_xlfn.IFNA(IF(VLOOKUP(F85,tblMerits[],6,FALSE)=0,"None",VLOOKUP(F85,tblMerits[],6,FALSE)),"None")</f>
        <v>None</v>
      </c>
      <c r="I85" s="67"/>
      <c r="L85" s="4"/>
      <c r="M85" s="4"/>
      <c r="N85" s="4"/>
      <c r="O85" s="61">
        <f t="shared" si="15"/>
        <v>0</v>
      </c>
      <c r="P85" s="60">
        <f t="shared" si="14"/>
        <v>0</v>
      </c>
      <c r="Q85" s="61" t="str">
        <f>_xlfn.IFNA(VLOOKUP($F85,tblMerits[],3,FALSE),"")</f>
        <v/>
      </c>
      <c r="R85" s="61" t="str">
        <f>_xlfn.IFNA(VLOOKUP($F85,tblMerits[],4,FALSE),"")</f>
        <v/>
      </c>
      <c r="Y85" s="61" t="s">
        <v>1472</v>
      </c>
      <c r="Z85" s="19"/>
      <c r="AA85" s="60" t="str">
        <f>IF(P180="","",F180)</f>
        <v/>
      </c>
    </row>
    <row r="86" spans="1:27">
      <c r="A86" s="1" t="s">
        <v>85</v>
      </c>
      <c r="B86">
        <f>P126</f>
        <v>1</v>
      </c>
      <c r="D86" s="19"/>
      <c r="E86" s="15" t="s">
        <v>121</v>
      </c>
      <c r="F86" s="3"/>
      <c r="G86" s="3"/>
      <c r="H86" s="67" t="str">
        <f>_xlfn.IFNA(IF(VLOOKUP(F86,tblMerits[],6,FALSE)=0,"None",VLOOKUP(F86,tblMerits[],6,FALSE)),"None")</f>
        <v>None</v>
      </c>
      <c r="I86" s="67"/>
      <c r="L86" s="4"/>
      <c r="M86" s="4"/>
      <c r="N86" s="4"/>
      <c r="O86" s="61">
        <f t="shared" si="15"/>
        <v>0</v>
      </c>
      <c r="P86" s="60">
        <f t="shared" si="14"/>
        <v>0</v>
      </c>
      <c r="Q86" s="61" t="str">
        <f>_xlfn.IFNA(VLOOKUP($F86,tblMerits[],3,FALSE),"")</f>
        <v/>
      </c>
      <c r="R86" s="61" t="str">
        <f>_xlfn.IFNA(VLOOKUP($F86,tblMerits[],4,FALSE),"")</f>
        <v/>
      </c>
      <c r="Y86" s="61" t="s">
        <v>1472</v>
      </c>
      <c r="Z86" s="19"/>
      <c r="AA86" s="60" t="str">
        <f>IF(P181="","",F181)</f>
        <v/>
      </c>
    </row>
    <row r="87" spans="1:27">
      <c r="A87" s="1" t="s">
        <v>86</v>
      </c>
      <c r="B87" t="str">
        <f>IF(F126="","¬",F126)</f>
        <v>Lance</v>
      </c>
      <c r="D87" s="19"/>
      <c r="E87" s="15" t="s">
        <v>122</v>
      </c>
      <c r="F87" s="3"/>
      <c r="G87" s="3"/>
      <c r="H87" s="67" t="str">
        <f>_xlfn.IFNA(IF(VLOOKUP(F87,tblMerits[],6,FALSE)=0,"None",VLOOKUP(F87,tblMerits[],6,FALSE)),"None")</f>
        <v>None</v>
      </c>
      <c r="I87" s="67"/>
      <c r="L87" s="4"/>
      <c r="M87" s="4"/>
      <c r="N87" s="4"/>
      <c r="O87" s="61">
        <f t="shared" si="15"/>
        <v>0</v>
      </c>
      <c r="P87" s="60">
        <f t="shared" si="14"/>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
      </c>
    </row>
    <row r="88" spans="1:27">
      <c r="A88" s="1" t="s">
        <v>87</v>
      </c>
      <c r="B88" t="str">
        <f>REPT("●",P126)</f>
        <v>●</v>
      </c>
      <c r="D88" s="19"/>
      <c r="E88" s="15" t="s">
        <v>123</v>
      </c>
      <c r="F88" s="3"/>
      <c r="G88" s="3"/>
      <c r="H88" s="67" t="str">
        <f>_xlfn.IFNA(IF(VLOOKUP(F88,tblMerits[],6,FALSE)=0,"None",VLOOKUP(F88,tblMerits[],6,FALSE)),"None")</f>
        <v>None</v>
      </c>
      <c r="I88" s="67"/>
      <c r="L88" s="4"/>
      <c r="M88" s="4"/>
      <c r="N88" s="4"/>
      <c r="O88" s="61">
        <f t="shared" si="15"/>
        <v>0</v>
      </c>
      <c r="P88" s="60">
        <f t="shared" si="14"/>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Carthian</v>
      </c>
      <c r="D89" s="19"/>
      <c r="E89" s="15" t="s">
        <v>124</v>
      </c>
      <c r="F89" s="3"/>
      <c r="G89" s="3"/>
      <c r="H89" s="67" t="str">
        <f>_xlfn.IFNA(IF(VLOOKUP(F89,tblMerits[],6,FALSE)=0,"None",VLOOKUP(F89,tblMerits[],6,FALSE)),"None")</f>
        <v>None</v>
      </c>
      <c r="I89" s="67"/>
      <c r="L89" s="4"/>
      <c r="M89" s="4"/>
      <c r="N89" s="4"/>
      <c r="O89" s="61">
        <f t="shared" si="15"/>
        <v>0</v>
      </c>
      <c r="P89" s="60">
        <f t="shared" si="14"/>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_xlfn.IFNA(IF(VLOOKUP(F90,tblMerits[],6,FALSE)=0,"None",VLOOKUP(F90,tblMerits[],6,FALSE)),"None")</f>
        <v>None</v>
      </c>
      <c r="I90" s="67"/>
      <c r="L90" s="4"/>
      <c r="M90" s="4"/>
      <c r="N90" s="4"/>
      <c r="O90" s="61">
        <f t="shared" si="15"/>
        <v>0</v>
      </c>
      <c r="P90" s="60">
        <f t="shared" si="14"/>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Crone</v>
      </c>
      <c r="D91" s="19"/>
      <c r="E91" s="15" t="s">
        <v>126</v>
      </c>
      <c r="F91" s="3"/>
      <c r="G91" s="3"/>
      <c r="H91" s="67" t="str">
        <f>_xlfn.IFNA(IF(VLOOKUP(F91,tblMerits[],6,FALSE)=0,"None",VLOOKUP(F91,tblMerits[],6,FALSE)),"None")</f>
        <v>None</v>
      </c>
      <c r="I91" s="67"/>
      <c r="L91" s="4"/>
      <c r="M91" s="4"/>
      <c r="N91" s="4"/>
      <c r="O91" s="61">
        <f t="shared" si="15"/>
        <v>0</v>
      </c>
      <c r="P91" s="60">
        <f t="shared" si="14"/>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5"/>
        <v>0</v>
      </c>
      <c r="P92" s="60">
        <f t="shared" si="14"/>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Invictus</v>
      </c>
      <c r="D93" s="19"/>
      <c r="E93" s="15" t="s">
        <v>128</v>
      </c>
      <c r="F93" s="3"/>
      <c r="G93" s="3"/>
      <c r="H93" s="67" t="str">
        <f>_xlfn.IFNA(IF(VLOOKUP(F93,tblMerits[],6,FALSE)=0,"None",VLOOKUP(F93,tblMerits[],6,FALSE)),"None")</f>
        <v>None</v>
      </c>
      <c r="I93" s="67"/>
      <c r="L93" s="4"/>
      <c r="M93" s="4"/>
      <c r="N93" s="4"/>
      <c r="O93" s="61">
        <f t="shared" si="15"/>
        <v>0</v>
      </c>
      <c r="P93" s="60">
        <f t="shared" si="14"/>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5"/>
        <v>0</v>
      </c>
      <c r="P94" s="60">
        <f t="shared" si="14"/>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5"/>
        <v>0</v>
      </c>
      <c r="P95" s="60">
        <f t="shared" si="14"/>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5"/>
        <v>0</v>
      </c>
      <c r="P96" s="60">
        <f t="shared" si="14"/>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5"/>
        <v>0</v>
      </c>
      <c r="P97" s="60">
        <f t="shared" si="14"/>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5"/>
        <v>0</v>
      </c>
      <c r="P98" s="60">
        <f t="shared" si="14"/>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t="s">
        <v>1706</v>
      </c>
      <c r="G101" s="60" t="str">
        <f>IFERROR(VLOOKUP(F101,tblManoeuvre[],2,FALSE)&amp;" "&amp;VLOOKUP(F101,tblManoeuvre[],3,FALSE),"")</f>
        <v>Kindred Dueling 1</v>
      </c>
      <c r="H101" s="67" t="str">
        <f>IFERROR(IF(VLOOKUP(F101,tblManoeuvre[],8,FALSE)=0,"None",VLOOKUP(F101,tblManoeuvre[],8,FALSE)),"None")</f>
        <v>Composure 3, Weaponry 2</v>
      </c>
      <c r="I101" s="67"/>
      <c r="L101" s="4"/>
      <c r="M101" s="4"/>
      <c r="N101" s="4">
        <v>1</v>
      </c>
      <c r="O101" s="61">
        <f t="shared" ref="O101:O120" si="16">N101</f>
        <v>1</v>
      </c>
      <c r="P101" s="60">
        <f t="shared" ref="P101:P120" si="17">MIN(SUM(L101,M101,O101),R101)</f>
        <v>1</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
      </c>
      <c r="D102" s="19"/>
      <c r="E102" s="15" t="s">
        <v>1441</v>
      </c>
      <c r="F102" s="3" t="s">
        <v>1707</v>
      </c>
      <c r="G102" s="60" t="str">
        <f>IFERROR(VLOOKUP(F102,tblManoeuvre[],2,FALSE)&amp;" "&amp;VLOOKUP(F102,tblManoeuvre[],3,FALSE),"")</f>
        <v>Kindred Dueling 2</v>
      </c>
      <c r="H102" s="67" t="str">
        <f>IFERROR(IF(VLOOKUP(F102,tblManoeuvre[],8,FALSE)=0,"None",VLOOKUP(F102,tblManoeuvre[],8,FALSE)),"None")</f>
        <v>Composure 3, Weaponry 2</v>
      </c>
      <c r="I102" s="67"/>
      <c r="L102" s="4"/>
      <c r="M102" s="4"/>
      <c r="N102" s="4">
        <v>1</v>
      </c>
      <c r="O102" s="61">
        <f t="shared" si="16"/>
        <v>1</v>
      </c>
      <c r="P102" s="60">
        <f t="shared" si="17"/>
        <v>1</v>
      </c>
      <c r="Q102" s="61">
        <v>1</v>
      </c>
      <c r="R102" s="61">
        <v>1</v>
      </c>
      <c r="Y102" s="15">
        <v>1</v>
      </c>
      <c r="Z102" s="61" t="s">
        <v>251</v>
      </c>
      <c r="AA102" s="60" t="str" cm="1">
        <f t="array" ref="AA102">IF(VLOOKUP(Z102,$AI$1:$AJ$58,2,FALSE)&gt;=Y102,INDEX(tblDisciplines[Name],MATCH(1,(tblDisciplines[Discipline]=Z102)*(tblDisciplines[Rank]=Y102),0)),"")</f>
        <v/>
      </c>
    </row>
    <row r="103" spans="1:27">
      <c r="A103" s="1" t="s">
        <v>102</v>
      </c>
      <c r="B103">
        <f>P73</f>
        <v>4</v>
      </c>
      <c r="D103" s="19"/>
      <c r="E103" s="15" t="s">
        <v>1443</v>
      </c>
      <c r="F103" s="3" t="s">
        <v>1708</v>
      </c>
      <c r="G103" s="60" t="str">
        <f>IFERROR(VLOOKUP(F103,tblManoeuvre[],2,FALSE)&amp;" "&amp;VLOOKUP(F103,tblManoeuvre[],3,FALSE),"")</f>
        <v>Kindred Dueling 3</v>
      </c>
      <c r="H103" s="67" t="str">
        <f>IFERROR(IF(VLOOKUP(F103,tblManoeuvre[],8,FALSE)=0,"None",VLOOKUP(F103,tblManoeuvre[],8,FALSE)),"None")</f>
        <v>Composure 3, Weaponry 2</v>
      </c>
      <c r="I103" s="67"/>
      <c r="L103" s="4"/>
      <c r="M103" s="4"/>
      <c r="N103" s="4">
        <v>1</v>
      </c>
      <c r="O103" s="61">
        <f t="shared" si="16"/>
        <v>1</v>
      </c>
      <c r="P103" s="60">
        <f t="shared" si="17"/>
        <v>1</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t="s">
        <v>1709</v>
      </c>
      <c r="G104" s="60" t="str">
        <f>IFERROR(VLOOKUP(F104,tblManoeuvre[],2,FALSE)&amp;" "&amp;VLOOKUP(F104,tblManoeuvre[],3,FALSE),"")</f>
        <v>Kindred Dueling 4</v>
      </c>
      <c r="H104" s="67" t="str">
        <f>IFERROR(IF(VLOOKUP(F104,tblManoeuvre[],8,FALSE)=0,"None",VLOOKUP(F104,tblManoeuvre[],8,FALSE)),"None")</f>
        <v>Composure 3, Weaponry 2</v>
      </c>
      <c r="I104" s="67"/>
      <c r="L104" s="4"/>
      <c r="M104" s="4"/>
      <c r="N104" s="4">
        <v>1</v>
      </c>
      <c r="O104" s="61">
        <f t="shared" si="16"/>
        <v>1</v>
      </c>
      <c r="P104" s="60">
        <f t="shared" si="17"/>
        <v>1</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t="s">
        <v>1710</v>
      </c>
      <c r="G105" s="60" t="str">
        <f>IFERROR(VLOOKUP(F105,tblManoeuvre[],2,FALSE)&amp;" "&amp;VLOOKUP(F105,tblManoeuvre[],3,FALSE),"")</f>
        <v>Kindred Dueling 5</v>
      </c>
      <c r="H105" s="67" t="str">
        <f>IFERROR(IF(VLOOKUP(F105,tblManoeuvre[],8,FALSE)=0,"None",VLOOKUP(F105,tblManoeuvre[],8,FALSE)),"None")</f>
        <v>Composure 3, Weaponry 2</v>
      </c>
      <c r="I105" s="67"/>
      <c r="L105" s="4"/>
      <c r="M105" s="4"/>
      <c r="N105" s="4">
        <v>1</v>
      </c>
      <c r="O105" s="61">
        <f t="shared" si="16"/>
        <v>1</v>
      </c>
      <c r="P105" s="60">
        <f t="shared" si="17"/>
        <v>1</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IFERROR(VLOOKUP(F106,tblManoeuvre[],2,FALSE)&amp;" "&amp;VLOOKUP(F106,tblManoeuvre[],3,FALSE),"")</f>
        <v/>
      </c>
      <c r="H106" s="67" t="str">
        <f>IFERROR(IF(VLOOKUP(F106,tblManoeuvre[],8,FALSE)=0,"None",VLOOKUP(F106,tblManoeuvre[],8,FALSE)),"None")</f>
        <v>None</v>
      </c>
      <c r="I106" s="67"/>
      <c r="L106" s="4"/>
      <c r="M106" s="4"/>
      <c r="N106" s="4"/>
      <c r="O106" s="61">
        <f t="shared" si="16"/>
        <v>0</v>
      </c>
      <c r="P106" s="60">
        <f t="shared" si="17"/>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IFERROR(VLOOKUP(F107,tblManoeuvre[],2,FALSE)&amp;" "&amp;VLOOKUP(F107,tblManoeuvre[],3,FALSE),"")</f>
        <v/>
      </c>
      <c r="H107" s="67" t="str">
        <f>IFERROR(IF(VLOOKUP(F107,tblManoeuvre[],8,FALSE)=0,"None",VLOOKUP(F107,tblManoeuvre[],8,FALSE)),"None")</f>
        <v>None</v>
      </c>
      <c r="I107" s="67"/>
      <c r="L107" s="4"/>
      <c r="M107" s="4"/>
      <c r="N107" s="4"/>
      <c r="O107" s="61">
        <f t="shared" si="16"/>
        <v>0</v>
      </c>
      <c r="P107" s="60">
        <f t="shared" si="17"/>
        <v>0</v>
      </c>
      <c r="Q107" s="61">
        <v>1</v>
      </c>
      <c r="R107" s="61">
        <v>1</v>
      </c>
      <c r="Y107" s="15">
        <v>1</v>
      </c>
      <c r="Z107" s="61" t="s">
        <v>252</v>
      </c>
      <c r="AA107" s="60" t="str" cm="1">
        <f t="array" ref="AA107">IF(VLOOKUP(Z107,$AI$1:$AJ$58,2,FALSE)&gt;=Y107,INDEX(tblDisciplines[Name],MATCH(1,(tblDisciplines[Discipline]=Z107)*(tblDisciplines[Rank]=Y107),0)),"")</f>
        <v/>
      </c>
    </row>
    <row r="108" spans="1:27">
      <c r="A108" s="1" t="s">
        <v>107</v>
      </c>
      <c r="B108" t="str">
        <f>IF($P$73&gt;=7,"●","○") &amp; IF(F226&lt;&gt;""," (" &amp; F226 &amp; ")","")</f>
        <v>○ (Unnamed laity member)</v>
      </c>
      <c r="D108" s="19"/>
      <c r="E108" s="15" t="s">
        <v>1452</v>
      </c>
      <c r="F108" s="3"/>
      <c r="G108" s="60" t="str">
        <f>IFERROR(VLOOKUP(F108,tblManoeuvre[],2,FALSE)&amp;" "&amp;VLOOKUP(F108,tblManoeuvre[],3,FALSE),"")</f>
        <v/>
      </c>
      <c r="H108" s="67" t="str">
        <f>IFERROR(IF(VLOOKUP(F108,tblManoeuvre[],8,FALSE)=0,"None",VLOOKUP(F108,tblManoeuvre[],8,FALSE)),"None")</f>
        <v>None</v>
      </c>
      <c r="I108" s="67"/>
      <c r="L108" s="4"/>
      <c r="M108" s="4"/>
      <c r="N108" s="4"/>
      <c r="O108" s="61">
        <f t="shared" si="16"/>
        <v>0</v>
      </c>
      <c r="P108" s="60">
        <f t="shared" si="17"/>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v>
      </c>
      <c r="D109" s="19"/>
      <c r="E109" s="15" t="s">
        <v>1454</v>
      </c>
      <c r="F109" s="3"/>
      <c r="G109" s="60" t="str">
        <f>IFERROR(VLOOKUP(F109,tblManoeuvre[],2,FALSE)&amp;" "&amp;VLOOKUP(F109,tblManoeuvre[],3,FALSE),"")</f>
        <v/>
      </c>
      <c r="H109" s="67" t="str">
        <f>IFERROR(IF(VLOOKUP(F109,tblManoeuvre[],8,FALSE)=0,"None",VLOOKUP(F109,tblManoeuvre[],8,FALSE)),"None")</f>
        <v>None</v>
      </c>
      <c r="I109" s="67"/>
      <c r="L109" s="4"/>
      <c r="M109" s="4"/>
      <c r="N109" s="4"/>
      <c r="O109" s="61">
        <f t="shared" si="16"/>
        <v>0</v>
      </c>
      <c r="P109" s="60">
        <f t="shared" si="17"/>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v>
      </c>
      <c r="D110" s="19"/>
      <c r="E110" s="15" t="s">
        <v>1455</v>
      </c>
      <c r="F110" s="3"/>
      <c r="G110" s="60" t="str">
        <f>IFERROR(VLOOKUP(F110,tblManoeuvre[],2,FALSE)&amp;" "&amp;VLOOKUP(F110,tblManoeuvre[],3,FALSE),"")</f>
        <v/>
      </c>
      <c r="H110" s="67" t="str">
        <f>IFERROR(IF(VLOOKUP(F110,tblManoeuvre[],8,FALSE)=0,"None",VLOOKUP(F110,tblManoeuvre[],8,FALSE)),"None")</f>
        <v>None</v>
      </c>
      <c r="I110" s="67"/>
      <c r="L110" s="4"/>
      <c r="M110" s="4"/>
      <c r="N110" s="4"/>
      <c r="O110" s="61">
        <f t="shared" si="16"/>
        <v>0</v>
      </c>
      <c r="P110" s="60">
        <f t="shared" si="17"/>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t="str">
        <f>IFERROR(VLOOKUP(F111,tblManoeuvre[],2,FALSE)&amp;" "&amp;VLOOKUP(F111,tblManoeuvre[],3,FALSE),"")</f>
        <v/>
      </c>
      <c r="H111" s="67" t="str">
        <f>IFERROR(IF(VLOOKUP(F111,tblManoeuvre[],8,FALSE)=0,"None",VLOOKUP(F111,tblManoeuvre[],8,FALSE)),"None")</f>
        <v>None</v>
      </c>
      <c r="I111" s="67"/>
      <c r="L111" s="4"/>
      <c r="M111" s="4"/>
      <c r="N111" s="4"/>
      <c r="O111" s="61">
        <f t="shared" si="16"/>
        <v>0</v>
      </c>
      <c r="P111" s="60">
        <f t="shared" si="17"/>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t="str">
        <f>IFERROR(VLOOKUP(F112,tblManoeuvre[],2,FALSE)&amp;" "&amp;VLOOKUP(F112,tblManoeuvre[],3,FALSE),"")</f>
        <v/>
      </c>
      <c r="H112" s="67" t="str">
        <f>IFERROR(IF(VLOOKUP(F112,tblManoeuvre[],8,FALSE)=0,"None",VLOOKUP(F112,tblManoeuvre[],8,FALSE)),"None")</f>
        <v>None</v>
      </c>
      <c r="I112" s="67"/>
      <c r="L112" s="4"/>
      <c r="M112" s="4"/>
      <c r="N112" s="4"/>
      <c r="O112" s="61">
        <f t="shared" si="16"/>
        <v>0</v>
      </c>
      <c r="P112" s="60">
        <f t="shared" si="17"/>
        <v>0</v>
      </c>
      <c r="Q112" s="61">
        <v>1</v>
      </c>
      <c r="R112" s="61">
        <v>1</v>
      </c>
      <c r="Y112" s="61" t="s">
        <v>1474</v>
      </c>
      <c r="Z112" s="61" t="str">
        <f t="shared" ref="Z112:Z121" si="18">G194</f>
        <v/>
      </c>
      <c r="AA112" s="60" t="str">
        <f t="shared" ref="AA112:AA121" si="19">IF(P194="","",F194)</f>
        <v/>
      </c>
    </row>
    <row r="113" spans="1:27">
      <c r="A113" s="1" t="s">
        <v>112</v>
      </c>
      <c r="B113" t="str">
        <f>IF($P$73&gt;=2,"●","○") &amp; IF(F231&lt;&gt;""," (" &amp; F231 &amp; ")","")</f>
        <v>●</v>
      </c>
      <c r="D113" s="19"/>
      <c r="E113" s="15" t="s">
        <v>1458</v>
      </c>
      <c r="F113" s="3"/>
      <c r="G113" s="60" t="str">
        <f>IFERROR(VLOOKUP(F113,tblManoeuvre[],2,FALSE)&amp;" "&amp;VLOOKUP(F113,tblManoeuvre[],3,FALSE),"")</f>
        <v/>
      </c>
      <c r="H113" s="67" t="str">
        <f>IFERROR(IF(VLOOKUP(F113,tblManoeuvre[],8,FALSE)=0,"None",VLOOKUP(F113,tblManoeuvre[],8,FALSE)),"None")</f>
        <v>None</v>
      </c>
      <c r="I113" s="67"/>
      <c r="L113" s="4"/>
      <c r="M113" s="4"/>
      <c r="N113" s="4"/>
      <c r="O113" s="61">
        <f t="shared" si="16"/>
        <v>0</v>
      </c>
      <c r="P113" s="60">
        <f t="shared" si="17"/>
        <v>0</v>
      </c>
      <c r="Q113" s="61">
        <v>1</v>
      </c>
      <c r="R113" s="61">
        <v>1</v>
      </c>
      <c r="Y113" s="61" t="s">
        <v>1474</v>
      </c>
      <c r="Z113" s="61" t="str">
        <f t="shared" si="18"/>
        <v/>
      </c>
      <c r="AA113" s="60" t="str">
        <f t="shared" si="19"/>
        <v/>
      </c>
    </row>
    <row r="114" spans="1:27">
      <c r="A114" s="1" t="s">
        <v>113</v>
      </c>
      <c r="B114" t="str">
        <f>IF($P$73&gt;=1,"●","○") &amp; IF(F232&lt;&gt;""," (" &amp; F232 &amp; ")","")</f>
        <v>●</v>
      </c>
      <c r="D114" s="19"/>
      <c r="E114" s="15" t="s">
        <v>1460</v>
      </c>
      <c r="F114" s="3"/>
      <c r="G114" s="60" t="str">
        <f>IFERROR(VLOOKUP(F114,tblManoeuvre[],2,FALSE)&amp;" "&amp;VLOOKUP(F114,tblManoeuvre[],3,FALSE),"")</f>
        <v/>
      </c>
      <c r="H114" s="67" t="str">
        <f>IFERROR(IF(VLOOKUP(F114,tblManoeuvre[],8,FALSE)=0,"None",VLOOKUP(F114,tblManoeuvre[],8,FALSE)),"None")</f>
        <v>None</v>
      </c>
      <c r="I114" s="67"/>
      <c r="L114" s="4"/>
      <c r="M114" s="4"/>
      <c r="N114" s="4"/>
      <c r="O114" s="61">
        <f t="shared" si="16"/>
        <v>0</v>
      </c>
      <c r="P114" s="60">
        <f t="shared" si="17"/>
        <v>0</v>
      </c>
      <c r="Q114" s="61">
        <v>1</v>
      </c>
      <c r="R114" s="61">
        <v>1</v>
      </c>
      <c r="Y114" s="61" t="s">
        <v>1474</v>
      </c>
      <c r="Z114" s="61" t="str">
        <f t="shared" si="18"/>
        <v/>
      </c>
      <c r="AA114" s="60" t="str">
        <f t="shared" si="19"/>
        <v/>
      </c>
    </row>
    <row r="115" spans="1:27">
      <c r="A115" s="1" t="s">
        <v>114</v>
      </c>
      <c r="B115" t="str">
        <f t="shared" ref="B115:B144" si="20">IF(AD2="","¬",AD2)</f>
        <v>Anointed ●●</v>
      </c>
      <c r="D115" s="19"/>
      <c r="E115" s="15" t="s">
        <v>1461</v>
      </c>
      <c r="F115" s="3"/>
      <c r="G115" s="60" t="str">
        <f>IFERROR(VLOOKUP(F115,tblManoeuvre[],2,FALSE)&amp;" "&amp;VLOOKUP(F115,tblManoeuvre[],3,FALSE),"")</f>
        <v/>
      </c>
      <c r="H115" s="67" t="str">
        <f>IFERROR(IF(VLOOKUP(F115,tblManoeuvre[],8,FALSE)=0,"None",VLOOKUP(F115,tblManoeuvre[],8,FALSE)),"None")</f>
        <v>None</v>
      </c>
      <c r="I115" s="67"/>
      <c r="L115" s="4"/>
      <c r="M115" s="4"/>
      <c r="N115" s="4"/>
      <c r="O115" s="61">
        <f t="shared" si="16"/>
        <v>0</v>
      </c>
      <c r="P115" s="60">
        <f t="shared" si="17"/>
        <v>0</v>
      </c>
      <c r="Q115" s="61">
        <v>1</v>
      </c>
      <c r="R115" s="61">
        <v>1</v>
      </c>
      <c r="Y115" s="61" t="s">
        <v>1474</v>
      </c>
      <c r="Z115" s="61" t="str">
        <f t="shared" si="18"/>
        <v/>
      </c>
      <c r="AA115" s="60" t="str">
        <f t="shared" si="19"/>
        <v/>
      </c>
    </row>
    <row r="116" spans="1:27">
      <c r="A116" s="1" t="s">
        <v>115</v>
      </c>
      <c r="B116" t="str">
        <f t="shared" si="20"/>
        <v>Defensive Combat (Weaponry) ●</v>
      </c>
      <c r="D116" s="19"/>
      <c r="E116" s="15" t="s">
        <v>1462</v>
      </c>
      <c r="F116" s="3"/>
      <c r="G116" s="60" t="str">
        <f>IFERROR(VLOOKUP(F116,tblManoeuvre[],2,FALSE)&amp;" "&amp;VLOOKUP(F116,tblManoeuvre[],3,FALSE),"")</f>
        <v/>
      </c>
      <c r="H116" s="67" t="str">
        <f>IFERROR(IF(VLOOKUP(F116,tblManoeuvre[],8,FALSE)=0,"None",VLOOKUP(F116,tblManoeuvre[],8,FALSE)),"None")</f>
        <v>None</v>
      </c>
      <c r="I116" s="67"/>
      <c r="L116" s="4"/>
      <c r="M116" s="4"/>
      <c r="N116" s="4"/>
      <c r="O116" s="61">
        <f t="shared" si="16"/>
        <v>0</v>
      </c>
      <c r="P116" s="60">
        <f t="shared" si="17"/>
        <v>0</v>
      </c>
      <c r="Q116" s="61">
        <v>1</v>
      </c>
      <c r="R116" s="61">
        <v>1</v>
      </c>
      <c r="Y116" s="61" t="s">
        <v>1474</v>
      </c>
      <c r="Z116" s="61" t="str">
        <f t="shared" si="18"/>
        <v/>
      </c>
      <c r="AA116" s="60" t="str">
        <f t="shared" si="19"/>
        <v/>
      </c>
    </row>
    <row r="117" spans="1:27">
      <c r="A117" s="1" t="s">
        <v>116</v>
      </c>
      <c r="B117" t="str">
        <f t="shared" si="20"/>
        <v>Flock ●●</v>
      </c>
      <c r="D117" s="19"/>
      <c r="E117" s="15" t="s">
        <v>1463</v>
      </c>
      <c r="F117" s="3"/>
      <c r="G117" s="60" t="str">
        <f>IFERROR(VLOOKUP(F117,tblManoeuvre[],2,FALSE)&amp;" "&amp;VLOOKUP(F117,tblManoeuvre[],3,FALSE),"")</f>
        <v/>
      </c>
      <c r="H117" s="67" t="str">
        <f>IFERROR(IF(VLOOKUP(F117,tblManoeuvre[],8,FALSE)=0,"None",VLOOKUP(F117,tblManoeuvre[],8,FALSE)),"None")</f>
        <v>None</v>
      </c>
      <c r="I117" s="67"/>
      <c r="L117" s="4"/>
      <c r="M117" s="4"/>
      <c r="N117" s="4"/>
      <c r="O117" s="61">
        <f t="shared" si="16"/>
        <v>0</v>
      </c>
      <c r="P117" s="60">
        <f t="shared" si="17"/>
        <v>0</v>
      </c>
      <c r="Q117" s="61">
        <v>1</v>
      </c>
      <c r="R117" s="61">
        <v>1</v>
      </c>
      <c r="Y117" s="61" t="s">
        <v>1474</v>
      </c>
      <c r="Z117" s="61" t="str">
        <f t="shared" si="18"/>
        <v/>
      </c>
      <c r="AA117" s="60" t="str">
        <f t="shared" si="19"/>
        <v/>
      </c>
    </row>
    <row r="118" spans="1:27">
      <c r="A118" s="1" t="s">
        <v>117</v>
      </c>
      <c r="B118" t="str">
        <f t="shared" si="20"/>
        <v>Quick Draw (Swords) ●</v>
      </c>
      <c r="D118" s="19"/>
      <c r="E118" s="15" t="s">
        <v>1464</v>
      </c>
      <c r="F118" s="3"/>
      <c r="G118" s="60" t="str">
        <f>IFERROR(VLOOKUP(F118,tblManoeuvre[],2,FALSE)&amp;" "&amp;VLOOKUP(F118,tblManoeuvre[],3,FALSE),"")</f>
        <v/>
      </c>
      <c r="H118" s="67" t="str">
        <f>IFERROR(IF(VLOOKUP(F118,tblManoeuvre[],8,FALSE)=0,"None",VLOOKUP(F118,tblManoeuvre[],8,FALSE)),"None")</f>
        <v>None</v>
      </c>
      <c r="I118" s="67"/>
      <c r="L118" s="4"/>
      <c r="M118" s="4"/>
      <c r="N118" s="4"/>
      <c r="O118" s="61">
        <f t="shared" si="16"/>
        <v>0</v>
      </c>
      <c r="P118" s="60">
        <f t="shared" si="17"/>
        <v>0</v>
      </c>
      <c r="Q118" s="61">
        <v>1</v>
      </c>
      <c r="R118" s="61">
        <v>1</v>
      </c>
      <c r="Y118" s="61" t="s">
        <v>1474</v>
      </c>
      <c r="Z118" s="61" t="str">
        <f t="shared" si="18"/>
        <v/>
      </c>
      <c r="AA118" s="60" t="str">
        <f t="shared" si="19"/>
        <v/>
      </c>
    </row>
    <row r="119" spans="1:27">
      <c r="A119" s="1" t="s">
        <v>118</v>
      </c>
      <c r="B119" t="str">
        <f t="shared" si="20"/>
        <v>Stigmata ●</v>
      </c>
      <c r="D119" s="19"/>
      <c r="E119" s="15" t="s">
        <v>1466</v>
      </c>
      <c r="F119" s="3"/>
      <c r="G119" s="60" t="str">
        <f>IFERROR(VLOOKUP(F119,tblManoeuvre[],2,FALSE)&amp;" "&amp;VLOOKUP(F119,tblManoeuvre[],3,FALSE),"")</f>
        <v/>
      </c>
      <c r="H119" s="67" t="str">
        <f>IFERROR(IF(VLOOKUP(F119,tblManoeuvre[],8,FALSE)=0,"None",VLOOKUP(F119,tblManoeuvre[],8,FALSE)),"None")</f>
        <v>None</v>
      </c>
      <c r="I119" s="67"/>
      <c r="L119" s="4"/>
      <c r="M119" s="4"/>
      <c r="N119" s="4"/>
      <c r="O119" s="61">
        <f t="shared" si="16"/>
        <v>0</v>
      </c>
      <c r="P119" s="60">
        <f t="shared" si="17"/>
        <v>0</v>
      </c>
      <c r="Q119" s="61">
        <v>1</v>
      </c>
      <c r="R119" s="61">
        <v>1</v>
      </c>
      <c r="Y119" s="61" t="s">
        <v>1474</v>
      </c>
      <c r="Z119" s="61" t="str">
        <f t="shared" si="18"/>
        <v/>
      </c>
      <c r="AA119" s="60" t="str">
        <f t="shared" si="19"/>
        <v/>
      </c>
    </row>
    <row r="120" spans="1:27">
      <c r="A120" s="1" t="s">
        <v>119</v>
      </c>
      <c r="B120" t="str">
        <f t="shared" si="20"/>
        <v>Kindred Dueling ● | Hamstring</v>
      </c>
      <c r="D120" s="19"/>
      <c r="E120" s="15" t="s">
        <v>1468</v>
      </c>
      <c r="F120" s="3"/>
      <c r="G120" s="60" t="str">
        <f>IFERROR(VLOOKUP(F120,tblManoeuvre[],2,FALSE)&amp;" "&amp;VLOOKUP(F120,tblManoeuvre[],3,FALSE),"")</f>
        <v/>
      </c>
      <c r="H120" s="67" t="str">
        <f>IFERROR(IF(VLOOKUP(F120,tblManoeuvre[],8,FALSE)=0,"None",VLOOKUP(F120,tblManoeuvre[],8,FALSE)),"None")</f>
        <v>None</v>
      </c>
      <c r="I120" s="67"/>
      <c r="L120" s="4"/>
      <c r="M120" s="4"/>
      <c r="N120" s="4"/>
      <c r="O120" s="61">
        <f t="shared" si="16"/>
        <v>0</v>
      </c>
      <c r="P120" s="60">
        <f t="shared" si="17"/>
        <v>0</v>
      </c>
      <c r="Q120" s="61">
        <v>1</v>
      </c>
      <c r="R120" s="61">
        <v>1</v>
      </c>
      <c r="Y120" s="61" t="s">
        <v>1474</v>
      </c>
      <c r="Z120" s="61" t="str">
        <f t="shared" si="18"/>
        <v/>
      </c>
      <c r="AA120" s="60" t="str">
        <f t="shared" si="19"/>
        <v/>
      </c>
    </row>
    <row r="121" spans="1:27">
      <c r="A121" s="1" t="s">
        <v>120</v>
      </c>
      <c r="B121" t="str">
        <f t="shared" si="20"/>
        <v>Kindred Dueling ●● | Taunt</v>
      </c>
      <c r="Y121" s="61" t="s">
        <v>1474</v>
      </c>
      <c r="Z121" s="61" t="str">
        <f t="shared" si="18"/>
        <v/>
      </c>
      <c r="AA121" s="60" t="str">
        <f t="shared" si="19"/>
        <v/>
      </c>
    </row>
    <row r="122" spans="1:27" ht="15.75" thickBot="1">
      <c r="A122" s="1" t="s">
        <v>121</v>
      </c>
      <c r="B122" t="str">
        <f t="shared" si="20"/>
        <v>Kindred Dueling ●●● | Carving</v>
      </c>
      <c r="D122" s="14" t="s">
        <v>1475</v>
      </c>
      <c r="E122" s="14"/>
      <c r="F122" s="14"/>
      <c r="G122" s="14"/>
      <c r="H122" s="14"/>
      <c r="I122" s="14"/>
    </row>
    <row r="123" spans="1:27">
      <c r="A123" s="1" t="s">
        <v>122</v>
      </c>
      <c r="B123" t="str">
        <f t="shared" si="20"/>
        <v>Kindred Dueling ●●●● | Pincushion</v>
      </c>
      <c r="D123" s="16" t="s">
        <v>927</v>
      </c>
      <c r="E123" s="17"/>
      <c r="F123" s="17"/>
      <c r="G123" s="17"/>
      <c r="H123" s="17"/>
      <c r="I123" s="17"/>
      <c r="Y123" s="15" t="s">
        <v>1476</v>
      </c>
      <c r="Z123" s="19"/>
      <c r="AA123" s="61" t="str">
        <f t="shared" ref="AA123:AA132" si="21">_xlfn.LET(_xlpm.name,VLOOKUP(Y123,$E$2:$F$362,2,FALSE),_xlpm.paid,_xlfn.IFNA(VLOOKUP(_xlpm.name,$F$121:$Q$215,11,FALSE)&gt;=VLOOKUP(_xlpm.name,$F$121:$Q$215,12,FALSE),FALSE),IF(AND(_xlpm.name&lt;&gt;"",_xlpm.paid),_xlpm.name,""))</f>
        <v/>
      </c>
    </row>
    <row r="124" spans="1:27">
      <c r="A124" s="1" t="s">
        <v>123</v>
      </c>
      <c r="B124" t="str">
        <f t="shared" si="20"/>
        <v>Kindred Dueling ●●●●● | Spray</v>
      </c>
      <c r="D124" s="19"/>
      <c r="E124" s="15" t="s">
        <v>83</v>
      </c>
      <c r="F124" s="19"/>
      <c r="G124" s="19"/>
      <c r="H124" s="19"/>
      <c r="I124" s="19"/>
      <c r="L124" s="4">
        <v>2</v>
      </c>
      <c r="M124" s="61">
        <f>IFERROR(VLOOKUP(G13,tblEffectiveStatus[#Data],2,FALSE),0)</f>
        <v>0</v>
      </c>
      <c r="P124" s="60">
        <f>MIN(L124+M124,R124)</f>
        <v>2</v>
      </c>
      <c r="R124" s="61">
        <v>10</v>
      </c>
      <c r="Y124" s="15" t="s">
        <v>1477</v>
      </c>
      <c r="Z124" s="19"/>
      <c r="AA124" s="61" t="str">
        <f t="shared" si="21"/>
        <v/>
      </c>
    </row>
    <row r="125" spans="1:27">
      <c r="A125" s="1" t="s">
        <v>124</v>
      </c>
      <c r="B125" t="str">
        <f t="shared" si="20"/>
        <v>¬</v>
      </c>
      <c r="D125" s="19"/>
      <c r="E125" s="15" t="str">
        <f>IF(F7="","Clan Status",F7&amp;" Status")</f>
        <v>Ventrue Status</v>
      </c>
      <c r="F125" s="19"/>
      <c r="G125" s="19"/>
      <c r="H125" s="19"/>
      <c r="I125" s="19"/>
      <c r="L125" s="4">
        <v>2</v>
      </c>
      <c r="P125" s="60">
        <f>IF(L125="",0,MIN(L125,R125))</f>
        <v>2</v>
      </c>
      <c r="R125" s="61">
        <v>5</v>
      </c>
      <c r="Y125" s="15" t="s">
        <v>1478</v>
      </c>
      <c r="Z125" s="19"/>
      <c r="AA125" s="61" t="str">
        <f t="shared" si="21"/>
        <v/>
      </c>
    </row>
    <row r="126" spans="1:27">
      <c r="A126" s="1" t="s">
        <v>125</v>
      </c>
      <c r="B126" t="str">
        <f t="shared" si="20"/>
        <v>¬</v>
      </c>
      <c r="D126" s="19"/>
      <c r="E126" s="15" t="str">
        <f>IF(F9="","",F9&amp;" Status")</f>
        <v>Lancea et Sanctum Status</v>
      </c>
      <c r="F126" s="19" t="str">
        <f>IF(F9="","",VLOOKUP(F9,tblCovenantShortName[#Data],2,FALSE))</f>
        <v>Lance</v>
      </c>
      <c r="G126" s="19"/>
      <c r="H126" s="19"/>
      <c r="I126" s="19"/>
      <c r="L126" s="4">
        <v>1</v>
      </c>
      <c r="P126" s="60">
        <f>L126</f>
        <v>1</v>
      </c>
      <c r="R126" s="61">
        <f>5-SUM(L127:L129)</f>
        <v>5</v>
      </c>
      <c r="Y126" s="15" t="s">
        <v>1479</v>
      </c>
      <c r="Z126" s="19"/>
      <c r="AA126" s="61" t="str">
        <f t="shared" si="21"/>
        <v/>
      </c>
    </row>
    <row r="127" spans="1:27">
      <c r="A127" s="1" t="s">
        <v>126</v>
      </c>
      <c r="B127" t="str">
        <f t="shared" si="20"/>
        <v>¬</v>
      </c>
      <c r="D127" s="19"/>
      <c r="E127" s="15" t="str" cm="1">
        <f t="array" ref="E127">IF(F9="","",IFERROR(INDEX(Lists!$F$2:$F$5,SMALL(IF(Lists!$F$2:$F$5&lt;&gt;$F$9,ROW(Lists!$F$2:$F$5)-ROW(Lists!$F$2)+1),1))&amp;" Status",""))</f>
        <v>Carthian Movement Status</v>
      </c>
      <c r="F127" s="19" t="str" cm="1">
        <f t="array" ref="F127">IF(F9="","",IFERROR(VLOOKUP(INDEX(Lists!$F$2:$F$5,SMALL(IF(Lists!$F$2:$F$5&lt;&gt;$F$9,ROW(Lists!$F$2:$F$5)-ROW(Lists!$F$2)+1),1)),tblCovenantShortName[],2,FALSE),""))</f>
        <v>Carthian</v>
      </c>
      <c r="G127" s="19"/>
      <c r="H127" s="19"/>
      <c r="I127" s="19"/>
      <c r="L127" s="4"/>
      <c r="P127" s="60">
        <f>L127</f>
        <v>0</v>
      </c>
      <c r="R127" s="61">
        <f>MAX(0,MIN(P126-1,5-L126-L128-L129))</f>
        <v>0</v>
      </c>
      <c r="Y127" s="15" t="s">
        <v>1480</v>
      </c>
      <c r="Z127" s="19"/>
      <c r="AA127" s="61" t="str">
        <f t="shared" si="21"/>
        <v/>
      </c>
    </row>
    <row r="128" spans="1:27">
      <c r="A128" s="1" t="s">
        <v>127</v>
      </c>
      <c r="B128" t="str">
        <f t="shared" si="20"/>
        <v>¬</v>
      </c>
      <c r="D128" s="19"/>
      <c r="E128" s="15" t="str" cm="1">
        <f t="array" ref="E128">IF(F9="","",IFERROR(INDEX(Lists!$F$2:$F$5,SMALL(IF(Lists!$F$2:$F$5&lt;&gt;$F$9,ROW(Lists!$F$2:$F$5)-ROW(Lists!$F$2)+1),2))&amp;" Status",""))</f>
        <v>Circle of the Crone Status</v>
      </c>
      <c r="F128" s="19" t="str" cm="1">
        <f t="array" ref="F128">IF(F9="","",IFERROR(VLOOKUP(INDEX(Lists!$F$2:$F$5,SMALL(IF(Lists!$F$2:$F$5&lt;&gt;$F$9,ROW(Lists!$F$2:$F$5)-ROW(Lists!$F$2)+1),2)),tblCovenantShortName[],2,FALSE),""))</f>
        <v>Crone</v>
      </c>
      <c r="G128" s="19"/>
      <c r="H128" s="19"/>
      <c r="I128" s="19"/>
      <c r="L128" s="4"/>
      <c r="P128" s="60">
        <f>L128</f>
        <v>0</v>
      </c>
      <c r="R128" s="61">
        <f>MAX(0,MIN(P126-1,5-L126-L127-L129))</f>
        <v>0</v>
      </c>
      <c r="Y128" s="15" t="s">
        <v>1481</v>
      </c>
      <c r="Z128" s="19"/>
      <c r="AA128" s="61" t="str">
        <f t="shared" si="21"/>
        <v/>
      </c>
    </row>
    <row r="129" spans="1:32">
      <c r="A129" s="1" t="s">
        <v>128</v>
      </c>
      <c r="B129" t="str">
        <f t="shared" si="20"/>
        <v>¬</v>
      </c>
      <c r="D129" s="19"/>
      <c r="E129" s="15" t="str" cm="1">
        <f t="array" ref="E129">IF(F9="","",IFERROR(INDEX(Lists!$F$2:$F$5,SMALL(IF(Lists!$F$2:$F$5&lt;&gt;$F$9,ROW(Lists!$F$2:$F$5)-ROW(Lists!$F$2)+1),3))&amp;" Status",""))</f>
        <v>Invictus Status</v>
      </c>
      <c r="F129" s="19" t="str" cm="1">
        <f t="array" ref="F129">IF(F9="","",IFERROR(VLOOKUP(INDEX(Lists!$F$2:$F$5,SMALL(IF(Lists!$F$2:$F$5&lt;&gt;$F$9,ROW(Lists!$F$2:$F$5)-ROW(Lists!$F$2)+1),3)),tblCovenantShortName[],2,FALSE),""))</f>
        <v>Invictus</v>
      </c>
      <c r="G129" s="19"/>
      <c r="H129" s="19"/>
      <c r="I129" s="19"/>
      <c r="L129" s="4"/>
      <c r="P129" s="60">
        <f>L129</f>
        <v>0</v>
      </c>
      <c r="R129" s="61">
        <f>MAX(0,MIN(P126-1,5-L126-L127-L128))</f>
        <v>0</v>
      </c>
      <c r="Y129" s="15" t="s">
        <v>1482</v>
      </c>
      <c r="Z129" s="19"/>
      <c r="AA129" s="61" t="str">
        <f t="shared" si="21"/>
        <v/>
      </c>
    </row>
    <row r="130" spans="1:32">
      <c r="A130" s="1" t="s">
        <v>129</v>
      </c>
      <c r="B130" t="str">
        <f t="shared" si="20"/>
        <v>¬</v>
      </c>
      <c r="Y130" s="15" t="s">
        <v>1483</v>
      </c>
      <c r="Z130" s="19"/>
      <c r="AA130" s="61" t="str">
        <f t="shared" si="21"/>
        <v/>
      </c>
    </row>
    <row r="131" spans="1:32">
      <c r="A131" s="1" t="s">
        <v>130</v>
      </c>
      <c r="B131" t="str">
        <f t="shared" si="20"/>
        <v>¬</v>
      </c>
      <c r="D131" s="16" t="s">
        <v>1475</v>
      </c>
      <c r="E131" s="17"/>
      <c r="F131" s="16" t="s">
        <v>1446</v>
      </c>
      <c r="G131" s="17"/>
      <c r="H131" s="17"/>
      <c r="I131" s="17"/>
      <c r="Y131" s="15" t="s">
        <v>1484</v>
      </c>
      <c r="Z131" s="19"/>
      <c r="AA131" s="61" t="str">
        <f t="shared" si="21"/>
        <v/>
      </c>
    </row>
    <row r="132" spans="1:32">
      <c r="A132" s="1" t="s">
        <v>131</v>
      </c>
      <c r="B132" t="str">
        <f t="shared" si="20"/>
        <v>¬</v>
      </c>
      <c r="D132" s="19"/>
      <c r="E132" s="15" t="s">
        <v>94</v>
      </c>
      <c r="F132" s="3" t="s">
        <v>1711</v>
      </c>
      <c r="G132" s="19"/>
      <c r="H132" s="19"/>
      <c r="I132" s="19"/>
      <c r="L132" s="4">
        <v>1</v>
      </c>
      <c r="M132" s="4">
        <v>4</v>
      </c>
      <c r="N132" s="4"/>
      <c r="O132" s="61">
        <f>N132</f>
        <v>0</v>
      </c>
      <c r="P132" s="60">
        <f>MIN(SUM(L132,M132,O132),R132)</f>
        <v>5</v>
      </c>
      <c r="Q132" s="61">
        <f>_xlfn.IFNA(VLOOKUP($E132,tblDomain[],3,FALSE),"")</f>
        <v>1</v>
      </c>
      <c r="R132" s="61">
        <f>_xlfn.IFNA(VLOOKUP($E132,tblDomain[],4,FALSE),"")</f>
        <v>5</v>
      </c>
      <c r="Y132" s="15" t="s">
        <v>1485</v>
      </c>
      <c r="Z132" s="19"/>
      <c r="AA132" s="61" t="str">
        <f t="shared" si="21"/>
        <v/>
      </c>
    </row>
    <row r="133" spans="1:32">
      <c r="A133" s="1" t="s">
        <v>132</v>
      </c>
      <c r="B133" t="str">
        <f t="shared" si="20"/>
        <v>¬</v>
      </c>
      <c r="D133" s="19"/>
      <c r="E133" s="15" t="s">
        <v>95</v>
      </c>
      <c r="F133" s="3" t="s">
        <v>1711</v>
      </c>
      <c r="G133" s="19"/>
      <c r="H133" s="19"/>
      <c r="I133" s="19"/>
      <c r="L133" s="4">
        <v>1</v>
      </c>
      <c r="M133" s="4">
        <v>2</v>
      </c>
      <c r="N133" s="4"/>
      <c r="O133" s="61">
        <f>N133</f>
        <v>0</v>
      </c>
      <c r="P133" s="60">
        <f>MIN(SUM(L133,M133,O133),R133)</f>
        <v>3</v>
      </c>
      <c r="Q133" s="61">
        <f>_xlfn.IFNA(VLOOKUP($E133,tblDomain[],3,FALSE),"")</f>
        <v>1</v>
      </c>
      <c r="R133" s="61">
        <f>_xlfn.IFNA(VLOOKUP($E133,tblDomain[],4,FALSE),"")</f>
        <v>5</v>
      </c>
    </row>
    <row r="134" spans="1:32">
      <c r="A134" s="1" t="s">
        <v>133</v>
      </c>
      <c r="B134" t="str">
        <f t="shared" si="20"/>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2">_xlfn.LET(_xlpm.name,VLOOKUP(Y134,$E$2:$F$362,2,FALSE),_xlpm.note,VLOOKUP(Y134,$E$2:$G$362,3,FALSE),_xlpm.row,MATCH(Y134,$E$138:$E$157,0),_xlpm.dots,INDEX($P$138:$P$157,_xlpm.row),_xlpm.max,INDEX($Q$138:$Q$157,_xlpm.row),_xlpm.paid,_xlfn.IFNA(_xlpm.dots&gt;=_xlpm.max,FALSE),IF(AND(_xlpm.name&lt;&gt;"",_xlpm.paid),IF(_xlpm.note="",_xlpm.name,_xlpm.name&amp;" ("&amp;_xlpm.note&amp;")"),""))</f>
        <v>Retainer</v>
      </c>
      <c r="AC134" s="60" t="str" cm="1">
        <f t="array" ref="AC134:AC135">_xlfn.LET(_xlpm.raw,IFERROR(_xlfn.VSTACK(IFERROR(_xlfn._xlws.SORT(_xlfn._xlws.FILTER(AA134:AA211,AA134:AA211&lt;&gt;"")),""),IFERROR(_xlfn._xlws.SORT(_xlfn._xlws.FILTER(AA213:AA222,AA213:AA222&lt;&gt;"")),"")),""),_xlpm.sorted,IFERROR(_xlfn._xlws.FILTER(_xlpm.raw,_xlpm.raw&lt;&gt;""),""),IFERROR(LEFT(_xlpm.sorted,FIND(" (",_xlpm.sorted)-1),_xlpm.sorted))</f>
        <v>Allies</v>
      </c>
      <c r="AD134" s="20" t="str" cm="1">
        <f t="array" ref="AD134:AD135">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Church</v>
      </c>
      <c r="AE134" s="20">
        <f t="shared" ref="AE134:AE153" si="23">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1</v>
      </c>
      <c r="AF134" s="61" cm="1">
        <f t="array" ref="AF134">IF(AC134="","",SUMPRODUCT(($F$138:$F$157=AC134)*($G$138:$G$157=IF(AD134="","",AD134))*$P$138:$P$157))</f>
        <v>3</v>
      </c>
    </row>
    <row r="135" spans="1:32">
      <c r="A135" s="1" t="s">
        <v>134</v>
      </c>
      <c r="B135" t="str">
        <f t="shared" si="20"/>
        <v>¬</v>
      </c>
      <c r="D135" s="61" t="s">
        <v>1680</v>
      </c>
      <c r="E135" s="15" t="s">
        <v>97</v>
      </c>
      <c r="F135" s="19"/>
      <c r="G135" s="19"/>
      <c r="H135" s="19"/>
      <c r="I135" s="19"/>
      <c r="L135" s="4"/>
      <c r="M135" s="4">
        <v>2</v>
      </c>
      <c r="N135" s="4">
        <v>2</v>
      </c>
      <c r="O135" s="61">
        <f>N135</f>
        <v>2</v>
      </c>
      <c r="P135" s="60">
        <f>MIN(SUM(L135,M135,O135),R135)</f>
        <v>4</v>
      </c>
      <c r="Q135" s="61">
        <f>_xlfn.IFNA(VLOOKUP($E135,tblDomain[],3,FALSE),"")</f>
        <v>1</v>
      </c>
      <c r="R135" s="61">
        <f>_xlfn.IFNA(VLOOKUP($E135,tblDomain[],4,FALSE),"")</f>
        <v>5</v>
      </c>
      <c r="Y135" s="15" t="s">
        <v>177</v>
      </c>
      <c r="Z135" s="19"/>
      <c r="AA135" s="61" t="str">
        <f t="shared" si="22"/>
        <v>Allies (Church)</v>
      </c>
      <c r="AC135" s="60" t="str">
        <v>Retainer</v>
      </c>
      <c r="AD135" s="20" t="str">
        <v/>
      </c>
      <c r="AE135" s="20">
        <f t="shared" si="23"/>
        <v>0</v>
      </c>
      <c r="AF135" s="61" cm="1">
        <f t="array" ref="AF135">IF(AC135="","",SUMPRODUCT(($F$138:$F$157=AC135)*($G$138:$G$157=IF(AD135="","",AD135))*$P$138:$P$157))</f>
        <v>2</v>
      </c>
    </row>
    <row r="136" spans="1:32">
      <c r="A136" s="1" t="s">
        <v>135</v>
      </c>
      <c r="B136" t="str">
        <f t="shared" si="20"/>
        <v>¬</v>
      </c>
      <c r="Y136" s="15" t="s">
        <v>178</v>
      </c>
      <c r="Z136" s="19"/>
      <c r="AA136" s="61" t="str">
        <f t="shared" si="22"/>
        <v/>
      </c>
      <c r="AC136" s="60"/>
      <c r="AD136" s="20"/>
      <c r="AE136" s="20" t="str">
        <f t="shared" si="23"/>
        <v/>
      </c>
      <c r="AF136" s="61" t="str" cm="1">
        <f t="array" ref="AF136">IF(AC136="","",SUMPRODUCT(($F$138:$F$157=AC136)*($G$138:$G$157=IF(AD136="","",AD136))*$P$138:$P$157))</f>
        <v/>
      </c>
    </row>
    <row r="137" spans="1:32">
      <c r="A137" s="1" t="s">
        <v>136</v>
      </c>
      <c r="B137" t="str">
        <f t="shared" si="20"/>
        <v>¬</v>
      </c>
      <c r="D137" s="16" t="s">
        <v>174</v>
      </c>
      <c r="E137" s="17"/>
      <c r="F137" s="17"/>
      <c r="G137" s="17"/>
      <c r="H137" s="61">
        <f>L225</f>
        <v>1</v>
      </c>
      <c r="I137" s="61">
        <f>SUM(AE134:AE155)+SUM(P125:P129)</f>
        <v>4</v>
      </c>
      <c r="Y137" s="15" t="s">
        <v>179</v>
      </c>
      <c r="Z137" s="19"/>
      <c r="AA137" s="61" t="str">
        <f t="shared" si="22"/>
        <v/>
      </c>
      <c r="AC137" s="60"/>
      <c r="AD137" s="20"/>
      <c r="AE137" s="20" t="str">
        <f t="shared" si="23"/>
        <v/>
      </c>
      <c r="AF137" s="61" t="str" cm="1">
        <f t="array" ref="AF137">IF(AC137="","",SUMPRODUCT(($F$138:$F$157=AC137)*($G$138:$G$157=IF(AD137="","",AD137))*$P$138:$P$157))</f>
        <v/>
      </c>
    </row>
    <row r="138" spans="1:32">
      <c r="A138" s="1" t="s">
        <v>137</v>
      </c>
      <c r="B138" t="str">
        <f t="shared" si="20"/>
        <v>¬</v>
      </c>
      <c r="D138" s="19"/>
      <c r="E138" s="15" t="s">
        <v>176</v>
      </c>
      <c r="F138" s="3" t="s">
        <v>468</v>
      </c>
      <c r="G138" s="3"/>
      <c r="H138" s="67" t="str">
        <f>IFERROR(IF(VLOOKUP(F138,tblManoeuvre[],8,FALSE)=0,"None",VLOOKUP(F138,tblManoeuvre[],8,FALSE)),"None")</f>
        <v>None</v>
      </c>
      <c r="I138" s="67"/>
      <c r="L138" s="4">
        <v>2</v>
      </c>
      <c r="M138" s="4"/>
      <c r="N138" s="4"/>
      <c r="O138" s="61">
        <f t="shared" ref="O138:O157" si="24">N138</f>
        <v>0</v>
      </c>
      <c r="P138" s="60">
        <f t="shared" ref="P138:P157" si="25">MIN(SUM(L138,M138,O138),R138)</f>
        <v>2</v>
      </c>
      <c r="Q138" s="61">
        <f>_xlfn.IFNA(VLOOKUP($F138,tblInfluence[],3,FALSE),"")</f>
        <v>1</v>
      </c>
      <c r="R138" s="61">
        <f>_xlfn.IFNA(VLOOKUP($F138,tblInfluence[],4,FALSE),"")</f>
        <v>5</v>
      </c>
      <c r="Y138" s="15" t="s">
        <v>180</v>
      </c>
      <c r="Z138" s="19"/>
      <c r="AA138" s="61" t="str">
        <f t="shared" si="22"/>
        <v/>
      </c>
      <c r="AC138" s="60"/>
      <c r="AD138" s="20"/>
      <c r="AE138" s="20" t="str">
        <f t="shared" si="23"/>
        <v/>
      </c>
      <c r="AF138" s="61" t="str" cm="1">
        <f t="array" ref="AF138">IF(AC138="","",SUMPRODUCT(($F$138:$F$157=AC138)*($G$138:$G$157=IF(AD138="","",AD138))*$P$138:$P$157))</f>
        <v/>
      </c>
    </row>
    <row r="139" spans="1:32">
      <c r="A139" s="1" t="s">
        <v>138</v>
      </c>
      <c r="B139" t="str">
        <f t="shared" si="20"/>
        <v>¬</v>
      </c>
      <c r="D139" s="19"/>
      <c r="E139" s="15" t="s">
        <v>177</v>
      </c>
      <c r="F139" s="3" t="s">
        <v>412</v>
      </c>
      <c r="G139" s="3" t="s">
        <v>973</v>
      </c>
      <c r="H139" s="67" t="str">
        <f>IFERROR(IF(VLOOKUP(F139,tblManoeuvre[],8,FALSE)=0,"None",VLOOKUP(F139,tblManoeuvre[],8,FALSE)),"None")</f>
        <v>None</v>
      </c>
      <c r="I139" s="67"/>
      <c r="L139" s="4"/>
      <c r="M139" s="4"/>
      <c r="N139" s="4">
        <v>3</v>
      </c>
      <c r="O139" s="61">
        <f t="shared" si="24"/>
        <v>3</v>
      </c>
      <c r="P139" s="60">
        <f t="shared" si="25"/>
        <v>3</v>
      </c>
      <c r="Q139" s="61">
        <f>_xlfn.IFNA(VLOOKUP($F139,tblInfluence[],3,FALSE),"")</f>
        <v>1</v>
      </c>
      <c r="R139" s="61">
        <f>_xlfn.IFNA(VLOOKUP($F139,tblInfluence[],4,FALSE),"")</f>
        <v>5</v>
      </c>
      <c r="Y139" s="15" t="s">
        <v>181</v>
      </c>
      <c r="Z139" s="19"/>
      <c r="AA139" s="61" t="str">
        <f t="shared" si="22"/>
        <v/>
      </c>
      <c r="AC139" s="60"/>
      <c r="AD139" s="20"/>
      <c r="AE139" s="20" t="str">
        <f t="shared" si="23"/>
        <v/>
      </c>
      <c r="AF139" s="61" t="str" cm="1">
        <f t="array" ref="AF139">IF(AC139="","",SUMPRODUCT(($F$138:$F$157=AC139)*($G$138:$G$157=IF(AD139="","",AD139))*$P$138:$P$157))</f>
        <v/>
      </c>
    </row>
    <row r="140" spans="1:32">
      <c r="A140" s="1" t="s">
        <v>139</v>
      </c>
      <c r="B140" t="str">
        <f t="shared" si="20"/>
        <v>¬</v>
      </c>
      <c r="D140" s="19"/>
      <c r="E140" s="15" t="s">
        <v>178</v>
      </c>
      <c r="F140" s="3"/>
      <c r="G140" s="3"/>
      <c r="H140" s="67" t="str">
        <f>IFERROR(IF(VLOOKUP(F140,tblManoeuvre[],8,FALSE)=0,"None",VLOOKUP(F140,tblManoeuvre[],8,FALSE)),"None")</f>
        <v>None</v>
      </c>
      <c r="I140" s="67"/>
      <c r="L140" s="4"/>
      <c r="M140" s="4"/>
      <c r="N140" s="4"/>
      <c r="O140" s="61">
        <f t="shared" si="24"/>
        <v>0</v>
      </c>
      <c r="P140" s="60">
        <f t="shared" si="25"/>
        <v>0</v>
      </c>
      <c r="Q140" s="61" t="str">
        <f>_xlfn.IFNA(VLOOKUP($F140,tblInfluence[],3,FALSE),"")</f>
        <v/>
      </c>
      <c r="R140" s="61" t="str">
        <f>_xlfn.IFNA(VLOOKUP($F140,tblInfluence[],4,FALSE),"")</f>
        <v/>
      </c>
      <c r="Y140" s="15" t="s">
        <v>182</v>
      </c>
      <c r="Z140" s="19"/>
      <c r="AA140" s="61" t="str">
        <f t="shared" si="22"/>
        <v/>
      </c>
      <c r="AC140" s="60"/>
      <c r="AD140" s="20"/>
      <c r="AE140" s="20" t="str">
        <f t="shared" si="23"/>
        <v/>
      </c>
      <c r="AF140" s="61" t="str" cm="1">
        <f t="array" ref="AF140">IF(AC140="","",SUMPRODUCT(($F$138:$F$157=AC140)*($G$138:$G$157=IF(AD140="","",AD140))*$P$138:$P$157))</f>
        <v/>
      </c>
    </row>
    <row r="141" spans="1:32">
      <c r="A141" s="1" t="s">
        <v>140</v>
      </c>
      <c r="B141" t="str">
        <f t="shared" si="20"/>
        <v>¬</v>
      </c>
      <c r="D141" s="19"/>
      <c r="E141" s="15" t="s">
        <v>179</v>
      </c>
      <c r="F141" s="3"/>
      <c r="G141" s="3"/>
      <c r="H141" s="67" t="str">
        <f>IFERROR(IF(VLOOKUP(F141,tblManoeuvre[],8,FALSE)=0,"None",VLOOKUP(F141,tblManoeuvre[],8,FALSE)),"None")</f>
        <v>None</v>
      </c>
      <c r="I141" s="67"/>
      <c r="L141" s="4"/>
      <c r="M141" s="4"/>
      <c r="N141" s="4"/>
      <c r="O141" s="61">
        <f t="shared" si="24"/>
        <v>0</v>
      </c>
      <c r="P141" s="60">
        <f t="shared" si="25"/>
        <v>0</v>
      </c>
      <c r="Q141" s="61" t="str">
        <f>_xlfn.IFNA(VLOOKUP($F141,tblInfluence[],3,FALSE),"")</f>
        <v/>
      </c>
      <c r="R141" s="61" t="str">
        <f>_xlfn.IFNA(VLOOKUP($F141,tblInfluence[],4,FALSE),"")</f>
        <v/>
      </c>
      <c r="Y141" s="15" t="s">
        <v>183</v>
      </c>
      <c r="Z141" s="19"/>
      <c r="AA141" s="61" t="str">
        <f t="shared" si="22"/>
        <v/>
      </c>
      <c r="AC141" s="60"/>
      <c r="AD141" s="20"/>
      <c r="AE141" s="20" t="str">
        <f t="shared" si="23"/>
        <v/>
      </c>
      <c r="AF141" s="61" t="str" cm="1">
        <f t="array" ref="AF141">IF(AC141="","",SUMPRODUCT(($F$138:$F$157=AC141)*($G$138:$G$157=IF(AD141="","",AD141))*$P$138:$P$157))</f>
        <v/>
      </c>
    </row>
    <row r="142" spans="1:32">
      <c r="A142" s="1" t="s">
        <v>141</v>
      </c>
      <c r="B142" t="str">
        <f t="shared" si="20"/>
        <v>¬</v>
      </c>
      <c r="D142" s="19"/>
      <c r="E142" s="15" t="s">
        <v>180</v>
      </c>
      <c r="F142" s="3"/>
      <c r="G142" s="3"/>
      <c r="H142" s="67" t="str">
        <f>IFERROR(IF(VLOOKUP(F142,tblManoeuvre[],8,FALSE)=0,"None",VLOOKUP(F142,tblManoeuvre[],8,FALSE)),"None")</f>
        <v>None</v>
      </c>
      <c r="I142" s="67"/>
      <c r="L142" s="4"/>
      <c r="M142" s="4"/>
      <c r="N142" s="4"/>
      <c r="O142" s="61">
        <f t="shared" si="24"/>
        <v>0</v>
      </c>
      <c r="P142" s="60">
        <f t="shared" si="25"/>
        <v>0</v>
      </c>
      <c r="Q142" s="61" t="str">
        <f>_xlfn.IFNA(VLOOKUP($F142,tblInfluence[],3,FALSE),"")</f>
        <v/>
      </c>
      <c r="R142" s="61" t="str">
        <f>_xlfn.IFNA(VLOOKUP($F142,tblInfluence[],4,FALSE),"")</f>
        <v/>
      </c>
      <c r="Y142" s="15" t="s">
        <v>184</v>
      </c>
      <c r="Z142" s="19"/>
      <c r="AA142" s="61" t="str">
        <f t="shared" si="22"/>
        <v/>
      </c>
      <c r="AC142" s="60"/>
      <c r="AD142" s="20"/>
      <c r="AE142" s="20" t="str">
        <f t="shared" si="23"/>
        <v/>
      </c>
      <c r="AF142" s="61" t="str" cm="1">
        <f t="array" ref="AF142">IF(AC142="","",SUMPRODUCT(($F$138:$F$157=AC142)*($G$138:$G$157=IF(AD142="","",AD142))*$P$138:$P$157))</f>
        <v/>
      </c>
    </row>
    <row r="143" spans="1:32">
      <c r="A143" s="1" t="s">
        <v>142</v>
      </c>
      <c r="B143" t="str">
        <f t="shared" si="20"/>
        <v>¬</v>
      </c>
      <c r="D143" s="19"/>
      <c r="E143" s="15" t="s">
        <v>181</v>
      </c>
      <c r="F143" s="3"/>
      <c r="G143" s="3" t="str">
        <f>IFERROR(VLOOKUP(F143,tblManoeuvre[],2,FALSE)&amp;" "&amp;VLOOKUP(F143,tblManoeuvre[],3,FALSE),"")</f>
        <v/>
      </c>
      <c r="H143" s="67" t="str">
        <f>IFERROR(IF(VLOOKUP(F143,tblManoeuvre[],8,FALSE)=0,"None",VLOOKUP(F143,tblManoeuvre[],8,FALSE)),"None")</f>
        <v>None</v>
      </c>
      <c r="I143" s="67"/>
      <c r="L143" s="4"/>
      <c r="M143" s="4"/>
      <c r="N143" s="4"/>
      <c r="O143" s="61">
        <f t="shared" si="24"/>
        <v>0</v>
      </c>
      <c r="P143" s="60">
        <f t="shared" si="25"/>
        <v>0</v>
      </c>
      <c r="Q143" s="61" t="str">
        <f>_xlfn.IFNA(VLOOKUP($F143,tblInfluence[],3,FALSE),"")</f>
        <v/>
      </c>
      <c r="R143" s="61" t="str">
        <f>_xlfn.IFNA(VLOOKUP($F143,tblInfluence[],4,FALSE),"")</f>
        <v/>
      </c>
      <c r="Y143" s="15" t="s">
        <v>185</v>
      </c>
      <c r="Z143" s="19"/>
      <c r="AA143" s="61" t="str">
        <f t="shared" si="22"/>
        <v/>
      </c>
      <c r="AC143" s="60"/>
      <c r="AD143" s="20"/>
      <c r="AE143" s="20" t="str">
        <f t="shared" si="23"/>
        <v/>
      </c>
      <c r="AF143" s="61" t="str" cm="1">
        <f t="array" ref="AF143">IF(AC143="","",SUMPRODUCT(($F$138:$F$157=AC143)*($G$138:$G$157=IF(AD143="","",AD143))*$P$138:$P$157))</f>
        <v/>
      </c>
    </row>
    <row r="144" spans="1:32">
      <c r="A144" s="1" t="s">
        <v>143</v>
      </c>
      <c r="B144" t="str">
        <f t="shared" si="20"/>
        <v>¬</v>
      </c>
      <c r="D144" s="19"/>
      <c r="E144" s="15" t="s">
        <v>182</v>
      </c>
      <c r="F144" s="3"/>
      <c r="G144" s="3"/>
      <c r="H144" s="67" t="str">
        <f>IFERROR(IF(VLOOKUP(F144,tblManoeuvre[],8,FALSE)=0,"None",VLOOKUP(F144,tblManoeuvre[],8,FALSE)),"None")</f>
        <v>None</v>
      </c>
      <c r="I144" s="67"/>
      <c r="L144" s="4"/>
      <c r="M144" s="4"/>
      <c r="N144" s="4"/>
      <c r="O144" s="61">
        <f t="shared" si="24"/>
        <v>0</v>
      </c>
      <c r="P144" s="60">
        <f t="shared" si="25"/>
        <v>0</v>
      </c>
      <c r="Q144" s="61" t="str">
        <f>_xlfn.IFNA(VLOOKUP($F144,tblInfluence[],3,FALSE),"")</f>
        <v/>
      </c>
      <c r="R144" s="61" t="str">
        <f>_xlfn.IFNA(VLOOKUP($F144,tblInfluence[],4,FALSE),"")</f>
        <v/>
      </c>
      <c r="Y144" s="15" t="s">
        <v>186</v>
      </c>
      <c r="Z144" s="19"/>
      <c r="AA144" s="61" t="str">
        <f t="shared" si="22"/>
        <v/>
      </c>
      <c r="AC144" s="60"/>
      <c r="AD144" s="20"/>
      <c r="AE144" s="20" t="str">
        <f t="shared" si="23"/>
        <v/>
      </c>
      <c r="AF144" s="61" t="str" cm="1">
        <f t="array" ref="AF144">IF(AC144="","",SUMPRODUCT(($F$138:$F$157=AC144)*($G$138:$G$157=IF(AD144="","",AD144))*$P$138:$P$157))</f>
        <v/>
      </c>
    </row>
    <row r="145" spans="1:32">
      <c r="A145" s="1" t="s">
        <v>144</v>
      </c>
      <c r="B145" t="str">
        <f t="shared" ref="B145:B174" si="26">IF(AF2="","¬",AF2)</f>
        <v>Once per session, roll Presence + Expression to preach the Raptured Condition.</v>
      </c>
      <c r="D145" s="19"/>
      <c r="E145" s="15" t="s">
        <v>183</v>
      </c>
      <c r="F145" s="3"/>
      <c r="G145" s="3" t="str">
        <f>IFERROR(VLOOKUP(F145,tblManoeuvre[],2,FALSE)&amp;" "&amp;VLOOKUP(F145,tblManoeuvre[],3,FALSE),"")</f>
        <v/>
      </c>
      <c r="H145" s="67" t="str">
        <f>IFERROR(IF(VLOOKUP(F145,tblManoeuvre[],8,FALSE)=0,"None",VLOOKUP(F145,tblManoeuvre[],8,FALSE)),"None")</f>
        <v>None</v>
      </c>
      <c r="I145" s="67"/>
      <c r="L145" s="4"/>
      <c r="M145" s="4"/>
      <c r="N145" s="4"/>
      <c r="O145" s="61">
        <f t="shared" si="24"/>
        <v>0</v>
      </c>
      <c r="P145" s="60">
        <f t="shared" si="25"/>
        <v>0</v>
      </c>
      <c r="Q145" s="61" t="str">
        <f>_xlfn.IFNA(VLOOKUP($F145,tblInfluence[],3,FALSE),"")</f>
        <v/>
      </c>
      <c r="R145" s="61" t="str">
        <f>_xlfn.IFNA(VLOOKUP($F145,tblInfluence[],4,FALSE),"")</f>
        <v/>
      </c>
      <c r="Y145" s="15" t="s">
        <v>187</v>
      </c>
      <c r="Z145" s="19"/>
      <c r="AA145" s="61" t="str">
        <f t="shared" si="22"/>
        <v/>
      </c>
      <c r="AC145" s="60"/>
      <c r="AD145" s="20"/>
      <c r="AE145" s="20" t="str">
        <f t="shared" si="23"/>
        <v/>
      </c>
      <c r="AF145" s="61" t="str" cm="1">
        <f t="array" ref="AF145">IF(AC145="","",SUMPRODUCT(($F$138:$F$157=AC145)*($G$138:$G$157=IF(AD145="","",AD145))*$P$138:$P$157))</f>
        <v/>
      </c>
    </row>
    <row r="146" spans="1:32">
      <c r="A146" s="1" t="s">
        <v>145</v>
      </c>
      <c r="B146" t="str">
        <f t="shared" si="26"/>
        <v>Substitute chosen Skill for Athletics in Defence, if equipped for that Skill.</v>
      </c>
      <c r="D146" s="19"/>
      <c r="E146" s="15" t="s">
        <v>184</v>
      </c>
      <c r="F146" s="3"/>
      <c r="G146" s="3" t="str">
        <f>IFERROR(VLOOKUP(F146,tblManoeuvre[],2,FALSE)&amp;" "&amp;VLOOKUP(F146,tblManoeuvre[],3,FALSE),"")</f>
        <v/>
      </c>
      <c r="H146" s="67" t="str">
        <f>IFERROR(IF(VLOOKUP(F146,tblManoeuvre[],8,FALSE)=0,"None",VLOOKUP(F146,tblManoeuvre[],8,FALSE)),"None")</f>
        <v>None</v>
      </c>
      <c r="I146" s="67"/>
      <c r="L146" s="4"/>
      <c r="M146" s="4"/>
      <c r="N146" s="4"/>
      <c r="O146" s="61">
        <f t="shared" si="24"/>
        <v>0</v>
      </c>
      <c r="P146" s="60">
        <f t="shared" si="25"/>
        <v>0</v>
      </c>
      <c r="Q146" s="61" t="str">
        <f>_xlfn.IFNA(VLOOKUP($F146,tblInfluence[],3,FALSE),"")</f>
        <v/>
      </c>
      <c r="R146" s="61" t="str">
        <f>_xlfn.IFNA(VLOOKUP($F146,tblInfluence[],4,FALSE),"")</f>
        <v/>
      </c>
      <c r="Y146" s="15" t="s">
        <v>188</v>
      </c>
      <c r="Z146" s="19"/>
      <c r="AA146" s="61" t="str">
        <f t="shared" si="22"/>
        <v/>
      </c>
      <c r="AC146" s="60"/>
      <c r="AD146" s="20"/>
      <c r="AE146" s="20" t="str">
        <f t="shared" si="23"/>
        <v/>
      </c>
      <c r="AF146" s="61" t="str" cm="1">
        <f t="array" ref="AF146">IF(AC146="","",SUMPRODUCT(($F$138:$F$157=AC146)*($G$138:$G$157=IF(AD146="","",AD146))*$P$138:$P$157))</f>
        <v/>
      </c>
    </row>
    <row r="147" spans="1:32">
      <c r="A147" s="1" t="s">
        <v>146</v>
      </c>
      <c r="B147" t="str">
        <f t="shared" si="26"/>
        <v>Herd serves as Willpower source. Dots apply as additional Herd dots.</v>
      </c>
      <c r="D147" s="19"/>
      <c r="E147" s="15" t="s">
        <v>185</v>
      </c>
      <c r="F147" s="3"/>
      <c r="G147" s="3" t="str">
        <f>IFERROR(VLOOKUP(F147,tblManoeuvre[],2,FALSE)&amp;" "&amp;VLOOKUP(F147,tblManoeuvre[],3,FALSE),"")</f>
        <v/>
      </c>
      <c r="H147" s="67" t="str">
        <f>IFERROR(IF(VLOOKUP(F147,tblManoeuvre[],8,FALSE)=0,"None",VLOOKUP(F147,tblManoeuvre[],8,FALSE)),"None")</f>
        <v>None</v>
      </c>
      <c r="I147" s="67"/>
      <c r="L147" s="4"/>
      <c r="M147" s="4"/>
      <c r="N147" s="4"/>
      <c r="O147" s="61">
        <f t="shared" si="24"/>
        <v>0</v>
      </c>
      <c r="P147" s="60">
        <f t="shared" si="25"/>
        <v>0</v>
      </c>
      <c r="Q147" s="61" t="str">
        <f>_xlfn.IFNA(VLOOKUP($F147,tblInfluence[],3,FALSE),"")</f>
        <v/>
      </c>
      <c r="R147" s="61" t="str">
        <f>_xlfn.IFNA(VLOOKUP($F147,tblInfluence[],4,FALSE),"")</f>
        <v/>
      </c>
      <c r="Y147" s="15" t="s">
        <v>189</v>
      </c>
      <c r="Z147" s="19"/>
      <c r="AA147" s="61" t="str">
        <f t="shared" si="22"/>
        <v/>
      </c>
      <c r="AC147" s="60"/>
      <c r="AD147" s="20"/>
      <c r="AE147" s="20" t="str">
        <f t="shared" si="23"/>
        <v/>
      </c>
      <c r="AF147" s="61" t="str" cm="1">
        <f t="array" ref="AF147">IF(AC147="","",SUMPRODUCT(($F$138:$F$157=AC147)*($G$138:$G$157=IF(AD147="","",AD147))*$P$138:$P$157))</f>
        <v/>
      </c>
    </row>
    <row r="148" spans="1:32">
      <c r="A148" s="1" t="s">
        <v>147</v>
      </c>
      <c r="B148" t="str">
        <f t="shared" si="26"/>
        <v>Draw a weapon from a chosen Specialty reflexively while Defence is available. Initiative bonuses only apply if using the weapon.</v>
      </c>
      <c r="D148" s="19"/>
      <c r="E148" s="15" t="s">
        <v>186</v>
      </c>
      <c r="F148" s="3"/>
      <c r="G148" s="3" t="str">
        <f>IFERROR(VLOOKUP(F148,tblManoeuvre[],2,FALSE)&amp;" "&amp;VLOOKUP(F148,tblManoeuvre[],3,FALSE),"")</f>
        <v/>
      </c>
      <c r="H148" s="67" t="str">
        <f>IFERROR(IF(VLOOKUP(F148,tblManoeuvre[],8,FALSE)=0,"None",VLOOKUP(F148,tblManoeuvre[],8,FALSE)),"None")</f>
        <v>None</v>
      </c>
      <c r="I148" s="67"/>
      <c r="L148" s="4"/>
      <c r="M148" s="4"/>
      <c r="N148" s="4"/>
      <c r="O148" s="61">
        <f t="shared" si="24"/>
        <v>0</v>
      </c>
      <c r="P148" s="60">
        <f t="shared" si="25"/>
        <v>0</v>
      </c>
      <c r="Q148" s="61" t="str">
        <f>_xlfn.IFNA(VLOOKUP($F148,tblInfluence[],3,FALSE),"")</f>
        <v/>
      </c>
      <c r="R148" s="61" t="str">
        <f>_xlfn.IFNA(VLOOKUP($F148,tblInfluence[],4,FALSE),"")</f>
        <v/>
      </c>
      <c r="Y148" s="15" t="s">
        <v>190</v>
      </c>
      <c r="Z148" s="19"/>
      <c r="AA148" s="61" t="str">
        <f t="shared" si="22"/>
        <v/>
      </c>
      <c r="AC148" s="60"/>
      <c r="AD148" s="20"/>
      <c r="AE148" s="20" t="str">
        <f t="shared" si="23"/>
        <v/>
      </c>
      <c r="AF148" s="61" t="str" cm="1">
        <f t="array" ref="AF148">IF(AC148="","",SUMPRODUCT(($F$138:$F$157=AC148)*($G$138:$G$157=IF(AD148="","",AD148))*$P$138:$P$157))</f>
        <v/>
      </c>
    </row>
    <row r="149" spans="1:32">
      <c r="A149" s="1" t="s">
        <v>148</v>
      </c>
      <c r="B149" t="str">
        <f t="shared" si="26"/>
        <v>Bleed dots in Vitae weekly (or at will for Willpower). This Vitae inspires without addiction or bonding, bolstering Theban Sorcery and Willpower.</v>
      </c>
      <c r="D149" s="19"/>
      <c r="E149" s="15" t="s">
        <v>187</v>
      </c>
      <c r="F149" s="3"/>
      <c r="G149" s="3" t="str">
        <f>IFERROR(VLOOKUP(F149,tblManoeuvre[],2,FALSE)&amp;" "&amp;VLOOKUP(F149,tblManoeuvre[],3,FALSE),"")</f>
        <v/>
      </c>
      <c r="H149" s="67" t="str">
        <f>IFERROR(IF(VLOOKUP(F149,tblManoeuvre[],8,FALSE)=0,"None",VLOOKUP(F149,tblManoeuvre[],8,FALSE)),"None")</f>
        <v>None</v>
      </c>
      <c r="I149" s="67"/>
      <c r="L149" s="4"/>
      <c r="M149" s="4"/>
      <c r="N149" s="4"/>
      <c r="O149" s="61">
        <f t="shared" si="24"/>
        <v>0</v>
      </c>
      <c r="P149" s="60">
        <f t="shared" si="25"/>
        <v>0</v>
      </c>
      <c r="Q149" s="61" t="str">
        <f>_xlfn.IFNA(VLOOKUP($F149,tblInfluence[],3,FALSE),"")</f>
        <v/>
      </c>
      <c r="R149" s="61" t="str">
        <f>_xlfn.IFNA(VLOOKUP($F149,tblInfluence[],4,FALSE),"")</f>
        <v/>
      </c>
      <c r="Y149" s="15" t="s">
        <v>191</v>
      </c>
      <c r="Z149" s="19"/>
      <c r="AA149" s="61" t="str">
        <f t="shared" si="22"/>
        <v/>
      </c>
      <c r="AC149" s="60"/>
      <c r="AD149" s="20"/>
      <c r="AE149" s="20" t="str">
        <f t="shared" si="23"/>
        <v/>
      </c>
      <c r="AF149" s="61" t="str" cm="1">
        <f t="array" ref="AF149">IF(AC149="","",SUMPRODUCT(($F$138:$F$157=AC149)*($G$138:$G$157=IF(AD149="","",AD149))*$P$138:$P$157))</f>
        <v/>
      </c>
    </row>
    <row r="150" spans="1:32">
      <c r="A150" s="1" t="s">
        <v>149</v>
      </c>
      <c r="B150" t="str">
        <f t="shared" si="26"/>
        <v>You can use a called shot to deny a vampire's limb the benefits of Physical Intensity.</v>
      </c>
      <c r="D150" s="19"/>
      <c r="E150" s="15" t="s">
        <v>188</v>
      </c>
      <c r="F150" s="3"/>
      <c r="G150" s="3" t="str">
        <f>IFERROR(VLOOKUP(F150,tblManoeuvre[],2,FALSE)&amp;" "&amp;VLOOKUP(F150,tblManoeuvre[],3,FALSE),"")</f>
        <v/>
      </c>
      <c r="H150" s="67" t="str">
        <f>IFERROR(IF(VLOOKUP(F150,tblManoeuvre[],8,FALSE)=0,"None",VLOOKUP(F150,tblManoeuvre[],8,FALSE)),"None")</f>
        <v>None</v>
      </c>
      <c r="I150" s="67"/>
      <c r="L150" s="4"/>
      <c r="M150" s="4"/>
      <c r="N150" s="4"/>
      <c r="O150" s="61">
        <f t="shared" si="24"/>
        <v>0</v>
      </c>
      <c r="P150" s="60">
        <f t="shared" si="25"/>
        <v>0</v>
      </c>
      <c r="Q150" s="61" t="str">
        <f>_xlfn.IFNA(VLOOKUP($F150,tblInfluence[],3,FALSE),"")</f>
        <v/>
      </c>
      <c r="R150" s="61" t="str">
        <f>_xlfn.IFNA(VLOOKUP($F150,tblInfluence[],4,FALSE),"")</f>
        <v/>
      </c>
      <c r="Y150" s="15" t="s">
        <v>192</v>
      </c>
      <c r="Z150" s="19"/>
      <c r="AA150" s="61" t="str">
        <f t="shared" si="22"/>
        <v/>
      </c>
      <c r="AC150" s="60"/>
      <c r="AD150" s="20"/>
      <c r="AE150" s="20" t="str">
        <f t="shared" si="23"/>
        <v/>
      </c>
      <c r="AF150" s="61" t="str" cm="1">
        <f t="array" ref="AF150">IF(AC150="","",SUMPRODUCT(($F$138:$F$157=AC150)*($G$138:$G$157=IF(AD150="","",AD150))*$P$138:$P$157))</f>
        <v/>
      </c>
    </row>
    <row r="151" spans="1:32">
      <c r="A151" s="1" t="s">
        <v>150</v>
      </c>
      <c r="B151" t="str">
        <f t="shared" si="26"/>
        <v>Exchange up to your Weaponry in attack dice to provoke, on hit, a frenzy roll penalised by your exchanged dice.</v>
      </c>
      <c r="D151" s="19"/>
      <c r="E151" s="15" t="s">
        <v>189</v>
      </c>
      <c r="F151" s="3"/>
      <c r="G151" s="3" t="str">
        <f>IFERROR(VLOOKUP(F151,tblManoeuvre[],2,FALSE)&amp;" "&amp;VLOOKUP(F151,tblManoeuvre[],3,FALSE),"")</f>
        <v/>
      </c>
      <c r="H151" s="67" t="str">
        <f>IFERROR(IF(VLOOKUP(F151,tblManoeuvre[],8,FALSE)=0,"None",VLOOKUP(F151,tblManoeuvre[],8,FALSE)),"None")</f>
        <v>None</v>
      </c>
      <c r="I151" s="67"/>
      <c r="L151" s="4"/>
      <c r="M151" s="4"/>
      <c r="N151" s="4"/>
      <c r="O151" s="61">
        <f t="shared" si="24"/>
        <v>0</v>
      </c>
      <c r="P151" s="60">
        <f t="shared" si="25"/>
        <v>0</v>
      </c>
      <c r="Q151" s="61" t="str">
        <f>_xlfn.IFNA(VLOOKUP($F151,tblInfluence[],3,FALSE),"")</f>
        <v/>
      </c>
      <c r="R151" s="61" t="str">
        <f>_xlfn.IFNA(VLOOKUP($F151,tblInfluence[],4,FALSE),"")</f>
        <v/>
      </c>
      <c r="Y151" s="15" t="s">
        <v>193</v>
      </c>
      <c r="Z151" s="19"/>
      <c r="AA151" s="61" t="str">
        <f t="shared" si="22"/>
        <v/>
      </c>
      <c r="AC151" s="60"/>
      <c r="AD151" s="20"/>
      <c r="AE151" s="20" t="str">
        <f t="shared" si="23"/>
        <v/>
      </c>
      <c r="AF151" s="61" t="str" cm="1">
        <f t="array" ref="AF151">IF(AC151="","",SUMPRODUCT(($F$138:$F$157=AC151)*($G$138:$G$157=IF(AD151="","",AD151))*$P$138:$P$157))</f>
        <v/>
      </c>
    </row>
    <row r="152" spans="1:32">
      <c r="A152" s="1" t="s">
        <v>151</v>
      </c>
      <c r="B152" t="str">
        <f t="shared" si="26"/>
        <v>Deal lethal damage to the Kindred body.</v>
      </c>
      <c r="D152" s="19"/>
      <c r="E152" s="15" t="s">
        <v>190</v>
      </c>
      <c r="F152" s="3"/>
      <c r="G152" s="3" t="str">
        <f>IFERROR(VLOOKUP(F152,tblManoeuvre[],2,FALSE)&amp;" "&amp;VLOOKUP(F152,tblManoeuvre[],3,FALSE),"")</f>
        <v/>
      </c>
      <c r="H152" s="67" t="str">
        <f>IFERROR(IF(VLOOKUP(F152,tblManoeuvre[],8,FALSE)=0,"None",VLOOKUP(F152,tblManoeuvre[],8,FALSE)),"None")</f>
        <v>None</v>
      </c>
      <c r="I152" s="67"/>
      <c r="L152" s="4"/>
      <c r="M152" s="4"/>
      <c r="N152" s="4"/>
      <c r="O152" s="61">
        <f t="shared" si="24"/>
        <v>0</v>
      </c>
      <c r="P152" s="60">
        <f t="shared" si="25"/>
        <v>0</v>
      </c>
      <c r="Q152" s="61" t="str">
        <f>_xlfn.IFNA(VLOOKUP($F152,tblInfluence[],3,FALSE),"")</f>
        <v/>
      </c>
      <c r="R152" s="61" t="str">
        <f>_xlfn.IFNA(VLOOKUP($F152,tblInfluence[],4,FALSE),"")</f>
        <v/>
      </c>
      <c r="Y152" s="15" t="s">
        <v>194</v>
      </c>
      <c r="Z152" s="19"/>
      <c r="AA152" s="61" t="str">
        <f t="shared" si="22"/>
        <v/>
      </c>
      <c r="AC152" s="60"/>
      <c r="AD152" s="20"/>
      <c r="AE152" s="20" t="str">
        <f t="shared" si="23"/>
        <v/>
      </c>
      <c r="AF152" s="61" t="str" cm="1">
        <f t="array" ref="AF152">IF(AC152="","",SUMPRODUCT(($F$138:$F$157=AC152)*($G$138:$G$157=IF(AD152="","",AD152))*$P$138:$P$157))</f>
        <v/>
      </c>
    </row>
    <row r="153" spans="1:32">
      <c r="A153" s="1" t="s">
        <v>152</v>
      </c>
      <c r="B153" t="str">
        <f t="shared" si="26"/>
        <v>You can lodge your weapon into the victim on a hit, preventing the wound from healing with Vitae use. You can withdraw it reflexively, but others must roll Strength + Stamina - damage caused as an instant action.</v>
      </c>
      <c r="D153" s="19"/>
      <c r="E153" s="15" t="s">
        <v>191</v>
      </c>
      <c r="F153" s="3"/>
      <c r="G153" s="3" t="str">
        <f>IFERROR(VLOOKUP(F153,tblManoeuvre[],2,FALSE)&amp;" "&amp;VLOOKUP(F153,tblManoeuvre[],3,FALSE),"")</f>
        <v/>
      </c>
      <c r="H153" s="67" t="str">
        <f>IFERROR(IF(VLOOKUP(F153,tblManoeuvre[],8,FALSE)=0,"None",VLOOKUP(F153,tblManoeuvre[],8,FALSE)),"None")</f>
        <v>None</v>
      </c>
      <c r="I153" s="67"/>
      <c r="L153" s="4"/>
      <c r="M153" s="4"/>
      <c r="N153" s="4"/>
      <c r="O153" s="61">
        <f t="shared" si="24"/>
        <v>0</v>
      </c>
      <c r="P153" s="60">
        <f t="shared" si="25"/>
        <v>0</v>
      </c>
      <c r="Q153" s="61" t="str">
        <f>_xlfn.IFNA(VLOOKUP($F153,tblInfluence[],3,FALSE),"")</f>
        <v/>
      </c>
      <c r="R153" s="61" t="str">
        <f>_xlfn.IFNA(VLOOKUP($F153,tblInfluence[],4,FALSE),"")</f>
        <v/>
      </c>
      <c r="Y153" s="15" t="s">
        <v>195</v>
      </c>
      <c r="Z153" s="19"/>
      <c r="AA153" s="61" t="str">
        <f t="shared" si="22"/>
        <v/>
      </c>
      <c r="AC153" s="60"/>
      <c r="AD153" s="20"/>
      <c r="AE153" s="20" t="str">
        <f t="shared" si="23"/>
        <v/>
      </c>
      <c r="AF153" s="61" t="str" cm="1">
        <f t="array" ref="AF153">IF(AC153="","",SUMPRODUCT(($F$138:$F$157=AC153)*($G$138:$G$157=IF(AD153="","",AD153))*$P$138:$P$157))</f>
        <v/>
      </c>
    </row>
    <row r="154" spans="1:32">
      <c r="A154" s="1" t="s">
        <v>153</v>
      </c>
      <c r="B154" t="str">
        <f t="shared" si="26"/>
        <v>Sacrifice your Defence to make an attack that can exchange points of damage inflicted for points of Vitae damaged.</v>
      </c>
      <c r="D154" s="19"/>
      <c r="E154" s="15" t="s">
        <v>192</v>
      </c>
      <c r="F154" s="3"/>
      <c r="G154" s="3" t="str">
        <f>IFERROR(VLOOKUP(F154,tblManoeuvre[],2,FALSE)&amp;" "&amp;VLOOKUP(F154,tblManoeuvre[],3,FALSE),"")</f>
        <v/>
      </c>
      <c r="H154" s="67" t="str">
        <f>IFERROR(IF(VLOOKUP(F154,tblManoeuvre[],8,FALSE)=0,"None",VLOOKUP(F154,tblManoeuvre[],8,FALSE)),"None")</f>
        <v>None</v>
      </c>
      <c r="I154" s="67"/>
      <c r="L154" s="4"/>
      <c r="M154" s="4"/>
      <c r="N154" s="4"/>
      <c r="O154" s="61">
        <f t="shared" si="24"/>
        <v>0</v>
      </c>
      <c r="P154" s="60">
        <f t="shared" si="25"/>
        <v>0</v>
      </c>
      <c r="Q154" s="61" t="str">
        <f>_xlfn.IFNA(VLOOKUP($F154,tblInfluence[],3,FALSE),"")</f>
        <v/>
      </c>
      <c r="R154" s="61" t="str">
        <f>_xlfn.IFNA(VLOOKUP($F154,tblInfluence[],4,FALSE),"")</f>
        <v/>
      </c>
    </row>
    <row r="155" spans="1:32">
      <c r="A155" s="1" t="s">
        <v>154</v>
      </c>
      <c r="B155" t="str">
        <f t="shared" si="26"/>
        <v>¬</v>
      </c>
      <c r="D155" s="19"/>
      <c r="E155" s="15" t="s">
        <v>193</v>
      </c>
      <c r="F155" s="3"/>
      <c r="G155" s="3" t="str">
        <f>IFERROR(VLOOKUP(F155,tblManoeuvre[],2,FALSE)&amp;" "&amp;VLOOKUP(F155,tblManoeuvre[],3,FALSE),"")</f>
        <v/>
      </c>
      <c r="H155" s="67" t="str">
        <f>IFERROR(IF(VLOOKUP(F155,tblManoeuvre[],8,FALSE)=0,"None",VLOOKUP(F155,tblManoeuvre[],8,FALSE)),"None")</f>
        <v>None</v>
      </c>
      <c r="I155" s="67"/>
      <c r="L155" s="4"/>
      <c r="M155" s="4"/>
      <c r="N155" s="4"/>
      <c r="O155" s="61">
        <f t="shared" si="24"/>
        <v>0</v>
      </c>
      <c r="P155" s="60">
        <f t="shared" si="25"/>
        <v>0</v>
      </c>
      <c r="Q155" s="61" t="str">
        <f>_xlfn.IFNA(VLOOKUP($F155,tblInfluence[],3,FALSE),"")</f>
        <v/>
      </c>
      <c r="R155" s="61" t="str">
        <f>_xlfn.IFNA(VLOOKUP($F155,tblInfluence[],4,FALSE),"")</f>
        <v/>
      </c>
      <c r="AE155" s="61">
        <f>IF(P160=5,1,0)</f>
        <v>0</v>
      </c>
    </row>
    <row r="156" spans="1:32">
      <c r="A156" s="1" t="s">
        <v>155</v>
      </c>
      <c r="B156" t="str">
        <f t="shared" si="26"/>
        <v>¬</v>
      </c>
      <c r="D156" s="19"/>
      <c r="E156" s="15" t="s">
        <v>194</v>
      </c>
      <c r="F156" s="3"/>
      <c r="G156" s="3" t="str">
        <f>IFERROR(VLOOKUP(F156,tblManoeuvre[],2,FALSE)&amp;" "&amp;VLOOKUP(F156,tblManoeuvre[],3,FALSE),"")</f>
        <v/>
      </c>
      <c r="H156" s="67" t="str">
        <f>IFERROR(IF(VLOOKUP(F156,tblManoeuvre[],8,FALSE)=0,"None",VLOOKUP(F156,tblManoeuvre[],8,FALSE)),"None")</f>
        <v>None</v>
      </c>
      <c r="I156" s="67"/>
      <c r="L156" s="4"/>
      <c r="M156" s="4"/>
      <c r="N156" s="4"/>
      <c r="O156" s="61">
        <f t="shared" si="24"/>
        <v>0</v>
      </c>
      <c r="P156" s="60">
        <f t="shared" si="25"/>
        <v>0</v>
      </c>
      <c r="Q156" s="61" t="str">
        <f>_xlfn.IFNA(VLOOKUP($F156,tblInfluence[],3,FALSE),"")</f>
        <v/>
      </c>
      <c r="R156" s="61" t="str">
        <f>_xlfn.IFNA(VLOOKUP($F156,tblInfluence[],4,FALSE),"")</f>
        <v/>
      </c>
      <c r="AE156" s="61" t="b">
        <f>COUNTIF(AA2:AA21,"*Honey With Vinegar*")&gt;0</f>
        <v>0</v>
      </c>
    </row>
    <row r="157" spans="1:32">
      <c r="A157" s="1" t="s">
        <v>156</v>
      </c>
      <c r="B157" t="str">
        <f t="shared" si="26"/>
        <v>¬</v>
      </c>
      <c r="D157" s="19"/>
      <c r="E157" s="15" t="s">
        <v>195</v>
      </c>
      <c r="F157" s="3"/>
      <c r="G157" s="3" t="str">
        <f>IFERROR(VLOOKUP(F157,tblManoeuvre[],2,FALSE)&amp;" "&amp;VLOOKUP(F157,tblManoeuvre[],3,FALSE),"")</f>
        <v/>
      </c>
      <c r="H157" s="67" t="str">
        <f>IFERROR(IF(VLOOKUP(F157,tblManoeuvre[],8,FALSE)=0,"None",VLOOKUP(F157,tblManoeuvre[],8,FALSE)),"None")</f>
        <v>None</v>
      </c>
      <c r="I157" s="67"/>
      <c r="L157" s="4"/>
      <c r="M157" s="4"/>
      <c r="N157" s="4"/>
      <c r="O157" s="61">
        <f t="shared" si="24"/>
        <v>0</v>
      </c>
      <c r="P157" s="60">
        <f t="shared" si="25"/>
        <v>0</v>
      </c>
      <c r="Q157" s="61" t="str">
        <f>_xlfn.IFNA(VLOOKUP($F157,tblInfluence[],3,FALSE),"")</f>
        <v/>
      </c>
      <c r="R157" s="61" t="str">
        <f>_xlfn.IFNA(VLOOKUP($F157,tblInfluence[],4,FALSE),"")</f>
        <v/>
      </c>
    </row>
    <row r="158" spans="1:32">
      <c r="A158" s="1" t="s">
        <v>157</v>
      </c>
      <c r="B158" t="str">
        <f t="shared" si="26"/>
        <v>¬</v>
      </c>
    </row>
    <row r="159" spans="1:32">
      <c r="A159" s="1" t="s">
        <v>158</v>
      </c>
      <c r="B159" t="str">
        <f t="shared" si="26"/>
        <v>¬</v>
      </c>
      <c r="D159" s="16" t="s">
        <v>1486</v>
      </c>
      <c r="E159" s="17"/>
      <c r="F159" s="17" t="s">
        <v>1487</v>
      </c>
      <c r="G159" s="17"/>
      <c r="H159" s="17"/>
      <c r="I159" s="17"/>
    </row>
    <row r="160" spans="1:32">
      <c r="A160" s="1" t="s">
        <v>159</v>
      </c>
      <c r="B160" t="str">
        <f t="shared" si="26"/>
        <v>¬</v>
      </c>
      <c r="D160" s="19"/>
      <c r="E160" s="15" t="s">
        <v>98</v>
      </c>
      <c r="F160" s="3"/>
      <c r="G160" s="60"/>
      <c r="H160" s="60"/>
      <c r="I160" s="60"/>
      <c r="L160" s="4"/>
      <c r="M160" s="4"/>
      <c r="N160" s="4"/>
      <c r="O160" s="61">
        <f>N160</f>
        <v>0</v>
      </c>
      <c r="P160" s="60">
        <f>MIN(SUM(L160,M160,O160),R160)</f>
        <v>0</v>
      </c>
      <c r="Q160" s="61">
        <v>1</v>
      </c>
      <c r="R160" s="61">
        <v>5</v>
      </c>
    </row>
    <row r="161" spans="1:18">
      <c r="A161" s="1" t="s">
        <v>160</v>
      </c>
      <c r="B161" t="str">
        <f t="shared" si="26"/>
        <v>¬</v>
      </c>
      <c r="D161" s="19"/>
      <c r="E161" s="15" t="s">
        <v>100</v>
      </c>
      <c r="F161" s="3"/>
      <c r="G161" s="60"/>
      <c r="H161" s="60"/>
      <c r="I161" s="60"/>
      <c r="L161" s="4"/>
      <c r="M161" s="4"/>
      <c r="N161" s="4"/>
      <c r="O161" s="61">
        <f>N161</f>
        <v>0</v>
      </c>
      <c r="P161" s="60">
        <f>MIN(SUM(L161,M161,O161),R161)</f>
        <v>0</v>
      </c>
      <c r="Q161" s="61">
        <v>1</v>
      </c>
      <c r="R161" s="61">
        <v>5</v>
      </c>
    </row>
    <row r="162" spans="1:18">
      <c r="A162" s="1" t="s">
        <v>161</v>
      </c>
      <c r="B162" t="str">
        <f t="shared" si="26"/>
        <v>¬</v>
      </c>
    </row>
    <row r="163" spans="1:18" ht="15.75" thickBot="1">
      <c r="A163" s="1" t="s">
        <v>162</v>
      </c>
      <c r="B163" t="str">
        <f t="shared" si="26"/>
        <v>¬</v>
      </c>
      <c r="D163" s="14" t="s">
        <v>1488</v>
      </c>
      <c r="E163" s="14"/>
      <c r="F163" s="14"/>
      <c r="G163" s="14"/>
      <c r="H163" s="14"/>
      <c r="I163" s="14"/>
      <c r="N163" s="60">
        <f>SUM(N165:N174)+SUM(N177:N181)+SUM(N184:N185)+SUM(N187:N191)+SUM(N194:N203)</f>
        <v>3</v>
      </c>
    </row>
    <row r="164" spans="1:18">
      <c r="A164" s="1" t="s">
        <v>163</v>
      </c>
      <c r="B164" t="str">
        <f t="shared" si="26"/>
        <v>¬</v>
      </c>
      <c r="D164" s="16" t="s">
        <v>1489</v>
      </c>
      <c r="E164" s="15" t="s">
        <v>1490</v>
      </c>
      <c r="F164" s="61" t="str">
        <f>IFERROR(IF($F$8="",VLOOKUP($F$7,tblClans[],5,FALSE),VLOOKUP($F$8,tblBloodlines[],5,FALSE)),"")</f>
        <v>Animalism</v>
      </c>
      <c r="G164" s="61" t="str">
        <f>IFERROR(IF($F$8="",VLOOKUP($F$7,tblClans[],6,FALSE),VLOOKUP($F$8,tblBloodlines[],6,FALSE)),"")</f>
        <v>Dominate</v>
      </c>
      <c r="H164" s="61" t="str">
        <f>IFERROR(IF($F$8="",VLOOKUP($F$7,tblClans[],7,FALSE),VLOOKUP($F$8,tblBloodlines[],7,FALSE)),"")</f>
        <v>Resilience</v>
      </c>
      <c r="I164" s="61" t="str">
        <f>IFERROR(IF($F$8="",VLOOKUP($F$7,tblClans[],8,FALSE),VLOOKUP($F$8,tblBloodlines[],8,FALSE)),"")</f>
        <v/>
      </c>
      <c r="L164" s="60">
        <f>3-SUM(L165:L174)-SUM(L184:L185)</f>
        <v>0</v>
      </c>
    </row>
    <row r="165" spans="1:18">
      <c r="A165" s="1" t="s">
        <v>164</v>
      </c>
      <c r="B165" t="str">
        <f t="shared" si="26"/>
        <v>¬</v>
      </c>
      <c r="D165" s="19"/>
      <c r="E165" s="15" t="s">
        <v>236</v>
      </c>
      <c r="F165" s="19"/>
      <c r="G165" s="19"/>
      <c r="H165" s="19"/>
      <c r="I165" s="19"/>
      <c r="L165" s="4"/>
      <c r="N165" s="4"/>
      <c r="O165" s="61">
        <f t="shared" ref="O165:O174" si="27">ROUNDDOWN(IF(COUNTIF($F$164:$I$164,$E165)&gt;0,N165/3,N165/4),0)</f>
        <v>0</v>
      </c>
      <c r="P165" s="60">
        <f>MIN(SUM(L165,O165),R165)</f>
        <v>0</v>
      </c>
      <c r="Q165" s="61">
        <v>0</v>
      </c>
      <c r="R165" s="61">
        <v>5</v>
      </c>
    </row>
    <row r="166" spans="1:18">
      <c r="A166" s="1" t="s">
        <v>165</v>
      </c>
      <c r="B166" t="str">
        <f t="shared" si="26"/>
        <v>¬</v>
      </c>
      <c r="D166" s="19"/>
      <c r="E166" s="15" t="s">
        <v>237</v>
      </c>
      <c r="F166" s="19"/>
      <c r="G166" s="19"/>
      <c r="H166" s="19"/>
      <c r="I166" s="19"/>
      <c r="L166" s="4"/>
      <c r="N166" s="4"/>
      <c r="O166" s="61">
        <f t="shared" si="27"/>
        <v>0</v>
      </c>
      <c r="P166" s="60">
        <f t="shared" ref="P166:P174" si="28">MIN(SUM(L166,O166),R166)</f>
        <v>0</v>
      </c>
      <c r="Q166" s="61">
        <v>0</v>
      </c>
      <c r="R166" s="61">
        <v>5</v>
      </c>
    </row>
    <row r="167" spans="1:18">
      <c r="A167" s="1" t="s">
        <v>166</v>
      </c>
      <c r="B167" t="str">
        <f t="shared" si="26"/>
        <v>¬</v>
      </c>
      <c r="D167" s="19"/>
      <c r="E167" s="15" t="s">
        <v>238</v>
      </c>
      <c r="F167" s="19"/>
      <c r="G167" s="19"/>
      <c r="H167" s="19"/>
      <c r="I167" s="19"/>
      <c r="L167" s="4">
        <v>1</v>
      </c>
      <c r="N167" s="4"/>
      <c r="O167" s="61">
        <f t="shared" si="27"/>
        <v>0</v>
      </c>
      <c r="P167" s="60">
        <f t="shared" si="28"/>
        <v>1</v>
      </c>
      <c r="Q167" s="61">
        <v>0</v>
      </c>
      <c r="R167" s="61">
        <v>5</v>
      </c>
    </row>
    <row r="168" spans="1:18">
      <c r="A168" s="1" t="s">
        <v>167</v>
      </c>
      <c r="B168" t="str">
        <f t="shared" si="26"/>
        <v>¬</v>
      </c>
      <c r="D168" s="19"/>
      <c r="E168" s="15" t="s">
        <v>239</v>
      </c>
      <c r="F168" s="19"/>
      <c r="G168" s="19"/>
      <c r="H168" s="19"/>
      <c r="I168" s="19"/>
      <c r="L168" s="4">
        <v>2</v>
      </c>
      <c r="N168" s="4">
        <v>3</v>
      </c>
      <c r="O168" s="61">
        <f t="shared" si="27"/>
        <v>1</v>
      </c>
      <c r="P168" s="60">
        <f t="shared" si="28"/>
        <v>3</v>
      </c>
      <c r="Q168" s="61">
        <v>0</v>
      </c>
      <c r="R168" s="61">
        <v>5</v>
      </c>
    </row>
    <row r="169" spans="1:18">
      <c r="A169" s="1" t="s">
        <v>168</v>
      </c>
      <c r="B169" t="str">
        <f t="shared" si="26"/>
        <v>¬</v>
      </c>
      <c r="D169" s="19"/>
      <c r="E169" s="15" t="s">
        <v>240</v>
      </c>
      <c r="F169" s="19"/>
      <c r="G169" s="19"/>
      <c r="H169" s="19"/>
      <c r="I169" s="19"/>
      <c r="L169" s="4"/>
      <c r="N169" s="4"/>
      <c r="O169" s="61">
        <f t="shared" si="27"/>
        <v>0</v>
      </c>
      <c r="P169" s="60">
        <f t="shared" si="28"/>
        <v>0</v>
      </c>
      <c r="Q169" s="61">
        <v>0</v>
      </c>
      <c r="R169" s="61">
        <v>5</v>
      </c>
    </row>
    <row r="170" spans="1:18">
      <c r="A170" s="1" t="s">
        <v>169</v>
      </c>
      <c r="B170" t="str">
        <f t="shared" si="26"/>
        <v>¬</v>
      </c>
      <c r="D170" s="19"/>
      <c r="E170" s="15" t="s">
        <v>241</v>
      </c>
      <c r="F170" s="19"/>
      <c r="G170" s="19"/>
      <c r="H170" s="19"/>
      <c r="I170" s="19"/>
      <c r="L170" s="4"/>
      <c r="N170" s="4"/>
      <c r="O170" s="61">
        <f t="shared" si="27"/>
        <v>0</v>
      </c>
      <c r="P170" s="60">
        <f t="shared" si="28"/>
        <v>0</v>
      </c>
      <c r="Q170" s="61">
        <v>0</v>
      </c>
      <c r="R170" s="61">
        <v>5</v>
      </c>
    </row>
    <row r="171" spans="1:18">
      <c r="A171" s="1" t="s">
        <v>170</v>
      </c>
      <c r="B171" t="str">
        <f t="shared" si="26"/>
        <v>¬</v>
      </c>
      <c r="D171" s="19"/>
      <c r="E171" s="15" t="s">
        <v>242</v>
      </c>
      <c r="F171" s="19"/>
      <c r="G171" s="19"/>
      <c r="H171" s="19"/>
      <c r="I171" s="19"/>
      <c r="L171" s="4"/>
      <c r="N171" s="4"/>
      <c r="O171" s="61">
        <f t="shared" si="27"/>
        <v>0</v>
      </c>
      <c r="P171" s="60">
        <f t="shared" si="28"/>
        <v>0</v>
      </c>
      <c r="Q171" s="61">
        <v>0</v>
      </c>
      <c r="R171" s="61">
        <v>5</v>
      </c>
    </row>
    <row r="172" spans="1:18">
      <c r="A172" s="1" t="s">
        <v>171</v>
      </c>
      <c r="B172" t="str">
        <f t="shared" si="26"/>
        <v>¬</v>
      </c>
      <c r="D172" s="19"/>
      <c r="E172" s="15" t="s">
        <v>243</v>
      </c>
      <c r="F172" s="19"/>
      <c r="G172" s="19"/>
      <c r="H172" s="19"/>
      <c r="I172" s="19"/>
      <c r="L172" s="4"/>
      <c r="N172" s="4"/>
      <c r="O172" s="61">
        <f t="shared" si="27"/>
        <v>0</v>
      </c>
      <c r="P172" s="60">
        <f t="shared" si="28"/>
        <v>0</v>
      </c>
      <c r="Q172" s="61">
        <v>0</v>
      </c>
      <c r="R172" s="61">
        <v>5</v>
      </c>
    </row>
    <row r="173" spans="1:18">
      <c r="A173" s="1" t="s">
        <v>172</v>
      </c>
      <c r="B173" t="str">
        <f t="shared" si="26"/>
        <v>¬</v>
      </c>
      <c r="D173" s="19"/>
      <c r="E173" s="15" t="s">
        <v>244</v>
      </c>
      <c r="F173" s="19"/>
      <c r="G173" s="19"/>
      <c r="H173" s="19"/>
      <c r="I173" s="19"/>
      <c r="L173" s="4"/>
      <c r="N173" s="4"/>
      <c r="O173" s="61">
        <f t="shared" si="27"/>
        <v>0</v>
      </c>
      <c r="P173" s="60">
        <f t="shared" si="28"/>
        <v>0</v>
      </c>
      <c r="Q173" s="61">
        <v>0</v>
      </c>
      <c r="R173" s="61">
        <v>5</v>
      </c>
    </row>
    <row r="174" spans="1:18">
      <c r="A174" s="1" t="s">
        <v>173</v>
      </c>
      <c r="B174" t="str">
        <f t="shared" si="26"/>
        <v>¬</v>
      </c>
      <c r="D174" s="19"/>
      <c r="E174" s="15" t="s">
        <v>245</v>
      </c>
      <c r="F174" s="19"/>
      <c r="G174" s="19"/>
      <c r="H174" s="19"/>
      <c r="I174" s="19"/>
      <c r="L174" s="4"/>
      <c r="N174" s="4"/>
      <c r="O174" s="61">
        <f t="shared" si="27"/>
        <v>0</v>
      </c>
      <c r="P174" s="60">
        <f t="shared" si="28"/>
        <v>0</v>
      </c>
      <c r="Q174" s="61">
        <v>0</v>
      </c>
      <c r="R174" s="61">
        <v>5</v>
      </c>
    </row>
    <row r="175" spans="1:18">
      <c r="A175" s="1" t="s">
        <v>174</v>
      </c>
      <c r="B175" t="str">
        <f>_xlfn.CONCAT(I137-H137," / ",I137)</f>
        <v>3 / 4</v>
      </c>
    </row>
    <row r="176" spans="1:18">
      <c r="A176" s="1" t="s">
        <v>175</v>
      </c>
      <c r="B176" t="str">
        <f>REPT("□",I137-H137) &amp; REPT("■",H137)</f>
        <v>□□□■</v>
      </c>
      <c r="D176" s="16" t="s">
        <v>1491</v>
      </c>
      <c r="E176" s="16"/>
      <c r="F176" s="16"/>
      <c r="G176" s="16"/>
      <c r="H176" s="16"/>
      <c r="I176" s="16"/>
    </row>
    <row r="177" spans="1:18">
      <c r="A177" s="1" t="s">
        <v>176</v>
      </c>
      <c r="B177" t="str">
        <f t="shared" ref="B177:B196" si="29">IF(AC134="","¬",AC134)</f>
        <v>Allies</v>
      </c>
      <c r="D177" s="19"/>
      <c r="E177" s="15" t="s">
        <v>1492</v>
      </c>
      <c r="F177" s="3"/>
      <c r="G177" s="19"/>
      <c r="H177" s="72" t="str">
        <f>IFERROR(IF(VLOOKUP(F177,tblDisciplines[],14,FALSE)=0,"None",VLOOKUP(F177,tblDisciplines[],14,FALSE)),"None")</f>
        <v>None</v>
      </c>
      <c r="I177" s="73"/>
      <c r="N177" s="4"/>
      <c r="O177" s="61">
        <f>N177</f>
        <v>0</v>
      </c>
      <c r="P177" s="60" t="str">
        <f>IF(O177=R177,O177,"")</f>
        <v/>
      </c>
      <c r="R177" s="61" t="str">
        <f>_xlfn.IFNA(VLOOKUP(F177,tblDisciplines[],15,FALSE),"")</f>
        <v/>
      </c>
    </row>
    <row r="178" spans="1:18">
      <c r="A178" s="1" t="s">
        <v>177</v>
      </c>
      <c r="B178" t="str">
        <f t="shared" si="29"/>
        <v>Retainer</v>
      </c>
      <c r="D178" s="19"/>
      <c r="E178" s="15" t="s">
        <v>1493</v>
      </c>
      <c r="F178" s="3"/>
      <c r="G178" s="19"/>
      <c r="H178" s="72" t="str">
        <f>IFERROR(IF(VLOOKUP(F178,tblDisciplines[],14,FALSE)=0,"None",VLOOKUP(F178,tblDisciplines[],14,FALSE)),"None")</f>
        <v>None</v>
      </c>
      <c r="I178" s="73"/>
      <c r="N178" s="4"/>
      <c r="O178" s="61">
        <f>N178</f>
        <v>0</v>
      </c>
      <c r="P178" s="60" t="str">
        <f>IF(O178=R178,O178,"")</f>
        <v/>
      </c>
      <c r="R178" s="61" t="str">
        <f>_xlfn.IFNA(VLOOKUP(F178,tblDisciplines[],15,FALSE),"")</f>
        <v/>
      </c>
    </row>
    <row r="179" spans="1:18">
      <c r="A179" s="1" t="s">
        <v>178</v>
      </c>
      <c r="B179" t="str">
        <f t="shared" si="29"/>
        <v>¬</v>
      </c>
      <c r="D179" s="19"/>
      <c r="E179" s="15" t="s">
        <v>1494</v>
      </c>
      <c r="F179" s="3"/>
      <c r="G179" s="19"/>
      <c r="H179" s="72" t="str">
        <f>IFERROR(IF(VLOOKUP(F179,tblDisciplines[],14,FALSE)=0,"None",VLOOKUP(F179,tblDisciplines[],14,FALSE)),"None")</f>
        <v>None</v>
      </c>
      <c r="I179" s="73"/>
      <c r="N179" s="4"/>
      <c r="O179" s="61">
        <f>N179</f>
        <v>0</v>
      </c>
      <c r="P179" s="60" t="str">
        <f>IF(O179=R179,O179,"")</f>
        <v/>
      </c>
      <c r="R179" s="61" t="str">
        <f>_xlfn.IFNA(VLOOKUP(F179,tblDisciplines[],15,FALSE),"")</f>
        <v/>
      </c>
    </row>
    <row r="180" spans="1:18">
      <c r="A180" s="1" t="s">
        <v>179</v>
      </c>
      <c r="B180" t="str">
        <f t="shared" si="29"/>
        <v>¬</v>
      </c>
      <c r="D180" s="19"/>
      <c r="E180" s="15" t="s">
        <v>1495</v>
      </c>
      <c r="F180" s="3"/>
      <c r="G180" s="19"/>
      <c r="H180" s="72" t="str">
        <f>IFERROR(IF(VLOOKUP(F180,tblDisciplines[],14,FALSE)=0,"None",VLOOKUP(F180,tblDisciplines[],14,FALSE)),"None")</f>
        <v>None</v>
      </c>
      <c r="I180" s="73"/>
      <c r="N180" s="4"/>
      <c r="O180" s="61">
        <f>N180</f>
        <v>0</v>
      </c>
      <c r="P180" s="60" t="str">
        <f>IF(O180=R180,O180,"")</f>
        <v/>
      </c>
      <c r="R180" s="61" t="str">
        <f>_xlfn.IFNA(VLOOKUP(F180,tblDisciplines[],15,FALSE),"")</f>
        <v/>
      </c>
    </row>
    <row r="181" spans="1:18">
      <c r="A181" s="1" t="s">
        <v>180</v>
      </c>
      <c r="B181" t="str">
        <f t="shared" si="29"/>
        <v>¬</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29"/>
        <v>¬</v>
      </c>
    </row>
    <row r="183" spans="1:18">
      <c r="A183" s="1" t="s">
        <v>182</v>
      </c>
      <c r="B183" t="str">
        <f t="shared" si="29"/>
        <v>¬</v>
      </c>
      <c r="D183" s="16" t="s">
        <v>1497</v>
      </c>
      <c r="E183" s="16"/>
      <c r="F183" s="16"/>
      <c r="G183" s="16"/>
      <c r="H183" s="16"/>
      <c r="I183" s="16"/>
    </row>
    <row r="184" spans="1:18">
      <c r="A184" s="1" t="s">
        <v>183</v>
      </c>
      <c r="B184" t="str">
        <f t="shared" si="29"/>
        <v>¬</v>
      </c>
      <c r="D184" s="19"/>
      <c r="E184" s="15" t="s">
        <v>246</v>
      </c>
      <c r="F184" s="19"/>
      <c r="G184" s="19"/>
      <c r="H184" s="19"/>
      <c r="I184" s="60" t="b">
        <f>IF(OR(F$9="Circle of the Crone",COUNTIF(F$79:F$93,"Chorister")&gt;0),TRUE,FALSE)</f>
        <v>0</v>
      </c>
      <c r="L184" s="4"/>
      <c r="N184" s="4"/>
      <c r="O184" s="61">
        <f>ROUNDDOWN(N184/4,0)</f>
        <v>0</v>
      </c>
      <c r="P184" s="60">
        <f>SUM(L184,O184)</f>
        <v>0</v>
      </c>
      <c r="Q184" s="61">
        <v>0</v>
      </c>
      <c r="R184" s="61">
        <v>5</v>
      </c>
    </row>
    <row r="185" spans="1:18">
      <c r="A185" s="1" t="s">
        <v>184</v>
      </c>
      <c r="B185" t="str">
        <f t="shared" si="29"/>
        <v>¬</v>
      </c>
      <c r="D185" s="19"/>
      <c r="E185" s="15" t="s">
        <v>247</v>
      </c>
      <c r="F185" s="19"/>
      <c r="G185" s="19"/>
      <c r="H185" s="19"/>
      <c r="I185" s="60" t="b">
        <f>IF(OR(F$9="Lancea et Sanctum",COUNTIF(F$79:F$93,"Laity")&gt;0),TRUE,FALSE)</f>
        <v>1</v>
      </c>
      <c r="L185" s="4"/>
      <c r="N185" s="4"/>
      <c r="O185" s="61">
        <f>ROUNDDOWN(N185/4,0)</f>
        <v>0</v>
      </c>
      <c r="P185" s="60">
        <f>SUM(L185,O185)</f>
        <v>0</v>
      </c>
      <c r="Q185" s="61">
        <v>0</v>
      </c>
      <c r="R185" s="61">
        <v>5</v>
      </c>
    </row>
    <row r="186" spans="1:18">
      <c r="A186" s="1" t="s">
        <v>185</v>
      </c>
      <c r="B186" t="str">
        <f t="shared" si="29"/>
        <v>¬</v>
      </c>
      <c r="D186" s="19"/>
      <c r="E186" s="19"/>
      <c r="F186" s="19"/>
      <c r="G186" s="19"/>
      <c r="H186" s="19"/>
      <c r="I186" s="19"/>
      <c r="L186" s="60">
        <f>SUM(P184:P185)-SUM(L187:L191)</f>
        <v>0</v>
      </c>
    </row>
    <row r="187" spans="1:18">
      <c r="A187" s="1" t="s">
        <v>186</v>
      </c>
      <c r="B187" t="str">
        <f t="shared" si="29"/>
        <v>¬</v>
      </c>
      <c r="D187" s="19"/>
      <c r="E187" s="15" t="s">
        <v>248</v>
      </c>
      <c r="F187" s="19"/>
      <c r="G187" s="19"/>
      <c r="H187" s="19"/>
      <c r="I187" s="19"/>
      <c r="L187" s="4"/>
      <c r="M187" s="61">
        <f>IF(AND(I184,L184&gt;=1),1,0)</f>
        <v>0</v>
      </c>
      <c r="N187" s="4"/>
      <c r="O187" s="61">
        <f>ROUNDDOWN(N187/2,0)</f>
        <v>0</v>
      </c>
      <c r="P187" s="60">
        <f>MIN(SUM(L187,M187,O187),R187)</f>
        <v>0</v>
      </c>
      <c r="Q187" s="61">
        <v>0</v>
      </c>
      <c r="R187" s="61">
        <f>MAX(P$184,P$185)</f>
        <v>0</v>
      </c>
    </row>
    <row r="188" spans="1:18">
      <c r="A188" s="1" t="s">
        <v>187</v>
      </c>
      <c r="B188" t="str">
        <f t="shared" si="29"/>
        <v>¬</v>
      </c>
      <c r="D188" s="19"/>
      <c r="E188" s="15" t="s">
        <v>249</v>
      </c>
      <c r="F188" s="19"/>
      <c r="G188" s="19"/>
      <c r="H188" s="19"/>
      <c r="I188" s="19"/>
      <c r="L188" s="4"/>
      <c r="M188" s="61"/>
      <c r="N188" s="4"/>
      <c r="O188" s="61">
        <f>ROUNDDOWN(N188/2,0)</f>
        <v>0</v>
      </c>
      <c r="P188" s="60">
        <f>MIN(SUM(L188,M188,O188),R188)</f>
        <v>0</v>
      </c>
      <c r="Q188" s="61">
        <v>0</v>
      </c>
      <c r="R188" s="61">
        <f>MAX(P$184,P$185)</f>
        <v>0</v>
      </c>
    </row>
    <row r="189" spans="1:18">
      <c r="A189" s="1" t="s">
        <v>188</v>
      </c>
      <c r="B189" t="str">
        <f t="shared" si="29"/>
        <v>¬</v>
      </c>
      <c r="D189" s="19"/>
      <c r="E189" s="15" t="s">
        <v>250</v>
      </c>
      <c r="F189" s="19"/>
      <c r="G189" s="19"/>
      <c r="H189" s="19"/>
      <c r="I189" s="19"/>
      <c r="L189" s="4"/>
      <c r="M189" s="61">
        <f>IF(AND(I185,L185&gt;=1),1,0)</f>
        <v>0</v>
      </c>
      <c r="N189" s="4"/>
      <c r="O189" s="61">
        <f>ROUNDDOWN(N189/2,0)</f>
        <v>0</v>
      </c>
      <c r="P189" s="60">
        <f>MIN(SUM(L189,M189,O189),R189)</f>
        <v>0</v>
      </c>
      <c r="Q189" s="61">
        <v>0</v>
      </c>
      <c r="R189" s="61">
        <f>MAX(P$184,P$185)</f>
        <v>0</v>
      </c>
    </row>
    <row r="190" spans="1:18">
      <c r="A190" s="1" t="s">
        <v>189</v>
      </c>
      <c r="B190" t="str">
        <f t="shared" si="29"/>
        <v>¬</v>
      </c>
      <c r="D190" s="19"/>
      <c r="E190" s="15" t="s">
        <v>251</v>
      </c>
      <c r="F190" s="19"/>
      <c r="G190" s="19"/>
      <c r="H190" s="19"/>
      <c r="I190" s="19"/>
      <c r="L190" s="4"/>
      <c r="M190" s="61">
        <f>IF(AND(I184,L184&gt;=1),1,0)</f>
        <v>0</v>
      </c>
      <c r="N190" s="4"/>
      <c r="O190" s="61">
        <f>ROUNDDOWN(N190/2,0)</f>
        <v>0</v>
      </c>
      <c r="P190" s="60">
        <f>MIN(SUM(L190,M190,O190),R190)</f>
        <v>0</v>
      </c>
      <c r="Q190" s="61">
        <v>0</v>
      </c>
      <c r="R190" s="61">
        <f>MAX(P$184,P$185)</f>
        <v>0</v>
      </c>
    </row>
    <row r="191" spans="1:18">
      <c r="A191" s="1" t="s">
        <v>190</v>
      </c>
      <c r="B191" t="str">
        <f t="shared" si="29"/>
        <v>¬</v>
      </c>
      <c r="D191" s="19"/>
      <c r="E191" s="15" t="s">
        <v>252</v>
      </c>
      <c r="F191" s="19"/>
      <c r="G191" s="19"/>
      <c r="H191" s="19"/>
      <c r="I191" s="19"/>
      <c r="L191" s="4"/>
      <c r="M191" s="61">
        <f>IF(AND(I185,L185&gt;=1),1,0)</f>
        <v>0</v>
      </c>
      <c r="N191" s="4"/>
      <c r="O191" s="61">
        <f>ROUNDDOWN(N191/2,0)</f>
        <v>0</v>
      </c>
      <c r="P191" s="60">
        <f>MIN(SUM(L191,M191,O191),R191)</f>
        <v>0</v>
      </c>
      <c r="Q191" s="61">
        <v>0</v>
      </c>
      <c r="R191" s="61">
        <f>MAX(P$184,P$185)</f>
        <v>0</v>
      </c>
    </row>
    <row r="192" spans="1:18">
      <c r="A192" s="1" t="s">
        <v>191</v>
      </c>
      <c r="B192" t="str">
        <f t="shared" si="29"/>
        <v>¬</v>
      </c>
    </row>
    <row r="193" spans="1:18">
      <c r="A193" s="1" t="s">
        <v>192</v>
      </c>
      <c r="B193" t="str">
        <f t="shared" si="29"/>
        <v>¬</v>
      </c>
      <c r="D193" s="16" t="s">
        <v>1474</v>
      </c>
      <c r="E193" s="16"/>
      <c r="F193" s="16"/>
      <c r="G193" s="16"/>
      <c r="H193" s="16"/>
      <c r="I193" s="16"/>
      <c r="L193" s="60">
        <f>SUM(P184:P185)+SUM(O187:O191)-SUM(L194:L203)</f>
        <v>0</v>
      </c>
    </row>
    <row r="194" spans="1:18">
      <c r="A194" s="1" t="s">
        <v>193</v>
      </c>
      <c r="B194" t="str">
        <f t="shared" si="29"/>
        <v>¬</v>
      </c>
      <c r="D194" s="19"/>
      <c r="E194" s="15" t="s">
        <v>1498</v>
      </c>
      <c r="F194" s="3"/>
      <c r="G194" s="61" t="str">
        <f>_xlfn.IFNA(VLOOKUP(F194,tblDisciplines[],2,FALSE),"")</f>
        <v/>
      </c>
      <c r="H194" s="19"/>
      <c r="I194" s="19"/>
      <c r="L194" s="4"/>
      <c r="N194" s="4"/>
      <c r="O194" s="61">
        <f>N194</f>
        <v>0</v>
      </c>
      <c r="P194" s="60" t="str">
        <f>IF(OR(L194=R194,O194=R194),R194,MIN(SUM(L194,O194),R194))</f>
        <v/>
      </c>
      <c r="R194" s="61" t="str">
        <f>_xlfn.IFNA(VLOOKUP(F194,tblDisciplines[],3,FALSE),"")</f>
        <v/>
      </c>
    </row>
    <row r="195" spans="1:18">
      <c r="A195" s="1" t="s">
        <v>194</v>
      </c>
      <c r="B195" t="str">
        <f t="shared" si="29"/>
        <v>¬</v>
      </c>
      <c r="D195" s="19"/>
      <c r="E195" s="15" t="s">
        <v>1499</v>
      </c>
      <c r="F195" s="3"/>
      <c r="G195" s="61" t="str">
        <f>_xlfn.IFNA(VLOOKUP(F195,tblDisciplines[],2,FALSE),"")</f>
        <v/>
      </c>
      <c r="H195" s="19"/>
      <c r="I195" s="19"/>
      <c r="L195" s="4"/>
      <c r="N195" s="4"/>
      <c r="O195" s="61">
        <f t="shared" ref="O195:O203" si="30">N195</f>
        <v>0</v>
      </c>
      <c r="P195" s="60" t="str">
        <f t="shared" ref="P195:P203" si="31">IF(OR(L195=R195,O195=R195),R195,MIN(SUM(L195,O195),R195))</f>
        <v/>
      </c>
      <c r="R195" s="61" t="str">
        <f>_xlfn.IFNA(VLOOKUP(F195,tblDisciplines[],3,FALSE),"")</f>
        <v/>
      </c>
    </row>
    <row r="196" spans="1:18">
      <c r="A196" s="1" t="s">
        <v>195</v>
      </c>
      <c r="B196" t="str">
        <f t="shared" si="29"/>
        <v>¬</v>
      </c>
      <c r="D196" s="19"/>
      <c r="E196" s="15" t="s">
        <v>1500</v>
      </c>
      <c r="F196" s="3"/>
      <c r="G196" s="61" t="str">
        <f>_xlfn.IFNA(VLOOKUP(F196,tblDisciplines[],2,FALSE),"")</f>
        <v/>
      </c>
      <c r="H196" s="19"/>
      <c r="I196" s="19"/>
      <c r="L196" s="4"/>
      <c r="N196" s="4"/>
      <c r="O196" s="61">
        <f t="shared" si="30"/>
        <v>0</v>
      </c>
      <c r="P196" s="60" t="str">
        <f t="shared" si="31"/>
        <v/>
      </c>
      <c r="R196" s="61" t="str">
        <f>_xlfn.IFNA(VLOOKUP(F196,tblDisciplines[],3,FALSE),"")</f>
        <v/>
      </c>
    </row>
    <row r="197" spans="1:18">
      <c r="A197" s="1" t="s">
        <v>196</v>
      </c>
      <c r="B197" t="str">
        <f>IF(AD134="","¬",AD134)</f>
        <v>Church</v>
      </c>
      <c r="D197" s="19"/>
      <c r="E197" s="15" t="s">
        <v>1501</v>
      </c>
      <c r="F197" s="3"/>
      <c r="G197" s="61" t="str">
        <f>_xlfn.IFNA(VLOOKUP(F197,tblDisciplines[],2,FALSE),"")</f>
        <v/>
      </c>
      <c r="H197" s="19"/>
      <c r="I197" s="19"/>
      <c r="L197" s="4"/>
      <c r="N197" s="4"/>
      <c r="O197" s="61">
        <f t="shared" si="30"/>
        <v>0</v>
      </c>
      <c r="P197" s="60" t="str">
        <f t="shared" si="31"/>
        <v/>
      </c>
      <c r="R197" s="61" t="str">
        <f>_xlfn.IFNA(VLOOKUP(F197,tblDisciplines[],3,FALSE),"")</f>
        <v/>
      </c>
    </row>
    <row r="198" spans="1:18">
      <c r="A198" s="1" t="s">
        <v>197</v>
      </c>
      <c r="B198" t="str">
        <f t="shared" ref="B198:B216" si="32">IF(AD135="","¬",AD135)</f>
        <v>¬</v>
      </c>
      <c r="D198" s="19"/>
      <c r="E198" s="15" t="s">
        <v>1502</v>
      </c>
      <c r="F198" s="3"/>
      <c r="G198" s="61" t="str">
        <f>_xlfn.IFNA(VLOOKUP(F198,tblDisciplines[],2,FALSE),"")</f>
        <v/>
      </c>
      <c r="H198" s="19"/>
      <c r="I198" s="19"/>
      <c r="L198" s="4"/>
      <c r="N198" s="4"/>
      <c r="O198" s="61">
        <f t="shared" si="30"/>
        <v>0</v>
      </c>
      <c r="P198" s="60" t="str">
        <f t="shared" si="31"/>
        <v/>
      </c>
      <c r="R198" s="61" t="str">
        <f>_xlfn.IFNA(VLOOKUP(F198,tblDisciplines[],3,FALSE),"")</f>
        <v/>
      </c>
    </row>
    <row r="199" spans="1:18">
      <c r="A199" s="1" t="s">
        <v>198</v>
      </c>
      <c r="B199" t="str">
        <f t="shared" si="32"/>
        <v>¬</v>
      </c>
      <c r="D199" s="19"/>
      <c r="E199" s="15" t="s">
        <v>1503</v>
      </c>
      <c r="F199" s="3"/>
      <c r="G199" s="61" t="str">
        <f>_xlfn.IFNA(VLOOKUP(F199,tblDisciplines[],2,FALSE),"")</f>
        <v/>
      </c>
      <c r="H199" s="19"/>
      <c r="I199" s="19"/>
      <c r="L199" s="4"/>
      <c r="N199" s="4"/>
      <c r="O199" s="61">
        <f t="shared" si="30"/>
        <v>0</v>
      </c>
      <c r="P199" s="60" t="str">
        <f t="shared" si="31"/>
        <v/>
      </c>
      <c r="R199" s="61" t="str">
        <f>_xlfn.IFNA(VLOOKUP(F199,tblDisciplines[],3,FALSE),"")</f>
        <v/>
      </c>
    </row>
    <row r="200" spans="1:18">
      <c r="A200" s="1" t="s">
        <v>199</v>
      </c>
      <c r="B200" t="str">
        <f t="shared" si="32"/>
        <v>¬</v>
      </c>
      <c r="D200" s="19"/>
      <c r="E200" s="15" t="s">
        <v>1504</v>
      </c>
      <c r="F200" s="3"/>
      <c r="G200" s="61" t="str">
        <f>_xlfn.IFNA(VLOOKUP(F200,tblDisciplines[],2,FALSE),"")</f>
        <v/>
      </c>
      <c r="H200" s="19"/>
      <c r="I200" s="19"/>
      <c r="L200" s="4"/>
      <c r="N200" s="4"/>
      <c r="O200" s="61">
        <f t="shared" si="30"/>
        <v>0</v>
      </c>
      <c r="P200" s="60" t="str">
        <f t="shared" si="31"/>
        <v/>
      </c>
      <c r="R200" s="61" t="str">
        <f>_xlfn.IFNA(VLOOKUP(F200,tblDisciplines[],3,FALSE),"")</f>
        <v/>
      </c>
    </row>
    <row r="201" spans="1:18">
      <c r="A201" s="1" t="s">
        <v>200</v>
      </c>
      <c r="B201" t="str">
        <f t="shared" si="32"/>
        <v>¬</v>
      </c>
      <c r="D201" s="19"/>
      <c r="E201" s="15" t="s">
        <v>1505</v>
      </c>
      <c r="F201" s="3"/>
      <c r="G201" s="61" t="str">
        <f>_xlfn.IFNA(VLOOKUP(F201,tblDisciplines[],2,FALSE),"")</f>
        <v/>
      </c>
      <c r="H201" s="19"/>
      <c r="I201" s="19"/>
      <c r="L201" s="4"/>
      <c r="N201" s="4"/>
      <c r="O201" s="61">
        <f t="shared" si="30"/>
        <v>0</v>
      </c>
      <c r="P201" s="60" t="str">
        <f t="shared" si="31"/>
        <v/>
      </c>
      <c r="R201" s="61" t="str">
        <f>_xlfn.IFNA(VLOOKUP(F201,tblDisciplines[],3,FALSE),"")</f>
        <v/>
      </c>
    </row>
    <row r="202" spans="1:18">
      <c r="A202" s="1" t="s">
        <v>201</v>
      </c>
      <c r="B202" t="str">
        <f t="shared" si="32"/>
        <v>¬</v>
      </c>
      <c r="D202" s="19"/>
      <c r="E202" s="15" t="s">
        <v>1506</v>
      </c>
      <c r="F202" s="3"/>
      <c r="G202" s="61" t="str">
        <f>_xlfn.IFNA(VLOOKUP(F202,tblDisciplines[],2,FALSE),"")</f>
        <v/>
      </c>
      <c r="H202" s="19"/>
      <c r="I202" s="19"/>
      <c r="L202" s="4"/>
      <c r="N202" s="4"/>
      <c r="O202" s="61">
        <f t="shared" si="30"/>
        <v>0</v>
      </c>
      <c r="P202" s="60" t="str">
        <f t="shared" si="31"/>
        <v/>
      </c>
      <c r="R202" s="61" t="str">
        <f>_xlfn.IFNA(VLOOKUP(F202,tblDisciplines[],3,FALSE),"")</f>
        <v/>
      </c>
    </row>
    <row r="203" spans="1:18">
      <c r="A203" s="1" t="s">
        <v>202</v>
      </c>
      <c r="B203" t="str">
        <f t="shared" si="32"/>
        <v>¬</v>
      </c>
      <c r="D203" s="19"/>
      <c r="E203" s="15" t="s">
        <v>1507</v>
      </c>
      <c r="F203" s="3"/>
      <c r="G203" s="61" t="str">
        <f>_xlfn.IFNA(VLOOKUP(F203,tblDisciplines[],2,FALSE),"")</f>
        <v/>
      </c>
      <c r="H203" s="19"/>
      <c r="I203" s="19"/>
      <c r="L203" s="4"/>
      <c r="N203" s="4"/>
      <c r="O203" s="61">
        <f t="shared" si="30"/>
        <v>0</v>
      </c>
      <c r="P203" s="60" t="str">
        <f t="shared" si="31"/>
        <v/>
      </c>
      <c r="R203" s="61" t="str">
        <f>_xlfn.IFNA(VLOOKUP(F203,tblDisciplines[],3,FALSE),"")</f>
        <v/>
      </c>
    </row>
    <row r="204" spans="1:18">
      <c r="A204" s="1" t="s">
        <v>203</v>
      </c>
      <c r="B204" t="str">
        <f t="shared" si="32"/>
        <v>¬</v>
      </c>
    </row>
    <row r="205" spans="1:18">
      <c r="A205" s="1" t="s">
        <v>204</v>
      </c>
      <c r="B205" t="str">
        <f t="shared" si="32"/>
        <v>¬</v>
      </c>
      <c r="D205" s="16" t="s">
        <v>1508</v>
      </c>
      <c r="E205" s="17"/>
      <c r="F205" s="17"/>
      <c r="G205" s="17"/>
      <c r="H205" s="17"/>
      <c r="I205" s="17"/>
    </row>
    <row r="206" spans="1:18">
      <c r="A206" s="1" t="s">
        <v>205</v>
      </c>
      <c r="B206" t="str">
        <f t="shared" si="32"/>
        <v>¬</v>
      </c>
      <c r="D206" s="19"/>
      <c r="E206" s="15" t="s">
        <v>1476</v>
      </c>
      <c r="F206" s="3"/>
      <c r="G206" s="19" t="str">
        <f>IFERROR(VLOOKUP(F206,tblManoeuvre[],2,FALSE)&amp;" "&amp;VLOOKUP(F206,tblManoeuvre[],3,FALSE),"")</f>
        <v/>
      </c>
      <c r="H206" s="68" t="str">
        <f>_xlfn.IFNA(IF(VLOOKUP(F206,tblMerits[],6,FALSE)=0,"None",VLOOKUP(F206,tblMerits[],6,FALSE)),"None")</f>
        <v>None</v>
      </c>
      <c r="I206" s="69"/>
      <c r="L206" s="4"/>
      <c r="M206" s="4"/>
      <c r="N206" s="4"/>
      <c r="O206" s="61">
        <f t="shared" ref="O206:O215" si="33">N206</f>
        <v>0</v>
      </c>
      <c r="P206" s="60">
        <f t="shared" ref="P206:P215" si="34">MIN(SUM(L206,M206,O206),R206)</f>
        <v>0</v>
      </c>
      <c r="Q206" s="61" t="str">
        <f>_xlfn.IFNA(VLOOKUP($F206,tblPacts[],3,FALSE),"")</f>
        <v/>
      </c>
      <c r="R206" s="61" t="str">
        <f>_xlfn.IFNA(VLOOKUP($F206,tblPacts[],4,FALSE),"")</f>
        <v/>
      </c>
    </row>
    <row r="207" spans="1:18">
      <c r="A207" s="1" t="s">
        <v>206</v>
      </c>
      <c r="B207" t="str">
        <f t="shared" si="32"/>
        <v>¬</v>
      </c>
      <c r="D207" s="19"/>
      <c r="E207" s="15" t="s">
        <v>1477</v>
      </c>
      <c r="F207" s="3"/>
      <c r="G207" s="19" t="str">
        <f>IFERROR(VLOOKUP(F207,tblManoeuvre[],2,FALSE)&amp;" "&amp;VLOOKUP(F207,tblManoeuvre[],3,FALSE),"")</f>
        <v/>
      </c>
      <c r="H207" s="68" t="str">
        <f>_xlfn.IFNA(IF(VLOOKUP(F207,tblMerits[],6,FALSE)=0,"None",VLOOKUP(F207,tblMerits[],6,FALSE)),"None")</f>
        <v>None</v>
      </c>
      <c r="I207" s="69"/>
      <c r="L207" s="4"/>
      <c r="M207" s="4"/>
      <c r="N207" s="4"/>
      <c r="O207" s="61">
        <f t="shared" si="33"/>
        <v>0</v>
      </c>
      <c r="P207" s="60">
        <f t="shared" si="34"/>
        <v>0</v>
      </c>
      <c r="Q207" s="61" t="str">
        <f>_xlfn.IFNA(VLOOKUP($F207,tblPacts[],3,FALSE),"")</f>
        <v/>
      </c>
      <c r="R207" s="61" t="str">
        <f>_xlfn.IFNA(VLOOKUP($F207,tblPacts[],4,FALSE),"")</f>
        <v/>
      </c>
    </row>
    <row r="208" spans="1:18">
      <c r="A208" s="1" t="s">
        <v>207</v>
      </c>
      <c r="B208" t="str">
        <f t="shared" si="32"/>
        <v>¬</v>
      </c>
      <c r="D208" s="19"/>
      <c r="E208" s="15" t="s">
        <v>1478</v>
      </c>
      <c r="F208" s="3"/>
      <c r="G208" s="19" t="str">
        <f>IFERROR(VLOOKUP(F208,tblManoeuvre[],2,FALSE)&amp;" "&amp;VLOOKUP(F208,tblManoeuvre[],3,FALSE),"")</f>
        <v/>
      </c>
      <c r="H208" s="68" t="str">
        <f>_xlfn.IFNA(IF(VLOOKUP(F208,tblMerits[],6,FALSE)=0,"None",VLOOKUP(F208,tblMerits[],6,FALSE)),"None")</f>
        <v>None</v>
      </c>
      <c r="I208" s="69"/>
      <c r="L208" s="4"/>
      <c r="M208" s="4"/>
      <c r="N208" s="4"/>
      <c r="O208" s="61">
        <f t="shared" si="33"/>
        <v>0</v>
      </c>
      <c r="P208" s="60">
        <f t="shared" si="34"/>
        <v>0</v>
      </c>
      <c r="Q208" s="61" t="str">
        <f>_xlfn.IFNA(VLOOKUP($F208,tblPacts[],3,FALSE),"")</f>
        <v/>
      </c>
      <c r="R208" s="61" t="str">
        <f>_xlfn.IFNA(VLOOKUP($F208,tblPacts[],4,FALSE),"")</f>
        <v/>
      </c>
    </row>
    <row r="209" spans="1:18">
      <c r="A209" s="1" t="s">
        <v>208</v>
      </c>
      <c r="B209" t="str">
        <f t="shared" si="32"/>
        <v>¬</v>
      </c>
      <c r="D209" s="19"/>
      <c r="E209" s="15" t="s">
        <v>1479</v>
      </c>
      <c r="F209" s="3"/>
      <c r="G209" s="19" t="str">
        <f>IFERROR(VLOOKUP(F209,tblManoeuvre[],2,FALSE)&amp;" "&amp;VLOOKUP(F209,tblManoeuvre[],3,FALSE),"")</f>
        <v/>
      </c>
      <c r="H209" s="68" t="str">
        <f>_xlfn.IFNA(IF(VLOOKUP(F209,tblMerits[],6,FALSE)=0,"None",VLOOKUP(F209,tblMerits[],6,FALSE)),"None")</f>
        <v>None</v>
      </c>
      <c r="I209" s="69"/>
      <c r="L209" s="4"/>
      <c r="M209" s="4"/>
      <c r="N209" s="4"/>
      <c r="O209" s="61">
        <f t="shared" si="33"/>
        <v>0</v>
      </c>
      <c r="P209" s="60">
        <f t="shared" si="34"/>
        <v>0</v>
      </c>
      <c r="Q209" s="61" t="str">
        <f>_xlfn.IFNA(VLOOKUP($F209,tblPacts[],3,FALSE),"")</f>
        <v/>
      </c>
      <c r="R209" s="61" t="str">
        <f>_xlfn.IFNA(VLOOKUP($F209,tblPacts[],4,FALSE),"")</f>
        <v/>
      </c>
    </row>
    <row r="210" spans="1:18">
      <c r="A210" s="1" t="s">
        <v>209</v>
      </c>
      <c r="B210" t="str">
        <f t="shared" si="32"/>
        <v>¬</v>
      </c>
      <c r="D210" s="19"/>
      <c r="E210" s="15" t="s">
        <v>1480</v>
      </c>
      <c r="F210" s="3"/>
      <c r="G210" s="19" t="str">
        <f>IFERROR(VLOOKUP(F210,tblManoeuvre[],2,FALSE)&amp;" "&amp;VLOOKUP(F210,tblManoeuvre[],3,FALSE),"")</f>
        <v/>
      </c>
      <c r="H210" s="68" t="str">
        <f>_xlfn.IFNA(IF(VLOOKUP(F210,tblMerits[],6,FALSE)=0,"None",VLOOKUP(F210,tblMerits[],6,FALSE)),"None")</f>
        <v>None</v>
      </c>
      <c r="I210" s="69"/>
      <c r="L210" s="4"/>
      <c r="M210" s="4"/>
      <c r="N210" s="4"/>
      <c r="O210" s="61">
        <f t="shared" si="33"/>
        <v>0</v>
      </c>
      <c r="P210" s="60">
        <f t="shared" si="34"/>
        <v>0</v>
      </c>
      <c r="Q210" s="61" t="str">
        <f>_xlfn.IFNA(VLOOKUP($F210,tblPacts[],3,FALSE),"")</f>
        <v/>
      </c>
      <c r="R210" s="61" t="str">
        <f>_xlfn.IFNA(VLOOKUP($F210,tblPacts[],4,FALSE),"")</f>
        <v/>
      </c>
    </row>
    <row r="211" spans="1:18">
      <c r="A211" s="1" t="s">
        <v>210</v>
      </c>
      <c r="B211" t="str">
        <f t="shared" si="32"/>
        <v>¬</v>
      </c>
      <c r="D211" s="19"/>
      <c r="E211" s="15" t="s">
        <v>1481</v>
      </c>
      <c r="F211" s="3"/>
      <c r="G211" s="19" t="str">
        <f>IFERROR(VLOOKUP(F211,tblManoeuvre[],2,FALSE)&amp;" "&amp;VLOOKUP(F211,tblManoeuvre[],3,FALSE),"")</f>
        <v/>
      </c>
      <c r="H211" s="68" t="str">
        <f>_xlfn.IFNA(IF(VLOOKUP(F211,tblMerits[],6,FALSE)=0,"None",VLOOKUP(F211,tblMerits[],6,FALSE)),"None")</f>
        <v>None</v>
      </c>
      <c r="I211" s="69"/>
      <c r="L211" s="4"/>
      <c r="M211" s="4"/>
      <c r="N211" s="4"/>
      <c r="O211" s="61">
        <f t="shared" si="33"/>
        <v>0</v>
      </c>
      <c r="P211" s="60">
        <f t="shared" si="34"/>
        <v>0</v>
      </c>
      <c r="Q211" s="61" t="str">
        <f>_xlfn.IFNA(VLOOKUP($F211,tblPacts[],3,FALSE),"")</f>
        <v/>
      </c>
      <c r="R211" s="61" t="str">
        <f>_xlfn.IFNA(VLOOKUP($F211,tblPacts[],4,FALSE),"")</f>
        <v/>
      </c>
    </row>
    <row r="212" spans="1:18">
      <c r="A212" s="1" t="s">
        <v>211</v>
      </c>
      <c r="B212" t="str">
        <f t="shared" si="32"/>
        <v>¬</v>
      </c>
      <c r="D212" s="19"/>
      <c r="E212" s="15" t="s">
        <v>1482</v>
      </c>
      <c r="F212" s="3"/>
      <c r="G212" s="19" t="str">
        <f>IFERROR(VLOOKUP(F212,tblManoeuvre[],2,FALSE)&amp;" "&amp;VLOOKUP(F212,tblManoeuvre[],3,FALSE),"")</f>
        <v/>
      </c>
      <c r="H212" s="68" t="str">
        <f>_xlfn.IFNA(IF(VLOOKUP(F212,tblMerits[],6,FALSE)=0,"None",VLOOKUP(F212,tblMerits[],6,FALSE)),"None")</f>
        <v>None</v>
      </c>
      <c r="I212" s="69"/>
      <c r="L212" s="4"/>
      <c r="M212" s="4"/>
      <c r="N212" s="4"/>
      <c r="O212" s="61">
        <f t="shared" si="33"/>
        <v>0</v>
      </c>
      <c r="P212" s="60">
        <f t="shared" si="34"/>
        <v>0</v>
      </c>
      <c r="Q212" s="61" t="str">
        <f>_xlfn.IFNA(VLOOKUP($F212,tblPacts[],3,FALSE),"")</f>
        <v/>
      </c>
      <c r="R212" s="61" t="str">
        <f>_xlfn.IFNA(VLOOKUP($F212,tblPacts[],4,FALSE),"")</f>
        <v/>
      </c>
    </row>
    <row r="213" spans="1:18">
      <c r="A213" s="1" t="s">
        <v>212</v>
      </c>
      <c r="B213" t="str">
        <f t="shared" si="32"/>
        <v>¬</v>
      </c>
      <c r="D213" s="19"/>
      <c r="E213" s="15" t="s">
        <v>1483</v>
      </c>
      <c r="F213" s="3"/>
      <c r="G213" s="19" t="str">
        <f>IFERROR(VLOOKUP(F213,tblManoeuvre[],2,FALSE)&amp;" "&amp;VLOOKUP(F213,tblManoeuvre[],3,FALSE),"")</f>
        <v/>
      </c>
      <c r="H213" s="68" t="str">
        <f>_xlfn.IFNA(IF(VLOOKUP(F213,tblMerits[],6,FALSE)=0,"None",VLOOKUP(F213,tblMerits[],6,FALSE)),"None")</f>
        <v>None</v>
      </c>
      <c r="I213" s="69"/>
      <c r="L213" s="4"/>
      <c r="M213" s="4"/>
      <c r="N213" s="4"/>
      <c r="O213" s="61">
        <f t="shared" si="33"/>
        <v>0</v>
      </c>
      <c r="P213" s="60">
        <f t="shared" si="34"/>
        <v>0</v>
      </c>
      <c r="Q213" s="61" t="str">
        <f>_xlfn.IFNA(VLOOKUP($F213,tblPacts[],3,FALSE),"")</f>
        <v/>
      </c>
      <c r="R213" s="61" t="str">
        <f>_xlfn.IFNA(VLOOKUP($F213,tblPacts[],4,FALSE),"")</f>
        <v/>
      </c>
    </row>
    <row r="214" spans="1:18">
      <c r="A214" s="1" t="s">
        <v>213</v>
      </c>
      <c r="B214" t="str">
        <f t="shared" si="32"/>
        <v>¬</v>
      </c>
      <c r="D214" s="19"/>
      <c r="E214" s="15" t="s">
        <v>1484</v>
      </c>
      <c r="F214" s="3"/>
      <c r="G214" s="19" t="str">
        <f>IFERROR(VLOOKUP(F214,tblManoeuvre[],2,FALSE)&amp;" "&amp;VLOOKUP(F214,tblManoeuvre[],3,FALSE),"")</f>
        <v/>
      </c>
      <c r="H214" s="68" t="str">
        <f>_xlfn.IFNA(IF(VLOOKUP(F214,tblMerits[],6,FALSE)=0,"None",VLOOKUP(F214,tblMerits[],6,FALSE)),"None")</f>
        <v>None</v>
      </c>
      <c r="I214" s="69"/>
      <c r="L214" s="4"/>
      <c r="M214" s="4"/>
      <c r="N214" s="4"/>
      <c r="O214" s="61">
        <f t="shared" si="33"/>
        <v>0</v>
      </c>
      <c r="P214" s="60">
        <f t="shared" si="34"/>
        <v>0</v>
      </c>
      <c r="Q214" s="61" t="str">
        <f>_xlfn.IFNA(VLOOKUP($F214,tblPacts[],3,FALSE),"")</f>
        <v/>
      </c>
      <c r="R214" s="61" t="str">
        <f>_xlfn.IFNA(VLOOKUP($F214,tblPacts[],4,FALSE),"")</f>
        <v/>
      </c>
    </row>
    <row r="215" spans="1:18">
      <c r="A215" s="1" t="s">
        <v>214</v>
      </c>
      <c r="B215" t="str">
        <f t="shared" si="32"/>
        <v>¬</v>
      </c>
      <c r="D215" s="19"/>
      <c r="E215" s="15" t="s">
        <v>1485</v>
      </c>
      <c r="F215" s="3"/>
      <c r="G215" s="19" t="str">
        <f>IFERROR(VLOOKUP(F215,tblManoeuvre[],2,FALSE)&amp;" "&amp;VLOOKUP(F215,tblManoeuvre[],3,FALSE),"")</f>
        <v/>
      </c>
      <c r="H215" s="68" t="str">
        <f>_xlfn.IFNA(IF(VLOOKUP(F215,tblMerits[],6,FALSE)=0,"None",VLOOKUP(F215,tblMerits[],6,FALSE)),"None")</f>
        <v>None</v>
      </c>
      <c r="I215" s="69"/>
      <c r="L215" s="4"/>
      <c r="M215" s="4"/>
      <c r="N215" s="4"/>
      <c r="O215" s="61">
        <f t="shared" si="33"/>
        <v>0</v>
      </c>
      <c r="P215" s="60">
        <f t="shared" si="34"/>
        <v>0</v>
      </c>
      <c r="Q215" s="61" t="str">
        <f>_xlfn.IFNA(VLOOKUP($F215,tblPacts[],3,FALSE),"")</f>
        <v/>
      </c>
      <c r="R215" s="61" t="str">
        <f>_xlfn.IFNA(VLOOKUP($F215,tblPacts[],4,FALSE),"")</f>
        <v/>
      </c>
    </row>
    <row r="216" spans="1:18">
      <c r="A216" s="1" t="s">
        <v>215</v>
      </c>
      <c r="B216" t="str">
        <f t="shared" si="32"/>
        <v>¬</v>
      </c>
    </row>
    <row r="217" spans="1:18">
      <c r="A217" s="1" t="s">
        <v>216</v>
      </c>
      <c r="B217" t="str">
        <f>IF(OR(AF134=0,AF134=""),"",REPT("●",AF134))</f>
        <v>●●●</v>
      </c>
      <c r="D217" s="16" t="s">
        <v>1509</v>
      </c>
      <c r="E217" s="16"/>
      <c r="F217" s="16"/>
      <c r="G217" s="16"/>
      <c r="H217" s="16"/>
      <c r="I217" s="16"/>
    </row>
    <row r="218" spans="1:18">
      <c r="A218" s="1" t="s">
        <v>217</v>
      </c>
      <c r="B218" t="str">
        <f t="shared" ref="B218:B236" si="35">IF(OR(AF135=0,AF135=""),"",REPT("●",AF135))</f>
        <v>●●</v>
      </c>
      <c r="D218" s="19"/>
      <c r="E218" s="15" t="s">
        <v>353</v>
      </c>
      <c r="F218" s="19"/>
      <c r="G218" s="19"/>
      <c r="H218" s="19"/>
      <c r="I218" s="19"/>
      <c r="M218" s="61">
        <f>IF(COUNTIF(F79:F93,"Giant")&gt;0,1,0)+IF(COUNTIF(F79:F93,"Small-Framed")&gt;0,-1,0)</f>
        <v>0</v>
      </c>
      <c r="P218" s="60">
        <f>5+M218</f>
        <v>5</v>
      </c>
    </row>
    <row r="219" spans="1:18">
      <c r="A219" s="1" t="s">
        <v>218</v>
      </c>
      <c r="B219" t="str">
        <f t="shared" si="35"/>
        <v/>
      </c>
      <c r="D219" s="19"/>
      <c r="E219" s="15" t="s">
        <v>354</v>
      </c>
      <c r="F219" s="19"/>
      <c r="G219" s="19"/>
      <c r="H219" s="19"/>
      <c r="I219" s="19"/>
      <c r="P219" s="60">
        <f ca="1">VLOOKUP("Size",INDIRECT($AH$1),2,FALSE)+VLOOKUP("Strength",INDIRECT($AH$1),2,FALSE)+VLOOKUP("Dexterity",INDIRECT($AH$1),2,FALSE)+VLOOKUP("Vigour",INDIRECT($AH$1),2,FALSE)</f>
        <v>10</v>
      </c>
    </row>
    <row r="220" spans="1:18">
      <c r="A220" s="1" t="s">
        <v>219</v>
      </c>
      <c r="B220" t="str">
        <f t="shared" si="35"/>
        <v/>
      </c>
      <c r="D220" s="19"/>
      <c r="E220" s="15" t="s">
        <v>355</v>
      </c>
      <c r="F220" s="19"/>
      <c r="G220" s="19"/>
      <c r="H220" s="19"/>
      <c r="I220" s="19"/>
      <c r="P220" s="60">
        <f ca="1">MIN(VLOOKUP("Dexterity",INDIRECT($AH$1),2,FALSE),VLOOKUP("Wits",INDIRECT($AH$1),2,FALSE))+VLOOKUP("Athletics",INDIRECT($AH$1),2,FALSE)</f>
        <v>2</v>
      </c>
    </row>
    <row r="221" spans="1:18">
      <c r="A221" s="1" t="s">
        <v>220</v>
      </c>
      <c r="B221" t="str">
        <f t="shared" si="35"/>
        <v/>
      </c>
      <c r="D221" s="19"/>
      <c r="E221" s="15" t="s">
        <v>52</v>
      </c>
      <c r="F221" s="19"/>
      <c r="G221" s="19"/>
      <c r="H221" s="19"/>
      <c r="I221" s="19"/>
      <c r="P221" s="60">
        <f ca="1">VLOOKUP("Size",INDIRECT($AH$1),2,FALSE)+VLOOKUP("Stamina",INDIRECT($AH$1),2,FALSE)+VLOOKUP("Resilience",INDIRECT($AH$1),2,FALSE)</f>
        <v>7</v>
      </c>
    </row>
    <row r="222" spans="1:18">
      <c r="A222" s="1" t="s">
        <v>221</v>
      </c>
      <c r="B222" t="str">
        <f t="shared" si="35"/>
        <v/>
      </c>
      <c r="D222" s="19"/>
      <c r="E222" s="19"/>
      <c r="F222" s="19"/>
      <c r="G222" s="19"/>
      <c r="H222" s="15" t="s">
        <v>1510</v>
      </c>
      <c r="I222" s="19"/>
      <c r="L222" s="4"/>
    </row>
    <row r="223" spans="1:18">
      <c r="A223" s="1" t="s">
        <v>222</v>
      </c>
      <c r="B223" t="str">
        <f t="shared" si="35"/>
        <v/>
      </c>
      <c r="D223" s="19"/>
      <c r="E223" s="15" t="s">
        <v>1511</v>
      </c>
      <c r="F223" s="7"/>
      <c r="G223" s="19"/>
      <c r="H223" s="15" t="s">
        <v>1512</v>
      </c>
      <c r="I223" s="19"/>
      <c r="L223" s="4"/>
    </row>
    <row r="224" spans="1:18">
      <c r="A224" s="1" t="s">
        <v>223</v>
      </c>
      <c r="B224" t="str">
        <f t="shared" si="35"/>
        <v/>
      </c>
      <c r="D224" s="19"/>
      <c r="E224" s="15" t="s">
        <v>1513</v>
      </c>
      <c r="F224" s="7"/>
      <c r="G224" s="19"/>
      <c r="H224" s="15" t="s">
        <v>1514</v>
      </c>
      <c r="I224" s="19"/>
      <c r="L224" s="4"/>
    </row>
    <row r="225" spans="1:12">
      <c r="A225" s="1" t="s">
        <v>224</v>
      </c>
      <c r="B225" t="str">
        <f t="shared" si="35"/>
        <v/>
      </c>
      <c r="D225" s="19"/>
      <c r="E225" s="15" t="s">
        <v>1515</v>
      </c>
      <c r="F225" s="7"/>
      <c r="G225" s="19"/>
      <c r="H225" s="15" t="s">
        <v>1516</v>
      </c>
      <c r="I225" s="19"/>
      <c r="L225" s="4">
        <v>1</v>
      </c>
    </row>
    <row r="226" spans="1:12">
      <c r="A226" s="1" t="s">
        <v>225</v>
      </c>
      <c r="B226" t="str">
        <f t="shared" si="35"/>
        <v/>
      </c>
      <c r="D226" s="19"/>
      <c r="E226" s="15" t="s">
        <v>1517</v>
      </c>
      <c r="F226" s="7" t="s">
        <v>1712</v>
      </c>
      <c r="G226" s="19"/>
      <c r="H226" s="19"/>
      <c r="I226" s="19"/>
    </row>
    <row r="227" spans="1:12">
      <c r="A227" s="1" t="s">
        <v>226</v>
      </c>
      <c r="B227" t="str">
        <f t="shared" si="35"/>
        <v/>
      </c>
      <c r="D227" s="19"/>
      <c r="E227" s="15" t="s">
        <v>1518</v>
      </c>
      <c r="F227" s="7"/>
      <c r="G227" s="19"/>
      <c r="H227" s="19"/>
      <c r="I227" s="19"/>
    </row>
    <row r="228" spans="1:12">
      <c r="A228" s="1" t="s">
        <v>227</v>
      </c>
      <c r="B228" t="str">
        <f t="shared" si="35"/>
        <v/>
      </c>
      <c r="D228" s="19"/>
      <c r="E228" s="15" t="s">
        <v>1519</v>
      </c>
      <c r="F228" s="7"/>
      <c r="G228" s="19"/>
      <c r="H228" s="19"/>
      <c r="I228" s="19"/>
    </row>
    <row r="229" spans="1:12">
      <c r="A229" s="1" t="s">
        <v>228</v>
      </c>
      <c r="B229" t="str">
        <f t="shared" si="35"/>
        <v/>
      </c>
      <c r="D229" s="19"/>
      <c r="E229" s="15" t="s">
        <v>1520</v>
      </c>
      <c r="F229" s="7"/>
      <c r="G229" s="19"/>
      <c r="H229" s="19"/>
      <c r="I229" s="19"/>
    </row>
    <row r="230" spans="1:12">
      <c r="A230" s="1" t="s">
        <v>229</v>
      </c>
      <c r="B230" t="str">
        <f t="shared" si="35"/>
        <v/>
      </c>
      <c r="D230" s="19"/>
      <c r="E230" s="15" t="s">
        <v>1521</v>
      </c>
      <c r="F230" s="7"/>
      <c r="G230" s="19"/>
      <c r="H230" s="19"/>
      <c r="I230" s="19"/>
    </row>
    <row r="231" spans="1:12">
      <c r="A231" s="1" t="s">
        <v>230</v>
      </c>
      <c r="B231" t="str">
        <f t="shared" si="35"/>
        <v/>
      </c>
      <c r="D231" s="19"/>
      <c r="E231" s="15" t="s">
        <v>1522</v>
      </c>
      <c r="F231" s="7"/>
      <c r="G231" s="19"/>
      <c r="H231" s="19"/>
      <c r="I231" s="19"/>
    </row>
    <row r="232" spans="1:12">
      <c r="A232" s="1" t="s">
        <v>231</v>
      </c>
      <c r="B232" t="str">
        <f t="shared" si="35"/>
        <v/>
      </c>
      <c r="D232" s="19"/>
      <c r="E232" s="15" t="s">
        <v>1523</v>
      </c>
      <c r="F232" s="7"/>
      <c r="G232" s="19"/>
      <c r="H232" s="19"/>
      <c r="I232" s="19"/>
    </row>
    <row r="233" spans="1:12">
      <c r="A233" s="1" t="s">
        <v>232</v>
      </c>
      <c r="B233" t="str">
        <f t="shared" si="35"/>
        <v/>
      </c>
      <c r="D233" s="19"/>
      <c r="E233" s="19"/>
      <c r="F233" s="19"/>
      <c r="G233" s="19"/>
      <c r="H233" s="19"/>
      <c r="I233" s="19"/>
    </row>
    <row r="234" spans="1:12">
      <c r="A234" s="1" t="s">
        <v>233</v>
      </c>
      <c r="B234" t="str">
        <f t="shared" si="35"/>
        <v/>
      </c>
      <c r="D234" s="19"/>
      <c r="E234" s="15" t="s">
        <v>343</v>
      </c>
      <c r="F234" s="61" t="str">
        <f>_xlfn.IFNA(VLOOKUP(F7,tblClans[],4,FALSE),"")</f>
        <v>Aloof Curse</v>
      </c>
      <c r="G234" s="19"/>
      <c r="H234" s="74" t="str">
        <f>_xlfn.IFNA(VLOOKUP(F234,tblBanes[],2,FALSE),"")</f>
        <v>First Touchstone attaches to Humanity 7; losing it detaches on first Humanity loss. Breaking points always treated as one step lower.</v>
      </c>
      <c r="I234" s="74"/>
    </row>
    <row r="235" spans="1:12">
      <c r="A235" s="1" t="s">
        <v>234</v>
      </c>
      <c r="B235" t="str">
        <f t="shared" si="35"/>
        <v/>
      </c>
      <c r="D235" s="19"/>
      <c r="E235" s="15" t="s">
        <v>344</v>
      </c>
      <c r="F235" s="19"/>
      <c r="G235" s="19"/>
      <c r="H235" s="19"/>
      <c r="I235" s="19"/>
    </row>
    <row r="236" spans="1:12">
      <c r="A236" s="1" t="s">
        <v>235</v>
      </c>
      <c r="B236" t="str">
        <f t="shared" si="35"/>
        <v/>
      </c>
      <c r="D236" s="19"/>
      <c r="E236" s="15" t="s">
        <v>345</v>
      </c>
      <c r="F236" s="3"/>
      <c r="G236" s="19"/>
      <c r="H236" s="70" t="str">
        <f>_xlfn.IFNA(VLOOKUP(F236,tblBanes[],2,FALSE),"")</f>
        <v/>
      </c>
      <c r="I236" s="71"/>
    </row>
    <row r="237" spans="1:12">
      <c r="A237" s="1" t="s">
        <v>236</v>
      </c>
      <c r="B237" t="str">
        <f ca="1">_xlfn.LET(_xlpm.v,VLOOKUP(tblCharDataHazel[[#This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_xlfn.LET(_xlpm.v,VLOOKUP(tblCharDataHazel[[#This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_xlfn.LET(_xlpm.v,VLOOKUP(tblCharDataHazel[[#This Row],[Field]],INDIRECT($AH$1),2,FALSE),IF(OR(_xlpm.v=0,_xlpm.v=""),"-",REPT("●",_xlpm.v)))</f>
        <v>●</v>
      </c>
      <c r="D239" s="19"/>
      <c r="E239" s="19"/>
      <c r="F239" s="19"/>
      <c r="G239" s="19"/>
      <c r="H239" s="19"/>
      <c r="I239" s="19"/>
    </row>
    <row r="240" spans="1:12">
      <c r="A240" s="1" t="s">
        <v>239</v>
      </c>
      <c r="B240" t="str">
        <f ca="1">_xlfn.LET(_xlpm.v,VLOOKUP(tblCharDataHazel[[#This Row],[Field]],INDIRECT($AH$1),2,FALSE),IF(OR(_xlpm.v=0,_xlpm.v=""),"-",REPT("●",_xlpm.v)))</f>
        <v>●●●</v>
      </c>
      <c r="D240" s="19"/>
      <c r="E240" s="15" t="s">
        <v>360</v>
      </c>
      <c r="F240" s="62"/>
      <c r="G240" s="63"/>
      <c r="H240" s="63"/>
      <c r="I240" s="64"/>
    </row>
    <row r="241" spans="1:9">
      <c r="A241" s="1" t="s">
        <v>240</v>
      </c>
      <c r="B241" t="str">
        <f ca="1">_xlfn.LET(_xlpm.v,VLOOKUP(tblCharDataHazel[[#This Row],[Field]],INDIRECT($AH$1),2,FALSE),IF(OR(_xlpm.v=0,_xlpm.v=""),"-",REPT("●",_xlpm.v)))</f>
        <v>-</v>
      </c>
      <c r="D241" s="19"/>
      <c r="E241" s="15" t="s">
        <v>361</v>
      </c>
      <c r="F241" s="62"/>
      <c r="G241" s="63"/>
      <c r="H241" s="63"/>
      <c r="I241" s="64"/>
    </row>
    <row r="242" spans="1:9">
      <c r="A242" s="1" t="s">
        <v>241</v>
      </c>
      <c r="B242" t="str">
        <f ca="1">_xlfn.LET(_xlpm.v,VLOOKUP(tblCharDataHazel[[#This Row],[Field]],INDIRECT($AH$1),2,FALSE),IF(OR(_xlpm.v=0,_xlpm.v=""),"-",REPT("●",_xlpm.v)))</f>
        <v>-</v>
      </c>
      <c r="D242" s="19"/>
      <c r="E242" s="15" t="s">
        <v>362</v>
      </c>
      <c r="F242" s="62"/>
      <c r="G242" s="63"/>
      <c r="H242" s="63"/>
      <c r="I242" s="64"/>
    </row>
    <row r="243" spans="1:9">
      <c r="A243" s="1" t="s">
        <v>242</v>
      </c>
      <c r="B243" t="str">
        <f ca="1">_xlfn.LET(_xlpm.v,VLOOKUP(tblCharDataHazel[[#This Row],[Field]],INDIRECT($AH$1),2,FALSE),IF(OR(_xlpm.v=0,_xlpm.v=""),"-",REPT("●",_xlpm.v)))</f>
        <v>-</v>
      </c>
      <c r="D243" s="19"/>
      <c r="E243" s="19"/>
      <c r="F243" s="19"/>
      <c r="G243" s="19"/>
      <c r="H243" s="19"/>
      <c r="I243" s="19"/>
    </row>
    <row r="244" spans="1:9">
      <c r="A244" s="1" t="s">
        <v>243</v>
      </c>
      <c r="B244" t="str">
        <f ca="1">_xlfn.LET(_xlpm.v,VLOOKUP(tblCharDataHazel[[#This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_xlfn.LET(_xlpm.v,VLOOKUP(tblCharDataHazel[[#This Row],[Field]],INDIRECT($AH$1),2,FALSE),IF(OR(_xlpm.v=0,_xlpm.v=""),"-",REPT("●",_xlpm.v)))</f>
        <v>-</v>
      </c>
      <c r="D245" s="19"/>
      <c r="E245" s="15" t="s">
        <v>1524</v>
      </c>
      <c r="F245" s="62"/>
      <c r="G245" s="63"/>
      <c r="H245" s="63"/>
      <c r="I245" s="64"/>
    </row>
    <row r="246" spans="1:9">
      <c r="A246" s="1" t="s">
        <v>245</v>
      </c>
      <c r="B246" t="str">
        <f ca="1">_xlfn.LET(_xlpm.v,VLOOKUP(tblCharDataHazel[[#This Row],[Field]],INDIRECT($AH$1),2,FALSE),IF(OR(_xlpm.v=0,_xlpm.v=""),"-",REPT("●",_xlpm.v)))</f>
        <v>-</v>
      </c>
    </row>
    <row r="247" spans="1:9">
      <c r="A247" s="1" t="s">
        <v>246</v>
      </c>
      <c r="B247" t="str">
        <f ca="1">_xlfn.LET(_xlpm.v,VLOOKUP(tblCharDataHazel[[#This Row],[Field]],INDIRECT($AH$1),2,FALSE),IF(OR(_xlpm.v=0,_xlpm.v=""),"-",REPT("●",_xlpm.v)))</f>
        <v>-</v>
      </c>
      <c r="D247" s="16" t="s">
        <v>1525</v>
      </c>
      <c r="E247" s="16"/>
      <c r="F247" s="16" t="s">
        <v>1526</v>
      </c>
      <c r="G247" s="16" t="s">
        <v>1527</v>
      </c>
      <c r="H247" s="16"/>
      <c r="I247" s="16"/>
    </row>
    <row r="248" spans="1:9">
      <c r="A248" s="1" t="s">
        <v>247</v>
      </c>
      <c r="B248" t="str">
        <f ca="1">_xlfn.LET(_xlpm.v,VLOOKUP(tblCharDataHazel[[#This Row],[Field]],INDIRECT($AH$1),2,FALSE),IF(OR(_xlpm.v=0,_xlpm.v=""),"-",REPT("●",_xlpm.v)))</f>
        <v>-</v>
      </c>
      <c r="D248" s="19"/>
      <c r="E248" s="15" t="s">
        <v>1528</v>
      </c>
      <c r="F248" s="7"/>
      <c r="G248" s="7"/>
      <c r="H248" s="19"/>
      <c r="I248" s="19" t="s">
        <v>1529</v>
      </c>
    </row>
    <row r="249" spans="1:9">
      <c r="A249" s="1" t="s">
        <v>248</v>
      </c>
      <c r="B249" t="str">
        <f ca="1">_xlfn.LET(_xlpm.v,VLOOKUP(tblCharDataHazel[[#This Row],[Field]],INDIRECT($AH$1),2,FALSE),IF(OR(_xlpm.v=0,_xlpm.v=""),"-",REPT("●",_xlpm.v)))</f>
        <v>-</v>
      </c>
      <c r="D249" s="19"/>
      <c r="E249" s="15" t="s">
        <v>1530</v>
      </c>
      <c r="F249" s="7"/>
      <c r="G249" s="7"/>
      <c r="H249" s="19"/>
      <c r="I249" s="19" t="s">
        <v>1531</v>
      </c>
    </row>
    <row r="250" spans="1:9">
      <c r="A250" s="1" t="s">
        <v>249</v>
      </c>
      <c r="B250" t="str">
        <f ca="1">_xlfn.LET(_xlpm.v,VLOOKUP(tblCharDataHazel[[#This Row],[Field]],INDIRECT($AH$1),2,FALSE),IF(OR(_xlpm.v=0,_xlpm.v=""),"-",REPT("●",_xlpm.v)))</f>
        <v>-</v>
      </c>
      <c r="D250" s="19" t="s">
        <v>1532</v>
      </c>
      <c r="E250" s="15" t="s">
        <v>1533</v>
      </c>
      <c r="F250" s="7"/>
      <c r="G250" s="7"/>
      <c r="H250" s="19"/>
      <c r="I250" s="19"/>
    </row>
    <row r="251" spans="1:9">
      <c r="A251" s="1" t="s">
        <v>250</v>
      </c>
      <c r="B251" t="str">
        <f ca="1">_xlfn.LET(_xlpm.v,VLOOKUP(tblCharDataHazel[[#This Row],[Field]],INDIRECT($AH$1),2,FALSE),IF(OR(_xlpm.v=0,_xlpm.v=""),"-",REPT("●",_xlpm.v)))</f>
        <v>-</v>
      </c>
      <c r="D251" s="19" t="s">
        <v>1532</v>
      </c>
      <c r="E251" s="15" t="s">
        <v>1534</v>
      </c>
      <c r="F251" s="7"/>
      <c r="G251" s="7"/>
      <c r="H251" s="19"/>
      <c r="I251" s="19"/>
    </row>
    <row r="252" spans="1:9">
      <c r="A252" s="1" t="s">
        <v>251</v>
      </c>
      <c r="B252" t="str">
        <f ca="1">_xlfn.LET(_xlpm.v,VLOOKUP(tblCharDataHazel[[#This Row],[Field]],INDIRECT($AH$1),2,FALSE),IF(OR(_xlpm.v=0,_xlpm.v=""),"-",REPT("●",_xlpm.v)))</f>
        <v>-</v>
      </c>
      <c r="D252" s="19" t="s">
        <v>1532</v>
      </c>
      <c r="E252" s="15" t="s">
        <v>1535</v>
      </c>
      <c r="F252" s="7"/>
      <c r="G252" s="7"/>
      <c r="H252" s="19"/>
      <c r="I252" s="19"/>
    </row>
    <row r="253" spans="1:9">
      <c r="A253" s="1" t="s">
        <v>252</v>
      </c>
      <c r="B253" t="str">
        <f ca="1">_xlfn.LET(_xlpm.v,VLOOKUP(tblCharDataHazel[[#This Row],[Field]],INDIRECT($AH$1),2,FALSE),IF(OR(_xlpm.v=0,_xlpm.v=""),"-",REPT("●",_xlpm.v)))</f>
        <v>-</v>
      </c>
      <c r="D253" s="19" t="s">
        <v>1532</v>
      </c>
      <c r="E253" s="15" t="s">
        <v>1536</v>
      </c>
      <c r="F253" s="7"/>
      <c r="G253" s="7"/>
      <c r="H253" s="19"/>
      <c r="I253" s="19"/>
    </row>
    <row r="254" spans="1:9">
      <c r="A254" s="1" t="s">
        <v>253</v>
      </c>
      <c r="B254" t="str">
        <f t="shared" ref="B254:B283" si="36">IF(AD44="","¬",AD44)</f>
        <v>Celerity ●</v>
      </c>
      <c r="D254" s="19" t="s">
        <v>1532</v>
      </c>
      <c r="E254" s="15" t="s">
        <v>1537</v>
      </c>
      <c r="F254" s="7"/>
      <c r="G254" s="7"/>
      <c r="H254" s="19"/>
      <c r="I254" s="19"/>
    </row>
    <row r="255" spans="1:9">
      <c r="A255" s="1" t="s">
        <v>254</v>
      </c>
      <c r="B255" t="str">
        <f t="shared" si="36"/>
        <v>Dominate ● | Mesmerise</v>
      </c>
      <c r="D255" s="19" t="s">
        <v>1532</v>
      </c>
      <c r="E255" s="15" t="s">
        <v>1538</v>
      </c>
      <c r="F255" s="7"/>
      <c r="G255" s="7"/>
      <c r="H255" s="19"/>
      <c r="I255" s="19"/>
    </row>
    <row r="256" spans="1:9">
      <c r="A256" s="1" t="s">
        <v>255</v>
      </c>
      <c r="B256" t="str">
        <f t="shared" si="36"/>
        <v>Dominate ●● | Iron Edict</v>
      </c>
      <c r="D256" s="19" t="s">
        <v>1532</v>
      </c>
      <c r="E256" s="15" t="s">
        <v>1539</v>
      </c>
      <c r="F256" s="7"/>
      <c r="G256" s="7"/>
      <c r="H256" s="19"/>
      <c r="I256" s="19"/>
    </row>
    <row r="257" spans="1:9">
      <c r="A257" s="1" t="s">
        <v>256</v>
      </c>
      <c r="B257" t="str">
        <f t="shared" si="36"/>
        <v>Dominate ●●● | Entombed Command</v>
      </c>
      <c r="D257" s="19" t="s">
        <v>1532</v>
      </c>
      <c r="E257" s="15" t="s">
        <v>1540</v>
      </c>
      <c r="F257" s="7"/>
      <c r="G257" s="7"/>
      <c r="H257" s="19"/>
      <c r="I257" s="19"/>
    </row>
    <row r="258" spans="1:9">
      <c r="A258" s="1" t="s">
        <v>257</v>
      </c>
      <c r="B258" t="str">
        <f t="shared" si="36"/>
        <v>¬</v>
      </c>
      <c r="D258" s="19" t="s">
        <v>1532</v>
      </c>
      <c r="E258" s="15" t="s">
        <v>1541</v>
      </c>
      <c r="F258" s="7"/>
      <c r="G258" s="7"/>
      <c r="H258" s="19"/>
      <c r="I258" s="19"/>
    </row>
    <row r="259" spans="1:9">
      <c r="A259" s="1" t="s">
        <v>258</v>
      </c>
      <c r="B259" t="str">
        <f t="shared" si="36"/>
        <v>¬</v>
      </c>
      <c r="D259" s="19" t="s">
        <v>1532</v>
      </c>
      <c r="E259" s="15" t="s">
        <v>1542</v>
      </c>
      <c r="F259" s="7"/>
      <c r="G259" s="7"/>
      <c r="H259" s="19"/>
      <c r="I259" s="19"/>
    </row>
    <row r="260" spans="1:9">
      <c r="A260" s="1" t="s">
        <v>259</v>
      </c>
      <c r="B260" t="str">
        <f t="shared" si="36"/>
        <v>¬</v>
      </c>
      <c r="D260" s="19" t="s">
        <v>1532</v>
      </c>
      <c r="E260" s="15" t="s">
        <v>1543</v>
      </c>
      <c r="F260" s="7"/>
      <c r="G260" s="7"/>
      <c r="H260" s="19"/>
      <c r="I260" s="19"/>
    </row>
    <row r="261" spans="1:9">
      <c r="A261" s="1" t="s">
        <v>260</v>
      </c>
      <c r="B261" t="str">
        <f t="shared" si="36"/>
        <v>¬</v>
      </c>
      <c r="D261" s="19" t="s">
        <v>1532</v>
      </c>
      <c r="E261" s="15" t="s">
        <v>1544</v>
      </c>
      <c r="F261" s="7"/>
      <c r="G261" s="7"/>
      <c r="H261" s="19"/>
      <c r="I261" s="19"/>
    </row>
    <row r="262" spans="1:9">
      <c r="A262" s="1" t="s">
        <v>261</v>
      </c>
      <c r="B262" t="str">
        <f t="shared" si="36"/>
        <v>¬</v>
      </c>
      <c r="D262" s="19" t="s">
        <v>1532</v>
      </c>
      <c r="E262" s="15" t="s">
        <v>1545</v>
      </c>
      <c r="F262" s="7"/>
      <c r="G262" s="7"/>
      <c r="H262" s="19"/>
      <c r="I262" s="19"/>
    </row>
    <row r="263" spans="1:9">
      <c r="A263" s="1" t="s">
        <v>262</v>
      </c>
      <c r="B263" t="str">
        <f t="shared" si="36"/>
        <v>¬</v>
      </c>
      <c r="D263" s="19" t="s">
        <v>1532</v>
      </c>
      <c r="E263" s="15" t="s">
        <v>1546</v>
      </c>
      <c r="F263" s="7"/>
      <c r="G263" s="7"/>
      <c r="H263" s="19"/>
      <c r="I263" s="19"/>
    </row>
    <row r="264" spans="1:9">
      <c r="A264" s="1" t="s">
        <v>263</v>
      </c>
      <c r="B264" t="str">
        <f t="shared" si="36"/>
        <v>¬</v>
      </c>
      <c r="D264" s="19" t="s">
        <v>1532</v>
      </c>
      <c r="E264" s="15" t="s">
        <v>1547</v>
      </c>
      <c r="F264" s="7"/>
      <c r="G264" s="7"/>
      <c r="H264" s="19"/>
      <c r="I264" s="19"/>
    </row>
    <row r="265" spans="1:9">
      <c r="A265" s="1" t="s">
        <v>264</v>
      </c>
      <c r="B265" t="str">
        <f t="shared" si="36"/>
        <v>¬</v>
      </c>
      <c r="D265" s="19" t="s">
        <v>1532</v>
      </c>
      <c r="E265" s="15" t="s">
        <v>1548</v>
      </c>
      <c r="F265" s="7"/>
      <c r="G265" s="7"/>
      <c r="H265" s="19"/>
      <c r="I265" s="19"/>
    </row>
    <row r="266" spans="1:9">
      <c r="A266" s="1" t="s">
        <v>265</v>
      </c>
      <c r="B266" t="str">
        <f t="shared" si="36"/>
        <v>¬</v>
      </c>
      <c r="D266" s="19" t="s">
        <v>1532</v>
      </c>
      <c r="E266" s="15" t="s">
        <v>1549</v>
      </c>
      <c r="F266" s="7"/>
      <c r="G266" s="7"/>
      <c r="H266" s="19"/>
      <c r="I266" s="19"/>
    </row>
    <row r="267" spans="1:9">
      <c r="A267" s="1" t="s">
        <v>266</v>
      </c>
      <c r="B267" t="str">
        <f t="shared" si="36"/>
        <v>¬</v>
      </c>
      <c r="D267" s="19" t="s">
        <v>1532</v>
      </c>
      <c r="E267" s="15" t="s">
        <v>1550</v>
      </c>
      <c r="F267" s="7"/>
      <c r="G267" s="7"/>
      <c r="H267" s="19"/>
      <c r="I267" s="19"/>
    </row>
    <row r="268" spans="1:9">
      <c r="A268" s="1" t="s">
        <v>267</v>
      </c>
      <c r="B268" t="str">
        <f t="shared" si="36"/>
        <v>¬</v>
      </c>
      <c r="D268" s="19" t="s">
        <v>1532</v>
      </c>
      <c r="E268" s="15" t="s">
        <v>1551</v>
      </c>
      <c r="F268" s="7"/>
      <c r="G268" s="7"/>
      <c r="H268" s="19"/>
      <c r="I268" s="19"/>
    </row>
    <row r="269" spans="1:9">
      <c r="A269" s="1" t="s">
        <v>268</v>
      </c>
      <c r="B269" t="str">
        <f t="shared" si="36"/>
        <v>¬</v>
      </c>
      <c r="D269" s="19" t="s">
        <v>1532</v>
      </c>
      <c r="E269" s="15" t="s">
        <v>1552</v>
      </c>
      <c r="F269" s="7"/>
      <c r="G269" s="7"/>
      <c r="H269" s="19"/>
      <c r="I269" s="19"/>
    </row>
    <row r="270" spans="1:9">
      <c r="A270" s="1" t="s">
        <v>269</v>
      </c>
      <c r="B270" t="str">
        <f t="shared" si="36"/>
        <v>¬</v>
      </c>
      <c r="D270" s="19" t="s">
        <v>1532</v>
      </c>
      <c r="E270" s="15" t="s">
        <v>1553</v>
      </c>
      <c r="F270" s="7"/>
      <c r="G270" s="7"/>
      <c r="H270" s="19"/>
      <c r="I270" s="19"/>
    </row>
    <row r="271" spans="1:9">
      <c r="A271" s="1" t="s">
        <v>270</v>
      </c>
      <c r="B271" t="str">
        <f t="shared" si="36"/>
        <v>¬</v>
      </c>
      <c r="D271" s="19" t="s">
        <v>1532</v>
      </c>
      <c r="E271" s="15" t="s">
        <v>1554</v>
      </c>
      <c r="F271" s="7"/>
      <c r="G271" s="7"/>
      <c r="H271" s="19"/>
      <c r="I271" s="19"/>
    </row>
    <row r="272" spans="1:9">
      <c r="A272" s="1" t="s">
        <v>271</v>
      </c>
      <c r="B272" t="str">
        <f t="shared" si="36"/>
        <v>¬</v>
      </c>
      <c r="D272" s="19" t="s">
        <v>1532</v>
      </c>
      <c r="E272" s="15" t="s">
        <v>1555</v>
      </c>
      <c r="F272" s="7"/>
      <c r="G272" s="7"/>
      <c r="H272" s="19"/>
      <c r="I272" s="19"/>
    </row>
    <row r="273" spans="1:14">
      <c r="A273" s="1" t="s">
        <v>272</v>
      </c>
      <c r="B273" t="str">
        <f t="shared" si="36"/>
        <v>¬</v>
      </c>
      <c r="D273" s="19" t="s">
        <v>1532</v>
      </c>
      <c r="E273" s="15" t="s">
        <v>1556</v>
      </c>
      <c r="F273" s="7"/>
      <c r="G273" s="7"/>
      <c r="H273" s="19"/>
      <c r="I273" s="19"/>
    </row>
    <row r="274" spans="1:14">
      <c r="A274" s="1" t="s">
        <v>273</v>
      </c>
      <c r="B274" t="str">
        <f t="shared" si="36"/>
        <v>¬</v>
      </c>
      <c r="D274" s="19" t="s">
        <v>1532</v>
      </c>
      <c r="E274" s="15" t="s">
        <v>1557</v>
      </c>
      <c r="F274" s="7"/>
      <c r="G274" s="7"/>
      <c r="H274" s="19"/>
      <c r="I274" s="19"/>
    </row>
    <row r="275" spans="1:14">
      <c r="A275" s="1" t="s">
        <v>274</v>
      </c>
      <c r="B275" t="str">
        <f t="shared" si="36"/>
        <v>¬</v>
      </c>
      <c r="D275" s="19" t="s">
        <v>1532</v>
      </c>
      <c r="E275" s="15" t="s">
        <v>1558</v>
      </c>
      <c r="F275" s="7"/>
      <c r="G275" s="7"/>
      <c r="H275" s="19"/>
      <c r="I275" s="19"/>
    </row>
    <row r="276" spans="1:14">
      <c r="A276" s="1" t="s">
        <v>275</v>
      </c>
      <c r="B276" t="str">
        <f t="shared" si="36"/>
        <v>¬</v>
      </c>
      <c r="D276" s="19" t="s">
        <v>1532</v>
      </c>
      <c r="E276" s="15" t="s">
        <v>1559</v>
      </c>
      <c r="F276" s="7"/>
      <c r="G276" s="7"/>
      <c r="H276" s="19"/>
      <c r="I276" s="19"/>
    </row>
    <row r="277" spans="1:14">
      <c r="A277" s="1" t="s">
        <v>276</v>
      </c>
      <c r="B277" t="str">
        <f t="shared" si="36"/>
        <v>¬</v>
      </c>
      <c r="D277" s="19" t="s">
        <v>1532</v>
      </c>
      <c r="E277" s="15" t="s">
        <v>1560</v>
      </c>
      <c r="F277" s="7"/>
      <c r="G277" s="7"/>
      <c r="H277" s="19"/>
      <c r="I277" s="19"/>
    </row>
    <row r="278" spans="1:14">
      <c r="A278" s="1" t="s">
        <v>277</v>
      </c>
      <c r="B278" t="str">
        <f t="shared" si="36"/>
        <v>¬</v>
      </c>
    </row>
    <row r="279" spans="1:14">
      <c r="A279" s="1" t="s">
        <v>278</v>
      </c>
      <c r="B279" t="str">
        <f t="shared" si="36"/>
        <v>¬</v>
      </c>
      <c r="D279" s="16" t="s">
        <v>1561</v>
      </c>
      <c r="E279" s="16"/>
      <c r="F279" s="16" t="s">
        <v>1347</v>
      </c>
      <c r="G279" s="16" t="s">
        <v>1348</v>
      </c>
      <c r="H279" s="16" t="s">
        <v>1349</v>
      </c>
      <c r="I279" s="16" t="s">
        <v>1350</v>
      </c>
      <c r="N279" s="60">
        <f ca="1">SUM(N280:N282)</f>
        <v>3</v>
      </c>
    </row>
    <row r="280" spans="1:14">
      <c r="A280" s="1" t="s">
        <v>279</v>
      </c>
      <c r="B280" t="str">
        <f t="shared" si="36"/>
        <v>¬</v>
      </c>
      <c r="D280" s="61" t="str" cm="1">
        <f t="array" aca="1" ref="D280" ca="1">INDEX(Attendance!$C$14:$GP$44,
       MATCH($F$4, Attendance!$C$14:$C$44, 0),
       MATCH(1, (Attendance!$C$12:$GP$12=$E280) * (Attendance!$C$13:$GP$13="Paid"), 0)
)</f>
        <v>PayID</v>
      </c>
      <c r="E280" s="41">
        <v>46054</v>
      </c>
      <c r="F280" s="61" cm="1">
        <f t="array" aca="1" ref="F280" ca="1">N(INDEX(Attendance!$C$14:$GP$104,
       MATCH($F$4, Attendance!$C$14:$C$104, 0),
       MATCH(1, (Attendance!$C$12:$GP$12=$E280) * (Attendance!$C$13:$GP$13=$F$279), 0)
))</f>
        <v>3</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0</v>
      </c>
      <c r="I280" s="61" t="str" cm="1">
        <f t="array" aca="1" ref="I280" ca="1">INDEX(Attendance!$C$14:$GP$44,
       MATCH($F$4, Attendance!$C$14:$C$44, 0),
       MATCH(1, (Attendance!$C$12:$GP$12=$E280) * (Attendance!$C$13:$GP$13=$I$279), 0)
)</f>
        <v>Quiet</v>
      </c>
      <c r="K280" s="18"/>
      <c r="L280" s="18"/>
      <c r="M280" s="18" t="s">
        <v>1562</v>
      </c>
      <c r="N280" s="61">
        <f ca="1">SUM(F$280:F$316)</f>
        <v>3</v>
      </c>
    </row>
    <row r="281" spans="1:14">
      <c r="A281" s="1" t="s">
        <v>280</v>
      </c>
      <c r="B281" t="str">
        <f t="shared" si="36"/>
        <v>¬</v>
      </c>
      <c r="D281" s="61" t="str" cm="1">
        <f t="array" aca="1" ref="D281" ca="1">INDEX(Attendance!$C$14:$GP$44,
       MATCH($F$4, Attendance!$C$14:$C$44, 0),
       MATCH(1, (Attendance!$C$12:$GP$12=$E281) * (Attendance!$C$13:$GP$13="Paid"), 0)
)</f>
        <v> </v>
      </c>
      <c r="E281" s="42">
        <f t="shared" ref="E281:E316" si="37">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6"/>
        <v>¬</v>
      </c>
      <c r="D282" s="61" t="str" cm="1">
        <f t="array" aca="1" ref="D282" ca="1">INDEX(Attendance!$C$14:$GP$44,
       MATCH($F$4, Attendance!$C$14:$C$44, 0),
       MATCH(1, (Attendance!$C$12:$GP$12=$E282) * (Attendance!$C$13:$GP$13="Paid"), 0)
)</f>
        <v> </v>
      </c>
      <c r="E282" s="42">
        <f t="shared" si="37"/>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0</v>
      </c>
    </row>
    <row r="283" spans="1:14">
      <c r="A283" s="1" t="s">
        <v>282</v>
      </c>
      <c r="B283" t="str">
        <f t="shared" si="36"/>
        <v>¬</v>
      </c>
      <c r="D283" s="61" t="str" cm="1">
        <f t="array" aca="1" ref="D283" ca="1">INDEX(Attendance!$C$14:$GP$44,
       MATCH($F$4, Attendance!$C$14:$C$44, 0),
       MATCH(1, (Attendance!$C$12:$GP$12=$E283) * (Attendance!$C$13:$GP$13="Paid"), 0)
)</f>
        <v> </v>
      </c>
      <c r="E283" s="42">
        <f t="shared" si="37"/>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8">IF(AE44="","¬",AE44)</f>
        <v>Cost: 1 V per effect  •  Pool: -  •  Reflexive  •  1 turn</v>
      </c>
      <c r="D284" s="61" t="str" cm="1">
        <f t="array" aca="1" ref="D284" ca="1">INDEX(Attendance!$C$14:$GP$44,
       MATCH($F$4, Attendance!$C$14:$C$44, 0),
       MATCH(1, (Attendance!$C$12:$GP$12=$E284) * (Attendance!$C$13:$GP$13="Paid"), 0)
)</f>
        <v> </v>
      </c>
      <c r="E284" s="42">
        <f t="shared" si="37"/>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8"/>
        <v>Cost: - -3 in combat unless Blinded  •  Pool: 10  v Resolve + BP  •  Instant  •  Instant</v>
      </c>
      <c r="D285" s="61" t="str" cm="1">
        <f t="array" aca="1" ref="D285" ca="1">INDEX(Attendance!$C$14:$GP$44,
       MATCH($F$4, Attendance!$C$14:$C$44, 0),
       MATCH(1, (Attendance!$C$12:$GP$12=$E285) * (Attendance!$C$13:$GP$13="Paid"), 0)
)</f>
        <v> </v>
      </c>
      <c r="E285" s="42">
        <f t="shared" si="37"/>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8"/>
        <v>Cost: 1 V (0 in bond) (req: Mesmerised); -3 in combat unless Blinded  •  Pool: -  •  Instant  •  Instant</v>
      </c>
      <c r="D286" s="61" t="str" cm="1">
        <f t="array" aca="1" ref="D286" ca="1">INDEX(Attendance!$C$14:$GP$44,
       MATCH($F$4, Attendance!$C$14:$C$44, 0),
       MATCH(1, (Attendance!$C$12:$GP$12=$E286) * (Attendance!$C$13:$GP$13="Paid"), 0)
)</f>
        <v> </v>
      </c>
      <c r="E286" s="42">
        <f t="shared" si="37"/>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8"/>
        <v>Cost: - (req: Mesmerised)   •  Pool: 10  - Resolve  •  Instant  •  1 week/success (1 month bonded)</v>
      </c>
      <c r="D287" s="61" t="str" cm="1">
        <f t="array" aca="1" ref="D287" ca="1">INDEX(Attendance!$C$14:$GP$44,
       MATCH($F$4, Attendance!$C$14:$C$44, 0),
       MATCH(1, (Attendance!$C$12:$GP$12=$E287) * (Attendance!$C$13:$GP$13="Paid"), 0)
)</f>
        <v> </v>
      </c>
      <c r="E287" s="42">
        <f t="shared" si="37"/>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8"/>
        <v>¬</v>
      </c>
      <c r="D288" s="61" t="str" cm="1">
        <f t="array" aca="1" ref="D288" ca="1">INDEX(Attendance!$C$14:$GP$44,
       MATCH($F$4, Attendance!$C$14:$C$44, 0),
       MATCH(1, (Attendance!$C$12:$GP$12=$E288) * (Attendance!$C$13:$GP$13="Paid"), 0)
)</f>
        <v> </v>
      </c>
      <c r="E288" s="42">
        <f t="shared" si="37"/>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8"/>
        <v>¬</v>
      </c>
      <c r="D289" s="61" t="str" cm="1">
        <f t="array" aca="1" ref="D289" ca="1">INDEX(Attendance!$C$14:$GP$44,
       MATCH($F$4, Attendance!$C$14:$C$44, 0),
       MATCH(1, (Attendance!$C$12:$GP$12=$E289) * (Attendance!$C$13:$GP$13="Paid"), 0)
)</f>
        <v> </v>
      </c>
      <c r="E289" s="42">
        <f t="shared" si="37"/>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8"/>
        <v>¬</v>
      </c>
      <c r="D290" s="61" t="str" cm="1">
        <f t="array" aca="1" ref="D290" ca="1">INDEX(Attendance!$C$14:$GP$44,
       MATCH($F$4, Attendance!$C$14:$C$44, 0),
       MATCH(1, (Attendance!$C$12:$GP$12=$E290) * (Attendance!$C$13:$GP$13="Paid"), 0)
)</f>
        <v> </v>
      </c>
      <c r="E290" s="42">
        <f t="shared" si="37"/>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8"/>
        <v>¬</v>
      </c>
      <c r="D291" s="61" t="str" cm="1">
        <f t="array" aca="1" ref="D291" ca="1">INDEX(Attendance!$C$14:$GP$44,
       MATCH($F$4, Attendance!$C$14:$C$44, 0),
       MATCH(1, (Attendance!$C$12:$GP$12=$E291) * (Attendance!$C$13:$GP$13="Paid"), 0)
)</f>
        <v> </v>
      </c>
      <c r="E291" s="42">
        <f t="shared" si="37"/>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8"/>
        <v>¬</v>
      </c>
      <c r="D292" s="61" t="str" cm="1">
        <f t="array" aca="1" ref="D292" ca="1">INDEX(Attendance!$C$14:$GP$44,
       MATCH($F$4, Attendance!$C$14:$C$44, 0),
       MATCH(1, (Attendance!$C$12:$GP$12=$E292) * (Attendance!$C$13:$GP$13="Paid"), 0)
)</f>
        <v> </v>
      </c>
      <c r="E292" s="42">
        <f t="shared" si="37"/>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8"/>
        <v>¬</v>
      </c>
      <c r="D293" s="61" t="str" cm="1">
        <f t="array" aca="1" ref="D293" ca="1">INDEX(Attendance!$C$14:$GP$44,
       MATCH($F$4, Attendance!$C$14:$C$44, 0),
       MATCH(1, (Attendance!$C$12:$GP$12=$E293) * (Attendance!$C$13:$GP$13="Paid"), 0)
)</f>
        <v> </v>
      </c>
      <c r="E293" s="42">
        <f t="shared" si="37"/>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8"/>
        <v>¬</v>
      </c>
      <c r="D294" s="61" t="str" cm="1">
        <f t="array" aca="1" ref="D294" ca="1">INDEX(Attendance!$C$14:$GP$44,
       MATCH($F$4, Attendance!$C$14:$C$44, 0),
       MATCH(1, (Attendance!$C$12:$GP$12=$E294) * (Attendance!$C$13:$GP$13="Paid"), 0)
)</f>
        <v> </v>
      </c>
      <c r="E294" s="42">
        <f t="shared" si="37"/>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8"/>
        <v>¬</v>
      </c>
      <c r="D295" s="61" t="str" cm="1">
        <f t="array" aca="1" ref="D295" ca="1">INDEX(Attendance!$C$14:$GP$44,
       MATCH($F$4, Attendance!$C$14:$C$44, 0),
       MATCH(1, (Attendance!$C$12:$GP$12=$E295) * (Attendance!$C$13:$GP$13="Paid"), 0)
)</f>
        <v> </v>
      </c>
      <c r="E295" s="42">
        <f t="shared" si="37"/>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8"/>
        <v>¬</v>
      </c>
      <c r="D296" s="61" t="str" cm="1">
        <f t="array" aca="1" ref="D296" ca="1">INDEX(Attendance!$C$14:$GP$44,
       MATCH($F$4, Attendance!$C$14:$C$44, 0),
       MATCH(1, (Attendance!$C$12:$GP$12=$E296) * (Attendance!$C$13:$GP$13="Paid"), 0)
)</f>
        <v> </v>
      </c>
      <c r="E296" s="42">
        <f t="shared" si="37"/>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8"/>
        <v>¬</v>
      </c>
      <c r="D297" s="61" t="str" cm="1">
        <f t="array" aca="1" ref="D297" ca="1">INDEX(Attendance!$C$14:$GP$44,
       MATCH($F$4, Attendance!$C$14:$C$44, 0),
       MATCH(1, (Attendance!$C$12:$GP$12=$E297) * (Attendance!$C$13:$GP$13="Paid"), 0)
)</f>
        <v> </v>
      </c>
      <c r="E297" s="42">
        <f t="shared" si="37"/>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8"/>
        <v>¬</v>
      </c>
      <c r="D298" s="61" t="str" cm="1">
        <f t="array" aca="1" ref="D298" ca="1">INDEX(Attendance!$C$14:$GP$44,
       MATCH($F$4, Attendance!$C$14:$C$44, 0),
       MATCH(1, (Attendance!$C$12:$GP$12=$E298) * (Attendance!$C$13:$GP$13="Paid"), 0)
)</f>
        <v> </v>
      </c>
      <c r="E298" s="42">
        <f t="shared" si="37"/>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8"/>
        <v>¬</v>
      </c>
      <c r="D299" s="61" t="str" cm="1">
        <f t="array" aca="1" ref="D299" ca="1">INDEX(Attendance!$C$14:$GP$44,
       MATCH($F$4, Attendance!$C$14:$C$44, 0),
       MATCH(1, (Attendance!$C$12:$GP$12=$E299) * (Attendance!$C$13:$GP$13="Paid"), 0)
)</f>
        <v> </v>
      </c>
      <c r="E299" s="42">
        <f t="shared" si="37"/>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8"/>
        <v>¬</v>
      </c>
      <c r="D300" s="61" t="str" cm="1">
        <f t="array" aca="1" ref="D300" ca="1">INDEX(Attendance!$C$14:$GP$44,
       MATCH($F$4, Attendance!$C$14:$C$44, 0),
       MATCH(1, (Attendance!$C$12:$GP$12=$E300) * (Attendance!$C$13:$GP$13="Paid"), 0)
)</f>
        <v> </v>
      </c>
      <c r="E300" s="42">
        <f t="shared" si="37"/>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8"/>
        <v>¬</v>
      </c>
      <c r="D301" s="61" t="str" cm="1">
        <f t="array" aca="1" ref="D301" ca="1">INDEX(Attendance!$C$14:$GP$44,
       MATCH($F$4, Attendance!$C$14:$C$44, 0),
       MATCH(1, (Attendance!$C$12:$GP$12=$E301) * (Attendance!$C$13:$GP$13="Paid"), 0)
)</f>
        <v> </v>
      </c>
      <c r="E301" s="42">
        <f t="shared" si="37"/>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8"/>
        <v>¬</v>
      </c>
      <c r="D302" s="61" t="str" cm="1">
        <f t="array" aca="1" ref="D302" ca="1">INDEX(Attendance!$C$14:$GP$44,
       MATCH($F$4, Attendance!$C$14:$C$44, 0),
       MATCH(1, (Attendance!$C$12:$GP$12=$E302) * (Attendance!$C$13:$GP$13="Paid"), 0)
)</f>
        <v> </v>
      </c>
      <c r="E302" s="42">
        <f t="shared" si="37"/>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8"/>
        <v>¬</v>
      </c>
      <c r="D303" s="61" t="str" cm="1">
        <f t="array" aca="1" ref="D303" ca="1">INDEX(Attendance!$C$14:$GP$44,
       MATCH($F$4, Attendance!$C$14:$C$44, 0),
       MATCH(1, (Attendance!$C$12:$GP$12=$E303) * (Attendance!$C$13:$GP$13="Paid"), 0)
)</f>
        <v> </v>
      </c>
      <c r="E303" s="42">
        <f t="shared" si="37"/>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8"/>
        <v>¬</v>
      </c>
      <c r="D304" s="61" t="str" cm="1">
        <f t="array" aca="1" ref="D304" ca="1">INDEX(Attendance!$C$14:$GP$44,
       MATCH($F$4, Attendance!$C$14:$C$44, 0),
       MATCH(1, (Attendance!$C$12:$GP$12=$E304) * (Attendance!$C$13:$GP$13="Paid"), 0)
)</f>
        <v> </v>
      </c>
      <c r="E304" s="42">
        <f t="shared" si="37"/>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8"/>
        <v>¬</v>
      </c>
      <c r="D305" s="61" t="str" cm="1">
        <f t="array" aca="1" ref="D305" ca="1">INDEX(Attendance!$C$14:$GP$44,
       MATCH($F$4, Attendance!$C$14:$C$44, 0),
       MATCH(1, (Attendance!$C$12:$GP$12=$E305) * (Attendance!$C$13:$GP$13="Paid"), 0)
)</f>
        <v> </v>
      </c>
      <c r="E305" s="42">
        <f t="shared" si="37"/>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8"/>
        <v>¬</v>
      </c>
      <c r="D306" s="61" t="str" cm="1">
        <f t="array" aca="1" ref="D306" ca="1">INDEX(Attendance!$C$14:$GP$44,
       MATCH($F$4, Attendance!$C$14:$C$44, 0),
       MATCH(1, (Attendance!$C$12:$GP$12=$E306) * (Attendance!$C$13:$GP$13="Paid"), 0)
)</f>
        <v> </v>
      </c>
      <c r="E306" s="42">
        <f t="shared" si="37"/>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8"/>
        <v>¬</v>
      </c>
      <c r="D307" s="61" t="str" cm="1">
        <f t="array" aca="1" ref="D307" ca="1">INDEX(Attendance!$C$14:$GP$44,
       MATCH($F$4, Attendance!$C$14:$C$44, 0),
       MATCH(1, (Attendance!$C$12:$GP$12=$E307) * (Attendance!$C$13:$GP$13="Paid"), 0)
)</f>
        <v> </v>
      </c>
      <c r="E307" s="42">
        <f t="shared" si="37"/>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8"/>
        <v>¬</v>
      </c>
      <c r="D308" s="61" t="str" cm="1">
        <f t="array" aca="1" ref="D308" ca="1">INDEX(Attendance!$C$14:$GP$44,
       MATCH($F$4, Attendance!$C$14:$C$44, 0),
       MATCH(1, (Attendance!$C$12:$GP$12=$E308) * (Attendance!$C$13:$GP$13="Paid"), 0)
)</f>
        <v> </v>
      </c>
      <c r="E308" s="42">
        <f t="shared" si="37"/>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8"/>
        <v>¬</v>
      </c>
      <c r="D309" s="61" t="str" cm="1">
        <f t="array" aca="1" ref="D309" ca="1">INDEX(Attendance!$C$14:$GP$44,
       MATCH($F$4, Attendance!$C$14:$C$44, 0),
       MATCH(1, (Attendance!$C$12:$GP$12=$E309) * (Attendance!$C$13:$GP$13="Paid"), 0)
)</f>
        <v> </v>
      </c>
      <c r="E309" s="42">
        <f t="shared" si="37"/>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8"/>
        <v>¬</v>
      </c>
      <c r="D310" s="61" t="str" cm="1">
        <f t="array" aca="1" ref="D310" ca="1">INDEX(Attendance!$C$14:$GP$44,
       MATCH($F$4, Attendance!$C$14:$C$44, 0),
       MATCH(1, (Attendance!$C$12:$GP$12=$E310) * (Attendance!$C$13:$GP$13="Paid"), 0)
)</f>
        <v> </v>
      </c>
      <c r="E310" s="42">
        <f t="shared" si="37"/>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8"/>
        <v>¬</v>
      </c>
      <c r="D311" s="61" t="str" cm="1">
        <f t="array" aca="1" ref="D311" ca="1">INDEX(Attendance!$C$14:$GP$44,
       MATCH($F$4, Attendance!$C$14:$C$44, 0),
       MATCH(1, (Attendance!$C$12:$GP$12=$E311) * (Attendance!$C$13:$GP$13="Paid"), 0)
)</f>
        <v> </v>
      </c>
      <c r="E311" s="42">
        <f t="shared" si="37"/>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8"/>
        <v>¬</v>
      </c>
      <c r="D312" s="61" t="str" cm="1">
        <f t="array" aca="1" ref="D312" ca="1">INDEX(Attendance!$C$14:$GP$44,
       MATCH($F$4, Attendance!$C$14:$C$44, 0),
       MATCH(1, (Attendance!$C$12:$GP$12=$E312) * (Attendance!$C$13:$GP$13="Paid"), 0)
)</f>
        <v> </v>
      </c>
      <c r="E312" s="42">
        <f t="shared" si="37"/>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8"/>
        <v>¬</v>
      </c>
      <c r="D313" s="61" t="str" cm="1">
        <f t="array" aca="1" ref="D313" ca="1">INDEX(Attendance!$C$14:$GP$44,
       MATCH($F$4, Attendance!$C$14:$C$44, 0),
       MATCH(1, (Attendance!$C$12:$GP$12=$E313) * (Attendance!$C$13:$GP$13="Paid"), 0)
)</f>
        <v> </v>
      </c>
      <c r="E313" s="42">
        <f t="shared" si="37"/>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39">IF(AF44="","¬",AF44)</f>
        <v>Persistent improved Defence or Dodge. Activate for supernatural speed benefits. Unnatural Grace: add Celerity dots as bonus dice to non-combat speed-based pools.</v>
      </c>
      <c r="D314" s="61" t="str" cm="1">
        <f t="array" aca="1" ref="D314" ca="1">INDEX(Attendance!$C$14:$GP$44,
       MATCH($F$4, Attendance!$C$14:$C$44, 0),
       MATCH(1, (Attendance!$C$12:$GP$12=$E314) * (Attendance!$C$13:$GP$13="Paid"), 0)
)</f>
        <v> </v>
      </c>
      <c r="E314" s="42">
        <f t="shared" si="37"/>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39"/>
        <v>Impose Mesmerised Condition. Control with short commands.</v>
      </c>
      <c r="D315" s="61" t="str" cm="1">
        <f t="array" aca="1" ref="D315" ca="1">INDEX(Attendance!$C$14:$GP$44,
       MATCH($F$4, Attendance!$C$14:$C$44, 0),
       MATCH(1, (Attendance!$C$12:$GP$12=$E315) * (Attendance!$C$13:$GP$13="Paid"), 0)
)</f>
        <v> </v>
      </c>
      <c r="E315" s="42">
        <f t="shared" si="37"/>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39"/>
        <v>Impose Dominated Condition. Give long, detailed commands.</v>
      </c>
      <c r="D316" s="61" t="str" cm="1">
        <f t="array" aca="1" ref="D316" ca="1">INDEX(Attendance!$C$14:$GP$44,
       MATCH($F$4, Attendance!$C$14:$C$44, 0),
       MATCH(1, (Attendance!$C$12:$GP$12=$E316) * (Attendance!$C$13:$GP$13="Paid"), 0)
)</f>
        <v> </v>
      </c>
      <c r="E316" s="42">
        <f t="shared" si="37"/>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39"/>
        <v>Establish triggers for other Dominate powers.</v>
      </c>
    </row>
    <row r="318" spans="1:9">
      <c r="A318" s="1" t="s">
        <v>317</v>
      </c>
      <c r="B318" t="str">
        <f t="shared" si="39"/>
        <v>¬</v>
      </c>
    </row>
    <row r="319" spans="1:9">
      <c r="A319" s="1" t="s">
        <v>318</v>
      </c>
      <c r="B319" t="str">
        <f t="shared" si="39"/>
        <v>¬</v>
      </c>
    </row>
    <row r="320" spans="1:9">
      <c r="A320" s="1" t="s">
        <v>319</v>
      </c>
      <c r="B320" t="str">
        <f t="shared" si="39"/>
        <v>¬</v>
      </c>
    </row>
    <row r="321" spans="1:2">
      <c r="A321" s="1" t="s">
        <v>320</v>
      </c>
      <c r="B321" t="str">
        <f t="shared" si="39"/>
        <v>¬</v>
      </c>
    </row>
    <row r="322" spans="1:2">
      <c r="A322" s="1" t="s">
        <v>321</v>
      </c>
      <c r="B322" t="str">
        <f t="shared" si="39"/>
        <v>¬</v>
      </c>
    </row>
    <row r="323" spans="1:2">
      <c r="A323" s="1" t="s">
        <v>322</v>
      </c>
      <c r="B323" t="str">
        <f t="shared" si="39"/>
        <v>¬</v>
      </c>
    </row>
    <row r="324" spans="1:2">
      <c r="A324" s="1" t="s">
        <v>323</v>
      </c>
      <c r="B324" t="str">
        <f t="shared" si="39"/>
        <v>¬</v>
      </c>
    </row>
    <row r="325" spans="1:2">
      <c r="A325" s="1" t="s">
        <v>324</v>
      </c>
      <c r="B325" t="str">
        <f t="shared" si="39"/>
        <v>¬</v>
      </c>
    </row>
    <row r="326" spans="1:2">
      <c r="A326" s="1" t="s">
        <v>325</v>
      </c>
      <c r="B326" t="str">
        <f t="shared" si="39"/>
        <v>¬</v>
      </c>
    </row>
    <row r="327" spans="1:2">
      <c r="A327" s="1" t="s">
        <v>326</v>
      </c>
      <c r="B327" t="str">
        <f t="shared" si="39"/>
        <v>¬</v>
      </c>
    </row>
    <row r="328" spans="1:2">
      <c r="A328" s="1" t="s">
        <v>327</v>
      </c>
      <c r="B328" t="str">
        <f t="shared" si="39"/>
        <v>¬</v>
      </c>
    </row>
    <row r="329" spans="1:2">
      <c r="A329" s="1" t="s">
        <v>328</v>
      </c>
      <c r="B329" t="str">
        <f t="shared" si="39"/>
        <v>¬</v>
      </c>
    </row>
    <row r="330" spans="1:2">
      <c r="A330" s="1" t="s">
        <v>329</v>
      </c>
      <c r="B330" t="str">
        <f t="shared" si="39"/>
        <v>¬</v>
      </c>
    </row>
    <row r="331" spans="1:2">
      <c r="A331" s="1" t="s">
        <v>330</v>
      </c>
      <c r="B331" t="str">
        <f t="shared" si="39"/>
        <v>¬</v>
      </c>
    </row>
    <row r="332" spans="1:2">
      <c r="A332" s="1" t="s">
        <v>331</v>
      </c>
      <c r="B332" t="str">
        <f t="shared" si="39"/>
        <v>¬</v>
      </c>
    </row>
    <row r="333" spans="1:2">
      <c r="A333" s="1" t="s">
        <v>332</v>
      </c>
      <c r="B333" t="str">
        <f t="shared" si="39"/>
        <v>¬</v>
      </c>
    </row>
    <row r="334" spans="1:2">
      <c r="A334" s="1" t="s">
        <v>333</v>
      </c>
      <c r="B334" t="str">
        <f t="shared" si="39"/>
        <v>¬</v>
      </c>
    </row>
    <row r="335" spans="1:2">
      <c r="A335" s="1" t="s">
        <v>334</v>
      </c>
      <c r="B335" t="str">
        <f t="shared" si="39"/>
        <v>¬</v>
      </c>
    </row>
    <row r="336" spans="1:2">
      <c r="A336" s="1" t="s">
        <v>335</v>
      </c>
      <c r="B336" t="str">
        <f t="shared" si="39"/>
        <v>¬</v>
      </c>
    </row>
    <row r="337" spans="1:2">
      <c r="A337" s="1" t="s">
        <v>336</v>
      </c>
      <c r="B337" t="str">
        <f t="shared" si="39"/>
        <v>¬</v>
      </c>
    </row>
    <row r="338" spans="1:2">
      <c r="A338" s="1" t="s">
        <v>337</v>
      </c>
      <c r="B338" t="str">
        <f t="shared" si="39"/>
        <v>¬</v>
      </c>
    </row>
    <row r="339" spans="1:2">
      <c r="A339" s="1" t="s">
        <v>338</v>
      </c>
      <c r="B339" t="str">
        <f t="shared" si="39"/>
        <v>¬</v>
      </c>
    </row>
    <row r="340" spans="1:2">
      <c r="A340" s="1" t="s">
        <v>339</v>
      </c>
      <c r="B340" t="str">
        <f t="shared" si="39"/>
        <v>¬</v>
      </c>
    </row>
    <row r="341" spans="1:2">
      <c r="A341" s="1" t="s">
        <v>340</v>
      </c>
      <c r="B341" t="str">
        <f t="shared" si="39"/>
        <v>¬</v>
      </c>
    </row>
    <row r="342" spans="1:2">
      <c r="A342" s="1" t="s">
        <v>341</v>
      </c>
      <c r="B342" t="str">
        <f t="shared" si="39"/>
        <v>¬</v>
      </c>
    </row>
    <row r="343" spans="1:2">
      <c r="A343" s="1" t="s">
        <v>342</v>
      </c>
      <c r="B343" t="str">
        <f t="shared" si="39"/>
        <v>¬</v>
      </c>
    </row>
    <row r="344" spans="1:2">
      <c r="A344" s="1" t="s">
        <v>343</v>
      </c>
      <c r="B344" s="8" t="str">
        <f>IF(VLOOKUP(tblCharDataHazel[[#This Row],[Field]],$E$2:$F$361,2,FALSE)="","¬",VLOOKUP(tblCharDataHazel[[#This Row],[Field]],$E$2:$F$361,2,FALSE))</f>
        <v>Aloof Curse</v>
      </c>
    </row>
    <row r="345" spans="1:2">
      <c r="A345" s="1" t="s">
        <v>344</v>
      </c>
      <c r="B345" s="8" t="str">
        <f>IF(VLOOKUP(tblCharDataHazel[[#This Row],[Field]],$E$2:$F$361,2,FALSE)="","¬",VLOOKUP(tblCharDataHazel[[#This Row],[Field]],$E$2:$F$361,2,FALSE))</f>
        <v>¬</v>
      </c>
    </row>
    <row r="346" spans="1:2">
      <c r="A346" s="1" t="s">
        <v>345</v>
      </c>
      <c r="B346" s="8" t="str">
        <f>IF(VLOOKUP(tblCharDataHazel[[#This Row],[Field]],$E$2:$F$361,2,FALSE)="","¬",VLOOKUP(tblCharDataHazel[[#This Row],[Field]],$E$2:$F$361,2,FALSE))</f>
        <v>¬</v>
      </c>
    </row>
    <row r="347" spans="1:2">
      <c r="A347" s="1" t="s">
        <v>346</v>
      </c>
      <c r="B347" s="8" t="str">
        <f>IF(VLOOKUP(tblCharDataHazel[[#This Row],[Field]],$E$2:$F$361,2,FALSE)="","¬",VLOOKUP(tblCharDataHazel[[#This Row],[Field]],$E$2:$F$361,2,FALSE))</f>
        <v>¬</v>
      </c>
    </row>
    <row r="348" spans="1:2">
      <c r="A348" s="1" t="s">
        <v>347</v>
      </c>
      <c r="B348" s="8" t="str">
        <f>IF(VLOOKUP(tblCharDataHazel[[#This Row],[Field]],$E$2:$F$361,2,FALSE)="","¬",VLOOKUP(tblCharDataHazel[[#This Row],[Field]],$E$2:$F$361,2,FALSE))</f>
        <v>¬</v>
      </c>
    </row>
    <row r="349" spans="1:2">
      <c r="A349" s="1" t="s">
        <v>348</v>
      </c>
      <c r="B349" t="str">
        <f>_xlfn.IFNA(VLOOKUP(B344,$F$234:$I$238,3,FALSE),"")</f>
        <v>First Touchstone attaches to Humanity 7; losing it detaches on first Humanity loss. Breaking points always treated as one step lower.</v>
      </c>
    </row>
    <row r="350" spans="1:2">
      <c r="A350" s="1" t="s">
        <v>349</v>
      </c>
      <c r="B350" t="str">
        <f>_xlfn.IFNA(VLOOKUP(B345,$F$234:$I$238,3,FALSE),"¬")</f>
        <v>¬</v>
      </c>
    </row>
    <row r="351" spans="1:2">
      <c r="A351" s="1" t="s">
        <v>350</v>
      </c>
      <c r="B351" t="str">
        <f>_xlfn.IFNA(VLOOKUP(B346,$F$234:$I$238,3,FALSE),"")</f>
        <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10</v>
      </c>
    </row>
    <row r="356" spans="1:2">
      <c r="A356" s="1" t="s">
        <v>355</v>
      </c>
      <c r="B356">
        <f ca="1">P220</f>
        <v>2</v>
      </c>
    </row>
    <row r="357" spans="1:2">
      <c r="A357" s="1" t="s">
        <v>356</v>
      </c>
      <c r="B357" t="str">
        <f>IF(F10="","¬",VLOOKUP(F10,tblAnchors[],2,FALSE))</f>
        <v>Punish yourself for a mistake.</v>
      </c>
    </row>
    <row r="358" spans="1:2">
      <c r="A358" s="1" t="s">
        <v>357</v>
      </c>
      <c r="B358" t="str">
        <f>IF(F10="","¬",VLOOKUP(F10,tblAnchors[],3,FALSE))</f>
        <v>Risk death to correct an egregious error in judgement.</v>
      </c>
    </row>
    <row r="359" spans="1:2">
      <c r="A359" s="1" t="s">
        <v>358</v>
      </c>
      <c r="B359" t="str">
        <f>IF(F11="","¬",VLOOKUP(F11,tblAnchors[],2,FALSE))</f>
        <v>Cow someone into submission.</v>
      </c>
    </row>
    <row r="360" spans="1:2">
      <c r="A360" s="1" t="s">
        <v>359</v>
      </c>
      <c r="B360" t="str">
        <f>IF(F11="","¬",VLOOKUP(F11,tblAnchors[],3,FALSE))</f>
        <v>Commit a widespread hit against a rival's mortal connections.</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
      </c>
    </row>
    <row r="365" spans="1:2">
      <c r="A365" s="1" t="s">
        <v>364</v>
      </c>
      <c r="B365" t="str">
        <f>_xlfn.LET(_xlpm.a,IF(F244="","",F244),_xlpm.b,IF(F245="","",F245),IF(AND(_xlpm.a&lt;&gt;"",_xlpm.b&lt;&gt;""),_xlpm.a&amp;", "&amp;_xlpm.b,IF(_xlpm.a&lt;&gt;"",_xlpm.a,IF(_xlpm.b&lt;&gt;"",_xlpm.b,""))))</f>
        <v/>
      </c>
    </row>
  </sheetData>
  <mergeCells count="89">
    <mergeCell ref="F240:I240"/>
    <mergeCell ref="F241:I241"/>
    <mergeCell ref="F242:I242"/>
    <mergeCell ref="F244:I244"/>
    <mergeCell ref="F245:I245"/>
    <mergeCell ref="H238:I238"/>
    <mergeCell ref="H208:I208"/>
    <mergeCell ref="H209:I209"/>
    <mergeCell ref="H210:I210"/>
    <mergeCell ref="H211:I211"/>
    <mergeCell ref="H212:I212"/>
    <mergeCell ref="H213:I213"/>
    <mergeCell ref="H214:I214"/>
    <mergeCell ref="H215:I215"/>
    <mergeCell ref="H234:I234"/>
    <mergeCell ref="H236:I236"/>
    <mergeCell ref="H237:I237"/>
    <mergeCell ref="H207:I207"/>
    <mergeCell ref="H153:I153"/>
    <mergeCell ref="H154:I154"/>
    <mergeCell ref="H155:I155"/>
    <mergeCell ref="H156:I156"/>
    <mergeCell ref="H157:I157"/>
    <mergeCell ref="H177:I177"/>
    <mergeCell ref="H178:I178"/>
    <mergeCell ref="H179:I179"/>
    <mergeCell ref="H180:I180"/>
    <mergeCell ref="H181:I181"/>
    <mergeCell ref="H206:I206"/>
    <mergeCell ref="H152:I152"/>
    <mergeCell ref="H141:I141"/>
    <mergeCell ref="H142:I142"/>
    <mergeCell ref="H143:I143"/>
    <mergeCell ref="H144:I144"/>
    <mergeCell ref="H145:I145"/>
    <mergeCell ref="H146:I146"/>
    <mergeCell ref="H147:I147"/>
    <mergeCell ref="H148:I148"/>
    <mergeCell ref="H149:I149"/>
    <mergeCell ref="H150:I150"/>
    <mergeCell ref="H151:I151"/>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11:I111"/>
    <mergeCell ref="H98:I98"/>
    <mergeCell ref="H101:I101"/>
    <mergeCell ref="H102:I102"/>
    <mergeCell ref="H103:I103"/>
    <mergeCell ref="H104:I104"/>
    <mergeCell ref="H105:I105"/>
    <mergeCell ref="H106:I106"/>
    <mergeCell ref="H107:I107"/>
    <mergeCell ref="H108:I108"/>
    <mergeCell ref="H109:I109"/>
    <mergeCell ref="H110:I110"/>
    <mergeCell ref="H97:I97"/>
    <mergeCell ref="H86:I86"/>
    <mergeCell ref="H87:I87"/>
    <mergeCell ref="H88:I88"/>
    <mergeCell ref="H89:I89"/>
    <mergeCell ref="H90:I90"/>
    <mergeCell ref="H91:I91"/>
    <mergeCell ref="H92:I92"/>
    <mergeCell ref="H93:I93"/>
    <mergeCell ref="H94:I94"/>
    <mergeCell ref="H95:I95"/>
    <mergeCell ref="H96:I96"/>
    <mergeCell ref="H85:I85"/>
    <mergeCell ref="O8:P8"/>
    <mergeCell ref="O9:P9"/>
    <mergeCell ref="O10:P10"/>
    <mergeCell ref="O11:P11"/>
    <mergeCell ref="O12:P12"/>
    <mergeCell ref="H79:I79"/>
    <mergeCell ref="H80:I80"/>
    <mergeCell ref="H81:I81"/>
    <mergeCell ref="H82:I82"/>
    <mergeCell ref="H83:I83"/>
    <mergeCell ref="H84:I84"/>
  </mergeCells>
  <dataValidations count="15">
    <dataValidation type="list" allowBlank="1" showInputMessage="1" showErrorMessage="1" sqref="G248:G277" xr:uid="{24E97E1F-1247-4A3C-8DFE-F34DC76D4209}">
      <formula1>$I$248:$I$249</formula1>
    </dataValidation>
    <dataValidation type="list" allowBlank="1" showInputMessage="1" showErrorMessage="1" sqref="F106:F120" xr:uid="{45C369A6-7BF8-4058-A505-CA66EA16588C}">
      <formula1>lstManoeuvres</formula1>
    </dataValidation>
    <dataValidation type="list" allowBlank="1" showInputMessage="1" showErrorMessage="1" sqref="F79:F98" xr:uid="{F7D5CCD9-6944-42F1-9720-A16E32DF264F}">
      <formula1>lstMerits</formula1>
    </dataValidation>
    <dataValidation type="list" allowBlank="1" showInputMessage="1" showErrorMessage="1" sqref="F236:F238" xr:uid="{4A780D41-5643-40A8-AC6B-C19AE5DED099}">
      <formula1>lstBanes</formula1>
    </dataValidation>
    <dataValidation type="list" allowBlank="1" showInputMessage="1" showErrorMessage="1" sqref="F206:F215" xr:uid="{2BF285EC-7DDC-40D4-A634-C2DCA177EE7A}">
      <formula1>lstPacts</formula1>
    </dataValidation>
    <dataValidation type="list" allowBlank="1" showInputMessage="1" showErrorMessage="1" sqref="G12:G13" xr:uid="{C56C9093-62EA-48F5-B824-D0D56A329D7D}">
      <formula1>lstStatus</formula1>
    </dataValidation>
    <dataValidation type="list" allowBlank="1" showInputMessage="1" showErrorMessage="1" sqref="F194:F205 F207:F215" xr:uid="{4D649DA1-814F-46E5-8DE8-FF7C6CFEED81}">
      <formula1>lstRites</formula1>
    </dataValidation>
    <dataValidation type="list" allowBlank="1" showInputMessage="1" showErrorMessage="1" sqref="F177:F181" xr:uid="{DAF343A2-F344-4543-9C5A-86F90ABE4027}">
      <formula1>lstDevotions</formula1>
    </dataValidation>
    <dataValidation type="list" allowBlank="1" showInputMessage="1" showErrorMessage="1" sqref="F17:F21" xr:uid="{15A5FFC9-2687-4A53-89A0-DF57B3007F43}">
      <formula1>"TRUE,FALSE"</formula1>
    </dataValidation>
    <dataValidation type="list" allowBlank="1" showInputMessage="1" showErrorMessage="1" sqref="F24" xr:uid="{06457790-0DCF-42F4-820B-76FD1FBADAEE}">
      <formula1>$D$7:$D$8</formula1>
    </dataValidation>
    <dataValidation type="list" allowBlank="1" showInputMessage="1" showErrorMessage="1" sqref="I25 I30 I35 I41 I51 I61" xr:uid="{09B974E8-55DF-4746-AE52-82968655F96C}">
      <formula1>lstPriority</formula1>
    </dataValidation>
    <dataValidation type="list" allowBlank="1" showInputMessage="1" showErrorMessage="1" sqref="F9:F10" xr:uid="{4E5A6EB0-81D1-4AEC-9A2C-D59587769E57}">
      <formula1>lstNature</formula1>
    </dataValidation>
    <dataValidation type="list" allowBlank="1" showInputMessage="1" showErrorMessage="1" sqref="F7" xr:uid="{5FD39C24-F4C1-4373-88EC-8E983E578964}">
      <formula1>lstBloodlines</formula1>
    </dataValidation>
    <dataValidation type="list" allowBlank="1" showInputMessage="1" showErrorMessage="1" sqref="F8" xr:uid="{AD7907E6-4B69-4551-AE98-539AED7A7046}">
      <formula1>lstCovenant</formula1>
    </dataValidation>
    <dataValidation type="list" allowBlank="1" showInputMessage="1" showErrorMessage="1" sqref="F6" xr:uid="{ED1789B0-35BE-49FA-84D2-AF25763EB409}">
      <formula1>lstClan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7DF7F716-D5D8-431E-B575-EB33B9554969}">
          <x14:formula1>
            <xm:f>'Lookup-Domain'!$A$2:$A$8</xm:f>
          </x14:formula1>
          <xm:sqref>F161 F140:F157</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2BD48-32CD-4AC7-A28A-5443C1ECE957}">
  <dimension ref="A1:AK365"/>
  <sheetViews>
    <sheetView zoomScale="70" zoomScaleNormal="70" workbookViewId="0">
      <pane ySplit="1" topLeftCell="A2" activePane="bottomLeft" state="frozen"/>
      <selection pane="bottomLeft" activeCell="H83" sqref="H83:I83"/>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Opening the Void</v>
      </c>
      <c r="AC2" s="60" t="str" cm="1">
        <f t="array" ref="AC2:AC14">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Indomitable</v>
      </c>
      <c r="AD2" s="20" t="str">
        <f>IF(AC2="","¬",_xlfn.LET(_xlpm.base,IFERROR(LEFT(AC2,FIND(" (",AC2)-1),AC2),IFERROR(VLOOKUP(_xlpm.base,tblManoeuvre[],2,FALSE) &amp; " " &amp; REPT("●",VLOOKUP(_xlpm.base,tblManoeuvre[],3,FALSE)) &amp; " | " &amp; AC2,AC2 &amp; " " &amp; REPT("●",VLOOKUP(_xlpm.base,$F$79:$P$120,11,FALSE)))))</f>
        <v>Indomitable ●●</v>
      </c>
      <c r="AE2" s="20"/>
      <c r="AF2" s="20" t="str">
        <f>IF(LEN(AC2)=0,"¬",_xlfn.LET(_xlpm.base,IFERROR(LEFT(AC2,FIND(" (",AC2)-1),AC2),IFERROR(VLOOKUP(_xlpm.base,tblMerits[],5,FALSE),IFERROR(VLOOKUP(_xlpm.base,tblManoeuvre[],9,FALSE),"¬"))))</f>
        <v>+2 to contest or resist supernatural mental influence.</v>
      </c>
      <c r="AI2" s="15" t="s">
        <v>25</v>
      </c>
      <c r="AJ2" s="61">
        <f t="shared" ref="AJ2:AJ58" si="1">VLOOKUP(AI2,$E$3:$P$221,12,FALSE)</f>
        <v>0</v>
      </c>
      <c r="AK2" s="61">
        <f>IF(AJ2=0,IF(COUNTIF($E$42:$E$49,AI2)&gt;0,-3,-1),AJ2)</f>
        <v>-3</v>
      </c>
    </row>
    <row r="3" spans="1:37">
      <c r="A3" s="1" t="s">
        <v>2</v>
      </c>
      <c r="B3">
        <f ca="1">N3</f>
        <v>0</v>
      </c>
      <c r="D3" s="19"/>
      <c r="E3" s="15" t="s">
        <v>4</v>
      </c>
      <c r="F3" s="3" t="s">
        <v>981</v>
      </c>
      <c r="G3" s="18"/>
      <c r="H3" s="18"/>
      <c r="I3" s="18" t="s">
        <v>1425</v>
      </c>
      <c r="N3" s="60">
        <f ca="1">10+SUM(N4:N6)-SUM(N7)</f>
        <v>0</v>
      </c>
      <c r="Y3" s="15" t="s">
        <v>115</v>
      </c>
      <c r="Z3" s="19"/>
      <c r="AA3" s="61" t="str">
        <f t="shared" si="0"/>
        <v>The Mother-Daughter Bond</v>
      </c>
      <c r="AC3" s="60" t="str">
        <v>Mandragora Garden (Shared (Keeper))</v>
      </c>
      <c r="AD3" s="20" t="str">
        <f>IF(AC3="","¬",_xlfn.LET(_xlpm.base,IFERROR(LEFT(AC3,FIND(" (",AC3)-1),AC3),IFERROR(VLOOKUP(_xlpm.base,tblManoeuvre[],2,FALSE) &amp; " " &amp; REPT("●",VLOOKUP(_xlpm.base,tblManoeuvre[],3,FALSE)) &amp; " | " &amp; AC3,AC3 &amp; " " &amp; REPT("●",VLOOKUP(_xlpm.base,$F$79:$P$120,11,FALSE)))))</f>
        <v>Mandragora Garden (Shared (Keeper)) ●●●</v>
      </c>
      <c r="AE3" s="20"/>
      <c r="AF3" s="20" t="str">
        <f>IF(LEN(AC3)=0,"¬",_xlfn.LET(_xlpm.base,IFERROR(LEFT(AC3,FIND(" (",AC3)-1),AC3),IFERROR(VLOOKUP(_xlpm.base,tblMerits[],5,FALSE),IFERROR(VLOOKUP(_xlpm.base,tblManoeuvre[],9,FALSE),"¬"))))</f>
        <v>Remote Crúac into Safe Place. Add dots to Crúac rolls in garden. Sustain Merit dots in rituals indefinitely (don't count toward Sorcery Tolerance); reduce base cost of Merit dots in rituals by rating. Feed dots in Vitae monthly; produces double in animal blood (costume at game). Attacks provoke frenzy. Can share but not increase yields.</v>
      </c>
      <c r="AI3" s="15" t="s">
        <v>41</v>
      </c>
      <c r="AJ3" s="61">
        <f t="shared" si="1"/>
        <v>3</v>
      </c>
      <c r="AK3" s="61">
        <f>IF(AJ3=0,IF(COUNTIF($E$42:$E$49,AI3)&gt;0,-3,-1),AJ3)</f>
        <v>3</v>
      </c>
    </row>
    <row r="4" spans="1:37">
      <c r="A4" s="1" t="s">
        <v>3</v>
      </c>
      <c r="B4">
        <f ca="1">SUM(N3:N9)</f>
        <v>58</v>
      </c>
      <c r="D4" s="19"/>
      <c r="E4" s="15" t="s">
        <v>5</v>
      </c>
      <c r="F4" s="3" t="s">
        <v>982</v>
      </c>
      <c r="G4" s="18"/>
      <c r="H4" s="18"/>
      <c r="I4" s="18" t="s">
        <v>1426</v>
      </c>
      <c r="N4" s="61">
        <f>K73*2</f>
        <v>4</v>
      </c>
      <c r="Y4" s="15" t="s">
        <v>116</v>
      </c>
      <c r="Z4" s="19"/>
      <c r="AA4" s="61" t="str">
        <f t="shared" si="0"/>
        <v>Mandragora Garden (Shared (Keeper))</v>
      </c>
      <c r="AC4" s="60" t="str">
        <v>Opening the Void</v>
      </c>
      <c r="AD4" s="20" t="str">
        <f>IF(AC4="","¬",_xlfn.LET(_xlpm.base,IFERROR(LEFT(AC4,FIND(" (",AC4)-1),AC4),IFERROR(VLOOKUP(_xlpm.base,tblManoeuvre[],2,FALSE) &amp; " " &amp; REPT("●",VLOOKUP(_xlpm.base,tblManoeuvre[],3,FALSE)) &amp; " | " &amp; AC4,AC4 &amp; " " &amp; REPT("●",VLOOKUP(_xlpm.base,$F$79:$P$120,11,FALSE)))))</f>
        <v>Opening the Void ●●</v>
      </c>
      <c r="AE4" s="20"/>
      <c r="AF4" s="20" t="str">
        <f>IF(LEN(AC4)=0,"¬",_xlfn.LET(_xlpm.base,IFERROR(LEFT(AC4,FIND(" (",AC4)-1),AC4),IFERROR(VLOOKUP(_xlpm.base,tblMerits[],5,FALSE),IFERROR(VLOOKUP(_xlpm.base,tblManoeuvre[],9,FALSE),"¬"))))</f>
        <v>Crúac rites summon shadow-servants proportional to rite level. Spend Willpower to consign living beings to darkness (extended contested roll).</v>
      </c>
      <c r="AI4" s="15" t="s">
        <v>236</v>
      </c>
      <c r="AJ4" s="61">
        <f t="shared" si="1"/>
        <v>0</v>
      </c>
      <c r="AK4" s="61">
        <f>AJ4</f>
        <v>0</v>
      </c>
    </row>
    <row r="5" spans="1:37">
      <c r="A5" s="1" t="s">
        <v>4</v>
      </c>
      <c r="B5" t="str">
        <f>IF(VLOOKUP(tblCharDataIvana[[#This Row],[Field]],$E$2:$F$362,2,FALSE)="","¬",VLOOKUP(tblCharDataIvana[[#This Row],[Field]],$E$2:$F$362,2,FALSE))</f>
        <v>Lyn</v>
      </c>
      <c r="D5" s="19"/>
      <c r="E5" s="15" t="s">
        <v>6</v>
      </c>
      <c r="F5" s="3" t="s">
        <v>983</v>
      </c>
      <c r="G5" s="18"/>
      <c r="H5" s="18"/>
      <c r="I5" s="18" t="s">
        <v>1427</v>
      </c>
      <c r="N5" s="61">
        <f>N16</f>
        <v>15</v>
      </c>
      <c r="Y5" s="15" t="s">
        <v>117</v>
      </c>
      <c r="Z5" s="19"/>
      <c r="AA5" s="61" t="str">
        <f t="shared" si="0"/>
        <v>Indomitable</v>
      </c>
      <c r="AC5" s="60" t="str">
        <v>The Mother-Daughter Bond</v>
      </c>
      <c r="AD5" s="20" t="str">
        <f>IF(AC5="","¬",_xlfn.LET(_xlpm.base,IFERROR(LEFT(AC5,FIND(" (",AC5)-1),AC5),IFERROR(VLOOKUP(_xlpm.base,tblManoeuvre[],2,FALSE) &amp; " " &amp; REPT("●",VLOOKUP(_xlpm.base,tblManoeuvre[],3,FALSE)) &amp; " | " &amp; AC5,AC5 &amp; " " &amp; REPT("●",VLOOKUP(_xlpm.base,$F$79:$P$120,11,FALSE)))))</f>
        <v>The Mother-Daughter Bond ●</v>
      </c>
      <c r="AE5" s="20"/>
      <c r="AF5" s="20" t="str">
        <f>IF(LEN(AC5)=0,"¬",_xlfn.LET(_xlpm.base,IFERROR(LEFT(AC5,FIND(" (",AC5)-1),AC5),IFERROR(VLOOKUP(_xlpm.base,tblMerits[],5,FALSE),IFERROR(VLOOKUP(_xlpm.base,tblManoeuvre[],9,FALSE),"¬"))))</f>
        <v>When purchasing Mentor, gain additional dots in a chosen Crúac Style equal to Mentor. If Mentor exceeds Crúac, Style dots added as Crúac gained.</v>
      </c>
      <c r="AI5" s="15" t="s">
        <v>33</v>
      </c>
      <c r="AJ5" s="61">
        <f t="shared" si="1"/>
        <v>2</v>
      </c>
      <c r="AK5" s="61">
        <f>IF(AJ5=0,IF(COUNTIF($E$42:$E$49,AI5)&gt;0,-3,-1),AJ5)</f>
        <v>2</v>
      </c>
    </row>
    <row r="6" spans="1:37">
      <c r="A6" s="1" t="s">
        <v>5</v>
      </c>
      <c r="B6" t="str">
        <f>IF(VLOOKUP(tblCharDataIvana[[#This Row],[Field]],$E$2:$F$362,2,FALSE)="","¬",VLOOKUP(tblCharDataIvana[[#This Row],[Field]],$E$2:$F$362,2,FALSE))</f>
        <v>Ivana Horvat</v>
      </c>
      <c r="D6" s="19"/>
      <c r="E6" s="15" t="s">
        <v>7</v>
      </c>
      <c r="F6" s="3" t="s">
        <v>369</v>
      </c>
      <c r="G6" s="18"/>
      <c r="H6" s="18"/>
      <c r="I6" s="18" t="s">
        <v>1347</v>
      </c>
      <c r="N6" s="61">
        <f ca="1">N279</f>
        <v>3</v>
      </c>
      <c r="Y6" s="15" t="s">
        <v>118</v>
      </c>
      <c r="Z6" s="19"/>
      <c r="AA6" s="61" t="str">
        <f t="shared" si="0"/>
        <v/>
      </c>
      <c r="AC6" s="60" t="str">
        <v>Predator's Vigil</v>
      </c>
      <c r="AD6" s="20" t="str">
        <f>IF(AC6="","¬",_xlfn.LET(_xlpm.base,IFERROR(LEFT(AC6,FIND(" (",AC6)-1),AC6),IFERROR(VLOOKUP(_xlpm.base,tblManoeuvre[],2,FALSE) &amp; " " &amp; REPT("●",VLOOKUP(_xlpm.base,tblManoeuvre[],3,FALSE)) &amp; " | " &amp; AC6,AC6 &amp; " " &amp; REPT("●",VLOOKUP(_xlpm.base,$F$79:$P$120,11,FALSE)))))</f>
        <v>Falconry ● | Predator's Vigil</v>
      </c>
      <c r="AE6" s="20"/>
      <c r="AF6" s="20" t="str">
        <f>IF(LEN(AC6)=0,"¬",_xlfn.LET(_xlpm.base,IFERROR(LEFT(AC6,FIND(" (",AC6)-1),AC6),IFERROR(VLOOKUP(_xlpm.base,tblMerits[],5,FALSE),IFERROR(VLOOKUP(_xlpm.base,tblManoeuvre[],9,FALSE),"¬"))))</f>
        <v>Your raptor's presence inflicts Shaken on animals its Size or smaller, and lesser predators flee.</v>
      </c>
      <c r="AI6" s="15" t="s">
        <v>237</v>
      </c>
      <c r="AJ6" s="61">
        <f t="shared" si="1"/>
        <v>5</v>
      </c>
      <c r="AK6" s="61">
        <f>AJ6</f>
        <v>5</v>
      </c>
    </row>
    <row r="7" spans="1:37">
      <c r="A7" s="1" t="s">
        <v>6</v>
      </c>
      <c r="B7" t="str">
        <f>IF(VLOOKUP(tblCharDataIvana[[#This Row],[Field]],$E$2:$F$362,2,FALSE)="","¬",VLOOKUP(tblCharDataIvana[[#This Row],[Field]],$E$2:$F$362,2,FALSE))</f>
        <v>Trauma Survivor</v>
      </c>
      <c r="D7" s="19" t="str">
        <f>VLOOKUP(F7,tblClans[],3,FALSE)</f>
        <v>Stamina</v>
      </c>
      <c r="E7" s="15" t="s">
        <v>8</v>
      </c>
      <c r="F7" s="3" t="s">
        <v>491</v>
      </c>
      <c r="G7" s="18"/>
      <c r="H7" s="18"/>
      <c r="I7" s="18"/>
      <c r="N7" s="60">
        <f>SUM(N8:N12)</f>
        <v>32</v>
      </c>
      <c r="Y7" s="15" t="s">
        <v>119</v>
      </c>
      <c r="Z7" s="19"/>
      <c r="AA7" s="61" t="str">
        <f t="shared" si="0"/>
        <v/>
      </c>
      <c r="AC7" s="60" t="str">
        <v>Flyby</v>
      </c>
      <c r="AD7" s="20" t="str">
        <f>IF(AC7="","¬",_xlfn.LET(_xlpm.base,IFERROR(LEFT(AC7,FIND(" (",AC7)-1),AC7),IFERROR(VLOOKUP(_xlpm.base,tblManoeuvre[],2,FALSE) &amp; " " &amp; REPT("●",VLOOKUP(_xlpm.base,tblManoeuvre[],3,FALSE)) &amp; " | " &amp; AC7,AC7 &amp; " " &amp; REPT("●",VLOOKUP(_xlpm.base,$F$79:$P$120,11,FALSE)))))</f>
        <v>Falconry ●● | Flyby</v>
      </c>
      <c r="AE7" s="20"/>
      <c r="AF7" s="20" t="str">
        <f>IF(LEN(AC7)=0,"¬",_xlfn.LET(_xlpm.base,IFERROR(LEFT(AC7,FIND(" (",AC7)-1),AC7),IFERROR(VLOOKUP(_xlpm.base,tblMerits[],5,FALSE),IFERROR(VLOOKUP(_xlpm.base,tblManoeuvre[],9,FALSE),"¬"))))</f>
        <v>Your bird contests Presence + Intimidation vs Resolve + Composure to inflict a -3 action penalty.</v>
      </c>
      <c r="AI7" s="15" t="s">
        <v>49</v>
      </c>
      <c r="AJ7" s="61">
        <f t="shared" si="1"/>
        <v>1</v>
      </c>
      <c r="AK7" s="61">
        <f>AJ7</f>
        <v>1</v>
      </c>
    </row>
    <row r="8" spans="1:37">
      <c r="A8" s="1" t="s">
        <v>7</v>
      </c>
      <c r="B8" t="str">
        <f>IF(VLOOKUP(tblCharDataIvana[[#This Row],[Field]],$E$2:$F$362,2,FALSE)="","¬",LOWER(VLOOKUP(tblCharDataIvana[[#This Row],[Field]],$E$2:$F$362,2,FALSE)))</f>
        <v>she/her</v>
      </c>
      <c r="D8" s="19" t="str">
        <f>VLOOKUP(F7,tblClans[],2,FALSE)</f>
        <v>Composure</v>
      </c>
      <c r="E8" s="15" t="s">
        <v>10</v>
      </c>
      <c r="F8" s="3" t="s">
        <v>984</v>
      </c>
      <c r="G8" s="61" t="b">
        <f>IFERROR(IF(OR(AND(VLOOKUP(F8,tblBloodlines[],2,FALSE)="",VLOOKUP(F8,tblBloodlines[],3,FALSE)="",VLOOKUP(F8,tblBloodlines[],4,FALSE)=""),AND(VLOOKUP(F8,tblBloodlines[],2,FALSE)="",VLOOKUP(F8,tblBloodlines[],3,FALSE)="",F9=VLOOKUP(F8,tblBloodlines[],4,FALSE)),F7=VLOOKUP(F8,tblBloodlines[],2,FALSE),F7=VLOOKUP(F8,tblBloodlines[],3,FALSE)),TRUE,FALSE),"")</f>
        <v>0</v>
      </c>
      <c r="H8" s="18"/>
      <c r="I8" s="18" t="s">
        <v>1428</v>
      </c>
      <c r="N8" s="61">
        <f>N23</f>
        <v>4</v>
      </c>
      <c r="O8" s="65">
        <f>N8/SUM(N$7:N$12)</f>
        <v>6.25E-2</v>
      </c>
      <c r="P8" s="66"/>
      <c r="Y8" s="15" t="s">
        <v>120</v>
      </c>
      <c r="Z8" s="19"/>
      <c r="AA8" s="61" t="str">
        <f t="shared" si="0"/>
        <v/>
      </c>
      <c r="AC8" s="60" t="str">
        <v>Detection</v>
      </c>
      <c r="AD8" s="20" t="str">
        <f>IF(AC8="","¬",_xlfn.LET(_xlpm.base,IFERROR(LEFT(AC8,FIND(" (",AC8)-1),AC8),IFERROR(VLOOKUP(_xlpm.base,tblManoeuvre[],2,FALSE) &amp; " " &amp; REPT("●",VLOOKUP(_xlpm.base,tblManoeuvre[],3,FALSE)) &amp; " | " &amp; AC8,AC8 &amp; " " &amp; REPT("●",VLOOKUP(_xlpm.base,$F$79:$P$120,11,FALSE)))))</f>
        <v>K-9 ● | Detection</v>
      </c>
      <c r="AE8" s="20"/>
      <c r="AF8" s="20" t="str">
        <f>IF(LEN(AC8)=0,"¬",_xlfn.LET(_xlpm.base,IFERROR(LEFT(AC8,FIND(" (",AC8)-1),AC8),IFERROR(VLOOKUP(_xlpm.base,tblMerits[],5,FALSE),IFERROR(VLOOKUP(_xlpm.base,tblManoeuvre[],9,FALSE),"¬"))))</f>
        <v>Under direction, your dog rolls Wits + Survival + K-9 dots (modified for Bonded) to track scent.</v>
      </c>
      <c r="AI8" s="15" t="s">
        <v>34</v>
      </c>
      <c r="AJ8" s="61">
        <f t="shared" si="1"/>
        <v>0</v>
      </c>
      <c r="AK8" s="61">
        <f>IF(AJ8=0,IF(COUNTIF($E$42:$E$49,AI8)&gt;0,-3,-1),AJ8)</f>
        <v>-1</v>
      </c>
    </row>
    <row r="9" spans="1:37">
      <c r="A9" s="1" t="s">
        <v>8</v>
      </c>
      <c r="B9" t="str">
        <f>IF(VLOOKUP(tblCharDataIvana[[#This Row],[Field]],$E$2:$F$362,2,FALSE)="","¬",VLOOKUP(tblCharDataIvana[[#This Row],[Field]],$E$2:$F$362,2,FALSE))</f>
        <v>Gangrel</v>
      </c>
      <c r="D9" s="19"/>
      <c r="E9" s="15" t="s">
        <v>11</v>
      </c>
      <c r="F9" s="3" t="s">
        <v>373</v>
      </c>
      <c r="G9" s="18"/>
      <c r="H9" s="18"/>
      <c r="I9" s="18" t="s">
        <v>1429</v>
      </c>
      <c r="N9" s="61">
        <f>N40+T40</f>
        <v>0</v>
      </c>
      <c r="O9" s="65">
        <f>N9/SUM(N$7:N$12)</f>
        <v>0</v>
      </c>
      <c r="P9" s="66"/>
      <c r="Y9" s="15" t="s">
        <v>121</v>
      </c>
      <c r="Z9" s="19"/>
      <c r="AA9" s="61" t="str">
        <f t="shared" si="0"/>
        <v/>
      </c>
      <c r="AC9" s="60" t="str">
        <v>Targeted Bite</v>
      </c>
      <c r="AD9" s="20" t="str">
        <f>IF(AC9="","¬",_xlfn.LET(_xlpm.base,IFERROR(LEFT(AC9,FIND(" (",AC9)-1),AC9),IFERROR(VLOOKUP(_xlpm.base,tblManoeuvre[],2,FALSE) &amp; " " &amp; REPT("●",VLOOKUP(_xlpm.base,tblManoeuvre[],3,FALSE)) &amp; " | " &amp; AC9,AC9 &amp; " " &amp; REPT("●",VLOOKUP(_xlpm.base,$F$79:$P$120,11,FALSE)))))</f>
        <v>K-9 ●● | Targeted Bite</v>
      </c>
      <c r="AE9" s="20"/>
      <c r="AF9" s="20" t="str">
        <f>IF(LEN(AC9)=0,"¬",_xlfn.LET(_xlpm.base,IFERROR(LEFT(AC9,FIND(" (",AC9)-1),AC9),IFERROR(VLOOKUP(_xlpm.base,tblMerits[],5,FALSE),IFERROR(VLOOKUP(_xlpm.base,tblManoeuvre[],9,FALSE),"¬"))))</f>
        <v>Command your dog to make called shots in combat, reducing the shot penalty by -2.</v>
      </c>
      <c r="AI9" s="15" t="s">
        <v>238</v>
      </c>
      <c r="AJ9" s="61">
        <f t="shared" si="1"/>
        <v>0</v>
      </c>
      <c r="AK9" s="61">
        <f>AJ9</f>
        <v>0</v>
      </c>
    </row>
    <row r="10" spans="1:37">
      <c r="A10" s="1" t="s">
        <v>9</v>
      </c>
      <c r="B10" t="str">
        <f>CONCATENATE(Elements,B9," icon.svg")</f>
        <v>D:\Terra Mortis\Character Sheets\Sheet Elements\Gangrel icon.svg</v>
      </c>
      <c r="D10" s="19"/>
      <c r="E10" s="15" t="s">
        <v>13</v>
      </c>
      <c r="F10" s="3" t="s">
        <v>985</v>
      </c>
      <c r="G10" s="18"/>
      <c r="H10" s="18"/>
      <c r="I10" s="18" t="s">
        <v>1430</v>
      </c>
      <c r="N10" s="61">
        <f>N77</f>
        <v>5</v>
      </c>
      <c r="O10" s="65">
        <f>N10/SUM(N$7:N$12)</f>
        <v>7.8125E-2</v>
      </c>
      <c r="P10" s="66"/>
      <c r="Y10" s="15" t="s">
        <v>122</v>
      </c>
      <c r="Z10" s="19"/>
      <c r="AA10" s="61" t="str">
        <f t="shared" si="0"/>
        <v/>
      </c>
      <c r="AC10" s="60" t="str">
        <v>Tactical Positioning</v>
      </c>
      <c r="AD10" s="20" t="str">
        <f>IF(AC10="","¬",_xlfn.LET(_xlpm.base,IFERROR(LEFT(AC10,FIND(" (",AC10)-1),AC10),IFERROR(VLOOKUP(_xlpm.base,tblManoeuvre[],2,FALSE) &amp; " " &amp; REPT("●",VLOOKUP(_xlpm.base,tblManoeuvre[],3,FALSE)) &amp; " | " &amp; AC10,AC10 &amp; " " &amp; REPT("●",VLOOKUP(_xlpm.base,$F$79:$P$120,11,FALSE)))))</f>
        <v>K-9 ●●● | Tactical Positioning</v>
      </c>
      <c r="AE10" s="20"/>
      <c r="AF10" s="20" t="str">
        <f>IF(LEN(AC10)=0,"¬",_xlfn.LET(_xlpm.base,IFERROR(LEFT(AC10,FIND(" (",AC10)-1),AC10),IFERROR(VLOOKUP(_xlpm.base,tblMerits[],5,FALSE),IFERROR(VLOOKUP(_xlpm.base,tblManoeuvre[],9,FALSE),"¬"))))</f>
        <v>When you fight one opponent in tandem, choose roles each turn for you and your dog. One takes +1 Defence, the other +2 to attack. Ignore penalties for firing into melee around your dog.</v>
      </c>
      <c r="AI10" s="15" t="s">
        <v>24</v>
      </c>
      <c r="AJ10" s="61">
        <f t="shared" si="1"/>
        <v>2</v>
      </c>
      <c r="AK10" s="61">
        <f>AJ10+IFERROR(INDEX($V$26:$V$38,MATCH(AI10,$E$26:$E$38,0)),0)</f>
        <v>2</v>
      </c>
    </row>
    <row r="11" spans="1:37">
      <c r="A11" s="1" t="s">
        <v>10</v>
      </c>
      <c r="B11" t="str">
        <f>IF(VLOOKUP(tblCharDataIvana[[#This Row],[Field]],$E$2:$F$362,2,FALSE)="","¬",VLOOKUP(tblCharDataIvana[[#This Row],[Field]],$E$2:$F$362,2,FALSE))</f>
        <v>Scions of the First City</v>
      </c>
      <c r="D11" s="19"/>
      <c r="E11" s="15" t="s">
        <v>14</v>
      </c>
      <c r="F11" s="3" t="s">
        <v>877</v>
      </c>
      <c r="G11" s="18"/>
      <c r="H11" s="18"/>
      <c r="I11" s="18" t="s">
        <v>1431</v>
      </c>
      <c r="N11" s="61">
        <f>N163</f>
        <v>23</v>
      </c>
      <c r="O11" s="65">
        <f>N11/SUM(N$7:N$12)</f>
        <v>0.359375</v>
      </c>
      <c r="P11" s="66"/>
      <c r="Y11" s="15" t="s">
        <v>123</v>
      </c>
      <c r="Z11" s="19"/>
      <c r="AA11" s="61" t="str">
        <f t="shared" si="0"/>
        <v/>
      </c>
      <c r="AC11" s="60" t="str">
        <v>Quick Reload</v>
      </c>
      <c r="AD11" s="20" t="str">
        <f>IF(AC11="","¬",_xlfn.LET(_xlpm.base,IFERROR(LEFT(AC11,FIND(" (",AC11)-1),AC11),IFERROR(VLOOKUP(_xlpm.base,tblManoeuvre[],2,FALSE) &amp; " " &amp; REPT("●",VLOOKUP(_xlpm.base,tblManoeuvre[],3,FALSE)) &amp; " | " &amp; AC11,AC11 &amp; " " &amp; REPT("●",VLOOKUP(_xlpm.base,$F$79:$P$120,11,FALSE)))))</f>
        <v>Powered Projectile ● | Quick Reload</v>
      </c>
      <c r="AE11" s="20"/>
      <c r="AF11" s="20" t="str">
        <f>IF(LEN(AC11)=0,"¬",_xlfn.LET(_xlpm.base,IFERROR(LEFT(AC11,FIND(" (",AC11)-1),AC11),IFERROR(VLOOKUP(_xlpm.base,tblMerits[],5,FALSE),IFERROR(VLOOKUP(_xlpm.base,tblManoeuvre[],9,FALSE),"¬"))))</f>
        <v>Reload your weapon one turn quicker, down to a reflexive action.</v>
      </c>
      <c r="AI11" s="15" t="s">
        <v>26</v>
      </c>
      <c r="AJ11" s="61">
        <f t="shared" si="1"/>
        <v>0</v>
      </c>
      <c r="AK11" s="61">
        <f>IF(AJ11=0,IF(COUNTIF($E$42:$E$49,AI11)&gt;0,-3,-1),AJ11)</f>
        <v>-3</v>
      </c>
    </row>
    <row r="12" spans="1:37">
      <c r="A12" s="1" t="s">
        <v>11</v>
      </c>
      <c r="B12" t="str">
        <f>IF(VLOOKUP(tblCharDataIvana[[#This Row],[Field]],$E$2:$F$362,2,FALSE)="","¬",VLOOKUP(tblCharDataIvana[[#This Row],[Field]],$E$2:$F$362,2,FALSE))</f>
        <v>Circle of the Crone</v>
      </c>
      <c r="D12" s="19"/>
      <c r="E12" s="15" t="s">
        <v>15</v>
      </c>
      <c r="F12" s="3"/>
      <c r="G12" s="3"/>
      <c r="H12" s="18"/>
      <c r="I12" s="18" t="s">
        <v>1432</v>
      </c>
      <c r="N12" s="61">
        <f>N71</f>
        <v>0</v>
      </c>
      <c r="O12" s="65">
        <f>N12/SUM(N$7:N$12)</f>
        <v>0</v>
      </c>
      <c r="P12" s="66"/>
      <c r="Y12" s="15" t="s">
        <v>124</v>
      </c>
      <c r="Z12" s="19"/>
      <c r="AA12" s="61" t="str">
        <f t="shared" si="0"/>
        <v/>
      </c>
      <c r="AC12" s="60" t="str">
        <v>Intercept Shot</v>
      </c>
      <c r="AD12" s="20" t="str">
        <f>IF(AC12="","¬",_xlfn.LET(_xlpm.base,IFERROR(LEFT(AC12,FIND(" (",AC12)-1),AC12),IFERROR(VLOOKUP(_xlpm.base,tblManoeuvre[],2,FALSE) &amp; " " &amp; REPT("●",VLOOKUP(_xlpm.base,tblManoeuvre[],3,FALSE)) &amp; " | " &amp; AC12,AC12 &amp; " " &amp; REPT("●",VLOOKUP(_xlpm.base,$F$79:$P$120,11,FALSE)))))</f>
        <v>Powered Projectile ●● | Intercept Shot</v>
      </c>
      <c r="AE12" s="20"/>
      <c r="AF12" s="20" t="str">
        <f>IF(LEN(AC12)=0,"¬",_xlfn.LET(_xlpm.base,IFERROR(LEFT(AC12,FIND(" (",AC12)-1),AC12),IFERROR(VLOOKUP(_xlpm.base,tblMerits[],5,FALSE),IFERROR(VLOOKUP(_xlpm.base,tblManoeuvre[],9,FALSE),"¬"))))</f>
        <v>When you Aim, you may make called shots against sailing projectiles to deflect their course.</v>
      </c>
      <c r="AI12" s="15" t="s">
        <v>27</v>
      </c>
      <c r="AJ12" s="61">
        <f t="shared" si="1"/>
        <v>0</v>
      </c>
      <c r="AK12" s="61">
        <f>IF(AJ12=0,IF(COUNTIF($E$42:$E$49,AI12)&gt;0,-3,-1),AJ12)</f>
        <v>-3</v>
      </c>
    </row>
    <row r="13" spans="1:37">
      <c r="A13" s="1" t="s">
        <v>12</v>
      </c>
      <c r="B13" t="str">
        <f>_xlfn.IFNA(CONCATENATE(Elements,VLOOKUP(B12,tblCovenantShortName[#Data],2,FALSE)," icon.svg"),"")</f>
        <v>D:\Terra Mortis\Character Sheets\Sheet Elements\Crone icon.svg</v>
      </c>
      <c r="D13" s="19"/>
      <c r="E13" s="15" t="s">
        <v>15</v>
      </c>
      <c r="F13" s="3"/>
      <c r="G13" s="3"/>
      <c r="H13" s="18"/>
      <c r="I13" s="27"/>
      <c r="Y13" s="15" t="s">
        <v>125</v>
      </c>
      <c r="Z13" s="19"/>
      <c r="AA13" s="61" t="str">
        <f t="shared" si="0"/>
        <v/>
      </c>
      <c r="AC13" s="60" t="str">
        <v>Penetration</v>
      </c>
      <c r="AD13" s="20" t="str">
        <f>IF(AC13="","¬",_xlfn.LET(_xlpm.base,IFERROR(LEFT(AC13,FIND(" (",AC13)-1),AC13),IFERROR(VLOOKUP(_xlpm.base,tblManoeuvre[],2,FALSE) &amp; " " &amp; REPT("●",VLOOKUP(_xlpm.base,tblManoeuvre[],3,FALSE)) &amp; " | " &amp; AC13,AC13 &amp; " " &amp; REPT("●",VLOOKUP(_xlpm.base,$F$79:$P$120,11,FALSE)))))</f>
        <v>Powered Projectile ●●● | Penetration</v>
      </c>
      <c r="AE13" s="20"/>
      <c r="AF13" s="20" t="str">
        <f>IF(LEN(AC13)=0,"¬",_xlfn.LET(_xlpm.base,IFERROR(LEFT(AC13,FIND(" (",AC13)-1),AC13),IFERROR(VLOOKUP(_xlpm.base,tblMerits[],5,FALSE),IFERROR(VLOOKUP(_xlpm.base,tblManoeuvre[],9,FALSE),"¬"))))</f>
        <v>Sacrifice Defence to make an attack with +2 armour piercing.</v>
      </c>
      <c r="AI13" s="15" t="s">
        <v>248</v>
      </c>
      <c r="AJ13" s="61">
        <f t="shared" si="1"/>
        <v>1</v>
      </c>
      <c r="AK13" s="61">
        <f t="shared" ref="AK13:AK19" si="2">AJ13</f>
        <v>1</v>
      </c>
    </row>
    <row r="14" spans="1:37">
      <c r="A14" s="1" t="s">
        <v>13</v>
      </c>
      <c r="B14" t="str">
        <f>IF(VLOOKUP(tblCharDataIvana[[#This Row],[Field]],$E$2:$F$362,2,FALSE)="","¬",VLOOKUP(tblCharDataIvana[[#This Row],[Field]],$E$2:$F$362,2,FALSE))</f>
        <v>Child</v>
      </c>
      <c r="D14" s="19"/>
      <c r="E14" s="15" t="s">
        <v>1433</v>
      </c>
      <c r="F14" s="54">
        <v>38396</v>
      </c>
      <c r="G14" s="3"/>
      <c r="H14" s="61" t="s">
        <v>1434</v>
      </c>
      <c r="I14" s="27"/>
      <c r="Y14" s="15" t="s">
        <v>126</v>
      </c>
      <c r="Z14" s="19"/>
      <c r="AA14" s="61" t="str">
        <f t="shared" si="0"/>
        <v/>
      </c>
      <c r="AC14" s="60" t="str">
        <v>Skewer</v>
      </c>
      <c r="AD14" s="20" t="str">
        <f>IF(AC14="","¬",_xlfn.LET(_xlpm.base,IFERROR(LEFT(AC14,FIND(" (",AC14)-1),AC14),IFERROR(VLOOKUP(_xlpm.base,tblManoeuvre[],2,FALSE) &amp; " " &amp; REPT("●",VLOOKUP(_xlpm.base,tblManoeuvre[],3,FALSE)) &amp; " | " &amp; AC14,AC14 &amp; " " &amp; REPT("●",VLOOKUP(_xlpm.base,$F$79:$P$120,11,FALSE)))))</f>
        <v>Powered Projectile ●●●● | Skewer</v>
      </c>
      <c r="AE14" s="20"/>
      <c r="AF14" s="20" t="str">
        <f>IF(LEN(AC14)=0,"¬",_xlfn.LET(_xlpm.base,IFERROR(LEFT(AC14,FIND(" (",AC14)-1),AC14),IFERROR(VLOOKUP(_xlpm.base,tblMerits[],5,FALSE),IFERROR(VLOOKUP(_xlpm.base,tblManoeuvre[],9,FALSE),"¬"))))</f>
        <v>Reduce called shot penalties by two dice. Resulting Tilts persist while projectile lodged; removing requires Strength + Stamina - remaining damage. Healed damage removes Tilt.</v>
      </c>
      <c r="AI14" s="15" t="s">
        <v>246</v>
      </c>
      <c r="AJ14" s="61">
        <f t="shared" si="1"/>
        <v>2</v>
      </c>
      <c r="AK14" s="61">
        <f t="shared" si="2"/>
        <v>2</v>
      </c>
    </row>
    <row r="15" spans="1:37">
      <c r="A15" s="1" t="s">
        <v>14</v>
      </c>
      <c r="B15" t="str">
        <f>IF(VLOOKUP(tblCharDataIvana[[#This Row],[Field]],$E$2:$F$362,2,FALSE)="","¬",VLOOKUP(tblCharDataIvana[[#This Row],[Field]],$E$2:$F$362,2,FALSE))</f>
        <v>Competitor</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5</v>
      </c>
      <c r="AK15" s="61">
        <f t="shared" ca="1" si="2"/>
        <v>5</v>
      </c>
    </row>
    <row r="16" spans="1:37" ht="15.75" thickBot="1">
      <c r="A16" s="1" t="s">
        <v>15</v>
      </c>
      <c r="B16" t="str">
        <f ca="1">_xlfn.LET(_xlpm.a,VLOOKUP(tblCharDataIvana[[#This Row],[Field]],$E$2:$F$362,2,FALSE),_xlpm.b,VLOOKUP(OFFSET(tblCharDataIvana[[#This Row],[Field]],1,0),$E$2:$F$362,2,FALSE),IF(AND(_xlpm.a&lt;&gt;"",_xlpm.b&lt;&gt;""),_xlpm.a&amp;" &amp; "&amp;_xlpm.b,IF(_xlpm.a&lt;&gt;"",_xlpm.a,IF(_xlpm.b&lt;&gt;"",_xlpm.b,"¬"))))</f>
        <v>¬</v>
      </c>
      <c r="D16" s="14" t="s">
        <v>1427</v>
      </c>
      <c r="E16" s="14"/>
      <c r="F16" s="14"/>
      <c r="G16" s="14"/>
      <c r="H16" s="14"/>
      <c r="I16" s="14"/>
      <c r="N16" s="60">
        <f>SUM(N17:N21)</f>
        <v>15</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REPT("●",IFERROR(INDEX($P$26:$P$38,MATCH(tblCharDataIvana[[#This Row],[Field]],$E$26:$E$38,0)),0))&amp;REPT("○",IFERROR(INDEX($V$26:$V$38,MATCH(tblCharDataIvana[[#This Row],[Field]],$E$26:$E$38,0)),0))</f>
        <v>●●●</v>
      </c>
      <c r="D17" s="19"/>
      <c r="E17" s="15" t="s">
        <v>1435</v>
      </c>
      <c r="F17" s="3" t="b">
        <v>1</v>
      </c>
      <c r="G17" s="19"/>
      <c r="H17" s="19"/>
      <c r="I17" s="19"/>
      <c r="N17" s="61">
        <f>IF(F17=TRUE,3,0)</f>
        <v>3</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3</v>
      </c>
      <c r="AK17" s="61">
        <f>AJ17+IFERROR(INDEX($V$26:$V$38,MATCH(AI17,$E$26:$E$38,0)),0)</f>
        <v>3</v>
      </c>
    </row>
    <row r="18" spans="1:37">
      <c r="A18" s="1" t="s">
        <v>17</v>
      </c>
      <c r="B18" t="str">
        <f>REPT("●",IFERROR(INDEX($P$26:$P$38,MATCH(tblCharDataIvana[[#This Row],[Field]],$E$26:$E$38,0)),0))&amp;REPT("○",IFERROR(INDEX($V$26:$V$38,MATCH(tblCharDataIvana[[#This Row],[Field]],$E$26:$E$38,0)),0))</f>
        <v>●●●</v>
      </c>
      <c r="D18" s="19"/>
      <c r="E18" s="15" t="s">
        <v>1436</v>
      </c>
      <c r="F18" s="3" t="b">
        <v>1</v>
      </c>
      <c r="G18" s="19"/>
      <c r="H18" s="19"/>
      <c r="I18" s="19"/>
      <c r="N18" s="61">
        <f>IF(F18=TRUE,3,0)</f>
        <v>3</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1</v>
      </c>
      <c r="AK18" s="61">
        <f t="shared" si="2"/>
        <v>1</v>
      </c>
    </row>
    <row r="19" spans="1:37">
      <c r="A19" s="1" t="s">
        <v>18</v>
      </c>
      <c r="B19" t="str">
        <f>REPT("●",IFERROR(INDEX($P$26:$P$38,MATCH(tblCharDataIvana[[#This Row],[Field]],$E$26:$E$38,0)),0))&amp;REPT("○",IFERROR(INDEX($V$26:$V$38,MATCH(tblCharDataIvana[[#This Row],[Field]],$E$26:$E$38,0)),0))</f>
        <v>●●●</v>
      </c>
      <c r="D19" s="19"/>
      <c r="E19" s="15" t="s">
        <v>1437</v>
      </c>
      <c r="F19" s="3" t="b">
        <v>1</v>
      </c>
      <c r="G19" s="19"/>
      <c r="H19" s="19"/>
      <c r="I19" s="19"/>
      <c r="N19" s="61">
        <f>IF(F19=TRUE,3,0)</f>
        <v>3</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0</v>
      </c>
      <c r="AK19" s="61">
        <f t="shared" si="2"/>
        <v>0</v>
      </c>
    </row>
    <row r="20" spans="1:37">
      <c r="A20" s="1" t="s">
        <v>19</v>
      </c>
      <c r="B20" t="str">
        <f>REPT("●",IFERROR(INDEX($P$26:$P$38,MATCH(tblCharDataIvana[[#This Row],[Field]],$E$26:$E$38,0)),0))&amp;REPT("○",IFERROR(INDEX($V$26:$V$38,MATCH(tblCharDataIvana[[#This Row],[Field]],$E$26:$E$38,0)),0))</f>
        <v>●●</v>
      </c>
      <c r="D20" s="19"/>
      <c r="E20" s="15" t="s">
        <v>1438</v>
      </c>
      <c r="F20" s="3" t="b">
        <v>1</v>
      </c>
      <c r="G20" s="19"/>
      <c r="H20" s="19"/>
      <c r="I20" s="19"/>
      <c r="N20" s="61">
        <f>IF(F20=TRUE,3,0)</f>
        <v>3</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REPT("●",IFERROR(INDEX($P$26:$P$38,MATCH(tblCharDataIvana[[#This Row],[Field]],$E$26:$E$38,0)),0))&amp;REPT("○",IFERROR(INDEX($V$26:$V$38,MATCH(tblCharDataIvana[[#This Row],[Field]],$E$26:$E$38,0)),0))</f>
        <v>●●●</v>
      </c>
      <c r="D21" s="19"/>
      <c r="E21" s="15" t="s">
        <v>11</v>
      </c>
      <c r="F21" s="3" t="b">
        <v>1</v>
      </c>
      <c r="G21" s="19"/>
      <c r="H21" s="19"/>
      <c r="I21" s="19"/>
      <c r="N21" s="61">
        <f>IF(F21=TRUE,3,0)</f>
        <v>3</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3</v>
      </c>
      <c r="AK21" s="61">
        <f>IF(AJ21=0,IF(COUNTIF($E$42:$E$49,AI21)&gt;0,-3,-1),AJ21)</f>
        <v>3</v>
      </c>
    </row>
    <row r="22" spans="1:37">
      <c r="A22" s="1" t="s">
        <v>21</v>
      </c>
      <c r="B22" t="str">
        <f>REPT("●",IFERROR(INDEX($P$26:$P$38,MATCH(tblCharDataIvana[[#This Row],[Field]],$E$26:$E$38,0)),0))&amp;REPT("○",IFERROR(INDEX($V$26:$V$38,MATCH(tblCharDataIvana[[#This Row],[Field]],$E$26:$E$38,0)),0))</f>
        <v>●●</v>
      </c>
      <c r="Y22" s="15" t="s">
        <v>1439</v>
      </c>
      <c r="Z22" s="61" t="str">
        <f>IFERROR(VLOOKUP(AA22,tblManoeuvre[],2,FALSE),"")</f>
        <v>Powered Projectile</v>
      </c>
      <c r="AA22" s="61" t="str">
        <f t="shared" ref="AA22:AA41" si="3">_xlfn.LET(_xlpm.name,VLOOKUP(Y22,$E$2:$F$362,2,FALSE),_xlpm.paid,_xlfn.IFNA(VLOOKUP(_xlpm.name,$F$79:$Q$120,11,FALSE)&gt;=VLOOKUP(_xlpm.name,$F$79:$Q$120,12,FALSE),FALSE),IF(AND(_xlpm.name&lt;&gt;"",_xlpm.paid),_xlpm.name,""))</f>
        <v>Quick Reload</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0</v>
      </c>
      <c r="AK22" s="61">
        <f>IF(AJ22=0,IF(COUNTIF($E$42:$E$49,AI22)&gt;0,-3,-1),AJ22)</f>
        <v>-1</v>
      </c>
    </row>
    <row r="23" spans="1:37" ht="15.75" thickBot="1">
      <c r="A23" s="1" t="s">
        <v>22</v>
      </c>
      <c r="B23" t="str">
        <f>REPT("●",IFERROR(INDEX($P$26:$P$38,MATCH(tblCharDataIvana[[#This Row],[Field]],$E$26:$E$38,0)),0))&amp;REPT("○",IFERROR(INDEX($V$26:$V$38,MATCH(tblCharDataIvana[[#This Row],[Field]],$E$26:$E$38,0)),0))</f>
        <v>●</v>
      </c>
      <c r="D23" s="14" t="s">
        <v>1440</v>
      </c>
      <c r="E23" s="14"/>
      <c r="F23" s="14"/>
      <c r="G23" s="14"/>
      <c r="H23" s="14"/>
      <c r="I23" s="14"/>
      <c r="N23" s="60">
        <f>SUM(N26:N28,N31:N33,N36:N38)</f>
        <v>4</v>
      </c>
      <c r="Y23" s="15" t="s">
        <v>1441</v>
      </c>
      <c r="Z23" s="61" t="str">
        <f>IFERROR(VLOOKUP(AA23,tblManoeuvre[],2,FALSE),"")</f>
        <v>Powered Projectile</v>
      </c>
      <c r="AA23" s="61" t="str">
        <f t="shared" si="3"/>
        <v>Intercept Shot</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3</v>
      </c>
      <c r="AK23" s="61">
        <f>IF(AJ23=0,VLOOKUP(AI23,$E$42:$Q$69,13,FALSE),AJ23)</f>
        <v>3</v>
      </c>
    </row>
    <row r="24" spans="1:37">
      <c r="A24" s="1" t="s">
        <v>23</v>
      </c>
      <c r="B24" t="str">
        <f>REPT("●",IFERROR(INDEX($P$26:$P$38,MATCH(tblCharDataIvana[[#This Row],[Field]],$E$26:$E$38,0)),0))&amp;REPT("○",IFERROR(INDEX($V$26:$V$38,MATCH(tblCharDataIvana[[#This Row],[Field]],$E$26:$E$38,0)),0))</f>
        <v>●●●●</v>
      </c>
      <c r="E24" s="15" t="s">
        <v>1442</v>
      </c>
      <c r="F24" s="3" t="s">
        <v>21</v>
      </c>
      <c r="Y24" s="15" t="s">
        <v>1443</v>
      </c>
      <c r="Z24" s="61" t="str">
        <f>IFERROR(VLOOKUP(AA24,tblManoeuvre[],2,FALSE),"")</f>
        <v>Powered Projectile</v>
      </c>
      <c r="AA24" s="61" t="str">
        <f t="shared" si="3"/>
        <v>Penetration</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7</v>
      </c>
      <c r="AK24" s="61">
        <f ca="1">AJ24</f>
        <v>7</v>
      </c>
    </row>
    <row r="25" spans="1:37">
      <c r="A25" s="1" t="s">
        <v>24</v>
      </c>
      <c r="B25" t="str">
        <f>REPT("●",IFERROR(INDEX($P$26:$P$38,MATCH(tblCharDataIvana[[#This Row],[Field]],$E$26:$E$38,0)),0))&amp;REPT("○",IFERROR(INDEX($V$26:$V$38,MATCH(tblCharDataIvana[[#This Row],[Field]],$E$26:$E$38,0)),0))</f>
        <v>●●</v>
      </c>
      <c r="D25" s="16" t="s">
        <v>1444</v>
      </c>
      <c r="E25" s="17"/>
      <c r="F25" s="17"/>
      <c r="G25" s="17" t="s">
        <v>1445</v>
      </c>
      <c r="H25" s="16" t="s">
        <v>1446</v>
      </c>
      <c r="I25" s="3" t="s">
        <v>1565</v>
      </c>
      <c r="L25" s="60">
        <f>IF(I25="",0,VLOOKUP(I25,tblPriority[#Data],2,FALSE))-SUM(L26:L28)</f>
        <v>0</v>
      </c>
      <c r="Y25" s="15" t="s">
        <v>1447</v>
      </c>
      <c r="Z25" s="61" t="str">
        <f>IFERROR(VLOOKUP(AA25,tblManoeuvre[],2,FALSE),"")</f>
        <v>Powered Projectile</v>
      </c>
      <c r="AA25" s="61" t="str">
        <f t="shared" si="3"/>
        <v>Skewer</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5</v>
      </c>
      <c r="AK25" s="61">
        <f>AJ25</f>
        <v>5</v>
      </c>
    </row>
    <row r="26" spans="1:37">
      <c r="A26" s="1" t="s">
        <v>25</v>
      </c>
      <c r="B26" t="str">
        <f>REPT("●",IFERROR(INDEX($P$42:$P$69,MATCH(tblCharDataIvana[[#This Row],[Field]],$E$42:$E$69,0)),0))&amp;REPT("○",IFERROR(INDEX($V$42:$V$69,MATCH(tblCharDataIvana[[#This Row],[Field]],$E$42:$E$69,0)),0))&amp;IF(IFERROR(INDEX($W$42:$W$69,MATCH(tblCharDataIvana[[#This Row],[Field]],$E$42:$E$69,0)),0)=1,"†","")</f>
        <v/>
      </c>
      <c r="D26" s="18"/>
      <c r="E26" s="15" t="s">
        <v>16</v>
      </c>
      <c r="F26" s="18"/>
      <c r="G26" s="3"/>
      <c r="H26" s="18"/>
      <c r="I26" s="18"/>
      <c r="L26" s="3">
        <v>2</v>
      </c>
      <c r="M26" s="60">
        <f>IF(E26=$F$24,2,1)</f>
        <v>1</v>
      </c>
      <c r="N26" s="3"/>
      <c r="O26" s="61">
        <f>ROUNDDOWN(N26/4,0)</f>
        <v>0</v>
      </c>
      <c r="P26" s="60">
        <f>MIN(SUM(L26,M26,O26),R26)</f>
        <v>3</v>
      </c>
      <c r="R26" s="61">
        <v>5</v>
      </c>
      <c r="U26" s="4"/>
      <c r="V26" s="61">
        <f>U26</f>
        <v>0</v>
      </c>
      <c r="Y26" s="15" t="s">
        <v>1449</v>
      </c>
      <c r="Z26" s="61" t="str">
        <f>IFERROR(VLOOKUP(AA26,tblManoeuvre[],2,FALSE),"")</f>
        <v>K-9</v>
      </c>
      <c r="AA26" s="61" t="str">
        <f t="shared" si="3"/>
        <v>Detection</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3</v>
      </c>
      <c r="AK26" s="61">
        <f>AJ26+IFERROR(INDEX($V$26:$V$38,MATCH(AI26,$E$26:$E$38,0)),0)</f>
        <v>3</v>
      </c>
    </row>
    <row r="27" spans="1:37">
      <c r="A27" s="1" t="s">
        <v>26</v>
      </c>
      <c r="B27" t="str">
        <f>REPT("●",IFERROR(INDEX($P$42:$P$69,MATCH(tblCharDataIvana[[#This Row],[Field]],$E$42:$E$69,0)),0))&amp;REPT("○",IFERROR(INDEX($V$42:$V$69,MATCH(tblCharDataIvana[[#This Row],[Field]],$E$42:$E$69,0)),0))&amp;IF(IFERROR(INDEX($W$42:$W$69,MATCH(tblCharDataIvana[[#This Row],[Field]],$E$42:$E$69,0)),0)=1,"†","")</f>
        <v/>
      </c>
      <c r="D27" s="18"/>
      <c r="E27" s="15" t="s">
        <v>17</v>
      </c>
      <c r="F27" s="18"/>
      <c r="G27" s="3"/>
      <c r="H27" s="18"/>
      <c r="I27" s="18"/>
      <c r="L27" s="3">
        <v>2</v>
      </c>
      <c r="M27" s="60">
        <f>IF(E27=$F$24,2,1)</f>
        <v>1</v>
      </c>
      <c r="N27" s="3"/>
      <c r="O27" s="61">
        <f>ROUNDDOWN(N27/4,0)</f>
        <v>0</v>
      </c>
      <c r="P27" s="60">
        <f>MIN(SUM(L27,M27,O27),R27)</f>
        <v>3</v>
      </c>
      <c r="R27" s="61">
        <v>5</v>
      </c>
      <c r="U27" s="4"/>
      <c r="V27" s="61">
        <f>U27</f>
        <v>0</v>
      </c>
      <c r="Y27" s="15" t="s">
        <v>1450</v>
      </c>
      <c r="Z27" s="61" t="str">
        <f>IFERROR(VLOOKUP(AA27,tblManoeuvre[],2,FALSE),"")</f>
        <v>K-9</v>
      </c>
      <c r="AA27" s="61" t="str">
        <f t="shared" si="3"/>
        <v>Targeted Bite</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3</v>
      </c>
      <c r="AK27" s="61">
        <f>IF(AJ27=0,IF(COUNTIF($E$42:$E$49,AI27)&gt;0,-3,-1),AJ27)</f>
        <v>3</v>
      </c>
    </row>
    <row r="28" spans="1:37">
      <c r="A28" s="1" t="s">
        <v>27</v>
      </c>
      <c r="B28" t="str">
        <f>REPT("●",IFERROR(INDEX($P$42:$P$69,MATCH(tblCharDataIvana[[#This Row],[Field]],$E$42:$E$69,0)),0))&amp;REPT("○",IFERROR(INDEX($V$42:$V$69,MATCH(tblCharDataIvana[[#This Row],[Field]],$E$42:$E$69,0)),0))&amp;IF(IFERROR(INDEX($W$42:$W$69,MATCH(tblCharDataIvana[[#This Row],[Field]],$E$42:$E$69,0)),0)=1,"†","")</f>
        <v/>
      </c>
      <c r="D28" s="18"/>
      <c r="E28" s="15" t="s">
        <v>18</v>
      </c>
      <c r="F28" s="18"/>
      <c r="G28" s="3"/>
      <c r="H28" s="18"/>
      <c r="I28" s="18"/>
      <c r="L28" s="3">
        <v>1</v>
      </c>
      <c r="M28" s="60">
        <f>IF(E28=$F$24,2,1)</f>
        <v>1</v>
      </c>
      <c r="N28" s="3">
        <v>4</v>
      </c>
      <c r="O28" s="61">
        <f>ROUNDDOWN(N28/4,0)</f>
        <v>1</v>
      </c>
      <c r="P28" s="60">
        <f>MIN(SUM(L28,M28,O28),R28)</f>
        <v>3</v>
      </c>
      <c r="R28" s="61">
        <v>5</v>
      </c>
      <c r="U28" s="4"/>
      <c r="V28" s="61">
        <f>U28</f>
        <v>0</v>
      </c>
      <c r="Y28" s="15" t="s">
        <v>1451</v>
      </c>
      <c r="Z28" s="61" t="str">
        <f>IFERROR(VLOOKUP(AA28,tblManoeuvre[],2,FALSE),"")</f>
        <v>K-9</v>
      </c>
      <c r="AA28" s="61" t="str">
        <f t="shared" si="3"/>
        <v>Tactical Positioning</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1</v>
      </c>
      <c r="AK28" s="61">
        <f>IF(AJ28=0,IF(COUNTIF($E$42:$E$49,AI28)&gt;0,-3,-1),AJ28)</f>
        <v>1</v>
      </c>
    </row>
    <row r="29" spans="1:37">
      <c r="A29" s="1" t="s">
        <v>28</v>
      </c>
      <c r="B29" t="str">
        <f>REPT("●",IFERROR(INDEX($P$42:$P$69,MATCH(tblCharDataIvana[[#This Row],[Field]],$E$42:$E$69,0)),0))&amp;REPT("○",IFERROR(INDEX($V$42:$V$69,MATCH(tblCharDataIvana[[#This Row],[Field]],$E$42:$E$69,0)),0))&amp;IF(IFERROR(INDEX($W$42:$W$69,MATCH(tblCharDataIvana[[#This Row],[Field]],$E$42:$E$69,0)),0)=1,"†","")</f>
        <v>●</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2</v>
      </c>
      <c r="AK29" s="61">
        <f>IF(AJ29=0,IF(COUNTIF($E$42:$E$49,AI29)&gt;0,-3,-1),AJ29)</f>
        <v>2</v>
      </c>
    </row>
    <row r="30" spans="1:37">
      <c r="A30" s="1" t="s">
        <v>29</v>
      </c>
      <c r="B30" t="str">
        <f>REPT("●",IFERROR(INDEX($P$42:$P$69,MATCH(tblCharDataIvana[[#This Row],[Field]],$E$42:$E$69,0)),0))&amp;REPT("○",IFERROR(INDEX($V$42:$V$69,MATCH(tblCharDataIvana[[#This Row],[Field]],$E$42:$E$69,0)),0))&amp;IF(IFERROR(INDEX($W$42:$W$69,MATCH(tblCharDataIvana[[#This Row],[Field]],$E$42:$E$69,0)),0)=1,"†","")</f>
        <v/>
      </c>
      <c r="D30" s="16" t="s">
        <v>1453</v>
      </c>
      <c r="E30" s="17"/>
      <c r="F30" s="17"/>
      <c r="G30" s="17" t="s">
        <v>1445</v>
      </c>
      <c r="H30" s="16" t="s">
        <v>1446</v>
      </c>
      <c r="I30" s="3" t="s">
        <v>1566</v>
      </c>
      <c r="L30" s="60">
        <f>IF(I30="",0,VLOOKUP(I30,tblPriority[#Data],2,FALSE))-SUM(L31:L33)</f>
        <v>0</v>
      </c>
      <c r="Y30" s="15" t="s">
        <v>1454</v>
      </c>
      <c r="Z30" s="61" t="str">
        <f>IFERROR(VLOOKUP(AA30,tblManoeuvre[],2,FALSE),"")</f>
        <v>Falconry</v>
      </c>
      <c r="AA30" s="61" t="str">
        <f t="shared" si="3"/>
        <v>Predator's Vigil</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0</v>
      </c>
      <c r="AK30" s="61">
        <f>AJ30</f>
        <v>0</v>
      </c>
    </row>
    <row r="31" spans="1:37">
      <c r="A31" s="1" t="s">
        <v>30</v>
      </c>
      <c r="B31" t="str">
        <f>REPT("●",IFERROR(INDEX($P$42:$P$69,MATCH(tblCharDataIvana[[#This Row],[Field]],$E$42:$E$69,0)),0))&amp;REPT("○",IFERROR(INDEX($V$42:$V$69,MATCH(tblCharDataIvana[[#This Row],[Field]],$E$42:$E$69,0)),0))&amp;IF(IFERROR(INDEX($W$42:$W$69,MATCH(tblCharDataIvana[[#This Row],[Field]],$E$42:$E$69,0)),0)=1,"†","")</f>
        <v>●●●</v>
      </c>
      <c r="D31" s="18"/>
      <c r="E31" s="15" t="s">
        <v>19</v>
      </c>
      <c r="F31" s="18"/>
      <c r="G31" s="3"/>
      <c r="H31" s="18"/>
      <c r="I31" s="18"/>
      <c r="L31" s="3">
        <v>1</v>
      </c>
      <c r="M31" s="60">
        <f>IF(E31=$F$24,2,1)</f>
        <v>1</v>
      </c>
      <c r="N31" s="3"/>
      <c r="O31" s="61">
        <f>ROUNDDOWN(N31/4,0)</f>
        <v>0</v>
      </c>
      <c r="P31" s="60">
        <f>MIN(SUM(L31,M31,O31),R31)</f>
        <v>2</v>
      </c>
      <c r="R31" s="61">
        <v>5</v>
      </c>
      <c r="U31" s="4"/>
      <c r="V31" s="61">
        <f>$P$174+U31</f>
        <v>0</v>
      </c>
      <c r="Y31" s="15" t="s">
        <v>1455</v>
      </c>
      <c r="Z31" s="61" t="str">
        <f>IFERROR(VLOOKUP(AA31,tblManoeuvre[],2,FALSE),"")</f>
        <v>Falconry</v>
      </c>
      <c r="AA31" s="61" t="str">
        <f t="shared" si="3"/>
        <v>Flyby</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4</v>
      </c>
      <c r="AK31" s="61">
        <f>AJ31+IFERROR(INDEX($V$26:$V$38,MATCH(AI31,$E$26:$E$38,0)),0)</f>
        <v>4</v>
      </c>
    </row>
    <row r="32" spans="1:37">
      <c r="A32" s="1" t="s">
        <v>31</v>
      </c>
      <c r="B32" t="str">
        <f>REPT("●",IFERROR(INDEX($P$42:$P$69,MATCH(tblCharDataIvana[[#This Row],[Field]],$E$42:$E$69,0)),0))&amp;REPT("○",IFERROR(INDEX($V$42:$V$69,MATCH(tblCharDataIvana[[#This Row],[Field]],$E$42:$E$69,0)),0))&amp;IF(IFERROR(INDEX($W$42:$W$69,MATCH(tblCharDataIvana[[#This Row],[Field]],$E$42:$E$69,0)),0)=1,"†","")</f>
        <v/>
      </c>
      <c r="D32" s="18"/>
      <c r="E32" s="15" t="s">
        <v>20</v>
      </c>
      <c r="F32" s="18"/>
      <c r="G32" s="3"/>
      <c r="H32" s="18"/>
      <c r="I32" s="18"/>
      <c r="L32" s="3">
        <v>2</v>
      </c>
      <c r="M32" s="60">
        <f>IF(E32=$F$24,2,1)</f>
        <v>1</v>
      </c>
      <c r="N32" s="3"/>
      <c r="O32" s="61">
        <f>ROUNDDOWN(N32/4,0)</f>
        <v>0</v>
      </c>
      <c r="P32" s="60">
        <f>MIN(SUM(L32,M32,O32),R32)</f>
        <v>3</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REPT("●",IFERROR(INDEX($P$42:$P$69,MATCH(tblCharDataIvana[[#This Row],[Field]],$E$42:$E$69,0)),0))&amp;REPT("○",IFERROR(INDEX($V$42:$V$69,MATCH(tblCharDataIvana[[#This Row],[Field]],$E$42:$E$69,0)),0))&amp;IF(IFERROR(INDEX($W$42:$W$69,MATCH(tblCharDataIvana[[#This Row],[Field]],$E$42:$E$69,0)),0)=1,"†","")</f>
        <v/>
      </c>
      <c r="D33" s="18"/>
      <c r="E33" s="15" t="s">
        <v>21</v>
      </c>
      <c r="F33" s="18"/>
      <c r="G33" s="3"/>
      <c r="H33" s="18"/>
      <c r="I33" s="18"/>
      <c r="L33" s="3"/>
      <c r="M33" s="60">
        <f>IF(E33=$F$24,2,1)</f>
        <v>2</v>
      </c>
      <c r="N33" s="3"/>
      <c r="O33" s="61">
        <f>ROUNDDOWN(N33/4,0)</f>
        <v>0</v>
      </c>
      <c r="P33" s="60">
        <f>MIN(SUM(L33,M33,O33),R33)</f>
        <v>2</v>
      </c>
      <c r="R33" s="61">
        <v>5</v>
      </c>
      <c r="U33" s="4"/>
      <c r="V33" s="61">
        <f>$P$173+U33</f>
        <v>0</v>
      </c>
      <c r="Y33" s="15" t="s">
        <v>1457</v>
      </c>
      <c r="Z33" s="61" t="str">
        <f>IFERROR(VLOOKUP(AA33,tblManoeuvre[],2,FALSE),"")</f>
        <v/>
      </c>
      <c r="AA33" s="61" t="str">
        <f t="shared" si="3"/>
        <v/>
      </c>
      <c r="AI33" s="15" t="s">
        <v>241</v>
      </c>
      <c r="AJ33" s="61">
        <f t="shared" si="1"/>
        <v>0</v>
      </c>
      <c r="AK33" s="61">
        <f>AJ33</f>
        <v>0</v>
      </c>
    </row>
    <row r="34" spans="1:37">
      <c r="A34" s="1" t="s">
        <v>33</v>
      </c>
      <c r="B34" t="str">
        <f>REPT("●",IFERROR(INDEX($P$42:$P$69,MATCH(tblCharDataIvana[[#This Row],[Field]],$E$42:$E$69,0)),0))&amp;REPT("○",IFERROR(INDEX($V$42:$V$69,MATCH(tblCharDataIvana[[#This Row],[Field]],$E$42:$E$69,0)),0))&amp;IF(IFERROR(INDEX($W$42:$W$69,MATCH(tblCharDataIvana[[#This Row],[Field]],$E$42:$E$69,0)),0)=1,"†","")</f>
        <v>●●</v>
      </c>
      <c r="Y34" s="15" t="s">
        <v>1458</v>
      </c>
      <c r="Z34" s="61" t="str">
        <f>IFERROR(VLOOKUP(AA34,tblManoeuvre[],2,FALSE),"")</f>
        <v/>
      </c>
      <c r="AA34" s="61" t="str">
        <f t="shared" si="3"/>
        <v/>
      </c>
      <c r="AI34" s="15" t="s">
        <v>242</v>
      </c>
      <c r="AJ34" s="61">
        <f t="shared" si="1"/>
        <v>2</v>
      </c>
      <c r="AK34" s="61">
        <f>AJ34</f>
        <v>2</v>
      </c>
    </row>
    <row r="35" spans="1:37">
      <c r="A35" s="1" t="s">
        <v>34</v>
      </c>
      <c r="B35" t="str">
        <f>REPT("●",IFERROR(INDEX($P$42:$P$69,MATCH(tblCharDataIvana[[#This Row],[Field]],$E$42:$E$69,0)),0))&amp;REPT("○",IFERROR(INDEX($V$42:$V$69,MATCH(tblCharDataIvana[[#This Row],[Field]],$E$42:$E$69,0)),0))&amp;IF(IFERROR(INDEX($W$42:$W$69,MATCH(tblCharDataIvana[[#This Row],[Field]],$E$42:$E$69,0)),0)=1,"†","")</f>
        <v/>
      </c>
      <c r="D35" s="16" t="s">
        <v>1459</v>
      </c>
      <c r="E35" s="17"/>
      <c r="F35" s="17"/>
      <c r="G35" s="17" t="s">
        <v>1445</v>
      </c>
      <c r="H35" s="16" t="s">
        <v>1446</v>
      </c>
      <c r="I35" s="3" t="s">
        <v>1567</v>
      </c>
      <c r="L35" s="60">
        <f>IF(I35="",0,VLOOKUP(I35,tblPriority[#Data],2,FALSE))-SUM(L36:L38)</f>
        <v>0</v>
      </c>
      <c r="Y35" s="15" t="s">
        <v>1460</v>
      </c>
      <c r="Z35" s="61" t="str">
        <f>IFERROR(VLOOKUP(AA35,tblManoeuvre[],2,FALSE),"")</f>
        <v/>
      </c>
      <c r="AA35" s="61" t="str">
        <f t="shared" si="3"/>
        <v/>
      </c>
      <c r="AI35" s="15" t="s">
        <v>30</v>
      </c>
      <c r="AJ35" s="61">
        <f t="shared" si="1"/>
        <v>3</v>
      </c>
      <c r="AK35" s="61">
        <f>IF(AJ35=0,IF(COUNTIF($E$42:$E$49,AI35)&gt;0,-3,-1),AJ35)</f>
        <v>3</v>
      </c>
    </row>
    <row r="36" spans="1:37">
      <c r="A36" s="1" t="s">
        <v>35</v>
      </c>
      <c r="B36" t="str">
        <f>REPT("●",IFERROR(INDEX($P$42:$P$69,MATCH(tblCharDataIvana[[#This Row],[Field]],$E$42:$E$69,0)),0))&amp;REPT("○",IFERROR(INDEX($V$42:$V$69,MATCH(tblCharDataIvana[[#This Row],[Field]],$E$42:$E$69,0)),0))&amp;IF(IFERROR(INDEX($W$42:$W$69,MATCH(tblCharDataIvana[[#This Row],[Field]],$E$42:$E$69,0)),0)=1,"†","")</f>
        <v/>
      </c>
      <c r="D36" s="18"/>
      <c r="E36" s="15" t="s">
        <v>22</v>
      </c>
      <c r="F36" s="18"/>
      <c r="G36" s="3"/>
      <c r="H36" s="18"/>
      <c r="I36" s="18"/>
      <c r="L36" s="3"/>
      <c r="M36" s="60">
        <f>IF(E36=$F$24,2,1)</f>
        <v>1</v>
      </c>
      <c r="N36" s="3"/>
      <c r="O36" s="61">
        <f>ROUNDDOWN(N36/4,0)</f>
        <v>0</v>
      </c>
      <c r="P36" s="60">
        <f>MIN(SUM(L36,M36,O36),R36)</f>
        <v>1</v>
      </c>
      <c r="R36" s="61">
        <v>5</v>
      </c>
      <c r="U36" s="4"/>
      <c r="V36" s="61">
        <f>U36</f>
        <v>0</v>
      </c>
      <c r="Y36" s="15" t="s">
        <v>1461</v>
      </c>
      <c r="Z36" s="61" t="str">
        <f>IFERROR(VLOOKUP(AA36,tblManoeuvre[],2,FALSE),"")</f>
        <v/>
      </c>
      <c r="AA36" s="61" t="str">
        <f t="shared" si="3"/>
        <v/>
      </c>
      <c r="AI36" s="15" t="s">
        <v>45</v>
      </c>
      <c r="AJ36" s="61">
        <f t="shared" si="1"/>
        <v>0</v>
      </c>
      <c r="AK36" s="61">
        <f>IF(AJ36=0,IF(COUNTIF($E$42:$E$49,AI36)&gt;0,-3,-1),AJ36)</f>
        <v>-1</v>
      </c>
    </row>
    <row r="37" spans="1:37">
      <c r="A37" s="1" t="s">
        <v>36</v>
      </c>
      <c r="B37" t="str">
        <f>REPT("●",IFERROR(INDEX($P$42:$P$69,MATCH(tblCharDataIvana[[#This Row],[Field]],$E$42:$E$69,0)),0))&amp;REPT("○",IFERROR(INDEX($V$42:$V$69,MATCH(tblCharDataIvana[[#This Row],[Field]],$E$42:$E$69,0)),0))&amp;IF(IFERROR(INDEX($W$42:$W$69,MATCH(tblCharDataIvana[[#This Row],[Field]],$E$42:$E$69,0)),0)=1,"†","")</f>
        <v>●●●</v>
      </c>
      <c r="D37" s="18"/>
      <c r="E37" s="15" t="s">
        <v>23</v>
      </c>
      <c r="F37" s="18"/>
      <c r="G37" s="3"/>
      <c r="H37" s="18"/>
      <c r="I37" s="18"/>
      <c r="L37" s="3">
        <v>3</v>
      </c>
      <c r="M37" s="60">
        <f>IF(E37=$F$24,2,1)</f>
        <v>1</v>
      </c>
      <c r="N37" s="3"/>
      <c r="O37" s="61">
        <f>ROUNDDOWN(N37/4,0)</f>
        <v>0</v>
      </c>
      <c r="P37" s="60">
        <f>MIN(SUM(L37,M37,O37),R37)</f>
        <v>4</v>
      </c>
      <c r="R37" s="61">
        <v>5</v>
      </c>
      <c r="U37" s="4"/>
      <c r="V37" s="61">
        <f>U37</f>
        <v>0</v>
      </c>
      <c r="Y37" s="15" t="s">
        <v>1462</v>
      </c>
      <c r="Z37" s="61" t="str">
        <f>IFERROR(VLOOKUP(AA37,tblManoeuvre[],2,FALSE),"")</f>
        <v/>
      </c>
      <c r="AA37" s="61" t="str">
        <f t="shared" si="3"/>
        <v/>
      </c>
      <c r="AI37" s="15" t="s">
        <v>31</v>
      </c>
      <c r="AJ37" s="61">
        <f t="shared" si="1"/>
        <v>0</v>
      </c>
      <c r="AK37" s="61">
        <f>IF(AJ37=0,IF(COUNTIF($E$42:$E$49,AI37)&gt;0,-3,-1),AJ37)</f>
        <v>-3</v>
      </c>
    </row>
    <row r="38" spans="1:37">
      <c r="A38" s="1" t="s">
        <v>37</v>
      </c>
      <c r="B38" t="str">
        <f>REPT("●",IFERROR(INDEX($P$42:$P$69,MATCH(tblCharDataIvana[[#This Row],[Field]],$E$42:$E$69,0)),0))&amp;REPT("○",IFERROR(INDEX($V$42:$V$69,MATCH(tblCharDataIvana[[#This Row],[Field]],$E$42:$E$69,0)),0))&amp;IF(IFERROR(INDEX($W$42:$W$69,MATCH(tblCharDataIvana[[#This Row],[Field]],$E$42:$E$69,0)),0)=1,"†","")</f>
        <v>●●</v>
      </c>
      <c r="D38" s="18"/>
      <c r="E38" s="15" t="s">
        <v>24</v>
      </c>
      <c r="F38" s="18"/>
      <c r="G38" s="3"/>
      <c r="H38" s="18"/>
      <c r="I38" s="18"/>
      <c r="L38" s="3">
        <v>1</v>
      </c>
      <c r="M38" s="60">
        <f>IF(E38=$F$24,2,1)</f>
        <v>1</v>
      </c>
      <c r="N38" s="3"/>
      <c r="O38" s="61">
        <f>ROUNDDOWN(N38/4,0)</f>
        <v>0</v>
      </c>
      <c r="P38" s="60">
        <f>MIN(SUM(L38,M38,O38),R38)</f>
        <v>2</v>
      </c>
      <c r="R38" s="61">
        <v>5</v>
      </c>
      <c r="U38" s="4"/>
      <c r="V38" s="61">
        <f>U38</f>
        <v>0</v>
      </c>
      <c r="Y38" s="15" t="s">
        <v>1463</v>
      </c>
      <c r="Z38" s="61" t="str">
        <f>IFERROR(VLOOKUP(AA38,tblManoeuvre[],2,FALSE),"")</f>
        <v/>
      </c>
      <c r="AA38" s="61" t="str">
        <f t="shared" si="3"/>
        <v/>
      </c>
      <c r="AI38" s="15" t="s">
        <v>22</v>
      </c>
      <c r="AJ38" s="61">
        <f t="shared" si="1"/>
        <v>1</v>
      </c>
      <c r="AK38" s="61">
        <f>AJ38+IFERROR(INDEX($V$26:$V$38,MATCH(AI38,$E$26:$E$38,0)),0)</f>
        <v>1</v>
      </c>
    </row>
    <row r="39" spans="1:37">
      <c r="A39" s="1" t="s">
        <v>38</v>
      </c>
      <c r="B39" t="str">
        <f>REPT("●",IFERROR(INDEX($P$42:$P$69,MATCH(tblCharDataIvana[[#This Row],[Field]],$E$42:$E$69,0)),0))&amp;REPT("○",IFERROR(INDEX($V$42:$V$69,MATCH(tblCharDataIvana[[#This Row],[Field]],$E$42:$E$69,0)),0))&amp;IF(IFERROR(INDEX($W$42:$W$69,MATCH(tblCharDataIvana[[#This Row],[Field]],$E$42:$E$69,0)),0)=1,"†","")</f>
        <v/>
      </c>
      <c r="Y39" s="15" t="s">
        <v>1464</v>
      </c>
      <c r="Z39" s="61" t="str">
        <f>IFERROR(VLOOKUP(AA39,tblManoeuvre[],2,FALSE),"")</f>
        <v/>
      </c>
      <c r="AA39" s="61" t="str">
        <f t="shared" si="3"/>
        <v/>
      </c>
      <c r="AI39" s="15" t="s">
        <v>243</v>
      </c>
      <c r="AJ39" s="61">
        <f t="shared" si="1"/>
        <v>0</v>
      </c>
      <c r="AK39" s="61">
        <f>AJ39</f>
        <v>0</v>
      </c>
    </row>
    <row r="40" spans="1:37" ht="15.75" thickBot="1">
      <c r="A40" s="1" t="s">
        <v>39</v>
      </c>
      <c r="B40" t="str">
        <f>REPT("●",IFERROR(INDEX($P$42:$P$69,MATCH(tblCharDataIvana[[#This Row],[Field]],$E$42:$E$69,0)),0))&amp;REPT("○",IFERROR(INDEX($V$42:$V$69,MATCH(tblCharDataIvana[[#This Row],[Field]],$E$42:$E$69,0)),0))&amp;IF(IFERROR(INDEX($W$42:$W$69,MATCH(tblCharDataIvana[[#This Row],[Field]],$E$42:$E$69,0)),0)=1,"†","")</f>
        <v/>
      </c>
      <c r="D40" s="14" t="s">
        <v>1465</v>
      </c>
      <c r="E40" s="14"/>
      <c r="F40" s="14"/>
      <c r="G40" s="14"/>
      <c r="H40" s="14"/>
      <c r="I40" s="14"/>
      <c r="N40" s="60">
        <f>SUM(N42:N49,N52:N59,N62:N69)</f>
        <v>0</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1"/>
        <v>2</v>
      </c>
      <c r="AK40" s="61">
        <f>AJ40</f>
        <v>2</v>
      </c>
    </row>
    <row r="41" spans="1:37">
      <c r="A41" s="1" t="s">
        <v>40</v>
      </c>
      <c r="B41" t="str">
        <f>REPT("●",IFERROR(INDEX($P$42:$P$69,MATCH(tblCharDataIvana[[#This Row],[Field]],$E$42:$E$69,0)),0))&amp;REPT("○",IFERROR(INDEX($V$42:$V$69,MATCH(tblCharDataIvana[[#This Row],[Field]],$E$42:$E$69,0)),0))&amp;IF(IFERROR(INDEX($W$42:$W$69,MATCH(tblCharDataIvana[[#This Row],[Field]],$E$42:$E$69,0)),0)=1,"†","")</f>
        <v/>
      </c>
      <c r="D41" s="16" t="s">
        <v>1444</v>
      </c>
      <c r="E41" s="17"/>
      <c r="F41" s="17"/>
      <c r="G41" s="17" t="s">
        <v>1467</v>
      </c>
      <c r="H41" s="16" t="s">
        <v>1446</v>
      </c>
      <c r="I41" s="3" t="s">
        <v>1566</v>
      </c>
      <c r="L41" s="60">
        <f>IF(I41="",0,VLOOKUP(I41,tblPriority[#Data],3,FALSE))-SUM(L42:L49)</f>
        <v>0</v>
      </c>
      <c r="T41" s="60">
        <f>MAX(3+IF(P161&gt;=3,2,0)-SUM(T42:T49,T52:T59,T62:T69),0)</f>
        <v>3</v>
      </c>
      <c r="Y41" s="15" t="s">
        <v>1468</v>
      </c>
      <c r="Z41" s="61" t="str">
        <f>IFERROR(VLOOKUP(AA41,tblManoeuvre[],2,FALSE),"")</f>
        <v/>
      </c>
      <c r="AA41" s="61" t="str">
        <f t="shared" si="3"/>
        <v/>
      </c>
      <c r="AI41" s="15" t="s">
        <v>244</v>
      </c>
      <c r="AJ41" s="61">
        <f t="shared" si="1"/>
        <v>0</v>
      </c>
      <c r="AK41" s="61">
        <f>AJ41</f>
        <v>0</v>
      </c>
    </row>
    <row r="42" spans="1:37">
      <c r="A42" s="1" t="s">
        <v>41</v>
      </c>
      <c r="B42" t="str">
        <f>REPT("●",IFERROR(INDEX($P$42:$P$69,MATCH(tblCharDataIvana[[#This Row],[Field]],$E$42:$E$69,0)),0))&amp;REPT("○",IFERROR(INDEX($V$42:$V$69,MATCH(tblCharDataIvana[[#This Row],[Field]],$E$42:$E$69,0)),0))&amp;IF(IFERROR(INDEX($W$42:$W$69,MATCH(tblCharDataIvana[[#This Row],[Field]],$E$42:$E$69,0)),0)=1,"†","")</f>
        <v>●●●</v>
      </c>
      <c r="D42" s="18"/>
      <c r="E42" s="15" t="s">
        <v>25</v>
      </c>
      <c r="F42" s="18"/>
      <c r="G42" s="3"/>
      <c r="H42" s="18"/>
      <c r="I42" s="18"/>
      <c r="L42" s="4"/>
      <c r="M42" s="60"/>
      <c r="N42" s="4"/>
      <c r="O42" s="61">
        <f>ROUNDDOWN(N42/2,0)</f>
        <v>0</v>
      </c>
      <c r="P42" s="60">
        <f t="shared" ref="P42:P49" si="4">MIN(SUM(L42,M42,O42),R42)</f>
        <v>0</v>
      </c>
      <c r="R42" s="61">
        <v>5</v>
      </c>
      <c r="T42" s="4"/>
      <c r="U42" s="4"/>
      <c r="V42" s="61">
        <f t="shared" ref="V42:V49" si="5">U42</f>
        <v>0</v>
      </c>
      <c r="W42" s="4"/>
      <c r="AI42" s="15" t="s">
        <v>18</v>
      </c>
      <c r="AJ42" s="61">
        <f t="shared" si="1"/>
        <v>3</v>
      </c>
      <c r="AK42" s="61">
        <f>AJ42+IFERROR(INDEX($V$26:$V$38,MATCH(AI42,$E$26:$E$38,0)),0)</f>
        <v>3</v>
      </c>
    </row>
    <row r="43" spans="1:37">
      <c r="A43" s="1" t="s">
        <v>42</v>
      </c>
      <c r="B43" t="str">
        <f>REPT("●",IFERROR(INDEX($P$42:$P$69,MATCH(tblCharDataIvana[[#This Row],[Field]],$E$42:$E$69,0)),0))&amp;REPT("○",IFERROR(INDEX($V$42:$V$69,MATCH(tblCharDataIvana[[#This Row],[Field]],$E$42:$E$69,0)),0))&amp;IF(IFERROR(INDEX($W$42:$W$69,MATCH(tblCharDataIvana[[#This Row],[Field]],$E$42:$E$69,0)),0)=1,"†","")</f>
        <v>●●●</v>
      </c>
      <c r="D43" s="18"/>
      <c r="E43" s="15" t="s">
        <v>26</v>
      </c>
      <c r="F43" s="18"/>
      <c r="G43" s="3"/>
      <c r="H43" s="18"/>
      <c r="I43" s="18"/>
      <c r="L43" s="4"/>
      <c r="M43" s="60"/>
      <c r="N43" s="4"/>
      <c r="O43" s="61">
        <f t="shared" ref="O43:O49" si="6">ROUNDDOWN(N43/2,0)</f>
        <v>0</v>
      </c>
      <c r="P43" s="60">
        <f t="shared" si="4"/>
        <v>0</v>
      </c>
      <c r="R43" s="61">
        <v>5</v>
      </c>
      <c r="T43" s="4"/>
      <c r="U43" s="4"/>
      <c r="V43" s="61">
        <f t="shared" si="5"/>
        <v>0</v>
      </c>
      <c r="W43" s="4"/>
      <c r="AI43" s="15" t="s">
        <v>32</v>
      </c>
      <c r="AJ43" s="61">
        <f t="shared" si="1"/>
        <v>0</v>
      </c>
      <c r="AK43" s="61">
        <f>IF(AJ43=0,IF(COUNTIF($E$42:$E$49,AI43)&gt;0,-3,-1),AJ43)</f>
        <v>-3</v>
      </c>
    </row>
    <row r="44" spans="1:37">
      <c r="A44" s="1" t="s">
        <v>43</v>
      </c>
      <c r="B44" t="str">
        <f>REPT("●",IFERROR(INDEX($P$42:$P$69,MATCH(tblCharDataIvana[[#This Row],[Field]],$E$42:$E$69,0)),0))&amp;REPT("○",IFERROR(INDEX($V$42:$V$69,MATCH(tblCharDataIvana[[#This Row],[Field]],$E$42:$E$69,0)),0))&amp;IF(IFERROR(INDEX($W$42:$W$69,MATCH(tblCharDataIvana[[#This Row],[Field]],$E$42:$E$69,0)),0)=1,"†","")</f>
        <v/>
      </c>
      <c r="D44" s="18"/>
      <c r="E44" s="15" t="s">
        <v>27</v>
      </c>
      <c r="F44" s="18"/>
      <c r="G44" s="3"/>
      <c r="H44" s="18"/>
      <c r="I44" s="18"/>
      <c r="L44" s="4"/>
      <c r="M44" s="60"/>
      <c r="N44" s="4"/>
      <c r="O44" s="61">
        <f t="shared" si="6"/>
        <v>0</v>
      </c>
      <c r="P44" s="60">
        <f t="shared" si="4"/>
        <v>0</v>
      </c>
      <c r="R44" s="61">
        <v>5</v>
      </c>
      <c r="T44" s="4"/>
      <c r="U44" s="4"/>
      <c r="V44" s="61">
        <f t="shared" si="5"/>
        <v>0</v>
      </c>
      <c r="W44" s="4"/>
      <c r="Y44" s="15">
        <v>1</v>
      </c>
      <c r="Z44" s="61" t="s">
        <v>236</v>
      </c>
      <c r="AA44" s="60" t="str" cm="1">
        <f t="array" ref="AA44">IF(OR(Y44=0,Y44=""),"",IF(VLOOKUP(Z44,$AI$1:$AJ$58,2,FALSE)&gt;=Y44,INDEX(tblDisciplines[Name],MATCH(1,(tblDisciplines[Discipline]=Z44)*(tblDisciplines[Rank]=Y44),0)),""))</f>
        <v/>
      </c>
      <c r="AC44" s="60" t="str" cm="1">
        <f t="array" ref="AC44:AC60">IFERROR(_xlfn.VSTACK(IFERROR(_xlfn._xlws.FILTER(AA44:AA121,AA44:AA121&lt;&gt;""),""),IFERROR(_xlfn._xlws.SORT(_xlfn._xlws.FILTER(AA123:AA132,AA123:AA132&lt;&gt;"")),"")),"")</f>
        <v>Beast's Hackles</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Auspex ● | Beast's Hackles</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Free (1 V for Insight)  •  Pool: - - Composure &amp; Closed Book  •  Instant  •  Scene</v>
      </c>
      <c r="AF44" s="20" t="str">
        <f>IF(AC44="","",IFERROR(VLOOKUP(AC44,tblDisciplines[],12,FALSE),VLOOKUP(AC44,tblPacts[],5,FALSE)))</f>
        <v>Add Auspex dots to any rolls to resist surprise. Access to Tier 1 Auspex Insight questions.</v>
      </c>
      <c r="AI44" s="15" t="s">
        <v>353</v>
      </c>
      <c r="AJ44" s="61">
        <f t="shared" si="1"/>
        <v>5</v>
      </c>
      <c r="AK44" s="61">
        <f>AJ44</f>
        <v>5</v>
      </c>
    </row>
    <row r="45" spans="1:37">
      <c r="A45" s="1" t="s">
        <v>44</v>
      </c>
      <c r="B45" t="str">
        <f>REPT("●",IFERROR(INDEX($P$42:$P$69,MATCH(tblCharDataIvana[[#This Row],[Field]],$E$42:$E$69,0)),0))&amp;REPT("○",IFERROR(INDEX($V$42:$V$69,MATCH(tblCharDataIvana[[#This Row],[Field]],$E$42:$E$69,0)),0))&amp;IF(IFERROR(INDEX($W$42:$W$69,MATCH(tblCharDataIvana[[#This Row],[Field]],$E$42:$E$69,0)),0)=1,"†","")</f>
        <v>●●●</v>
      </c>
      <c r="D45" s="18"/>
      <c r="E45" s="15" t="s">
        <v>28</v>
      </c>
      <c r="F45" s="18"/>
      <c r="G45" s="3"/>
      <c r="H45" s="18"/>
      <c r="I45" s="18"/>
      <c r="L45" s="4">
        <v>1</v>
      </c>
      <c r="M45" s="60"/>
      <c r="N45" s="4"/>
      <c r="O45" s="61">
        <f t="shared" si="6"/>
        <v>0</v>
      </c>
      <c r="P45" s="60">
        <f t="shared" si="4"/>
        <v>1</v>
      </c>
      <c r="R45" s="61">
        <v>5</v>
      </c>
      <c r="T45" s="4"/>
      <c r="U45" s="4"/>
      <c r="V45" s="61">
        <f t="shared" si="5"/>
        <v>0</v>
      </c>
      <c r="W45" s="4"/>
      <c r="Y45" s="15">
        <v>2</v>
      </c>
      <c r="Z45" s="61" t="s">
        <v>236</v>
      </c>
      <c r="AA45" s="60" t="str" cm="1">
        <f t="array" ref="AA45">IF(OR(Y45=0,Y45=""),"",IF(VLOOKUP(Z45,$AI$1:$AJ$58,2,FALSE)&gt;=Y45,INDEX(tblDisciplines[Name],MATCH(1,(tblDisciplines[Discipline]=Z45)*(tblDisciplines[Rank]=Y45),0)),""))</f>
        <v/>
      </c>
      <c r="AC45" s="60" t="str">
        <v>Uncanny Perception</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Auspex ●● | Uncanny Perception</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Free (1 V for Insight) Must perceive target  •  Pool: -  •  Instant  •  Scene</v>
      </c>
      <c r="AF45" s="20" t="str">
        <f>IF(AC45="","",IFERROR(VLOOKUP(AC45,tblDisciplines[],12,FALSE),VLOOKUP(AC45,tblPacts[],5,FALSE)))</f>
        <v>Persistent Acute Senses Merit, doubles actual merit. Access to Tier 2 Auspex Insight questions.</v>
      </c>
      <c r="AI45" s="15" t="s">
        <v>46</v>
      </c>
      <c r="AJ45" s="61">
        <f t="shared" si="1"/>
        <v>2</v>
      </c>
      <c r="AK45" s="61">
        <f>IF(AJ45=0,IF(COUNTIF($E$42:$E$49,AI45)&gt;0,-3,-1),AJ45)</f>
        <v>2</v>
      </c>
    </row>
    <row r="46" spans="1:37">
      <c r="A46" s="1" t="s">
        <v>45</v>
      </c>
      <c r="B46" t="str">
        <f>REPT("●",IFERROR(INDEX($P$42:$P$69,MATCH(tblCharDataIvana[[#This Row],[Field]],$E$42:$E$69,0)),0))&amp;REPT("○",IFERROR(INDEX($V$42:$V$69,MATCH(tblCharDataIvana[[#This Row],[Field]],$E$42:$E$69,0)),0))&amp;IF(IFERROR(INDEX($W$42:$W$69,MATCH(tblCharDataIvana[[#This Row],[Field]],$E$42:$E$69,0)),0)=1,"†","")</f>
        <v/>
      </c>
      <c r="D46" s="18"/>
      <c r="E46" s="15" t="s">
        <v>29</v>
      </c>
      <c r="F46" s="18"/>
      <c r="G46" s="3"/>
      <c r="H46" s="18"/>
      <c r="I46" s="18"/>
      <c r="L46" s="4"/>
      <c r="M46" s="60"/>
      <c r="N46" s="4"/>
      <c r="O46" s="61">
        <f t="shared" si="6"/>
        <v>0</v>
      </c>
      <c r="P46" s="60">
        <f t="shared" si="4"/>
        <v>0</v>
      </c>
      <c r="R46" s="61">
        <v>5</v>
      </c>
      <c r="T46" s="4"/>
      <c r="U46" s="4"/>
      <c r="V46" s="61">
        <f t="shared" si="5"/>
        <v>0</v>
      </c>
      <c r="W46" s="4"/>
      <c r="Y46" s="15">
        <v>3</v>
      </c>
      <c r="Z46" s="61" t="s">
        <v>236</v>
      </c>
      <c r="AA46" s="60" t="str" cm="1">
        <f t="array" ref="AA46">IF(OR(Y46=0,Y46=""),"",IF(VLOOKUP(Z46,$AI$1:$AJ$58,2,FALSE)&gt;=Y46,INDEX(tblDisciplines[Name],MATCH(1,(tblDisciplines[Discipline]=Z46)*(tblDisciplines[Rank]=Y46),0)),""))</f>
        <v/>
      </c>
      <c r="AC46" s="60" t="str">
        <v>Spirit's Touch</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Auspex ●●● | Spirit's Touch</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Free (1 WP for clash / 1 V for Insight)  •  Pool: - v Resolve + Stealth + Obf  •  Reflexive  •  Immediate</v>
      </c>
      <c r="AF46" s="20" t="str">
        <f>IF(AC46="","",IFERROR(VLOOKUP(AC46,tblDisciplines[],12,FALSE),VLOOKUP(AC46,tblPacts[],5,FALSE)))</f>
        <v xml:space="preserve">Passively scan for anyone under Obfuscate 1 or 3, can provoke a challenge. Access to Tier 3 Auspex Insight questions. </v>
      </c>
      <c r="AI46" s="15" t="s">
        <v>354</v>
      </c>
      <c r="AJ46" s="61">
        <f t="shared" ca="1" si="1"/>
        <v>10</v>
      </c>
      <c r="AK46" s="61">
        <f ca="1">AJ46</f>
        <v>10</v>
      </c>
    </row>
    <row r="47" spans="1:37">
      <c r="A47" s="1" t="s">
        <v>46</v>
      </c>
      <c r="B47" t="str">
        <f>REPT("●",IFERROR(INDEX($P$42:$P$69,MATCH(tblCharDataIvana[[#This Row],[Field]],$E$42:$E$69,0)),0))&amp;REPT("○",IFERROR(INDEX($V$42:$V$69,MATCH(tblCharDataIvana[[#This Row],[Field]],$E$42:$E$69,0)),0))&amp;IF(IFERROR(INDEX($W$42:$W$69,MATCH(tblCharDataIvana[[#This Row],[Field]],$E$42:$E$69,0)),0)=1,"†","")</f>
        <v>●●</v>
      </c>
      <c r="D47" s="18"/>
      <c r="E47" s="15" t="s">
        <v>30</v>
      </c>
      <c r="F47" s="18"/>
      <c r="G47" s="3"/>
      <c r="H47" s="18"/>
      <c r="I47" s="18"/>
      <c r="L47" s="4">
        <v>3</v>
      </c>
      <c r="M47" s="60"/>
      <c r="N47" s="4"/>
      <c r="O47" s="61">
        <f t="shared" si="6"/>
        <v>0</v>
      </c>
      <c r="P47" s="60">
        <f t="shared" si="4"/>
        <v>3</v>
      </c>
      <c r="R47" s="61">
        <v>5</v>
      </c>
      <c r="T47" s="4"/>
      <c r="U47" s="4"/>
      <c r="V47" s="61">
        <f t="shared" si="5"/>
        <v>0</v>
      </c>
      <c r="W47" s="4"/>
      <c r="Y47" s="15">
        <v>4</v>
      </c>
      <c r="Z47" s="61" t="s">
        <v>236</v>
      </c>
      <c r="AA47" s="60" t="str" cm="1">
        <f t="array" ref="AA47">IF(OR(Y47=0,Y47=""),"",IF(VLOOKUP(Z47,$AI$1:$AJ$58,2,FALSE)&gt;=Y47,INDEX(tblDisciplines[Name],MATCH(1,(tblDisciplines[Discipline]=Z47)*(tblDisciplines[Rank]=Y47),0)),""))</f>
        <v/>
      </c>
      <c r="AC47" s="60" t="str">
        <v>Lay Open the Mind</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Auspex ●●●● | Lay Open the Mind</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Cost: 1 V  •  Pool: 10  v Resolve + BP  •  Instant  •  Scene</v>
      </c>
      <c r="AF47" s="20" t="str">
        <f>IF(AC47="","",IFERROR(VLOOKUP(AC47,tblDisciplines[],12,FALSE),VLOOKUP(AC47,tblPacts[],5,FALSE)))</f>
        <v>Telepathy and mind-reading. Invoke Conditions.</v>
      </c>
      <c r="AI47" s="15" t="s">
        <v>21</v>
      </c>
      <c r="AJ47" s="61">
        <f t="shared" si="1"/>
        <v>2</v>
      </c>
      <c r="AK47" s="61">
        <f>AJ47+IFERROR(INDEX($V$26:$V$38,MATCH(AI47,$E$26:$E$38,0)),0)</f>
        <v>2</v>
      </c>
    </row>
    <row r="48" spans="1:37">
      <c r="A48" s="1" t="s">
        <v>47</v>
      </c>
      <c r="B48" t="str">
        <f>REPT("●",IFERROR(INDEX($P$42:$P$69,MATCH(tblCharDataIvana[[#This Row],[Field]],$E$42:$E$69,0)),0))&amp;REPT("○",IFERROR(INDEX($V$42:$V$69,MATCH(tblCharDataIvana[[#This Row],[Field]],$E$42:$E$69,0)),0))&amp;IF(IFERROR(INDEX($W$42:$W$69,MATCH(tblCharDataIvana[[#This Row],[Field]],$E$42:$E$69,0)),0)=1,"†","")</f>
        <v/>
      </c>
      <c r="D48" s="18"/>
      <c r="E48" s="15" t="s">
        <v>31</v>
      </c>
      <c r="F48" s="18"/>
      <c r="G48" s="3"/>
      <c r="H48" s="18"/>
      <c r="I48" s="18"/>
      <c r="L48" s="4"/>
      <c r="M48" s="60"/>
      <c r="N48" s="4"/>
      <c r="O48" s="61">
        <f t="shared" si="6"/>
        <v>0</v>
      </c>
      <c r="P48" s="60">
        <f t="shared" si="4"/>
        <v>0</v>
      </c>
      <c r="R48" s="61">
        <v>5</v>
      </c>
      <c r="T48" s="4"/>
      <c r="U48" s="4"/>
      <c r="V48" s="61">
        <f t="shared" si="5"/>
        <v>0</v>
      </c>
      <c r="W48" s="4"/>
      <c r="Y48" s="15">
        <v>5</v>
      </c>
      <c r="Z48" s="61" t="s">
        <v>236</v>
      </c>
      <c r="AA48" s="60" t="str" cm="1">
        <f t="array" ref="AA48">IF(OR(Y48=0,Y48=""),"",IF(VLOOKUP(Z48,$AI$1:$AJ$58,2,FALSE)&gt;=Y48,INDEX(tblDisciplines[Name],MATCH(1,(tblDisciplines[Discipline]=Z48)*(tblDisciplines[Rank]=Y48),0)),""))</f>
        <v/>
      </c>
      <c r="AC48" s="60" t="str">
        <v>Twilight Projection</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Auspex ●●●●● | Twilight Projection</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Cost: 2 V  •  Pool: 11  •  Instant  •  Scene (while projected)</v>
      </c>
      <c r="AF48" s="20" t="str">
        <f>IF(AC48="","",IFERROR(VLOOKUP(AC48,tblDisciplines[],12,FALSE),VLOOKUP(AC48,tblPacts[],5,FALSE)))</f>
        <v>Project senses into Twilight. May use Auspex 1-3 once per scene; cannot spend blood for additional uses.</v>
      </c>
      <c r="AI48" s="15" t="s">
        <v>38</v>
      </c>
      <c r="AJ48" s="61">
        <f t="shared" si="1"/>
        <v>0</v>
      </c>
      <c r="AK48" s="61">
        <f>IF(AJ48=0,IF(COUNTIF($E$42:$E$49,AI48)&gt;0,-3,-1),AJ48)</f>
        <v>-1</v>
      </c>
    </row>
    <row r="49" spans="1:37">
      <c r="A49" s="1" t="s">
        <v>48</v>
      </c>
      <c r="B49" t="str">
        <f>REPT("●",IFERROR(INDEX($P$42:$P$69,MATCH(tblCharDataIvana[[#This Row],[Field]],$E$42:$E$69,0)),0))&amp;REPT("○",IFERROR(INDEX($V$42:$V$69,MATCH(tblCharDataIvana[[#This Row],[Field]],$E$42:$E$69,0)),0))&amp;IF(IFERROR(INDEX($W$42:$W$69,MATCH(tblCharDataIvana[[#This Row],[Field]],$E$42:$E$69,0)),0)=1,"†","")</f>
        <v/>
      </c>
      <c r="D49" s="18"/>
      <c r="E49" s="15" t="s">
        <v>32</v>
      </c>
      <c r="F49" s="18"/>
      <c r="G49" s="3"/>
      <c r="H49" s="18"/>
      <c r="I49" s="18"/>
      <c r="L49" s="4"/>
      <c r="M49" s="60"/>
      <c r="N49" s="4"/>
      <c r="O49" s="61">
        <f t="shared" si="6"/>
        <v>0</v>
      </c>
      <c r="P49" s="60">
        <f t="shared" si="4"/>
        <v>0</v>
      </c>
      <c r="R49" s="61">
        <v>5</v>
      </c>
      <c r="T49" s="4"/>
      <c r="U49" s="4"/>
      <c r="V49" s="61">
        <f t="shared" si="5"/>
        <v>0</v>
      </c>
      <c r="W49" s="4"/>
      <c r="Y49" s="15">
        <v>1</v>
      </c>
      <c r="Z49" s="61" t="s">
        <v>237</v>
      </c>
      <c r="AA49" s="60" t="str" cm="1">
        <f t="array" ref="AA49">IF(OR(Y49=0,Y49=""),"",IF(VLOOKUP(Z49,$AI$1:$AJ$58,2,FALSE)&gt;=Y49,INDEX(tblDisciplines[Name],MATCH(1,(tblDisciplines[Discipline]=Z49)*(tblDisciplines[Rank]=Y49),0)),""))</f>
        <v>Beast's Hackles</v>
      </c>
      <c r="AC49" s="60" t="str">
        <v>Face in the Crowd</v>
      </c>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Obfuscate ● | Face in the Crowd</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Cost: -  •  Pool: -  •  Instant  •  Scene</v>
      </c>
      <c r="AF49" s="20" t="str">
        <f>IF(AC49="","",IFERROR(VLOOKUP(AC49,tblDisciplines[],12,FALSE),VLOOKUP(AC49,tblPacts[],5,FALSE)))</f>
        <v>Blend into surroundings, visible but unnoticeable. Predatory aura fully on or off. Leaving combat: Wits + Composure - Obfuscate to notice; auto Clash of Wills vs Auspex.</v>
      </c>
      <c r="AI49" s="15" t="s">
        <v>47</v>
      </c>
      <c r="AJ49" s="61">
        <f t="shared" si="1"/>
        <v>0</v>
      </c>
      <c r="AK49" s="61">
        <f>IF(AJ49=0,IF(COUNTIF($E$42:$E$49,AI49)&gt;0,-3,-1),AJ49)</f>
        <v>-1</v>
      </c>
    </row>
    <row r="50" spans="1:37">
      <c r="A50" s="1" t="s">
        <v>49</v>
      </c>
      <c r="B50" t="str">
        <f ca="1">REPT("●",VLOOKUP(tblCharDataIvana[[#This Row],[Field]],INDIRECT($AH$1),2,FALSE)) &amp; REPT("○",10-VLOOKUP(tblCharDataIvana[[#This Row],[Field]],INDIRECT($AH$1),2,FALSE)) &amp; REPT("○",10-VLOOKUP(tblCharDataIvana[[#This Row],[Field]],INDIRECT($AH$1),2,FALSE))</f>
        <v>●○○○○○○○○○○○○○○○○○○</v>
      </c>
      <c r="Y50" s="15">
        <v>2</v>
      </c>
      <c r="Z50" s="61" t="s">
        <v>237</v>
      </c>
      <c r="AA50" s="60" t="str" cm="1">
        <f t="array" ref="AA50">IF(OR(Y50=0,Y50=""),"",IF(VLOOKUP(Z50,$AI$1:$AJ$58,2,FALSE)&gt;=Y50,INDEX(tblDisciplines[Name],MATCH(1,(tblDisciplines[Discipline]=Z50)*(tblDisciplines[Rank]=Y50),0)),""))</f>
        <v>Uncanny Perception</v>
      </c>
      <c r="AC50" s="60" t="str">
        <v>Touch of Shadow</v>
      </c>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Obfuscate ●● | Touch of Shadow</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Cost: 1 V  •  Pool: 7  •  Instant  •  Scene</v>
      </c>
      <c r="AF50" s="20" t="str">
        <f>IF(AC50="","",IFERROR(VLOOKUP(AC50,tblDisciplines[],12,FALSE),VLOOKUP(AC50,tblPacts[],5,FALSE)))</f>
        <v>Cast Face in the Crowd on object or person. Free and unlimited duration on carried/worn objects if not drawing attention.</v>
      </c>
      <c r="AI50" s="15" t="s">
        <v>19</v>
      </c>
      <c r="AJ50" s="61">
        <f t="shared" si="1"/>
        <v>2</v>
      </c>
      <c r="AK50" s="61">
        <f>AJ50+IFERROR(INDEX($V$26:$V$38,MATCH(AI50,$E$26:$E$38,0)),0)</f>
        <v>2</v>
      </c>
    </row>
    <row r="51" spans="1:37">
      <c r="A51" s="1" t="s">
        <v>50</v>
      </c>
      <c r="B51">
        <f>P72</f>
        <v>1</v>
      </c>
      <c r="D51" s="16" t="s">
        <v>1453</v>
      </c>
      <c r="E51" s="17"/>
      <c r="F51" s="17"/>
      <c r="G51" s="17" t="s">
        <v>1467</v>
      </c>
      <c r="H51" s="16" t="s">
        <v>1446</v>
      </c>
      <c r="I51" s="3" t="s">
        <v>1567</v>
      </c>
      <c r="L51" s="60">
        <f>IF(I51="",0,VLOOKUP(I51,tblPriority[#Data],3,FALSE))-SUM(L52:L59)</f>
        <v>0</v>
      </c>
      <c r="Y51" s="15">
        <v>3</v>
      </c>
      <c r="Z51" s="61" t="s">
        <v>237</v>
      </c>
      <c r="AA51" s="60" t="str" cm="1">
        <f t="array" ref="AA51">IF(OR(Y51=0,Y51=""),"",IF(VLOOKUP(Z51,$AI$1:$AJ$58,2,FALSE)&gt;=Y51,INDEX(tblDisciplines[Name],MATCH(1,(tblDisciplines[Discipline]=Z51)*(tblDisciplines[Rank]=Y51),0)),""))</f>
        <v>Spirit's Touch</v>
      </c>
      <c r="AC51" s="60" t="str">
        <v>City Attunement</v>
      </c>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Devotion  | City Attunement</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Cost: 1 V (Scion of the First City Only); city must have 10,000+ inhabitants  •  Pool: -  •  Instant  •  1 night</v>
      </c>
      <c r="AF51" s="20" t="str">
        <f>IF(AC51="","",IFERROR(VLOOKUP(AC51,tblDisciplines[],12,FALSE),VLOOKUP(AC51,tblPacts[],5,FALSE)))</f>
        <v>Touch building or street to attune to city for the night. One city at a time. Must attune before using other Scion devotions.</v>
      </c>
      <c r="AI51" s="15" t="s">
        <v>48</v>
      </c>
      <c r="AJ51" s="61">
        <f t="shared" si="1"/>
        <v>0</v>
      </c>
      <c r="AK51" s="61">
        <f>IF(AJ51=0,IF(COUNTIF($E$42:$E$49,AI51)&gt;0,-3,-1),AJ51)</f>
        <v>-1</v>
      </c>
    </row>
    <row r="52" spans="1:37">
      <c r="A52" s="1" t="s">
        <v>51</v>
      </c>
      <c r="B52" t="str">
        <f>_xlfn.IFNA(VLOOKUP(P72,tblBloodPotency[#Data],5,FALSE),"")</f>
        <v/>
      </c>
      <c r="D52" s="18"/>
      <c r="E52" s="15" t="s">
        <v>33</v>
      </c>
      <c r="F52" s="18"/>
      <c r="G52" s="3"/>
      <c r="H52" s="18"/>
      <c r="I52" s="18"/>
      <c r="L52" s="4">
        <v>2</v>
      </c>
      <c r="M52" s="60"/>
      <c r="N52" s="4"/>
      <c r="O52" s="61">
        <f>ROUNDDOWN(N52/2,0)</f>
        <v>0</v>
      </c>
      <c r="P52" s="60">
        <f t="shared" ref="P52:P59" si="7">MIN(SUM(L52,M52,O52),R52)</f>
        <v>2</v>
      </c>
      <c r="R52" s="61">
        <v>5</v>
      </c>
      <c r="T52" s="4"/>
      <c r="U52" s="4"/>
      <c r="V52" s="61">
        <f t="shared" ref="V52:V59" si="8">U52</f>
        <v>0</v>
      </c>
      <c r="W52" s="4"/>
      <c r="Y52" s="15">
        <v>4</v>
      </c>
      <c r="Z52" s="61" t="s">
        <v>237</v>
      </c>
      <c r="AA52" s="60" t="str" cm="1">
        <f t="array" ref="AA52">IF(OR(Y52=0,Y52=""),"",IF(VLOOKUP(Z52,$AI$1:$AJ$58,2,FALSE)&gt;=Y52,INDEX(tblDisciplines[Name],MATCH(1,(tblDisciplines[Discipline]=Z52)*(tblDisciplines[Rank]=Y52),0)),""))</f>
        <v>Lay Open the Mind</v>
      </c>
      <c r="AC52" s="60" t="str">
        <v>Incriminating Evidence</v>
      </c>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Devotion  | Incriminating Evidence</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Cost: Free / 1 V (Scion of the First City Only); must have touched target that night; must be outdoors  •  Pool: 11  •  Instant  •  Instant</v>
      </c>
      <c r="AF52" s="20" t="str">
        <f>IF(AC52="","",IFERROR(VLOOKUP(AC52,tblDisciplines[],12,FALSE),VLOOKUP(AC52,tblPacts[],5,FALSE)))</f>
        <v>Focus on a previously touched person. City guides to evidence of wrongdoing; clues equal to successes. Leads to general location only, not specific doors. Clash of Wills vs Obfuscate.</v>
      </c>
      <c r="AI52" s="15" t="s">
        <v>39</v>
      </c>
      <c r="AJ52" s="61">
        <f t="shared" si="1"/>
        <v>0</v>
      </c>
      <c r="AK52" s="61">
        <f>IF(AJ52=0,IF(COUNTIF($E$42:$E$49,AI52)&gt;0,-3,-1),AJ52)</f>
        <v>-1</v>
      </c>
    </row>
    <row r="53" spans="1:37">
      <c r="A53" s="1" t="s">
        <v>52</v>
      </c>
      <c r="B53" t="str">
        <f ca="1">REPT("□",P221) &amp; REPT("■",15-P221)</f>
        <v>□□□□□□□■■■■■■■■</v>
      </c>
      <c r="D53" s="18"/>
      <c r="E53" s="15" t="s">
        <v>34</v>
      </c>
      <c r="F53" s="18"/>
      <c r="G53" s="3"/>
      <c r="H53" s="18"/>
      <c r="I53" s="18"/>
      <c r="L53" s="4"/>
      <c r="M53" s="60"/>
      <c r="N53" s="4"/>
      <c r="O53" s="61">
        <f t="shared" ref="O53:O59" si="9">ROUNDDOWN(N53/2,0)</f>
        <v>0</v>
      </c>
      <c r="P53" s="60">
        <f t="shared" si="7"/>
        <v>0</v>
      </c>
      <c r="R53" s="61">
        <v>5</v>
      </c>
      <c r="T53" s="4"/>
      <c r="U53" s="4"/>
      <c r="V53" s="61">
        <f t="shared" si="8"/>
        <v>0</v>
      </c>
      <c r="W53" s="4"/>
      <c r="Y53" s="15">
        <v>5</v>
      </c>
      <c r="Z53" s="61" t="s">
        <v>237</v>
      </c>
      <c r="AA53" s="60" t="str" cm="1">
        <f t="array" ref="AA53">IF(OR(Y53=0,Y53=""),"",IF(VLOOKUP(Z53,$AI$1:$AJ$58,2,FALSE)&gt;=Y53,INDEX(tblDisciplines[Name],MATCH(1,(tblDisciplines[Discipline]=Z53)*(tblDisciplines[Rank]=Y53),0)),""))</f>
        <v>Twilight Projection</v>
      </c>
      <c r="AC53" s="60" t="str">
        <v>Our Mother's Mind</v>
      </c>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Devotion  | Our Mother's Mind</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Cost: 2 V (Scion of the First City Only); walk barefoot, Vitae on feet  •  Pool: 11  v Resolve + BP  •  Contested  •  Until found</v>
      </c>
      <c r="AF53" s="20" t="str">
        <f>IF(AC53="","",IFERROR(VLOOKUP(AC53,tblDisciplines[],12,FALSE),VLOOKUP(AC53,tblPacts[],5,FALSE)))</f>
        <v>Declare a target. City guides BP blocks per success toward target. Target's non-combat pools and Speed reduced by 1 per success. Must sacrifice access to a level of Contacts, Allies, Retainer, or Resources per success (returns after 1 week).</v>
      </c>
      <c r="AI53" s="15" t="s">
        <v>247</v>
      </c>
      <c r="AJ53" s="61">
        <f t="shared" si="1"/>
        <v>0</v>
      </c>
      <c r="AK53" s="61">
        <f>AJ53</f>
        <v>0</v>
      </c>
    </row>
    <row r="54" spans="1:37">
      <c r="A54" s="1" t="s">
        <v>53</v>
      </c>
      <c r="B54" t="str">
        <f>_xlfn.CONCAT(P74-L224," / ",P74)</f>
        <v>5 / 5</v>
      </c>
      <c r="D54" s="18"/>
      <c r="E54" s="15" t="s">
        <v>35</v>
      </c>
      <c r="F54" s="18"/>
      <c r="G54" s="3"/>
      <c r="H54" s="18"/>
      <c r="I54" s="18"/>
      <c r="L54" s="4"/>
      <c r="M54" s="60"/>
      <c r="N54" s="4"/>
      <c r="O54" s="61">
        <f t="shared" si="9"/>
        <v>0</v>
      </c>
      <c r="P54" s="60">
        <f t="shared" si="7"/>
        <v>0</v>
      </c>
      <c r="R54" s="61">
        <v>5</v>
      </c>
      <c r="T54" s="4"/>
      <c r="U54" s="4"/>
      <c r="V54" s="61">
        <f t="shared" si="8"/>
        <v>0</v>
      </c>
      <c r="W54" s="4"/>
      <c r="Y54" s="15">
        <f>P167</f>
        <v>0</v>
      </c>
      <c r="Z54" s="61" t="s">
        <v>238</v>
      </c>
      <c r="AA54" s="60" t="str" cm="1">
        <f t="array" ref="AA54">IF(OR(Y54=0,Y54=""),"",IF(VLOOKUP(Z54,$AI$1:$AJ$58,2,FALSE)&gt;=Y54,INDEX(tblDisciplines[Name],MATCH(1,(tblDisciplines[Discipline]=Z54)*(tblDisciplines[Rank]=Y54),0)),""))</f>
        <v/>
      </c>
      <c r="AC54" s="60" t="str">
        <v>Creation 1</v>
      </c>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Blood Sorcery | Creation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v>
      </c>
      <c r="AF54" s="20" t="str">
        <f>IF(AC54="","",IFERROR(VLOOKUP(AC54,tblDisciplines[],12,FALSE),VLOOKUP(AC54,tblPacts[],5,FALSE)))</f>
        <v>Summon liquids, dead organic matter, sensory phenomena. Bonus/penalty = Potency.</v>
      </c>
      <c r="AI54" s="15" t="s">
        <v>252</v>
      </c>
      <c r="AJ54" s="61">
        <f t="shared" si="1"/>
        <v>0</v>
      </c>
      <c r="AK54" s="61">
        <f>AJ54</f>
        <v>0</v>
      </c>
    </row>
    <row r="55" spans="1:37">
      <c r="A55" s="1" t="s">
        <v>54</v>
      </c>
      <c r="B55" t="str">
        <f>REPT("□",P74) &amp; REPT("■",10-P74)</f>
        <v>□□□□□■■■■■</v>
      </c>
      <c r="D55" s="18"/>
      <c r="E55" s="15" t="s">
        <v>36</v>
      </c>
      <c r="F55" s="18"/>
      <c r="G55" s="3" t="s">
        <v>986</v>
      </c>
      <c r="H55" s="18"/>
      <c r="I55" s="18"/>
      <c r="L55" s="4">
        <v>3</v>
      </c>
      <c r="M55" s="60"/>
      <c r="N55" s="4"/>
      <c r="O55" s="61">
        <f t="shared" si="9"/>
        <v>0</v>
      </c>
      <c r="P55" s="60">
        <f t="shared" si="7"/>
        <v>3</v>
      </c>
      <c r="R55" s="61">
        <v>5</v>
      </c>
      <c r="T55" s="4"/>
      <c r="U55" s="4"/>
      <c r="V55" s="61">
        <f t="shared" si="8"/>
        <v>0</v>
      </c>
      <c r="W55" s="4"/>
      <c r="Y55" s="15">
        <v>1</v>
      </c>
      <c r="Z55" s="61" t="s">
        <v>239</v>
      </c>
      <c r="AA55" s="60" t="str" cm="1">
        <f t="array" ref="AA55">IF(OR(Y55=0,Y55=""),"",IF(VLOOKUP(Z55,$AI$1:$AJ$58,2,FALSE)&gt;=Y55,INDEX(tblDisciplines[Name],MATCH(1,(tblDisciplines[Discipline]=Z55)*(tblDisciplines[Rank]=Y55),0)),""))</f>
        <v/>
      </c>
      <c r="AC55" s="60" t="str">
        <v>Divination 1</v>
      </c>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Blood Sorcery | Divination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v>
      </c>
      <c r="AF55" s="20" t="str">
        <f>IF(AC55="","",IFERROR(VLOOKUP(AC55,tblDisciplines[],12,FALSE),VLOOKUP(AC55,tblPacts[],5,FALSE)))</f>
        <v>Glimpse fragmented details about intended actions. Learn basic info about a target.</v>
      </c>
      <c r="AI55" s="15" t="s">
        <v>245</v>
      </c>
      <c r="AJ55" s="61">
        <f t="shared" si="1"/>
        <v>0</v>
      </c>
      <c r="AK55" s="61">
        <f>AJ55+IFERROR(INDEX($V$26:$V$38,MATCH(AI55,$E$26:$E$38,0)),0)</f>
        <v>0</v>
      </c>
    </row>
    <row r="56" spans="1:37">
      <c r="A56" s="1" t="s">
        <v>55</v>
      </c>
      <c r="B56" t="str">
        <f ca="1">_xlfn.CONCAT(P75-L223," / ",P75)</f>
        <v>10 / 10</v>
      </c>
      <c r="D56" s="19"/>
      <c r="E56" s="15" t="s">
        <v>37</v>
      </c>
      <c r="F56" s="18"/>
      <c r="G56" s="3"/>
      <c r="H56" s="18"/>
      <c r="I56" s="18"/>
      <c r="L56" s="4">
        <v>2</v>
      </c>
      <c r="M56" s="60"/>
      <c r="N56" s="4"/>
      <c r="O56" s="61">
        <f t="shared" si="9"/>
        <v>0</v>
      </c>
      <c r="P56" s="60">
        <f t="shared" si="7"/>
        <v>2</v>
      </c>
      <c r="R56" s="61">
        <v>5</v>
      </c>
      <c r="T56" s="4"/>
      <c r="U56" s="4"/>
      <c r="V56" s="61">
        <f t="shared" si="8"/>
        <v>0</v>
      </c>
      <c r="W56" s="4"/>
      <c r="Y56" s="15">
        <v>2</v>
      </c>
      <c r="Z56" s="61" t="s">
        <v>239</v>
      </c>
      <c r="AA56" s="60" t="str" cm="1">
        <f t="array" ref="AA56">IF(OR(Y56=0,Y56=""),"",IF(VLOOKUP(Z56,$AI$1:$AJ$58,2,FALSE)&gt;=Y56,INDEX(tblDisciplines[Name],MATCH(1,(tblDisciplines[Discipline]=Z56)*(tblDisciplines[Rank]=Y56),0)),""))</f>
        <v/>
      </c>
      <c r="AC56" s="60" t="str">
        <v>Protection 1</v>
      </c>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Blood Sorcery | Protection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v>
      </c>
      <c r="AF56" s="20" t="str">
        <f>IF(AC56="","",IFERROR(VLOOKUP(AC56,tblDisciplines[],12,FALSE),VLOOKUP(AC56,tblPacts[],5,FALSE)))</f>
        <v>Subtract Potency from ritual rolls targeting subject. Heal bashing in vampires. Protect from the Kiss (add Potency to resistance).</v>
      </c>
      <c r="AI56" s="15" t="s">
        <v>40</v>
      </c>
      <c r="AJ56" s="61">
        <f t="shared" si="1"/>
        <v>0</v>
      </c>
      <c r="AK56" s="61">
        <f>IF(AJ56=0,IF(COUNTIF($E$42:$E$49,AI56)&gt;0,-3,-1),AJ56)</f>
        <v>-1</v>
      </c>
    </row>
    <row r="57" spans="1:37">
      <c r="A57" s="1" t="s">
        <v>56</v>
      </c>
      <c r="B57" t="str">
        <f ca="1">REPT("□",P75-L223) &amp; REPT("■",20-P75+L223)</f>
        <v>□□□□□□□□□□■■■■■■■■■■</v>
      </c>
      <c r="D57" s="19"/>
      <c r="E57" s="15" t="s">
        <v>38</v>
      </c>
      <c r="F57" s="18"/>
      <c r="G57" s="3" t="s">
        <v>987</v>
      </c>
      <c r="H57" s="18"/>
      <c r="I57" s="18"/>
      <c r="L57" s="4"/>
      <c r="M57" s="60"/>
      <c r="N57" s="4"/>
      <c r="O57" s="61">
        <f t="shared" si="9"/>
        <v>0</v>
      </c>
      <c r="P57" s="60">
        <f t="shared" si="7"/>
        <v>0</v>
      </c>
      <c r="R57" s="61">
        <v>5</v>
      </c>
      <c r="T57" s="4"/>
      <c r="U57" s="4"/>
      <c r="V57" s="61">
        <f t="shared" si="8"/>
        <v>0</v>
      </c>
      <c r="W57" s="4"/>
      <c r="Y57" s="15">
        <v>3</v>
      </c>
      <c r="Z57" s="61" t="s">
        <v>239</v>
      </c>
      <c r="AA57" s="60" t="str" cm="1">
        <f t="array" ref="AA57">IF(OR(Y57=0,Y57=""),"",IF(VLOOKUP(Z57,$AI$1:$AJ$58,2,FALSE)&gt;=Y57,INDEX(tblDisciplines[Name],MATCH(1,(tblDisciplines[Discipline]=Z57)*(tblDisciplines[Rank]=Y57),0)),""))</f>
        <v/>
      </c>
      <c r="AC57" s="60" t="str">
        <v>Protection 2</v>
      </c>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Blood Sorcery | Protection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v>
      </c>
      <c r="AF57" s="20" t="str">
        <f>IF(AC57="","",IFERROR(VLOOKUP(AC57,tblDisciplines[],12,FALSE),VLOOKUP(AC57,tblPacts[],5,FALSE)))</f>
        <v>Grant armour. Ward environmental hazards. Resist frenzy.</v>
      </c>
      <c r="AI57" s="15" t="s">
        <v>53</v>
      </c>
      <c r="AJ57" s="61">
        <f t="shared" si="1"/>
        <v>5</v>
      </c>
      <c r="AK57" s="61">
        <f>AJ57</f>
        <v>5</v>
      </c>
    </row>
    <row r="58" spans="1:37">
      <c r="A58" s="1" t="s">
        <v>57</v>
      </c>
      <c r="B58">
        <f ca="1">VLOOKUP(VLOOKUP("Blood Potency", INDIRECT($AH$1),2,FALSE),tblBloodPotency[#Data],3,FALSE)</f>
        <v>1</v>
      </c>
      <c r="D58" s="19"/>
      <c r="E58" s="15" t="s">
        <v>39</v>
      </c>
      <c r="F58" s="18"/>
      <c r="G58" s="3"/>
      <c r="H58" s="18"/>
      <c r="I58" s="18"/>
      <c r="L58" s="4"/>
      <c r="M58" s="60"/>
      <c r="N58" s="4"/>
      <c r="O58" s="61">
        <f t="shared" si="9"/>
        <v>0</v>
      </c>
      <c r="P58" s="60">
        <f t="shared" si="7"/>
        <v>0</v>
      </c>
      <c r="R58" s="61">
        <v>5</v>
      </c>
      <c r="T58" s="4"/>
      <c r="U58" s="4"/>
      <c r="V58" s="61">
        <f t="shared" si="8"/>
        <v>0</v>
      </c>
      <c r="W58" s="4"/>
      <c r="Y58" s="15">
        <v>4</v>
      </c>
      <c r="Z58" s="61" t="s">
        <v>239</v>
      </c>
      <c r="AA58" s="60" t="str" cm="1">
        <f t="array" ref="AA58">IF(OR(Y58=0,Y58=""),"",IF(VLOOKUP(Z58,$AI$1:$AJ$58,2,FALSE)&gt;=Y58,INDEX(tblDisciplines[Name],MATCH(1,(tblDisciplines[Discipline]=Z58)*(tblDisciplines[Rank]=Y58),0)),""))</f>
        <v/>
      </c>
      <c r="AC58" s="60" t="str">
        <v>Blood Witness</v>
      </c>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Cruac ●● | Blood Witness</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Cost: 1 V 2 Successes  •  Pool: 9  •  Ritual  •  1 day per extra Vitae</v>
      </c>
      <c r="AF58" s="20" t="str">
        <f>IF(AC58="","",IFERROR(VLOOKUP(AC58,tblDisciplines[],12,FALSE),VLOOKUP(AC58,tblPacts[],5,FALSE)))</f>
        <v>Smear Vitae on an area. Remotely observe through the spilled blood for one day per extra Vitae spent.</v>
      </c>
      <c r="AI58" s="15" t="s">
        <v>17</v>
      </c>
      <c r="AJ58" s="61">
        <f t="shared" si="1"/>
        <v>3</v>
      </c>
      <c r="AK58" s="61">
        <f>AJ58+IFERROR(INDEX($V$26:$V$38,MATCH(AI58,$E$26:$E$38,0)),0)</f>
        <v>3</v>
      </c>
    </row>
    <row r="59" spans="1:37">
      <c r="A59" s="1" t="s">
        <v>58</v>
      </c>
      <c r="B59" t="str">
        <f ca="1">VLOOKUP(VLOOKUP("Blood Potency", INDIRECT($AH$1),2,FALSE),tblBloodPotency[#Data],4,FALSE)</f>
        <v>Animals</v>
      </c>
      <c r="D59" s="19"/>
      <c r="E59" s="15" t="s">
        <v>40</v>
      </c>
      <c r="F59" s="18"/>
      <c r="G59" s="3"/>
      <c r="H59" s="18"/>
      <c r="I59" s="18"/>
      <c r="L59" s="4"/>
      <c r="M59" s="60"/>
      <c r="N59" s="4"/>
      <c r="O59" s="61">
        <f t="shared" si="9"/>
        <v>0</v>
      </c>
      <c r="P59" s="60">
        <f t="shared" si="7"/>
        <v>0</v>
      </c>
      <c r="R59" s="61">
        <v>5</v>
      </c>
      <c r="T59" s="4"/>
      <c r="U59" s="4"/>
      <c r="V59" s="61">
        <f t="shared" si="8"/>
        <v>0</v>
      </c>
      <c r="W59" s="4"/>
      <c r="Y59" s="15">
        <v>5</v>
      </c>
      <c r="Z59" s="61" t="s">
        <v>239</v>
      </c>
      <c r="AA59" s="60" t="str" cm="1">
        <f t="array" ref="AA59">IF(OR(Y59=0,Y59=""),"",IF(VLOOKUP(Z59,$AI$1:$AJ$58,2,FALSE)&gt;=Y59,INDEX(tblDisciplines[Name],MATCH(1,(tblDisciplines[Discipline]=Z59)*(tblDisciplines[Rank]=Y59),0)),""))</f>
        <v/>
      </c>
      <c r="AC59" s="60" t="str">
        <v>Shed the Virulent Bowels</v>
      </c>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Cruac ●● | Shed the Virulent Bowels</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Cost: 1 V 2 Successes  •  Pool: 9  •  Ritual  •  Scene</v>
      </c>
      <c r="AF59" s="20" t="str">
        <f>IF(AC59="","",IFERROR(VLOOKUP(AC59,tblDisciplines[],12,FALSE),VLOOKUP(AC59,tblPacts[],5,FALSE)))</f>
        <v>Use a lock of hair or sympathetic link to hang a curse over a living victim for a month. Trigger the curse to cause enough lethal damage to fill the victim's Health.</v>
      </c>
    </row>
    <row r="60" spans="1:37">
      <c r="A60" s="1" t="s">
        <v>59</v>
      </c>
      <c r="B60" t="str">
        <f t="shared" ref="B60:B83" si="10">IFERROR(IF(VLOOKUP(SUBSTITUTE(A60," Spec",""),$E$42:$G$69,3,FALSE)=0,"",VLOOKUP(SUBSTITUTE(A60," Spec",""),$E$42:$G$69,3,FALSE)),"")</f>
        <v/>
      </c>
      <c r="Y60" s="15">
        <v>1</v>
      </c>
      <c r="Z60" s="61" t="s">
        <v>240</v>
      </c>
      <c r="AA60" s="60" t="str" cm="1">
        <f t="array" ref="AA60">IF(OR(Y60=0,Y60=""),"",IF(VLOOKUP(Z60,$AI$1:$AJ$58,2,FALSE)&gt;=Y60,INDEX(tblDisciplines[Name],MATCH(1,(tblDisciplines[Discipline]=Z60)*(tblDisciplines[Rank]=Y60),0)),""))</f>
        <v/>
      </c>
      <c r="AC60" s="60" t="str">
        <v/>
      </c>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0"/>
        <v/>
      </c>
      <c r="D61" s="16" t="s">
        <v>1459</v>
      </c>
      <c r="E61" s="17"/>
      <c r="F61" s="17"/>
      <c r="G61" s="17" t="s">
        <v>1467</v>
      </c>
      <c r="H61" s="16" t="s">
        <v>1446</v>
      </c>
      <c r="I61" s="3" t="s">
        <v>1565</v>
      </c>
      <c r="L61" s="60">
        <f>IF(I61="",0,VLOOKUP(I61,tblPriority[#Data],3,FALSE))-SUM(L62:L69)</f>
        <v>0</v>
      </c>
      <c r="Y61" s="15">
        <v>2</v>
      </c>
      <c r="Z61" s="61" t="s">
        <v>240</v>
      </c>
      <c r="AA61" s="60" t="str" cm="1">
        <f t="array" ref="AA61">IF(OR(Y61=0,Y61=""),"",IF(VLOOKUP(Z61,$AI$1:$AJ$58,2,FALSE)&gt;=Y61,INDEX(tblDisciplines[Name],MATCH(1,(tblDisciplines[Discipline]=Z61)*(tblDisciplines[Rank]=Y61),0)),""))</f>
        <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0"/>
        <v/>
      </c>
      <c r="D62" s="18"/>
      <c r="E62" s="15" t="s">
        <v>41</v>
      </c>
      <c r="F62" s="18"/>
      <c r="G62" s="3" t="s">
        <v>988</v>
      </c>
      <c r="H62" s="18"/>
      <c r="I62" s="18"/>
      <c r="L62" s="4">
        <v>3</v>
      </c>
      <c r="M62" s="60"/>
      <c r="N62" s="4"/>
      <c r="O62" s="61">
        <f>ROUNDDOWN(N62/2,0)</f>
        <v>0</v>
      </c>
      <c r="P62" s="60">
        <f t="shared" ref="P62:P69" si="11">MIN(SUM(L62,M62,O62),R62)</f>
        <v>3</v>
      </c>
      <c r="R62" s="61">
        <v>5</v>
      </c>
      <c r="T62" s="4"/>
      <c r="U62" s="4"/>
      <c r="V62" s="61">
        <f t="shared" ref="V62:V69" si="12">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0"/>
        <v/>
      </c>
      <c r="D63" s="19"/>
      <c r="E63" s="15" t="s">
        <v>42</v>
      </c>
      <c r="F63" s="18"/>
      <c r="G63" s="3"/>
      <c r="H63" s="18"/>
      <c r="I63" s="18"/>
      <c r="L63" s="4">
        <v>3</v>
      </c>
      <c r="M63" s="60"/>
      <c r="N63" s="4"/>
      <c r="O63" s="61">
        <f t="shared" ref="O63:O69" si="13">ROUNDDOWN(N63/2,0)</f>
        <v>0</v>
      </c>
      <c r="P63" s="60">
        <f t="shared" si="11"/>
        <v>3</v>
      </c>
      <c r="R63" s="61">
        <v>5</v>
      </c>
      <c r="T63" s="4"/>
      <c r="U63" s="4"/>
      <c r="V63" s="61">
        <f t="shared" si="12"/>
        <v>0</v>
      </c>
      <c r="W63" s="4"/>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0"/>
        <v/>
      </c>
      <c r="D64" s="19"/>
      <c r="E64" s="15" t="s">
        <v>43</v>
      </c>
      <c r="F64" s="18"/>
      <c r="G64" s="3"/>
      <c r="H64" s="18"/>
      <c r="I64" s="18"/>
      <c r="L64" s="4"/>
      <c r="M64" s="60"/>
      <c r="N64" s="4"/>
      <c r="O64" s="61">
        <f t="shared" si="13"/>
        <v>0</v>
      </c>
      <c r="P64" s="60">
        <f t="shared" si="11"/>
        <v>0</v>
      </c>
      <c r="R64" s="61">
        <v>5</v>
      </c>
      <c r="T64" s="4"/>
      <c r="U64" s="4"/>
      <c r="V64" s="61">
        <f t="shared" si="12"/>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0"/>
        <v/>
      </c>
      <c r="D65" s="19"/>
      <c r="E65" s="15" t="s">
        <v>44</v>
      </c>
      <c r="F65" s="18"/>
      <c r="G65" s="3"/>
      <c r="H65" s="18"/>
      <c r="I65" s="18"/>
      <c r="L65" s="4">
        <v>3</v>
      </c>
      <c r="M65" s="60"/>
      <c r="N65" s="4"/>
      <c r="O65" s="61">
        <f t="shared" si="13"/>
        <v>0</v>
      </c>
      <c r="P65" s="60">
        <f t="shared" si="11"/>
        <v>3</v>
      </c>
      <c r="R65" s="61">
        <v>5</v>
      </c>
      <c r="T65" s="4"/>
      <c r="U65" s="4"/>
      <c r="V65" s="61">
        <f t="shared" si="12"/>
        <v>0</v>
      </c>
      <c r="W65" s="4"/>
      <c r="Y65" s="15">
        <v>1</v>
      </c>
      <c r="Z65" s="61" t="s">
        <v>241</v>
      </c>
      <c r="AA65" s="60" t="str" cm="1">
        <f t="array" ref="AA65">IF(OR(Y65=0,Y65=""),"",IF(VLOOKUP(Z65,$AI$1:$AJ$58,2,FALSE)&gt;=Y65,INDEX(tblDisciplines[Name],MATCH(1,(tblDisciplines[Discipline]=Z65)*(tblDisciplines[Rank]=Y65),0)),""))</f>
        <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0"/>
        <v/>
      </c>
      <c r="D66" s="19"/>
      <c r="E66" s="15" t="s">
        <v>45</v>
      </c>
      <c r="F66" s="18"/>
      <c r="G66" s="3"/>
      <c r="H66" s="18"/>
      <c r="I66" s="18"/>
      <c r="L66" s="4"/>
      <c r="M66" s="60"/>
      <c r="N66" s="4"/>
      <c r="O66" s="61">
        <f t="shared" si="13"/>
        <v>0</v>
      </c>
      <c r="P66" s="60">
        <f t="shared" si="11"/>
        <v>0</v>
      </c>
      <c r="R66" s="61">
        <v>5</v>
      </c>
      <c r="T66" s="4"/>
      <c r="U66" s="4"/>
      <c r="V66" s="61">
        <f t="shared" si="12"/>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0"/>
        <v/>
      </c>
      <c r="D67" s="19"/>
      <c r="E67" s="15" t="s">
        <v>46</v>
      </c>
      <c r="F67" s="18"/>
      <c r="G67" s="3"/>
      <c r="H67" s="18"/>
      <c r="I67" s="18"/>
      <c r="L67" s="4">
        <v>2</v>
      </c>
      <c r="M67" s="60"/>
      <c r="N67" s="4"/>
      <c r="O67" s="61">
        <f t="shared" si="13"/>
        <v>0</v>
      </c>
      <c r="P67" s="60">
        <f t="shared" si="11"/>
        <v>2</v>
      </c>
      <c r="R67" s="61">
        <v>5</v>
      </c>
      <c r="T67" s="4"/>
      <c r="U67" s="4"/>
      <c r="V67" s="61">
        <f t="shared" si="12"/>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0"/>
        <v/>
      </c>
      <c r="D68" s="18"/>
      <c r="E68" s="15" t="s">
        <v>47</v>
      </c>
      <c r="F68" s="18"/>
      <c r="G68" s="3"/>
      <c r="H68" s="18"/>
      <c r="I68" s="18"/>
      <c r="L68" s="4"/>
      <c r="M68" s="60"/>
      <c r="N68" s="4"/>
      <c r="O68" s="61">
        <f t="shared" si="13"/>
        <v>0</v>
      </c>
      <c r="P68" s="60">
        <f t="shared" si="11"/>
        <v>0</v>
      </c>
      <c r="R68" s="61">
        <v>5</v>
      </c>
      <c r="T68" s="4"/>
      <c r="U68" s="4"/>
      <c r="V68" s="61">
        <f t="shared" si="12"/>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0"/>
        <v/>
      </c>
      <c r="D69" s="18"/>
      <c r="E69" s="15" t="s">
        <v>48</v>
      </c>
      <c r="F69" s="18"/>
      <c r="G69" s="3"/>
      <c r="H69" s="18"/>
      <c r="I69" s="18"/>
      <c r="L69" s="4"/>
      <c r="M69" s="60"/>
      <c r="N69" s="4"/>
      <c r="O69" s="61">
        <f t="shared" si="13"/>
        <v>0</v>
      </c>
      <c r="P69" s="60">
        <f t="shared" si="11"/>
        <v>0</v>
      </c>
      <c r="R69" s="61">
        <v>5</v>
      </c>
      <c r="T69" s="4"/>
      <c r="U69" s="4"/>
      <c r="V69" s="61">
        <f t="shared" si="12"/>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0"/>
        <v/>
      </c>
      <c r="Y70" s="15">
        <v>1</v>
      </c>
      <c r="Z70" s="61" t="s">
        <v>242</v>
      </c>
      <c r="AA70" s="60" t="str" cm="1">
        <f t="array" ref="AA70">IF(OR(Y70=0,Y70=""),"",IF(VLOOKUP(Z70,$AI$1:$AJ$58,2,FALSE)&gt;=Y70,INDEX(tblDisciplines[Name],MATCH(1,(tblDisciplines[Discipline]=Z70)*(tblDisciplines[Rank]=Y70),0)),""))</f>
        <v>Face in the Crowd</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0"/>
        <v>Crossbow</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Touch of Shadow</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0"/>
        <v/>
      </c>
      <c r="D72" s="19"/>
      <c r="E72" s="15" t="s">
        <v>49</v>
      </c>
      <c r="F72" s="19"/>
      <c r="G72" s="19"/>
      <c r="H72" s="19"/>
      <c r="I72" s="19"/>
      <c r="K72" s="4"/>
      <c r="L72" s="4"/>
      <c r="M72" s="60">
        <v>1</v>
      </c>
      <c r="N72" s="4"/>
      <c r="O72" s="61">
        <f>ROUNDDOWN(N72/5,0)</f>
        <v>0</v>
      </c>
      <c r="P72" s="60">
        <f>MIN(SUM(K72*-1,ROUNDDOWN(L72/5,0),M72,O72),R72)</f>
        <v>1</v>
      </c>
      <c r="R72" s="61">
        <v>2</v>
      </c>
      <c r="Y72" s="15">
        <v>3</v>
      </c>
      <c r="Z72" s="61" t="s">
        <v>242</v>
      </c>
      <c r="AA72" s="60" t="str" cm="1">
        <f t="array" ref="AA72">IF(OR(Y72=0,Y72=""),"",IF(VLOOKUP(Z72,$AI$1:$AJ$58,2,FALSE)&gt;=Y72,INDEX(tblDisciplines[Name],MATCH(1,(tblDisciplines[Discipline]=Z72)*(tblDisciplines[Rank]=Y72),0)),""))</f>
        <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0"/>
        <v>Hiding</v>
      </c>
      <c r="D73" s="19"/>
      <c r="E73" s="15" t="s">
        <v>1448</v>
      </c>
      <c r="F73" s="19"/>
      <c r="G73" s="19"/>
      <c r="H73" s="19"/>
      <c r="I73" s="19"/>
      <c r="K73" s="4">
        <v>2</v>
      </c>
      <c r="M73" s="60">
        <v>7</v>
      </c>
      <c r="N73" s="4"/>
      <c r="O73" s="61">
        <f>ROUNDDOWN(N73/2,0)</f>
        <v>0</v>
      </c>
      <c r="P73" s="60">
        <f>MIN(SUM(K73*-1,M73,O73),R73)</f>
        <v>5</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0"/>
        <v/>
      </c>
      <c r="D74" s="19"/>
      <c r="E74" s="15" t="s">
        <v>53</v>
      </c>
      <c r="F74" s="19"/>
      <c r="G74" s="19"/>
      <c r="H74" s="19"/>
      <c r="I74" s="19"/>
      <c r="K74" s="4"/>
      <c r="M74" s="60">
        <f>P28+P38</f>
        <v>5</v>
      </c>
      <c r="N74" s="4"/>
      <c r="O74" s="61">
        <f>N74</f>
        <v>0</v>
      </c>
      <c r="P74" s="60">
        <f>MIN(SUM(K74*-1,M74,O74),R74)</f>
        <v>5</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0"/>
        <v/>
      </c>
      <c r="D75" s="19"/>
      <c r="E75" s="15" t="s">
        <v>55</v>
      </c>
      <c r="F75" s="19"/>
      <c r="G75" s="19"/>
      <c r="H75" s="19"/>
      <c r="I75" s="19"/>
      <c r="P75" s="60">
        <f ca="1">VLOOKUP(VLOOKUP("Blood Potency",INDIRECT($AH$1),2,FALSE),tblBloodPotency[],2,FALSE)</f>
        <v>10</v>
      </c>
      <c r="Y75" s="15">
        <v>1</v>
      </c>
      <c r="Z75" s="61" t="s">
        <v>243</v>
      </c>
      <c r="AA75" s="60" t="str" cm="1">
        <f t="array" ref="AA75">IF(OR(Y75=0,Y75=""),"",IF(VLOOKUP(Z75,$AI$1:$AJ$58,2,FALSE)&gt;=Y75,INDEX(tblDisciplines[Name],MATCH(1,(tblDisciplines[Discipline]=Z75)*(tblDisciplines[Rank]=Y75),0)),""))</f>
        <v/>
      </c>
    </row>
    <row r="76" spans="1:32">
      <c r="A76" s="1" t="s">
        <v>75</v>
      </c>
      <c r="B76" t="str">
        <f t="shared" si="10"/>
        <v>Training</v>
      </c>
      <c r="Y76" s="15">
        <v>2</v>
      </c>
      <c r="Z76" s="61" t="s">
        <v>243</v>
      </c>
      <c r="AA76" s="60" t="str" cm="1">
        <f t="array" ref="AA76">IF(OR(Y76=0,Y76=""),"",IF(VLOOKUP(Z76,$AI$1:$AJ$58,2,FALSE)&gt;=Y76,INDEX(tblDisciplines[Name],MATCH(1,(tblDisciplines[Discipline]=Z76)*(tblDisciplines[Rank]=Y76),0)),""))</f>
        <v/>
      </c>
    </row>
    <row r="77" spans="1:32" ht="15.75" thickBot="1">
      <c r="A77" s="1" t="s">
        <v>76</v>
      </c>
      <c r="B77" t="str">
        <f t="shared" si="10"/>
        <v/>
      </c>
      <c r="D77" s="14" t="s">
        <v>1470</v>
      </c>
      <c r="E77" s="14"/>
      <c r="F77" s="14"/>
      <c r="G77" s="14"/>
      <c r="H77" s="14"/>
      <c r="I77" s="14"/>
      <c r="N77" s="60">
        <f>SUM(N79:N98,N101:N120,N206:N215,N132:N135,N138:N157,N160:N161)</f>
        <v>5</v>
      </c>
      <c r="Y77" s="15">
        <v>3</v>
      </c>
      <c r="Z77" s="61" t="s">
        <v>243</v>
      </c>
      <c r="AA77" s="60" t="str" cm="1">
        <f t="array" ref="AA77">IF(OR(Y77=0,Y77=""),"",IF(VLOOKUP(Z77,$AI$1:$AJ$58,2,FALSE)&gt;=Y77,INDEX(tblDisciplines[Name],MATCH(1,(tblDisciplines[Discipline]=Z77)*(tblDisciplines[Rank]=Y77),0)),""))</f>
        <v/>
      </c>
    </row>
    <row r="78" spans="1:32">
      <c r="A78" s="1" t="s">
        <v>77</v>
      </c>
      <c r="B78" t="str">
        <f t="shared" si="10"/>
        <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0"/>
        <v/>
      </c>
      <c r="D79" s="61" t="s">
        <v>1713</v>
      </c>
      <c r="E79" s="15" t="s">
        <v>114</v>
      </c>
      <c r="F79" s="3" t="s">
        <v>1714</v>
      </c>
      <c r="G79" s="3"/>
      <c r="H79" s="67" t="str">
        <f>_xlfn.IFNA(IF(VLOOKUP(F79,tblMerits[],6,FALSE)=0,"None",VLOOKUP(F79,tblMerits[],6,FALSE)),"None")</f>
        <v>Crúac 1</v>
      </c>
      <c r="I79" s="67"/>
      <c r="L79" s="4"/>
      <c r="M79" s="4">
        <v>2</v>
      </c>
      <c r="N79" s="4"/>
      <c r="O79" s="61">
        <f>N79</f>
        <v>0</v>
      </c>
      <c r="P79" s="60">
        <f t="shared" ref="P79:P98" si="14">MIN(SUM(L79,M79,O79),R79)</f>
        <v>2</v>
      </c>
      <c r="Q79" s="61">
        <f>_xlfn.IFNA(VLOOKUP($F79,tblMerits[],3,FALSE),"")</f>
        <v>1</v>
      </c>
      <c r="R79" s="61">
        <f>_xlfn.IFNA(VLOOKUP($F79,tblMerits[],4,FALSE),"")</f>
        <v>5</v>
      </c>
      <c r="Y79" s="15">
        <v>5</v>
      </c>
      <c r="Z79" s="61" t="s">
        <v>243</v>
      </c>
      <c r="AA79" s="60" t="str" cm="1">
        <f t="array" ref="AA79">IF(OR(Y79=0,Y79=""),"",IF(VLOOKUP(Z79,$AI$1:$AJ$58,2,FALSE)&gt;=Y79,INDEX(tblDisciplines[Name],MATCH(1,(tblDisciplines[Discipline]=Z79)*(tblDisciplines[Rank]=Y79),0)),""))</f>
        <v/>
      </c>
    </row>
    <row r="80" spans="1:32">
      <c r="A80" s="1" t="s">
        <v>79</v>
      </c>
      <c r="B80" t="str">
        <f t="shared" si="10"/>
        <v/>
      </c>
      <c r="D80" s="19"/>
      <c r="E80" s="15" t="s">
        <v>115</v>
      </c>
      <c r="F80" s="3" t="s">
        <v>1715</v>
      </c>
      <c r="G80" s="3"/>
      <c r="H80" s="67" t="str">
        <f>_xlfn.IFNA(IF(VLOOKUP(F80,tblMerits[],6,FALSE)=0,"None",VLOOKUP(F80,tblMerits[],6,FALSE)),"None")</f>
        <v>Crone Status 1</v>
      </c>
      <c r="I80" s="67"/>
      <c r="L80" s="4"/>
      <c r="M80" s="4"/>
      <c r="N80" s="4">
        <v>1</v>
      </c>
      <c r="O80" s="61">
        <f t="shared" ref="O80:O98" si="15">N80</f>
        <v>1</v>
      </c>
      <c r="P80" s="60">
        <f t="shared" si="14"/>
        <v>1</v>
      </c>
      <c r="Q80" s="61">
        <f>_xlfn.IFNA(VLOOKUP($F80,tblMerits[],3,FALSE),"")</f>
        <v>1</v>
      </c>
      <c r="R80" s="61">
        <f>_xlfn.IFNA(VLOOKUP($F80,tblMerits[],4,FALSE),"")</f>
        <v>1</v>
      </c>
      <c r="Y80" s="15">
        <f>P173</f>
        <v>0</v>
      </c>
      <c r="Z80" s="61" t="s">
        <v>244</v>
      </c>
      <c r="AA80" s="60" t="str" cm="1">
        <f t="array" ref="AA80">IF(OR(Y80=0,Y80=""),"",IF(VLOOKUP(Z80,$AI$1:$AJ$58,2,FALSE)&gt;=Y80,INDEX(tblDisciplines[Name],MATCH(1,(tblDisciplines[Discipline]=Z80)*(tblDisciplines[Rank]=Y80),0)),""))</f>
        <v/>
      </c>
    </row>
    <row r="81" spans="1:27">
      <c r="A81" s="1" t="s">
        <v>80</v>
      </c>
      <c r="B81" t="str">
        <f t="shared" si="10"/>
        <v/>
      </c>
      <c r="D81" s="19"/>
      <c r="E81" s="15" t="s">
        <v>116</v>
      </c>
      <c r="F81" s="3" t="s">
        <v>1716</v>
      </c>
      <c r="G81" s="3" t="s">
        <v>1717</v>
      </c>
      <c r="H81" s="67" t="str">
        <f>_xlfn.IFNA(IF(VLOOKUP(F81,tblMerits[],6,FALSE)=0,"None",VLOOKUP(F81,tblMerits[],6,FALSE)),"None")</f>
        <v>Safe Place (same level), Cruac 1</v>
      </c>
      <c r="I81" s="67"/>
      <c r="L81" s="4"/>
      <c r="M81" s="4">
        <v>1</v>
      </c>
      <c r="N81" s="4">
        <v>2</v>
      </c>
      <c r="O81" s="61">
        <f t="shared" si="15"/>
        <v>2</v>
      </c>
      <c r="P81" s="60">
        <f t="shared" si="14"/>
        <v>3</v>
      </c>
      <c r="Q81" s="61">
        <f>_xlfn.IFNA(VLOOKUP($F81,tblMerits[],3,FALSE),"")</f>
        <v>1</v>
      </c>
      <c r="R81" s="61">
        <f>_xlfn.IFNA(VLOOKUP($F81,tblMerits[],4,FALSE),"")</f>
        <v>5</v>
      </c>
      <c r="Y81" s="15">
        <f>P174</f>
        <v>0</v>
      </c>
      <c r="Z81" s="61" t="s">
        <v>245</v>
      </c>
      <c r="AA81" s="60" t="str" cm="1">
        <f t="array" ref="AA81">IF(OR(Y81=0,Y81=""),"",IF(VLOOKUP(Z81,$AI$1:$AJ$58,2,FALSE)&gt;=Y81,INDEX(tblDisciplines[Name],MATCH(1,(tblDisciplines[Discipline]=Z81)*(tblDisciplines[Rank]=Y81),0)),""))</f>
        <v/>
      </c>
    </row>
    <row r="82" spans="1:27">
      <c r="A82" s="1" t="s">
        <v>81</v>
      </c>
      <c r="B82" t="str">
        <f t="shared" si="10"/>
        <v/>
      </c>
      <c r="D82" s="55" t="s">
        <v>1578</v>
      </c>
      <c r="E82" s="15" t="s">
        <v>117</v>
      </c>
      <c r="F82" s="3" t="s">
        <v>1590</v>
      </c>
      <c r="G82" s="3"/>
      <c r="H82" s="67" t="str">
        <f>_xlfn.IFNA(IF(VLOOKUP(F82,tblMerits[],6,FALSE)=0,"None",VLOOKUP(F82,tblMerits[],6,FALSE)),"None")</f>
        <v>Resolve 3</v>
      </c>
      <c r="I82" s="67"/>
      <c r="L82" s="4"/>
      <c r="M82" s="4">
        <v>2</v>
      </c>
      <c r="N82" s="4"/>
      <c r="O82" s="61">
        <f t="shared" si="15"/>
        <v>0</v>
      </c>
      <c r="P82" s="60">
        <f t="shared" si="14"/>
        <v>2</v>
      </c>
      <c r="Q82" s="61">
        <f>_xlfn.IFNA(VLOOKUP($F82,tblMerits[],3,FALSE),"")</f>
        <v>2</v>
      </c>
      <c r="R82" s="61">
        <f>_xlfn.IFNA(VLOOKUP($F82,tblMerits[],4,FALSE),"")</f>
        <v>2</v>
      </c>
      <c r="Y82" s="61" t="s">
        <v>1472</v>
      </c>
      <c r="Z82" s="19"/>
      <c r="AA82" s="60" t="str">
        <f>IF(P177="","",F177)</f>
        <v>City Attunement</v>
      </c>
    </row>
    <row r="83" spans="1:27">
      <c r="A83" s="1" t="s">
        <v>82</v>
      </c>
      <c r="B83" t="str">
        <f t="shared" si="10"/>
        <v/>
      </c>
      <c r="D83" s="19"/>
      <c r="E83" s="15" t="s">
        <v>118</v>
      </c>
      <c r="F83" s="3"/>
      <c r="G83" s="3"/>
      <c r="H83" s="67" t="str">
        <f>_xlfn.IFNA(IF(VLOOKUP(F83,tblMerits[],6,FALSE)=0,"None",VLOOKUP(F83,tblMerits[],6,FALSE)),"None")</f>
        <v>None</v>
      </c>
      <c r="I83" s="67"/>
      <c r="L83" s="4"/>
      <c r="M83" s="4"/>
      <c r="N83" s="4"/>
      <c r="O83" s="61">
        <f t="shared" si="15"/>
        <v>0</v>
      </c>
      <c r="P83" s="60">
        <f t="shared" si="14"/>
        <v>0</v>
      </c>
      <c r="Q83" s="61" t="str">
        <f>_xlfn.IFNA(VLOOKUP($F83,tblMerits[],3,FALSE),"")</f>
        <v/>
      </c>
      <c r="R83" s="61" t="str">
        <f>_xlfn.IFNA(VLOOKUP($F83,tblMerits[],4,FALSE),"")</f>
        <v/>
      </c>
      <c r="Y83" s="61" t="s">
        <v>1472</v>
      </c>
      <c r="Z83" s="19"/>
      <c r="AA83" s="60" t="str">
        <f>IF(P178="","",F178)</f>
        <v>Incriminating Evidence</v>
      </c>
    </row>
    <row r="84" spans="1:27">
      <c r="A84" s="1" t="s">
        <v>83</v>
      </c>
      <c r="B84">
        <f>P124</f>
        <v>1</v>
      </c>
      <c r="D84" s="19"/>
      <c r="E84" s="15" t="s">
        <v>119</v>
      </c>
      <c r="F84" s="3"/>
      <c r="G84" s="3"/>
      <c r="H84" s="67" t="str">
        <f>_xlfn.IFNA(IF(VLOOKUP(F84,tblMerits[],6,FALSE)=0,"None",VLOOKUP(F84,tblMerits[],6,FALSE)),"None")</f>
        <v>None</v>
      </c>
      <c r="I84" s="67"/>
      <c r="L84" s="4"/>
      <c r="M84" s="4"/>
      <c r="N84" s="4"/>
      <c r="O84" s="61">
        <f t="shared" si="15"/>
        <v>0</v>
      </c>
      <c r="P84" s="60">
        <f t="shared" si="14"/>
        <v>0</v>
      </c>
      <c r="Q84" s="61" t="str">
        <f>_xlfn.IFNA(VLOOKUP($F84,tblMerits[],3,FALSE),"")</f>
        <v/>
      </c>
      <c r="R84" s="61" t="str">
        <f>_xlfn.IFNA(VLOOKUP($F84,tblMerits[],4,FALSE),"")</f>
        <v/>
      </c>
      <c r="Y84" s="61" t="s">
        <v>1472</v>
      </c>
      <c r="Z84" s="19"/>
      <c r="AA84" s="60" t="str">
        <f>IF(P179="","",F179)</f>
        <v>Our Mother's Mind</v>
      </c>
    </row>
    <row r="85" spans="1:27">
      <c r="A85" s="1" t="s">
        <v>84</v>
      </c>
      <c r="B85">
        <f>P125</f>
        <v>1</v>
      </c>
      <c r="D85" s="19"/>
      <c r="E85" s="15" t="s">
        <v>120</v>
      </c>
      <c r="F85" s="3"/>
      <c r="G85" s="3"/>
      <c r="H85" s="67" t="str">
        <f>_xlfn.IFNA(IF(VLOOKUP(F85,tblMerits[],6,FALSE)=0,"None",VLOOKUP(F85,tblMerits[],6,FALSE)),"None")</f>
        <v>None</v>
      </c>
      <c r="I85" s="67"/>
      <c r="L85" s="4"/>
      <c r="M85" s="4"/>
      <c r="N85" s="4"/>
      <c r="O85" s="61">
        <f t="shared" si="15"/>
        <v>0</v>
      </c>
      <c r="P85" s="60">
        <f t="shared" si="14"/>
        <v>0</v>
      </c>
      <c r="Q85" s="61" t="str">
        <f>_xlfn.IFNA(VLOOKUP($F85,tblMerits[],3,FALSE),"")</f>
        <v/>
      </c>
      <c r="R85" s="61" t="str">
        <f>_xlfn.IFNA(VLOOKUP($F85,tblMerits[],4,FALSE),"")</f>
        <v/>
      </c>
      <c r="Y85" s="61" t="s">
        <v>1472</v>
      </c>
      <c r="Z85" s="19"/>
      <c r="AA85" s="60" t="str">
        <f>IF(P180="","",F180)</f>
        <v/>
      </c>
    </row>
    <row r="86" spans="1:27">
      <c r="A86" s="1" t="s">
        <v>85</v>
      </c>
      <c r="B86">
        <f>P126</f>
        <v>1</v>
      </c>
      <c r="D86" s="19"/>
      <c r="E86" s="15" t="s">
        <v>121</v>
      </c>
      <c r="F86" s="3"/>
      <c r="G86" s="3"/>
      <c r="H86" s="67" t="str">
        <f>_xlfn.IFNA(IF(VLOOKUP(F86,tblMerits[],6,FALSE)=0,"None",VLOOKUP(F86,tblMerits[],6,FALSE)),"None")</f>
        <v>None</v>
      </c>
      <c r="I86" s="67"/>
      <c r="L86" s="4"/>
      <c r="M86" s="4"/>
      <c r="N86" s="4"/>
      <c r="O86" s="61">
        <f t="shared" si="15"/>
        <v>0</v>
      </c>
      <c r="P86" s="60">
        <f t="shared" si="14"/>
        <v>0</v>
      </c>
      <c r="Q86" s="61" t="str">
        <f>_xlfn.IFNA(VLOOKUP($F86,tblMerits[],3,FALSE),"")</f>
        <v/>
      </c>
      <c r="R86" s="61" t="str">
        <f>_xlfn.IFNA(VLOOKUP($F86,tblMerits[],4,FALSE),"")</f>
        <v/>
      </c>
      <c r="Y86" s="61" t="s">
        <v>1472</v>
      </c>
      <c r="Z86" s="19"/>
      <c r="AA86" s="60" t="str">
        <f>IF(P181="","",F181)</f>
        <v/>
      </c>
    </row>
    <row r="87" spans="1:27">
      <c r="A87" s="1" t="s">
        <v>86</v>
      </c>
      <c r="B87" t="str">
        <f>IF(F126="","¬",F126)</f>
        <v>Crone</v>
      </c>
      <c r="D87" s="19"/>
      <c r="E87" s="15" t="s">
        <v>122</v>
      </c>
      <c r="F87" s="3"/>
      <c r="G87" s="3"/>
      <c r="H87" s="67" t="str">
        <f>_xlfn.IFNA(IF(VLOOKUP(F87,tblMerits[],6,FALSE)=0,"None",VLOOKUP(F87,tblMerits[],6,FALSE)),"None")</f>
        <v>None</v>
      </c>
      <c r="I87" s="67"/>
      <c r="L87" s="4"/>
      <c r="M87" s="4"/>
      <c r="N87" s="4"/>
      <c r="O87" s="61">
        <f t="shared" si="15"/>
        <v>0</v>
      </c>
      <c r="P87" s="60">
        <f t="shared" si="14"/>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Creation 1</v>
      </c>
    </row>
    <row r="88" spans="1:27">
      <c r="A88" s="1" t="s">
        <v>87</v>
      </c>
      <c r="B88" t="str">
        <f>REPT("●",P126)</f>
        <v>●</v>
      </c>
      <c r="D88" s="19"/>
      <c r="E88" s="15" t="s">
        <v>123</v>
      </c>
      <c r="F88" s="3"/>
      <c r="G88" s="3"/>
      <c r="H88" s="67" t="str">
        <f>_xlfn.IFNA(IF(VLOOKUP(F88,tblMerits[],6,FALSE)=0,"None",VLOOKUP(F88,tblMerits[],6,FALSE)),"None")</f>
        <v>None</v>
      </c>
      <c r="I88" s="67"/>
      <c r="L88" s="4"/>
      <c r="M88" s="4"/>
      <c r="N88" s="4"/>
      <c r="O88" s="61">
        <f t="shared" si="15"/>
        <v>0</v>
      </c>
      <c r="P88" s="60">
        <f t="shared" si="14"/>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Carthian</v>
      </c>
      <c r="D89" s="19"/>
      <c r="E89" s="15" t="s">
        <v>124</v>
      </c>
      <c r="F89" s="3"/>
      <c r="G89" s="3"/>
      <c r="H89" s="67" t="str">
        <f>_xlfn.IFNA(IF(VLOOKUP(F89,tblMerits[],6,FALSE)=0,"None",VLOOKUP(F89,tblMerits[],6,FALSE)),"None")</f>
        <v>None</v>
      </c>
      <c r="I89" s="67"/>
      <c r="L89" s="4"/>
      <c r="M89" s="4"/>
      <c r="N89" s="4"/>
      <c r="O89" s="61">
        <f t="shared" si="15"/>
        <v>0</v>
      </c>
      <c r="P89" s="60">
        <f t="shared" si="14"/>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_xlfn.IFNA(IF(VLOOKUP(F90,tblMerits[],6,FALSE)=0,"None",VLOOKUP(F90,tblMerits[],6,FALSE)),"None")</f>
        <v>None</v>
      </c>
      <c r="I90" s="67"/>
      <c r="L90" s="4"/>
      <c r="M90" s="4"/>
      <c r="N90" s="4"/>
      <c r="O90" s="61">
        <f t="shared" si="15"/>
        <v>0</v>
      </c>
      <c r="P90" s="60">
        <f t="shared" si="14"/>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Invictus</v>
      </c>
      <c r="D91" s="19"/>
      <c r="E91" s="15" t="s">
        <v>126</v>
      </c>
      <c r="F91" s="3"/>
      <c r="G91" s="3"/>
      <c r="H91" s="67" t="str">
        <f>_xlfn.IFNA(IF(VLOOKUP(F91,tblMerits[],6,FALSE)=0,"None",VLOOKUP(F91,tblMerits[],6,FALSE)),"None")</f>
        <v>None</v>
      </c>
      <c r="I91" s="67"/>
      <c r="L91" s="4"/>
      <c r="M91" s="4"/>
      <c r="N91" s="4"/>
      <c r="O91" s="61">
        <f t="shared" si="15"/>
        <v>0</v>
      </c>
      <c r="P91" s="60">
        <f t="shared" si="14"/>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5"/>
        <v>0</v>
      </c>
      <c r="P92" s="60">
        <f t="shared" si="14"/>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Lance</v>
      </c>
      <c r="D93" s="19"/>
      <c r="E93" s="15" t="s">
        <v>128</v>
      </c>
      <c r="F93" s="3"/>
      <c r="G93" s="3"/>
      <c r="H93" s="67" t="str">
        <f>_xlfn.IFNA(IF(VLOOKUP(F93,tblMerits[],6,FALSE)=0,"None",VLOOKUP(F93,tblMerits[],6,FALSE)),"None")</f>
        <v>None</v>
      </c>
      <c r="I93" s="67"/>
      <c r="L93" s="4"/>
      <c r="M93" s="4"/>
      <c r="N93" s="4"/>
      <c r="O93" s="61">
        <f t="shared" si="15"/>
        <v>0</v>
      </c>
      <c r="P93" s="60">
        <f t="shared" si="14"/>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5"/>
        <v>0</v>
      </c>
      <c r="P94" s="60">
        <f t="shared" si="14"/>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5"/>
        <v>0</v>
      </c>
      <c r="P95" s="60">
        <f t="shared" si="14"/>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5"/>
        <v>0</v>
      </c>
      <c r="P96" s="60">
        <f t="shared" si="14"/>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5"/>
        <v>0</v>
      </c>
      <c r="P97" s="60">
        <f t="shared" si="14"/>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Divination 1</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5"/>
        <v>0</v>
      </c>
      <c r="P98" s="60">
        <f t="shared" si="14"/>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The Ashen Path</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55" t="s">
        <v>1574</v>
      </c>
      <c r="E101" s="15" t="s">
        <v>1439</v>
      </c>
      <c r="F101" s="3" t="s">
        <v>1718</v>
      </c>
      <c r="G101" s="60" t="str">
        <f>IFERROR(VLOOKUP(F101,tblManoeuvre[#Data],2,FALSE)&amp;" "&amp;VLOOKUP(F101,tblManoeuvre[#Data],3,FALSE),"")</f>
        <v>Powered Projectile 1</v>
      </c>
      <c r="H101" s="67" t="str">
        <f>IFERROR(IF(VLOOKUP(F101,tblManoeuvre[],8,FALSE)=0,"None",VLOOKUP(F101,tblManoeuvre[],8,FALSE)),"None")</f>
        <v>Dex 3, Athletics 2, Firearms 2</v>
      </c>
      <c r="I101" s="67"/>
      <c r="L101" s="4"/>
      <c r="M101" s="4">
        <v>1</v>
      </c>
      <c r="N101" s="4"/>
      <c r="O101" s="61">
        <f t="shared" ref="O101:O120" si="16">N101</f>
        <v>0</v>
      </c>
      <c r="P101" s="60">
        <f t="shared" ref="P101:P120" si="17">MIN(SUM(L101,M101,O101),R101)</f>
        <v>1</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
      </c>
      <c r="D102" s="55" t="s">
        <v>1576</v>
      </c>
      <c r="E102" s="15" t="s">
        <v>1441</v>
      </c>
      <c r="F102" s="3" t="s">
        <v>1719</v>
      </c>
      <c r="G102" s="60" t="str">
        <f>IFERROR(VLOOKUP(F102,tblManoeuvre[#Data],2,FALSE)&amp;" "&amp;VLOOKUP(F102,tblManoeuvre[#Data],3,FALSE),"")</f>
        <v>Powered Projectile 2</v>
      </c>
      <c r="H102" s="67" t="str">
        <f>IFERROR(IF(VLOOKUP(F102,tblManoeuvre[],8,FALSE)=0,"None",VLOOKUP(F102,tblManoeuvre[],8,FALSE)),"None")</f>
        <v>Dex 3, Athletics 2, Firearms 2</v>
      </c>
      <c r="I102" s="67"/>
      <c r="L102" s="4"/>
      <c r="M102" s="4">
        <v>1</v>
      </c>
      <c r="N102" s="4"/>
      <c r="O102" s="61">
        <f t="shared" si="16"/>
        <v>0</v>
      </c>
      <c r="P102" s="60">
        <f t="shared" si="17"/>
        <v>1</v>
      </c>
      <c r="Q102" s="61">
        <v>1</v>
      </c>
      <c r="R102" s="61">
        <v>1</v>
      </c>
      <c r="Y102" s="15">
        <v>1</v>
      </c>
      <c r="Z102" s="61" t="s">
        <v>251</v>
      </c>
      <c r="AA102" s="60" t="str" cm="1">
        <f t="array" ref="AA102">IF(VLOOKUP(Z102,$AI$1:$AJ$58,2,FALSE)&gt;=Y102,INDEX(tblDisciplines[Name],MATCH(1,(tblDisciplines[Discipline]=Z102)*(tblDisciplines[Rank]=Y102),0)),"")</f>
        <v>Protection 1</v>
      </c>
    </row>
    <row r="103" spans="1:27">
      <c r="A103" s="1" t="s">
        <v>102</v>
      </c>
      <c r="B103">
        <f>P73</f>
        <v>5</v>
      </c>
      <c r="D103" s="55" t="s">
        <v>1576</v>
      </c>
      <c r="E103" s="15" t="s">
        <v>1443</v>
      </c>
      <c r="F103" s="3" t="s">
        <v>1720</v>
      </c>
      <c r="G103" s="60" t="str">
        <f>IFERROR(VLOOKUP(F103,tblManoeuvre[#Data],2,FALSE)&amp;" "&amp;VLOOKUP(F103,tblManoeuvre[#Data],3,FALSE),"")</f>
        <v>Powered Projectile 3</v>
      </c>
      <c r="H103" s="67" t="str">
        <f>IFERROR(IF(VLOOKUP(F103,tblManoeuvre[],8,FALSE)=0,"None",VLOOKUP(F103,tblManoeuvre[],8,FALSE)),"None")</f>
        <v>Dex 3, Athletics 2, Firearms 2</v>
      </c>
      <c r="I103" s="67"/>
      <c r="L103" s="4"/>
      <c r="M103" s="4">
        <v>1</v>
      </c>
      <c r="N103" s="4"/>
      <c r="O103" s="61">
        <f t="shared" si="16"/>
        <v>0</v>
      </c>
      <c r="P103" s="60">
        <f t="shared" si="17"/>
        <v>1</v>
      </c>
      <c r="Q103" s="61">
        <v>1</v>
      </c>
      <c r="R103" s="61">
        <v>1</v>
      </c>
      <c r="Y103" s="15">
        <v>2</v>
      </c>
      <c r="Z103" s="61" t="s">
        <v>251</v>
      </c>
      <c r="AA103" s="60" t="str" cm="1">
        <f t="array" ref="AA103">IF(VLOOKUP(Z103,$AI$1:$AJ$58,2,FALSE)&gt;=Y103,INDEX(tblDisciplines[Name],MATCH(1,(tblDisciplines[Discipline]=Z103)*(tblDisciplines[Rank]=Y103),0)),"")</f>
        <v>Protection 2</v>
      </c>
    </row>
    <row r="104" spans="1:27">
      <c r="A104" s="1" t="s">
        <v>103</v>
      </c>
      <c r="B104" t="str">
        <f>_xlfn.IFNA(VLOOKUP(P73,tblHumanity[#Data],2,FALSE),"")</f>
        <v>~</v>
      </c>
      <c r="D104" s="55" t="s">
        <v>1576</v>
      </c>
      <c r="E104" s="15" t="s">
        <v>1447</v>
      </c>
      <c r="F104" s="3" t="s">
        <v>1721</v>
      </c>
      <c r="G104" s="60" t="str">
        <f>IFERROR(VLOOKUP(F104,tblManoeuvre[#Data],2,FALSE)&amp;" "&amp;VLOOKUP(F104,tblManoeuvre[#Data],3,FALSE),"")</f>
        <v>Powered Projectile 4</v>
      </c>
      <c r="H104" s="67" t="str">
        <f>IFERROR(IF(VLOOKUP(F104,tblManoeuvre[],8,FALSE)=0,"None",VLOOKUP(F104,tblManoeuvre[],8,FALSE)),"None")</f>
        <v>Dex 3, Athletics 2, Firearms 2</v>
      </c>
      <c r="I104" s="67"/>
      <c r="L104" s="4"/>
      <c r="M104" s="4">
        <v>1</v>
      </c>
      <c r="N104" s="4"/>
      <c r="O104" s="61">
        <f t="shared" si="16"/>
        <v>0</v>
      </c>
      <c r="P104" s="60">
        <f t="shared" si="17"/>
        <v>1</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55" t="s">
        <v>1722</v>
      </c>
      <c r="E105" s="15" t="s">
        <v>1449</v>
      </c>
      <c r="F105" s="3" t="s">
        <v>1723</v>
      </c>
      <c r="G105" s="60" t="str">
        <f>IFERROR(VLOOKUP(F105,tblManoeuvre[#Data],2,FALSE)&amp;" "&amp;VLOOKUP(F105,tblManoeuvre[#Data],3,FALSE),"")</f>
        <v>K-9 1</v>
      </c>
      <c r="H105" s="67" t="str">
        <f>IFERROR(IF(VLOOKUP(F105,tblManoeuvre[],8,FALSE)=0,"None",VLOOKUP(F105,tblManoeuvre[],8,FALSE)),"None")</f>
        <v>Wits 3, Animal Ken 3, Bonded Condition</v>
      </c>
      <c r="I105" s="67"/>
      <c r="L105" s="4">
        <v>1</v>
      </c>
      <c r="M105" s="4"/>
      <c r="N105" s="4"/>
      <c r="O105" s="61">
        <f t="shared" si="16"/>
        <v>0</v>
      </c>
      <c r="P105" s="60">
        <f t="shared" si="17"/>
        <v>1</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t="s">
        <v>1724</v>
      </c>
      <c r="G106" s="60" t="str">
        <f>IFERROR(VLOOKUP(F106,tblManoeuvre[#Data],2,FALSE)&amp;" "&amp;VLOOKUP(F106,tblManoeuvre[#Data],3,FALSE),"")</f>
        <v>K-9 2</v>
      </c>
      <c r="H106" s="67" t="str">
        <f>IFERROR(IF(VLOOKUP(F106,tblManoeuvre[],8,FALSE)=0,"None",VLOOKUP(F106,tblManoeuvre[],8,FALSE)),"None")</f>
        <v>Wits 3, Animal Ken 3, Bonded Condition</v>
      </c>
      <c r="I106" s="67"/>
      <c r="L106" s="4">
        <v>1</v>
      </c>
      <c r="M106" s="4"/>
      <c r="N106" s="4"/>
      <c r="O106" s="61">
        <f t="shared" si="16"/>
        <v>0</v>
      </c>
      <c r="P106" s="60">
        <f t="shared" si="17"/>
        <v>1</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t="s">
        <v>1725</v>
      </c>
      <c r="G107" s="60" t="str">
        <f>IFERROR(VLOOKUP(F107,tblManoeuvre[#Data],2,FALSE)&amp;" "&amp;VLOOKUP(F107,tblManoeuvre[#Data],3,FALSE),"")</f>
        <v>K-9 3</v>
      </c>
      <c r="H107" s="67" t="str">
        <f>IFERROR(IF(VLOOKUP(F107,tblManoeuvre[],8,FALSE)=0,"None",VLOOKUP(F107,tblManoeuvre[],8,FALSE)),"None")</f>
        <v>Wits 3, Animal Ken 3, Bonded Condition</v>
      </c>
      <c r="I107" s="67"/>
      <c r="L107" s="4">
        <v>1</v>
      </c>
      <c r="M107" s="4"/>
      <c r="N107" s="4"/>
      <c r="O107" s="61">
        <f t="shared" si="16"/>
        <v>0</v>
      </c>
      <c r="P107" s="60">
        <f t="shared" si="17"/>
        <v>1</v>
      </c>
      <c r="Q107" s="61">
        <v>1</v>
      </c>
      <c r="R107" s="61">
        <v>1</v>
      </c>
      <c r="Y107" s="15">
        <v>1</v>
      </c>
      <c r="Z107" s="61" t="s">
        <v>252</v>
      </c>
      <c r="AA107" s="60" t="str" cm="1">
        <f t="array" ref="AA107">IF(VLOOKUP(Z107,$AI$1:$AJ$58,2,FALSE)&gt;=Y107,INDEX(tblDisciplines[Name],MATCH(1,(tblDisciplines[Discipline]=Z107)*(tblDisciplines[Rank]=Y107),0)),"")</f>
        <v/>
      </c>
    </row>
    <row r="108" spans="1:27">
      <c r="A108" s="1" t="s">
        <v>107</v>
      </c>
      <c r="B108" t="str">
        <f>IF($P$73&gt;=7,"●","○") &amp; IF(F226&lt;&gt;""," (" &amp; F226 &amp; ")","")</f>
        <v>○</v>
      </c>
      <c r="D108" s="19"/>
      <c r="E108" s="15" t="s">
        <v>1452</v>
      </c>
      <c r="F108" s="3" t="s">
        <v>1726</v>
      </c>
      <c r="G108" s="60" t="str">
        <f>IFERROR(VLOOKUP(F108,tblManoeuvre[#Data],2,FALSE)&amp;" "&amp;VLOOKUP(F108,tblManoeuvre[#Data],3,FALSE),"")</f>
        <v>K-9 4</v>
      </c>
      <c r="H108" s="67" t="str">
        <f>IFERROR(IF(VLOOKUP(F108,tblManoeuvre[],8,FALSE)=0,"None",VLOOKUP(F108,tblManoeuvre[],8,FALSE)),"None")</f>
        <v>Wits 3, Animal Ken 3, Bonded Condition</v>
      </c>
      <c r="I108" s="67"/>
      <c r="L108" s="4"/>
      <c r="M108" s="4"/>
      <c r="N108" s="4"/>
      <c r="O108" s="61">
        <f t="shared" si="16"/>
        <v>0</v>
      </c>
      <c r="P108" s="60">
        <f t="shared" si="17"/>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 (Lady Di)</v>
      </c>
      <c r="D109" s="19"/>
      <c r="E109" s="15" t="s">
        <v>1454</v>
      </c>
      <c r="F109" s="3" t="s">
        <v>1727</v>
      </c>
      <c r="G109" s="60" t="str">
        <f>IFERROR(VLOOKUP(F109,tblManoeuvre[#Data],2,FALSE)&amp;" "&amp;VLOOKUP(F109,tblManoeuvre[#Data],3,FALSE),"")</f>
        <v>Falconry 1</v>
      </c>
      <c r="H109" s="67" t="str">
        <f>IFERROR(IF(VLOOKUP(F109,tblManoeuvre[],8,FALSE)=0,"None",VLOOKUP(F109,tblManoeuvre[],8,FALSE)),"None")</f>
        <v>Wits 3, Animal Ken 3, Bonded Condition</v>
      </c>
      <c r="I109" s="67"/>
      <c r="L109" s="4">
        <v>1</v>
      </c>
      <c r="M109" s="4"/>
      <c r="N109" s="4"/>
      <c r="O109" s="61">
        <f t="shared" si="16"/>
        <v>0</v>
      </c>
      <c r="P109" s="60">
        <f t="shared" si="17"/>
        <v>1</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v>
      </c>
      <c r="D110" s="19"/>
      <c r="E110" s="15" t="s">
        <v>1455</v>
      </c>
      <c r="F110" s="3" t="s">
        <v>1728</v>
      </c>
      <c r="G110" s="60" t="str">
        <f>IFERROR(VLOOKUP(F110,tblManoeuvre[#Data],2,FALSE)&amp;" "&amp;VLOOKUP(F110,tblManoeuvre[#Data],3,FALSE),"")</f>
        <v>Falconry 2</v>
      </c>
      <c r="H110" s="67" t="str">
        <f>IFERROR(IF(VLOOKUP(F110,tblManoeuvre[],8,FALSE)=0,"None",VLOOKUP(F110,tblManoeuvre[],8,FALSE)),"None")</f>
        <v>Wits 3, Animal Ken 3, Bonded Condition</v>
      </c>
      <c r="I110" s="67"/>
      <c r="L110" s="4">
        <v>1</v>
      </c>
      <c r="M110" s="4"/>
      <c r="N110" s="4"/>
      <c r="O110" s="61">
        <f t="shared" si="16"/>
        <v>0</v>
      </c>
      <c r="P110" s="60">
        <f t="shared" si="17"/>
        <v>1</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t="s">
        <v>1729</v>
      </c>
      <c r="G111" s="60" t="str">
        <f>IFERROR(VLOOKUP(F111,tblManoeuvre[#Data],2,FALSE)&amp;" "&amp;VLOOKUP(F111,tblManoeuvre[#Data],3,FALSE),"")</f>
        <v>Falconry 4</v>
      </c>
      <c r="H111" s="67" t="str">
        <f>IFERROR(IF(VLOOKUP(F111,tblManoeuvre[],8,FALSE)=0,"None",VLOOKUP(F111,tblManoeuvre[],8,FALSE)),"None")</f>
        <v>Wits 3, Animal Ken 3, Bonded Condition</v>
      </c>
      <c r="I111" s="67"/>
      <c r="L111" s="4"/>
      <c r="M111" s="4"/>
      <c r="N111" s="4"/>
      <c r="O111" s="61">
        <f t="shared" si="16"/>
        <v>0</v>
      </c>
      <c r="P111" s="60">
        <f t="shared" si="17"/>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t="s">
        <v>1730</v>
      </c>
      <c r="G112" s="60" t="str">
        <f>IFERROR(VLOOKUP(F112,tblManoeuvre[#Data],2,FALSE)&amp;" "&amp;VLOOKUP(F112,tblManoeuvre[#Data],3,FALSE),"")</f>
        <v>Falconry 3</v>
      </c>
      <c r="H112" s="67" t="str">
        <f>IFERROR(IF(VLOOKUP(F112,tblManoeuvre[],8,FALSE)=0,"None",VLOOKUP(F112,tblManoeuvre[],8,FALSE)),"None")</f>
        <v>Wits 3, Animal Ken 3, Bonded Condition</v>
      </c>
      <c r="I112" s="67"/>
      <c r="L112" s="4"/>
      <c r="M112" s="4"/>
      <c r="N112" s="4"/>
      <c r="O112" s="61">
        <f t="shared" si="16"/>
        <v>0</v>
      </c>
      <c r="P112" s="60">
        <f t="shared" si="17"/>
        <v>0</v>
      </c>
      <c r="Q112" s="61">
        <v>1</v>
      </c>
      <c r="R112" s="61">
        <v>1</v>
      </c>
      <c r="Y112" s="61" t="s">
        <v>1474</v>
      </c>
      <c r="Z112" s="61" t="str">
        <f t="shared" ref="Z112:Z121" si="18">G194</f>
        <v>Cruac</v>
      </c>
      <c r="AA112" s="60" t="str">
        <f t="shared" ref="AA112:AA121" si="19">IF(P194="","",F194)</f>
        <v>Blood Witness</v>
      </c>
    </row>
    <row r="113" spans="1:27">
      <c r="A113" s="1" t="s">
        <v>112</v>
      </c>
      <c r="B113" t="str">
        <f>IF($P$73&gt;=2,"●","○") &amp; IF(F231&lt;&gt;""," (" &amp; F231 &amp; ")","")</f>
        <v>●</v>
      </c>
      <c r="D113" s="19"/>
      <c r="E113" s="15" t="s">
        <v>1458</v>
      </c>
      <c r="F113" s="3"/>
      <c r="G113" s="60" t="str">
        <f>IFERROR(VLOOKUP(F113,tblManoeuvre[#Data],2,FALSE)&amp;" "&amp;VLOOKUP(F113,tblManoeuvre[#Data],3,FALSE),"")</f>
        <v/>
      </c>
      <c r="H113" s="67" t="str">
        <f>IFERROR(IF(VLOOKUP(F113,tblManoeuvre[],8,FALSE)=0,"None",VLOOKUP(F113,tblManoeuvre[],8,FALSE)),"None")</f>
        <v>None</v>
      </c>
      <c r="I113" s="67"/>
      <c r="L113" s="4"/>
      <c r="M113" s="4"/>
      <c r="N113" s="4"/>
      <c r="O113" s="61">
        <f t="shared" si="16"/>
        <v>0</v>
      </c>
      <c r="P113" s="60">
        <f t="shared" si="17"/>
        <v>0</v>
      </c>
      <c r="Q113" s="61">
        <v>1</v>
      </c>
      <c r="R113" s="61">
        <v>1</v>
      </c>
      <c r="Y113" s="61" t="s">
        <v>1474</v>
      </c>
      <c r="Z113" s="61" t="str">
        <f t="shared" si="18"/>
        <v>Cruac</v>
      </c>
      <c r="AA113" s="60" t="str">
        <f t="shared" si="19"/>
        <v>Shed the Virulent Bowels</v>
      </c>
    </row>
    <row r="114" spans="1:27">
      <c r="A114" s="1" t="s">
        <v>113</v>
      </c>
      <c r="B114" t="str">
        <f>IF($P$73&gt;=1,"●","○") &amp; IF(F232&lt;&gt;""," (" &amp; F232 &amp; ")","")</f>
        <v>●</v>
      </c>
      <c r="D114" s="19"/>
      <c r="E114" s="15" t="s">
        <v>1460</v>
      </c>
      <c r="F114" s="3"/>
      <c r="G114" s="60" t="str">
        <f>IFERROR(VLOOKUP(F114,tblManoeuvre[#Data],2,FALSE)&amp;" "&amp;VLOOKUP(F114,tblManoeuvre[#Data],3,FALSE),"")</f>
        <v/>
      </c>
      <c r="H114" s="67" t="str">
        <f>IFERROR(IF(VLOOKUP(F114,tblManoeuvre[],8,FALSE)=0,"None",VLOOKUP(F114,tblManoeuvre[],8,FALSE)),"None")</f>
        <v>None</v>
      </c>
      <c r="I114" s="67"/>
      <c r="L114" s="4"/>
      <c r="M114" s="4"/>
      <c r="N114" s="4"/>
      <c r="O114" s="61">
        <f t="shared" si="16"/>
        <v>0</v>
      </c>
      <c r="P114" s="60">
        <f t="shared" si="17"/>
        <v>0</v>
      </c>
      <c r="Q114" s="61">
        <v>1</v>
      </c>
      <c r="R114" s="61">
        <v>1</v>
      </c>
      <c r="Y114" s="61" t="s">
        <v>1474</v>
      </c>
      <c r="Z114" s="61" t="str">
        <f t="shared" si="18"/>
        <v/>
      </c>
      <c r="AA114" s="60" t="str">
        <f t="shared" si="19"/>
        <v/>
      </c>
    </row>
    <row r="115" spans="1:27">
      <c r="A115" s="1" t="s">
        <v>114</v>
      </c>
      <c r="B115" t="str">
        <f t="shared" ref="B115:B144" si="20">IF(AD2="","¬",AD2)</f>
        <v>Indomitable ●●</v>
      </c>
      <c r="D115" s="19"/>
      <c r="E115" s="15" t="s">
        <v>1461</v>
      </c>
      <c r="F115" s="3"/>
      <c r="G115" s="60" t="str">
        <f>IFERROR(VLOOKUP(F115,tblManoeuvre[#Data],2,FALSE)&amp;" "&amp;VLOOKUP(F115,tblManoeuvre[#Data],3,FALSE),"")</f>
        <v/>
      </c>
      <c r="H115" s="67" t="str">
        <f>IFERROR(IF(VLOOKUP(F115,tblManoeuvre[],8,FALSE)=0,"None",VLOOKUP(F115,tblManoeuvre[],8,FALSE)),"None")</f>
        <v>None</v>
      </c>
      <c r="I115" s="67"/>
      <c r="L115" s="4"/>
      <c r="M115" s="4"/>
      <c r="N115" s="4"/>
      <c r="O115" s="61">
        <f t="shared" si="16"/>
        <v>0</v>
      </c>
      <c r="P115" s="60">
        <f t="shared" si="17"/>
        <v>0</v>
      </c>
      <c r="Q115" s="61">
        <v>1</v>
      </c>
      <c r="R115" s="61">
        <v>1</v>
      </c>
      <c r="Y115" s="61" t="s">
        <v>1474</v>
      </c>
      <c r="Z115" s="61" t="str">
        <f t="shared" si="18"/>
        <v/>
      </c>
      <c r="AA115" s="60" t="str">
        <f t="shared" si="19"/>
        <v/>
      </c>
    </row>
    <row r="116" spans="1:27">
      <c r="A116" s="1" t="s">
        <v>115</v>
      </c>
      <c r="B116" t="str">
        <f t="shared" si="20"/>
        <v>Mandragora Garden (Shared (Keeper)) ●●●</v>
      </c>
      <c r="D116" s="19"/>
      <c r="E116" s="15" t="s">
        <v>1462</v>
      </c>
      <c r="F116" s="3"/>
      <c r="G116" s="60" t="str">
        <f>IFERROR(VLOOKUP(F116,tblManoeuvre[#Data],2,FALSE)&amp;" "&amp;VLOOKUP(F116,tblManoeuvre[#Data],3,FALSE),"")</f>
        <v/>
      </c>
      <c r="H116" s="67" t="str">
        <f>IFERROR(IF(VLOOKUP(F116,tblManoeuvre[],8,FALSE)=0,"None",VLOOKUP(F116,tblManoeuvre[],8,FALSE)),"None")</f>
        <v>None</v>
      </c>
      <c r="I116" s="67"/>
      <c r="L116" s="4"/>
      <c r="M116" s="4"/>
      <c r="N116" s="4"/>
      <c r="O116" s="61">
        <f t="shared" si="16"/>
        <v>0</v>
      </c>
      <c r="P116" s="60">
        <f t="shared" si="17"/>
        <v>0</v>
      </c>
      <c r="Q116" s="61">
        <v>1</v>
      </c>
      <c r="R116" s="61">
        <v>1</v>
      </c>
      <c r="Y116" s="61" t="s">
        <v>1474</v>
      </c>
      <c r="Z116" s="61" t="str">
        <f t="shared" si="18"/>
        <v/>
      </c>
      <c r="AA116" s="60" t="str">
        <f t="shared" si="19"/>
        <v/>
      </c>
    </row>
    <row r="117" spans="1:27">
      <c r="A117" s="1" t="s">
        <v>116</v>
      </c>
      <c r="B117" t="str">
        <f t="shared" si="20"/>
        <v>Opening the Void ●●</v>
      </c>
      <c r="D117" s="19"/>
      <c r="E117" s="15" t="s">
        <v>1463</v>
      </c>
      <c r="F117" s="3"/>
      <c r="G117" s="60" t="str">
        <f>IFERROR(VLOOKUP(F117,tblManoeuvre[#Data],2,FALSE)&amp;" "&amp;VLOOKUP(F117,tblManoeuvre[#Data],3,FALSE),"")</f>
        <v/>
      </c>
      <c r="H117" s="67" t="str">
        <f>IFERROR(IF(VLOOKUP(F117,tblManoeuvre[],8,FALSE)=0,"None",VLOOKUP(F117,tblManoeuvre[],8,FALSE)),"None")</f>
        <v>None</v>
      </c>
      <c r="I117" s="67"/>
      <c r="L117" s="4"/>
      <c r="M117" s="4"/>
      <c r="N117" s="4"/>
      <c r="O117" s="61">
        <f t="shared" si="16"/>
        <v>0</v>
      </c>
      <c r="P117" s="60">
        <f t="shared" si="17"/>
        <v>0</v>
      </c>
      <c r="Q117" s="61">
        <v>1</v>
      </c>
      <c r="R117" s="61">
        <v>1</v>
      </c>
      <c r="Y117" s="61" t="s">
        <v>1474</v>
      </c>
      <c r="Z117" s="61" t="str">
        <f t="shared" si="18"/>
        <v/>
      </c>
      <c r="AA117" s="60" t="str">
        <f t="shared" si="19"/>
        <v/>
      </c>
    </row>
    <row r="118" spans="1:27">
      <c r="A118" s="1" t="s">
        <v>117</v>
      </c>
      <c r="B118" t="str">
        <f t="shared" si="20"/>
        <v>The Mother-Daughter Bond ●</v>
      </c>
      <c r="D118" s="19"/>
      <c r="E118" s="15" t="s">
        <v>1464</v>
      </c>
      <c r="F118" s="3"/>
      <c r="G118" s="60" t="str">
        <f>IFERROR(VLOOKUP(F118,tblManoeuvre[#Data],2,FALSE)&amp;" "&amp;VLOOKUP(F118,tblManoeuvre[#Data],3,FALSE),"")</f>
        <v/>
      </c>
      <c r="H118" s="67" t="str">
        <f>IFERROR(IF(VLOOKUP(F118,tblManoeuvre[],8,FALSE)=0,"None",VLOOKUP(F118,tblManoeuvre[],8,FALSE)),"None")</f>
        <v>None</v>
      </c>
      <c r="I118" s="67"/>
      <c r="L118" s="4"/>
      <c r="M118" s="4"/>
      <c r="N118" s="4"/>
      <c r="O118" s="61">
        <f t="shared" si="16"/>
        <v>0</v>
      </c>
      <c r="P118" s="60">
        <f t="shared" si="17"/>
        <v>0</v>
      </c>
      <c r="Q118" s="61">
        <v>1</v>
      </c>
      <c r="R118" s="61">
        <v>1</v>
      </c>
      <c r="Y118" s="61" t="s">
        <v>1474</v>
      </c>
      <c r="Z118" s="61" t="str">
        <f t="shared" si="18"/>
        <v/>
      </c>
      <c r="AA118" s="60" t="str">
        <f t="shared" si="19"/>
        <v/>
      </c>
    </row>
    <row r="119" spans="1:27">
      <c r="A119" s="1" t="s">
        <v>118</v>
      </c>
      <c r="B119" t="str">
        <f t="shared" si="20"/>
        <v>Falconry ● | Predator's Vigil</v>
      </c>
      <c r="D119" s="19"/>
      <c r="E119" s="15" t="s">
        <v>1466</v>
      </c>
      <c r="F119" s="3"/>
      <c r="G119" s="60" t="str">
        <f>IFERROR(VLOOKUP(F119,tblManoeuvre[#Data],2,FALSE)&amp;" "&amp;VLOOKUP(F119,tblManoeuvre[#Data],3,FALSE),"")</f>
        <v/>
      </c>
      <c r="H119" s="67" t="str">
        <f>IFERROR(IF(VLOOKUP(F119,tblManoeuvre[],8,FALSE)=0,"None",VLOOKUP(F119,tblManoeuvre[],8,FALSE)),"None")</f>
        <v>None</v>
      </c>
      <c r="I119" s="67"/>
      <c r="L119" s="4"/>
      <c r="M119" s="4"/>
      <c r="N119" s="4"/>
      <c r="O119" s="61">
        <f t="shared" si="16"/>
        <v>0</v>
      </c>
      <c r="P119" s="60">
        <f t="shared" si="17"/>
        <v>0</v>
      </c>
      <c r="Q119" s="61">
        <v>1</v>
      </c>
      <c r="R119" s="61">
        <v>1</v>
      </c>
      <c r="Y119" s="61" t="s">
        <v>1474</v>
      </c>
      <c r="Z119" s="61" t="str">
        <f t="shared" si="18"/>
        <v/>
      </c>
      <c r="AA119" s="60" t="str">
        <f t="shared" si="19"/>
        <v/>
      </c>
    </row>
    <row r="120" spans="1:27">
      <c r="A120" s="1" t="s">
        <v>119</v>
      </c>
      <c r="B120" t="str">
        <f t="shared" si="20"/>
        <v>Falconry ●● | Flyby</v>
      </c>
      <c r="D120" s="19"/>
      <c r="E120" s="15" t="s">
        <v>1468</v>
      </c>
      <c r="F120" s="3"/>
      <c r="G120" s="60" t="str">
        <f>IFERROR(VLOOKUP(F120,tblManoeuvre[#Data],2,FALSE)&amp;" "&amp;VLOOKUP(F120,tblManoeuvre[#Data],3,FALSE),"")</f>
        <v/>
      </c>
      <c r="H120" s="67" t="str">
        <f>IFERROR(IF(VLOOKUP(F120,tblManoeuvre[],8,FALSE)=0,"None",VLOOKUP(F120,tblManoeuvre[],8,FALSE)),"None")</f>
        <v>None</v>
      </c>
      <c r="I120" s="67"/>
      <c r="L120" s="4"/>
      <c r="M120" s="4"/>
      <c r="N120" s="4"/>
      <c r="O120" s="61">
        <f t="shared" si="16"/>
        <v>0</v>
      </c>
      <c r="P120" s="60">
        <f t="shared" si="17"/>
        <v>0</v>
      </c>
      <c r="Q120" s="61">
        <v>1</v>
      </c>
      <c r="R120" s="61">
        <v>1</v>
      </c>
      <c r="Y120" s="61" t="s">
        <v>1474</v>
      </c>
      <c r="Z120" s="61" t="str">
        <f t="shared" si="18"/>
        <v/>
      </c>
      <c r="AA120" s="60" t="str">
        <f t="shared" si="19"/>
        <v/>
      </c>
    </row>
    <row r="121" spans="1:27">
      <c r="A121" s="1" t="s">
        <v>120</v>
      </c>
      <c r="B121" t="str">
        <f t="shared" si="20"/>
        <v>K-9 ● | Detection</v>
      </c>
      <c r="Y121" s="61" t="s">
        <v>1474</v>
      </c>
      <c r="Z121" s="61" t="str">
        <f t="shared" si="18"/>
        <v/>
      </c>
      <c r="AA121" s="60" t="str">
        <f t="shared" si="19"/>
        <v/>
      </c>
    </row>
    <row r="122" spans="1:27" ht="15.75" thickBot="1">
      <c r="A122" s="1" t="s">
        <v>121</v>
      </c>
      <c r="B122" t="str">
        <f t="shared" si="20"/>
        <v>K-9 ●● | Targeted Bite</v>
      </c>
      <c r="D122" s="14" t="s">
        <v>1475</v>
      </c>
      <c r="E122" s="14"/>
      <c r="F122" s="14"/>
      <c r="G122" s="14"/>
      <c r="H122" s="14"/>
      <c r="I122" s="14"/>
    </row>
    <row r="123" spans="1:27">
      <c r="A123" s="1" t="s">
        <v>122</v>
      </c>
      <c r="B123" t="str">
        <f t="shared" si="20"/>
        <v>K-9 ●●● | Tactical Positioning</v>
      </c>
      <c r="D123" s="16" t="s">
        <v>927</v>
      </c>
      <c r="E123" s="17"/>
      <c r="F123" s="17"/>
      <c r="G123" s="17"/>
      <c r="H123" s="17"/>
      <c r="I123" s="17"/>
      <c r="Y123" s="15" t="s">
        <v>1476</v>
      </c>
      <c r="Z123" s="19"/>
      <c r="AA123" s="61" t="str">
        <f t="shared" ref="AA123:AA132" si="21">_xlfn.LET(_xlpm.name,VLOOKUP(Y123,$E$2:$F$362,2,FALSE),_xlpm.paid,_xlfn.IFNA(VLOOKUP(_xlpm.name,$F$121:$Q$215,11,FALSE)&gt;=VLOOKUP(_xlpm.name,$F$121:$Q$215,12,FALSE),FALSE),IF(AND(_xlpm.name&lt;&gt;"",_xlpm.paid),_xlpm.name,""))</f>
        <v/>
      </c>
    </row>
    <row r="124" spans="1:27">
      <c r="A124" s="1" t="s">
        <v>123</v>
      </c>
      <c r="B124" t="str">
        <f t="shared" si="20"/>
        <v>Powered Projectile ● | Quick Reload</v>
      </c>
      <c r="D124" s="19"/>
      <c r="E124" s="15" t="s">
        <v>83</v>
      </c>
      <c r="F124" s="19"/>
      <c r="G124" s="19"/>
      <c r="H124" s="19"/>
      <c r="I124" s="19"/>
      <c r="L124" s="4">
        <v>1</v>
      </c>
      <c r="M124" s="61">
        <f>IFERROR(VLOOKUP(G13,tblEffectiveStatus[#Data],2,FALSE),0)</f>
        <v>0</v>
      </c>
      <c r="P124" s="60">
        <f>MIN(L124+M124,R124)</f>
        <v>1</v>
      </c>
      <c r="R124" s="61">
        <v>10</v>
      </c>
      <c r="Y124" s="15" t="s">
        <v>1477</v>
      </c>
      <c r="Z124" s="19"/>
      <c r="AA124" s="61" t="str">
        <f t="shared" si="21"/>
        <v/>
      </c>
    </row>
    <row r="125" spans="1:27">
      <c r="A125" s="1" t="s">
        <v>124</v>
      </c>
      <c r="B125" t="str">
        <f t="shared" si="20"/>
        <v>Powered Projectile ●● | Intercept Shot</v>
      </c>
      <c r="D125" s="19"/>
      <c r="E125" s="15" t="str">
        <f>IF(F7="","Clan Status",F7&amp;" Status")</f>
        <v>Gangrel Status</v>
      </c>
      <c r="F125" s="19"/>
      <c r="G125" s="19"/>
      <c r="H125" s="19"/>
      <c r="I125" s="19"/>
      <c r="L125" s="4">
        <v>1</v>
      </c>
      <c r="P125" s="60">
        <f>IF(L125="",0,MIN(L125,R125))</f>
        <v>1</v>
      </c>
      <c r="R125" s="61">
        <v>5</v>
      </c>
      <c r="Y125" s="15" t="s">
        <v>1478</v>
      </c>
      <c r="Z125" s="19"/>
      <c r="AA125" s="61" t="str">
        <f t="shared" si="21"/>
        <v/>
      </c>
    </row>
    <row r="126" spans="1:27">
      <c r="A126" s="1" t="s">
        <v>125</v>
      </c>
      <c r="B126" t="str">
        <f t="shared" si="20"/>
        <v>Powered Projectile ●●● | Penetration</v>
      </c>
      <c r="D126" s="19"/>
      <c r="E126" s="15" t="str">
        <f>IF(F9="","",F9&amp;" Status")</f>
        <v>Circle of the Crone Status</v>
      </c>
      <c r="F126" s="19" t="str">
        <f>IF(F9="","",VLOOKUP(F9,tblCovenantShortName[#Data],2,FALSE))</f>
        <v>Crone</v>
      </c>
      <c r="G126" s="19"/>
      <c r="H126" s="19"/>
      <c r="I126" s="19"/>
      <c r="L126" s="4">
        <v>1</v>
      </c>
      <c r="P126" s="60">
        <f>L126</f>
        <v>1</v>
      </c>
      <c r="R126" s="61">
        <f>5-SUM(L127:L129)</f>
        <v>5</v>
      </c>
      <c r="Y126" s="15" t="s">
        <v>1479</v>
      </c>
      <c r="Z126" s="19"/>
      <c r="AA126" s="61" t="str">
        <f t="shared" si="21"/>
        <v/>
      </c>
    </row>
    <row r="127" spans="1:27">
      <c r="A127" s="1" t="s">
        <v>126</v>
      </c>
      <c r="B127" t="str">
        <f t="shared" si="20"/>
        <v>Powered Projectile ●●●● | Skewer</v>
      </c>
      <c r="D127" s="19"/>
      <c r="E127" s="15" t="str" cm="1">
        <f t="array" ref="E127">IF(F9="","",IFERROR(INDEX(Lists!$F$2:$F$5,SMALL(IF(Lists!$F$2:$F$5&lt;&gt;$F$9,ROW(Lists!$F$2:$F$5)-ROW(Lists!$F$2)+1),1))&amp;" Status",""))</f>
        <v>Carthian Movement Status</v>
      </c>
      <c r="F127" s="19" t="str" cm="1">
        <f t="array" ref="F127">IF(F9="","",IFERROR(VLOOKUP(INDEX(Lists!$F$2:$F$5,SMALL(IF(Lists!$F$2:$F$5&lt;&gt;$F$9,ROW(Lists!$F$2:$F$5)-ROW(Lists!$F$2)+1),1)),tblCovenantShortName[],2,FALSE),""))</f>
        <v>Carthian</v>
      </c>
      <c r="G127" s="19"/>
      <c r="H127" s="19"/>
      <c r="I127" s="19"/>
      <c r="L127" s="4"/>
      <c r="P127" s="60">
        <f>L127</f>
        <v>0</v>
      </c>
      <c r="R127" s="61">
        <f>MAX(0,MIN(P126-1,5-L126-L128-L129))</f>
        <v>0</v>
      </c>
      <c r="Y127" s="15" t="s">
        <v>1480</v>
      </c>
      <c r="Z127" s="19"/>
      <c r="AA127" s="61" t="str">
        <f t="shared" si="21"/>
        <v/>
      </c>
    </row>
    <row r="128" spans="1:27">
      <c r="A128" s="1" t="s">
        <v>127</v>
      </c>
      <c r="B128" t="str">
        <f t="shared" si="20"/>
        <v>¬</v>
      </c>
      <c r="D128" s="19"/>
      <c r="E128" s="15" t="str" cm="1">
        <f t="array" ref="E128">IF(F9="","",IFERROR(INDEX(Lists!$F$2:$F$5,SMALL(IF(Lists!$F$2:$F$5&lt;&gt;$F$9,ROW(Lists!$F$2:$F$5)-ROW(Lists!$F$2)+1),2))&amp;" Status",""))</f>
        <v>Invictus Status</v>
      </c>
      <c r="F128" s="19" t="str" cm="1">
        <f t="array" ref="F128">IF(F9="","",IFERROR(VLOOKUP(INDEX(Lists!$F$2:$F$5,SMALL(IF(Lists!$F$2:$F$5&lt;&gt;$F$9,ROW(Lists!$F$2:$F$5)-ROW(Lists!$F$2)+1),2)),tblCovenantShortName[],2,FALSE),""))</f>
        <v>Invictus</v>
      </c>
      <c r="G128" s="19"/>
      <c r="H128" s="19"/>
      <c r="I128" s="19"/>
      <c r="L128" s="4"/>
      <c r="P128" s="60">
        <f>L128</f>
        <v>0</v>
      </c>
      <c r="R128" s="61">
        <f>MAX(0,MIN(P126-1,5-L126-L127-L129))</f>
        <v>0</v>
      </c>
      <c r="Y128" s="15" t="s">
        <v>1481</v>
      </c>
      <c r="Z128" s="19"/>
      <c r="AA128" s="61" t="str">
        <f t="shared" si="21"/>
        <v/>
      </c>
    </row>
    <row r="129" spans="1:32">
      <c r="A129" s="1" t="s">
        <v>128</v>
      </c>
      <c r="B129" t="str">
        <f t="shared" si="20"/>
        <v>¬</v>
      </c>
      <c r="D129" s="19"/>
      <c r="E129" s="15" t="str" cm="1">
        <f t="array" ref="E129">IF(F9="","",IFERROR(INDEX(Lists!$F$2:$F$5,SMALL(IF(Lists!$F$2:$F$5&lt;&gt;$F$9,ROW(Lists!$F$2:$F$5)-ROW(Lists!$F$2)+1),3))&amp;" Status",""))</f>
        <v>Lancea et Sanctum Status</v>
      </c>
      <c r="F129" s="19" t="str" cm="1">
        <f t="array" ref="F129">IF(F9="","",IFERROR(VLOOKUP(INDEX(Lists!$F$2:$F$5,SMALL(IF(Lists!$F$2:$F$5&lt;&gt;$F$9,ROW(Lists!$F$2:$F$5)-ROW(Lists!$F$2)+1),3)),tblCovenantShortName[],2,FALSE),""))</f>
        <v>Lance</v>
      </c>
      <c r="G129" s="19"/>
      <c r="H129" s="19"/>
      <c r="I129" s="19"/>
      <c r="L129" s="4"/>
      <c r="P129" s="60">
        <f>L129</f>
        <v>0</v>
      </c>
      <c r="R129" s="61">
        <f>MAX(0,MIN(P126-1,5-L126-L127-L128))</f>
        <v>0</v>
      </c>
      <c r="Y129" s="15" t="s">
        <v>1482</v>
      </c>
      <c r="Z129" s="19"/>
      <c r="AA129" s="61" t="str">
        <f t="shared" si="21"/>
        <v/>
      </c>
    </row>
    <row r="130" spans="1:32">
      <c r="A130" s="1" t="s">
        <v>129</v>
      </c>
      <c r="B130" t="str">
        <f t="shared" si="20"/>
        <v>¬</v>
      </c>
      <c r="Y130" s="15" t="s">
        <v>1483</v>
      </c>
      <c r="Z130" s="19"/>
      <c r="AA130" s="61" t="str">
        <f t="shared" si="21"/>
        <v/>
      </c>
    </row>
    <row r="131" spans="1:32">
      <c r="A131" s="1" t="s">
        <v>130</v>
      </c>
      <c r="B131" t="str">
        <f t="shared" si="20"/>
        <v>¬</v>
      </c>
      <c r="D131" s="16" t="s">
        <v>1475</v>
      </c>
      <c r="E131" s="17"/>
      <c r="F131" s="16" t="s">
        <v>1446</v>
      </c>
      <c r="G131" s="17"/>
      <c r="H131" s="17"/>
      <c r="I131" s="17"/>
      <c r="Y131" s="15" t="s">
        <v>1484</v>
      </c>
      <c r="Z131" s="19"/>
      <c r="AA131" s="61" t="str">
        <f t="shared" si="21"/>
        <v/>
      </c>
    </row>
    <row r="132" spans="1:32">
      <c r="A132" s="1" t="s">
        <v>131</v>
      </c>
      <c r="B132" t="str">
        <f t="shared" si="20"/>
        <v>¬</v>
      </c>
      <c r="D132" s="55" t="s">
        <v>1571</v>
      </c>
      <c r="E132" s="15" t="s">
        <v>94</v>
      </c>
      <c r="F132" s="3" t="s">
        <v>1731</v>
      </c>
      <c r="G132" s="19"/>
      <c r="H132" s="19"/>
      <c r="I132" s="19"/>
      <c r="L132" s="4"/>
      <c r="M132" s="4">
        <v>3</v>
      </c>
      <c r="N132" s="4"/>
      <c r="O132" s="61">
        <f>N132</f>
        <v>0</v>
      </c>
      <c r="P132" s="60">
        <f>MIN(SUM(L132,M132,O132),R132)</f>
        <v>3</v>
      </c>
      <c r="Q132" s="61">
        <f>_xlfn.IFNA(VLOOKUP($E132,tblDomain[],3,FALSE),"")</f>
        <v>1</v>
      </c>
      <c r="R132" s="61">
        <f>_xlfn.IFNA(VLOOKUP($E132,tblDomain[],4,FALSE),"")</f>
        <v>5</v>
      </c>
      <c r="Y132" s="15" t="s">
        <v>1485</v>
      </c>
      <c r="Z132" s="19"/>
      <c r="AA132" s="61" t="str">
        <f t="shared" si="21"/>
        <v/>
      </c>
    </row>
    <row r="133" spans="1:32">
      <c r="A133" s="1" t="s">
        <v>132</v>
      </c>
      <c r="B133" t="str">
        <f t="shared" si="20"/>
        <v>¬</v>
      </c>
      <c r="D133" s="19"/>
      <c r="E133" s="15" t="s">
        <v>95</v>
      </c>
      <c r="F133" s="3" t="s">
        <v>1731</v>
      </c>
      <c r="G133" s="19"/>
      <c r="H133" s="19"/>
      <c r="I133" s="19"/>
      <c r="L133" s="4">
        <v>1</v>
      </c>
      <c r="M133" s="4">
        <v>2</v>
      </c>
      <c r="N133" s="4"/>
      <c r="O133" s="61">
        <f>N133</f>
        <v>0</v>
      </c>
      <c r="P133" s="60">
        <f>MIN(SUM(L133,M133,O133),R133)</f>
        <v>3</v>
      </c>
      <c r="Q133" s="61">
        <f>_xlfn.IFNA(VLOOKUP($E133,tblDomain[],3,FALSE),"")</f>
        <v>1</v>
      </c>
      <c r="R133" s="61">
        <f>_xlfn.IFNA(VLOOKUP($E133,tblDomain[],4,FALSE),"")</f>
        <v>5</v>
      </c>
    </row>
    <row r="134" spans="1:32">
      <c r="A134" s="1" t="s">
        <v>133</v>
      </c>
      <c r="B134" t="str">
        <f t="shared" si="20"/>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2">_xlfn.LET(_xlpm.name,VLOOKUP(Y134,$E$2:$F$362,2,FALSE),_xlpm.note,VLOOKUP(Y134,$E$2:$G$362,3,FALSE),_xlpm.row,MATCH(Y134,$E$138:$E$157,0),_xlpm.dots,INDEX($P$138:$P$157,_xlpm.row),_xlpm.max,INDEX($Q$138:$Q$157,_xlpm.row),_xlpm.paid,_xlfn.IFNA(_xlpm.dots&gt;=_xlpm.max,FALSE),IF(AND(_xlpm.name&lt;&gt;"",_xlpm.paid),IF(_xlpm.note="",_xlpm.name,_xlpm.name&amp;" ("&amp;_xlpm.note&amp;")"),""))</f>
        <v>Retainer (Void-Dog)</v>
      </c>
      <c r="AC134" s="60" t="str" cm="1">
        <f t="array" ref="AC134:AC136">_xlfn.LET(_xlpm.raw,IFERROR(_xlfn.VSTACK(IFERROR(_xlfn._xlws.SORT(_xlfn._xlws.FILTER(AA134:AA211,AA134:AA211&lt;&gt;"")),""),IFERROR(_xlfn._xlws.SORT(_xlfn._xlws.FILTER(AA213:AA222,AA213:AA222&lt;&gt;"")),"")),""),_xlpm.sorted,IFERROR(_xlfn._xlws.FILTER(_xlpm.raw,_xlpm.raw&lt;&gt;""),""),IFERROR(LEFT(_xlpm.sorted,FIND(" (",_xlpm.sorted)-1),_xlpm.sorted))</f>
        <v>Mentor</v>
      </c>
      <c r="AD134" s="20" t="str" cm="1">
        <f t="array" ref="AD134:AD136">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Baba Grozda</v>
      </c>
      <c r="AE134" s="20">
        <f t="shared" ref="AE134:AE153" si="23">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0</v>
      </c>
      <c r="AF134" s="61" cm="1">
        <f t="array" ref="AF134">IF(AC134="","",SUMPRODUCT(($F$138:$F$157=AC134)*($G$138:$G$157=IF(AD134="","",AD134))*$P$138:$P$157))</f>
        <v>2</v>
      </c>
    </row>
    <row r="135" spans="1:32">
      <c r="A135" s="1" t="s">
        <v>134</v>
      </c>
      <c r="B135" t="str">
        <f t="shared" si="20"/>
        <v>¬</v>
      </c>
      <c r="D135" s="19"/>
      <c r="E135" s="15" t="s">
        <v>97</v>
      </c>
      <c r="F135" s="19"/>
      <c r="G135" s="19"/>
      <c r="H135" s="19"/>
      <c r="I135" s="19"/>
      <c r="L135" s="4"/>
      <c r="M135" s="4"/>
      <c r="N135" s="4"/>
      <c r="O135" s="61">
        <f>N135</f>
        <v>0</v>
      </c>
      <c r="P135" s="60">
        <f>MIN(SUM(L135,M135,O135),R135)</f>
        <v>0</v>
      </c>
      <c r="Q135" s="61">
        <f>_xlfn.IFNA(VLOOKUP($E135,tblDomain[],3,FALSE),"")</f>
        <v>1</v>
      </c>
      <c r="R135" s="61">
        <f>_xlfn.IFNA(VLOOKUP($E135,tblDomain[],4,FALSE),"")</f>
        <v>5</v>
      </c>
      <c r="Y135" s="15" t="s">
        <v>177</v>
      </c>
      <c r="Z135" s="19"/>
      <c r="AA135" s="61" t="str">
        <f t="shared" si="22"/>
        <v>Retainer (Void-Bird)</v>
      </c>
      <c r="AC135" s="60" t="str">
        <v>Retainer</v>
      </c>
      <c r="AD135" s="20" t="str">
        <v>Void-Bird</v>
      </c>
      <c r="AE135" s="20">
        <f t="shared" si="23"/>
        <v>0</v>
      </c>
      <c r="AF135" s="61" cm="1">
        <f t="array" ref="AF135">IF(AC135="","",SUMPRODUCT(($F$138:$F$157=AC135)*($G$138:$G$157=IF(AD135="","",AD135))*$P$138:$P$157))</f>
        <v>1</v>
      </c>
    </row>
    <row r="136" spans="1:32">
      <c r="A136" s="1" t="s">
        <v>135</v>
      </c>
      <c r="B136" t="str">
        <f t="shared" si="20"/>
        <v>¬</v>
      </c>
      <c r="Y136" s="15" t="s">
        <v>178</v>
      </c>
      <c r="Z136" s="19"/>
      <c r="AA136" s="61" t="str">
        <f t="shared" si="22"/>
        <v>Mentor (Baba Grozda)</v>
      </c>
      <c r="AC136" s="60" t="str">
        <v>Retainer</v>
      </c>
      <c r="AD136" s="20" t="str">
        <v>Void-Dog</v>
      </c>
      <c r="AE136" s="20">
        <f t="shared" si="23"/>
        <v>0</v>
      </c>
      <c r="AF136" s="61" cm="1">
        <f t="array" ref="AF136">IF(AC136="","",SUMPRODUCT(($F$138:$F$157=AC136)*($G$138:$G$157=IF(AD136="","",AD136))*$P$138:$P$157))</f>
        <v>1</v>
      </c>
    </row>
    <row r="137" spans="1:32">
      <c r="A137" s="1" t="s">
        <v>136</v>
      </c>
      <c r="B137" t="str">
        <f t="shared" si="20"/>
        <v>¬</v>
      </c>
      <c r="D137" s="16" t="s">
        <v>174</v>
      </c>
      <c r="E137" s="17"/>
      <c r="F137" s="17"/>
      <c r="G137" s="17"/>
      <c r="H137" s="61">
        <f>L225</f>
        <v>0</v>
      </c>
      <c r="I137" s="61">
        <f>SUM(AE134:AE155)+SUM(P125:P129)</f>
        <v>2</v>
      </c>
      <c r="Y137" s="15" t="s">
        <v>179</v>
      </c>
      <c r="Z137" s="19"/>
      <c r="AA137" s="61" t="str">
        <f t="shared" si="22"/>
        <v/>
      </c>
      <c r="AC137" s="60"/>
      <c r="AD137" s="20"/>
      <c r="AE137" s="20" t="str">
        <f t="shared" si="23"/>
        <v/>
      </c>
      <c r="AF137" s="61" t="str" cm="1">
        <f t="array" ref="AF137">IF(AC137="","",SUMPRODUCT(($F$138:$F$157=AC137)*($G$138:$G$157=IF(AD137="","",AD137))*$P$138:$P$157))</f>
        <v/>
      </c>
    </row>
    <row r="138" spans="1:32">
      <c r="A138" s="1" t="s">
        <v>137</v>
      </c>
      <c r="B138" t="str">
        <f t="shared" si="20"/>
        <v>¬</v>
      </c>
      <c r="D138" s="61" t="s">
        <v>1732</v>
      </c>
      <c r="E138" s="15" t="s">
        <v>176</v>
      </c>
      <c r="F138" s="3" t="s">
        <v>468</v>
      </c>
      <c r="G138" s="3" t="s">
        <v>1019</v>
      </c>
      <c r="H138" s="67" t="str">
        <f>IFERROR(IF(VLOOKUP(F138,tblManoeuvre[],8,FALSE)=0,"None",VLOOKUP(F138,tblManoeuvre[],8,FALSE)),"None")</f>
        <v>None</v>
      </c>
      <c r="I138" s="67"/>
      <c r="L138" s="4"/>
      <c r="M138" s="4">
        <v>1</v>
      </c>
      <c r="N138" s="4"/>
      <c r="O138" s="61">
        <f t="shared" ref="O138:O157" si="24">N138</f>
        <v>0</v>
      </c>
      <c r="P138" s="60">
        <f t="shared" ref="P138:P157" si="25">MIN(SUM(L138,M138,O138),R138)</f>
        <v>1</v>
      </c>
      <c r="Q138" s="61">
        <f>_xlfn.IFNA(VLOOKUP($F138,tblInfluence[],3,FALSE),"")</f>
        <v>1</v>
      </c>
      <c r="R138" s="61">
        <f>_xlfn.IFNA(VLOOKUP($F138,tblInfluence[],4,FALSE),"")</f>
        <v>5</v>
      </c>
      <c r="Y138" s="15" t="s">
        <v>180</v>
      </c>
      <c r="Z138" s="19"/>
      <c r="AA138" s="61" t="str">
        <f t="shared" si="22"/>
        <v/>
      </c>
      <c r="AC138" s="60"/>
      <c r="AD138" s="20"/>
      <c r="AE138" s="20" t="str">
        <f t="shared" si="23"/>
        <v/>
      </c>
      <c r="AF138" s="61" t="str" cm="1">
        <f t="array" ref="AF138">IF(AC138="","",SUMPRODUCT(($F$138:$F$157=AC138)*($G$138:$G$157=IF(AD138="","",AD138))*$P$138:$P$157))</f>
        <v/>
      </c>
    </row>
    <row r="139" spans="1:32">
      <c r="A139" s="1" t="s">
        <v>138</v>
      </c>
      <c r="B139" t="str">
        <f t="shared" si="20"/>
        <v>¬</v>
      </c>
      <c r="D139" s="61" t="s">
        <v>1733</v>
      </c>
      <c r="E139" s="15" t="s">
        <v>177</v>
      </c>
      <c r="F139" s="3" t="s">
        <v>468</v>
      </c>
      <c r="G139" s="3" t="s">
        <v>1018</v>
      </c>
      <c r="H139" s="67" t="str">
        <f>IFERROR(IF(VLOOKUP(F139,tblManoeuvre[],8,FALSE)=0,"None",VLOOKUP(F139,tblManoeuvre[],8,FALSE)),"None")</f>
        <v>None</v>
      </c>
      <c r="I139" s="67"/>
      <c r="L139" s="4"/>
      <c r="M139" s="4">
        <v>1</v>
      </c>
      <c r="N139" s="4"/>
      <c r="O139" s="61">
        <f t="shared" si="24"/>
        <v>0</v>
      </c>
      <c r="P139" s="60">
        <f t="shared" si="25"/>
        <v>1</v>
      </c>
      <c r="Q139" s="61">
        <f>_xlfn.IFNA(VLOOKUP($F139,tblInfluence[],3,FALSE),"")</f>
        <v>1</v>
      </c>
      <c r="R139" s="61">
        <f>_xlfn.IFNA(VLOOKUP($F139,tblInfluence[],4,FALSE),"")</f>
        <v>5</v>
      </c>
      <c r="Y139" s="15" t="s">
        <v>181</v>
      </c>
      <c r="Z139" s="19"/>
      <c r="AA139" s="61" t="str">
        <f t="shared" si="22"/>
        <v/>
      </c>
      <c r="AC139" s="60"/>
      <c r="AD139" s="20"/>
      <c r="AE139" s="20" t="str">
        <f t="shared" si="23"/>
        <v/>
      </c>
      <c r="AF139" s="61" t="str" cm="1">
        <f t="array" ref="AF139">IF(AC139="","",SUMPRODUCT(($F$138:$F$157=AC139)*($G$138:$G$157=IF(AD139="","",AD139))*$P$138:$P$157))</f>
        <v/>
      </c>
    </row>
    <row r="140" spans="1:32">
      <c r="A140" s="1" t="s">
        <v>139</v>
      </c>
      <c r="B140" t="str">
        <f t="shared" si="20"/>
        <v>¬</v>
      </c>
      <c r="D140" s="19"/>
      <c r="E140" s="15" t="s">
        <v>178</v>
      </c>
      <c r="F140" s="3" t="s">
        <v>1016</v>
      </c>
      <c r="G140" s="3" t="s">
        <v>1017</v>
      </c>
      <c r="H140" s="67" t="str">
        <f>IFERROR(IF(VLOOKUP(F140,tblManoeuvre[],8,FALSE)=0,"None",VLOOKUP(F140,tblManoeuvre[],8,FALSE)),"None")</f>
        <v>None</v>
      </c>
      <c r="I140" s="67"/>
      <c r="L140" s="4"/>
      <c r="M140" s="4"/>
      <c r="N140" s="4">
        <v>2</v>
      </c>
      <c r="O140" s="61">
        <f t="shared" si="24"/>
        <v>2</v>
      </c>
      <c r="P140" s="60">
        <f t="shared" si="25"/>
        <v>2</v>
      </c>
      <c r="Q140" s="61">
        <f>_xlfn.IFNA(VLOOKUP($F140,tblInfluence[],3,FALSE),"")</f>
        <v>1</v>
      </c>
      <c r="R140" s="61">
        <f>_xlfn.IFNA(VLOOKUP($F140,tblInfluence[],4,FALSE),"")</f>
        <v>5</v>
      </c>
      <c r="Y140" s="15" t="s">
        <v>182</v>
      </c>
      <c r="Z140" s="19"/>
      <c r="AA140" s="61" t="str">
        <f t="shared" si="22"/>
        <v/>
      </c>
      <c r="AC140" s="60"/>
      <c r="AD140" s="20"/>
      <c r="AE140" s="20" t="str">
        <f t="shared" si="23"/>
        <v/>
      </c>
      <c r="AF140" s="61" t="str" cm="1">
        <f t="array" ref="AF140">IF(AC140="","",SUMPRODUCT(($F$138:$F$157=AC140)*($G$138:$G$157=IF(AD140="","",AD140))*$P$138:$P$157))</f>
        <v/>
      </c>
    </row>
    <row r="141" spans="1:32">
      <c r="A141" s="1" t="s">
        <v>140</v>
      </c>
      <c r="B141" t="str">
        <f t="shared" si="20"/>
        <v>¬</v>
      </c>
      <c r="D141" s="19"/>
      <c r="E141" s="15" t="s">
        <v>179</v>
      </c>
      <c r="F141" s="3"/>
      <c r="G141" s="3" t="str">
        <f>IFERROR(VLOOKUP(F141,tblManoeuvre[#Data],2,FALSE)&amp;" "&amp;VLOOKUP(F141,tblManoeuvre[#Data],3,FALSE),"")</f>
        <v/>
      </c>
      <c r="H141" s="67" t="str">
        <f>IFERROR(IF(VLOOKUP(F141,tblManoeuvre[],8,FALSE)=0,"None",VLOOKUP(F141,tblManoeuvre[],8,FALSE)),"None")</f>
        <v>None</v>
      </c>
      <c r="I141" s="67"/>
      <c r="L141" s="4"/>
      <c r="M141" s="4"/>
      <c r="N141" s="4"/>
      <c r="O141" s="61">
        <f t="shared" si="24"/>
        <v>0</v>
      </c>
      <c r="P141" s="60">
        <f t="shared" si="25"/>
        <v>0</v>
      </c>
      <c r="Q141" s="61" t="str">
        <f>_xlfn.IFNA(VLOOKUP($F141,tblInfluence[],3,FALSE),"")</f>
        <v/>
      </c>
      <c r="R141" s="61" t="str">
        <f>_xlfn.IFNA(VLOOKUP($F141,tblInfluence[],4,FALSE),"")</f>
        <v/>
      </c>
      <c r="Y141" s="15" t="s">
        <v>183</v>
      </c>
      <c r="Z141" s="19"/>
      <c r="AA141" s="61" t="str">
        <f t="shared" si="22"/>
        <v/>
      </c>
      <c r="AC141" s="60"/>
      <c r="AD141" s="20"/>
      <c r="AE141" s="20" t="str">
        <f t="shared" si="23"/>
        <v/>
      </c>
      <c r="AF141" s="61" t="str" cm="1">
        <f t="array" ref="AF141">IF(AC141="","",SUMPRODUCT(($F$138:$F$157=AC141)*($G$138:$G$157=IF(AD141="","",AD141))*$P$138:$P$157))</f>
        <v/>
      </c>
    </row>
    <row r="142" spans="1:32">
      <c r="A142" s="1" t="s">
        <v>141</v>
      </c>
      <c r="B142" t="str">
        <f t="shared" si="20"/>
        <v>¬</v>
      </c>
      <c r="D142" s="19"/>
      <c r="E142" s="15" t="s">
        <v>180</v>
      </c>
      <c r="F142" s="3"/>
      <c r="G142" s="3" t="str">
        <f>IFERROR(VLOOKUP(F142,tblManoeuvre[#Data],2,FALSE)&amp;" "&amp;VLOOKUP(F142,tblManoeuvre[#Data],3,FALSE),"")</f>
        <v/>
      </c>
      <c r="H142" s="67" t="str">
        <f>IFERROR(IF(VLOOKUP(F142,tblManoeuvre[],8,FALSE)=0,"None",VLOOKUP(F142,tblManoeuvre[],8,FALSE)),"None")</f>
        <v>None</v>
      </c>
      <c r="I142" s="67"/>
      <c r="L142" s="4"/>
      <c r="M142" s="4"/>
      <c r="N142" s="4"/>
      <c r="O142" s="61">
        <f t="shared" si="24"/>
        <v>0</v>
      </c>
      <c r="P142" s="60">
        <f t="shared" si="25"/>
        <v>0</v>
      </c>
      <c r="Q142" s="61" t="str">
        <f>_xlfn.IFNA(VLOOKUP($F142,tblInfluence[],3,FALSE),"")</f>
        <v/>
      </c>
      <c r="R142" s="61" t="str">
        <f>_xlfn.IFNA(VLOOKUP($F142,tblInfluence[],4,FALSE),"")</f>
        <v/>
      </c>
      <c r="Y142" s="15" t="s">
        <v>184</v>
      </c>
      <c r="Z142" s="19"/>
      <c r="AA142" s="61" t="str">
        <f t="shared" si="22"/>
        <v/>
      </c>
      <c r="AC142" s="60"/>
      <c r="AD142" s="20"/>
      <c r="AE142" s="20" t="str">
        <f t="shared" si="23"/>
        <v/>
      </c>
      <c r="AF142" s="61" t="str" cm="1">
        <f t="array" ref="AF142">IF(AC142="","",SUMPRODUCT(($F$138:$F$157=AC142)*($G$138:$G$157=IF(AD142="","",AD142))*$P$138:$P$157))</f>
        <v/>
      </c>
    </row>
    <row r="143" spans="1:32">
      <c r="A143" s="1" t="s">
        <v>142</v>
      </c>
      <c r="B143" t="str">
        <f t="shared" si="20"/>
        <v>¬</v>
      </c>
      <c r="D143" s="19"/>
      <c r="E143" s="15" t="s">
        <v>181</v>
      </c>
      <c r="F143" s="3"/>
      <c r="G143" s="3" t="str">
        <f>IFERROR(VLOOKUP(F143,tblManoeuvre[#Data],2,FALSE)&amp;" "&amp;VLOOKUP(F143,tblManoeuvre[#Data],3,FALSE),"")</f>
        <v/>
      </c>
      <c r="H143" s="67" t="str">
        <f>IFERROR(IF(VLOOKUP(F143,tblManoeuvre[],8,FALSE)=0,"None",VLOOKUP(F143,tblManoeuvre[],8,FALSE)),"None")</f>
        <v>None</v>
      </c>
      <c r="I143" s="67"/>
      <c r="L143" s="4"/>
      <c r="M143" s="4"/>
      <c r="N143" s="4"/>
      <c r="O143" s="61">
        <f t="shared" si="24"/>
        <v>0</v>
      </c>
      <c r="P143" s="60">
        <f t="shared" si="25"/>
        <v>0</v>
      </c>
      <c r="Q143" s="61" t="str">
        <f>_xlfn.IFNA(VLOOKUP($F143,tblInfluence[],3,FALSE),"")</f>
        <v/>
      </c>
      <c r="R143" s="61" t="str">
        <f>_xlfn.IFNA(VLOOKUP($F143,tblInfluence[],4,FALSE),"")</f>
        <v/>
      </c>
      <c r="Y143" s="15" t="s">
        <v>185</v>
      </c>
      <c r="Z143" s="19"/>
      <c r="AA143" s="61" t="str">
        <f t="shared" si="22"/>
        <v/>
      </c>
      <c r="AC143" s="60"/>
      <c r="AD143" s="20"/>
      <c r="AE143" s="20" t="str">
        <f t="shared" si="23"/>
        <v/>
      </c>
      <c r="AF143" s="61" t="str" cm="1">
        <f t="array" ref="AF143">IF(AC143="","",SUMPRODUCT(($F$138:$F$157=AC143)*($G$138:$G$157=IF(AD143="","",AD143))*$P$138:$P$157))</f>
        <v/>
      </c>
    </row>
    <row r="144" spans="1:32">
      <c r="A144" s="1" t="s">
        <v>143</v>
      </c>
      <c r="B144" t="str">
        <f t="shared" si="20"/>
        <v>¬</v>
      </c>
      <c r="D144" s="19"/>
      <c r="E144" s="15" t="s">
        <v>182</v>
      </c>
      <c r="F144" s="3"/>
      <c r="G144" s="3" t="str">
        <f>IFERROR(VLOOKUP(F144,tblManoeuvre[#Data],2,FALSE)&amp;" "&amp;VLOOKUP(F144,tblManoeuvre[#Data],3,FALSE),"")</f>
        <v/>
      </c>
      <c r="H144" s="67" t="str">
        <f>IFERROR(IF(VLOOKUP(F144,tblManoeuvre[],8,FALSE)=0,"None",VLOOKUP(F144,tblManoeuvre[],8,FALSE)),"None")</f>
        <v>None</v>
      </c>
      <c r="I144" s="67"/>
      <c r="L144" s="4"/>
      <c r="M144" s="4"/>
      <c r="N144" s="4"/>
      <c r="O144" s="61">
        <f t="shared" si="24"/>
        <v>0</v>
      </c>
      <c r="P144" s="60">
        <f t="shared" si="25"/>
        <v>0</v>
      </c>
      <c r="Q144" s="61" t="str">
        <f>_xlfn.IFNA(VLOOKUP($F144,tblInfluence[],3,FALSE),"")</f>
        <v/>
      </c>
      <c r="R144" s="61" t="str">
        <f>_xlfn.IFNA(VLOOKUP($F144,tblInfluence[],4,FALSE),"")</f>
        <v/>
      </c>
      <c r="Y144" s="15" t="s">
        <v>186</v>
      </c>
      <c r="Z144" s="19"/>
      <c r="AA144" s="61" t="str">
        <f t="shared" si="22"/>
        <v/>
      </c>
      <c r="AC144" s="60"/>
      <c r="AD144" s="20"/>
      <c r="AE144" s="20" t="str">
        <f t="shared" si="23"/>
        <v/>
      </c>
      <c r="AF144" s="61" t="str" cm="1">
        <f t="array" ref="AF144">IF(AC144="","",SUMPRODUCT(($F$138:$F$157=AC144)*($G$138:$G$157=IF(AD144="","",AD144))*$P$138:$P$157))</f>
        <v/>
      </c>
    </row>
    <row r="145" spans="1:32">
      <c r="A145" s="1" t="s">
        <v>144</v>
      </c>
      <c r="B145" t="str">
        <f t="shared" ref="B145:B174" si="26">IF(AF2="","¬",AF2)</f>
        <v>+2 to contest or resist supernatural mental influence.</v>
      </c>
      <c r="D145" s="19"/>
      <c r="E145" s="15" t="s">
        <v>183</v>
      </c>
      <c r="F145" s="3"/>
      <c r="G145" s="3" t="str">
        <f>IFERROR(VLOOKUP(F145,tblManoeuvre[#Data],2,FALSE)&amp;" "&amp;VLOOKUP(F145,tblManoeuvre[#Data],3,FALSE),"")</f>
        <v/>
      </c>
      <c r="H145" s="67" t="str">
        <f>IFERROR(IF(VLOOKUP(F145,tblManoeuvre[],8,FALSE)=0,"None",VLOOKUP(F145,tblManoeuvre[],8,FALSE)),"None")</f>
        <v>None</v>
      </c>
      <c r="I145" s="67"/>
      <c r="L145" s="4"/>
      <c r="M145" s="4"/>
      <c r="N145" s="4"/>
      <c r="O145" s="61">
        <f t="shared" si="24"/>
        <v>0</v>
      </c>
      <c r="P145" s="60">
        <f t="shared" si="25"/>
        <v>0</v>
      </c>
      <c r="Q145" s="61" t="str">
        <f>_xlfn.IFNA(VLOOKUP($F145,tblInfluence[],3,FALSE),"")</f>
        <v/>
      </c>
      <c r="R145" s="61" t="str">
        <f>_xlfn.IFNA(VLOOKUP($F145,tblInfluence[],4,FALSE),"")</f>
        <v/>
      </c>
      <c r="Y145" s="15" t="s">
        <v>187</v>
      </c>
      <c r="Z145" s="19"/>
      <c r="AA145" s="61" t="str">
        <f t="shared" si="22"/>
        <v/>
      </c>
      <c r="AC145" s="60"/>
      <c r="AD145" s="20"/>
      <c r="AE145" s="20" t="str">
        <f t="shared" si="23"/>
        <v/>
      </c>
      <c r="AF145" s="61" t="str" cm="1">
        <f t="array" ref="AF145">IF(AC145="","",SUMPRODUCT(($F$138:$F$157=AC145)*($G$138:$G$157=IF(AD145="","",AD145))*$P$138:$P$157))</f>
        <v/>
      </c>
    </row>
    <row r="146" spans="1:32">
      <c r="A146" s="1" t="s">
        <v>145</v>
      </c>
      <c r="B146" t="str">
        <f t="shared" si="26"/>
        <v>Remote Crúac into Safe Place. Add dots to Crúac rolls in garden. Sustain Merit dots in rituals indefinitely (don't count toward Sorcery Tolerance); reduce base cost of Merit dots in rituals by rating. Feed dots in Vitae monthly; produces double in animal blood (costume at game). Attacks provoke frenzy. Can share but not increase yields.</v>
      </c>
      <c r="D146" s="19"/>
      <c r="E146" s="15" t="s">
        <v>184</v>
      </c>
      <c r="F146" s="3"/>
      <c r="G146" s="3" t="str">
        <f>IFERROR(VLOOKUP(F146,tblManoeuvre[#Data],2,FALSE)&amp;" "&amp;VLOOKUP(F146,tblManoeuvre[#Data],3,FALSE),"")</f>
        <v/>
      </c>
      <c r="H146" s="67" t="str">
        <f>IFERROR(IF(VLOOKUP(F146,tblManoeuvre[],8,FALSE)=0,"None",VLOOKUP(F146,tblManoeuvre[],8,FALSE)),"None")</f>
        <v>None</v>
      </c>
      <c r="I146" s="67"/>
      <c r="L146" s="4"/>
      <c r="M146" s="4"/>
      <c r="N146" s="4"/>
      <c r="O146" s="61">
        <f t="shared" si="24"/>
        <v>0</v>
      </c>
      <c r="P146" s="60">
        <f t="shared" si="25"/>
        <v>0</v>
      </c>
      <c r="Q146" s="61" t="str">
        <f>_xlfn.IFNA(VLOOKUP($F146,tblInfluence[],3,FALSE),"")</f>
        <v/>
      </c>
      <c r="R146" s="61" t="str">
        <f>_xlfn.IFNA(VLOOKUP($F146,tblInfluence[],4,FALSE),"")</f>
        <v/>
      </c>
      <c r="Y146" s="15" t="s">
        <v>188</v>
      </c>
      <c r="Z146" s="19"/>
      <c r="AA146" s="61" t="str">
        <f t="shared" si="22"/>
        <v/>
      </c>
      <c r="AC146" s="60"/>
      <c r="AD146" s="20"/>
      <c r="AE146" s="20" t="str">
        <f t="shared" si="23"/>
        <v/>
      </c>
      <c r="AF146" s="61" t="str" cm="1">
        <f t="array" ref="AF146">IF(AC146="","",SUMPRODUCT(($F$138:$F$157=AC146)*($G$138:$G$157=IF(AD146="","",AD146))*$P$138:$P$157))</f>
        <v/>
      </c>
    </row>
    <row r="147" spans="1:32">
      <c r="A147" s="1" t="s">
        <v>146</v>
      </c>
      <c r="B147" t="str">
        <f t="shared" si="26"/>
        <v>Crúac rites summon shadow-servants proportional to rite level. Spend Willpower to consign living beings to darkness (extended contested roll).</v>
      </c>
      <c r="D147" s="19"/>
      <c r="E147" s="15" t="s">
        <v>185</v>
      </c>
      <c r="F147" s="3"/>
      <c r="G147" s="3" t="str">
        <f>IFERROR(VLOOKUP(F147,tblManoeuvre[#Data],2,FALSE)&amp;" "&amp;VLOOKUP(F147,tblManoeuvre[#Data],3,FALSE),"")</f>
        <v/>
      </c>
      <c r="H147" s="67" t="str">
        <f>IFERROR(IF(VLOOKUP(F147,tblManoeuvre[],8,FALSE)=0,"None",VLOOKUP(F147,tblManoeuvre[],8,FALSE)),"None")</f>
        <v>None</v>
      </c>
      <c r="I147" s="67"/>
      <c r="L147" s="4"/>
      <c r="M147" s="4"/>
      <c r="N147" s="4"/>
      <c r="O147" s="61">
        <f t="shared" si="24"/>
        <v>0</v>
      </c>
      <c r="P147" s="60">
        <f t="shared" si="25"/>
        <v>0</v>
      </c>
      <c r="Q147" s="61" t="str">
        <f>_xlfn.IFNA(VLOOKUP($F147,tblInfluence[],3,FALSE),"")</f>
        <v/>
      </c>
      <c r="R147" s="61" t="str">
        <f>_xlfn.IFNA(VLOOKUP($F147,tblInfluence[],4,FALSE),"")</f>
        <v/>
      </c>
      <c r="Y147" s="15" t="s">
        <v>189</v>
      </c>
      <c r="Z147" s="19"/>
      <c r="AA147" s="61" t="str">
        <f t="shared" si="22"/>
        <v/>
      </c>
      <c r="AC147" s="60"/>
      <c r="AD147" s="20"/>
      <c r="AE147" s="20" t="str">
        <f t="shared" si="23"/>
        <v/>
      </c>
      <c r="AF147" s="61" t="str" cm="1">
        <f t="array" ref="AF147">IF(AC147="","",SUMPRODUCT(($F$138:$F$157=AC147)*($G$138:$G$157=IF(AD147="","",AD147))*$P$138:$P$157))</f>
        <v/>
      </c>
    </row>
    <row r="148" spans="1:32">
      <c r="A148" s="1" t="s">
        <v>147</v>
      </c>
      <c r="B148" t="str">
        <f t="shared" si="26"/>
        <v>When purchasing Mentor, gain additional dots in a chosen Crúac Style equal to Mentor. If Mentor exceeds Crúac, Style dots added as Crúac gained.</v>
      </c>
      <c r="D148" s="19"/>
      <c r="E148" s="15" t="s">
        <v>186</v>
      </c>
      <c r="F148" s="3"/>
      <c r="G148" s="3" t="str">
        <f>IFERROR(VLOOKUP(F148,tblManoeuvre[#Data],2,FALSE)&amp;" "&amp;VLOOKUP(F148,tblManoeuvre[#Data],3,FALSE),"")</f>
        <v/>
      </c>
      <c r="H148" s="67" t="str">
        <f>IFERROR(IF(VLOOKUP(F148,tblManoeuvre[],8,FALSE)=0,"None",VLOOKUP(F148,tblManoeuvre[],8,FALSE)),"None")</f>
        <v>None</v>
      </c>
      <c r="I148" s="67"/>
      <c r="L148" s="4"/>
      <c r="M148" s="4"/>
      <c r="N148" s="4"/>
      <c r="O148" s="61">
        <f t="shared" si="24"/>
        <v>0</v>
      </c>
      <c r="P148" s="60">
        <f t="shared" si="25"/>
        <v>0</v>
      </c>
      <c r="Q148" s="61" t="str">
        <f>_xlfn.IFNA(VLOOKUP($F148,tblInfluence[],3,FALSE),"")</f>
        <v/>
      </c>
      <c r="R148" s="61" t="str">
        <f>_xlfn.IFNA(VLOOKUP($F148,tblInfluence[],4,FALSE),"")</f>
        <v/>
      </c>
      <c r="Y148" s="15" t="s">
        <v>190</v>
      </c>
      <c r="Z148" s="19"/>
      <c r="AA148" s="61" t="str">
        <f t="shared" si="22"/>
        <v/>
      </c>
      <c r="AC148" s="60"/>
      <c r="AD148" s="20"/>
      <c r="AE148" s="20" t="str">
        <f t="shared" si="23"/>
        <v/>
      </c>
      <c r="AF148" s="61" t="str" cm="1">
        <f t="array" ref="AF148">IF(AC148="","",SUMPRODUCT(($F$138:$F$157=AC148)*($G$138:$G$157=IF(AD148="","",AD148))*$P$138:$P$157))</f>
        <v/>
      </c>
    </row>
    <row r="149" spans="1:32">
      <c r="A149" s="1" t="s">
        <v>148</v>
      </c>
      <c r="B149" t="str">
        <f t="shared" si="26"/>
        <v>Your raptor's presence inflicts Shaken on animals its Size or smaller, and lesser predators flee.</v>
      </c>
      <c r="D149" s="19"/>
      <c r="E149" s="15" t="s">
        <v>187</v>
      </c>
      <c r="F149" s="3"/>
      <c r="G149" s="3" t="str">
        <f>IFERROR(VLOOKUP(F149,tblManoeuvre[#Data],2,FALSE)&amp;" "&amp;VLOOKUP(F149,tblManoeuvre[#Data],3,FALSE),"")</f>
        <v/>
      </c>
      <c r="H149" s="67" t="str">
        <f>IFERROR(IF(VLOOKUP(F149,tblManoeuvre[],8,FALSE)=0,"None",VLOOKUP(F149,tblManoeuvre[],8,FALSE)),"None")</f>
        <v>None</v>
      </c>
      <c r="I149" s="67"/>
      <c r="L149" s="4"/>
      <c r="M149" s="4"/>
      <c r="N149" s="4"/>
      <c r="O149" s="61">
        <f t="shared" si="24"/>
        <v>0</v>
      </c>
      <c r="P149" s="60">
        <f t="shared" si="25"/>
        <v>0</v>
      </c>
      <c r="Q149" s="61" t="str">
        <f>_xlfn.IFNA(VLOOKUP($F149,tblInfluence[],3,FALSE),"")</f>
        <v/>
      </c>
      <c r="R149" s="61" t="str">
        <f>_xlfn.IFNA(VLOOKUP($F149,tblInfluence[],4,FALSE),"")</f>
        <v/>
      </c>
      <c r="Y149" s="15" t="s">
        <v>191</v>
      </c>
      <c r="Z149" s="19"/>
      <c r="AA149" s="61" t="str">
        <f t="shared" si="22"/>
        <v/>
      </c>
      <c r="AC149" s="60"/>
      <c r="AD149" s="20"/>
      <c r="AE149" s="20" t="str">
        <f t="shared" si="23"/>
        <v/>
      </c>
      <c r="AF149" s="61" t="str" cm="1">
        <f t="array" ref="AF149">IF(AC149="","",SUMPRODUCT(($F$138:$F$157=AC149)*($G$138:$G$157=IF(AD149="","",AD149))*$P$138:$P$157))</f>
        <v/>
      </c>
    </row>
    <row r="150" spans="1:32">
      <c r="A150" s="1" t="s">
        <v>149</v>
      </c>
      <c r="B150" t="str">
        <f t="shared" si="26"/>
        <v>Your bird contests Presence + Intimidation vs Resolve + Composure to inflict a -3 action penalty.</v>
      </c>
      <c r="D150" s="19"/>
      <c r="E150" s="15" t="s">
        <v>188</v>
      </c>
      <c r="F150" s="3"/>
      <c r="G150" s="3" t="str">
        <f>IFERROR(VLOOKUP(F150,tblManoeuvre[#Data],2,FALSE)&amp;" "&amp;VLOOKUP(F150,tblManoeuvre[#Data],3,FALSE),"")</f>
        <v/>
      </c>
      <c r="H150" s="67" t="str">
        <f>IFERROR(IF(VLOOKUP(F150,tblManoeuvre[],8,FALSE)=0,"None",VLOOKUP(F150,tblManoeuvre[],8,FALSE)),"None")</f>
        <v>None</v>
      </c>
      <c r="I150" s="67"/>
      <c r="L150" s="4"/>
      <c r="M150" s="4"/>
      <c r="N150" s="4"/>
      <c r="O150" s="61">
        <f t="shared" si="24"/>
        <v>0</v>
      </c>
      <c r="P150" s="60">
        <f t="shared" si="25"/>
        <v>0</v>
      </c>
      <c r="Q150" s="61" t="str">
        <f>_xlfn.IFNA(VLOOKUP($F150,tblInfluence[],3,FALSE),"")</f>
        <v/>
      </c>
      <c r="R150" s="61" t="str">
        <f>_xlfn.IFNA(VLOOKUP($F150,tblInfluence[],4,FALSE),"")</f>
        <v/>
      </c>
      <c r="Y150" s="15" t="s">
        <v>192</v>
      </c>
      <c r="Z150" s="19"/>
      <c r="AA150" s="61" t="str">
        <f t="shared" si="22"/>
        <v/>
      </c>
      <c r="AC150" s="60"/>
      <c r="AD150" s="20"/>
      <c r="AE150" s="20" t="str">
        <f t="shared" si="23"/>
        <v/>
      </c>
      <c r="AF150" s="61" t="str" cm="1">
        <f t="array" ref="AF150">IF(AC150="","",SUMPRODUCT(($F$138:$F$157=AC150)*($G$138:$G$157=IF(AD150="","",AD150))*$P$138:$P$157))</f>
        <v/>
      </c>
    </row>
    <row r="151" spans="1:32">
      <c r="A151" s="1" t="s">
        <v>150</v>
      </c>
      <c r="B151" t="str">
        <f t="shared" si="26"/>
        <v>Under direction, your dog rolls Wits + Survival + K-9 dots (modified for Bonded) to track scent.</v>
      </c>
      <c r="D151" s="19"/>
      <c r="E151" s="15" t="s">
        <v>189</v>
      </c>
      <c r="F151" s="3"/>
      <c r="G151" s="3" t="str">
        <f>IFERROR(VLOOKUP(F151,tblManoeuvre[#Data],2,FALSE)&amp;" "&amp;VLOOKUP(F151,tblManoeuvre[#Data],3,FALSE),"")</f>
        <v/>
      </c>
      <c r="H151" s="67" t="str">
        <f>IFERROR(IF(VLOOKUP(F151,tblManoeuvre[],8,FALSE)=0,"None",VLOOKUP(F151,tblManoeuvre[],8,FALSE)),"None")</f>
        <v>None</v>
      </c>
      <c r="I151" s="67"/>
      <c r="L151" s="4"/>
      <c r="M151" s="4"/>
      <c r="N151" s="4"/>
      <c r="O151" s="61">
        <f t="shared" si="24"/>
        <v>0</v>
      </c>
      <c r="P151" s="60">
        <f t="shared" si="25"/>
        <v>0</v>
      </c>
      <c r="Q151" s="61" t="str">
        <f>_xlfn.IFNA(VLOOKUP($F151,tblInfluence[],3,FALSE),"")</f>
        <v/>
      </c>
      <c r="R151" s="61" t="str">
        <f>_xlfn.IFNA(VLOOKUP($F151,tblInfluence[],4,FALSE),"")</f>
        <v/>
      </c>
      <c r="Y151" s="15" t="s">
        <v>193</v>
      </c>
      <c r="Z151" s="19"/>
      <c r="AA151" s="61" t="str">
        <f t="shared" si="22"/>
        <v/>
      </c>
      <c r="AC151" s="60"/>
      <c r="AD151" s="20"/>
      <c r="AE151" s="20" t="str">
        <f t="shared" si="23"/>
        <v/>
      </c>
      <c r="AF151" s="61" t="str" cm="1">
        <f t="array" ref="AF151">IF(AC151="","",SUMPRODUCT(($F$138:$F$157=AC151)*($G$138:$G$157=IF(AD151="","",AD151))*$P$138:$P$157))</f>
        <v/>
      </c>
    </row>
    <row r="152" spans="1:32">
      <c r="A152" s="1" t="s">
        <v>151</v>
      </c>
      <c r="B152" t="str">
        <f t="shared" si="26"/>
        <v>Command your dog to make called shots in combat, reducing the shot penalty by -2.</v>
      </c>
      <c r="D152" s="19"/>
      <c r="E152" s="15" t="s">
        <v>190</v>
      </c>
      <c r="F152" s="3"/>
      <c r="G152" s="3" t="str">
        <f>IFERROR(VLOOKUP(F152,tblManoeuvre[#Data],2,FALSE)&amp;" "&amp;VLOOKUP(F152,tblManoeuvre[#Data],3,FALSE),"")</f>
        <v/>
      </c>
      <c r="H152" s="67" t="str">
        <f>IFERROR(IF(VLOOKUP(F152,tblManoeuvre[],8,FALSE)=0,"None",VLOOKUP(F152,tblManoeuvre[],8,FALSE)),"None")</f>
        <v>None</v>
      </c>
      <c r="I152" s="67"/>
      <c r="L152" s="4"/>
      <c r="M152" s="4"/>
      <c r="N152" s="4"/>
      <c r="O152" s="61">
        <f t="shared" si="24"/>
        <v>0</v>
      </c>
      <c r="P152" s="60">
        <f t="shared" si="25"/>
        <v>0</v>
      </c>
      <c r="Q152" s="61" t="str">
        <f>_xlfn.IFNA(VLOOKUP($F152,tblInfluence[],3,FALSE),"")</f>
        <v/>
      </c>
      <c r="R152" s="61" t="str">
        <f>_xlfn.IFNA(VLOOKUP($F152,tblInfluence[],4,FALSE),"")</f>
        <v/>
      </c>
      <c r="Y152" s="15" t="s">
        <v>194</v>
      </c>
      <c r="Z152" s="19"/>
      <c r="AA152" s="61" t="str">
        <f t="shared" si="22"/>
        <v/>
      </c>
      <c r="AC152" s="60"/>
      <c r="AD152" s="20"/>
      <c r="AE152" s="20" t="str">
        <f t="shared" si="23"/>
        <v/>
      </c>
      <c r="AF152" s="61" t="str" cm="1">
        <f t="array" ref="AF152">IF(AC152="","",SUMPRODUCT(($F$138:$F$157=AC152)*($G$138:$G$157=IF(AD152="","",AD152))*$P$138:$P$157))</f>
        <v/>
      </c>
    </row>
    <row r="153" spans="1:32">
      <c r="A153" s="1" t="s">
        <v>152</v>
      </c>
      <c r="B153" t="str">
        <f t="shared" si="26"/>
        <v>When you fight one opponent in tandem, choose roles each turn for you and your dog. One takes +1 Defence, the other +2 to attack. Ignore penalties for firing into melee around your dog.</v>
      </c>
      <c r="D153" s="19"/>
      <c r="E153" s="15" t="s">
        <v>191</v>
      </c>
      <c r="F153" s="3"/>
      <c r="G153" s="3" t="str">
        <f>IFERROR(VLOOKUP(F153,tblManoeuvre[#Data],2,FALSE)&amp;" "&amp;VLOOKUP(F153,tblManoeuvre[#Data],3,FALSE),"")</f>
        <v/>
      </c>
      <c r="H153" s="67" t="str">
        <f>IFERROR(IF(VLOOKUP(F153,tblManoeuvre[],8,FALSE)=0,"None",VLOOKUP(F153,tblManoeuvre[],8,FALSE)),"None")</f>
        <v>None</v>
      </c>
      <c r="I153" s="67"/>
      <c r="L153" s="4"/>
      <c r="M153" s="4"/>
      <c r="N153" s="4"/>
      <c r="O153" s="61">
        <f t="shared" si="24"/>
        <v>0</v>
      </c>
      <c r="P153" s="60">
        <f t="shared" si="25"/>
        <v>0</v>
      </c>
      <c r="Q153" s="61" t="str">
        <f>_xlfn.IFNA(VLOOKUP($F153,tblInfluence[],3,FALSE),"")</f>
        <v/>
      </c>
      <c r="R153" s="61" t="str">
        <f>_xlfn.IFNA(VLOOKUP($F153,tblInfluence[],4,FALSE),"")</f>
        <v/>
      </c>
      <c r="Y153" s="15" t="s">
        <v>195</v>
      </c>
      <c r="Z153" s="19"/>
      <c r="AA153" s="61" t="str">
        <f t="shared" si="22"/>
        <v/>
      </c>
      <c r="AC153" s="60"/>
      <c r="AD153" s="20"/>
      <c r="AE153" s="20" t="str">
        <f t="shared" si="23"/>
        <v/>
      </c>
      <c r="AF153" s="61" t="str" cm="1">
        <f t="array" ref="AF153">IF(AC153="","",SUMPRODUCT(($F$138:$F$157=AC153)*($G$138:$G$157=IF(AD153="","",AD153))*$P$138:$P$157))</f>
        <v/>
      </c>
    </row>
    <row r="154" spans="1:32">
      <c r="A154" s="1" t="s">
        <v>153</v>
      </c>
      <c r="B154" t="str">
        <f t="shared" si="26"/>
        <v>Reload your weapon one turn quicker, down to a reflexive action.</v>
      </c>
      <c r="D154" s="19"/>
      <c r="E154" s="15" t="s">
        <v>192</v>
      </c>
      <c r="F154" s="3"/>
      <c r="G154" s="3" t="str">
        <f>IFERROR(VLOOKUP(F154,tblManoeuvre[#Data],2,FALSE)&amp;" "&amp;VLOOKUP(F154,tblManoeuvre[#Data],3,FALSE),"")</f>
        <v/>
      </c>
      <c r="H154" s="67" t="str">
        <f>IFERROR(IF(VLOOKUP(F154,tblManoeuvre[],8,FALSE)=0,"None",VLOOKUP(F154,tblManoeuvre[],8,FALSE)),"None")</f>
        <v>None</v>
      </c>
      <c r="I154" s="67"/>
      <c r="L154" s="4"/>
      <c r="M154" s="4"/>
      <c r="N154" s="4"/>
      <c r="O154" s="61">
        <f t="shared" si="24"/>
        <v>0</v>
      </c>
      <c r="P154" s="60">
        <f t="shared" si="25"/>
        <v>0</v>
      </c>
      <c r="Q154" s="61" t="str">
        <f>_xlfn.IFNA(VLOOKUP($F154,tblInfluence[],3,FALSE),"")</f>
        <v/>
      </c>
      <c r="R154" s="61" t="str">
        <f>_xlfn.IFNA(VLOOKUP($F154,tblInfluence[],4,FALSE),"")</f>
        <v/>
      </c>
    </row>
    <row r="155" spans="1:32">
      <c r="A155" s="1" t="s">
        <v>154</v>
      </c>
      <c r="B155" t="str">
        <f t="shared" si="26"/>
        <v>When you Aim, you may make called shots against sailing projectiles to deflect their course.</v>
      </c>
      <c r="D155" s="19"/>
      <c r="E155" s="15" t="s">
        <v>193</v>
      </c>
      <c r="F155" s="3"/>
      <c r="G155" s="3" t="str">
        <f>IFERROR(VLOOKUP(F155,tblManoeuvre[#Data],2,FALSE)&amp;" "&amp;VLOOKUP(F155,tblManoeuvre[#Data],3,FALSE),"")</f>
        <v/>
      </c>
      <c r="H155" s="67" t="str">
        <f>IFERROR(IF(VLOOKUP(F155,tblManoeuvre[],8,FALSE)=0,"None",VLOOKUP(F155,tblManoeuvre[],8,FALSE)),"None")</f>
        <v>None</v>
      </c>
      <c r="I155" s="67"/>
      <c r="L155" s="4"/>
      <c r="M155" s="4"/>
      <c r="N155" s="4"/>
      <c r="O155" s="61">
        <f t="shared" si="24"/>
        <v>0</v>
      </c>
      <c r="P155" s="60">
        <f t="shared" si="25"/>
        <v>0</v>
      </c>
      <c r="Q155" s="61" t="str">
        <f>_xlfn.IFNA(VLOOKUP($F155,tblInfluence[],3,FALSE),"")</f>
        <v/>
      </c>
      <c r="R155" s="61" t="str">
        <f>_xlfn.IFNA(VLOOKUP($F155,tblInfluence[],4,FALSE),"")</f>
        <v/>
      </c>
      <c r="AE155" s="61">
        <f>IF(P160=5,1,0)</f>
        <v>0</v>
      </c>
    </row>
    <row r="156" spans="1:32">
      <c r="A156" s="1" t="s">
        <v>155</v>
      </c>
      <c r="B156" t="str">
        <f t="shared" si="26"/>
        <v>Sacrifice Defence to make an attack with +2 armour piercing.</v>
      </c>
      <c r="D156" s="19"/>
      <c r="E156" s="15" t="s">
        <v>194</v>
      </c>
      <c r="F156" s="3"/>
      <c r="G156" s="3" t="str">
        <f>IFERROR(VLOOKUP(F156,tblManoeuvre[#Data],2,FALSE)&amp;" "&amp;VLOOKUP(F156,tblManoeuvre[#Data],3,FALSE),"")</f>
        <v/>
      </c>
      <c r="H156" s="67" t="str">
        <f>IFERROR(IF(VLOOKUP(F156,tblManoeuvre[],8,FALSE)=0,"None",VLOOKUP(F156,tblManoeuvre[],8,FALSE)),"None")</f>
        <v>None</v>
      </c>
      <c r="I156" s="67"/>
      <c r="L156" s="4"/>
      <c r="M156" s="4"/>
      <c r="N156" s="4"/>
      <c r="O156" s="61">
        <f t="shared" si="24"/>
        <v>0</v>
      </c>
      <c r="P156" s="60">
        <f t="shared" si="25"/>
        <v>0</v>
      </c>
      <c r="Q156" s="61" t="str">
        <f>_xlfn.IFNA(VLOOKUP($F156,tblInfluence[],3,FALSE),"")</f>
        <v/>
      </c>
      <c r="R156" s="61" t="str">
        <f>_xlfn.IFNA(VLOOKUP($F156,tblInfluence[],4,FALSE),"")</f>
        <v/>
      </c>
      <c r="AE156" s="61" t="b">
        <f>COUNTIF(AA2:AA21,"*Honey With Vinegar*")&gt;0</f>
        <v>0</v>
      </c>
    </row>
    <row r="157" spans="1:32">
      <c r="A157" s="1" t="s">
        <v>156</v>
      </c>
      <c r="B157" t="str">
        <f t="shared" si="26"/>
        <v>Reduce called shot penalties by two dice. Resulting Tilts persist while projectile lodged; removing requires Strength + Stamina - remaining damage. Healed damage removes Tilt.</v>
      </c>
      <c r="D157" s="19"/>
      <c r="E157" s="15" t="s">
        <v>195</v>
      </c>
      <c r="F157" s="3"/>
      <c r="G157" s="3" t="str">
        <f>IFERROR(VLOOKUP(F157,tblManoeuvre[#Data],2,FALSE)&amp;" "&amp;VLOOKUP(F157,tblManoeuvre[#Data],3,FALSE),"")</f>
        <v/>
      </c>
      <c r="H157" s="67" t="str">
        <f>IFERROR(IF(VLOOKUP(F157,tblManoeuvre[],8,FALSE)=0,"None",VLOOKUP(F157,tblManoeuvre[],8,FALSE)),"None")</f>
        <v>None</v>
      </c>
      <c r="I157" s="67"/>
      <c r="L157" s="4"/>
      <c r="M157" s="4"/>
      <c r="N157" s="4"/>
      <c r="O157" s="61">
        <f t="shared" si="24"/>
        <v>0</v>
      </c>
      <c r="P157" s="60">
        <f t="shared" si="25"/>
        <v>0</v>
      </c>
      <c r="Q157" s="61" t="str">
        <f>_xlfn.IFNA(VLOOKUP($F157,tblInfluence[],3,FALSE),"")</f>
        <v/>
      </c>
      <c r="R157" s="61" t="str">
        <f>_xlfn.IFNA(VLOOKUP($F157,tblInfluence[],4,FALSE),"")</f>
        <v/>
      </c>
    </row>
    <row r="158" spans="1:32">
      <c r="A158" s="1" t="s">
        <v>157</v>
      </c>
      <c r="B158" t="str">
        <f t="shared" si="26"/>
        <v>¬</v>
      </c>
    </row>
    <row r="159" spans="1:32">
      <c r="A159" s="1" t="s">
        <v>158</v>
      </c>
      <c r="B159" t="str">
        <f t="shared" si="26"/>
        <v>¬</v>
      </c>
      <c r="D159" s="16" t="s">
        <v>1486</v>
      </c>
      <c r="E159" s="17"/>
      <c r="F159" s="17" t="s">
        <v>1487</v>
      </c>
      <c r="G159" s="17"/>
      <c r="H159" s="17"/>
      <c r="I159" s="17"/>
    </row>
    <row r="160" spans="1:32">
      <c r="A160" s="1" t="s">
        <v>159</v>
      </c>
      <c r="B160" t="str">
        <f t="shared" si="26"/>
        <v>¬</v>
      </c>
      <c r="D160" s="19"/>
      <c r="E160" s="15" t="s">
        <v>98</v>
      </c>
      <c r="F160" s="3" t="s">
        <v>694</v>
      </c>
      <c r="G160" s="60"/>
      <c r="H160" s="60"/>
      <c r="I160" s="60"/>
      <c r="L160" s="4">
        <v>4</v>
      </c>
      <c r="M160" s="4"/>
      <c r="N160" s="4"/>
      <c r="O160" s="61">
        <f>N160</f>
        <v>0</v>
      </c>
      <c r="P160" s="60">
        <f>MIN(SUM(L160,M160,O160),R160)</f>
        <v>4</v>
      </c>
      <c r="Q160" s="61">
        <v>1</v>
      </c>
      <c r="R160" s="61">
        <v>5</v>
      </c>
    </row>
    <row r="161" spans="1:18">
      <c r="A161" s="1" t="s">
        <v>160</v>
      </c>
      <c r="B161" t="str">
        <f t="shared" si="26"/>
        <v>¬</v>
      </c>
      <c r="D161" s="19"/>
      <c r="E161" s="15" t="s">
        <v>100</v>
      </c>
      <c r="F161" s="3"/>
      <c r="G161" s="60"/>
      <c r="H161" s="60"/>
      <c r="I161" s="60"/>
      <c r="L161" s="4"/>
      <c r="M161" s="4"/>
      <c r="N161" s="4"/>
      <c r="O161" s="61">
        <f>N161</f>
        <v>0</v>
      </c>
      <c r="P161" s="60">
        <f>MIN(SUM(L161,M161,O161),R161)</f>
        <v>0</v>
      </c>
      <c r="Q161" s="61">
        <v>1</v>
      </c>
      <c r="R161" s="61">
        <v>5</v>
      </c>
    </row>
    <row r="162" spans="1:18">
      <c r="A162" s="1" t="s">
        <v>161</v>
      </c>
      <c r="B162" t="str">
        <f t="shared" si="26"/>
        <v>¬</v>
      </c>
    </row>
    <row r="163" spans="1:18" ht="15.75" thickBot="1">
      <c r="A163" s="1" t="s">
        <v>162</v>
      </c>
      <c r="B163" t="str">
        <f t="shared" si="26"/>
        <v>¬</v>
      </c>
      <c r="D163" s="14" t="s">
        <v>1488</v>
      </c>
      <c r="E163" s="14"/>
      <c r="F163" s="14"/>
      <c r="G163" s="14"/>
      <c r="H163" s="14"/>
      <c r="I163" s="14"/>
      <c r="N163" s="60">
        <f>SUM(N165:N174)+SUM(N177:N181)+SUM(N184:N185)+SUM(N187:N191)+SUM(N194:N203)</f>
        <v>23</v>
      </c>
    </row>
    <row r="164" spans="1:18">
      <c r="A164" s="1" t="s">
        <v>163</v>
      </c>
      <c r="B164" t="str">
        <f t="shared" si="26"/>
        <v>¬</v>
      </c>
      <c r="D164" s="16" t="s">
        <v>1489</v>
      </c>
      <c r="E164" s="15" t="s">
        <v>1490</v>
      </c>
      <c r="F164" s="61" t="str">
        <f>IFERROR(IF($F$8="",VLOOKUP($F$7,tblClans[],5,FALSE),VLOOKUP($F$8,tblBloodlines[],5,FALSE)),"")</f>
        <v>Animalism</v>
      </c>
      <c r="G164" s="61" t="str">
        <f>IFERROR(IF($F$8="",VLOOKUP($F$7,tblClans[],6,FALSE),VLOOKUP($F$8,tblBloodlines[],6,FALSE)),"")</f>
        <v>Auspex</v>
      </c>
      <c r="H164" s="61" t="str">
        <f>IFERROR(IF($F$8="",VLOOKUP($F$7,tblClans[],7,FALSE),VLOOKUP($F$8,tblBloodlines[],7,FALSE)),"")</f>
        <v>Obfuscate</v>
      </c>
      <c r="I164" s="61" t="str">
        <f>IFERROR(IF($F$8="",VLOOKUP($F$7,tblClans[],8,FALSE),VLOOKUP($F$8,tblBloodlines[],8,FALSE)),"")</f>
        <v>Resilience</v>
      </c>
      <c r="L164" s="60">
        <f>3-SUM(L165:L174)-SUM(L184:L185)</f>
        <v>0</v>
      </c>
    </row>
    <row r="165" spans="1:18">
      <c r="A165" s="1" t="s">
        <v>164</v>
      </c>
      <c r="B165" t="str">
        <f t="shared" si="26"/>
        <v>¬</v>
      </c>
      <c r="D165" s="19"/>
      <c r="E165" s="15" t="s">
        <v>236</v>
      </c>
      <c r="F165" s="19"/>
      <c r="G165" s="19"/>
      <c r="H165" s="19"/>
      <c r="I165" s="19"/>
      <c r="L165" s="4"/>
      <c r="N165" s="4"/>
      <c r="O165" s="61">
        <f t="shared" ref="O165:O174" si="27">ROUNDDOWN(IF(COUNTIF($F$164:$I$164,$E165)&gt;0,N165/3,N165/4),0)</f>
        <v>0</v>
      </c>
      <c r="P165" s="60">
        <f>MIN(SUM(L165,O165),R165)</f>
        <v>0</v>
      </c>
      <c r="Q165" s="61">
        <v>0</v>
      </c>
      <c r="R165" s="61">
        <v>5</v>
      </c>
    </row>
    <row r="166" spans="1:18">
      <c r="A166" s="1" t="s">
        <v>165</v>
      </c>
      <c r="B166" t="str">
        <f t="shared" si="26"/>
        <v>¬</v>
      </c>
      <c r="D166" s="19"/>
      <c r="E166" s="15" t="s">
        <v>237</v>
      </c>
      <c r="F166" s="19"/>
      <c r="G166" s="19"/>
      <c r="H166" s="19"/>
      <c r="I166" s="19"/>
      <c r="L166" s="4">
        <v>2</v>
      </c>
      <c r="N166" s="4">
        <v>9</v>
      </c>
      <c r="O166" s="61">
        <f t="shared" si="27"/>
        <v>3</v>
      </c>
      <c r="P166" s="60">
        <f t="shared" ref="P166:P174" si="28">MIN(SUM(L166,O166),R166)</f>
        <v>5</v>
      </c>
      <c r="Q166" s="61">
        <v>0</v>
      </c>
      <c r="R166" s="61">
        <v>5</v>
      </c>
    </row>
    <row r="167" spans="1:18">
      <c r="A167" s="1" t="s">
        <v>166</v>
      </c>
      <c r="B167" t="str">
        <f t="shared" si="26"/>
        <v>¬</v>
      </c>
      <c r="D167" s="19"/>
      <c r="E167" s="15" t="s">
        <v>238</v>
      </c>
      <c r="F167" s="19"/>
      <c r="G167" s="19"/>
      <c r="H167" s="19"/>
      <c r="I167" s="19"/>
      <c r="L167" s="4"/>
      <c r="N167" s="4"/>
      <c r="O167" s="61">
        <f t="shared" si="27"/>
        <v>0</v>
      </c>
      <c r="P167" s="60">
        <f t="shared" si="28"/>
        <v>0</v>
      </c>
      <c r="Q167" s="61">
        <v>0</v>
      </c>
      <c r="R167" s="61">
        <v>5</v>
      </c>
    </row>
    <row r="168" spans="1:18">
      <c r="A168" s="1" t="s">
        <v>167</v>
      </c>
      <c r="B168" t="str">
        <f t="shared" si="26"/>
        <v>¬</v>
      </c>
      <c r="D168" s="19"/>
      <c r="E168" s="15" t="s">
        <v>239</v>
      </c>
      <c r="F168" s="19"/>
      <c r="G168" s="19"/>
      <c r="H168" s="19"/>
      <c r="I168" s="19"/>
      <c r="L168" s="4"/>
      <c r="N168" s="4"/>
      <c r="O168" s="61">
        <f t="shared" si="27"/>
        <v>0</v>
      </c>
      <c r="P168" s="60">
        <f t="shared" si="28"/>
        <v>0</v>
      </c>
      <c r="Q168" s="61">
        <v>0</v>
      </c>
      <c r="R168" s="61">
        <v>5</v>
      </c>
    </row>
    <row r="169" spans="1:18">
      <c r="A169" s="1" t="s">
        <v>168</v>
      </c>
      <c r="B169" t="str">
        <f t="shared" si="26"/>
        <v>¬</v>
      </c>
      <c r="D169" s="19"/>
      <c r="E169" s="15" t="s">
        <v>240</v>
      </c>
      <c r="F169" s="19"/>
      <c r="G169" s="19"/>
      <c r="H169" s="19"/>
      <c r="I169" s="19"/>
      <c r="L169" s="4"/>
      <c r="N169" s="4"/>
      <c r="O169" s="61">
        <f t="shared" si="27"/>
        <v>0</v>
      </c>
      <c r="P169" s="60">
        <f t="shared" si="28"/>
        <v>0</v>
      </c>
      <c r="Q169" s="61">
        <v>0</v>
      </c>
      <c r="R169" s="61">
        <v>5</v>
      </c>
    </row>
    <row r="170" spans="1:18">
      <c r="A170" s="1" t="s">
        <v>169</v>
      </c>
      <c r="B170" t="str">
        <f t="shared" si="26"/>
        <v>¬</v>
      </c>
      <c r="D170" s="19"/>
      <c r="E170" s="15" t="s">
        <v>241</v>
      </c>
      <c r="F170" s="19"/>
      <c r="G170" s="19"/>
      <c r="H170" s="19"/>
      <c r="I170" s="19"/>
      <c r="L170" s="4"/>
      <c r="N170" s="4"/>
      <c r="O170" s="61">
        <f t="shared" si="27"/>
        <v>0</v>
      </c>
      <c r="P170" s="60">
        <f t="shared" si="28"/>
        <v>0</v>
      </c>
      <c r="Q170" s="61">
        <v>0</v>
      </c>
      <c r="R170" s="61">
        <v>5</v>
      </c>
    </row>
    <row r="171" spans="1:18">
      <c r="A171" s="1" t="s">
        <v>170</v>
      </c>
      <c r="B171" t="str">
        <f t="shared" si="26"/>
        <v>¬</v>
      </c>
      <c r="D171" s="19"/>
      <c r="E171" s="15" t="s">
        <v>242</v>
      </c>
      <c r="F171" s="19"/>
      <c r="G171" s="19"/>
      <c r="H171" s="19"/>
      <c r="I171" s="19"/>
      <c r="L171" s="4"/>
      <c r="N171" s="4">
        <v>6</v>
      </c>
      <c r="O171" s="61">
        <f t="shared" si="27"/>
        <v>2</v>
      </c>
      <c r="P171" s="60">
        <f t="shared" si="28"/>
        <v>2</v>
      </c>
      <c r="Q171" s="61">
        <v>0</v>
      </c>
      <c r="R171" s="61">
        <v>5</v>
      </c>
    </row>
    <row r="172" spans="1:18">
      <c r="A172" s="1" t="s">
        <v>171</v>
      </c>
      <c r="B172" t="str">
        <f t="shared" si="26"/>
        <v>¬</v>
      </c>
      <c r="D172" s="19"/>
      <c r="E172" s="15" t="s">
        <v>243</v>
      </c>
      <c r="F172" s="19"/>
      <c r="G172" s="19"/>
      <c r="H172" s="19"/>
      <c r="I172" s="19"/>
      <c r="L172" s="4"/>
      <c r="N172" s="4"/>
      <c r="O172" s="61">
        <f t="shared" si="27"/>
        <v>0</v>
      </c>
      <c r="P172" s="60">
        <f t="shared" si="28"/>
        <v>0</v>
      </c>
      <c r="Q172" s="61">
        <v>0</v>
      </c>
      <c r="R172" s="61">
        <v>5</v>
      </c>
    </row>
    <row r="173" spans="1:18">
      <c r="A173" s="1" t="s">
        <v>172</v>
      </c>
      <c r="B173" t="str">
        <f t="shared" si="26"/>
        <v>¬</v>
      </c>
      <c r="D173" s="19"/>
      <c r="E173" s="15" t="s">
        <v>244</v>
      </c>
      <c r="F173" s="19"/>
      <c r="G173" s="19"/>
      <c r="H173" s="19"/>
      <c r="I173" s="19"/>
      <c r="L173" s="4"/>
      <c r="N173" s="4"/>
      <c r="O173" s="61">
        <f t="shared" si="27"/>
        <v>0</v>
      </c>
      <c r="P173" s="60">
        <f t="shared" si="28"/>
        <v>0</v>
      </c>
      <c r="Q173" s="61">
        <v>0</v>
      </c>
      <c r="R173" s="61">
        <v>5</v>
      </c>
    </row>
    <row r="174" spans="1:18">
      <c r="A174" s="1" t="s">
        <v>173</v>
      </c>
      <c r="B174" t="str">
        <f t="shared" si="26"/>
        <v>¬</v>
      </c>
      <c r="D174" s="19"/>
      <c r="E174" s="15" t="s">
        <v>245</v>
      </c>
      <c r="F174" s="19"/>
      <c r="G174" s="19"/>
      <c r="H174" s="19"/>
      <c r="I174" s="19"/>
      <c r="L174" s="4"/>
      <c r="N174" s="4"/>
      <c r="O174" s="61">
        <f t="shared" si="27"/>
        <v>0</v>
      </c>
      <c r="P174" s="60">
        <f t="shared" si="28"/>
        <v>0</v>
      </c>
      <c r="Q174" s="61">
        <v>0</v>
      </c>
      <c r="R174" s="61">
        <v>5</v>
      </c>
    </row>
    <row r="175" spans="1:18">
      <c r="A175" s="1" t="s">
        <v>174</v>
      </c>
      <c r="B175" t="str">
        <f>_xlfn.CONCAT(I137-H137," / ",I137)</f>
        <v>2 / 2</v>
      </c>
    </row>
    <row r="176" spans="1:18">
      <c r="A176" s="1" t="s">
        <v>175</v>
      </c>
      <c r="B176" t="str">
        <f>REPT("□",I137-H137) &amp; REPT("■",H137)</f>
        <v>□□</v>
      </c>
      <c r="D176" s="16" t="s">
        <v>1491</v>
      </c>
      <c r="E176" s="16"/>
      <c r="F176" s="16"/>
      <c r="G176" s="16"/>
      <c r="H176" s="16"/>
      <c r="I176" s="16"/>
    </row>
    <row r="177" spans="1:18">
      <c r="A177" s="1" t="s">
        <v>176</v>
      </c>
      <c r="B177" t="str">
        <f t="shared" ref="B177:B196" si="29">IF(AC134="","¬",AC134)</f>
        <v>Mentor</v>
      </c>
      <c r="D177" s="19"/>
      <c r="E177" s="15" t="s">
        <v>1492</v>
      </c>
      <c r="F177" s="3" t="s">
        <v>1734</v>
      </c>
      <c r="G177" s="19"/>
      <c r="H177" s="72" t="str">
        <f>IFERROR(IF(VLOOKUP(F177,tblDisciplines[],14,FALSE)=0,"None",VLOOKUP(F177,tblDisciplines[],14,FALSE)),"None")</f>
        <v>Ausp 1</v>
      </c>
      <c r="I177" s="73"/>
      <c r="N177" s="4">
        <v>0</v>
      </c>
      <c r="O177" s="61">
        <f>N177</f>
        <v>0</v>
      </c>
      <c r="P177" s="60">
        <f>IF(O177=R177,O177,"")</f>
        <v>0</v>
      </c>
      <c r="R177" s="61">
        <f>_xlfn.IFNA(VLOOKUP(F177,tblDisciplines[],15,FALSE),"")</f>
        <v>0</v>
      </c>
    </row>
    <row r="178" spans="1:18">
      <c r="A178" s="1" t="s">
        <v>177</v>
      </c>
      <c r="B178" t="str">
        <f t="shared" si="29"/>
        <v>Retainer</v>
      </c>
      <c r="D178" s="19"/>
      <c r="E178" s="15" t="s">
        <v>1493</v>
      </c>
      <c r="F178" s="3" t="s">
        <v>1735</v>
      </c>
      <c r="G178" s="19"/>
      <c r="H178" s="72" t="str">
        <f>IFERROR(IF(VLOOKUP(F178,tblDisciplines[],14,FALSE)=0,"None",VLOOKUP(F178,tblDisciplines[],14,FALSE)),"None")</f>
        <v>Ausp 3</v>
      </c>
      <c r="I178" s="73"/>
      <c r="N178" s="4">
        <v>1</v>
      </c>
      <c r="O178" s="61">
        <f>N178</f>
        <v>1</v>
      </c>
      <c r="P178" s="60">
        <f>IF(O178=R178,O178,"")</f>
        <v>1</v>
      </c>
      <c r="R178" s="61">
        <f>_xlfn.IFNA(VLOOKUP(F178,tblDisciplines[],15,FALSE),"")</f>
        <v>1</v>
      </c>
    </row>
    <row r="179" spans="1:18">
      <c r="A179" s="1" t="s">
        <v>178</v>
      </c>
      <c r="B179" t="str">
        <f t="shared" si="29"/>
        <v>Retainer</v>
      </c>
      <c r="D179" s="19"/>
      <c r="E179" s="15" t="s">
        <v>1494</v>
      </c>
      <c r="F179" s="3" t="s">
        <v>1736</v>
      </c>
      <c r="G179" s="19"/>
      <c r="H179" s="72" t="str">
        <f>IFERROR(IF(VLOOKUP(F179,tblDisciplines[],14,FALSE)=0,"None",VLOOKUP(F179,tblDisciplines[],14,FALSE)),"None")</f>
        <v>Ausp 5</v>
      </c>
      <c r="I179" s="73"/>
      <c r="N179" s="4">
        <v>3</v>
      </c>
      <c r="O179" s="61">
        <f>N179</f>
        <v>3</v>
      </c>
      <c r="P179" s="60">
        <f>IF(O179=R179,O179,"")</f>
        <v>3</v>
      </c>
      <c r="R179" s="61">
        <f>_xlfn.IFNA(VLOOKUP(F179,tblDisciplines[],15,FALSE),"")</f>
        <v>3</v>
      </c>
    </row>
    <row r="180" spans="1:18">
      <c r="A180" s="1" t="s">
        <v>179</v>
      </c>
      <c r="B180" t="str">
        <f t="shared" si="29"/>
        <v>¬</v>
      </c>
      <c r="D180" s="19"/>
      <c r="E180" s="15" t="s">
        <v>1495</v>
      </c>
      <c r="F180" s="3"/>
      <c r="G180" s="19"/>
      <c r="H180" s="72" t="str">
        <f>IFERROR(IF(VLOOKUP(F180,tblDisciplines[],14,FALSE)=0,"None",VLOOKUP(F180,tblDisciplines[],14,FALSE)),"None")</f>
        <v>None</v>
      </c>
      <c r="I180" s="73"/>
      <c r="N180" s="4"/>
      <c r="O180" s="61">
        <f>N180</f>
        <v>0</v>
      </c>
      <c r="P180" s="60" t="str">
        <f>IF(O180=R180,O180,"")</f>
        <v/>
      </c>
      <c r="R180" s="61" t="str">
        <f>_xlfn.IFNA(VLOOKUP(F180,tblDisciplines[],15,FALSE),"")</f>
        <v/>
      </c>
    </row>
    <row r="181" spans="1:18">
      <c r="A181" s="1" t="s">
        <v>180</v>
      </c>
      <c r="B181" t="str">
        <f t="shared" si="29"/>
        <v>¬</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29"/>
        <v>¬</v>
      </c>
    </row>
    <row r="183" spans="1:18">
      <c r="A183" s="1" t="s">
        <v>182</v>
      </c>
      <c r="B183" t="str">
        <f t="shared" si="29"/>
        <v>¬</v>
      </c>
      <c r="D183" s="16" t="s">
        <v>1497</v>
      </c>
      <c r="E183" s="16"/>
      <c r="F183" s="16"/>
      <c r="G183" s="16"/>
      <c r="H183" s="16"/>
      <c r="I183" s="16"/>
    </row>
    <row r="184" spans="1:18">
      <c r="A184" s="1" t="s">
        <v>183</v>
      </c>
      <c r="B184" t="str">
        <f t="shared" si="29"/>
        <v>¬</v>
      </c>
      <c r="D184" s="19"/>
      <c r="E184" s="15" t="s">
        <v>246</v>
      </c>
      <c r="F184" s="19"/>
      <c r="G184" s="19"/>
      <c r="H184" s="19"/>
      <c r="I184" s="60" t="b">
        <f>IF(OR(F$9="Circle of the Crone",COUNTIF(F$79:F$93,"Chorister")&gt;0),TRUE,FALSE)</f>
        <v>1</v>
      </c>
      <c r="L184" s="4">
        <v>1</v>
      </c>
      <c r="N184" s="4">
        <v>4</v>
      </c>
      <c r="O184" s="61">
        <f>ROUNDDOWN(N184/4,0)</f>
        <v>1</v>
      </c>
      <c r="P184" s="60">
        <f>SUM(L184,O184)</f>
        <v>2</v>
      </c>
      <c r="Q184" s="61">
        <v>0</v>
      </c>
      <c r="R184" s="61">
        <v>5</v>
      </c>
    </row>
    <row r="185" spans="1:18">
      <c r="A185" s="1" t="s">
        <v>184</v>
      </c>
      <c r="B185" t="str">
        <f t="shared" si="29"/>
        <v>¬</v>
      </c>
      <c r="D185" s="19"/>
      <c r="E185" s="15" t="s">
        <v>247</v>
      </c>
      <c r="F185" s="19"/>
      <c r="G185" s="19"/>
      <c r="H185" s="19"/>
      <c r="I185" s="60" t="b">
        <f>IF(OR(F$9="Lancea et Sanctum",COUNTIF(F$79:F$93,"Laity")&gt;0),TRUE,FALSE)</f>
        <v>0</v>
      </c>
      <c r="L185" s="4"/>
      <c r="N185" s="4"/>
      <c r="O185" s="61">
        <f>ROUNDDOWN(N185/4,0)</f>
        <v>0</v>
      </c>
      <c r="P185" s="60">
        <f>SUM(L185,O185)</f>
        <v>0</v>
      </c>
      <c r="Q185" s="61">
        <v>0</v>
      </c>
      <c r="R185" s="61">
        <v>5</v>
      </c>
    </row>
    <row r="186" spans="1:18">
      <c r="A186" s="1" t="s">
        <v>185</v>
      </c>
      <c r="B186" t="str">
        <f t="shared" si="29"/>
        <v>¬</v>
      </c>
      <c r="D186" s="19"/>
      <c r="E186" s="19"/>
      <c r="F186" s="19"/>
      <c r="G186" s="19"/>
      <c r="H186" s="19"/>
      <c r="I186" s="19"/>
      <c r="L186" s="60">
        <f>SUM(P184:P185)-SUM(L187:L191)</f>
        <v>0</v>
      </c>
    </row>
    <row r="187" spans="1:18">
      <c r="A187" s="1" t="s">
        <v>186</v>
      </c>
      <c r="B187" t="str">
        <f t="shared" si="29"/>
        <v>¬</v>
      </c>
      <c r="D187" s="19"/>
      <c r="E187" s="15" t="s">
        <v>248</v>
      </c>
      <c r="F187" s="19"/>
      <c r="G187" s="19"/>
      <c r="H187" s="19"/>
      <c r="I187" s="19"/>
      <c r="L187" s="4"/>
      <c r="M187" s="61">
        <f>IF(AND(I184,L184&gt;=1),1,0)</f>
        <v>1</v>
      </c>
      <c r="N187" s="4"/>
      <c r="O187" s="61">
        <f>ROUNDDOWN(N187/2,0)</f>
        <v>0</v>
      </c>
      <c r="P187" s="60">
        <f>MIN(SUM(L187,M187,O187),R187)</f>
        <v>1</v>
      </c>
      <c r="Q187" s="61">
        <v>0</v>
      </c>
      <c r="R187" s="61">
        <f>MAX(P$184,P$185)</f>
        <v>2</v>
      </c>
    </row>
    <row r="188" spans="1:18">
      <c r="A188" s="1" t="s">
        <v>187</v>
      </c>
      <c r="B188" t="str">
        <f t="shared" si="29"/>
        <v>¬</v>
      </c>
      <c r="D188" s="19"/>
      <c r="E188" s="15" t="s">
        <v>249</v>
      </c>
      <c r="F188" s="19"/>
      <c r="G188" s="19"/>
      <c r="H188" s="19"/>
      <c r="I188" s="19"/>
      <c r="L188" s="4"/>
      <c r="M188" s="61"/>
      <c r="N188" s="4"/>
      <c r="O188" s="61">
        <f>ROUNDDOWN(N188/2,0)</f>
        <v>0</v>
      </c>
      <c r="P188" s="60">
        <f>MIN(SUM(L188,M188,O188),R188)</f>
        <v>0</v>
      </c>
      <c r="Q188" s="61">
        <v>0</v>
      </c>
      <c r="R188" s="61">
        <f>MAX(P$184,P$185)</f>
        <v>2</v>
      </c>
    </row>
    <row r="189" spans="1:18">
      <c r="A189" s="1" t="s">
        <v>188</v>
      </c>
      <c r="B189" t="str">
        <f t="shared" si="29"/>
        <v>¬</v>
      </c>
      <c r="D189" s="19"/>
      <c r="E189" s="15" t="s">
        <v>250</v>
      </c>
      <c r="F189" s="19"/>
      <c r="G189" s="19"/>
      <c r="H189" s="19"/>
      <c r="I189" s="19"/>
      <c r="L189" s="4">
        <v>1</v>
      </c>
      <c r="M189" s="61">
        <f>IF(AND(I185,L185&gt;=1),1,0)</f>
        <v>0</v>
      </c>
      <c r="N189" s="4"/>
      <c r="O189" s="61">
        <f>ROUNDDOWN(N189/2,0)</f>
        <v>0</v>
      </c>
      <c r="P189" s="60">
        <f>MIN(SUM(L189,M189,O189),R189)</f>
        <v>1</v>
      </c>
      <c r="Q189" s="61">
        <v>0</v>
      </c>
      <c r="R189" s="61">
        <f>MAX(P$184,P$185)</f>
        <v>2</v>
      </c>
    </row>
    <row r="190" spans="1:18">
      <c r="A190" s="1" t="s">
        <v>189</v>
      </c>
      <c r="B190" t="str">
        <f t="shared" si="29"/>
        <v>¬</v>
      </c>
      <c r="D190" s="19"/>
      <c r="E190" s="15" t="s">
        <v>251</v>
      </c>
      <c r="F190" s="19"/>
      <c r="G190" s="19"/>
      <c r="H190" s="19"/>
      <c r="I190" s="19"/>
      <c r="L190" s="4">
        <v>1</v>
      </c>
      <c r="M190" s="61">
        <f>IF(AND(I184,L184&gt;=1),1,0)</f>
        <v>1</v>
      </c>
      <c r="N190" s="4"/>
      <c r="O190" s="61">
        <f>ROUNDDOWN(N190/2,0)</f>
        <v>0</v>
      </c>
      <c r="P190" s="60">
        <f>MIN(SUM(L190,M190,O190),R190)</f>
        <v>2</v>
      </c>
      <c r="Q190" s="61">
        <v>0</v>
      </c>
      <c r="R190" s="61">
        <f>MAX(P$184,P$185)</f>
        <v>2</v>
      </c>
    </row>
    <row r="191" spans="1:18">
      <c r="A191" s="1" t="s">
        <v>190</v>
      </c>
      <c r="B191" t="str">
        <f t="shared" si="29"/>
        <v>¬</v>
      </c>
      <c r="D191" s="19"/>
      <c r="E191" s="15" t="s">
        <v>252</v>
      </c>
      <c r="F191" s="19"/>
      <c r="G191" s="19"/>
      <c r="H191" s="19"/>
      <c r="I191" s="19"/>
      <c r="L191" s="4"/>
      <c r="M191" s="61">
        <f>IF(AND(I185,L185&gt;=1),1,0)</f>
        <v>0</v>
      </c>
      <c r="N191" s="4"/>
      <c r="O191" s="61">
        <f>ROUNDDOWN(N191/2,0)</f>
        <v>0</v>
      </c>
      <c r="P191" s="60">
        <f>MIN(SUM(L191,M191,O191),R191)</f>
        <v>0</v>
      </c>
      <c r="Q191" s="61">
        <v>0</v>
      </c>
      <c r="R191" s="61">
        <f>MAX(P$184,P$185)</f>
        <v>2</v>
      </c>
    </row>
    <row r="192" spans="1:18">
      <c r="A192" s="1" t="s">
        <v>191</v>
      </c>
      <c r="B192" t="str">
        <f t="shared" si="29"/>
        <v>¬</v>
      </c>
    </row>
    <row r="193" spans="1:18">
      <c r="A193" s="1" t="s">
        <v>192</v>
      </c>
      <c r="B193" t="str">
        <f t="shared" si="29"/>
        <v>¬</v>
      </c>
      <c r="D193" s="16" t="s">
        <v>1474</v>
      </c>
      <c r="E193" s="16"/>
      <c r="F193" s="16"/>
      <c r="G193" s="16"/>
      <c r="H193" s="16"/>
      <c r="I193" s="16"/>
      <c r="L193" s="60">
        <f>SUM(P184:P185)+SUM(O187:O191)-SUM(L194:L203)</f>
        <v>0</v>
      </c>
    </row>
    <row r="194" spans="1:18">
      <c r="A194" s="1" t="s">
        <v>193</v>
      </c>
      <c r="B194" t="str">
        <f t="shared" si="29"/>
        <v>¬</v>
      </c>
      <c r="D194" s="19"/>
      <c r="E194" s="15" t="s">
        <v>1498</v>
      </c>
      <c r="F194" s="3" t="s">
        <v>1737</v>
      </c>
      <c r="G194" s="61" t="str">
        <f>_xlfn.IFNA(VLOOKUP(F194,tblDisciplines[],2,FALSE),"")</f>
        <v>Cruac</v>
      </c>
      <c r="H194" s="19"/>
      <c r="I194" s="19"/>
      <c r="L194" s="4">
        <v>1</v>
      </c>
      <c r="N194" s="4"/>
      <c r="O194" s="61">
        <f>N194</f>
        <v>0</v>
      </c>
      <c r="P194" s="60">
        <f>IF(OR(L194=R194,O194=R194),R194,MIN(SUM(L194,O194),R194))</f>
        <v>1</v>
      </c>
      <c r="R194" s="61">
        <f>_xlfn.IFNA(VLOOKUP(F194,tblDisciplines[],3,FALSE),"")</f>
        <v>2</v>
      </c>
    </row>
    <row r="195" spans="1:18">
      <c r="A195" s="1" t="s">
        <v>194</v>
      </c>
      <c r="B195" t="str">
        <f t="shared" si="29"/>
        <v>¬</v>
      </c>
      <c r="D195" s="19"/>
      <c r="E195" s="15" t="s">
        <v>1499</v>
      </c>
      <c r="F195" s="3" t="s">
        <v>1738</v>
      </c>
      <c r="G195" s="61" t="str">
        <f>_xlfn.IFNA(VLOOKUP(F195,tblDisciplines[],2,FALSE),"")</f>
        <v>Cruac</v>
      </c>
      <c r="H195" s="19"/>
      <c r="I195" s="19"/>
      <c r="L195" s="4">
        <v>1</v>
      </c>
      <c r="N195" s="4"/>
      <c r="O195" s="61">
        <f t="shared" ref="O195:O203" si="30">N195</f>
        <v>0</v>
      </c>
      <c r="P195" s="60">
        <f t="shared" ref="P195:P203" si="31">IF(OR(L195=R195,O195=R195),R195,MIN(SUM(L195,O195),R195))</f>
        <v>1</v>
      </c>
      <c r="R195" s="61">
        <f>_xlfn.IFNA(VLOOKUP(F195,tblDisciplines[],3,FALSE),"")</f>
        <v>2</v>
      </c>
    </row>
    <row r="196" spans="1:18">
      <c r="A196" s="1" t="s">
        <v>195</v>
      </c>
      <c r="B196" t="str">
        <f t="shared" si="29"/>
        <v>¬</v>
      </c>
      <c r="D196" s="19"/>
      <c r="E196" s="15" t="s">
        <v>1500</v>
      </c>
      <c r="F196" s="3"/>
      <c r="G196" s="61" t="str">
        <f>_xlfn.IFNA(VLOOKUP(F196,tblDisciplines[],2,FALSE),"")</f>
        <v/>
      </c>
      <c r="H196" s="19"/>
      <c r="I196" s="19"/>
      <c r="L196" s="4"/>
      <c r="N196" s="4"/>
      <c r="O196" s="61">
        <f t="shared" si="30"/>
        <v>0</v>
      </c>
      <c r="P196" s="60" t="str">
        <f t="shared" si="31"/>
        <v/>
      </c>
      <c r="R196" s="61" t="str">
        <f>_xlfn.IFNA(VLOOKUP(F196,tblDisciplines[],3,FALSE),"")</f>
        <v/>
      </c>
    </row>
    <row r="197" spans="1:18">
      <c r="A197" s="1" t="s">
        <v>196</v>
      </c>
      <c r="B197" t="str">
        <f>IF(AD134="","¬",AD134)</f>
        <v>Baba Grozda</v>
      </c>
      <c r="D197" s="19"/>
      <c r="E197" s="15" t="s">
        <v>1501</v>
      </c>
      <c r="F197" s="3"/>
      <c r="G197" s="61" t="str">
        <f>_xlfn.IFNA(VLOOKUP(F197,tblDisciplines[],2,FALSE),"")</f>
        <v/>
      </c>
      <c r="H197" s="19"/>
      <c r="I197" s="19"/>
      <c r="L197" s="4"/>
      <c r="N197" s="4"/>
      <c r="O197" s="61">
        <f t="shared" si="30"/>
        <v>0</v>
      </c>
      <c r="P197" s="60" t="str">
        <f t="shared" si="31"/>
        <v/>
      </c>
      <c r="R197" s="61" t="str">
        <f>_xlfn.IFNA(VLOOKUP(F197,tblDisciplines[],3,FALSE),"")</f>
        <v/>
      </c>
    </row>
    <row r="198" spans="1:18">
      <c r="A198" s="1" t="s">
        <v>197</v>
      </c>
      <c r="B198" t="str">
        <f t="shared" ref="B198:B216" si="32">IF(AD135="","¬",AD135)</f>
        <v>Void-Bird</v>
      </c>
      <c r="D198" s="19"/>
      <c r="E198" s="15" t="s">
        <v>1502</v>
      </c>
      <c r="F198" s="3"/>
      <c r="G198" s="61" t="str">
        <f>_xlfn.IFNA(VLOOKUP(F198,tblDisciplines[],2,FALSE),"")</f>
        <v/>
      </c>
      <c r="H198" s="19"/>
      <c r="I198" s="19"/>
      <c r="L198" s="4"/>
      <c r="N198" s="4"/>
      <c r="O198" s="61">
        <f t="shared" si="30"/>
        <v>0</v>
      </c>
      <c r="P198" s="60" t="str">
        <f t="shared" si="31"/>
        <v/>
      </c>
      <c r="R198" s="61" t="str">
        <f>_xlfn.IFNA(VLOOKUP(F198,tblDisciplines[],3,FALSE),"")</f>
        <v/>
      </c>
    </row>
    <row r="199" spans="1:18">
      <c r="A199" s="1" t="s">
        <v>198</v>
      </c>
      <c r="B199" t="str">
        <f t="shared" si="32"/>
        <v>Void-Dog</v>
      </c>
      <c r="D199" s="19"/>
      <c r="E199" s="15" t="s">
        <v>1503</v>
      </c>
      <c r="F199" s="3"/>
      <c r="G199" s="61" t="str">
        <f>_xlfn.IFNA(VLOOKUP(F199,tblDisciplines[],2,FALSE),"")</f>
        <v/>
      </c>
      <c r="H199" s="19"/>
      <c r="I199" s="19"/>
      <c r="L199" s="4"/>
      <c r="N199" s="4"/>
      <c r="O199" s="61">
        <f t="shared" si="30"/>
        <v>0</v>
      </c>
      <c r="P199" s="60" t="str">
        <f t="shared" si="31"/>
        <v/>
      </c>
      <c r="R199" s="61" t="str">
        <f>_xlfn.IFNA(VLOOKUP(F199,tblDisciplines[],3,FALSE),"")</f>
        <v/>
      </c>
    </row>
    <row r="200" spans="1:18">
      <c r="A200" s="1" t="s">
        <v>199</v>
      </c>
      <c r="B200" t="str">
        <f t="shared" si="32"/>
        <v>¬</v>
      </c>
      <c r="D200" s="19"/>
      <c r="E200" s="15" t="s">
        <v>1504</v>
      </c>
      <c r="F200" s="3"/>
      <c r="G200" s="61" t="str">
        <f>_xlfn.IFNA(VLOOKUP(F200,tblDisciplines[],2,FALSE),"")</f>
        <v/>
      </c>
      <c r="H200" s="19"/>
      <c r="I200" s="19"/>
      <c r="L200" s="4"/>
      <c r="N200" s="4"/>
      <c r="O200" s="61">
        <f t="shared" si="30"/>
        <v>0</v>
      </c>
      <c r="P200" s="60" t="str">
        <f t="shared" si="31"/>
        <v/>
      </c>
      <c r="R200" s="61" t="str">
        <f>_xlfn.IFNA(VLOOKUP(F200,tblDisciplines[],3,FALSE),"")</f>
        <v/>
      </c>
    </row>
    <row r="201" spans="1:18">
      <c r="A201" s="1" t="s">
        <v>200</v>
      </c>
      <c r="B201" t="str">
        <f t="shared" si="32"/>
        <v>¬</v>
      </c>
      <c r="D201" s="19"/>
      <c r="E201" s="15" t="s">
        <v>1505</v>
      </c>
      <c r="F201" s="3"/>
      <c r="G201" s="61" t="str">
        <f>_xlfn.IFNA(VLOOKUP(F201,tblDisciplines[],2,FALSE),"")</f>
        <v/>
      </c>
      <c r="H201" s="19"/>
      <c r="I201" s="19"/>
      <c r="L201" s="4"/>
      <c r="N201" s="4"/>
      <c r="O201" s="61">
        <f t="shared" si="30"/>
        <v>0</v>
      </c>
      <c r="P201" s="60" t="str">
        <f t="shared" si="31"/>
        <v/>
      </c>
      <c r="R201" s="61" t="str">
        <f>_xlfn.IFNA(VLOOKUP(F201,tblDisciplines[],3,FALSE),"")</f>
        <v/>
      </c>
    </row>
    <row r="202" spans="1:18">
      <c r="A202" s="1" t="s">
        <v>201</v>
      </c>
      <c r="B202" t="str">
        <f t="shared" si="32"/>
        <v>¬</v>
      </c>
      <c r="D202" s="19"/>
      <c r="E202" s="15" t="s">
        <v>1506</v>
      </c>
      <c r="F202" s="3"/>
      <c r="G202" s="61" t="str">
        <f>_xlfn.IFNA(VLOOKUP(F202,tblDisciplines[],2,FALSE),"")</f>
        <v/>
      </c>
      <c r="H202" s="19"/>
      <c r="I202" s="19"/>
      <c r="L202" s="4"/>
      <c r="N202" s="4"/>
      <c r="O202" s="61">
        <f t="shared" si="30"/>
        <v>0</v>
      </c>
      <c r="P202" s="60" t="str">
        <f t="shared" si="31"/>
        <v/>
      </c>
      <c r="R202" s="61" t="str">
        <f>_xlfn.IFNA(VLOOKUP(F202,tblDisciplines[],3,FALSE),"")</f>
        <v/>
      </c>
    </row>
    <row r="203" spans="1:18">
      <c r="A203" s="1" t="s">
        <v>202</v>
      </c>
      <c r="B203" t="str">
        <f t="shared" si="32"/>
        <v>¬</v>
      </c>
      <c r="D203" s="19"/>
      <c r="E203" s="15" t="s">
        <v>1507</v>
      </c>
      <c r="F203" s="3"/>
      <c r="G203" s="61" t="str">
        <f>_xlfn.IFNA(VLOOKUP(F203,tblDisciplines[],2,FALSE),"")</f>
        <v/>
      </c>
      <c r="H203" s="19"/>
      <c r="I203" s="19"/>
      <c r="L203" s="4"/>
      <c r="N203" s="4"/>
      <c r="O203" s="61">
        <f t="shared" si="30"/>
        <v>0</v>
      </c>
      <c r="P203" s="60" t="str">
        <f t="shared" si="31"/>
        <v/>
      </c>
      <c r="R203" s="61" t="str">
        <f>_xlfn.IFNA(VLOOKUP(F203,tblDisciplines[],3,FALSE),"")</f>
        <v/>
      </c>
    </row>
    <row r="204" spans="1:18">
      <c r="A204" s="1" t="s">
        <v>203</v>
      </c>
      <c r="B204" t="str">
        <f t="shared" si="32"/>
        <v>¬</v>
      </c>
    </row>
    <row r="205" spans="1:18">
      <c r="A205" s="1" t="s">
        <v>204</v>
      </c>
      <c r="B205" t="str">
        <f t="shared" si="32"/>
        <v>¬</v>
      </c>
      <c r="D205" s="16" t="s">
        <v>1508</v>
      </c>
      <c r="E205" s="17"/>
      <c r="F205" s="17"/>
      <c r="G205" s="17"/>
      <c r="H205" s="17"/>
      <c r="I205" s="17"/>
    </row>
    <row r="206" spans="1:18">
      <c r="A206" s="1" t="s">
        <v>205</v>
      </c>
      <c r="B206" t="str">
        <f t="shared" si="32"/>
        <v>¬</v>
      </c>
      <c r="D206" s="19"/>
      <c r="E206" s="15" t="s">
        <v>1476</v>
      </c>
      <c r="F206" s="3"/>
      <c r="G206" s="19" t="str">
        <f>IFERROR(VLOOKUP(F206,tblManoeuvre[],2,FALSE)&amp;" "&amp;VLOOKUP(F206,tblManoeuvre[],3,FALSE),"")</f>
        <v/>
      </c>
      <c r="H206" s="68" t="str">
        <f>_xlfn.IFNA(IF(VLOOKUP(F206,tblMerits[],6,FALSE)=0,"None",VLOOKUP(F206,tblMerits[],6,FALSE)),"None")</f>
        <v>None</v>
      </c>
      <c r="I206" s="69"/>
      <c r="L206" s="4"/>
      <c r="M206" s="4"/>
      <c r="N206" s="4"/>
      <c r="O206" s="61">
        <f t="shared" ref="O206:O215" si="33">N206</f>
        <v>0</v>
      </c>
      <c r="P206" s="60">
        <f t="shared" ref="P206:P215" si="34">MIN(SUM(L206,M206,O206),R206)</f>
        <v>0</v>
      </c>
      <c r="Q206" s="61" t="str">
        <f>_xlfn.IFNA(VLOOKUP($F206,tblPacts[],3,FALSE),"")</f>
        <v/>
      </c>
      <c r="R206" s="61" t="str">
        <f>_xlfn.IFNA(VLOOKUP($F206,tblPacts[],4,FALSE),"")</f>
        <v/>
      </c>
    </row>
    <row r="207" spans="1:18">
      <c r="A207" s="1" t="s">
        <v>206</v>
      </c>
      <c r="B207" t="str">
        <f t="shared" si="32"/>
        <v>¬</v>
      </c>
      <c r="D207" s="19"/>
      <c r="E207" s="15" t="s">
        <v>1477</v>
      </c>
      <c r="F207" s="3"/>
      <c r="G207" s="19" t="str">
        <f>IFERROR(VLOOKUP(F207,tblManoeuvre[],2,FALSE)&amp;" "&amp;VLOOKUP(F207,tblManoeuvre[],3,FALSE),"")</f>
        <v/>
      </c>
      <c r="H207" s="68" t="str">
        <f>_xlfn.IFNA(IF(VLOOKUP(F207,tblMerits[],6,FALSE)=0,"None",VLOOKUP(F207,tblMerits[],6,FALSE)),"None")</f>
        <v>None</v>
      </c>
      <c r="I207" s="69"/>
      <c r="L207" s="4"/>
      <c r="M207" s="4"/>
      <c r="N207" s="4"/>
      <c r="O207" s="61">
        <f t="shared" si="33"/>
        <v>0</v>
      </c>
      <c r="P207" s="60">
        <f t="shared" si="34"/>
        <v>0</v>
      </c>
      <c r="Q207" s="61" t="str">
        <f>_xlfn.IFNA(VLOOKUP($F207,tblPacts[],3,FALSE),"")</f>
        <v/>
      </c>
      <c r="R207" s="61" t="str">
        <f>_xlfn.IFNA(VLOOKUP($F207,tblPacts[],4,FALSE),"")</f>
        <v/>
      </c>
    </row>
    <row r="208" spans="1:18">
      <c r="A208" s="1" t="s">
        <v>207</v>
      </c>
      <c r="B208" t="str">
        <f t="shared" si="32"/>
        <v>¬</v>
      </c>
      <c r="D208" s="19"/>
      <c r="E208" s="15" t="s">
        <v>1478</v>
      </c>
      <c r="F208" s="3"/>
      <c r="G208" s="19" t="str">
        <f>IFERROR(VLOOKUP(F208,tblManoeuvre[],2,FALSE)&amp;" "&amp;VLOOKUP(F208,tblManoeuvre[],3,FALSE),"")</f>
        <v/>
      </c>
      <c r="H208" s="68" t="str">
        <f>_xlfn.IFNA(IF(VLOOKUP(F208,tblMerits[],6,FALSE)=0,"None",VLOOKUP(F208,tblMerits[],6,FALSE)),"None")</f>
        <v>None</v>
      </c>
      <c r="I208" s="69"/>
      <c r="L208" s="4"/>
      <c r="M208" s="4"/>
      <c r="N208" s="4"/>
      <c r="O208" s="61">
        <f t="shared" si="33"/>
        <v>0</v>
      </c>
      <c r="P208" s="60">
        <f t="shared" si="34"/>
        <v>0</v>
      </c>
      <c r="Q208" s="61" t="str">
        <f>_xlfn.IFNA(VLOOKUP($F208,tblPacts[],3,FALSE),"")</f>
        <v/>
      </c>
      <c r="R208" s="61" t="str">
        <f>_xlfn.IFNA(VLOOKUP($F208,tblPacts[],4,FALSE),"")</f>
        <v/>
      </c>
    </row>
    <row r="209" spans="1:18">
      <c r="A209" s="1" t="s">
        <v>208</v>
      </c>
      <c r="B209" t="str">
        <f t="shared" si="32"/>
        <v>¬</v>
      </c>
      <c r="D209" s="19"/>
      <c r="E209" s="15" t="s">
        <v>1479</v>
      </c>
      <c r="F209" s="3"/>
      <c r="G209" s="19" t="str">
        <f>IFERROR(VLOOKUP(F209,tblManoeuvre[],2,FALSE)&amp;" "&amp;VLOOKUP(F209,tblManoeuvre[],3,FALSE),"")</f>
        <v/>
      </c>
      <c r="H209" s="68" t="str">
        <f>_xlfn.IFNA(IF(VLOOKUP(F209,tblMerits[],6,FALSE)=0,"None",VLOOKUP(F209,tblMerits[],6,FALSE)),"None")</f>
        <v>None</v>
      </c>
      <c r="I209" s="69"/>
      <c r="L209" s="4"/>
      <c r="M209" s="4"/>
      <c r="N209" s="4"/>
      <c r="O209" s="61">
        <f t="shared" si="33"/>
        <v>0</v>
      </c>
      <c r="P209" s="60">
        <f t="shared" si="34"/>
        <v>0</v>
      </c>
      <c r="Q209" s="61" t="str">
        <f>_xlfn.IFNA(VLOOKUP($F209,tblPacts[],3,FALSE),"")</f>
        <v/>
      </c>
      <c r="R209" s="61" t="str">
        <f>_xlfn.IFNA(VLOOKUP($F209,tblPacts[],4,FALSE),"")</f>
        <v/>
      </c>
    </row>
    <row r="210" spans="1:18">
      <c r="A210" s="1" t="s">
        <v>209</v>
      </c>
      <c r="B210" t="str">
        <f t="shared" si="32"/>
        <v>¬</v>
      </c>
      <c r="D210" s="19"/>
      <c r="E210" s="15" t="s">
        <v>1480</v>
      </c>
      <c r="F210" s="3"/>
      <c r="G210" s="19" t="str">
        <f>IFERROR(VLOOKUP(F210,tblManoeuvre[],2,FALSE)&amp;" "&amp;VLOOKUP(F210,tblManoeuvre[],3,FALSE),"")</f>
        <v/>
      </c>
      <c r="H210" s="68" t="str">
        <f>_xlfn.IFNA(IF(VLOOKUP(F210,tblMerits[],6,FALSE)=0,"None",VLOOKUP(F210,tblMerits[],6,FALSE)),"None")</f>
        <v>None</v>
      </c>
      <c r="I210" s="69"/>
      <c r="L210" s="4"/>
      <c r="M210" s="4"/>
      <c r="N210" s="4"/>
      <c r="O210" s="61">
        <f t="shared" si="33"/>
        <v>0</v>
      </c>
      <c r="P210" s="60">
        <f t="shared" si="34"/>
        <v>0</v>
      </c>
      <c r="Q210" s="61" t="str">
        <f>_xlfn.IFNA(VLOOKUP($F210,tblPacts[],3,FALSE),"")</f>
        <v/>
      </c>
      <c r="R210" s="61" t="str">
        <f>_xlfn.IFNA(VLOOKUP($F210,tblPacts[],4,FALSE),"")</f>
        <v/>
      </c>
    </row>
    <row r="211" spans="1:18">
      <c r="A211" s="1" t="s">
        <v>210</v>
      </c>
      <c r="B211" t="str">
        <f t="shared" si="32"/>
        <v>¬</v>
      </c>
      <c r="D211" s="19"/>
      <c r="E211" s="15" t="s">
        <v>1481</v>
      </c>
      <c r="F211" s="3"/>
      <c r="G211" s="19" t="str">
        <f>IFERROR(VLOOKUP(F211,tblManoeuvre[],2,FALSE)&amp;" "&amp;VLOOKUP(F211,tblManoeuvre[],3,FALSE),"")</f>
        <v/>
      </c>
      <c r="H211" s="68" t="str">
        <f>_xlfn.IFNA(IF(VLOOKUP(F211,tblMerits[],6,FALSE)=0,"None",VLOOKUP(F211,tblMerits[],6,FALSE)),"None")</f>
        <v>None</v>
      </c>
      <c r="I211" s="69"/>
      <c r="L211" s="4"/>
      <c r="M211" s="4"/>
      <c r="N211" s="4"/>
      <c r="O211" s="61">
        <f t="shared" si="33"/>
        <v>0</v>
      </c>
      <c r="P211" s="60">
        <f t="shared" si="34"/>
        <v>0</v>
      </c>
      <c r="Q211" s="61" t="str">
        <f>_xlfn.IFNA(VLOOKUP($F211,tblPacts[],3,FALSE),"")</f>
        <v/>
      </c>
      <c r="R211" s="61" t="str">
        <f>_xlfn.IFNA(VLOOKUP($F211,tblPacts[],4,FALSE),"")</f>
        <v/>
      </c>
    </row>
    <row r="212" spans="1:18">
      <c r="A212" s="1" t="s">
        <v>211</v>
      </c>
      <c r="B212" t="str">
        <f t="shared" si="32"/>
        <v>¬</v>
      </c>
      <c r="D212" s="19"/>
      <c r="E212" s="15" t="s">
        <v>1482</v>
      </c>
      <c r="F212" s="3"/>
      <c r="G212" s="19" t="str">
        <f>IFERROR(VLOOKUP(F212,tblManoeuvre[],2,FALSE)&amp;" "&amp;VLOOKUP(F212,tblManoeuvre[],3,FALSE),"")</f>
        <v/>
      </c>
      <c r="H212" s="68" t="str">
        <f>_xlfn.IFNA(IF(VLOOKUP(F212,tblMerits[],6,FALSE)=0,"None",VLOOKUP(F212,tblMerits[],6,FALSE)),"None")</f>
        <v>None</v>
      </c>
      <c r="I212" s="69"/>
      <c r="L212" s="4"/>
      <c r="M212" s="4"/>
      <c r="N212" s="4"/>
      <c r="O212" s="61">
        <f t="shared" si="33"/>
        <v>0</v>
      </c>
      <c r="P212" s="60">
        <f t="shared" si="34"/>
        <v>0</v>
      </c>
      <c r="Q212" s="61" t="str">
        <f>_xlfn.IFNA(VLOOKUP($F212,tblPacts[],3,FALSE),"")</f>
        <v/>
      </c>
      <c r="R212" s="61" t="str">
        <f>_xlfn.IFNA(VLOOKUP($F212,tblPacts[],4,FALSE),"")</f>
        <v/>
      </c>
    </row>
    <row r="213" spans="1:18">
      <c r="A213" s="1" t="s">
        <v>212</v>
      </c>
      <c r="B213" t="str">
        <f t="shared" si="32"/>
        <v>¬</v>
      </c>
      <c r="D213" s="19"/>
      <c r="E213" s="15" t="s">
        <v>1483</v>
      </c>
      <c r="F213" s="3"/>
      <c r="G213" s="19" t="str">
        <f>IFERROR(VLOOKUP(F213,tblManoeuvre[],2,FALSE)&amp;" "&amp;VLOOKUP(F213,tblManoeuvre[],3,FALSE),"")</f>
        <v/>
      </c>
      <c r="H213" s="68" t="str">
        <f>_xlfn.IFNA(IF(VLOOKUP(F213,tblMerits[],6,FALSE)=0,"None",VLOOKUP(F213,tblMerits[],6,FALSE)),"None")</f>
        <v>None</v>
      </c>
      <c r="I213" s="69"/>
      <c r="L213" s="4"/>
      <c r="M213" s="4"/>
      <c r="N213" s="4"/>
      <c r="O213" s="61">
        <f t="shared" si="33"/>
        <v>0</v>
      </c>
      <c r="P213" s="60">
        <f t="shared" si="34"/>
        <v>0</v>
      </c>
      <c r="Q213" s="61" t="str">
        <f>_xlfn.IFNA(VLOOKUP($F213,tblPacts[],3,FALSE),"")</f>
        <v/>
      </c>
      <c r="R213" s="61" t="str">
        <f>_xlfn.IFNA(VLOOKUP($F213,tblPacts[],4,FALSE),"")</f>
        <v/>
      </c>
    </row>
    <row r="214" spans="1:18">
      <c r="A214" s="1" t="s">
        <v>213</v>
      </c>
      <c r="B214" t="str">
        <f t="shared" si="32"/>
        <v>¬</v>
      </c>
      <c r="D214" s="19"/>
      <c r="E214" s="15" t="s">
        <v>1484</v>
      </c>
      <c r="F214" s="3"/>
      <c r="G214" s="19" t="str">
        <f>IFERROR(VLOOKUP(F214,tblManoeuvre[],2,FALSE)&amp;" "&amp;VLOOKUP(F214,tblManoeuvre[],3,FALSE),"")</f>
        <v/>
      </c>
      <c r="H214" s="68" t="str">
        <f>_xlfn.IFNA(IF(VLOOKUP(F214,tblMerits[],6,FALSE)=0,"None",VLOOKUP(F214,tblMerits[],6,FALSE)),"None")</f>
        <v>None</v>
      </c>
      <c r="I214" s="69"/>
      <c r="L214" s="4"/>
      <c r="M214" s="4"/>
      <c r="N214" s="4"/>
      <c r="O214" s="61">
        <f t="shared" si="33"/>
        <v>0</v>
      </c>
      <c r="P214" s="60">
        <f t="shared" si="34"/>
        <v>0</v>
      </c>
      <c r="Q214" s="61" t="str">
        <f>_xlfn.IFNA(VLOOKUP($F214,tblPacts[],3,FALSE),"")</f>
        <v/>
      </c>
      <c r="R214" s="61" t="str">
        <f>_xlfn.IFNA(VLOOKUP($F214,tblPacts[],4,FALSE),"")</f>
        <v/>
      </c>
    </row>
    <row r="215" spans="1:18">
      <c r="A215" s="1" t="s">
        <v>214</v>
      </c>
      <c r="B215" t="str">
        <f t="shared" si="32"/>
        <v>¬</v>
      </c>
      <c r="D215" s="19"/>
      <c r="E215" s="15" t="s">
        <v>1485</v>
      </c>
      <c r="F215" s="3"/>
      <c r="G215" s="19" t="str">
        <f>IFERROR(VLOOKUP(F215,tblManoeuvre[],2,FALSE)&amp;" "&amp;VLOOKUP(F215,tblManoeuvre[],3,FALSE),"")</f>
        <v/>
      </c>
      <c r="H215" s="68" t="str">
        <f>_xlfn.IFNA(IF(VLOOKUP(F215,tblMerits[],6,FALSE)=0,"None",VLOOKUP(F215,tblMerits[],6,FALSE)),"None")</f>
        <v>None</v>
      </c>
      <c r="I215" s="69"/>
      <c r="L215" s="4"/>
      <c r="M215" s="4"/>
      <c r="N215" s="4"/>
      <c r="O215" s="61">
        <f t="shared" si="33"/>
        <v>0</v>
      </c>
      <c r="P215" s="60">
        <f t="shared" si="34"/>
        <v>0</v>
      </c>
      <c r="Q215" s="61" t="str">
        <f>_xlfn.IFNA(VLOOKUP($F215,tblPacts[],3,FALSE),"")</f>
        <v/>
      </c>
      <c r="R215" s="61" t="str">
        <f>_xlfn.IFNA(VLOOKUP($F215,tblPacts[],4,FALSE),"")</f>
        <v/>
      </c>
    </row>
    <row r="216" spans="1:18">
      <c r="A216" s="1" t="s">
        <v>215</v>
      </c>
      <c r="B216" t="str">
        <f t="shared" si="32"/>
        <v>¬</v>
      </c>
    </row>
    <row r="217" spans="1:18">
      <c r="A217" s="1" t="s">
        <v>216</v>
      </c>
      <c r="B217" t="str">
        <f>IF(OR(AF134=0,AF134=""),"",REPT("●",AF134))</f>
        <v>●●</v>
      </c>
      <c r="D217" s="16" t="s">
        <v>1509</v>
      </c>
      <c r="E217" s="16"/>
      <c r="F217" s="16"/>
      <c r="G217" s="16"/>
      <c r="H217" s="16"/>
      <c r="I217" s="16"/>
    </row>
    <row r="218" spans="1:18">
      <c r="A218" s="1" t="s">
        <v>217</v>
      </c>
      <c r="B218" t="str">
        <f t="shared" ref="B218:B236" si="35">IF(OR(AF135=0,AF135=""),"",REPT("●",AF135))</f>
        <v>●</v>
      </c>
      <c r="D218" s="19"/>
      <c r="E218" s="15" t="s">
        <v>353</v>
      </c>
      <c r="F218" s="19"/>
      <c r="G218" s="19"/>
      <c r="H218" s="19"/>
      <c r="I218" s="19"/>
      <c r="M218" s="61">
        <f>IF(COUNTIF(F79:F93,"Giant")&gt;0,1,0)+IF(COUNTIF(F79:F93,"Small-Framed")&gt;0,-1,0)</f>
        <v>0</v>
      </c>
      <c r="P218" s="60">
        <f>5+M218</f>
        <v>5</v>
      </c>
    </row>
    <row r="219" spans="1:18">
      <c r="A219" s="1" t="s">
        <v>218</v>
      </c>
      <c r="B219" t="str">
        <f t="shared" si="35"/>
        <v>●</v>
      </c>
      <c r="D219" s="19"/>
      <c r="E219" s="15" t="s">
        <v>354</v>
      </c>
      <c r="F219" s="19"/>
      <c r="G219" s="19"/>
      <c r="H219" s="19"/>
      <c r="I219" s="19"/>
      <c r="P219" s="60">
        <f ca="1">VLOOKUP("Size",INDIRECT($AH$1),2,FALSE)+VLOOKUP("Strength",INDIRECT($AH$1),2,FALSE)+VLOOKUP("Dexterity",INDIRECT($AH$1),2,FALSE)+VLOOKUP("Vigour",INDIRECT($AH$1),2,FALSE)</f>
        <v>10</v>
      </c>
    </row>
    <row r="220" spans="1:18">
      <c r="A220" s="1" t="s">
        <v>219</v>
      </c>
      <c r="B220" t="str">
        <f t="shared" si="35"/>
        <v/>
      </c>
      <c r="D220" s="19"/>
      <c r="E220" s="15" t="s">
        <v>355</v>
      </c>
      <c r="F220" s="19"/>
      <c r="G220" s="19"/>
      <c r="H220" s="19"/>
      <c r="I220" s="19"/>
      <c r="P220" s="60">
        <f ca="1">MIN(VLOOKUP("Dexterity",INDIRECT($AH$1),2,FALSE),VLOOKUP("Wits",INDIRECT($AH$1),2,FALSE))+VLOOKUP("Athletics",INDIRECT($AH$1),2,FALSE)</f>
        <v>5</v>
      </c>
    </row>
    <row r="221" spans="1:18">
      <c r="A221" s="1" t="s">
        <v>220</v>
      </c>
      <c r="B221" t="str">
        <f t="shared" si="35"/>
        <v/>
      </c>
      <c r="D221" s="19"/>
      <c r="E221" s="15" t="s">
        <v>52</v>
      </c>
      <c r="F221" s="19"/>
      <c r="G221" s="19"/>
      <c r="H221" s="19"/>
      <c r="I221" s="19"/>
      <c r="P221" s="60">
        <f ca="1">VLOOKUP("Size",INDIRECT($AH$1),2,FALSE)+VLOOKUP("Stamina",INDIRECT($AH$1),2,FALSE)+VLOOKUP("Resilience",INDIRECT($AH$1),2,FALSE)</f>
        <v>7</v>
      </c>
    </row>
    <row r="222" spans="1:18">
      <c r="A222" s="1" t="s">
        <v>221</v>
      </c>
      <c r="B222" t="str">
        <f t="shared" si="35"/>
        <v/>
      </c>
      <c r="D222" s="19"/>
      <c r="E222" s="19"/>
      <c r="F222" s="19"/>
      <c r="G222" s="19"/>
      <c r="H222" s="15" t="s">
        <v>1510</v>
      </c>
      <c r="I222" s="19"/>
      <c r="L222" s="4"/>
    </row>
    <row r="223" spans="1:18">
      <c r="A223" s="1" t="s">
        <v>222</v>
      </c>
      <c r="B223" t="str">
        <f t="shared" si="35"/>
        <v/>
      </c>
      <c r="D223" s="19"/>
      <c r="E223" s="15" t="s">
        <v>1511</v>
      </c>
      <c r="F223" s="7"/>
      <c r="G223" s="19"/>
      <c r="H223" s="15" t="s">
        <v>1512</v>
      </c>
      <c r="I223" s="19"/>
      <c r="L223" s="4"/>
    </row>
    <row r="224" spans="1:18">
      <c r="A224" s="1" t="s">
        <v>223</v>
      </c>
      <c r="B224" t="str">
        <f t="shared" si="35"/>
        <v/>
      </c>
      <c r="D224" s="19"/>
      <c r="E224" s="15" t="s">
        <v>1513</v>
      </c>
      <c r="F224" s="7"/>
      <c r="G224" s="19"/>
      <c r="H224" s="15" t="s">
        <v>1514</v>
      </c>
      <c r="I224" s="19"/>
      <c r="L224" s="4"/>
    </row>
    <row r="225" spans="1:12">
      <c r="A225" s="1" t="s">
        <v>224</v>
      </c>
      <c r="B225" t="str">
        <f t="shared" si="35"/>
        <v/>
      </c>
      <c r="D225" s="19"/>
      <c r="E225" s="15" t="s">
        <v>1515</v>
      </c>
      <c r="F225" s="7"/>
      <c r="G225" s="19"/>
      <c r="H225" s="15" t="s">
        <v>1516</v>
      </c>
      <c r="I225" s="19"/>
      <c r="L225" s="4"/>
    </row>
    <row r="226" spans="1:12">
      <c r="A226" s="1" t="s">
        <v>225</v>
      </c>
      <c r="B226" t="str">
        <f t="shared" si="35"/>
        <v/>
      </c>
      <c r="D226" s="19"/>
      <c r="E226" s="15" t="s">
        <v>1517</v>
      </c>
      <c r="F226" s="7"/>
      <c r="G226" s="19"/>
      <c r="H226" s="19"/>
      <c r="I226" s="19"/>
    </row>
    <row r="227" spans="1:12">
      <c r="A227" s="1" t="s">
        <v>226</v>
      </c>
      <c r="B227" t="str">
        <f t="shared" si="35"/>
        <v/>
      </c>
      <c r="D227" s="19"/>
      <c r="E227" s="15" t="s">
        <v>1518</v>
      </c>
      <c r="F227" s="7" t="s">
        <v>1739</v>
      </c>
      <c r="G227" s="19"/>
      <c r="H227" s="19"/>
      <c r="I227" s="19"/>
    </row>
    <row r="228" spans="1:12">
      <c r="A228" s="1" t="s">
        <v>227</v>
      </c>
      <c r="B228" t="str">
        <f t="shared" si="35"/>
        <v/>
      </c>
      <c r="D228" s="19"/>
      <c r="E228" s="15" t="s">
        <v>1519</v>
      </c>
      <c r="F228" s="7"/>
      <c r="G228" s="19"/>
      <c r="H228" s="19"/>
      <c r="I228" s="19"/>
    </row>
    <row r="229" spans="1:12">
      <c r="A229" s="1" t="s">
        <v>228</v>
      </c>
      <c r="B229" t="str">
        <f t="shared" si="35"/>
        <v/>
      </c>
      <c r="D229" s="19"/>
      <c r="E229" s="15" t="s">
        <v>1520</v>
      </c>
      <c r="F229" s="7"/>
      <c r="G229" s="19"/>
      <c r="H229" s="19"/>
      <c r="I229" s="19"/>
    </row>
    <row r="230" spans="1:12">
      <c r="A230" s="1" t="s">
        <v>229</v>
      </c>
      <c r="B230" t="str">
        <f t="shared" si="35"/>
        <v/>
      </c>
      <c r="D230" s="19"/>
      <c r="E230" s="15" t="s">
        <v>1521</v>
      </c>
      <c r="F230" s="7"/>
      <c r="G230" s="19"/>
      <c r="H230" s="19"/>
      <c r="I230" s="19"/>
    </row>
    <row r="231" spans="1:12">
      <c r="A231" s="1" t="s">
        <v>230</v>
      </c>
      <c r="B231" t="str">
        <f t="shared" si="35"/>
        <v/>
      </c>
      <c r="D231" s="19"/>
      <c r="E231" s="15" t="s">
        <v>1522</v>
      </c>
      <c r="F231" s="7"/>
      <c r="G231" s="19"/>
      <c r="H231" s="19"/>
      <c r="I231" s="19"/>
    </row>
    <row r="232" spans="1:12">
      <c r="A232" s="1" t="s">
        <v>231</v>
      </c>
      <c r="B232" t="str">
        <f t="shared" si="35"/>
        <v/>
      </c>
      <c r="D232" s="19"/>
      <c r="E232" s="15" t="s">
        <v>1523</v>
      </c>
      <c r="F232" s="7"/>
      <c r="G232" s="19"/>
      <c r="H232" s="19"/>
      <c r="I232" s="19"/>
    </row>
    <row r="233" spans="1:12">
      <c r="A233" s="1" t="s">
        <v>232</v>
      </c>
      <c r="B233" t="str">
        <f t="shared" si="35"/>
        <v/>
      </c>
      <c r="D233" s="19"/>
      <c r="E233" s="19"/>
      <c r="F233" s="19"/>
      <c r="G233" s="19"/>
      <c r="H233" s="19"/>
      <c r="I233" s="19"/>
    </row>
    <row r="234" spans="1:12">
      <c r="A234" s="1" t="s">
        <v>233</v>
      </c>
      <c r="B234" t="str">
        <f t="shared" si="35"/>
        <v/>
      </c>
      <c r="D234" s="19"/>
      <c r="E234" s="15" t="s">
        <v>343</v>
      </c>
      <c r="F234" s="61" t="str">
        <f>_xlfn.IFNA(VLOOKUP(F7,tblClans[],4,FALSE),"")</f>
        <v>Feral Curse</v>
      </c>
      <c r="G234" s="19"/>
      <c r="H234" s="74" t="str">
        <f>_xlfn.IFNA(VLOOKUP(F234,tblBanes[],2,FALSE),"")</f>
        <v>Frenzy resistance dice pools capped by Humanity (doesn't affect Riding the Wave).</v>
      </c>
      <c r="I234" s="74"/>
    </row>
    <row r="235" spans="1:12">
      <c r="A235" s="1" t="s">
        <v>234</v>
      </c>
      <c r="B235" t="str">
        <f t="shared" si="35"/>
        <v/>
      </c>
      <c r="D235" s="19"/>
      <c r="E235" s="15" t="s">
        <v>344</v>
      </c>
      <c r="F235" s="19"/>
      <c r="G235" s="19"/>
      <c r="H235" s="19"/>
      <c r="I235" s="19"/>
    </row>
    <row r="236" spans="1:12">
      <c r="A236" s="1" t="s">
        <v>235</v>
      </c>
      <c r="B236" t="str">
        <f t="shared" si="35"/>
        <v/>
      </c>
      <c r="D236" s="19"/>
      <c r="E236" s="15" t="s">
        <v>345</v>
      </c>
      <c r="F236" s="3"/>
      <c r="G236" s="19"/>
      <c r="H236" s="70" t="str">
        <f>_xlfn.IFNA(VLOOKUP(F236,tblBanes[],2,FALSE),"")</f>
        <v/>
      </c>
      <c r="I236" s="71"/>
    </row>
    <row r="237" spans="1:12">
      <c r="A237" s="1" t="s">
        <v>236</v>
      </c>
      <c r="B237" t="str">
        <f ca="1">_xlfn.LET(_xlpm.v,VLOOKUP(tblCharDataIvana[[#This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_xlfn.LET(_xlpm.v,VLOOKUP(tblCharDataIvana[[#This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_xlfn.LET(_xlpm.v,VLOOKUP(tblCharDataIvana[[#This Row],[Field]],INDIRECT($AH$1),2,FALSE),IF(OR(_xlpm.v=0,_xlpm.v=""),"-",REPT("●",_xlpm.v)))</f>
        <v>-</v>
      </c>
      <c r="D239" s="19"/>
      <c r="E239" s="19"/>
      <c r="F239" s="19"/>
      <c r="G239" s="19"/>
      <c r="H239" s="19"/>
      <c r="I239" s="19"/>
    </row>
    <row r="240" spans="1:12">
      <c r="A240" s="1" t="s">
        <v>239</v>
      </c>
      <c r="B240" t="str">
        <f ca="1">_xlfn.LET(_xlpm.v,VLOOKUP(tblCharDataIvana[[#This Row],[Field]],INDIRECT($AH$1),2,FALSE),IF(OR(_xlpm.v=0,_xlpm.v=""),"-",REPT("●",_xlpm.v)))</f>
        <v>-</v>
      </c>
      <c r="D240" s="19"/>
      <c r="E240" s="15" t="s">
        <v>360</v>
      </c>
      <c r="F240" s="62"/>
      <c r="G240" s="63"/>
      <c r="H240" s="63"/>
      <c r="I240" s="64"/>
    </row>
    <row r="241" spans="1:9">
      <c r="A241" s="1" t="s">
        <v>240</v>
      </c>
      <c r="B241" t="str">
        <f ca="1">_xlfn.LET(_xlpm.v,VLOOKUP(tblCharDataIvana[[#This Row],[Field]],INDIRECT($AH$1),2,FALSE),IF(OR(_xlpm.v=0,_xlpm.v=""),"-",REPT("●",_xlpm.v)))</f>
        <v>-</v>
      </c>
      <c r="D241" s="19"/>
      <c r="E241" s="15" t="s">
        <v>361</v>
      </c>
      <c r="F241" s="62"/>
      <c r="G241" s="63"/>
      <c r="H241" s="63"/>
      <c r="I241" s="64"/>
    </row>
    <row r="242" spans="1:9">
      <c r="A242" s="1" t="s">
        <v>241</v>
      </c>
      <c r="B242" t="str">
        <f ca="1">_xlfn.LET(_xlpm.v,VLOOKUP(tblCharDataIvana[[#This Row],[Field]],INDIRECT($AH$1),2,FALSE),IF(OR(_xlpm.v=0,_xlpm.v=""),"-",REPT("●",_xlpm.v)))</f>
        <v>-</v>
      </c>
      <c r="D242" s="19"/>
      <c r="E242" s="15" t="s">
        <v>362</v>
      </c>
      <c r="F242" s="62"/>
      <c r="G242" s="63"/>
      <c r="H242" s="63"/>
      <c r="I242" s="64"/>
    </row>
    <row r="243" spans="1:9">
      <c r="A243" s="1" t="s">
        <v>242</v>
      </c>
      <c r="B243" t="str">
        <f ca="1">_xlfn.LET(_xlpm.v,VLOOKUP(tblCharDataIvana[[#This Row],[Field]],INDIRECT($AH$1),2,FALSE),IF(OR(_xlpm.v=0,_xlpm.v=""),"-",REPT("●",_xlpm.v)))</f>
        <v>●●</v>
      </c>
      <c r="D243" s="19"/>
      <c r="E243" s="19"/>
      <c r="F243" s="19"/>
      <c r="G243" s="19"/>
      <c r="H243" s="19"/>
      <c r="I243" s="19"/>
    </row>
    <row r="244" spans="1:9">
      <c r="A244" s="1" t="s">
        <v>243</v>
      </c>
      <c r="B244" t="str">
        <f ca="1">_xlfn.LET(_xlpm.v,VLOOKUP(tblCharDataIvana[[#This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_xlfn.LET(_xlpm.v,VLOOKUP(tblCharDataIvana[[#This Row],[Field]],INDIRECT($AH$1),2,FALSE),IF(OR(_xlpm.v=0,_xlpm.v=""),"-",REPT("●",_xlpm.v)))</f>
        <v>-</v>
      </c>
      <c r="D245" s="19"/>
      <c r="E245" s="15" t="s">
        <v>1524</v>
      </c>
      <c r="F245" s="62"/>
      <c r="G245" s="63"/>
      <c r="H245" s="63"/>
      <c r="I245" s="64"/>
    </row>
    <row r="246" spans="1:9">
      <c r="A246" s="1" t="s">
        <v>245</v>
      </c>
      <c r="B246" t="str">
        <f ca="1">_xlfn.LET(_xlpm.v,VLOOKUP(tblCharDataIvana[[#This Row],[Field]],INDIRECT($AH$1),2,FALSE),IF(OR(_xlpm.v=0,_xlpm.v=""),"-",REPT("●",_xlpm.v)))</f>
        <v>-</v>
      </c>
    </row>
    <row r="247" spans="1:9">
      <c r="A247" s="1" t="s">
        <v>246</v>
      </c>
      <c r="B247" t="str">
        <f ca="1">_xlfn.LET(_xlpm.v,VLOOKUP(tblCharDataIvana[[#This Row],[Field]],INDIRECT($AH$1),2,FALSE),IF(OR(_xlpm.v=0,_xlpm.v=""),"-",REPT("●",_xlpm.v)))</f>
        <v>●●</v>
      </c>
      <c r="D247" s="16" t="s">
        <v>1525</v>
      </c>
      <c r="E247" s="16"/>
      <c r="F247" s="16" t="s">
        <v>1526</v>
      </c>
      <c r="G247" s="16" t="s">
        <v>1527</v>
      </c>
      <c r="H247" s="16"/>
      <c r="I247" s="16"/>
    </row>
    <row r="248" spans="1:9">
      <c r="A248" s="1" t="s">
        <v>247</v>
      </c>
      <c r="B248" t="str">
        <f ca="1">_xlfn.LET(_xlpm.v,VLOOKUP(tblCharDataIvana[[#This Row],[Field]],INDIRECT($AH$1),2,FALSE),IF(OR(_xlpm.v=0,_xlpm.v=""),"-",REPT("●",_xlpm.v)))</f>
        <v>-</v>
      </c>
      <c r="D248" s="19"/>
      <c r="E248" s="15" t="s">
        <v>1528</v>
      </c>
      <c r="F248" s="7"/>
      <c r="G248" s="7"/>
      <c r="H248" s="19"/>
      <c r="I248" s="19" t="s">
        <v>1529</v>
      </c>
    </row>
    <row r="249" spans="1:9">
      <c r="A249" s="1" t="s">
        <v>248</v>
      </c>
      <c r="B249" t="str">
        <f ca="1">_xlfn.LET(_xlpm.v,VLOOKUP(tblCharDataIvana[[#This Row],[Field]],INDIRECT($AH$1),2,FALSE),IF(OR(_xlpm.v=0,_xlpm.v=""),"-",REPT("●",_xlpm.v)))</f>
        <v>●</v>
      </c>
      <c r="D249" s="19"/>
      <c r="E249" s="15" t="s">
        <v>1530</v>
      </c>
      <c r="F249" s="7"/>
      <c r="G249" s="7"/>
      <c r="H249" s="19"/>
      <c r="I249" s="19" t="s">
        <v>1531</v>
      </c>
    </row>
    <row r="250" spans="1:9">
      <c r="A250" s="1" t="s">
        <v>249</v>
      </c>
      <c r="B250" t="str">
        <f ca="1">_xlfn.LET(_xlpm.v,VLOOKUP(tblCharDataIvana[[#This Row],[Field]],INDIRECT($AH$1),2,FALSE),IF(OR(_xlpm.v=0,_xlpm.v=""),"-",REPT("●",_xlpm.v)))</f>
        <v>-</v>
      </c>
      <c r="D250" s="19" t="s">
        <v>1532</v>
      </c>
      <c r="E250" s="15" t="s">
        <v>1533</v>
      </c>
      <c r="F250" s="7"/>
      <c r="G250" s="7"/>
      <c r="H250" s="19"/>
      <c r="I250" s="19"/>
    </row>
    <row r="251" spans="1:9">
      <c r="A251" s="1" t="s">
        <v>250</v>
      </c>
      <c r="B251" t="str">
        <f ca="1">_xlfn.LET(_xlpm.v,VLOOKUP(tblCharDataIvana[[#This Row],[Field]],INDIRECT($AH$1),2,FALSE),IF(OR(_xlpm.v=0,_xlpm.v=""),"-",REPT("●",_xlpm.v)))</f>
        <v>●</v>
      </c>
      <c r="D251" s="19" t="s">
        <v>1532</v>
      </c>
      <c r="E251" s="15" t="s">
        <v>1534</v>
      </c>
      <c r="F251" s="7"/>
      <c r="G251" s="7"/>
      <c r="H251" s="19"/>
      <c r="I251" s="19"/>
    </row>
    <row r="252" spans="1:9">
      <c r="A252" s="1" t="s">
        <v>251</v>
      </c>
      <c r="B252" t="str">
        <f ca="1">_xlfn.LET(_xlpm.v,VLOOKUP(tblCharDataIvana[[#This Row],[Field]],INDIRECT($AH$1),2,FALSE),IF(OR(_xlpm.v=0,_xlpm.v=""),"-",REPT("●",_xlpm.v)))</f>
        <v>●●</v>
      </c>
      <c r="D252" s="19" t="s">
        <v>1532</v>
      </c>
      <c r="E252" s="15" t="s">
        <v>1535</v>
      </c>
      <c r="F252" s="7"/>
      <c r="G252" s="7"/>
      <c r="H252" s="19"/>
      <c r="I252" s="19"/>
    </row>
    <row r="253" spans="1:9">
      <c r="A253" s="1" t="s">
        <v>252</v>
      </c>
      <c r="B253" t="str">
        <f ca="1">_xlfn.LET(_xlpm.v,VLOOKUP(tblCharDataIvana[[#This Row],[Field]],INDIRECT($AH$1),2,FALSE),IF(OR(_xlpm.v=0,_xlpm.v=""),"-",REPT("●",_xlpm.v)))</f>
        <v>-</v>
      </c>
      <c r="D253" s="19" t="s">
        <v>1532</v>
      </c>
      <c r="E253" s="15" t="s">
        <v>1536</v>
      </c>
      <c r="F253" s="7"/>
      <c r="G253" s="7"/>
      <c r="H253" s="19"/>
      <c r="I253" s="19"/>
    </row>
    <row r="254" spans="1:9">
      <c r="A254" s="1" t="s">
        <v>253</v>
      </c>
      <c r="B254" t="str">
        <f t="shared" ref="B254:B283" si="36">IF(AD44="","¬",AD44)</f>
        <v>Auspex ● | Beast's Hackles</v>
      </c>
      <c r="D254" s="19" t="s">
        <v>1532</v>
      </c>
      <c r="E254" s="15" t="s">
        <v>1537</v>
      </c>
      <c r="F254" s="7"/>
      <c r="G254" s="7"/>
      <c r="H254" s="19"/>
      <c r="I254" s="19"/>
    </row>
    <row r="255" spans="1:9">
      <c r="A255" s="1" t="s">
        <v>254</v>
      </c>
      <c r="B255" t="str">
        <f t="shared" si="36"/>
        <v>Auspex ●● | Uncanny Perception</v>
      </c>
      <c r="D255" s="19" t="s">
        <v>1532</v>
      </c>
      <c r="E255" s="15" t="s">
        <v>1538</v>
      </c>
      <c r="F255" s="7"/>
      <c r="G255" s="7"/>
      <c r="H255" s="19"/>
      <c r="I255" s="19"/>
    </row>
    <row r="256" spans="1:9">
      <c r="A256" s="1" t="s">
        <v>255</v>
      </c>
      <c r="B256" t="str">
        <f t="shared" si="36"/>
        <v>Auspex ●●● | Spirit's Touch</v>
      </c>
      <c r="D256" s="19" t="s">
        <v>1532</v>
      </c>
      <c r="E256" s="15" t="s">
        <v>1539</v>
      </c>
      <c r="F256" s="7"/>
      <c r="G256" s="7"/>
      <c r="H256" s="19"/>
      <c r="I256" s="19"/>
    </row>
    <row r="257" spans="1:9">
      <c r="A257" s="1" t="s">
        <v>256</v>
      </c>
      <c r="B257" t="str">
        <f t="shared" si="36"/>
        <v>Auspex ●●●● | Lay Open the Mind</v>
      </c>
      <c r="D257" s="19" t="s">
        <v>1532</v>
      </c>
      <c r="E257" s="15" t="s">
        <v>1540</v>
      </c>
      <c r="F257" s="7"/>
      <c r="G257" s="7"/>
      <c r="H257" s="19"/>
      <c r="I257" s="19"/>
    </row>
    <row r="258" spans="1:9">
      <c r="A258" s="1" t="s">
        <v>257</v>
      </c>
      <c r="B258" t="str">
        <f t="shared" si="36"/>
        <v>Auspex ●●●●● | Twilight Projection</v>
      </c>
      <c r="D258" s="19" t="s">
        <v>1532</v>
      </c>
      <c r="E258" s="15" t="s">
        <v>1541</v>
      </c>
      <c r="F258" s="7"/>
      <c r="G258" s="7"/>
      <c r="H258" s="19"/>
      <c r="I258" s="19"/>
    </row>
    <row r="259" spans="1:9">
      <c r="A259" s="1" t="s">
        <v>258</v>
      </c>
      <c r="B259" t="str">
        <f t="shared" si="36"/>
        <v>Obfuscate ● | Face in the Crowd</v>
      </c>
      <c r="D259" s="19" t="s">
        <v>1532</v>
      </c>
      <c r="E259" s="15" t="s">
        <v>1542</v>
      </c>
      <c r="F259" s="7"/>
      <c r="G259" s="7"/>
      <c r="H259" s="19"/>
      <c r="I259" s="19"/>
    </row>
    <row r="260" spans="1:9">
      <c r="A260" s="1" t="s">
        <v>259</v>
      </c>
      <c r="B260" t="str">
        <f t="shared" si="36"/>
        <v>Obfuscate ●● | Touch of Shadow</v>
      </c>
      <c r="D260" s="19" t="s">
        <v>1532</v>
      </c>
      <c r="E260" s="15" t="s">
        <v>1543</v>
      </c>
      <c r="F260" s="7"/>
      <c r="G260" s="7"/>
      <c r="H260" s="19"/>
      <c r="I260" s="19"/>
    </row>
    <row r="261" spans="1:9">
      <c r="A261" s="1" t="s">
        <v>260</v>
      </c>
      <c r="B261" t="str">
        <f t="shared" si="36"/>
        <v>Devotion  | City Attunement</v>
      </c>
      <c r="D261" s="19" t="s">
        <v>1532</v>
      </c>
      <c r="E261" s="15" t="s">
        <v>1544</v>
      </c>
      <c r="F261" s="7"/>
      <c r="G261" s="7"/>
      <c r="H261" s="19"/>
      <c r="I261" s="19"/>
    </row>
    <row r="262" spans="1:9">
      <c r="A262" s="1" t="s">
        <v>261</v>
      </c>
      <c r="B262" t="str">
        <f t="shared" si="36"/>
        <v>Devotion  | Incriminating Evidence</v>
      </c>
      <c r="D262" s="19" t="s">
        <v>1532</v>
      </c>
      <c r="E262" s="15" t="s">
        <v>1545</v>
      </c>
      <c r="F262" s="7"/>
      <c r="G262" s="7"/>
      <c r="H262" s="19"/>
      <c r="I262" s="19"/>
    </row>
    <row r="263" spans="1:9">
      <c r="A263" s="1" t="s">
        <v>262</v>
      </c>
      <c r="B263" t="str">
        <f t="shared" si="36"/>
        <v>Devotion  | Our Mother's Mind</v>
      </c>
      <c r="D263" s="19" t="s">
        <v>1532</v>
      </c>
      <c r="E263" s="15" t="s">
        <v>1546</v>
      </c>
      <c r="F263" s="7"/>
      <c r="G263" s="7"/>
      <c r="H263" s="19"/>
      <c r="I263" s="19"/>
    </row>
    <row r="264" spans="1:9">
      <c r="A264" s="1" t="s">
        <v>263</v>
      </c>
      <c r="B264" t="str">
        <f t="shared" si="36"/>
        <v>Blood Sorcery | Creation ●</v>
      </c>
      <c r="D264" s="19" t="s">
        <v>1532</v>
      </c>
      <c r="E264" s="15" t="s">
        <v>1547</v>
      </c>
      <c r="F264" s="7"/>
      <c r="G264" s="7"/>
      <c r="H264" s="19"/>
      <c r="I264" s="19"/>
    </row>
    <row r="265" spans="1:9">
      <c r="A265" s="1" t="s">
        <v>264</v>
      </c>
      <c r="B265" t="str">
        <f t="shared" si="36"/>
        <v>Blood Sorcery | Divination ●</v>
      </c>
      <c r="D265" s="19" t="s">
        <v>1532</v>
      </c>
      <c r="E265" s="15" t="s">
        <v>1548</v>
      </c>
      <c r="F265" s="7"/>
      <c r="G265" s="7"/>
      <c r="H265" s="19"/>
      <c r="I265" s="19"/>
    </row>
    <row r="266" spans="1:9">
      <c r="A266" s="1" t="s">
        <v>265</v>
      </c>
      <c r="B266" t="str">
        <f t="shared" si="36"/>
        <v>Blood Sorcery | Protection ●</v>
      </c>
      <c r="D266" s="19" t="s">
        <v>1532</v>
      </c>
      <c r="E266" s="15" t="s">
        <v>1549</v>
      </c>
      <c r="F266" s="7"/>
      <c r="G266" s="7"/>
      <c r="H266" s="19"/>
      <c r="I266" s="19"/>
    </row>
    <row r="267" spans="1:9">
      <c r="A267" s="1" t="s">
        <v>266</v>
      </c>
      <c r="B267" t="str">
        <f t="shared" si="36"/>
        <v>Blood Sorcery | Protection ●●</v>
      </c>
      <c r="D267" s="19" t="s">
        <v>1532</v>
      </c>
      <c r="E267" s="15" t="s">
        <v>1550</v>
      </c>
      <c r="F267" s="7"/>
      <c r="G267" s="7"/>
      <c r="H267" s="19"/>
      <c r="I267" s="19"/>
    </row>
    <row r="268" spans="1:9">
      <c r="A268" s="1" t="s">
        <v>267</v>
      </c>
      <c r="B268" t="str">
        <f t="shared" si="36"/>
        <v>Cruac ●● | Blood Witness</v>
      </c>
      <c r="D268" s="19" t="s">
        <v>1532</v>
      </c>
      <c r="E268" s="15" t="s">
        <v>1551</v>
      </c>
      <c r="F268" s="7"/>
      <c r="G268" s="7"/>
      <c r="H268" s="19"/>
      <c r="I268" s="19"/>
    </row>
    <row r="269" spans="1:9">
      <c r="A269" s="1" t="s">
        <v>268</v>
      </c>
      <c r="B269" t="str">
        <f t="shared" si="36"/>
        <v>Cruac ●● | Shed the Virulent Bowels</v>
      </c>
      <c r="D269" s="19" t="s">
        <v>1532</v>
      </c>
      <c r="E269" s="15" t="s">
        <v>1552</v>
      </c>
      <c r="F269" s="7"/>
      <c r="G269" s="7"/>
      <c r="H269" s="19"/>
      <c r="I269" s="19"/>
    </row>
    <row r="270" spans="1:9">
      <c r="A270" s="1" t="s">
        <v>269</v>
      </c>
      <c r="B270" t="str">
        <f t="shared" si="36"/>
        <v>¬</v>
      </c>
      <c r="D270" s="19" t="s">
        <v>1532</v>
      </c>
      <c r="E270" s="15" t="s">
        <v>1553</v>
      </c>
      <c r="F270" s="7"/>
      <c r="G270" s="7"/>
      <c r="H270" s="19"/>
      <c r="I270" s="19"/>
    </row>
    <row r="271" spans="1:9">
      <c r="A271" s="1" t="s">
        <v>270</v>
      </c>
      <c r="B271" t="str">
        <f t="shared" si="36"/>
        <v>¬</v>
      </c>
      <c r="D271" s="19" t="s">
        <v>1532</v>
      </c>
      <c r="E271" s="15" t="s">
        <v>1554</v>
      </c>
      <c r="F271" s="7"/>
      <c r="G271" s="7"/>
      <c r="H271" s="19"/>
      <c r="I271" s="19"/>
    </row>
    <row r="272" spans="1:9">
      <c r="A272" s="1" t="s">
        <v>271</v>
      </c>
      <c r="B272" t="str">
        <f t="shared" si="36"/>
        <v>¬</v>
      </c>
      <c r="D272" s="19" t="s">
        <v>1532</v>
      </c>
      <c r="E272" s="15" t="s">
        <v>1555</v>
      </c>
      <c r="F272" s="7"/>
      <c r="G272" s="7"/>
      <c r="H272" s="19"/>
      <c r="I272" s="19"/>
    </row>
    <row r="273" spans="1:14">
      <c r="A273" s="1" t="s">
        <v>272</v>
      </c>
      <c r="B273" t="str">
        <f t="shared" si="36"/>
        <v>¬</v>
      </c>
      <c r="D273" s="19" t="s">
        <v>1532</v>
      </c>
      <c r="E273" s="15" t="s">
        <v>1556</v>
      </c>
      <c r="F273" s="7"/>
      <c r="G273" s="7"/>
      <c r="H273" s="19"/>
      <c r="I273" s="19"/>
    </row>
    <row r="274" spans="1:14">
      <c r="A274" s="1" t="s">
        <v>273</v>
      </c>
      <c r="B274" t="str">
        <f t="shared" si="36"/>
        <v>¬</v>
      </c>
      <c r="D274" s="19" t="s">
        <v>1532</v>
      </c>
      <c r="E274" s="15" t="s">
        <v>1557</v>
      </c>
      <c r="F274" s="7"/>
      <c r="G274" s="7"/>
      <c r="H274" s="19"/>
      <c r="I274" s="19"/>
    </row>
    <row r="275" spans="1:14">
      <c r="A275" s="1" t="s">
        <v>274</v>
      </c>
      <c r="B275" t="str">
        <f t="shared" si="36"/>
        <v>¬</v>
      </c>
      <c r="D275" s="19" t="s">
        <v>1532</v>
      </c>
      <c r="E275" s="15" t="s">
        <v>1558</v>
      </c>
      <c r="F275" s="7"/>
      <c r="G275" s="7"/>
      <c r="H275" s="19"/>
      <c r="I275" s="19"/>
    </row>
    <row r="276" spans="1:14">
      <c r="A276" s="1" t="s">
        <v>275</v>
      </c>
      <c r="B276" t="str">
        <f t="shared" si="36"/>
        <v>¬</v>
      </c>
      <c r="D276" s="19" t="s">
        <v>1532</v>
      </c>
      <c r="E276" s="15" t="s">
        <v>1559</v>
      </c>
      <c r="F276" s="7"/>
      <c r="G276" s="7"/>
      <c r="H276" s="19"/>
      <c r="I276" s="19"/>
    </row>
    <row r="277" spans="1:14">
      <c r="A277" s="1" t="s">
        <v>276</v>
      </c>
      <c r="B277" t="str">
        <f t="shared" si="36"/>
        <v>¬</v>
      </c>
      <c r="D277" s="19" t="s">
        <v>1532</v>
      </c>
      <c r="E277" s="15" t="s">
        <v>1560</v>
      </c>
      <c r="F277" s="7"/>
      <c r="G277" s="7"/>
      <c r="H277" s="19"/>
      <c r="I277" s="19"/>
    </row>
    <row r="278" spans="1:14">
      <c r="A278" s="1" t="s">
        <v>277</v>
      </c>
      <c r="B278" t="str">
        <f t="shared" si="36"/>
        <v>¬</v>
      </c>
    </row>
    <row r="279" spans="1:14">
      <c r="A279" s="1" t="s">
        <v>278</v>
      </c>
      <c r="B279" t="str">
        <f t="shared" si="36"/>
        <v>¬</v>
      </c>
      <c r="D279" s="16" t="s">
        <v>1561</v>
      </c>
      <c r="E279" s="16"/>
      <c r="F279" s="16" t="s">
        <v>1347</v>
      </c>
      <c r="G279" s="16" t="s">
        <v>1348</v>
      </c>
      <c r="H279" s="16" t="s">
        <v>1349</v>
      </c>
      <c r="I279" s="16" t="s">
        <v>1350</v>
      </c>
      <c r="N279" s="60">
        <f ca="1">SUM(N280:N282)</f>
        <v>3</v>
      </c>
    </row>
    <row r="280" spans="1:14">
      <c r="A280" s="1" t="s">
        <v>279</v>
      </c>
      <c r="B280" t="str">
        <f t="shared" si="36"/>
        <v>¬</v>
      </c>
      <c r="D280" s="61" t="str" cm="1">
        <f t="array" aca="1" ref="D280" ca="1">INDEX(Attendance!$C$14:$GP$44,
       MATCH($F$4, Attendance!$C$14:$C$44, 0),
       MATCH(1, (Attendance!$C$12:$GP$12=$E280) * (Attendance!$C$13:$GP$13="Paid"), 0)
)</f>
        <v>PayPal</v>
      </c>
      <c r="E280" s="41">
        <v>46054</v>
      </c>
      <c r="F280" s="61" cm="1">
        <f t="array" aca="1" ref="F280" ca="1">N(INDEX(Attendance!$C$14:$GP$104,
       MATCH($F$4, Attendance!$C$14:$C$104, 0),
       MATCH(1, (Attendance!$C$12:$GP$12=$E280) * (Attendance!$C$13:$GP$13=$F$279), 0)
))</f>
        <v>3</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0</v>
      </c>
      <c r="I280" s="61" t="str" cm="1">
        <f t="array" aca="1" ref="I280" ca="1">INDEX(Attendance!$C$14:$GP$44,
       MATCH($F$4, Attendance!$C$14:$C$44, 0),
       MATCH(1, (Attendance!$C$12:$GP$12=$E280) * (Attendance!$C$13:$GP$13=$I$279), 0)
)</f>
        <v>Quiet</v>
      </c>
      <c r="K280" s="18"/>
      <c r="L280" s="18"/>
      <c r="M280" s="18" t="s">
        <v>1562</v>
      </c>
      <c r="N280" s="61">
        <f ca="1">SUM(F$280:F$316)</f>
        <v>3</v>
      </c>
    </row>
    <row r="281" spans="1:14">
      <c r="A281" s="1" t="s">
        <v>280</v>
      </c>
      <c r="B281" t="str">
        <f t="shared" si="36"/>
        <v>¬</v>
      </c>
      <c r="D281" s="61" t="str" cm="1">
        <f t="array" aca="1" ref="D281" ca="1">INDEX(Attendance!$C$14:$GP$44,
       MATCH($F$4, Attendance!$C$14:$C$44, 0),
       MATCH(1, (Attendance!$C$12:$GP$12=$E281) * (Attendance!$C$13:$GP$13="Paid"), 0)
)</f>
        <v> </v>
      </c>
      <c r="E281" s="42">
        <f t="shared" ref="E281:E316" si="37">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6"/>
        <v>¬</v>
      </c>
      <c r="D282" s="61" t="str" cm="1">
        <f t="array" aca="1" ref="D282" ca="1">INDEX(Attendance!$C$14:$GP$44,
       MATCH($F$4, Attendance!$C$14:$C$44, 0),
       MATCH(1, (Attendance!$C$12:$GP$12=$E282) * (Attendance!$C$13:$GP$13="Paid"), 0)
)</f>
        <v> </v>
      </c>
      <c r="E282" s="42">
        <f t="shared" si="37"/>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0</v>
      </c>
    </row>
    <row r="283" spans="1:14">
      <c r="A283" s="1" t="s">
        <v>282</v>
      </c>
      <c r="B283" t="str">
        <f t="shared" si="36"/>
        <v>¬</v>
      </c>
      <c r="D283" s="61" t="str" cm="1">
        <f t="array" aca="1" ref="D283" ca="1">INDEX(Attendance!$C$14:$GP$44,
       MATCH($F$4, Attendance!$C$14:$C$44, 0),
       MATCH(1, (Attendance!$C$12:$GP$12=$E283) * (Attendance!$C$13:$GP$13="Paid"), 0)
)</f>
        <v> </v>
      </c>
      <c r="E283" s="42">
        <f t="shared" si="37"/>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8">IF(AE44="","¬",AE44)</f>
        <v>Cost: Free (1 V for Insight)  •  Pool: - - Composure &amp; Closed Book  •  Instant  •  Scene</v>
      </c>
      <c r="D284" s="61" t="str" cm="1">
        <f t="array" aca="1" ref="D284" ca="1">INDEX(Attendance!$C$14:$GP$44,
       MATCH($F$4, Attendance!$C$14:$C$44, 0),
       MATCH(1, (Attendance!$C$12:$GP$12=$E284) * (Attendance!$C$13:$GP$13="Paid"), 0)
)</f>
        <v> </v>
      </c>
      <c r="E284" s="42">
        <f t="shared" si="37"/>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8"/>
        <v>Cost: Free (1 V for Insight) Must perceive target  •  Pool: -  •  Instant  •  Scene</v>
      </c>
      <c r="D285" s="61" t="str" cm="1">
        <f t="array" aca="1" ref="D285" ca="1">INDEX(Attendance!$C$14:$GP$44,
       MATCH($F$4, Attendance!$C$14:$C$44, 0),
       MATCH(1, (Attendance!$C$12:$GP$12=$E285) * (Attendance!$C$13:$GP$13="Paid"), 0)
)</f>
        <v> </v>
      </c>
      <c r="E285" s="42">
        <f t="shared" si="37"/>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8"/>
        <v>Cost: Free (1 WP for clash / 1 V for Insight)  •  Pool: - v Resolve + Stealth + Obf  •  Reflexive  •  Immediate</v>
      </c>
      <c r="D286" s="61" t="str" cm="1">
        <f t="array" aca="1" ref="D286" ca="1">INDEX(Attendance!$C$14:$GP$44,
       MATCH($F$4, Attendance!$C$14:$C$44, 0),
       MATCH(1, (Attendance!$C$12:$GP$12=$E286) * (Attendance!$C$13:$GP$13="Paid"), 0)
)</f>
        <v> </v>
      </c>
      <c r="E286" s="42">
        <f t="shared" si="37"/>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8"/>
        <v>Cost: 1 V  •  Pool: 10  v Resolve + BP  •  Instant  •  Scene</v>
      </c>
      <c r="D287" s="61" t="str" cm="1">
        <f t="array" aca="1" ref="D287" ca="1">INDEX(Attendance!$C$14:$GP$44,
       MATCH($F$4, Attendance!$C$14:$C$44, 0),
       MATCH(1, (Attendance!$C$12:$GP$12=$E287) * (Attendance!$C$13:$GP$13="Paid"), 0)
)</f>
        <v> </v>
      </c>
      <c r="E287" s="42">
        <f t="shared" si="37"/>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8"/>
        <v>Cost: 2 V  •  Pool: 11  •  Instant  •  Scene (while projected)</v>
      </c>
      <c r="D288" s="61" t="str" cm="1">
        <f t="array" aca="1" ref="D288" ca="1">INDEX(Attendance!$C$14:$GP$44,
       MATCH($F$4, Attendance!$C$14:$C$44, 0),
       MATCH(1, (Attendance!$C$12:$GP$12=$E288) * (Attendance!$C$13:$GP$13="Paid"), 0)
)</f>
        <v> </v>
      </c>
      <c r="E288" s="42">
        <f t="shared" si="37"/>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8"/>
        <v>Cost: -  •  Pool: -  •  Instant  •  Scene</v>
      </c>
      <c r="D289" s="61" t="str" cm="1">
        <f t="array" aca="1" ref="D289" ca="1">INDEX(Attendance!$C$14:$GP$44,
       MATCH($F$4, Attendance!$C$14:$C$44, 0),
       MATCH(1, (Attendance!$C$12:$GP$12=$E289) * (Attendance!$C$13:$GP$13="Paid"), 0)
)</f>
        <v> </v>
      </c>
      <c r="E289" s="42">
        <f t="shared" si="37"/>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8"/>
        <v>Cost: 1 V  •  Pool: 7  •  Instant  •  Scene</v>
      </c>
      <c r="D290" s="61" t="str" cm="1">
        <f t="array" aca="1" ref="D290" ca="1">INDEX(Attendance!$C$14:$GP$44,
       MATCH($F$4, Attendance!$C$14:$C$44, 0),
       MATCH(1, (Attendance!$C$12:$GP$12=$E290) * (Attendance!$C$13:$GP$13="Paid"), 0)
)</f>
        <v> </v>
      </c>
      <c r="E290" s="42">
        <f t="shared" si="37"/>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8"/>
        <v>Cost: 1 V (Scion of the First City Only); city must have 10,000+ inhabitants  •  Pool: -  •  Instant  •  1 night</v>
      </c>
      <c r="D291" s="61" t="str" cm="1">
        <f t="array" aca="1" ref="D291" ca="1">INDEX(Attendance!$C$14:$GP$44,
       MATCH($F$4, Attendance!$C$14:$C$44, 0),
       MATCH(1, (Attendance!$C$12:$GP$12=$E291) * (Attendance!$C$13:$GP$13="Paid"), 0)
)</f>
        <v> </v>
      </c>
      <c r="E291" s="42">
        <f t="shared" si="37"/>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8"/>
        <v>Cost: Free / 1 V (Scion of the First City Only); must have touched target that night; must be outdoors  •  Pool: 11  •  Instant  •  Instant</v>
      </c>
      <c r="D292" s="61" t="str" cm="1">
        <f t="array" aca="1" ref="D292" ca="1">INDEX(Attendance!$C$14:$GP$44,
       MATCH($F$4, Attendance!$C$14:$C$44, 0),
       MATCH(1, (Attendance!$C$12:$GP$12=$E292) * (Attendance!$C$13:$GP$13="Paid"), 0)
)</f>
        <v> </v>
      </c>
      <c r="E292" s="42">
        <f t="shared" si="37"/>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8"/>
        <v>Cost: 2 V (Scion of the First City Only); walk barefoot, Vitae on feet  •  Pool: 11  v Resolve + BP  •  Contested  •  Until found</v>
      </c>
      <c r="D293" s="61" t="str" cm="1">
        <f t="array" aca="1" ref="D293" ca="1">INDEX(Attendance!$C$14:$GP$44,
       MATCH($F$4, Attendance!$C$14:$C$44, 0),
       MATCH(1, (Attendance!$C$12:$GP$12=$E293) * (Attendance!$C$13:$GP$13="Paid"), 0)
)</f>
        <v> </v>
      </c>
      <c r="E293" s="42">
        <f t="shared" si="37"/>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8"/>
        <v>¬</v>
      </c>
      <c r="D294" s="61" t="str" cm="1">
        <f t="array" aca="1" ref="D294" ca="1">INDEX(Attendance!$C$14:$GP$44,
       MATCH($F$4, Attendance!$C$14:$C$44, 0),
       MATCH(1, (Attendance!$C$12:$GP$12=$E294) * (Attendance!$C$13:$GP$13="Paid"), 0)
)</f>
        <v> </v>
      </c>
      <c r="E294" s="42">
        <f t="shared" si="37"/>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8"/>
        <v>¬</v>
      </c>
      <c r="D295" s="61" t="str" cm="1">
        <f t="array" aca="1" ref="D295" ca="1">INDEX(Attendance!$C$14:$GP$44,
       MATCH($F$4, Attendance!$C$14:$C$44, 0),
       MATCH(1, (Attendance!$C$12:$GP$12=$E295) * (Attendance!$C$13:$GP$13="Paid"), 0)
)</f>
        <v> </v>
      </c>
      <c r="E295" s="42">
        <f t="shared" si="37"/>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8"/>
        <v>¬</v>
      </c>
      <c r="D296" s="61" t="str" cm="1">
        <f t="array" aca="1" ref="D296" ca="1">INDEX(Attendance!$C$14:$GP$44,
       MATCH($F$4, Attendance!$C$14:$C$44, 0),
       MATCH(1, (Attendance!$C$12:$GP$12=$E296) * (Attendance!$C$13:$GP$13="Paid"), 0)
)</f>
        <v> </v>
      </c>
      <c r="E296" s="42">
        <f t="shared" si="37"/>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8"/>
        <v>¬</v>
      </c>
      <c r="D297" s="61" t="str" cm="1">
        <f t="array" aca="1" ref="D297" ca="1">INDEX(Attendance!$C$14:$GP$44,
       MATCH($F$4, Attendance!$C$14:$C$44, 0),
       MATCH(1, (Attendance!$C$12:$GP$12=$E297) * (Attendance!$C$13:$GP$13="Paid"), 0)
)</f>
        <v> </v>
      </c>
      <c r="E297" s="42">
        <f t="shared" si="37"/>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8"/>
        <v>Cost: 1 V 2 Successes  •  Pool: 9  •  Ritual  •  1 day per extra Vitae</v>
      </c>
      <c r="D298" s="61" t="str" cm="1">
        <f t="array" aca="1" ref="D298" ca="1">INDEX(Attendance!$C$14:$GP$44,
       MATCH($F$4, Attendance!$C$14:$C$44, 0),
       MATCH(1, (Attendance!$C$12:$GP$12=$E298) * (Attendance!$C$13:$GP$13="Paid"), 0)
)</f>
        <v> </v>
      </c>
      <c r="E298" s="42">
        <f t="shared" si="37"/>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8"/>
        <v>Cost: 1 V 2 Successes  •  Pool: 9  •  Ritual  •  Scene</v>
      </c>
      <c r="D299" s="61" t="str" cm="1">
        <f t="array" aca="1" ref="D299" ca="1">INDEX(Attendance!$C$14:$GP$44,
       MATCH($F$4, Attendance!$C$14:$C$44, 0),
       MATCH(1, (Attendance!$C$12:$GP$12=$E299) * (Attendance!$C$13:$GP$13="Paid"), 0)
)</f>
        <v> </v>
      </c>
      <c r="E299" s="42">
        <f t="shared" si="37"/>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8"/>
        <v>¬</v>
      </c>
      <c r="D300" s="61" t="str" cm="1">
        <f t="array" aca="1" ref="D300" ca="1">INDEX(Attendance!$C$14:$GP$44,
       MATCH($F$4, Attendance!$C$14:$C$44, 0),
       MATCH(1, (Attendance!$C$12:$GP$12=$E300) * (Attendance!$C$13:$GP$13="Paid"), 0)
)</f>
        <v> </v>
      </c>
      <c r="E300" s="42">
        <f t="shared" si="37"/>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8"/>
        <v>¬</v>
      </c>
      <c r="D301" s="61" t="str" cm="1">
        <f t="array" aca="1" ref="D301" ca="1">INDEX(Attendance!$C$14:$GP$44,
       MATCH($F$4, Attendance!$C$14:$C$44, 0),
       MATCH(1, (Attendance!$C$12:$GP$12=$E301) * (Attendance!$C$13:$GP$13="Paid"), 0)
)</f>
        <v> </v>
      </c>
      <c r="E301" s="42">
        <f t="shared" si="37"/>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8"/>
        <v>¬</v>
      </c>
      <c r="D302" s="61" t="str" cm="1">
        <f t="array" aca="1" ref="D302" ca="1">INDEX(Attendance!$C$14:$GP$44,
       MATCH($F$4, Attendance!$C$14:$C$44, 0),
       MATCH(1, (Attendance!$C$12:$GP$12=$E302) * (Attendance!$C$13:$GP$13="Paid"), 0)
)</f>
        <v> </v>
      </c>
      <c r="E302" s="42">
        <f t="shared" si="37"/>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8"/>
        <v>¬</v>
      </c>
      <c r="D303" s="61" t="str" cm="1">
        <f t="array" aca="1" ref="D303" ca="1">INDEX(Attendance!$C$14:$GP$44,
       MATCH($F$4, Attendance!$C$14:$C$44, 0),
       MATCH(1, (Attendance!$C$12:$GP$12=$E303) * (Attendance!$C$13:$GP$13="Paid"), 0)
)</f>
        <v> </v>
      </c>
      <c r="E303" s="42">
        <f t="shared" si="37"/>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8"/>
        <v>¬</v>
      </c>
      <c r="D304" s="61" t="str" cm="1">
        <f t="array" aca="1" ref="D304" ca="1">INDEX(Attendance!$C$14:$GP$44,
       MATCH($F$4, Attendance!$C$14:$C$44, 0),
       MATCH(1, (Attendance!$C$12:$GP$12=$E304) * (Attendance!$C$13:$GP$13="Paid"), 0)
)</f>
        <v> </v>
      </c>
      <c r="E304" s="42">
        <f t="shared" si="37"/>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8"/>
        <v>¬</v>
      </c>
      <c r="D305" s="61" t="str" cm="1">
        <f t="array" aca="1" ref="D305" ca="1">INDEX(Attendance!$C$14:$GP$44,
       MATCH($F$4, Attendance!$C$14:$C$44, 0),
       MATCH(1, (Attendance!$C$12:$GP$12=$E305) * (Attendance!$C$13:$GP$13="Paid"), 0)
)</f>
        <v> </v>
      </c>
      <c r="E305" s="42">
        <f t="shared" si="37"/>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8"/>
        <v>¬</v>
      </c>
      <c r="D306" s="61" t="str" cm="1">
        <f t="array" aca="1" ref="D306" ca="1">INDEX(Attendance!$C$14:$GP$44,
       MATCH($F$4, Attendance!$C$14:$C$44, 0),
       MATCH(1, (Attendance!$C$12:$GP$12=$E306) * (Attendance!$C$13:$GP$13="Paid"), 0)
)</f>
        <v> </v>
      </c>
      <c r="E306" s="42">
        <f t="shared" si="37"/>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8"/>
        <v>¬</v>
      </c>
      <c r="D307" s="61" t="str" cm="1">
        <f t="array" aca="1" ref="D307" ca="1">INDEX(Attendance!$C$14:$GP$44,
       MATCH($F$4, Attendance!$C$14:$C$44, 0),
       MATCH(1, (Attendance!$C$12:$GP$12=$E307) * (Attendance!$C$13:$GP$13="Paid"), 0)
)</f>
        <v> </v>
      </c>
      <c r="E307" s="42">
        <f t="shared" si="37"/>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8"/>
        <v>¬</v>
      </c>
      <c r="D308" s="61" t="str" cm="1">
        <f t="array" aca="1" ref="D308" ca="1">INDEX(Attendance!$C$14:$GP$44,
       MATCH($F$4, Attendance!$C$14:$C$44, 0),
       MATCH(1, (Attendance!$C$12:$GP$12=$E308) * (Attendance!$C$13:$GP$13="Paid"), 0)
)</f>
        <v> </v>
      </c>
      <c r="E308" s="42">
        <f t="shared" si="37"/>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8"/>
        <v>¬</v>
      </c>
      <c r="D309" s="61" t="str" cm="1">
        <f t="array" aca="1" ref="D309" ca="1">INDEX(Attendance!$C$14:$GP$44,
       MATCH($F$4, Attendance!$C$14:$C$44, 0),
       MATCH(1, (Attendance!$C$12:$GP$12=$E309) * (Attendance!$C$13:$GP$13="Paid"), 0)
)</f>
        <v> </v>
      </c>
      <c r="E309" s="42">
        <f t="shared" si="37"/>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8"/>
        <v>¬</v>
      </c>
      <c r="D310" s="61" t="str" cm="1">
        <f t="array" aca="1" ref="D310" ca="1">INDEX(Attendance!$C$14:$GP$44,
       MATCH($F$4, Attendance!$C$14:$C$44, 0),
       MATCH(1, (Attendance!$C$12:$GP$12=$E310) * (Attendance!$C$13:$GP$13="Paid"), 0)
)</f>
        <v> </v>
      </c>
      <c r="E310" s="42">
        <f t="shared" si="37"/>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8"/>
        <v>¬</v>
      </c>
      <c r="D311" s="61" t="str" cm="1">
        <f t="array" aca="1" ref="D311" ca="1">INDEX(Attendance!$C$14:$GP$44,
       MATCH($F$4, Attendance!$C$14:$C$44, 0),
       MATCH(1, (Attendance!$C$12:$GP$12=$E311) * (Attendance!$C$13:$GP$13="Paid"), 0)
)</f>
        <v> </v>
      </c>
      <c r="E311" s="42">
        <f t="shared" si="37"/>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8"/>
        <v>¬</v>
      </c>
      <c r="D312" s="61" t="str" cm="1">
        <f t="array" aca="1" ref="D312" ca="1">INDEX(Attendance!$C$14:$GP$44,
       MATCH($F$4, Attendance!$C$14:$C$44, 0),
       MATCH(1, (Attendance!$C$12:$GP$12=$E312) * (Attendance!$C$13:$GP$13="Paid"), 0)
)</f>
        <v> </v>
      </c>
      <c r="E312" s="42">
        <f t="shared" si="37"/>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8"/>
        <v>¬</v>
      </c>
      <c r="D313" s="61" t="str" cm="1">
        <f t="array" aca="1" ref="D313" ca="1">INDEX(Attendance!$C$14:$GP$44,
       MATCH($F$4, Attendance!$C$14:$C$44, 0),
       MATCH(1, (Attendance!$C$12:$GP$12=$E313) * (Attendance!$C$13:$GP$13="Paid"), 0)
)</f>
        <v> </v>
      </c>
      <c r="E313" s="42">
        <f t="shared" si="37"/>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39">IF(AF44="","¬",AF44)</f>
        <v>Add Auspex dots to any rolls to resist surprise. Access to Tier 1 Auspex Insight questions.</v>
      </c>
      <c r="D314" s="61" t="str" cm="1">
        <f t="array" aca="1" ref="D314" ca="1">INDEX(Attendance!$C$14:$GP$44,
       MATCH($F$4, Attendance!$C$14:$C$44, 0),
       MATCH(1, (Attendance!$C$12:$GP$12=$E314) * (Attendance!$C$13:$GP$13="Paid"), 0)
)</f>
        <v> </v>
      </c>
      <c r="E314" s="42">
        <f t="shared" si="37"/>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39"/>
        <v>Persistent Acute Senses Merit, doubles actual merit. Access to Tier 2 Auspex Insight questions.</v>
      </c>
      <c r="D315" s="61" t="str" cm="1">
        <f t="array" aca="1" ref="D315" ca="1">INDEX(Attendance!$C$14:$GP$44,
       MATCH($F$4, Attendance!$C$14:$C$44, 0),
       MATCH(1, (Attendance!$C$12:$GP$12=$E315) * (Attendance!$C$13:$GP$13="Paid"), 0)
)</f>
        <v> </v>
      </c>
      <c r="E315" s="42">
        <f t="shared" si="37"/>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39"/>
        <v xml:space="preserve">Passively scan for anyone under Obfuscate 1 or 3, can provoke a challenge. Access to Tier 3 Auspex Insight questions. </v>
      </c>
      <c r="D316" s="61" t="str" cm="1">
        <f t="array" aca="1" ref="D316" ca="1">INDEX(Attendance!$C$14:$GP$44,
       MATCH($F$4, Attendance!$C$14:$C$44, 0),
       MATCH(1, (Attendance!$C$12:$GP$12=$E316) * (Attendance!$C$13:$GP$13="Paid"), 0)
)</f>
        <v> </v>
      </c>
      <c r="E316" s="42">
        <f t="shared" si="37"/>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39"/>
        <v>Telepathy and mind-reading. Invoke Conditions.</v>
      </c>
    </row>
    <row r="318" spans="1:9">
      <c r="A318" s="1" t="s">
        <v>317</v>
      </c>
      <c r="B318" t="str">
        <f t="shared" si="39"/>
        <v>Project senses into Twilight. May use Auspex 1-3 once per scene; cannot spend blood for additional uses.</v>
      </c>
    </row>
    <row r="319" spans="1:9">
      <c r="A319" s="1" t="s">
        <v>318</v>
      </c>
      <c r="B319" t="str">
        <f t="shared" si="39"/>
        <v>Blend into surroundings, visible but unnoticeable. Predatory aura fully on or off. Leaving combat: Wits + Composure - Obfuscate to notice; auto Clash of Wills vs Auspex.</v>
      </c>
    </row>
    <row r="320" spans="1:9">
      <c r="A320" s="1" t="s">
        <v>319</v>
      </c>
      <c r="B320" t="str">
        <f t="shared" si="39"/>
        <v>Cast Face in the Crowd on object or person. Free and unlimited duration on carried/worn objects if not drawing attention.</v>
      </c>
    </row>
    <row r="321" spans="1:2">
      <c r="A321" s="1" t="s">
        <v>320</v>
      </c>
      <c r="B321" t="str">
        <f t="shared" si="39"/>
        <v>Touch building or street to attune to city for the night. One city at a time. Must attune before using other Scion devotions.</v>
      </c>
    </row>
    <row r="322" spans="1:2">
      <c r="A322" s="1" t="s">
        <v>321</v>
      </c>
      <c r="B322" t="str">
        <f t="shared" si="39"/>
        <v>Focus on a previously touched person. City guides to evidence of wrongdoing; clues equal to successes. Leads to general location only, not specific doors. Clash of Wills vs Obfuscate.</v>
      </c>
    </row>
    <row r="323" spans="1:2">
      <c r="A323" s="1" t="s">
        <v>322</v>
      </c>
      <c r="B323" t="str">
        <f t="shared" si="39"/>
        <v>Declare a target. City guides BP blocks per success toward target. Target's non-combat pools and Speed reduced by 1 per success. Must sacrifice access to a level of Contacts, Allies, Retainer, or Resources per success (returns after 1 week).</v>
      </c>
    </row>
    <row r="324" spans="1:2">
      <c r="A324" s="1" t="s">
        <v>323</v>
      </c>
      <c r="B324" t="str">
        <f t="shared" si="39"/>
        <v>Summon liquids, dead organic matter, sensory phenomena. Bonus/penalty = Potency.</v>
      </c>
    </row>
    <row r="325" spans="1:2">
      <c r="A325" s="1" t="s">
        <v>324</v>
      </c>
      <c r="B325" t="str">
        <f t="shared" si="39"/>
        <v>Glimpse fragmented details about intended actions. Learn basic info about a target.</v>
      </c>
    </row>
    <row r="326" spans="1:2">
      <c r="A326" s="1" t="s">
        <v>325</v>
      </c>
      <c r="B326" t="str">
        <f t="shared" si="39"/>
        <v>Subtract Potency from ritual rolls targeting subject. Heal bashing in vampires. Protect from the Kiss (add Potency to resistance).</v>
      </c>
    </row>
    <row r="327" spans="1:2">
      <c r="A327" s="1" t="s">
        <v>326</v>
      </c>
      <c r="B327" t="str">
        <f t="shared" si="39"/>
        <v>Grant armour. Ward environmental hazards. Resist frenzy.</v>
      </c>
    </row>
    <row r="328" spans="1:2">
      <c r="A328" s="1" t="s">
        <v>327</v>
      </c>
      <c r="B328" t="str">
        <f t="shared" si="39"/>
        <v>Smear Vitae on an area. Remotely observe through the spilled blood for one day per extra Vitae spent.</v>
      </c>
    </row>
    <row r="329" spans="1:2">
      <c r="A329" s="1" t="s">
        <v>328</v>
      </c>
      <c r="B329" t="str">
        <f t="shared" si="39"/>
        <v>Use a lock of hair or sympathetic link to hang a curse over a living victim for a month. Trigger the curse to cause enough lethal damage to fill the victim's Health.</v>
      </c>
    </row>
    <row r="330" spans="1:2">
      <c r="A330" s="1" t="s">
        <v>329</v>
      </c>
      <c r="B330" t="str">
        <f t="shared" si="39"/>
        <v>¬</v>
      </c>
    </row>
    <row r="331" spans="1:2">
      <c r="A331" s="1" t="s">
        <v>330</v>
      </c>
      <c r="B331" t="str">
        <f t="shared" si="39"/>
        <v>¬</v>
      </c>
    </row>
    <row r="332" spans="1:2">
      <c r="A332" s="1" t="s">
        <v>331</v>
      </c>
      <c r="B332" t="str">
        <f t="shared" si="39"/>
        <v>¬</v>
      </c>
    </row>
    <row r="333" spans="1:2">
      <c r="A333" s="1" t="s">
        <v>332</v>
      </c>
      <c r="B333" t="str">
        <f t="shared" si="39"/>
        <v>¬</v>
      </c>
    </row>
    <row r="334" spans="1:2">
      <c r="A334" s="1" t="s">
        <v>333</v>
      </c>
      <c r="B334" t="str">
        <f t="shared" si="39"/>
        <v>¬</v>
      </c>
    </row>
    <row r="335" spans="1:2">
      <c r="A335" s="1" t="s">
        <v>334</v>
      </c>
      <c r="B335" t="str">
        <f t="shared" si="39"/>
        <v>¬</v>
      </c>
    </row>
    <row r="336" spans="1:2">
      <c r="A336" s="1" t="s">
        <v>335</v>
      </c>
      <c r="B336" t="str">
        <f t="shared" si="39"/>
        <v>¬</v>
      </c>
    </row>
    <row r="337" spans="1:2">
      <c r="A337" s="1" t="s">
        <v>336</v>
      </c>
      <c r="B337" t="str">
        <f t="shared" si="39"/>
        <v>¬</v>
      </c>
    </row>
    <row r="338" spans="1:2">
      <c r="A338" s="1" t="s">
        <v>337</v>
      </c>
      <c r="B338" t="str">
        <f t="shared" si="39"/>
        <v>¬</v>
      </c>
    </row>
    <row r="339" spans="1:2">
      <c r="A339" s="1" t="s">
        <v>338</v>
      </c>
      <c r="B339" t="str">
        <f t="shared" si="39"/>
        <v>¬</v>
      </c>
    </row>
    <row r="340" spans="1:2">
      <c r="A340" s="1" t="s">
        <v>339</v>
      </c>
      <c r="B340" t="str">
        <f t="shared" si="39"/>
        <v>¬</v>
      </c>
    </row>
    <row r="341" spans="1:2">
      <c r="A341" s="1" t="s">
        <v>340</v>
      </c>
      <c r="B341" t="str">
        <f t="shared" si="39"/>
        <v>¬</v>
      </c>
    </row>
    <row r="342" spans="1:2">
      <c r="A342" s="1" t="s">
        <v>341</v>
      </c>
      <c r="B342" t="str">
        <f t="shared" si="39"/>
        <v>¬</v>
      </c>
    </row>
    <row r="343" spans="1:2">
      <c r="A343" s="1" t="s">
        <v>342</v>
      </c>
      <c r="B343" t="str">
        <f t="shared" si="39"/>
        <v>¬</v>
      </c>
    </row>
    <row r="344" spans="1:2">
      <c r="A344" s="1" t="s">
        <v>343</v>
      </c>
      <c r="B344" s="8" t="str">
        <f>IF(VLOOKUP(tblCharDataIvana[[#This Row],[Field]],$E$2:$F$361,2,FALSE)="","¬",VLOOKUP(tblCharDataIvana[[#This Row],[Field]],$E$2:$F$361,2,FALSE))</f>
        <v>Feral Curse</v>
      </c>
    </row>
    <row r="345" spans="1:2">
      <c r="A345" s="1" t="s">
        <v>344</v>
      </c>
      <c r="B345" s="8" t="str">
        <f>IF(VLOOKUP(tblCharDataIvana[[#This Row],[Field]],$E$2:$F$361,2,FALSE)="","¬",VLOOKUP(tblCharDataIvana[[#This Row],[Field]],$E$2:$F$361,2,FALSE))</f>
        <v>¬</v>
      </c>
    </row>
    <row r="346" spans="1:2">
      <c r="A346" s="1" t="s">
        <v>345</v>
      </c>
      <c r="B346" s="8" t="str">
        <f>IF(VLOOKUP(tblCharDataIvana[[#This Row],[Field]],$E$2:$F$361,2,FALSE)="","¬",VLOOKUP(tblCharDataIvana[[#This Row],[Field]],$E$2:$F$361,2,FALSE))</f>
        <v>¬</v>
      </c>
    </row>
    <row r="347" spans="1:2">
      <c r="A347" s="1" t="s">
        <v>346</v>
      </c>
      <c r="B347" s="8" t="str">
        <f>IF(VLOOKUP(tblCharDataIvana[[#This Row],[Field]],$E$2:$F$361,2,FALSE)="","¬",VLOOKUP(tblCharDataIvana[[#This Row],[Field]],$E$2:$F$361,2,FALSE))</f>
        <v>¬</v>
      </c>
    </row>
    <row r="348" spans="1:2">
      <c r="A348" s="1" t="s">
        <v>347</v>
      </c>
      <c r="B348" s="8" t="str">
        <f>IF(VLOOKUP(tblCharDataIvana[[#This Row],[Field]],$E$2:$F$361,2,FALSE)="","¬",VLOOKUP(tblCharDataIvana[[#This Row],[Field]],$E$2:$F$361,2,FALSE))</f>
        <v>¬</v>
      </c>
    </row>
    <row r="349" spans="1:2">
      <c r="A349" s="1" t="s">
        <v>348</v>
      </c>
      <c r="B349" t="str">
        <f>_xlfn.IFNA(VLOOKUP(B344,$F$234:$I$238,3,FALSE),"")</f>
        <v>Frenzy resistance dice pools capped by Humanity (doesn't affect Riding the Wave).</v>
      </c>
    </row>
    <row r="350" spans="1:2">
      <c r="A350" s="1" t="s">
        <v>349</v>
      </c>
      <c r="B350" t="str">
        <f>_xlfn.IFNA(VLOOKUP(B345,$F$234:$I$238,3,FALSE),"¬")</f>
        <v>¬</v>
      </c>
    </row>
    <row r="351" spans="1:2">
      <c r="A351" s="1" t="s">
        <v>350</v>
      </c>
      <c r="B351" t="str">
        <f>_xlfn.IFNA(VLOOKUP(B346,$F$234:$I$238,3,FALSE),"")</f>
        <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10</v>
      </c>
    </row>
    <row r="356" spans="1:2">
      <c r="A356" s="1" t="s">
        <v>355</v>
      </c>
      <c r="B356">
        <f ca="1">P220</f>
        <v>5</v>
      </c>
    </row>
    <row r="357" spans="1:2">
      <c r="A357" s="1" t="s">
        <v>356</v>
      </c>
      <c r="B357" t="str">
        <f>IF(F10="","¬",VLOOKUP(F10,tblAnchors[],2,FALSE))</f>
        <v>Find someone to take responsibility for your mistake.</v>
      </c>
    </row>
    <row r="358" spans="1:2">
      <c r="A358" s="1" t="s">
        <v>357</v>
      </c>
      <c r="B358" t="str">
        <f>IF(F10="","¬",VLOOKUP(F10,tblAnchors[],3,FALSE))</f>
        <v>Commit a terrible crime to see how authority might react.</v>
      </c>
    </row>
    <row r="359" spans="1:2">
      <c r="A359" s="1" t="s">
        <v>358</v>
      </c>
      <c r="B359" t="str">
        <f>IF(F11="","¬",VLOOKUP(F11,tblAnchors[],2,FALSE))</f>
        <v>Challenge someone clearly your superior.</v>
      </c>
    </row>
    <row r="360" spans="1:2">
      <c r="A360" s="1" t="s">
        <v>359</v>
      </c>
      <c r="B360" t="str">
        <f>IF(F11="","¬",VLOOKUP(F11,tblAnchors[],3,FALSE))</f>
        <v>Risk Final Death to prove you can handle something.</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
      </c>
    </row>
    <row r="365" spans="1:2">
      <c r="A365" s="1" t="s">
        <v>364</v>
      </c>
      <c r="B365" t="str">
        <f>_xlfn.LET(_xlpm.a,IF(F244="","",F244),_xlpm.b,IF(F245="","",F245),IF(AND(_xlpm.a&lt;&gt;"",_xlpm.b&lt;&gt;""),_xlpm.a&amp;", "&amp;_xlpm.b,IF(_xlpm.a&lt;&gt;"",_xlpm.a,IF(_xlpm.b&lt;&gt;"",_xlpm.b,""))))</f>
        <v/>
      </c>
    </row>
  </sheetData>
  <mergeCells count="89">
    <mergeCell ref="F240:I240"/>
    <mergeCell ref="F241:I241"/>
    <mergeCell ref="F242:I242"/>
    <mergeCell ref="F244:I244"/>
    <mergeCell ref="F245:I245"/>
    <mergeCell ref="H238:I238"/>
    <mergeCell ref="H208:I208"/>
    <mergeCell ref="H209:I209"/>
    <mergeCell ref="H210:I210"/>
    <mergeCell ref="H211:I211"/>
    <mergeCell ref="H212:I212"/>
    <mergeCell ref="H213:I213"/>
    <mergeCell ref="H214:I214"/>
    <mergeCell ref="H215:I215"/>
    <mergeCell ref="H234:I234"/>
    <mergeCell ref="H236:I236"/>
    <mergeCell ref="H237:I237"/>
    <mergeCell ref="H207:I207"/>
    <mergeCell ref="H153:I153"/>
    <mergeCell ref="H154:I154"/>
    <mergeCell ref="H155:I155"/>
    <mergeCell ref="H156:I156"/>
    <mergeCell ref="H157:I157"/>
    <mergeCell ref="H177:I177"/>
    <mergeCell ref="H178:I178"/>
    <mergeCell ref="H179:I179"/>
    <mergeCell ref="H180:I180"/>
    <mergeCell ref="H181:I181"/>
    <mergeCell ref="H206:I206"/>
    <mergeCell ref="H152:I152"/>
    <mergeCell ref="H141:I141"/>
    <mergeCell ref="H142:I142"/>
    <mergeCell ref="H143:I143"/>
    <mergeCell ref="H144:I144"/>
    <mergeCell ref="H145:I145"/>
    <mergeCell ref="H146:I146"/>
    <mergeCell ref="H147:I147"/>
    <mergeCell ref="H148:I148"/>
    <mergeCell ref="H149:I149"/>
    <mergeCell ref="H150:I150"/>
    <mergeCell ref="H151:I151"/>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11:I111"/>
    <mergeCell ref="H98:I98"/>
    <mergeCell ref="H101:I101"/>
    <mergeCell ref="H102:I102"/>
    <mergeCell ref="H103:I103"/>
    <mergeCell ref="H104:I104"/>
    <mergeCell ref="H105:I105"/>
    <mergeCell ref="H106:I106"/>
    <mergeCell ref="H107:I107"/>
    <mergeCell ref="H108:I108"/>
    <mergeCell ref="H109:I109"/>
    <mergeCell ref="H110:I110"/>
    <mergeCell ref="H97:I97"/>
    <mergeCell ref="H86:I86"/>
    <mergeCell ref="H87:I87"/>
    <mergeCell ref="H88:I88"/>
    <mergeCell ref="H89:I89"/>
    <mergeCell ref="H90:I90"/>
    <mergeCell ref="H91:I91"/>
    <mergeCell ref="H92:I92"/>
    <mergeCell ref="H93:I93"/>
    <mergeCell ref="H94:I94"/>
    <mergeCell ref="H95:I95"/>
    <mergeCell ref="H96:I96"/>
    <mergeCell ref="H85:I85"/>
    <mergeCell ref="O8:P8"/>
    <mergeCell ref="O9:P9"/>
    <mergeCell ref="O10:P10"/>
    <mergeCell ref="O11:P11"/>
    <mergeCell ref="O12:P12"/>
    <mergeCell ref="H79:I79"/>
    <mergeCell ref="H80:I80"/>
    <mergeCell ref="H81:I81"/>
    <mergeCell ref="H82:I82"/>
    <mergeCell ref="H83:I83"/>
    <mergeCell ref="H84:I84"/>
  </mergeCells>
  <dataValidations count="14">
    <dataValidation type="list" allowBlank="1" showInputMessage="1" showErrorMessage="1" sqref="G248:G277" xr:uid="{6DFECD01-55D2-4B72-9CCA-05AB5B7F4E08}">
      <formula1>$I$248:$I$249</formula1>
    </dataValidation>
    <dataValidation type="list" allowBlank="1" showInputMessage="1" showErrorMessage="1" sqref="F79:F98" xr:uid="{0D20A004-8E26-4A98-B190-C21F953A88AF}">
      <formula1>lstMerits</formula1>
    </dataValidation>
    <dataValidation type="list" allowBlank="1" showInputMessage="1" showErrorMessage="1" sqref="F236:F238" xr:uid="{A583CD65-7E13-4128-9346-16504E8778F7}">
      <formula1>lstBanes</formula1>
    </dataValidation>
    <dataValidation type="list" allowBlank="1" showInputMessage="1" showErrorMessage="1" sqref="F206:F215" xr:uid="{CEF774B9-EC76-44B0-94F2-153C128F4944}">
      <formula1>lstPacts</formula1>
    </dataValidation>
    <dataValidation type="list" allowBlank="1" showInputMessage="1" showErrorMessage="1" sqref="G12:G13" xr:uid="{6E2DCD28-E01C-4120-B470-72CA3A998A87}">
      <formula1>lstStatus</formula1>
    </dataValidation>
    <dataValidation type="list" allowBlank="1" showInputMessage="1" showErrorMessage="1" sqref="F207:F215 F194:F205" xr:uid="{4F6917E6-9D2E-4A78-A3AF-4D37F776AC3D}">
      <formula1>lstRites</formula1>
    </dataValidation>
    <dataValidation type="list" allowBlank="1" showInputMessage="1" showErrorMessage="1" sqref="F177:F181" xr:uid="{B656C4A3-D552-4E4C-BC0D-483439121382}">
      <formula1>lstDevotions</formula1>
    </dataValidation>
    <dataValidation type="list" allowBlank="1" showInputMessage="1" showErrorMessage="1" sqref="F17:F21" xr:uid="{A4569371-983A-42C6-8481-DE636D23E465}">
      <formula1>"TRUE,FALSE"</formula1>
    </dataValidation>
    <dataValidation type="list" allowBlank="1" showInputMessage="1" showErrorMessage="1" sqref="F24" xr:uid="{C33D56B6-6CB3-43F6-B791-2964BB818051}">
      <formula1>$D$7:$D$8</formula1>
    </dataValidation>
    <dataValidation type="list" allowBlank="1" showInputMessage="1" showErrorMessage="1" sqref="I25 I30 I35 I41 I51 I61" xr:uid="{5EE5B933-FB49-4013-A567-C30BD9DE12C0}">
      <formula1>lstPriority</formula1>
    </dataValidation>
    <dataValidation type="list" allowBlank="1" showInputMessage="1" showErrorMessage="1" sqref="F10:F11" xr:uid="{FFE4769F-57C8-450F-AAAB-6488F1F8A800}">
      <formula1>lstNature</formula1>
    </dataValidation>
    <dataValidation type="list" allowBlank="1" showInputMessage="1" showErrorMessage="1" sqref="F8" xr:uid="{89A65E47-BFA4-4474-9C39-CF746D196523}">
      <formula1>lstBloodlines</formula1>
    </dataValidation>
    <dataValidation type="list" allowBlank="1" showInputMessage="1" showErrorMessage="1" sqref="F9" xr:uid="{0EBEA14E-70C8-41FD-A5E6-481F9D57D3F1}">
      <formula1>lstCovenant</formula1>
    </dataValidation>
    <dataValidation type="list" allowBlank="1" showInputMessage="1" showErrorMessage="1" sqref="F7" xr:uid="{0186C75F-F3A1-4782-A8F6-E07C7E511C05}">
      <formula1>lstClan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B66A42C1-9E35-45E3-8E53-8826D1B77FB3}">
          <x14:formula1>
            <xm:f>'Lookup-Domain'!$A$2:$A$8</xm:f>
          </x14:formula1>
          <xm:sqref>F161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626AC-615F-4CBF-8D9B-B6F99708DA87}">
  <dimension ref="A1:AK365"/>
  <sheetViews>
    <sheetView zoomScale="70" zoomScaleNormal="70" workbookViewId="0">
      <pane ySplit="1" topLeftCell="A2" activePane="bottomLeft" state="frozen"/>
      <selection pane="bottomLeft" activeCell="F4" sqref="F4"/>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Trained Observer</v>
      </c>
      <c r="AC2" s="60" t="str" cm="1">
        <f t="array" ref="AC2:AC10">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Eye for the Strange</v>
      </c>
      <c r="AD2" s="20" t="str">
        <f>IF(AC2="","¬",_xlfn.LET(_xlpm.base,IFERROR(LEFT(AC2,FIND(" (",AC2)-1),AC2),IFERROR(VLOOKUP(_xlpm.base,tblManoeuvre[],2,FALSE) &amp; " " &amp; REPT("●",VLOOKUP(_xlpm.base,tblManoeuvre[],3,FALSE)) &amp; " | " &amp; AC2,AC2 &amp; " " &amp; REPT("●",VLOOKUP(_xlpm.base,$F$79:$P$120,11,FALSE)))))</f>
        <v>Eye for the Strange ●●</v>
      </c>
      <c r="AE2" s="20"/>
      <c r="AF2" s="20" t="str">
        <f>IF(LEN(AC2)=0,"¬",_xlfn.LET(_xlpm.base,IFERROR(LEFT(AC2,FIND(" (",AC2)-1),AC2),IFERROR(VLOOKUP(_xlpm.base,tblMerits[],5,FALSE),IFERROR(VLOOKUP(_xlpm.base,tblManoeuvre[],9,FALSE),"¬"))))</f>
        <v>Roll Intelligence + Composure to identify evidence of supernatural involvement.</v>
      </c>
      <c r="AI2" s="15" t="s">
        <v>25</v>
      </c>
      <c r="AJ2" s="61">
        <f t="shared" ref="AJ2:AJ58" si="1">VLOOKUP(AI2,$E$3:$P$221,12,FALSE)</f>
        <v>0</v>
      </c>
      <c r="AK2" s="61">
        <f>IF(AJ2=0,IF(COUNTIF($E$42:$E$49,AI2)&gt;0,-3,-1),AJ2)</f>
        <v>-3</v>
      </c>
    </row>
    <row r="3" spans="1:37">
      <c r="A3" s="1" t="s">
        <v>2</v>
      </c>
      <c r="B3">
        <f ca="1">N3</f>
        <v>1</v>
      </c>
      <c r="D3" s="19"/>
      <c r="E3" s="15" t="s">
        <v>4</v>
      </c>
      <c r="F3" s="3" t="s">
        <v>1040</v>
      </c>
      <c r="G3" s="18"/>
      <c r="H3" s="18"/>
      <c r="I3" s="18" t="s">
        <v>1425</v>
      </c>
      <c r="N3" s="60">
        <f ca="1">10+SUM(N4:N6)-SUM(N7)</f>
        <v>1</v>
      </c>
      <c r="Y3" s="15" t="s">
        <v>115</v>
      </c>
      <c r="Z3" s="19"/>
      <c r="AA3" s="61" t="str">
        <f t="shared" si="0"/>
        <v>Eye for the Strange</v>
      </c>
      <c r="AC3" s="60" t="str">
        <v>Indomitable</v>
      </c>
      <c r="AD3" s="20" t="str">
        <f>IF(AC3="","¬",_xlfn.LET(_xlpm.base,IFERROR(LEFT(AC3,FIND(" (",AC3)-1),AC3),IFERROR(VLOOKUP(_xlpm.base,tblManoeuvre[],2,FALSE) &amp; " " &amp; REPT("●",VLOOKUP(_xlpm.base,tblManoeuvre[],3,FALSE)) &amp; " | " &amp; AC3,AC3 &amp; " " &amp; REPT("●",VLOOKUP(_xlpm.base,$F$79:$P$120,11,FALSE)))))</f>
        <v>Indomitable ●●</v>
      </c>
      <c r="AE3" s="20"/>
      <c r="AF3" s="20" t="str">
        <f>IF(LEN(AC3)=0,"¬",_xlfn.LET(_xlpm.base,IFERROR(LEFT(AC3,FIND(" (",AC3)-1),AC3),IFERROR(VLOOKUP(_xlpm.base,tblMerits[],5,FALSE),IFERROR(VLOOKUP(_xlpm.base,tblManoeuvre[],9,FALSE),"¬"))))</f>
        <v>+2 to contest or resist supernatural mental influence.</v>
      </c>
      <c r="AI3" s="15" t="s">
        <v>41</v>
      </c>
      <c r="AJ3" s="61">
        <f t="shared" si="1"/>
        <v>0</v>
      </c>
      <c r="AK3" s="61">
        <f>IF(AJ3=0,IF(COUNTIF($E$42:$E$49,AI3)&gt;0,-3,-1),AJ3)</f>
        <v>-1</v>
      </c>
    </row>
    <row r="4" spans="1:37">
      <c r="A4" s="1" t="s">
        <v>3</v>
      </c>
      <c r="B4">
        <f ca="1">SUM(N3:N9)</f>
        <v>40</v>
      </c>
      <c r="D4" s="19"/>
      <c r="E4" s="15" t="s">
        <v>5</v>
      </c>
      <c r="F4" s="3" t="s">
        <v>1041</v>
      </c>
      <c r="G4" s="18"/>
      <c r="H4" s="18"/>
      <c r="I4" s="18" t="s">
        <v>1426</v>
      </c>
      <c r="N4" s="61">
        <f>K73*2</f>
        <v>6</v>
      </c>
      <c r="Y4" s="15" t="s">
        <v>116</v>
      </c>
      <c r="Z4" s="19"/>
      <c r="AA4" s="61" t="str">
        <f t="shared" si="0"/>
        <v>Mandragora Garden</v>
      </c>
      <c r="AC4" s="60" t="str">
        <v>Mandragora Garden</v>
      </c>
      <c r="AD4" s="20" t="str">
        <f>IF(AC4="","¬",_xlfn.LET(_xlpm.base,IFERROR(LEFT(AC4,FIND(" (",AC4)-1),AC4),IFERROR(VLOOKUP(_xlpm.base,tblManoeuvre[],2,FALSE) &amp; " " &amp; REPT("●",VLOOKUP(_xlpm.base,tblManoeuvre[],3,FALSE)) &amp; " | " &amp; AC4,AC4 &amp; " " &amp; REPT("●",VLOOKUP(_xlpm.base,$F$79:$P$120,11,FALSE)))))</f>
        <v>Mandragora Garden ●</v>
      </c>
      <c r="AE4" s="20"/>
      <c r="AF4" s="20" t="str">
        <f>IF(LEN(AC4)=0,"¬",_xlfn.LET(_xlpm.base,IFERROR(LEFT(AC4,FIND(" (",AC4)-1),AC4),IFERROR(VLOOKUP(_xlpm.base,tblMerits[],5,FALSE),IFERROR(VLOOKUP(_xlpm.base,tblManoeuvre[],9,FALSE),"¬"))))</f>
        <v>Remote Crúac into Safe Place. Add dots to Crúac rolls in garden. Sustain Merit dots in rituals indefinitely (don't count toward Sorcery Tolerance); reduce base cost of Merit dots in rituals by rating. Feed dots in Vitae monthly; produces double in animal blood (costume at game). Attacks provoke frenzy. Can share but not increase yields.</v>
      </c>
      <c r="AI4" s="15" t="s">
        <v>236</v>
      </c>
      <c r="AJ4" s="61">
        <f t="shared" si="1"/>
        <v>0</v>
      </c>
      <c r="AK4" s="61">
        <f>AJ4</f>
        <v>0</v>
      </c>
    </row>
    <row r="5" spans="1:37">
      <c r="A5" s="1" t="s">
        <v>4</v>
      </c>
      <c r="B5" t="str">
        <f>IF(VLOOKUP(tblCharDataJack[[#This Row],[Field]],$E$2:$F$362,2,FALSE)="","¬",VLOOKUP(tblCharDataJack[[#This Row],[Field]],$E$2:$F$362,2,FALSE))</f>
        <v>George T</v>
      </c>
      <c r="D5" s="19"/>
      <c r="E5" s="15" t="s">
        <v>6</v>
      </c>
      <c r="F5" s="3" t="s">
        <v>1042</v>
      </c>
      <c r="G5" s="18"/>
      <c r="H5" s="18"/>
      <c r="I5" s="18" t="s">
        <v>1427</v>
      </c>
      <c r="N5" s="61">
        <f>N16</f>
        <v>6</v>
      </c>
      <c r="Y5" s="15" t="s">
        <v>117</v>
      </c>
      <c r="Z5" s="19"/>
      <c r="AA5" s="61" t="str">
        <f t="shared" si="0"/>
        <v>Viral Mythology</v>
      </c>
      <c r="AC5" s="60" t="str">
        <v>Secret Society Junkie</v>
      </c>
      <c r="AD5" s="20" t="str">
        <f>IF(AC5="","¬",_xlfn.LET(_xlpm.base,IFERROR(LEFT(AC5,FIND(" (",AC5)-1),AC5),IFERROR(VLOOKUP(_xlpm.base,tblManoeuvre[],2,FALSE) &amp; " " &amp; REPT("●",VLOOKUP(_xlpm.base,tblManoeuvre[],3,FALSE)) &amp; " | " &amp; AC5,AC5 &amp; " " &amp; REPT("●",VLOOKUP(_xlpm.base,$F$79:$P$120,11,FALSE)))))</f>
        <v>Secret Society Junkie ●</v>
      </c>
      <c r="AE5" s="20"/>
      <c r="AF5" s="20" t="str">
        <f>IF(LEN(AC5)=0,"¬",_xlfn.LET(_xlpm.base,IFERROR(LEFT(AC5,FIND(" (",AC5)-1),AC5),IFERROR(VLOOKUP(_xlpm.base,tblMerits[],5,FALSE),IFERROR(VLOOKUP(_xlpm.base,tblManoeuvre[],9,FALSE),"¬"))))</f>
        <v>Dots in Status or Mystery Cult Initiation representing human secret societies also count as dots of Herd.</v>
      </c>
      <c r="AI5" s="15" t="s">
        <v>33</v>
      </c>
      <c r="AJ5" s="61">
        <f t="shared" si="1"/>
        <v>1</v>
      </c>
      <c r="AK5" s="61">
        <f>IF(AJ5=0,IF(COUNTIF($E$42:$E$49,AI5)&gt;0,-3,-1),AJ5)</f>
        <v>1</v>
      </c>
    </row>
    <row r="6" spans="1:37">
      <c r="A6" s="1" t="s">
        <v>5</v>
      </c>
      <c r="B6" t="str">
        <f>IF(VLOOKUP(tblCharDataJack[[#This Row],[Field]],$E$2:$F$362,2,FALSE)="","¬",VLOOKUP(tblCharDataJack[[#This Row],[Field]],$E$2:$F$362,2,FALSE))</f>
        <v>Jack Fallow</v>
      </c>
      <c r="D6" s="19"/>
      <c r="E6" s="15" t="s">
        <v>7</v>
      </c>
      <c r="F6" s="3" t="s">
        <v>552</v>
      </c>
      <c r="G6" s="18"/>
      <c r="H6" s="18"/>
      <c r="I6" s="18" t="s">
        <v>1347</v>
      </c>
      <c r="N6" s="61">
        <f ca="1">N279</f>
        <v>3</v>
      </c>
      <c r="Y6" s="15" t="s">
        <v>118</v>
      </c>
      <c r="Z6" s="19"/>
      <c r="AA6" s="61" t="str">
        <f t="shared" si="0"/>
        <v>Secret Society Junkie</v>
      </c>
      <c r="AC6" s="60" t="str">
        <v>Trained Observer</v>
      </c>
      <c r="AD6" s="20" t="str">
        <f>IF(AC6="","¬",_xlfn.LET(_xlpm.base,IFERROR(LEFT(AC6,FIND(" (",AC6)-1),AC6),IFERROR(VLOOKUP(_xlpm.base,tblManoeuvre[],2,FALSE) &amp; " " &amp; REPT("●",VLOOKUP(_xlpm.base,tblManoeuvre[],3,FALSE)) &amp; " | " &amp; AC6,AC6 &amp; " " &amp; REPT("●",VLOOKUP(_xlpm.base,$F$79:$P$120,11,FALSE)))))</f>
        <v>Trained Observer ●</v>
      </c>
      <c r="AE6" s="20"/>
      <c r="AF6" s="20" t="str">
        <f>IF(LEN(AC6)=0,"¬",_xlfn.LET(_xlpm.base,IFERROR(LEFT(AC6,FIND(" (",AC6)-1),AC6),IFERROR(VLOOKUP(_xlpm.base,tblMerits[],5,FALSE),IFERROR(VLOOKUP(_xlpm.base,tblManoeuvre[],9,FALSE),"¬"))))</f>
        <v>Take 9-Again, or 8-Again with three dots, on Perception rolls.</v>
      </c>
      <c r="AI6" s="15" t="s">
        <v>237</v>
      </c>
      <c r="AJ6" s="61">
        <f t="shared" si="1"/>
        <v>4</v>
      </c>
      <c r="AK6" s="61">
        <f>AJ6</f>
        <v>4</v>
      </c>
    </row>
    <row r="7" spans="1:37">
      <c r="A7" s="1" t="s">
        <v>6</v>
      </c>
      <c r="B7" t="str">
        <f>IF(VLOOKUP(tblCharDataJack[[#This Row],[Field]],$E$2:$F$362,2,FALSE)="","¬",VLOOKUP(tblCharDataJack[[#This Row],[Field]],$E$2:$F$362,2,FALSE))</f>
        <v>Failed Adult Film Director</v>
      </c>
      <c r="D7" s="19" t="str">
        <f>VLOOKUP(F7,tblClans[],3,FALSE)</f>
        <v>Wits</v>
      </c>
      <c r="E7" s="15" t="s">
        <v>8</v>
      </c>
      <c r="F7" s="3" t="s">
        <v>370</v>
      </c>
      <c r="G7" s="18"/>
      <c r="H7" s="18"/>
      <c r="I7" s="18"/>
      <c r="N7" s="60">
        <f>SUM(N8:N12)</f>
        <v>24</v>
      </c>
      <c r="Y7" s="15" t="s">
        <v>119</v>
      </c>
      <c r="Z7" s="19"/>
      <c r="AA7" s="61" t="str">
        <f t="shared" si="0"/>
        <v>Indomitable</v>
      </c>
      <c r="AC7" s="60" t="str">
        <v>Viral Mythology</v>
      </c>
      <c r="AD7" s="20" t="str">
        <f>IF(AC7="","¬",_xlfn.LET(_xlpm.base,IFERROR(LEFT(AC7,FIND(" (",AC7)-1),AC7),IFERROR(VLOOKUP(_xlpm.base,tblManoeuvre[],2,FALSE) &amp; " " &amp; REPT("●",VLOOKUP(_xlpm.base,tblManoeuvre[],3,FALSE)) &amp; " | " &amp; AC7,AC7 &amp; " " &amp; REPT("●",VLOOKUP(_xlpm.base,$F$79:$P$120,11,FALSE)))))</f>
        <v>Viral Mythology ●●●</v>
      </c>
      <c r="AE7" s="20"/>
      <c r="AF7" s="20" t="str">
        <f>IF(LEN(AC7)=0,"¬",_xlfn.LET(_xlpm.base,IFERROR(LEFT(AC7,FIND(" (",AC7)-1),AC7),IFERROR(VLOOKUP(_xlpm.base,tblMerits[],5,FALSE),IFERROR(VLOOKUP(_xlpm.base,tblManoeuvre[],9,FALSE),"¬"))))</f>
        <v>Presence + Expression vs Wits + Composure to inflict contagious awe. Allies and Herd double their yield.</v>
      </c>
      <c r="AI7" s="15" t="s">
        <v>49</v>
      </c>
      <c r="AJ7" s="61">
        <f t="shared" si="1"/>
        <v>1</v>
      </c>
      <c r="AK7" s="61">
        <f>AJ7</f>
        <v>1</v>
      </c>
    </row>
    <row r="8" spans="1:37">
      <c r="A8" s="1" t="s">
        <v>7</v>
      </c>
      <c r="B8" t="str">
        <f>IF(VLOOKUP(tblCharDataJack[[#This Row],[Field]],$E$2:$F$362,2,FALSE)="","¬",LOWER(VLOOKUP(tblCharDataJack[[#This Row],[Field]],$E$2:$F$362,2,FALSE)))</f>
        <v>he/him</v>
      </c>
      <c r="D8" s="19" t="str">
        <f>VLOOKUP(F7,tblClans[],2,FALSE)</f>
        <v>Intelligence</v>
      </c>
      <c r="E8" s="15" t="s">
        <v>10</v>
      </c>
      <c r="F8" s="3"/>
      <c r="G8" s="61" t="str">
        <f>IFERROR(IF(OR(AND(VLOOKUP(F8,tblBloodlines[],2,FALSE)="",VLOOKUP(F8,tblBloodlines[],3,FALSE)="",VLOOKUP(F8,tblBloodlines[],4,FALSE)=""),AND(VLOOKUP(F8,tblBloodlines[],2,FALSE)="",VLOOKUP(F8,tblBloodlines[],3,FALSE)="",F9=VLOOKUP(F8,tblBloodlines[],4,FALSE)),F7=VLOOKUP(F8,tblBloodlines[],2,FALSE),F7=VLOOKUP(F8,tblBloodlines[],3,FALSE)),TRUE,FALSE),"")</f>
        <v/>
      </c>
      <c r="H8" s="18"/>
      <c r="I8" s="18" t="s">
        <v>1428</v>
      </c>
      <c r="N8" s="61">
        <f>N23</f>
        <v>0</v>
      </c>
      <c r="O8" s="65">
        <f>N8/SUM(N$7:N$12)</f>
        <v>0</v>
      </c>
      <c r="P8" s="66"/>
      <c r="Y8" s="15" t="s">
        <v>120</v>
      </c>
      <c r="Z8" s="19"/>
      <c r="AA8" s="61" t="str">
        <f t="shared" si="0"/>
        <v/>
      </c>
      <c r="AC8" s="60" t="str">
        <v>Gettin' Up</v>
      </c>
      <c r="AD8" s="20" t="str">
        <f>IF(AC8="","¬",_xlfn.LET(_xlpm.base,IFERROR(LEFT(AC8,FIND(" (",AC8)-1),AC8),IFERROR(VLOOKUP(_xlpm.base,tblManoeuvre[],2,FALSE) &amp; " " &amp; REPT("●",VLOOKUP(_xlpm.base,tblManoeuvre[],3,FALSE)) &amp; " | " &amp; AC8,AC8 &amp; " " &amp; REPT("●",VLOOKUP(_xlpm.base,$F$79:$P$120,11,FALSE)))))</f>
        <v>Cacophony Savvy ● | Gettin' Up</v>
      </c>
      <c r="AE8" s="20"/>
      <c r="AF8" s="20" t="str">
        <f>IF(LEN(AC8)=0,"¬",_xlfn.LET(_xlpm.base,IFERROR(LEFT(AC8,FIND(" (",AC8)-1),AC8),IFERROR(VLOOKUP(_xlpm.base,tblMerits[],5,FALSE),IFERROR(VLOOKUP(_xlpm.base,tblManoeuvre[],9,FALSE),"¬"))))</f>
        <v>You can read the Cacophony with Intelligence + Streetwise. Within a vampire's Feeding Grounds, add their (not your) dots in that Merit as bonus dice.</v>
      </c>
      <c r="AI8" s="15" t="s">
        <v>34</v>
      </c>
      <c r="AJ8" s="61">
        <f t="shared" si="1"/>
        <v>0</v>
      </c>
      <c r="AK8" s="61">
        <f>IF(AJ8=0,IF(COUNTIF($E$42:$E$49,AI8)&gt;0,-3,-1),AJ8)</f>
        <v>-1</v>
      </c>
    </row>
    <row r="9" spans="1:37">
      <c r="A9" s="1" t="s">
        <v>8</v>
      </c>
      <c r="B9" t="str">
        <f>IF(VLOOKUP(tblCharDataJack[[#This Row],[Field]],$E$2:$F$362,2,FALSE)="","¬",VLOOKUP(tblCharDataJack[[#This Row],[Field]],$E$2:$F$362,2,FALSE))</f>
        <v>Mekhet</v>
      </c>
      <c r="D9" s="19"/>
      <c r="E9" s="15" t="s">
        <v>11</v>
      </c>
      <c r="F9" s="3" t="s">
        <v>373</v>
      </c>
      <c r="G9" s="18"/>
      <c r="H9" s="18"/>
      <c r="I9" s="18" t="s">
        <v>1429</v>
      </c>
      <c r="N9" s="61">
        <f>N40+T40</f>
        <v>0</v>
      </c>
      <c r="O9" s="65">
        <f>N9/SUM(N$7:N$12)</f>
        <v>0</v>
      </c>
      <c r="P9" s="66"/>
      <c r="Y9" s="15" t="s">
        <v>121</v>
      </c>
      <c r="Z9" s="19"/>
      <c r="AA9" s="61" t="str">
        <f t="shared" si="0"/>
        <v/>
      </c>
      <c r="AC9" s="60" t="str">
        <v>Backpacker</v>
      </c>
      <c r="AD9" s="20" t="str">
        <f>IF(AC9="","¬",_xlfn.LET(_xlpm.base,IFERROR(LEFT(AC9,FIND(" (",AC9)-1),AC9),IFERROR(VLOOKUP(_xlpm.base,tblManoeuvre[],2,FALSE) &amp; " " &amp; REPT("●",VLOOKUP(_xlpm.base,tblManoeuvre[],3,FALSE)) &amp; " | " &amp; AC9,AC9 &amp; " " &amp; REPT("●",VLOOKUP(_xlpm.base,$F$79:$P$120,11,FALSE)))))</f>
        <v>Cacophony Savvy ●● | Backpacker</v>
      </c>
      <c r="AE9" s="20"/>
      <c r="AF9" s="20" t="str">
        <f>IF(LEN(AC9)=0,"¬",_xlfn.LET(_xlpm.base,IFERROR(LEFT(AC9,FIND(" (",AC9)-1),AC9),IFERROR(VLOOKUP(_xlpm.base,tblMerits[],5,FALSE),IFERROR(VLOOKUP(_xlpm.base,tblManoeuvre[],9,FALSE),"¬"))))</f>
        <v>You quickly learn who's who and where they hunt, even newcomers to the city.</v>
      </c>
      <c r="AI9" s="15" t="s">
        <v>238</v>
      </c>
      <c r="AJ9" s="61">
        <f t="shared" si="1"/>
        <v>1</v>
      </c>
      <c r="AK9" s="61">
        <f>AJ9</f>
        <v>1</v>
      </c>
    </row>
    <row r="10" spans="1:37">
      <c r="A10" s="1" t="s">
        <v>9</v>
      </c>
      <c r="B10" t="str">
        <f>CONCATENATE(Elements,B9," icon.svg")</f>
        <v>D:\Terra Mortis\Character Sheets\Sheet Elements\Mekhet icon.svg</v>
      </c>
      <c r="D10" s="19"/>
      <c r="E10" s="15" t="s">
        <v>13</v>
      </c>
      <c r="F10" s="3" t="s">
        <v>759</v>
      </c>
      <c r="G10" s="18"/>
      <c r="H10" s="18"/>
      <c r="I10" s="18" t="s">
        <v>1430</v>
      </c>
      <c r="N10" s="61">
        <f>N77</f>
        <v>6</v>
      </c>
      <c r="O10" s="65">
        <f>N10/SUM(N$7:N$12)</f>
        <v>0.125</v>
      </c>
      <c r="P10" s="66"/>
      <c r="Y10" s="15" t="s">
        <v>122</v>
      </c>
      <c r="Z10" s="19"/>
      <c r="AA10" s="61" t="str">
        <f t="shared" si="0"/>
        <v/>
      </c>
      <c r="AC10" s="60" t="str">
        <v>Wearing a Hat</v>
      </c>
      <c r="AD10" s="20" t="str">
        <f>IF(AC10="","¬",_xlfn.LET(_xlpm.base,IFERROR(LEFT(AC10,FIND(" (",AC10)-1),AC10),IFERROR(VLOOKUP(_xlpm.base,tblManoeuvre[],2,FALSE) &amp; " " &amp; REPT("●",VLOOKUP(_xlpm.base,tblManoeuvre[],3,FALSE)) &amp; " | " &amp; AC10,AC10 &amp; " " &amp; REPT("●",VLOOKUP(_xlpm.base,$F$79:$P$120,11,FALSE)))))</f>
        <v>Cacophony Savvy ●●● | Wearing a Hat</v>
      </c>
      <c r="AE10" s="20"/>
      <c r="AF10" s="20" t="str">
        <f>IF(LEN(AC10)=0,"¬",_xlfn.LET(_xlpm.base,IFERROR(LEFT(AC10,FIND(" (",AC10)-1),AC10),IFERROR(VLOOKUP(_xlpm.base,tblMerits[],5,FALSE),IFERROR(VLOOKUP(_xlpm.base,tblManoeuvre[],9,FALSE),"¬"))))</f>
        <v>Once per session, roll Wits + Politics to ask a question about current events in the Requiem. Rolls to use that knowledge achieve exceptional success on a threshold of three, not five.</v>
      </c>
      <c r="AI10" s="15" t="s">
        <v>24</v>
      </c>
      <c r="AJ10" s="61">
        <f t="shared" si="1"/>
        <v>2</v>
      </c>
      <c r="AK10" s="61">
        <f>AJ10+IFERROR(INDEX($V$26:$V$38,MATCH(AI10,$E$26:$E$38,0)),0)</f>
        <v>2</v>
      </c>
    </row>
    <row r="11" spans="1:37">
      <c r="A11" s="1" t="s">
        <v>10</v>
      </c>
      <c r="B11" t="str">
        <f>IF(VLOOKUP(tblCharDataJack[[#This Row],[Field]],$E$2:$F$362,2,FALSE)="","¬",VLOOKUP(tblCharDataJack[[#This Row],[Field]],$E$2:$F$362,2,FALSE))</f>
        <v>¬</v>
      </c>
      <c r="D11" s="19"/>
      <c r="E11" s="15" t="s">
        <v>14</v>
      </c>
      <c r="F11" s="3" t="s">
        <v>494</v>
      </c>
      <c r="G11" s="18"/>
      <c r="H11" s="18"/>
      <c r="I11" s="18" t="s">
        <v>1431</v>
      </c>
      <c r="N11" s="61">
        <f>N163</f>
        <v>18</v>
      </c>
      <c r="O11" s="65">
        <f>N11/SUM(N$7:N$12)</f>
        <v>0.375</v>
      </c>
      <c r="P11" s="66"/>
      <c r="Y11" s="15" t="s">
        <v>123</v>
      </c>
      <c r="Z11" s="19"/>
      <c r="AA11" s="61" t="str">
        <f t="shared" si="0"/>
        <v/>
      </c>
      <c r="AC11" s="60"/>
      <c r="AD11" s="20" t="str">
        <f>IF(AC11="","¬",_xlfn.LET(_xlpm.base,IFERROR(LEFT(AC11,FIND(" (",AC11)-1),AC11),IFERROR(VLOOKUP(_xlpm.base,tblManoeuvre[],2,FALSE) &amp; " " &amp; REPT("●",VLOOKUP(_xlpm.base,tblManoeuvre[],3,FALSE)) &amp; " | " &amp; AC11,AC11 &amp; " " &amp; REPT("●",VLOOKUP(_xlpm.base,$F$79:$P$120,11,FALSE)))))</f>
        <v>¬</v>
      </c>
      <c r="AE11" s="20"/>
      <c r="AF11" s="20" t="str">
        <f>IF(LEN(AC11)=0,"¬",_xlfn.LET(_xlpm.base,IFERROR(LEFT(AC11,FIND(" (",AC11)-1),AC11),IFERROR(VLOOKUP(_xlpm.base,tblMerits[],5,FALSE),IFERROR(VLOOKUP(_xlpm.base,tblManoeuvre[],9,FALSE),"¬"))))</f>
        <v>¬</v>
      </c>
      <c r="AI11" s="15" t="s">
        <v>26</v>
      </c>
      <c r="AJ11" s="61">
        <f t="shared" si="1"/>
        <v>3</v>
      </c>
      <c r="AK11" s="61">
        <f>IF(AJ11=0,IF(COUNTIF($E$42:$E$49,AI11)&gt;0,-3,-1),AJ11)</f>
        <v>3</v>
      </c>
    </row>
    <row r="12" spans="1:37">
      <c r="A12" s="1" t="s">
        <v>11</v>
      </c>
      <c r="B12" t="str">
        <f>IF(VLOOKUP(tblCharDataJack[[#This Row],[Field]],$E$2:$F$362,2,FALSE)="","¬",VLOOKUP(tblCharDataJack[[#This Row],[Field]],$E$2:$F$362,2,FALSE))</f>
        <v>Circle of the Crone</v>
      </c>
      <c r="D12" s="19"/>
      <c r="E12" s="15" t="s">
        <v>15</v>
      </c>
      <c r="F12" s="3" t="s">
        <v>377</v>
      </c>
      <c r="G12" s="3" t="s">
        <v>377</v>
      </c>
      <c r="H12" s="18"/>
      <c r="I12" s="18" t="s">
        <v>1432</v>
      </c>
      <c r="N12" s="61">
        <f>N71</f>
        <v>0</v>
      </c>
      <c r="O12" s="65">
        <f>N12/SUM(N$7:N$12)</f>
        <v>0</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2</v>
      </c>
      <c r="AK12" s="61">
        <f>IF(AJ12=0,IF(COUNTIF($E$42:$E$49,AI12)&gt;0,-3,-1),AJ12)</f>
        <v>2</v>
      </c>
    </row>
    <row r="13" spans="1:37">
      <c r="A13" s="1" t="s">
        <v>12</v>
      </c>
      <c r="B13" t="str">
        <f>_xlfn.IFNA(CONCATENATE(Elements,VLOOKUP(B12,tblCovenantShortName[#Data],2,FALSE)," icon.svg"),"")</f>
        <v>D:\Terra Mortis\Character Sheets\Sheet Elements\Crone icon.svg</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1</v>
      </c>
      <c r="AK13" s="61">
        <f t="shared" ref="AK13:AK19" si="2">AJ13</f>
        <v>1</v>
      </c>
    </row>
    <row r="14" spans="1:37">
      <c r="A14" s="1" t="s">
        <v>13</v>
      </c>
      <c r="B14" t="str">
        <f>IF(VLOOKUP(tblCharDataJack[[#This Row],[Field]],$E$2:$F$362,2,FALSE)="","¬",VLOOKUP(tblCharDataJack[[#This Row],[Field]],$E$2:$F$362,2,FALSE))</f>
        <v>Spy</v>
      </c>
      <c r="D14" s="19"/>
      <c r="E14" s="15" t="s">
        <v>1433</v>
      </c>
      <c r="F14" s="3" t="s">
        <v>1740</v>
      </c>
      <c r="G14" s="3" t="s">
        <v>1065</v>
      </c>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2</v>
      </c>
      <c r="AK14" s="61">
        <f t="shared" si="2"/>
        <v>2</v>
      </c>
    </row>
    <row r="15" spans="1:37">
      <c r="A15" s="1" t="s">
        <v>14</v>
      </c>
      <c r="B15" t="str">
        <f>IF(VLOOKUP(tblCharDataJack[[#This Row],[Field]],$E$2:$F$362,2,FALSE)="","¬",VLOOKUP(tblCharDataJack[[#This Row],[Field]],$E$2:$F$362,2,FALSE))</f>
        <v>Monster</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3</v>
      </c>
      <c r="AK15" s="61">
        <f t="shared" ca="1" si="2"/>
        <v>3</v>
      </c>
    </row>
    <row r="16" spans="1:37" ht="15.75" thickBot="1">
      <c r="A16" s="1" t="s">
        <v>15</v>
      </c>
      <c r="B16" t="str">
        <f ca="1">_xlfn.LET(_xlpm.a,VLOOKUP(tblCharDataJack[[#This Row],[Field]],$E$2:$F$362,2,FALSE),_xlpm.b,VLOOKUP(OFFSET(tblCharDataJack[[#This Row],[Field]],1,0),$E$2:$F$362,2,FALSE),IF(AND(_xlpm.a&lt;&gt;"",_xlpm.b&lt;&gt;""),_xlpm.a&amp;" &amp; "&amp;_xlpm.b,IF(_xlpm.a&lt;&gt;"",_xlpm.a,IF(_xlpm.b&lt;&gt;"",_xlpm.b,"¬"))))</f>
        <v>Regent</v>
      </c>
      <c r="D16" s="14" t="s">
        <v>1427</v>
      </c>
      <c r="E16" s="14"/>
      <c r="F16" s="14"/>
      <c r="G16" s="14"/>
      <c r="H16" s="14"/>
      <c r="I16" s="14"/>
      <c r="N16" s="60">
        <f>SUM(N17:N21)</f>
        <v>6</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REPT("●",IFERROR(INDEX($P$26:$P$38,MATCH(tblCharDataJack[[#This Row],[Field]],$E$26:$E$38,0)),0))&amp;REPT("○",IFERROR(INDEX($V$26:$V$38,MATCH(tblCharDataJack[[#This Row],[Field]],$E$26:$E$38,0)),0))</f>
        <v>●●</v>
      </c>
      <c r="D17" s="19"/>
      <c r="E17" s="15" t="s">
        <v>1435</v>
      </c>
      <c r="F17" s="3" t="b">
        <v>1</v>
      </c>
      <c r="G17" s="19"/>
      <c r="H17" s="19"/>
      <c r="I17" s="19"/>
      <c r="N17" s="61">
        <f>IF(F17=TRUE,3,0)</f>
        <v>3</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2</v>
      </c>
      <c r="AK17" s="61">
        <f>AJ17+IFERROR(INDEX($V$26:$V$38,MATCH(AI17,$E$26:$E$38,0)),0)</f>
        <v>2</v>
      </c>
    </row>
    <row r="18" spans="1:37">
      <c r="A18" s="1" t="s">
        <v>17</v>
      </c>
      <c r="B18" t="str">
        <f>REPT("●",IFERROR(INDEX($P$26:$P$38,MATCH(tblCharDataJack[[#This Row],[Field]],$E$26:$E$38,0)),0))&amp;REPT("○",IFERROR(INDEX($V$26:$V$38,MATCH(tblCharDataJack[[#This Row],[Field]],$E$26:$E$38,0)),0))</f>
        <v>●●●</v>
      </c>
      <c r="D18" s="19"/>
      <c r="E18" s="15" t="s">
        <v>1436</v>
      </c>
      <c r="F18" s="3" t="b">
        <v>1</v>
      </c>
      <c r="G18" s="19"/>
      <c r="H18" s="19"/>
      <c r="I18" s="19"/>
      <c r="N18" s="61">
        <f>IF(F18=TRUE,3,0)</f>
        <v>3</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1</v>
      </c>
      <c r="AK18" s="61">
        <f t="shared" si="2"/>
        <v>1</v>
      </c>
    </row>
    <row r="19" spans="1:37">
      <c r="A19" s="1" t="s">
        <v>18</v>
      </c>
      <c r="B19" t="str">
        <f>REPT("●",IFERROR(INDEX($P$26:$P$38,MATCH(tblCharDataJack[[#This Row],[Field]],$E$26:$E$38,0)),0))&amp;REPT("○",IFERROR(INDEX($V$26:$V$38,MATCH(tblCharDataJack[[#This Row],[Field]],$E$26:$E$38,0)),0))</f>
        <v>●●●</v>
      </c>
      <c r="D19" s="19"/>
      <c r="E19" s="15" t="s">
        <v>1437</v>
      </c>
      <c r="F19" s="3"/>
      <c r="G19" s="19"/>
      <c r="H19" s="19"/>
      <c r="I19" s="19"/>
      <c r="N19" s="61">
        <f>IF(F19=TRUE,3,0)</f>
        <v>0</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0</v>
      </c>
      <c r="AK19" s="61">
        <f t="shared" si="2"/>
        <v>0</v>
      </c>
    </row>
    <row r="20" spans="1:37">
      <c r="A20" s="1" t="s">
        <v>19</v>
      </c>
      <c r="B20" t="str">
        <f>REPT("●",IFERROR(INDEX($P$26:$P$38,MATCH(tblCharDataJack[[#This Row],[Field]],$E$26:$E$38,0)),0))&amp;REPT("○",IFERROR(INDEX($V$26:$V$38,MATCH(tblCharDataJack[[#This Row],[Field]],$E$26:$E$38,0)),0))</f>
        <v>●</v>
      </c>
      <c r="D20" s="19"/>
      <c r="E20" s="15" t="s">
        <v>1438</v>
      </c>
      <c r="F20" s="3"/>
      <c r="G20" s="19"/>
      <c r="H20" s="19"/>
      <c r="I20" s="19"/>
      <c r="N20" s="61">
        <f>IF(F20=TRUE,3,0)</f>
        <v>0</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REPT("●",IFERROR(INDEX($P$26:$P$38,MATCH(tblCharDataJack[[#This Row],[Field]],$E$26:$E$38,0)),0))&amp;REPT("○",IFERROR(INDEX($V$26:$V$38,MATCH(tblCharDataJack[[#This Row],[Field]],$E$26:$E$38,0)),0))</f>
        <v>●●</v>
      </c>
      <c r="D21" s="19"/>
      <c r="E21" s="15" t="s">
        <v>11</v>
      </c>
      <c r="F21" s="3"/>
      <c r="G21" s="19"/>
      <c r="H21" s="19"/>
      <c r="I21" s="19"/>
      <c r="N21" s="61">
        <f>IF(F21=TRUE,3,0)</f>
        <v>0</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2</v>
      </c>
      <c r="AK21" s="61">
        <f>IF(AJ21=0,IF(COUNTIF($E$42:$E$49,AI21)&gt;0,-3,-1),AJ21)</f>
        <v>2</v>
      </c>
    </row>
    <row r="22" spans="1:37">
      <c r="A22" s="1" t="s">
        <v>21</v>
      </c>
      <c r="B22" t="str">
        <f>REPT("●",IFERROR(INDEX($P$26:$P$38,MATCH(tblCharDataJack[[#This Row],[Field]],$E$26:$E$38,0)),0))&amp;REPT("○",IFERROR(INDEX($V$26:$V$38,MATCH(tblCharDataJack[[#This Row],[Field]],$E$26:$E$38,0)),0))</f>
        <v>●●●</v>
      </c>
      <c r="Y22" s="15" t="s">
        <v>1439</v>
      </c>
      <c r="Z22" s="61" t="str">
        <f>IFERROR(VLOOKUP(AA22,tblManoeuvre[],2,FALSE),"")</f>
        <v>Cacophony Savvy</v>
      </c>
      <c r="AA22" s="61" t="str">
        <f t="shared" ref="AA22:AA41" si="3">_xlfn.LET(_xlpm.name,VLOOKUP(Y22,$E$2:$F$362,2,FALSE),_xlpm.paid,_xlfn.IFNA(VLOOKUP(_xlpm.name,$F$79:$Q$120,11,FALSE)&gt;=VLOOKUP(_xlpm.name,$F$79:$Q$120,12,FALSE),FALSE),IF(AND(_xlpm.name&lt;&gt;"",_xlpm.paid),_xlpm.name,""))</f>
        <v>Gettin' Up</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2</v>
      </c>
      <c r="AK22" s="61">
        <f>IF(AJ22=0,IF(COUNTIF($E$42:$E$49,AI22)&gt;0,-3,-1),AJ22)</f>
        <v>2</v>
      </c>
    </row>
    <row r="23" spans="1:37" ht="15.75" thickBot="1">
      <c r="A23" s="1" t="s">
        <v>22</v>
      </c>
      <c r="B23" t="str">
        <f>REPT("●",IFERROR(INDEX($P$26:$P$38,MATCH(tblCharDataJack[[#This Row],[Field]],$E$26:$E$38,0)),0))&amp;REPT("○",IFERROR(INDEX($V$26:$V$38,MATCH(tblCharDataJack[[#This Row],[Field]],$E$26:$E$38,0)),0))</f>
        <v>●●●</v>
      </c>
      <c r="D23" s="14" t="s">
        <v>1440</v>
      </c>
      <c r="E23" s="14"/>
      <c r="F23" s="14"/>
      <c r="G23" s="14"/>
      <c r="H23" s="14"/>
      <c r="I23" s="14"/>
      <c r="N23" s="60">
        <f>SUM(N26:N28,N31:N33,N36:N38)</f>
        <v>0</v>
      </c>
      <c r="Y23" s="15" t="s">
        <v>1441</v>
      </c>
      <c r="Z23" s="61" t="str">
        <f>IFERROR(VLOOKUP(AA23,tblManoeuvre[],2,FALSE),"")</f>
        <v>Cacophony Savvy</v>
      </c>
      <c r="AA23" s="61" t="str">
        <f t="shared" si="3"/>
        <v>Backpacker</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0</v>
      </c>
      <c r="AK23" s="61">
        <f>IF(AJ23=0,VLOOKUP(AI23,$E$42:$Q$69,13,FALSE),AJ23)</f>
        <v>0</v>
      </c>
    </row>
    <row r="24" spans="1:37">
      <c r="A24" s="1" t="s">
        <v>23</v>
      </c>
      <c r="B24" t="str">
        <f>REPT("●",IFERROR(INDEX($P$26:$P$38,MATCH(tblCharDataJack[[#This Row],[Field]],$E$26:$E$38,0)),0))&amp;REPT("○",IFERROR(INDEX($V$26:$V$38,MATCH(tblCharDataJack[[#This Row],[Field]],$E$26:$E$38,0)),0))</f>
        <v>●●●</v>
      </c>
      <c r="E24" s="15" t="s">
        <v>1442</v>
      </c>
      <c r="F24" s="3" t="s">
        <v>16</v>
      </c>
      <c r="Y24" s="15" t="s">
        <v>1443</v>
      </c>
      <c r="Z24" s="61" t="str">
        <f>IFERROR(VLOOKUP(AA24,tblManoeuvre[],2,FALSE),"")</f>
        <v/>
      </c>
      <c r="AA24" s="61" t="str">
        <f t="shared" si="3"/>
        <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8</v>
      </c>
      <c r="AK24" s="61">
        <f ca="1">AJ24</f>
        <v>8</v>
      </c>
    </row>
    <row r="25" spans="1:37">
      <c r="A25" s="1" t="s">
        <v>24</v>
      </c>
      <c r="B25" t="str">
        <f>REPT("●",IFERROR(INDEX($P$26:$P$38,MATCH(tblCharDataJack[[#This Row],[Field]],$E$26:$E$38,0)),0))&amp;REPT("○",IFERROR(INDEX($V$26:$V$38,MATCH(tblCharDataJack[[#This Row],[Field]],$E$26:$E$38,0)),0))</f>
        <v>●●</v>
      </c>
      <c r="D25" s="16" t="s">
        <v>1444</v>
      </c>
      <c r="E25" s="17"/>
      <c r="F25" s="17"/>
      <c r="G25" s="17" t="s">
        <v>1445</v>
      </c>
      <c r="H25" s="16" t="s">
        <v>1446</v>
      </c>
      <c r="I25" s="3" t="s">
        <v>1567</v>
      </c>
      <c r="L25" s="60">
        <f>IF(I25="",0,VLOOKUP(I25,tblPriority[#Data],2,FALSE))-SUM(L26:L28)</f>
        <v>0</v>
      </c>
      <c r="Y25" s="15" t="s">
        <v>1447</v>
      </c>
      <c r="Z25" s="61" t="str">
        <f>IFERROR(VLOOKUP(AA25,tblManoeuvre[],2,FALSE),"")</f>
        <v>Cacophony Savvy</v>
      </c>
      <c r="AA25" s="61" t="str">
        <f t="shared" si="3"/>
        <v>Wearing a Hat</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4</v>
      </c>
      <c r="AK25" s="61">
        <f>AJ25</f>
        <v>4</v>
      </c>
    </row>
    <row r="26" spans="1:37">
      <c r="A26" s="1" t="s">
        <v>25</v>
      </c>
      <c r="B26" t="str">
        <f>REPT("●",IFERROR(INDEX($P$42:$P$69,MATCH(tblCharDataJack[[#This Row],[Field]],$E$42:$E$69,0)),0))&amp;REPT("○",IFERROR(INDEX($V$42:$V$69,MATCH(tblCharDataJack[[#This Row],[Field]],$E$42:$E$69,0)),0))&amp;IF(IFERROR(INDEX($W$42:$W$69,MATCH(tblCharDataJack[[#This Row],[Field]],$E$42:$E$69,0)),0)=1,"†","")</f>
        <v/>
      </c>
      <c r="D26" s="18"/>
      <c r="E26" s="15" t="s">
        <v>16</v>
      </c>
      <c r="F26" s="18"/>
      <c r="G26" s="3"/>
      <c r="H26" s="18"/>
      <c r="I26" s="18"/>
      <c r="L26" s="3"/>
      <c r="M26" s="60">
        <f>IF(E26=$F$24,2,1)</f>
        <v>2</v>
      </c>
      <c r="N26" s="3"/>
      <c r="O26" s="61">
        <f>ROUNDDOWN(N26/4,0)</f>
        <v>0</v>
      </c>
      <c r="P26" s="60">
        <f>MIN(SUM(L26,M26,O26),R26)</f>
        <v>2</v>
      </c>
      <c r="R26" s="61">
        <v>5</v>
      </c>
      <c r="U26" s="4"/>
      <c r="V26" s="61">
        <f>U26</f>
        <v>0</v>
      </c>
      <c r="Y26" s="15" t="s">
        <v>1449</v>
      </c>
      <c r="Z26" s="61" t="str">
        <f>IFERROR(VLOOKUP(AA26,tblManoeuvre[],2,FALSE),"")</f>
        <v/>
      </c>
      <c r="AA26" s="61" t="str">
        <f t="shared" si="3"/>
        <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2</v>
      </c>
      <c r="AK26" s="61">
        <f>AJ26+IFERROR(INDEX($V$26:$V$38,MATCH(AI26,$E$26:$E$38,0)),0)</f>
        <v>2</v>
      </c>
    </row>
    <row r="27" spans="1:37">
      <c r="A27" s="1" t="s">
        <v>26</v>
      </c>
      <c r="B27" t="str">
        <f>REPT("●",IFERROR(INDEX($P$42:$P$69,MATCH(tblCharDataJack[[#This Row],[Field]],$E$42:$E$69,0)),0))&amp;REPT("○",IFERROR(INDEX($V$42:$V$69,MATCH(tblCharDataJack[[#This Row],[Field]],$E$42:$E$69,0)),0))&amp;IF(IFERROR(INDEX($W$42:$W$69,MATCH(tblCharDataJack[[#This Row],[Field]],$E$42:$E$69,0)),0)=1,"†","")</f>
        <v>●●●</v>
      </c>
      <c r="D27" s="18"/>
      <c r="E27" s="15" t="s">
        <v>17</v>
      </c>
      <c r="F27" s="18"/>
      <c r="G27" s="3"/>
      <c r="H27" s="18"/>
      <c r="I27" s="18"/>
      <c r="L27" s="3">
        <v>2</v>
      </c>
      <c r="M27" s="60">
        <f>IF(E27=$F$24,2,1)</f>
        <v>1</v>
      </c>
      <c r="N27" s="3"/>
      <c r="O27" s="61">
        <f>ROUNDDOWN(N27/4,0)</f>
        <v>0</v>
      </c>
      <c r="P27" s="60">
        <f>MIN(SUM(L27,M27,O27),R27)</f>
        <v>3</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0</v>
      </c>
      <c r="AK27" s="61">
        <f>IF(AJ27=0,IF(COUNTIF($E$42:$E$49,AI27)&gt;0,-3,-1),AJ27)</f>
        <v>-1</v>
      </c>
    </row>
    <row r="28" spans="1:37">
      <c r="A28" s="1" t="s">
        <v>27</v>
      </c>
      <c r="B28" t="str">
        <f>REPT("●",IFERROR(INDEX($P$42:$P$69,MATCH(tblCharDataJack[[#This Row],[Field]],$E$42:$E$69,0)),0))&amp;REPT("○",IFERROR(INDEX($V$42:$V$69,MATCH(tblCharDataJack[[#This Row],[Field]],$E$42:$E$69,0)),0))&amp;IF(IFERROR(INDEX($W$42:$W$69,MATCH(tblCharDataJack[[#This Row],[Field]],$E$42:$E$69,0)),0)=1,"†","")</f>
        <v>●●</v>
      </c>
      <c r="D28" s="18"/>
      <c r="E28" s="15" t="s">
        <v>18</v>
      </c>
      <c r="F28" s="18"/>
      <c r="G28" s="3"/>
      <c r="H28" s="18"/>
      <c r="I28" s="18"/>
      <c r="L28" s="3">
        <v>2</v>
      </c>
      <c r="M28" s="60">
        <f>IF(E28=$F$24,2,1)</f>
        <v>1</v>
      </c>
      <c r="N28" s="3"/>
      <c r="O28" s="61">
        <f>ROUNDDOWN(N28/4,0)</f>
        <v>0</v>
      </c>
      <c r="P28" s="60">
        <f>MIN(SUM(L28,M28,O28),R28)</f>
        <v>3</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1</v>
      </c>
      <c r="AK28" s="61">
        <f>IF(AJ28=0,IF(COUNTIF($E$42:$E$49,AI28)&gt;0,-3,-1),AJ28)</f>
        <v>1</v>
      </c>
    </row>
    <row r="29" spans="1:37">
      <c r="A29" s="1" t="s">
        <v>28</v>
      </c>
      <c r="B29" t="str">
        <f>REPT("●",IFERROR(INDEX($P$42:$P$69,MATCH(tblCharDataJack[[#This Row],[Field]],$E$42:$E$69,0)),0))&amp;REPT("○",IFERROR(INDEX($V$42:$V$69,MATCH(tblCharDataJack[[#This Row],[Field]],$E$42:$E$69,0)),0))&amp;IF(IFERROR(INDEX($W$42:$W$69,MATCH(tblCharDataJack[[#This Row],[Field]],$E$42:$E$69,0)),0)=1,"†","")</f>
        <v>●</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2</v>
      </c>
      <c r="AK29" s="61">
        <f>IF(AJ29=0,IF(COUNTIF($E$42:$E$49,AI29)&gt;0,-3,-1),AJ29)</f>
        <v>2</v>
      </c>
    </row>
    <row r="30" spans="1:37">
      <c r="A30" s="1" t="s">
        <v>29</v>
      </c>
      <c r="B30" t="str">
        <f>REPT("●",IFERROR(INDEX($P$42:$P$69,MATCH(tblCharDataJack[[#This Row],[Field]],$E$42:$E$69,0)),0))&amp;REPT("○",IFERROR(INDEX($V$42:$V$69,MATCH(tblCharDataJack[[#This Row],[Field]],$E$42:$E$69,0)),0))&amp;IF(IFERROR(INDEX($W$42:$W$69,MATCH(tblCharDataJack[[#This Row],[Field]],$E$42:$E$69,0)),0)=1,"†","")</f>
        <v>●●</v>
      </c>
      <c r="D30" s="16" t="s">
        <v>1453</v>
      </c>
      <c r="E30" s="17"/>
      <c r="F30" s="17"/>
      <c r="G30" s="17" t="s">
        <v>1445</v>
      </c>
      <c r="H30" s="16" t="s">
        <v>1446</v>
      </c>
      <c r="I30" s="3" t="s">
        <v>1566</v>
      </c>
      <c r="L30" s="60">
        <f>IF(I30="",0,VLOOKUP(I30,tblPriority[#Data],2,FALSE))-SUM(L31:L33)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0</v>
      </c>
      <c r="AK30" s="61">
        <f>AJ30</f>
        <v>0</v>
      </c>
    </row>
    <row r="31" spans="1:37">
      <c r="A31" s="1" t="s">
        <v>30</v>
      </c>
      <c r="B31" t="str">
        <f>REPT("●",IFERROR(INDEX($P$42:$P$69,MATCH(tblCharDataJack[[#This Row],[Field]],$E$42:$E$69,0)),0))&amp;REPT("○",IFERROR(INDEX($V$42:$V$69,MATCH(tblCharDataJack[[#This Row],[Field]],$E$42:$E$69,0)),0))&amp;IF(IFERROR(INDEX($W$42:$W$69,MATCH(tblCharDataJack[[#This Row],[Field]],$E$42:$E$69,0)),0)=1,"†","")</f>
        <v>●●●</v>
      </c>
      <c r="D31" s="18"/>
      <c r="E31" s="15" t="s">
        <v>19</v>
      </c>
      <c r="F31" s="18"/>
      <c r="G31" s="3"/>
      <c r="H31" s="18"/>
      <c r="I31" s="18"/>
      <c r="L31" s="3"/>
      <c r="M31" s="60">
        <f>IF(E31=$F$24,2,1)</f>
        <v>1</v>
      </c>
      <c r="N31" s="3"/>
      <c r="O31" s="61">
        <f>ROUNDDOWN(N31/4,0)</f>
        <v>0</v>
      </c>
      <c r="P31" s="60">
        <f>MIN(SUM(L31,M31,O31),R31)</f>
        <v>1</v>
      </c>
      <c r="R31" s="61">
        <v>5</v>
      </c>
      <c r="U31" s="4"/>
      <c r="V31" s="61">
        <f>$P$174+U31</f>
        <v>0</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3</v>
      </c>
      <c r="AK31" s="61">
        <f>AJ31+IFERROR(INDEX($V$26:$V$38,MATCH(AI31,$E$26:$E$38,0)),0)</f>
        <v>3</v>
      </c>
    </row>
    <row r="32" spans="1:37">
      <c r="A32" s="1" t="s">
        <v>31</v>
      </c>
      <c r="B32" t="str">
        <f>REPT("●",IFERROR(INDEX($P$42:$P$69,MATCH(tblCharDataJack[[#This Row],[Field]],$E$42:$E$69,0)),0))&amp;REPT("○",IFERROR(INDEX($V$42:$V$69,MATCH(tblCharDataJack[[#This Row],[Field]],$E$42:$E$69,0)),0))&amp;IF(IFERROR(INDEX($W$42:$W$69,MATCH(tblCharDataJack[[#This Row],[Field]],$E$42:$E$69,0)),0)=1,"†","")</f>
        <v/>
      </c>
      <c r="D32" s="18"/>
      <c r="E32" s="15" t="s">
        <v>20</v>
      </c>
      <c r="F32" s="18"/>
      <c r="G32" s="3"/>
      <c r="H32" s="18"/>
      <c r="I32" s="18"/>
      <c r="L32" s="3">
        <v>1</v>
      </c>
      <c r="M32" s="60">
        <f>IF(E32=$F$24,2,1)</f>
        <v>1</v>
      </c>
      <c r="N32" s="3"/>
      <c r="O32" s="61">
        <f>ROUNDDOWN(N32/4,0)</f>
        <v>0</v>
      </c>
      <c r="P32" s="60">
        <f>MIN(SUM(L32,M32,O32),R32)</f>
        <v>2</v>
      </c>
      <c r="R32" s="61">
        <v>5</v>
      </c>
      <c r="U32" s="4"/>
      <c r="V32" s="61">
        <f>U32</f>
        <v>0</v>
      </c>
      <c r="Y32" s="15" t="s">
        <v>1456</v>
      </c>
      <c r="Z32" s="61" t="str">
        <f>IFERROR(VLOOKUP(AA32,tblManoeuvre[],2,FALSE),"")</f>
        <v/>
      </c>
      <c r="AA32" s="61" t="str">
        <f t="shared" si="3"/>
        <v/>
      </c>
      <c r="AI32" s="15" t="s">
        <v>29</v>
      </c>
      <c r="AJ32" s="61">
        <f t="shared" si="1"/>
        <v>2</v>
      </c>
      <c r="AK32" s="61">
        <f>IF(AJ32=0,VLOOKUP(AI32,$E$42:$Q$69,13,FALSE),AJ32)</f>
        <v>2</v>
      </c>
    </row>
    <row r="33" spans="1:37">
      <c r="A33" s="1" t="s">
        <v>32</v>
      </c>
      <c r="B33" t="str">
        <f>REPT("●",IFERROR(INDEX($P$42:$P$69,MATCH(tblCharDataJack[[#This Row],[Field]],$E$42:$E$69,0)),0))&amp;REPT("○",IFERROR(INDEX($V$42:$V$69,MATCH(tblCharDataJack[[#This Row],[Field]],$E$42:$E$69,0)),0))&amp;IF(IFERROR(INDEX($W$42:$W$69,MATCH(tblCharDataJack[[#This Row],[Field]],$E$42:$E$69,0)),0)=1,"†","")</f>
        <v/>
      </c>
      <c r="D33" s="18"/>
      <c r="E33" s="15" t="s">
        <v>21</v>
      </c>
      <c r="F33" s="18"/>
      <c r="G33" s="3"/>
      <c r="H33" s="18"/>
      <c r="I33" s="18"/>
      <c r="L33" s="3">
        <v>2</v>
      </c>
      <c r="M33" s="60">
        <f>IF(E33=$F$24,2,1)</f>
        <v>1</v>
      </c>
      <c r="N33" s="3"/>
      <c r="O33" s="61">
        <f>ROUNDDOWN(N33/4,0)</f>
        <v>0</v>
      </c>
      <c r="P33" s="60">
        <f>MIN(SUM(L33,M33,O33),R33)</f>
        <v>3</v>
      </c>
      <c r="R33" s="61">
        <v>5</v>
      </c>
      <c r="U33" s="4"/>
      <c r="V33" s="61">
        <f>$P$173+U33</f>
        <v>0</v>
      </c>
      <c r="Y33" s="15" t="s">
        <v>1457</v>
      </c>
      <c r="Z33" s="61" t="str">
        <f>IFERROR(VLOOKUP(AA33,tblManoeuvre[],2,FALSE),"")</f>
        <v/>
      </c>
      <c r="AA33" s="61" t="str">
        <f t="shared" si="3"/>
        <v/>
      </c>
      <c r="AI33" s="15" t="s">
        <v>241</v>
      </c>
      <c r="AJ33" s="61">
        <f t="shared" si="1"/>
        <v>0</v>
      </c>
      <c r="AK33" s="61">
        <f>AJ33</f>
        <v>0</v>
      </c>
    </row>
    <row r="34" spans="1:37">
      <c r="A34" s="1" t="s">
        <v>33</v>
      </c>
      <c r="B34" t="str">
        <f>REPT("●",IFERROR(INDEX($P$42:$P$69,MATCH(tblCharDataJack[[#This Row],[Field]],$E$42:$E$69,0)),0))&amp;REPT("○",IFERROR(INDEX($V$42:$V$69,MATCH(tblCharDataJack[[#This Row],[Field]],$E$42:$E$69,0)),0))&amp;IF(IFERROR(INDEX($W$42:$W$69,MATCH(tblCharDataJack[[#This Row],[Field]],$E$42:$E$69,0)),0)=1,"†","")</f>
        <v>●</v>
      </c>
      <c r="Y34" s="15" t="s">
        <v>1458</v>
      </c>
      <c r="Z34" s="61" t="str">
        <f>IFERROR(VLOOKUP(AA34,tblManoeuvre[],2,FALSE),"")</f>
        <v/>
      </c>
      <c r="AA34" s="61" t="str">
        <f t="shared" si="3"/>
        <v/>
      </c>
      <c r="AI34" s="15" t="s">
        <v>242</v>
      </c>
      <c r="AJ34" s="61">
        <f t="shared" si="1"/>
        <v>1</v>
      </c>
      <c r="AK34" s="61">
        <f>AJ34</f>
        <v>1</v>
      </c>
    </row>
    <row r="35" spans="1:37">
      <c r="A35" s="1" t="s">
        <v>34</v>
      </c>
      <c r="B35" t="str">
        <f>REPT("●",IFERROR(INDEX($P$42:$P$69,MATCH(tblCharDataJack[[#This Row],[Field]],$E$42:$E$69,0)),0))&amp;REPT("○",IFERROR(INDEX($V$42:$V$69,MATCH(tblCharDataJack[[#This Row],[Field]],$E$42:$E$69,0)),0))&amp;IF(IFERROR(INDEX($W$42:$W$69,MATCH(tblCharDataJack[[#This Row],[Field]],$E$42:$E$69,0)),0)=1,"†","")</f>
        <v/>
      </c>
      <c r="D35" s="16" t="s">
        <v>1459</v>
      </c>
      <c r="E35" s="17"/>
      <c r="F35" s="17"/>
      <c r="G35" s="17" t="s">
        <v>1445</v>
      </c>
      <c r="H35" s="16" t="s">
        <v>1446</v>
      </c>
      <c r="I35" s="3" t="s">
        <v>1565</v>
      </c>
      <c r="L35" s="60">
        <f>IF(I35="",0,VLOOKUP(I35,tblPriority[#Data],2,FALSE))-SUM(L36:L38)</f>
        <v>0</v>
      </c>
      <c r="Y35" s="15" t="s">
        <v>1460</v>
      </c>
      <c r="Z35" s="61" t="str">
        <f>IFERROR(VLOOKUP(AA35,tblManoeuvre[],2,FALSE),"")</f>
        <v/>
      </c>
      <c r="AA35" s="61" t="str">
        <f t="shared" si="3"/>
        <v/>
      </c>
      <c r="AI35" s="15" t="s">
        <v>30</v>
      </c>
      <c r="AJ35" s="61">
        <f t="shared" si="1"/>
        <v>3</v>
      </c>
      <c r="AK35" s="61">
        <f>IF(AJ35=0,IF(COUNTIF($E$42:$E$49,AI35)&gt;0,-3,-1),AJ35)</f>
        <v>3</v>
      </c>
    </row>
    <row r="36" spans="1:37">
      <c r="A36" s="1" t="s">
        <v>35</v>
      </c>
      <c r="B36" t="str">
        <f>REPT("●",IFERROR(INDEX($P$42:$P$69,MATCH(tblCharDataJack[[#This Row],[Field]],$E$42:$E$69,0)),0))&amp;REPT("○",IFERROR(INDEX($V$42:$V$69,MATCH(tblCharDataJack[[#This Row],[Field]],$E$42:$E$69,0)),0))&amp;IF(IFERROR(INDEX($W$42:$W$69,MATCH(tblCharDataJack[[#This Row],[Field]],$E$42:$E$69,0)),0)=1,"†","")</f>
        <v/>
      </c>
      <c r="D36" s="18"/>
      <c r="E36" s="15" t="s">
        <v>22</v>
      </c>
      <c r="F36" s="18"/>
      <c r="G36" s="3"/>
      <c r="H36" s="18"/>
      <c r="I36" s="18"/>
      <c r="L36" s="3">
        <v>2</v>
      </c>
      <c r="M36" s="60">
        <f>IF(E36=$F$24,2,1)</f>
        <v>1</v>
      </c>
      <c r="N36" s="3"/>
      <c r="O36" s="61">
        <f>ROUNDDOWN(N36/4,0)</f>
        <v>0</v>
      </c>
      <c r="P36" s="60">
        <f>MIN(SUM(L36,M36,O36),R36)</f>
        <v>3</v>
      </c>
      <c r="R36" s="61">
        <v>5</v>
      </c>
      <c r="U36" s="4"/>
      <c r="V36" s="61">
        <f>U36</f>
        <v>0</v>
      </c>
      <c r="Y36" s="15" t="s">
        <v>1461</v>
      </c>
      <c r="Z36" s="61" t="str">
        <f>IFERROR(VLOOKUP(AA36,tblManoeuvre[],2,FALSE),"")</f>
        <v/>
      </c>
      <c r="AA36" s="61" t="str">
        <f t="shared" si="3"/>
        <v/>
      </c>
      <c r="AI36" s="15" t="s">
        <v>45</v>
      </c>
      <c r="AJ36" s="61">
        <f t="shared" si="1"/>
        <v>1</v>
      </c>
      <c r="AK36" s="61">
        <f>IF(AJ36=0,IF(COUNTIF($E$42:$E$49,AI36)&gt;0,-3,-1),AJ36)</f>
        <v>1</v>
      </c>
    </row>
    <row r="37" spans="1:37">
      <c r="A37" s="1" t="s">
        <v>36</v>
      </c>
      <c r="B37" t="str">
        <f>REPT("●",IFERROR(INDEX($P$42:$P$69,MATCH(tblCharDataJack[[#This Row],[Field]],$E$42:$E$69,0)),0))&amp;REPT("○",IFERROR(INDEX($V$42:$V$69,MATCH(tblCharDataJack[[#This Row],[Field]],$E$42:$E$69,0)),0))&amp;IF(IFERROR(INDEX($W$42:$W$69,MATCH(tblCharDataJack[[#This Row],[Field]],$E$42:$E$69,0)),0)=1,"†","")</f>
        <v/>
      </c>
      <c r="D37" s="18"/>
      <c r="E37" s="15" t="s">
        <v>23</v>
      </c>
      <c r="F37" s="18"/>
      <c r="G37" s="3"/>
      <c r="H37" s="18"/>
      <c r="I37" s="18"/>
      <c r="L37" s="3">
        <v>2</v>
      </c>
      <c r="M37" s="60">
        <f>IF(E37=$F$24,2,1)</f>
        <v>1</v>
      </c>
      <c r="N37" s="3"/>
      <c r="O37" s="61">
        <f>ROUNDDOWN(N37/4,0)</f>
        <v>0</v>
      </c>
      <c r="P37" s="60">
        <f>MIN(SUM(L37,M37,O37),R37)</f>
        <v>3</v>
      </c>
      <c r="R37" s="61">
        <v>5</v>
      </c>
      <c r="U37" s="4"/>
      <c r="V37" s="61">
        <f>U37</f>
        <v>0</v>
      </c>
      <c r="Y37" s="15" t="s">
        <v>1462</v>
      </c>
      <c r="Z37" s="61" t="str">
        <f>IFERROR(VLOOKUP(AA37,tblManoeuvre[],2,FALSE),"")</f>
        <v/>
      </c>
      <c r="AA37" s="61" t="str">
        <f t="shared" si="3"/>
        <v/>
      </c>
      <c r="AI37" s="15" t="s">
        <v>31</v>
      </c>
      <c r="AJ37" s="61">
        <f t="shared" si="1"/>
        <v>0</v>
      </c>
      <c r="AK37" s="61">
        <f>IF(AJ37=0,IF(COUNTIF($E$42:$E$49,AI37)&gt;0,-3,-1),AJ37)</f>
        <v>-3</v>
      </c>
    </row>
    <row r="38" spans="1:37">
      <c r="A38" s="1" t="s">
        <v>37</v>
      </c>
      <c r="B38" t="str">
        <f>REPT("●",IFERROR(INDEX($P$42:$P$69,MATCH(tblCharDataJack[[#This Row],[Field]],$E$42:$E$69,0)),0))&amp;REPT("○",IFERROR(INDEX($V$42:$V$69,MATCH(tblCharDataJack[[#This Row],[Field]],$E$42:$E$69,0)),0))&amp;IF(IFERROR(INDEX($W$42:$W$69,MATCH(tblCharDataJack[[#This Row],[Field]],$E$42:$E$69,0)),0)=1,"†","")</f>
        <v>●●</v>
      </c>
      <c r="D38" s="18"/>
      <c r="E38" s="15" t="s">
        <v>24</v>
      </c>
      <c r="F38" s="18"/>
      <c r="G38" s="3"/>
      <c r="H38" s="18"/>
      <c r="I38" s="18"/>
      <c r="L38" s="3">
        <v>1</v>
      </c>
      <c r="M38" s="60">
        <f>IF(E38=$F$24,2,1)</f>
        <v>1</v>
      </c>
      <c r="N38" s="3"/>
      <c r="O38" s="61">
        <f>ROUNDDOWN(N38/4,0)</f>
        <v>0</v>
      </c>
      <c r="P38" s="60">
        <f>MIN(SUM(L38,M38,O38),R38)</f>
        <v>2</v>
      </c>
      <c r="R38" s="61">
        <v>5</v>
      </c>
      <c r="U38" s="4"/>
      <c r="V38" s="61">
        <f>U38</f>
        <v>0</v>
      </c>
      <c r="Y38" s="15" t="s">
        <v>1463</v>
      </c>
      <c r="Z38" s="61" t="str">
        <f>IFERROR(VLOOKUP(AA38,tblManoeuvre[],2,FALSE),"")</f>
        <v/>
      </c>
      <c r="AA38" s="61" t="str">
        <f t="shared" si="3"/>
        <v/>
      </c>
      <c r="AI38" s="15" t="s">
        <v>22</v>
      </c>
      <c r="AJ38" s="61">
        <f t="shared" si="1"/>
        <v>3</v>
      </c>
      <c r="AK38" s="61">
        <f>AJ38+IFERROR(INDEX($V$26:$V$38,MATCH(AI38,$E$26:$E$38,0)),0)</f>
        <v>3</v>
      </c>
    </row>
    <row r="39" spans="1:37">
      <c r="A39" s="1" t="s">
        <v>38</v>
      </c>
      <c r="B39" t="str">
        <f>REPT("●",IFERROR(INDEX($P$42:$P$69,MATCH(tblCharDataJack[[#This Row],[Field]],$E$42:$E$69,0)),0))&amp;REPT("○",IFERROR(INDEX($V$42:$V$69,MATCH(tblCharDataJack[[#This Row],[Field]],$E$42:$E$69,0)),0))&amp;IF(IFERROR(INDEX($W$42:$W$69,MATCH(tblCharDataJack[[#This Row],[Field]],$E$42:$E$69,0)),0)=1,"†","")</f>
        <v>●</v>
      </c>
      <c r="Y39" s="15" t="s">
        <v>1464</v>
      </c>
      <c r="Z39" s="61" t="str">
        <f>IFERROR(VLOOKUP(AA39,tblManoeuvre[],2,FALSE),"")</f>
        <v/>
      </c>
      <c r="AA39" s="61" t="str">
        <f t="shared" si="3"/>
        <v/>
      </c>
      <c r="AI39" s="15" t="s">
        <v>243</v>
      </c>
      <c r="AJ39" s="61">
        <f t="shared" si="1"/>
        <v>0</v>
      </c>
      <c r="AK39" s="61">
        <f>AJ39</f>
        <v>0</v>
      </c>
    </row>
    <row r="40" spans="1:37" ht="15.75" thickBot="1">
      <c r="A40" s="1" t="s">
        <v>39</v>
      </c>
      <c r="B40" t="str">
        <f>REPT("●",IFERROR(INDEX($P$42:$P$69,MATCH(tblCharDataJack[[#This Row],[Field]],$E$42:$E$69,0)),0))&amp;REPT("○",IFERROR(INDEX($V$42:$V$69,MATCH(tblCharDataJack[[#This Row],[Field]],$E$42:$E$69,0)),0))&amp;IF(IFERROR(INDEX($W$42:$W$69,MATCH(tblCharDataJack[[#This Row],[Field]],$E$42:$E$69,0)),0)=1,"†","")</f>
        <v/>
      </c>
      <c r="D40" s="14" t="s">
        <v>1465</v>
      </c>
      <c r="E40" s="14"/>
      <c r="F40" s="14"/>
      <c r="G40" s="14"/>
      <c r="H40" s="14"/>
      <c r="I40" s="14"/>
      <c r="N40" s="60">
        <f>SUM(N42:N49,N52:N59,N62:N69)</f>
        <v>0</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1"/>
        <v>1</v>
      </c>
      <c r="AK40" s="61">
        <f>AJ40</f>
        <v>1</v>
      </c>
    </row>
    <row r="41" spans="1:37">
      <c r="A41" s="1" t="s">
        <v>40</v>
      </c>
      <c r="B41" t="str">
        <f>REPT("●",IFERROR(INDEX($P$42:$P$69,MATCH(tblCharDataJack[[#This Row],[Field]],$E$42:$E$69,0)),0))&amp;REPT("○",IFERROR(INDEX($V$42:$V$69,MATCH(tblCharDataJack[[#This Row],[Field]],$E$42:$E$69,0)),0))&amp;IF(IFERROR(INDEX($W$42:$W$69,MATCH(tblCharDataJack[[#This Row],[Field]],$E$42:$E$69,0)),0)=1,"†","")</f>
        <v/>
      </c>
      <c r="D41" s="16" t="s">
        <v>1444</v>
      </c>
      <c r="E41" s="17"/>
      <c r="F41" s="17"/>
      <c r="G41" s="17" t="s">
        <v>1467</v>
      </c>
      <c r="H41" s="16" t="s">
        <v>1446</v>
      </c>
      <c r="I41" s="3" t="s">
        <v>1565</v>
      </c>
      <c r="L41" s="60">
        <f>IF(I41="",0,VLOOKUP(I41,tblPriority[#Data],3,FALSE))-SUM(L42:L49)</f>
        <v>0</v>
      </c>
      <c r="T41" s="60">
        <f>3+IF(P161&gt;=3,2,0)-SUM(T42:T49,T52:T59,T62:T69)</f>
        <v>0</v>
      </c>
      <c r="Y41" s="15" t="s">
        <v>1468</v>
      </c>
      <c r="Z41" s="61" t="str">
        <f>IFERROR(VLOOKUP(AA41,tblManoeuvre[],2,FALSE),"")</f>
        <v/>
      </c>
      <c r="AA41" s="61" t="str">
        <f t="shared" si="3"/>
        <v/>
      </c>
      <c r="AI41" s="15" t="s">
        <v>244</v>
      </c>
      <c r="AJ41" s="61">
        <f t="shared" si="1"/>
        <v>0</v>
      </c>
      <c r="AK41" s="61">
        <f>AJ41</f>
        <v>0</v>
      </c>
    </row>
    <row r="42" spans="1:37">
      <c r="A42" s="1" t="s">
        <v>41</v>
      </c>
      <c r="B42" t="str">
        <f>REPT("●",IFERROR(INDEX($P$42:$P$69,MATCH(tblCharDataJack[[#This Row],[Field]],$E$42:$E$69,0)),0))&amp;REPT("○",IFERROR(INDEX($V$42:$V$69,MATCH(tblCharDataJack[[#This Row],[Field]],$E$42:$E$69,0)),0))&amp;IF(IFERROR(INDEX($W$42:$W$69,MATCH(tblCharDataJack[[#This Row],[Field]],$E$42:$E$69,0)),0)=1,"†","")</f>
        <v/>
      </c>
      <c r="D42" s="18"/>
      <c r="E42" s="15" t="s">
        <v>25</v>
      </c>
      <c r="F42" s="18"/>
      <c r="G42" s="3"/>
      <c r="H42" s="18"/>
      <c r="I42" s="18"/>
      <c r="L42" s="4"/>
      <c r="M42" s="60"/>
      <c r="N42" s="4"/>
      <c r="O42" s="61">
        <f>ROUNDDOWN(N42/2,0)</f>
        <v>0</v>
      </c>
      <c r="P42" s="60">
        <f t="shared" ref="P42:P49" si="4">MIN(SUM(L42,M42,O42),R42)</f>
        <v>0</v>
      </c>
      <c r="R42" s="61">
        <v>5</v>
      </c>
      <c r="T42" s="4"/>
      <c r="U42" s="4"/>
      <c r="V42" s="61">
        <f t="shared" ref="V42:V49" si="5">U42</f>
        <v>0</v>
      </c>
      <c r="W42" s="4"/>
      <c r="AI42" s="15" t="s">
        <v>18</v>
      </c>
      <c r="AJ42" s="61">
        <f t="shared" si="1"/>
        <v>3</v>
      </c>
      <c r="AK42" s="61">
        <f>AJ42+IFERROR(INDEX($V$26:$V$38,MATCH(AI42,$E$26:$E$38,0)),0)</f>
        <v>3</v>
      </c>
    </row>
    <row r="43" spans="1:37">
      <c r="A43" s="1" t="s">
        <v>42</v>
      </c>
      <c r="B43" t="str">
        <f>REPT("●",IFERROR(INDEX($P$42:$P$69,MATCH(tblCharDataJack[[#This Row],[Field]],$E$42:$E$69,0)),0))&amp;REPT("○",IFERROR(INDEX($V$42:$V$69,MATCH(tblCharDataJack[[#This Row],[Field]],$E$42:$E$69,0)),0))&amp;IF(IFERROR(INDEX($W$42:$W$69,MATCH(tblCharDataJack[[#This Row],[Field]],$E$42:$E$69,0)),0)=1,"†","")</f>
        <v>●●</v>
      </c>
      <c r="D43" s="18"/>
      <c r="E43" s="15" t="s">
        <v>26</v>
      </c>
      <c r="F43" s="18"/>
      <c r="G43" s="3" t="s">
        <v>391</v>
      </c>
      <c r="H43" s="18"/>
      <c r="I43" s="18"/>
      <c r="L43" s="4">
        <v>3</v>
      </c>
      <c r="M43" s="60"/>
      <c r="N43" s="4"/>
      <c r="O43" s="61">
        <f t="shared" ref="O43:O49" si="6">ROUNDDOWN(N43/2,0)</f>
        <v>0</v>
      </c>
      <c r="P43" s="60">
        <f t="shared" si="4"/>
        <v>3</v>
      </c>
      <c r="R43" s="61">
        <v>5</v>
      </c>
      <c r="T43" s="4">
        <v>1</v>
      </c>
      <c r="U43" s="4"/>
      <c r="V43" s="61">
        <f t="shared" si="5"/>
        <v>0</v>
      </c>
      <c r="W43" s="4"/>
      <c r="AI43" s="15" t="s">
        <v>32</v>
      </c>
      <c r="AJ43" s="61">
        <f t="shared" si="1"/>
        <v>0</v>
      </c>
      <c r="AK43" s="61">
        <f>IF(AJ43=0,IF(COUNTIF($E$42:$E$49,AI43)&gt;0,-3,-1),AJ43)</f>
        <v>-3</v>
      </c>
    </row>
    <row r="44" spans="1:37">
      <c r="A44" s="1" t="s">
        <v>43</v>
      </c>
      <c r="B44" t="str">
        <f>REPT("●",IFERROR(INDEX($P$42:$P$69,MATCH(tblCharDataJack[[#This Row],[Field]],$E$42:$E$69,0)),0))&amp;REPT("○",IFERROR(INDEX($V$42:$V$69,MATCH(tblCharDataJack[[#This Row],[Field]],$E$42:$E$69,0)),0))&amp;IF(IFERROR(INDEX($W$42:$W$69,MATCH(tblCharDataJack[[#This Row],[Field]],$E$42:$E$69,0)),0)=1,"†","")</f>
        <v>●●</v>
      </c>
      <c r="D44" s="18"/>
      <c r="E44" s="15" t="s">
        <v>27</v>
      </c>
      <c r="F44" s="18"/>
      <c r="G44" s="3"/>
      <c r="H44" s="18"/>
      <c r="I44" s="18"/>
      <c r="L44" s="4">
        <v>2</v>
      </c>
      <c r="M44" s="60"/>
      <c r="N44" s="4"/>
      <c r="O44" s="61">
        <f t="shared" si="6"/>
        <v>0</v>
      </c>
      <c r="P44" s="60">
        <f t="shared" si="4"/>
        <v>2</v>
      </c>
      <c r="R44" s="61">
        <v>5</v>
      </c>
      <c r="T44" s="4"/>
      <c r="U44" s="4"/>
      <c r="V44" s="61">
        <f t="shared" si="5"/>
        <v>0</v>
      </c>
      <c r="W44" s="4"/>
      <c r="Y44" s="15">
        <v>1</v>
      </c>
      <c r="Z44" s="61" t="s">
        <v>236</v>
      </c>
      <c r="AA44" s="60" t="str" cm="1">
        <f t="array" ref="AA44">IF(OR(Y44=0,Y44=""),"",IF(VLOOKUP(Z44,$AI$1:$AJ$58,2,FALSE)&gt;=Y44,INDEX(tblDisciplines[Name],MATCH(1,(tblDisciplines[Discipline]=Z44)*(tblDisciplines[Rank]=Y44),0)),""))</f>
        <v/>
      </c>
      <c r="AC44" s="60" t="str" cm="1">
        <f t="array" ref="AC44:AC56">IFERROR(_xlfn.VSTACK(IFERROR(_xlfn._xlws.FILTER(AA44:AA121,AA44:AA121&lt;&gt;""),""),IFERROR(_xlfn._xlws.SORT(_xlfn._xlws.FILTER(AA123:AA132,AA123:AA132&lt;&gt;"")),"")),"")</f>
        <v>Beast's Hackles</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Auspex ● | Beast's Hackles</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Free (1 V for Insight)  •  Pool: - - Composure &amp; Closed Book  •  Instant  •  Scene</v>
      </c>
      <c r="AF44" s="20" t="str">
        <f>IF(AC44="","",IFERROR(VLOOKUP(AC44,tblDisciplines[],12,FALSE),VLOOKUP(AC44,tblPacts[],5,FALSE)))</f>
        <v>Add Auspex dots to any rolls to resist surprise. Access to Tier 1 Auspex Insight questions.</v>
      </c>
      <c r="AI44" s="15" t="s">
        <v>353</v>
      </c>
      <c r="AJ44" s="61">
        <f t="shared" si="1"/>
        <v>5</v>
      </c>
      <c r="AK44" s="61">
        <f>AJ44</f>
        <v>5</v>
      </c>
    </row>
    <row r="45" spans="1:37">
      <c r="A45" s="1" t="s">
        <v>44</v>
      </c>
      <c r="B45" t="str">
        <f>REPT("●",IFERROR(INDEX($P$42:$P$69,MATCH(tblCharDataJack[[#This Row],[Field]],$E$42:$E$69,0)),0))&amp;REPT("○",IFERROR(INDEX($V$42:$V$69,MATCH(tblCharDataJack[[#This Row],[Field]],$E$42:$E$69,0)),0))&amp;IF(IFERROR(INDEX($W$42:$W$69,MATCH(tblCharDataJack[[#This Row],[Field]],$E$42:$E$69,0)),0)=1,"†","")</f>
        <v/>
      </c>
      <c r="D45" s="61" t="s">
        <v>1741</v>
      </c>
      <c r="E45" s="15" t="s">
        <v>28</v>
      </c>
      <c r="F45" s="18"/>
      <c r="G45" s="3" t="s">
        <v>1043</v>
      </c>
      <c r="H45" s="18"/>
      <c r="I45" s="18"/>
      <c r="L45" s="4">
        <v>1</v>
      </c>
      <c r="M45" s="60"/>
      <c r="N45" s="4"/>
      <c r="O45" s="61">
        <f t="shared" si="6"/>
        <v>0</v>
      </c>
      <c r="P45" s="60">
        <f t="shared" si="4"/>
        <v>1</v>
      </c>
      <c r="R45" s="61">
        <v>5</v>
      </c>
      <c r="T45" s="4">
        <v>1</v>
      </c>
      <c r="U45" s="4"/>
      <c r="V45" s="61">
        <f t="shared" si="5"/>
        <v>0</v>
      </c>
      <c r="W45" s="4"/>
      <c r="Y45" s="15">
        <v>2</v>
      </c>
      <c r="Z45" s="61" t="s">
        <v>236</v>
      </c>
      <c r="AA45" s="60" t="str" cm="1">
        <f t="array" ref="AA45">IF(OR(Y45=0,Y45=""),"",IF(VLOOKUP(Z45,$AI$1:$AJ$58,2,FALSE)&gt;=Y45,INDEX(tblDisciplines[Name],MATCH(1,(tblDisciplines[Discipline]=Z45)*(tblDisciplines[Rank]=Y45),0)),""))</f>
        <v/>
      </c>
      <c r="AC45" s="60" t="str">
        <v>Uncanny Perception</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Auspex ●● | Uncanny Perception</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Free (1 V for Insight) Must perceive target  •  Pool: -  •  Instant  •  Scene</v>
      </c>
      <c r="AF45" s="20" t="str">
        <f>IF(AC45="","",IFERROR(VLOOKUP(AC45,tblDisciplines[],12,FALSE),VLOOKUP(AC45,tblPacts[],5,FALSE)))</f>
        <v>Persistent Acute Senses Merit, doubles actual merit. Access to Tier 2 Auspex Insight questions.</v>
      </c>
      <c r="AI45" s="15" t="s">
        <v>46</v>
      </c>
      <c r="AJ45" s="61">
        <f t="shared" si="1"/>
        <v>1</v>
      </c>
      <c r="AK45" s="61">
        <f>IF(AJ45=0,IF(COUNTIF($E$42:$E$49,AI45)&gt;0,-3,-1),AJ45)</f>
        <v>1</v>
      </c>
    </row>
    <row r="46" spans="1:37">
      <c r="A46" s="1" t="s">
        <v>45</v>
      </c>
      <c r="B46" t="str">
        <f>REPT("●",IFERROR(INDEX($P$42:$P$69,MATCH(tblCharDataJack[[#This Row],[Field]],$E$42:$E$69,0)),0))&amp;REPT("○",IFERROR(INDEX($V$42:$V$69,MATCH(tblCharDataJack[[#This Row],[Field]],$E$42:$E$69,0)),0))&amp;IF(IFERROR(INDEX($W$42:$W$69,MATCH(tblCharDataJack[[#This Row],[Field]],$E$42:$E$69,0)),0)=1,"†","")</f>
        <v>●</v>
      </c>
      <c r="D46" s="18"/>
      <c r="E46" s="15" t="s">
        <v>29</v>
      </c>
      <c r="F46" s="18"/>
      <c r="G46" s="3" t="s">
        <v>1044</v>
      </c>
      <c r="H46" s="18"/>
      <c r="I46" s="18"/>
      <c r="L46" s="4">
        <v>2</v>
      </c>
      <c r="M46" s="60"/>
      <c r="N46" s="4"/>
      <c r="O46" s="61">
        <f t="shared" si="6"/>
        <v>0</v>
      </c>
      <c r="P46" s="60">
        <f t="shared" si="4"/>
        <v>2</v>
      </c>
      <c r="R46" s="61">
        <v>5</v>
      </c>
      <c r="T46" s="4">
        <v>1</v>
      </c>
      <c r="U46" s="4"/>
      <c r="V46" s="61">
        <f t="shared" si="5"/>
        <v>0</v>
      </c>
      <c r="W46" s="4"/>
      <c r="Y46" s="15">
        <v>3</v>
      </c>
      <c r="Z46" s="61" t="s">
        <v>236</v>
      </c>
      <c r="AA46" s="60" t="str" cm="1">
        <f t="array" ref="AA46">IF(OR(Y46=0,Y46=""),"",IF(VLOOKUP(Z46,$AI$1:$AJ$58,2,FALSE)&gt;=Y46,INDEX(tblDisciplines[Name],MATCH(1,(tblDisciplines[Discipline]=Z46)*(tblDisciplines[Rank]=Y46),0)),""))</f>
        <v/>
      </c>
      <c r="AC46" s="60" t="str">
        <v>Spirit's Touch</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Auspex ●●● | Spirit's Touch</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Free (1 WP for clash / 1 V for Insight)  •  Pool: - v Resolve + Stealth + Obf  •  Reflexive  •  Immediate</v>
      </c>
      <c r="AF46" s="20" t="str">
        <f>IF(AC46="","",IFERROR(VLOOKUP(AC46,tblDisciplines[],12,FALSE),VLOOKUP(AC46,tblPacts[],5,FALSE)))</f>
        <v xml:space="preserve">Passively scan for anyone under Obfuscate 1 or 3, can provoke a challenge. Access to Tier 3 Auspex Insight questions. </v>
      </c>
      <c r="AI46" s="15" t="s">
        <v>354</v>
      </c>
      <c r="AJ46" s="61">
        <f t="shared" ca="1" si="1"/>
        <v>8</v>
      </c>
      <c r="AK46" s="61">
        <f ca="1">AJ46</f>
        <v>8</v>
      </c>
    </row>
    <row r="47" spans="1:37">
      <c r="A47" s="1" t="s">
        <v>46</v>
      </c>
      <c r="B47" t="str">
        <f>REPT("●",IFERROR(INDEX($P$42:$P$69,MATCH(tblCharDataJack[[#This Row],[Field]],$E$42:$E$69,0)),0))&amp;REPT("○",IFERROR(INDEX($V$42:$V$69,MATCH(tblCharDataJack[[#This Row],[Field]],$E$42:$E$69,0)),0))&amp;IF(IFERROR(INDEX($W$42:$W$69,MATCH(tblCharDataJack[[#This Row],[Field]],$E$42:$E$69,0)),0)=1,"†","")</f>
        <v>●</v>
      </c>
      <c r="D47" s="18"/>
      <c r="E47" s="15" t="s">
        <v>30</v>
      </c>
      <c r="F47" s="18"/>
      <c r="G47" s="3"/>
      <c r="H47" s="18"/>
      <c r="I47" s="18"/>
      <c r="L47" s="4">
        <v>3</v>
      </c>
      <c r="M47" s="60"/>
      <c r="N47" s="4"/>
      <c r="O47" s="61">
        <f t="shared" si="6"/>
        <v>0</v>
      </c>
      <c r="P47" s="60">
        <f t="shared" si="4"/>
        <v>3</v>
      </c>
      <c r="R47" s="61">
        <v>5</v>
      </c>
      <c r="T47" s="4"/>
      <c r="U47" s="4"/>
      <c r="V47" s="61">
        <f t="shared" si="5"/>
        <v>0</v>
      </c>
      <c r="W47" s="4"/>
      <c r="Y47" s="15">
        <v>4</v>
      </c>
      <c r="Z47" s="61" t="s">
        <v>236</v>
      </c>
      <c r="AA47" s="60" t="str" cm="1">
        <f t="array" ref="AA47">IF(OR(Y47=0,Y47=""),"",IF(VLOOKUP(Z47,$AI$1:$AJ$58,2,FALSE)&gt;=Y47,INDEX(tblDisciplines[Name],MATCH(1,(tblDisciplines[Discipline]=Z47)*(tblDisciplines[Rank]=Y47),0)),""))</f>
        <v/>
      </c>
      <c r="AC47" s="60" t="str">
        <v>Lay Open the Mind</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Auspex ●●●● | Lay Open the Mind</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Cost: 1 V  •  Pool: 7  v Resolve + BP  •  Instant  •  Scene</v>
      </c>
      <c r="AF47" s="20" t="str">
        <f>IF(AC47="","",IFERROR(VLOOKUP(AC47,tblDisciplines[],12,FALSE),VLOOKUP(AC47,tblPacts[],5,FALSE)))</f>
        <v>Telepathy and mind-reading. Invoke Conditions.</v>
      </c>
      <c r="AI47" s="15" t="s">
        <v>21</v>
      </c>
      <c r="AJ47" s="61">
        <f t="shared" si="1"/>
        <v>3</v>
      </c>
      <c r="AK47" s="61">
        <f>AJ47+IFERROR(INDEX($V$26:$V$38,MATCH(AI47,$E$26:$E$38,0)),0)</f>
        <v>3</v>
      </c>
    </row>
    <row r="48" spans="1:37">
      <c r="A48" s="1" t="s">
        <v>47</v>
      </c>
      <c r="B48" t="str">
        <f>REPT("●",IFERROR(INDEX($P$42:$P$69,MATCH(tblCharDataJack[[#This Row],[Field]],$E$42:$E$69,0)),0))&amp;REPT("○",IFERROR(INDEX($V$42:$V$69,MATCH(tblCharDataJack[[#This Row],[Field]],$E$42:$E$69,0)),0))&amp;IF(IFERROR(INDEX($W$42:$W$69,MATCH(tblCharDataJack[[#This Row],[Field]],$E$42:$E$69,0)),0)=1,"†","")</f>
        <v/>
      </c>
      <c r="D48" s="18"/>
      <c r="E48" s="15" t="s">
        <v>31</v>
      </c>
      <c r="F48" s="18"/>
      <c r="G48" s="3"/>
      <c r="H48" s="18"/>
      <c r="I48" s="18"/>
      <c r="L48" s="4"/>
      <c r="M48" s="60"/>
      <c r="N48" s="4"/>
      <c r="O48" s="61">
        <f t="shared" si="6"/>
        <v>0</v>
      </c>
      <c r="P48" s="60">
        <f t="shared" si="4"/>
        <v>0</v>
      </c>
      <c r="R48" s="61">
        <v>5</v>
      </c>
      <c r="T48" s="4"/>
      <c r="U48" s="4"/>
      <c r="V48" s="61">
        <f t="shared" si="5"/>
        <v>0</v>
      </c>
      <c r="W48" s="4"/>
      <c r="Y48" s="15">
        <v>5</v>
      </c>
      <c r="Z48" s="61" t="s">
        <v>236</v>
      </c>
      <c r="AA48" s="60" t="str" cm="1">
        <f t="array" ref="AA48">IF(OR(Y48=0,Y48=""),"",IF(VLOOKUP(Z48,$AI$1:$AJ$58,2,FALSE)&gt;=Y48,INDEX(tblDisciplines[Name],MATCH(1,(tblDisciplines[Discipline]=Z48)*(tblDisciplines[Rank]=Y48),0)),""))</f>
        <v/>
      </c>
      <c r="AC48" s="60" t="str">
        <v>Celerity 1</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Celerity ●</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Cost: 1 V per effect  •  Pool: -  •  Reflexive  •  1 turn</v>
      </c>
      <c r="AF48" s="20" t="str">
        <f>IF(AC48="","",IFERROR(VLOOKUP(AC48,tblDisciplines[],12,FALSE),VLOOKUP(AC48,tblPacts[],5,FALSE)))</f>
        <v>Persistent improved Defence or Dodge. Activate for supernatural speed benefits. Unnatural Grace: add Celerity dots as bonus dice to non-combat speed-based pools.</v>
      </c>
      <c r="AI48" s="15" t="s">
        <v>38</v>
      </c>
      <c r="AJ48" s="61">
        <f t="shared" si="1"/>
        <v>1</v>
      </c>
      <c r="AK48" s="61">
        <f>IF(AJ48=0,IF(COUNTIF($E$42:$E$49,AI48)&gt;0,-3,-1),AJ48)</f>
        <v>1</v>
      </c>
    </row>
    <row r="49" spans="1:37">
      <c r="A49" s="1" t="s">
        <v>48</v>
      </c>
      <c r="B49" t="str">
        <f>REPT("●",IFERROR(INDEX($P$42:$P$69,MATCH(tblCharDataJack[[#This Row],[Field]],$E$42:$E$69,0)),0))&amp;REPT("○",IFERROR(INDEX($V$42:$V$69,MATCH(tblCharDataJack[[#This Row],[Field]],$E$42:$E$69,0)),0))&amp;IF(IFERROR(INDEX($W$42:$W$69,MATCH(tblCharDataJack[[#This Row],[Field]],$E$42:$E$69,0)),0)=1,"†","")</f>
        <v>●</v>
      </c>
      <c r="D49" s="18"/>
      <c r="E49" s="15" t="s">
        <v>32</v>
      </c>
      <c r="F49" s="18"/>
      <c r="G49" s="3"/>
      <c r="H49" s="18"/>
      <c r="I49" s="18"/>
      <c r="L49" s="4"/>
      <c r="M49" s="60"/>
      <c r="N49" s="4"/>
      <c r="O49" s="61">
        <f t="shared" si="6"/>
        <v>0</v>
      </c>
      <c r="P49" s="60">
        <f t="shared" si="4"/>
        <v>0</v>
      </c>
      <c r="R49" s="61">
        <v>5</v>
      </c>
      <c r="T49" s="4"/>
      <c r="U49" s="4"/>
      <c r="V49" s="61">
        <f t="shared" si="5"/>
        <v>0</v>
      </c>
      <c r="W49" s="4"/>
      <c r="Y49" s="15">
        <v>1</v>
      </c>
      <c r="Z49" s="61" t="s">
        <v>237</v>
      </c>
      <c r="AA49" s="60" t="str" cm="1">
        <f t="array" ref="AA49">IF(OR(Y49=0,Y49=""),"",IF(VLOOKUP(Z49,$AI$1:$AJ$58,2,FALSE)&gt;=Y49,INDEX(tblDisciplines[Name],MATCH(1,(tblDisciplines[Discipline]=Z49)*(tblDisciplines[Rank]=Y49),0)),""))</f>
        <v>Beast's Hackles</v>
      </c>
      <c r="AC49" s="60" t="str">
        <v>Face in the Crowd</v>
      </c>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Obfuscate ● | Face in the Crowd</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Cost: -  •  Pool: -  •  Instant  •  Scene</v>
      </c>
      <c r="AF49" s="20" t="str">
        <f>IF(AC49="","",IFERROR(VLOOKUP(AC49,tblDisciplines[],12,FALSE),VLOOKUP(AC49,tblPacts[],5,FALSE)))</f>
        <v>Blend into surroundings, visible but unnoticeable. Predatory aura fully on or off. Leaving combat: Wits + Composure - Obfuscate to notice; auto Clash of Wills vs Auspex.</v>
      </c>
      <c r="AI49" s="15" t="s">
        <v>47</v>
      </c>
      <c r="AJ49" s="61">
        <f t="shared" si="1"/>
        <v>0</v>
      </c>
      <c r="AK49" s="61">
        <f>IF(AJ49=0,IF(COUNTIF($E$42:$E$49,AI49)&gt;0,-3,-1),AJ49)</f>
        <v>-1</v>
      </c>
    </row>
    <row r="50" spans="1:37">
      <c r="A50" s="1" t="s">
        <v>49</v>
      </c>
      <c r="B50" t="str">
        <f ca="1">REPT("●",VLOOKUP(tblCharDataJack[[#This Row],[Field]],INDIRECT($AH$1),2,FALSE)) &amp; REPT("○",10-VLOOKUP(tblCharDataJack[[#This Row],[Field]],INDIRECT($AH$1),2,FALSE)) &amp; REPT("○",10-VLOOKUP(tblCharDataJack[[#This Row],[Field]],INDIRECT($AH$1),2,FALSE))</f>
        <v>●○○○○○○○○○○○○○○○○○○</v>
      </c>
      <c r="Y50" s="15">
        <v>2</v>
      </c>
      <c r="Z50" s="61" t="s">
        <v>237</v>
      </c>
      <c r="AA50" s="60" t="str" cm="1">
        <f t="array" ref="AA50">IF(OR(Y50=0,Y50=""),"",IF(VLOOKUP(Z50,$AI$1:$AJ$58,2,FALSE)&gt;=Y50,INDEX(tblDisciplines[Name],MATCH(1,(tblDisciplines[Discipline]=Z50)*(tblDisciplines[Rank]=Y50),0)),""))</f>
        <v>Uncanny Perception</v>
      </c>
      <c r="AC50" s="60" t="str">
        <v>Creation 1</v>
      </c>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Blood Sorcery | Creation ●</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v>
      </c>
      <c r="AF50" s="20" t="str">
        <f>IF(AC50="","",IFERROR(VLOOKUP(AC50,tblDisciplines[],12,FALSE),VLOOKUP(AC50,tblPacts[],5,FALSE)))</f>
        <v>Summon liquids, dead organic matter, sensory phenomena. Bonus/penalty = Potency.</v>
      </c>
      <c r="AI50" s="15" t="s">
        <v>19</v>
      </c>
      <c r="AJ50" s="61">
        <f t="shared" si="1"/>
        <v>1</v>
      </c>
      <c r="AK50" s="61">
        <f>AJ50+IFERROR(INDEX($V$26:$V$38,MATCH(AI50,$E$26:$E$38,0)),0)</f>
        <v>1</v>
      </c>
    </row>
    <row r="51" spans="1:37">
      <c r="A51" s="1" t="s">
        <v>50</v>
      </c>
      <c r="B51">
        <f>P72</f>
        <v>1</v>
      </c>
      <c r="D51" s="16" t="s">
        <v>1453</v>
      </c>
      <c r="E51" s="17"/>
      <c r="F51" s="17"/>
      <c r="G51" s="17" t="s">
        <v>1467</v>
      </c>
      <c r="H51" s="16" t="s">
        <v>1446</v>
      </c>
      <c r="I51" s="3" t="s">
        <v>1566</v>
      </c>
      <c r="L51" s="60">
        <f>IF(I51="",0,VLOOKUP(I51,tblPriority[#Data],3,FALSE))-SUM(L52:L59)</f>
        <v>0</v>
      </c>
      <c r="Y51" s="15">
        <v>3</v>
      </c>
      <c r="Z51" s="61" t="s">
        <v>237</v>
      </c>
      <c r="AA51" s="60" t="str" cm="1">
        <f t="array" ref="AA51">IF(OR(Y51=0,Y51=""),"",IF(VLOOKUP(Z51,$AI$1:$AJ$58,2,FALSE)&gt;=Y51,INDEX(tblDisciplines[Name],MATCH(1,(tblDisciplines[Discipline]=Z51)*(tblDisciplines[Rank]=Y51),0)),""))</f>
        <v>Spirit's Touch</v>
      </c>
      <c r="AC51" s="60" t="str">
        <v>Divination 1</v>
      </c>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Blood Sorcery | Divination ●</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v>
      </c>
      <c r="AF51" s="20" t="str">
        <f>IF(AC51="","",IFERROR(VLOOKUP(AC51,tblDisciplines[],12,FALSE),VLOOKUP(AC51,tblPacts[],5,FALSE)))</f>
        <v>Glimpse fragmented details about intended actions. Learn basic info about a target.</v>
      </c>
      <c r="AI51" s="15" t="s">
        <v>48</v>
      </c>
      <c r="AJ51" s="61">
        <f t="shared" si="1"/>
        <v>1</v>
      </c>
      <c r="AK51" s="61">
        <f>IF(AJ51=0,IF(COUNTIF($E$42:$E$49,AI51)&gt;0,-3,-1),AJ51)</f>
        <v>1</v>
      </c>
    </row>
    <row r="52" spans="1:37">
      <c r="A52" s="1" t="s">
        <v>51</v>
      </c>
      <c r="B52" t="str">
        <f>_xlfn.IFNA(VLOOKUP(P72,tblBloodPotency[#Data],5,FALSE),"")</f>
        <v/>
      </c>
      <c r="D52" s="18"/>
      <c r="E52" s="15" t="s">
        <v>33</v>
      </c>
      <c r="F52" s="18"/>
      <c r="G52" s="3"/>
      <c r="H52" s="18"/>
      <c r="I52" s="18"/>
      <c r="L52" s="4">
        <v>1</v>
      </c>
      <c r="M52" s="60"/>
      <c r="N52" s="4"/>
      <c r="O52" s="61">
        <f>ROUNDDOWN(N52/2,0)</f>
        <v>0</v>
      </c>
      <c r="P52" s="60">
        <f t="shared" ref="P52:P59" si="7">MIN(SUM(L52,M52,O52),R52)</f>
        <v>1</v>
      </c>
      <c r="R52" s="61">
        <v>5</v>
      </c>
      <c r="T52" s="4"/>
      <c r="U52" s="4"/>
      <c r="V52" s="61">
        <f t="shared" ref="V52:V59" si="8">U52</f>
        <v>0</v>
      </c>
      <c r="W52" s="4"/>
      <c r="Y52" s="15">
        <v>4</v>
      </c>
      <c r="Z52" s="61" t="s">
        <v>237</v>
      </c>
      <c r="AA52" s="60" t="str" cm="1">
        <f t="array" ref="AA52">IF(OR(Y52=0,Y52=""),"",IF(VLOOKUP(Z52,$AI$1:$AJ$58,2,FALSE)&gt;=Y52,INDEX(tblDisciplines[Name],MATCH(1,(tblDisciplines[Discipline]=Z52)*(tblDisciplines[Rank]=Y52),0)),""))</f>
        <v>Lay Open the Mind</v>
      </c>
      <c r="AC52" s="60" t="str">
        <v>Protection 1</v>
      </c>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Blood Sorcery | Protection ●</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v>
      </c>
      <c r="AF52" s="20" t="str">
        <f>IF(AC52="","",IFERROR(VLOOKUP(AC52,tblDisciplines[],12,FALSE),VLOOKUP(AC52,tblPacts[],5,FALSE)))</f>
        <v>Subtract Potency from ritual rolls targeting subject. Heal bashing in vampires. Protect from the Kiss (add Potency to resistance).</v>
      </c>
      <c r="AI52" s="15" t="s">
        <v>39</v>
      </c>
      <c r="AJ52" s="61">
        <f t="shared" si="1"/>
        <v>0</v>
      </c>
      <c r="AK52" s="61">
        <f>IF(AJ52=0,IF(COUNTIF($E$42:$E$49,AI52)&gt;0,-3,-1),AJ52)</f>
        <v>-1</v>
      </c>
    </row>
    <row r="53" spans="1:37">
      <c r="A53" s="1" t="s">
        <v>52</v>
      </c>
      <c r="B53" t="str">
        <f ca="1">REPT("□",P221) &amp; REPT("■",15-P221)</f>
        <v>□□□□□□□□■■■■■■■</v>
      </c>
      <c r="D53" s="18"/>
      <c r="E53" s="15" t="s">
        <v>34</v>
      </c>
      <c r="F53" s="18"/>
      <c r="G53" s="3"/>
      <c r="H53" s="18"/>
      <c r="I53" s="18"/>
      <c r="L53" s="4"/>
      <c r="M53" s="60"/>
      <c r="N53" s="4"/>
      <c r="O53" s="61">
        <f t="shared" ref="O53:O59" si="9">ROUNDDOWN(N53/2,0)</f>
        <v>0</v>
      </c>
      <c r="P53" s="60">
        <f t="shared" si="7"/>
        <v>0</v>
      </c>
      <c r="R53" s="61">
        <v>5</v>
      </c>
      <c r="T53" s="4"/>
      <c r="U53" s="4"/>
      <c r="V53" s="61">
        <f t="shared" si="8"/>
        <v>0</v>
      </c>
      <c r="W53" s="4"/>
      <c r="Y53" s="15">
        <v>5</v>
      </c>
      <c r="Z53" s="61" t="s">
        <v>237</v>
      </c>
      <c r="AA53" s="60" t="str" cm="1">
        <f t="array" ref="AA53">IF(OR(Y53=0,Y53=""),"",IF(VLOOKUP(Z53,$AI$1:$AJ$58,2,FALSE)&gt;=Y53,INDEX(tblDisciplines[Name],MATCH(1,(tblDisciplines[Discipline]=Z53)*(tblDisciplines[Rank]=Y53),0)),""))</f>
        <v/>
      </c>
      <c r="AC53" s="60" t="str">
        <v>Transmutation 1</v>
      </c>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Blood Sorcery | Transmutation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v>
      </c>
      <c r="AF53" s="20" t="str">
        <f>IF(AC53="","",IFERROR(VLOOKUP(AC53,tblDisciplines[],12,FALSE),VLOOKUP(AC53,tblPacts[],5,FALSE)))</f>
        <v>Minor cosmetic changes to living subjects. Warp dead matter. Animate liquids.</v>
      </c>
      <c r="AI53" s="15" t="s">
        <v>247</v>
      </c>
      <c r="AJ53" s="61">
        <f t="shared" si="1"/>
        <v>0</v>
      </c>
      <c r="AK53" s="61">
        <f>AJ53</f>
        <v>0</v>
      </c>
    </row>
    <row r="54" spans="1:37">
      <c r="A54" s="1" t="s">
        <v>53</v>
      </c>
      <c r="B54" t="str">
        <f>_xlfn.CONCAT(P74-L224," / ",P74)</f>
        <v>5 / 5</v>
      </c>
      <c r="D54" s="18"/>
      <c r="E54" s="15" t="s">
        <v>35</v>
      </c>
      <c r="F54" s="18"/>
      <c r="G54" s="3"/>
      <c r="H54" s="18"/>
      <c r="I54" s="18"/>
      <c r="L54" s="4"/>
      <c r="M54" s="60"/>
      <c r="N54" s="4"/>
      <c r="O54" s="61">
        <f t="shared" si="9"/>
        <v>0</v>
      </c>
      <c r="P54" s="60">
        <f t="shared" si="7"/>
        <v>0</v>
      </c>
      <c r="R54" s="61">
        <v>5</v>
      </c>
      <c r="T54" s="4"/>
      <c r="U54" s="4"/>
      <c r="V54" s="61">
        <f t="shared" si="8"/>
        <v>0</v>
      </c>
      <c r="W54" s="4"/>
      <c r="Y54" s="15">
        <f>P167</f>
        <v>1</v>
      </c>
      <c r="Z54" s="61" t="s">
        <v>238</v>
      </c>
      <c r="AA54" s="60" t="str" cm="1">
        <f t="array" ref="AA54">IF(OR(Y54=0,Y54=""),"",IF(VLOOKUP(Z54,$AI$1:$AJ$58,2,FALSE)&gt;=Y54,INDEX(tblDisciplines[Name],MATCH(1,(tblDisciplines[Discipline]=Z54)*(tblDisciplines[Rank]=Y54),0)),""))</f>
        <v>Celerity 1</v>
      </c>
      <c r="AC54" s="60" t="str">
        <v>Transmutation 2</v>
      </c>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Blood Sorcery | Transmutation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v>
      </c>
      <c r="AF54" s="20" t="str">
        <f>IF(AC54="","",IFERROR(VLOOKUP(AC54,tblDisciplines[],12,FALSE),VLOOKUP(AC54,tblPacts[],5,FALSE)))</f>
        <v>Disguise living/vampiric subjects. Transform dead matter completely. Animate gases and plants. Alter speech. Grant 9-again or WP/Vitae above maximum.</v>
      </c>
      <c r="AI54" s="15" t="s">
        <v>252</v>
      </c>
      <c r="AJ54" s="61">
        <f t="shared" si="1"/>
        <v>2</v>
      </c>
      <c r="AK54" s="61">
        <f>AJ54</f>
        <v>2</v>
      </c>
    </row>
    <row r="55" spans="1:37">
      <c r="A55" s="1" t="s">
        <v>54</v>
      </c>
      <c r="B55" t="str">
        <f>REPT("□",P74) &amp; REPT("■",10-P74)</f>
        <v>□□□□□■■■■■</v>
      </c>
      <c r="D55" s="18"/>
      <c r="E55" s="15" t="s">
        <v>36</v>
      </c>
      <c r="F55" s="18"/>
      <c r="G55" s="3"/>
      <c r="H55" s="18"/>
      <c r="I55" s="18"/>
      <c r="L55" s="4"/>
      <c r="M55" s="60"/>
      <c r="N55" s="4"/>
      <c r="O55" s="61">
        <f t="shared" si="9"/>
        <v>0</v>
      </c>
      <c r="P55" s="60">
        <f t="shared" si="7"/>
        <v>0</v>
      </c>
      <c r="R55" s="61">
        <v>5</v>
      </c>
      <c r="T55" s="4"/>
      <c r="U55" s="4"/>
      <c r="V55" s="61">
        <f t="shared" si="8"/>
        <v>0</v>
      </c>
      <c r="W55" s="4"/>
      <c r="Y55" s="15">
        <v>1</v>
      </c>
      <c r="Z55" s="61" t="s">
        <v>239</v>
      </c>
      <c r="AA55" s="60" t="str" cm="1">
        <f t="array" ref="AA55">IF(OR(Y55=0,Y55=""),"",IF(VLOOKUP(Z55,$AI$1:$AJ$58,2,FALSE)&gt;=Y55,INDEX(tblDisciplines[Name],MATCH(1,(tblDisciplines[Discipline]=Z55)*(tblDisciplines[Rank]=Y55),0)),""))</f>
        <v/>
      </c>
      <c r="AC55" s="60" t="str">
        <v>Mantle of Amorous Fire</v>
      </c>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Cruac ● | Mantle of Amorous Fire</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Cost: 1 V 1 Successes  •  Pool: 8  •  Ritual  •  Scene</v>
      </c>
      <c r="AF55" s="20" t="str">
        <f>IF(AC55="","",IFERROR(VLOOKUP(AC55,tblDisciplines[],12,FALSE),VLOOKUP(AC55,tblPacts[],5,FALSE)))</f>
        <v>Dance to exhaustion. Add Cruac as a Presence bonus for the night.</v>
      </c>
      <c r="AI55" s="15" t="s">
        <v>245</v>
      </c>
      <c r="AJ55" s="61">
        <f t="shared" si="1"/>
        <v>0</v>
      </c>
      <c r="AK55" s="61">
        <f>AJ55+IFERROR(INDEX($V$26:$V$38,MATCH(AI55,$E$26:$E$38,0)),0)</f>
        <v>0</v>
      </c>
    </row>
    <row r="56" spans="1:37">
      <c r="A56" s="1" t="s">
        <v>55</v>
      </c>
      <c r="B56" t="str">
        <f ca="1">_xlfn.CONCAT(P75-L223," / ",P75)</f>
        <v>9 / 10</v>
      </c>
      <c r="D56" s="19"/>
      <c r="E56" s="15" t="s">
        <v>37</v>
      </c>
      <c r="F56" s="18"/>
      <c r="G56" s="3"/>
      <c r="H56" s="18"/>
      <c r="I56" s="18"/>
      <c r="L56" s="4">
        <v>2</v>
      </c>
      <c r="M56" s="60"/>
      <c r="N56" s="4"/>
      <c r="O56" s="61">
        <f t="shared" si="9"/>
        <v>0</v>
      </c>
      <c r="P56" s="60">
        <f t="shared" si="7"/>
        <v>2</v>
      </c>
      <c r="R56" s="61">
        <v>5</v>
      </c>
      <c r="T56" s="4"/>
      <c r="U56" s="4"/>
      <c r="V56" s="61">
        <f t="shared" si="8"/>
        <v>0</v>
      </c>
      <c r="W56" s="4"/>
      <c r="Y56" s="15">
        <v>2</v>
      </c>
      <c r="Z56" s="61" t="s">
        <v>239</v>
      </c>
      <c r="AA56" s="60" t="str" cm="1">
        <f t="array" ref="AA56">IF(OR(Y56=0,Y56=""),"",IF(VLOOKUP(Z56,$AI$1:$AJ$58,2,FALSE)&gt;=Y56,INDEX(tblDisciplines[Name],MATCH(1,(tblDisciplines[Discipline]=Z56)*(tblDisciplines[Rank]=Y56),0)),""))</f>
        <v/>
      </c>
      <c r="AC56" s="60" t="str">
        <v/>
      </c>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1"/>
        <v>0</v>
      </c>
      <c r="AK56" s="61">
        <f>IF(AJ56=0,IF(COUNTIF($E$42:$E$49,AI56)&gt;0,-3,-1),AJ56)</f>
        <v>-1</v>
      </c>
    </row>
    <row r="57" spans="1:37">
      <c r="A57" s="1" t="s">
        <v>56</v>
      </c>
      <c r="B57" t="str">
        <f ca="1">REPT("□",P75-L223) &amp; REPT("■",20-P75+L223)</f>
        <v>□□□□□□□□□■■■■■■■■■■■</v>
      </c>
      <c r="D57" s="19"/>
      <c r="E57" s="15" t="s">
        <v>38</v>
      </c>
      <c r="F57" s="18"/>
      <c r="G57" s="3"/>
      <c r="H57" s="18"/>
      <c r="I57" s="18"/>
      <c r="L57" s="4">
        <v>1</v>
      </c>
      <c r="M57" s="60"/>
      <c r="N57" s="4"/>
      <c r="O57" s="61">
        <f t="shared" si="9"/>
        <v>0</v>
      </c>
      <c r="P57" s="60">
        <f t="shared" si="7"/>
        <v>1</v>
      </c>
      <c r="R57" s="61">
        <v>5</v>
      </c>
      <c r="T57" s="4"/>
      <c r="U57" s="4"/>
      <c r="V57" s="61">
        <f t="shared" si="8"/>
        <v>0</v>
      </c>
      <c r="W57" s="4"/>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1"/>
        <v>5</v>
      </c>
      <c r="AK57" s="61">
        <f>AJ57</f>
        <v>5</v>
      </c>
    </row>
    <row r="58" spans="1:37">
      <c r="A58" s="1" t="s">
        <v>57</v>
      </c>
      <c r="B58">
        <f ca="1">VLOOKUP(VLOOKUP("Blood Potency", INDIRECT($AH$1),2,FALSE),tblBloodPotency[#Data],3,FALSE)</f>
        <v>1</v>
      </c>
      <c r="D58" s="19"/>
      <c r="E58" s="15" t="s">
        <v>39</v>
      </c>
      <c r="F58" s="18"/>
      <c r="G58" s="3"/>
      <c r="H58" s="18"/>
      <c r="I58" s="18"/>
      <c r="L58" s="4"/>
      <c r="M58" s="60"/>
      <c r="N58" s="4"/>
      <c r="O58" s="61">
        <f t="shared" si="9"/>
        <v>0</v>
      </c>
      <c r="P58" s="60">
        <f t="shared" si="7"/>
        <v>0</v>
      </c>
      <c r="R58" s="61">
        <v>5</v>
      </c>
      <c r="T58" s="4"/>
      <c r="U58" s="4"/>
      <c r="V58" s="61">
        <f t="shared" si="8"/>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1"/>
        <v>3</v>
      </c>
      <c r="AK58" s="61">
        <f>AJ58+IFERROR(INDEX($V$26:$V$38,MATCH(AI58,$E$26:$E$38,0)),0)</f>
        <v>3</v>
      </c>
    </row>
    <row r="59" spans="1:37">
      <c r="A59" s="1" t="s">
        <v>58</v>
      </c>
      <c r="B59" t="str">
        <f ca="1">VLOOKUP(VLOOKUP("Blood Potency", INDIRECT($AH$1),2,FALSE),tblBloodPotency[#Data],4,FALSE)</f>
        <v>Animals</v>
      </c>
      <c r="D59" s="19"/>
      <c r="E59" s="15" t="s">
        <v>40</v>
      </c>
      <c r="F59" s="18"/>
      <c r="G59" s="3"/>
      <c r="H59" s="18"/>
      <c r="I59" s="18"/>
      <c r="L59" s="4"/>
      <c r="M59" s="60"/>
      <c r="N59" s="4"/>
      <c r="O59" s="61">
        <f t="shared" si="9"/>
        <v>0</v>
      </c>
      <c r="P59" s="60">
        <f t="shared" si="7"/>
        <v>0</v>
      </c>
      <c r="R59" s="61">
        <v>5</v>
      </c>
      <c r="T59" s="4"/>
      <c r="U59" s="4"/>
      <c r="V59" s="61">
        <f t="shared" si="8"/>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0">IFERROR(IF(VLOOKUP(SUBSTITUTE(A60," Spec",""),$E$42:$G$69,3,FALSE)=0,"",VLOOKUP(SUBSTITUTE(A60," Spec",""),$E$42:$G$69,3,FALSE)),"")</f>
        <v/>
      </c>
      <c r="Y60" s="15">
        <v>1</v>
      </c>
      <c r="Z60" s="61" t="s">
        <v>240</v>
      </c>
      <c r="AA60" s="60" t="str" cm="1">
        <f t="array" ref="AA60">IF(OR(Y60=0,Y60=""),"",IF(VLOOKUP(Z60,$AI$1:$AJ$58,2,FALSE)&gt;=Y60,INDEX(tblDisciplines[Name],MATCH(1,(tblDisciplines[Discipline]=Z60)*(tblDisciplines[Rank]=Y60),0)),""))</f>
        <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0"/>
        <v>Hacking</v>
      </c>
      <c r="D61" s="16" t="s">
        <v>1459</v>
      </c>
      <c r="E61" s="17"/>
      <c r="F61" s="17"/>
      <c r="G61" s="17" t="s">
        <v>1467</v>
      </c>
      <c r="H61" s="16" t="s">
        <v>1446</v>
      </c>
      <c r="I61" s="3" t="s">
        <v>1567</v>
      </c>
      <c r="L61" s="60">
        <f>IF(I61="",0,VLOOKUP(I61,tblPriority[#Data],3,FALSE))-SUM(L62:L69)</f>
        <v>0</v>
      </c>
      <c r="Y61" s="15">
        <v>2</v>
      </c>
      <c r="Z61" s="61" t="s">
        <v>240</v>
      </c>
      <c r="AA61" s="60" t="str" cm="1">
        <f t="array" ref="AA61">IF(OR(Y61=0,Y61=""),"",IF(VLOOKUP(Z61,$AI$1:$AJ$58,2,FALSE)&gt;=Y61,INDEX(tblDisciplines[Name],MATCH(1,(tblDisciplines[Discipline]=Z61)*(tblDisciplines[Rank]=Y61),0)),""))</f>
        <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0"/>
        <v/>
      </c>
      <c r="D62" s="18"/>
      <c r="E62" s="15" t="s">
        <v>41</v>
      </c>
      <c r="F62" s="18"/>
      <c r="G62" s="3"/>
      <c r="H62" s="18"/>
      <c r="I62" s="18"/>
      <c r="L62" s="4"/>
      <c r="M62" s="60"/>
      <c r="N62" s="4"/>
      <c r="O62" s="61">
        <f>ROUNDDOWN(N62/2,0)</f>
        <v>0</v>
      </c>
      <c r="P62" s="60">
        <f t="shared" ref="P62:P69" si="11">MIN(SUM(L62,M62,O62),R62)</f>
        <v>0</v>
      </c>
      <c r="R62" s="61">
        <v>5</v>
      </c>
      <c r="T62" s="4"/>
      <c r="U62" s="4"/>
      <c r="V62" s="61">
        <f t="shared" ref="V62:V69" si="12">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0"/>
        <v>Surveillance</v>
      </c>
      <c r="D63" s="19"/>
      <c r="E63" s="15" t="s">
        <v>42</v>
      </c>
      <c r="F63" s="18"/>
      <c r="G63" s="3"/>
      <c r="H63" s="18"/>
      <c r="I63" s="18"/>
      <c r="L63" s="4">
        <v>2</v>
      </c>
      <c r="M63" s="60"/>
      <c r="N63" s="4"/>
      <c r="O63" s="61">
        <f t="shared" ref="O63:O69" si="13">ROUNDDOWN(N63/2,0)</f>
        <v>0</v>
      </c>
      <c r="P63" s="60">
        <f t="shared" si="11"/>
        <v>2</v>
      </c>
      <c r="R63" s="61">
        <v>5</v>
      </c>
      <c r="T63" s="4"/>
      <c r="U63" s="4"/>
      <c r="V63" s="61">
        <f t="shared" si="12"/>
        <v>0</v>
      </c>
      <c r="W63" s="4"/>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0"/>
        <v>Backroom</v>
      </c>
      <c r="D64" s="19"/>
      <c r="E64" s="15" t="s">
        <v>43</v>
      </c>
      <c r="F64" s="18"/>
      <c r="G64" s="3"/>
      <c r="H64" s="18"/>
      <c r="I64" s="18"/>
      <c r="L64" s="4">
        <v>2</v>
      </c>
      <c r="M64" s="60"/>
      <c r="N64" s="4"/>
      <c r="O64" s="61">
        <f t="shared" si="13"/>
        <v>0</v>
      </c>
      <c r="P64" s="60">
        <f t="shared" si="11"/>
        <v>2</v>
      </c>
      <c r="R64" s="61">
        <v>5</v>
      </c>
      <c r="T64" s="4"/>
      <c r="U64" s="4"/>
      <c r="V64" s="61">
        <f t="shared" si="12"/>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0"/>
        <v/>
      </c>
      <c r="D65" s="19"/>
      <c r="E65" s="15" t="s">
        <v>44</v>
      </c>
      <c r="F65" s="18"/>
      <c r="G65" s="3"/>
      <c r="H65" s="18"/>
      <c r="I65" s="18"/>
      <c r="L65" s="4"/>
      <c r="M65" s="60"/>
      <c r="N65" s="4"/>
      <c r="O65" s="61">
        <f t="shared" si="13"/>
        <v>0</v>
      </c>
      <c r="P65" s="60">
        <f t="shared" si="11"/>
        <v>0</v>
      </c>
      <c r="R65" s="61">
        <v>5</v>
      </c>
      <c r="T65" s="4"/>
      <c r="U65" s="4"/>
      <c r="V65" s="61">
        <f t="shared" si="12"/>
        <v>0</v>
      </c>
      <c r="W65" s="4"/>
      <c r="Y65" s="15">
        <v>1</v>
      </c>
      <c r="Z65" s="61" t="s">
        <v>241</v>
      </c>
      <c r="AA65" s="60" t="str" cm="1">
        <f t="array" ref="AA65">IF(OR(Y65=0,Y65=""),"",IF(VLOOKUP(Z65,$AI$1:$AJ$58,2,FALSE)&gt;=Y65,INDEX(tblDisciplines[Name],MATCH(1,(tblDisciplines[Discipline]=Z65)*(tblDisciplines[Rank]=Y65),0)),""))</f>
        <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0"/>
        <v/>
      </c>
      <c r="D66" s="19"/>
      <c r="E66" s="15" t="s">
        <v>45</v>
      </c>
      <c r="F66" s="18"/>
      <c r="G66" s="3"/>
      <c r="H66" s="18"/>
      <c r="I66" s="18"/>
      <c r="L66" s="4">
        <v>1</v>
      </c>
      <c r="M66" s="60"/>
      <c r="N66" s="4"/>
      <c r="O66" s="61">
        <f t="shared" si="13"/>
        <v>0</v>
      </c>
      <c r="P66" s="60">
        <f t="shared" si="11"/>
        <v>1</v>
      </c>
      <c r="R66" s="61">
        <v>5</v>
      </c>
      <c r="T66" s="4"/>
      <c r="U66" s="4"/>
      <c r="V66" s="61">
        <f t="shared" si="12"/>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0"/>
        <v/>
      </c>
      <c r="D67" s="19"/>
      <c r="E67" s="15" t="s">
        <v>46</v>
      </c>
      <c r="F67" s="18"/>
      <c r="G67" s="3"/>
      <c r="H67" s="18"/>
      <c r="I67" s="18"/>
      <c r="L67" s="4">
        <v>1</v>
      </c>
      <c r="M67" s="60"/>
      <c r="N67" s="4"/>
      <c r="O67" s="61">
        <f t="shared" si="13"/>
        <v>0</v>
      </c>
      <c r="P67" s="60">
        <f t="shared" si="11"/>
        <v>1</v>
      </c>
      <c r="R67" s="61">
        <v>5</v>
      </c>
      <c r="T67" s="4"/>
      <c r="U67" s="4"/>
      <c r="V67" s="61">
        <f t="shared" si="12"/>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0"/>
        <v/>
      </c>
      <c r="D68" s="18"/>
      <c r="E68" s="15" t="s">
        <v>47</v>
      </c>
      <c r="F68" s="18"/>
      <c r="G68" s="3"/>
      <c r="H68" s="18"/>
      <c r="I68" s="18"/>
      <c r="L68" s="4"/>
      <c r="M68" s="60"/>
      <c r="N68" s="4"/>
      <c r="O68" s="61">
        <f t="shared" si="13"/>
        <v>0</v>
      </c>
      <c r="P68" s="60">
        <f t="shared" si="11"/>
        <v>0</v>
      </c>
      <c r="R68" s="61">
        <v>5</v>
      </c>
      <c r="T68" s="4"/>
      <c r="U68" s="4"/>
      <c r="V68" s="61">
        <f t="shared" si="12"/>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0"/>
        <v/>
      </c>
      <c r="D69" s="18"/>
      <c r="E69" s="15" t="s">
        <v>48</v>
      </c>
      <c r="F69" s="18"/>
      <c r="G69" s="3"/>
      <c r="H69" s="18"/>
      <c r="I69" s="18"/>
      <c r="L69" s="4">
        <v>1</v>
      </c>
      <c r="M69" s="60"/>
      <c r="N69" s="4"/>
      <c r="O69" s="61">
        <f t="shared" si="13"/>
        <v>0</v>
      </c>
      <c r="P69" s="60">
        <f t="shared" si="11"/>
        <v>1</v>
      </c>
      <c r="R69" s="61">
        <v>5</v>
      </c>
      <c r="T69" s="4"/>
      <c r="U69" s="4"/>
      <c r="V69" s="61">
        <f t="shared" si="12"/>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0"/>
        <v/>
      </c>
      <c r="Y70" s="15">
        <v>1</v>
      </c>
      <c r="Z70" s="61" t="s">
        <v>242</v>
      </c>
      <c r="AA70" s="60" t="str" cm="1">
        <f t="array" ref="AA70">IF(OR(Y70=0,Y70=""),"",IF(VLOOKUP(Z70,$AI$1:$AJ$58,2,FALSE)&gt;=Y70,INDEX(tblDisciplines[Name],MATCH(1,(tblDisciplines[Discipline]=Z70)*(tblDisciplines[Rank]=Y70),0)),""))</f>
        <v>Face in the Crowd</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0"/>
        <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0"/>
        <v/>
      </c>
      <c r="D72" s="19"/>
      <c r="E72" s="15" t="s">
        <v>49</v>
      </c>
      <c r="F72" s="19"/>
      <c r="G72" s="19"/>
      <c r="H72" s="19"/>
      <c r="I72" s="19"/>
      <c r="K72" s="4"/>
      <c r="L72" s="4"/>
      <c r="M72" s="60">
        <v>1</v>
      </c>
      <c r="N72" s="4"/>
      <c r="O72" s="61">
        <f>ROUNDDOWN(N72/5,0)</f>
        <v>0</v>
      </c>
      <c r="P72" s="60">
        <f>MIN(SUM(K72*-1,ROUNDDOWN(L72/5,0),M72,O72),R72)</f>
        <v>1</v>
      </c>
      <c r="R72" s="61">
        <v>2</v>
      </c>
      <c r="Y72" s="15">
        <v>3</v>
      </c>
      <c r="Z72" s="61" t="s">
        <v>242</v>
      </c>
      <c r="AA72" s="60" t="str" cm="1">
        <f t="array" ref="AA72">IF(OR(Y72=0,Y72=""),"",IF(VLOOKUP(Z72,$AI$1:$AJ$58,2,FALSE)&gt;=Y72,INDEX(tblDisciplines[Name],MATCH(1,(tblDisciplines[Discipline]=Z72)*(tblDisciplines[Rank]=Y72),0)),""))</f>
        <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0"/>
        <v/>
      </c>
      <c r="D73" s="19"/>
      <c r="E73" s="15" t="s">
        <v>1448</v>
      </c>
      <c r="F73" s="19"/>
      <c r="G73" s="19"/>
      <c r="H73" s="19"/>
      <c r="I73" s="19"/>
      <c r="K73" s="4">
        <v>3</v>
      </c>
      <c r="M73" s="60">
        <v>7</v>
      </c>
      <c r="N73" s="4"/>
      <c r="O73" s="61">
        <f>ROUNDDOWN(N73/2,0)</f>
        <v>0</v>
      </c>
      <c r="P73" s="60">
        <f>MIN(SUM(K73*-1,M73,O73),R73)</f>
        <v>4</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0"/>
        <v/>
      </c>
      <c r="D74" s="19"/>
      <c r="E74" s="15" t="s">
        <v>53</v>
      </c>
      <c r="F74" s="19"/>
      <c r="G74" s="19"/>
      <c r="H74" s="19"/>
      <c r="I74" s="19"/>
      <c r="K74" s="4"/>
      <c r="M74" s="60">
        <f>P28+P38</f>
        <v>5</v>
      </c>
      <c r="N74" s="4"/>
      <c r="O74" s="61">
        <f>N74</f>
        <v>0</v>
      </c>
      <c r="P74" s="60">
        <f>MIN(SUM(K74*-1,M74,O74),R74)</f>
        <v>5</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0"/>
        <v/>
      </c>
      <c r="D75" s="19"/>
      <c r="E75" s="15" t="s">
        <v>55</v>
      </c>
      <c r="F75" s="19"/>
      <c r="G75" s="19"/>
      <c r="H75" s="19"/>
      <c r="I75" s="19"/>
      <c r="P75" s="60">
        <f ca="1">VLOOKUP(VLOOKUP("Blood Potency",INDIRECT($AH$1),2,FALSE),tblBloodPotency[],2,FALSE)</f>
        <v>10</v>
      </c>
      <c r="Y75" s="15">
        <v>1</v>
      </c>
      <c r="Z75" s="61" t="s">
        <v>243</v>
      </c>
      <c r="AA75" s="60" t="str" cm="1">
        <f t="array" ref="AA75">IF(OR(Y75=0,Y75=""),"",IF(VLOOKUP(Z75,$AI$1:$AJ$58,2,FALSE)&gt;=Y75,INDEX(tblDisciplines[Name],MATCH(1,(tblDisciplines[Discipline]=Z75)*(tblDisciplines[Rank]=Y75),0)),""))</f>
        <v/>
      </c>
    </row>
    <row r="76" spans="1:32">
      <c r="A76" s="1" t="s">
        <v>75</v>
      </c>
      <c r="B76" t="str">
        <f t="shared" si="10"/>
        <v/>
      </c>
      <c r="Y76" s="15">
        <v>2</v>
      </c>
      <c r="Z76" s="61" t="s">
        <v>243</v>
      </c>
      <c r="AA76" s="60" t="str" cm="1">
        <f t="array" ref="AA76">IF(OR(Y76=0,Y76=""),"",IF(VLOOKUP(Z76,$AI$1:$AJ$58,2,FALSE)&gt;=Y76,INDEX(tblDisciplines[Name],MATCH(1,(tblDisciplines[Discipline]=Z76)*(tblDisciplines[Rank]=Y76),0)),""))</f>
        <v/>
      </c>
    </row>
    <row r="77" spans="1:32" ht="15.75" thickBot="1">
      <c r="A77" s="1" t="s">
        <v>76</v>
      </c>
      <c r="B77" t="str">
        <f t="shared" si="10"/>
        <v/>
      </c>
      <c r="D77" s="14" t="s">
        <v>1470</v>
      </c>
      <c r="E77" s="14"/>
      <c r="F77" s="14"/>
      <c r="G77" s="14"/>
      <c r="H77" s="14"/>
      <c r="I77" s="14"/>
      <c r="N77" s="60">
        <f>SUM(N79:N98,N101:N120,N206:N215,N132:N135,N138:N157,N160:N161)</f>
        <v>6</v>
      </c>
      <c r="Y77" s="15">
        <v>3</v>
      </c>
      <c r="Z77" s="61" t="s">
        <v>243</v>
      </c>
      <c r="AA77" s="60" t="str" cm="1">
        <f t="array" ref="AA77">IF(OR(Y77=0,Y77=""),"",IF(VLOOKUP(Z77,$AI$1:$AJ$58,2,FALSE)&gt;=Y77,INDEX(tblDisciplines[Name],MATCH(1,(tblDisciplines[Discipline]=Z77)*(tblDisciplines[Rank]=Y77),0)),""))</f>
        <v/>
      </c>
    </row>
    <row r="78" spans="1:32">
      <c r="A78" s="1" t="s">
        <v>77</v>
      </c>
      <c r="B78" t="str">
        <f t="shared" si="10"/>
        <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0"/>
        <v/>
      </c>
      <c r="D79" s="61" t="s">
        <v>1652</v>
      </c>
      <c r="E79" s="15" t="s">
        <v>114</v>
      </c>
      <c r="F79" s="3" t="s">
        <v>1742</v>
      </c>
      <c r="G79" s="3"/>
      <c r="H79" s="67" t="str">
        <f>_xlfn.IFNA(IF(VLOOKUP(F79,tblMerits[],6,FALSE)=0,"None",VLOOKUP(F79,tblMerits[],6,FALSE)),"None")</f>
        <v>Wits 3 or Composure 3</v>
      </c>
      <c r="I79" s="67"/>
      <c r="L79" s="4"/>
      <c r="M79" s="4">
        <v>1</v>
      </c>
      <c r="N79" s="4"/>
      <c r="O79" s="61">
        <f>N79</f>
        <v>0</v>
      </c>
      <c r="P79" s="60">
        <f t="shared" ref="P79:P98" si="14">MIN(SUM(L79,M79,O79),R79)</f>
        <v>1</v>
      </c>
      <c r="Q79" s="61">
        <f>_xlfn.IFNA(VLOOKUP($F79,tblMerits[],3,FALSE),"")</f>
        <v>1</v>
      </c>
      <c r="R79" s="61">
        <f>_xlfn.IFNA(VLOOKUP($F79,tblMerits[],4,FALSE),"")</f>
        <v>3</v>
      </c>
      <c r="Y79" s="15">
        <v>5</v>
      </c>
      <c r="Z79" s="61" t="s">
        <v>243</v>
      </c>
      <c r="AA79" s="60" t="str" cm="1">
        <f t="array" ref="AA79">IF(OR(Y79=0,Y79=""),"",IF(VLOOKUP(Z79,$AI$1:$AJ$58,2,FALSE)&gt;=Y79,INDEX(tblDisciplines[Name],MATCH(1,(tblDisciplines[Discipline]=Z79)*(tblDisciplines[Rank]=Y79),0)),""))</f>
        <v/>
      </c>
    </row>
    <row r="80" spans="1:32">
      <c r="A80" s="1" t="s">
        <v>79</v>
      </c>
      <c r="B80" t="str">
        <f t="shared" si="10"/>
        <v/>
      </c>
      <c r="D80" s="61" t="s">
        <v>1631</v>
      </c>
      <c r="E80" s="15" t="s">
        <v>115</v>
      </c>
      <c r="F80" s="3" t="s">
        <v>1743</v>
      </c>
      <c r="G80" s="3"/>
      <c r="H80" s="67" t="str">
        <f>_xlfn.IFNA(IF(VLOOKUP(F80,tblMerits[],6,FALSE)=0,"None",VLOOKUP(F80,tblMerits[],6,FALSE)),"None")</f>
        <v>Resolve 2, Occult 1</v>
      </c>
      <c r="I80" s="67"/>
      <c r="L80" s="4"/>
      <c r="M80" s="4">
        <v>2</v>
      </c>
      <c r="N80" s="4"/>
      <c r="O80" s="61">
        <f t="shared" ref="O80:O98" si="15">N80</f>
        <v>0</v>
      </c>
      <c r="P80" s="60">
        <f t="shared" si="14"/>
        <v>2</v>
      </c>
      <c r="Q80" s="61">
        <f>_xlfn.IFNA(VLOOKUP($F80,tblMerits[],3,FALSE),"")</f>
        <v>2</v>
      </c>
      <c r="R80" s="61">
        <f>_xlfn.IFNA(VLOOKUP($F80,tblMerits[],4,FALSE),"")</f>
        <v>2</v>
      </c>
      <c r="Y80" s="15">
        <f>P173</f>
        <v>0</v>
      </c>
      <c r="Z80" s="61" t="s">
        <v>244</v>
      </c>
      <c r="AA80" s="60" t="str" cm="1">
        <f t="array" ref="AA80">IF(OR(Y80=0,Y80=""),"",IF(VLOOKUP(Z80,$AI$1:$AJ$58,2,FALSE)&gt;=Y80,INDEX(tblDisciplines[Name],MATCH(1,(tblDisciplines[Discipline]=Z80)*(tblDisciplines[Rank]=Y80),0)),""))</f>
        <v/>
      </c>
    </row>
    <row r="81" spans="1:27">
      <c r="A81" s="1" t="s">
        <v>80</v>
      </c>
      <c r="B81" t="str">
        <f t="shared" si="10"/>
        <v/>
      </c>
      <c r="D81" s="19"/>
      <c r="E81" s="15" t="s">
        <v>116</v>
      </c>
      <c r="F81" s="3" t="s">
        <v>1716</v>
      </c>
      <c r="G81" s="3"/>
      <c r="H81" s="67" t="str">
        <f>_xlfn.IFNA(IF(VLOOKUP(F81,tblMerits[],6,FALSE)=0,"None",VLOOKUP(F81,tblMerits[],6,FALSE)),"None")</f>
        <v>Safe Place (same level), Cruac 1</v>
      </c>
      <c r="I81" s="67"/>
      <c r="L81" s="4">
        <v>1</v>
      </c>
      <c r="M81" s="4"/>
      <c r="N81" s="4"/>
      <c r="O81" s="61">
        <f t="shared" si="15"/>
        <v>0</v>
      </c>
      <c r="P81" s="60">
        <f t="shared" si="14"/>
        <v>1</v>
      </c>
      <c r="Q81" s="61">
        <f>_xlfn.IFNA(VLOOKUP($F81,tblMerits[],3,FALSE),"")</f>
        <v>1</v>
      </c>
      <c r="R81" s="61">
        <f>_xlfn.IFNA(VLOOKUP($F81,tblMerits[],4,FALSE),"")</f>
        <v>5</v>
      </c>
      <c r="Y81" s="15">
        <f>P174</f>
        <v>0</v>
      </c>
      <c r="Z81" s="61" t="s">
        <v>245</v>
      </c>
      <c r="AA81" s="60" t="str" cm="1">
        <f t="array" ref="AA81">IF(OR(Y81=0,Y81=""),"",IF(VLOOKUP(Z81,$AI$1:$AJ$58,2,FALSE)&gt;=Y81,INDEX(tblDisciplines[Name],MATCH(1,(tblDisciplines[Discipline]=Z81)*(tblDisciplines[Rank]=Y81),0)),""))</f>
        <v/>
      </c>
    </row>
    <row r="82" spans="1:27">
      <c r="A82" s="1" t="s">
        <v>81</v>
      </c>
      <c r="B82" t="str">
        <f t="shared" si="10"/>
        <v/>
      </c>
      <c r="D82" s="19"/>
      <c r="E82" s="15" t="s">
        <v>117</v>
      </c>
      <c r="F82" s="3" t="s">
        <v>1568</v>
      </c>
      <c r="G82" s="3"/>
      <c r="H82" s="67" t="str">
        <f>_xlfn.IFNA(IF(VLOOKUP(F82,tblMerits[],6,FALSE)=0,"None",VLOOKUP(F82,tblMerits[],6,FALSE)),"None")</f>
        <v>Presence 3, Expression 3, Crúac 1</v>
      </c>
      <c r="I82" s="67"/>
      <c r="L82" s="4">
        <v>3</v>
      </c>
      <c r="M82" s="4"/>
      <c r="N82" s="4"/>
      <c r="O82" s="61">
        <f t="shared" si="15"/>
        <v>0</v>
      </c>
      <c r="P82" s="60">
        <f t="shared" si="14"/>
        <v>3</v>
      </c>
      <c r="Q82" s="61">
        <f>_xlfn.IFNA(VLOOKUP($F82,tblMerits[],3,FALSE),"")</f>
        <v>3</v>
      </c>
      <c r="R82" s="61">
        <f>_xlfn.IFNA(VLOOKUP($F82,tblMerits[],4,FALSE),"")</f>
        <v>3</v>
      </c>
      <c r="Y82" s="61" t="s">
        <v>1472</v>
      </c>
      <c r="Z82" s="19"/>
      <c r="AA82" s="60" t="str">
        <f>IF(P177="","",F177)</f>
        <v/>
      </c>
    </row>
    <row r="83" spans="1:27">
      <c r="A83" s="1" t="s">
        <v>82</v>
      </c>
      <c r="B83" t="str">
        <f t="shared" si="10"/>
        <v/>
      </c>
      <c r="D83" s="19"/>
      <c r="E83" s="15" t="s">
        <v>118</v>
      </c>
      <c r="F83" s="3" t="s">
        <v>1569</v>
      </c>
      <c r="G83" s="3"/>
      <c r="H83" s="67" t="str">
        <f>_xlfn.IFNA(IF(VLOOKUP(F83,tblMerits[],6,FALSE)=0,"None",VLOOKUP(F83,tblMerits[],6,FALSE)),"None")</f>
        <v>Crone Status 2 or Invictus Status 2</v>
      </c>
      <c r="I83" s="67"/>
      <c r="L83" s="4">
        <v>1</v>
      </c>
      <c r="M83" s="4"/>
      <c r="N83" s="4"/>
      <c r="O83" s="61">
        <f t="shared" si="15"/>
        <v>0</v>
      </c>
      <c r="P83" s="60">
        <f t="shared" si="14"/>
        <v>1</v>
      </c>
      <c r="Q83" s="61">
        <f>_xlfn.IFNA(VLOOKUP($F83,tblMerits[],3,FALSE),"")</f>
        <v>1</v>
      </c>
      <c r="R83" s="61">
        <f>_xlfn.IFNA(VLOOKUP($F83,tblMerits[],4,FALSE),"")</f>
        <v>1</v>
      </c>
      <c r="Y83" s="61" t="s">
        <v>1472</v>
      </c>
      <c r="Z83" s="19"/>
      <c r="AA83" s="60" t="str">
        <f>IF(P178="","",F178)</f>
        <v/>
      </c>
    </row>
    <row r="84" spans="1:27">
      <c r="A84" s="1" t="s">
        <v>83</v>
      </c>
      <c r="B84">
        <f>P124</f>
        <v>3</v>
      </c>
      <c r="D84" s="19"/>
      <c r="E84" s="15" t="s">
        <v>119</v>
      </c>
      <c r="F84" s="3" t="s">
        <v>1590</v>
      </c>
      <c r="G84" s="3"/>
      <c r="H84" s="67" t="str">
        <f>_xlfn.IFNA(IF(VLOOKUP(F84,tblMerits[],6,FALSE)=0,"None",VLOOKUP(F84,tblMerits[],6,FALSE)),"None")</f>
        <v>Resolve 3</v>
      </c>
      <c r="I84" s="67"/>
      <c r="L84" s="4"/>
      <c r="M84" s="4"/>
      <c r="N84" s="4">
        <v>2</v>
      </c>
      <c r="O84" s="61">
        <f t="shared" si="15"/>
        <v>2</v>
      </c>
      <c r="P84" s="60">
        <f t="shared" si="14"/>
        <v>2</v>
      </c>
      <c r="Q84" s="61">
        <f>_xlfn.IFNA(VLOOKUP($F84,tblMerits[],3,FALSE),"")</f>
        <v>2</v>
      </c>
      <c r="R84" s="61">
        <f>_xlfn.IFNA(VLOOKUP($F84,tblMerits[],4,FALSE),"")</f>
        <v>2</v>
      </c>
      <c r="Y84" s="61" t="s">
        <v>1472</v>
      </c>
      <c r="Z84" s="19"/>
      <c r="AA84" s="60" t="str">
        <f>IF(P179="","",F179)</f>
        <v/>
      </c>
    </row>
    <row r="85" spans="1:27">
      <c r="A85" s="1" t="s">
        <v>84</v>
      </c>
      <c r="B85">
        <f>P125</f>
        <v>2</v>
      </c>
      <c r="D85" s="19"/>
      <c r="E85" s="15" t="s">
        <v>120</v>
      </c>
      <c r="F85" s="3"/>
      <c r="G85" s="3"/>
      <c r="H85" s="67" t="str">
        <f>_xlfn.IFNA(IF(VLOOKUP(F85,tblMerits[],6,FALSE)=0,"None",VLOOKUP(F85,tblMerits[],6,FALSE)),"None")</f>
        <v>None</v>
      </c>
      <c r="I85" s="67"/>
      <c r="L85" s="4"/>
      <c r="M85" s="4"/>
      <c r="N85" s="4"/>
      <c r="O85" s="61">
        <f t="shared" si="15"/>
        <v>0</v>
      </c>
      <c r="P85" s="60">
        <f t="shared" si="14"/>
        <v>0</v>
      </c>
      <c r="Q85" s="61" t="str">
        <f>_xlfn.IFNA(VLOOKUP($F85,tblMerits[],3,FALSE),"")</f>
        <v/>
      </c>
      <c r="R85" s="61" t="str">
        <f>_xlfn.IFNA(VLOOKUP($F85,tblMerits[],4,FALSE),"")</f>
        <v/>
      </c>
      <c r="Y85" s="61" t="s">
        <v>1472</v>
      </c>
      <c r="Z85" s="19"/>
      <c r="AA85" s="60" t="str">
        <f>IF(P180="","",F180)</f>
        <v/>
      </c>
    </row>
    <row r="86" spans="1:27">
      <c r="A86" s="1" t="s">
        <v>85</v>
      </c>
      <c r="B86">
        <f>P126</f>
        <v>3</v>
      </c>
      <c r="D86" s="19"/>
      <c r="E86" s="15" t="s">
        <v>121</v>
      </c>
      <c r="F86" s="3"/>
      <c r="G86" s="3"/>
      <c r="H86" s="67" t="str">
        <f>_xlfn.IFNA(IF(VLOOKUP(F86,tblMerits[],6,FALSE)=0,"None",VLOOKUP(F86,tblMerits[],6,FALSE)),"None")</f>
        <v>None</v>
      </c>
      <c r="I86" s="67"/>
      <c r="L86" s="4"/>
      <c r="M86" s="4"/>
      <c r="N86" s="4"/>
      <c r="O86" s="61">
        <f t="shared" si="15"/>
        <v>0</v>
      </c>
      <c r="P86" s="60">
        <f t="shared" si="14"/>
        <v>0</v>
      </c>
      <c r="Q86" s="61" t="str">
        <f>_xlfn.IFNA(VLOOKUP($F86,tblMerits[],3,FALSE),"")</f>
        <v/>
      </c>
      <c r="R86" s="61" t="str">
        <f>_xlfn.IFNA(VLOOKUP($F86,tblMerits[],4,FALSE),"")</f>
        <v/>
      </c>
      <c r="Y86" s="61" t="s">
        <v>1472</v>
      </c>
      <c r="Z86" s="19"/>
      <c r="AA86" s="60" t="str">
        <f>IF(P181="","",F181)</f>
        <v/>
      </c>
    </row>
    <row r="87" spans="1:27">
      <c r="A87" s="1" t="s">
        <v>86</v>
      </c>
      <c r="B87" t="str">
        <f>IF(F126="","¬",F126)</f>
        <v>Crone</v>
      </c>
      <c r="D87" s="19"/>
      <c r="E87" s="15" t="s">
        <v>122</v>
      </c>
      <c r="F87" s="3"/>
      <c r="G87" s="3"/>
      <c r="H87" s="67" t="str">
        <f>_xlfn.IFNA(IF(VLOOKUP(F87,tblMerits[],6,FALSE)=0,"None",VLOOKUP(F87,tblMerits[],6,FALSE)),"None")</f>
        <v>None</v>
      </c>
      <c r="I87" s="67"/>
      <c r="L87" s="4"/>
      <c r="M87" s="4"/>
      <c r="N87" s="4"/>
      <c r="O87" s="61">
        <f t="shared" si="15"/>
        <v>0</v>
      </c>
      <c r="P87" s="60">
        <f t="shared" si="14"/>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Creation 1</v>
      </c>
    </row>
    <row r="88" spans="1:27">
      <c r="A88" s="1" t="s">
        <v>87</v>
      </c>
      <c r="B88" t="str">
        <f>REPT("●",P126)</f>
        <v>●●●</v>
      </c>
      <c r="D88" s="19"/>
      <c r="E88" s="15" t="s">
        <v>123</v>
      </c>
      <c r="F88" s="3"/>
      <c r="G88" s="3"/>
      <c r="H88" s="67" t="str">
        <f>_xlfn.IFNA(IF(VLOOKUP(F88,tblMerits[],6,FALSE)=0,"None",VLOOKUP(F88,tblMerits[],6,FALSE)),"None")</f>
        <v>None</v>
      </c>
      <c r="I88" s="67"/>
      <c r="L88" s="4"/>
      <c r="M88" s="4"/>
      <c r="N88" s="4"/>
      <c r="O88" s="61">
        <f t="shared" si="15"/>
        <v>0</v>
      </c>
      <c r="P88" s="60">
        <f t="shared" si="14"/>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Carthian</v>
      </c>
      <c r="D89" s="19"/>
      <c r="E89" s="15" t="s">
        <v>124</v>
      </c>
      <c r="F89" s="3"/>
      <c r="G89" s="3"/>
      <c r="H89" s="67" t="str">
        <f>_xlfn.IFNA(IF(VLOOKUP(F89,tblMerits[],6,FALSE)=0,"None",VLOOKUP(F89,tblMerits[],6,FALSE)),"None")</f>
        <v>None</v>
      </c>
      <c r="I89" s="67"/>
      <c r="L89" s="4"/>
      <c r="M89" s="4"/>
      <c r="N89" s="4"/>
      <c r="O89" s="61">
        <f t="shared" si="15"/>
        <v>0</v>
      </c>
      <c r="P89" s="60">
        <f t="shared" si="14"/>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_xlfn.IFNA(IF(VLOOKUP(F90,tblMerits[],6,FALSE)=0,"None",VLOOKUP(F90,tblMerits[],6,FALSE)),"None")</f>
        <v>None</v>
      </c>
      <c r="I90" s="67"/>
      <c r="L90" s="4"/>
      <c r="M90" s="4"/>
      <c r="N90" s="4"/>
      <c r="O90" s="61">
        <f t="shared" si="15"/>
        <v>0</v>
      </c>
      <c r="P90" s="60">
        <f t="shared" si="14"/>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Invictus</v>
      </c>
      <c r="D91" s="19"/>
      <c r="E91" s="15" t="s">
        <v>126</v>
      </c>
      <c r="F91" s="3"/>
      <c r="G91" s="3"/>
      <c r="H91" s="67" t="str">
        <f>_xlfn.IFNA(IF(VLOOKUP(F91,tblMerits[],6,FALSE)=0,"None",VLOOKUP(F91,tblMerits[],6,FALSE)),"None")</f>
        <v>None</v>
      </c>
      <c r="I91" s="67"/>
      <c r="L91" s="4"/>
      <c r="M91" s="4"/>
      <c r="N91" s="4"/>
      <c r="O91" s="61">
        <f t="shared" si="15"/>
        <v>0</v>
      </c>
      <c r="P91" s="60">
        <f t="shared" si="14"/>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5"/>
        <v>0</v>
      </c>
      <c r="P92" s="60">
        <f t="shared" si="14"/>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Lance</v>
      </c>
      <c r="D93" s="19"/>
      <c r="E93" s="15" t="s">
        <v>128</v>
      </c>
      <c r="F93" s="3"/>
      <c r="G93" s="3"/>
      <c r="H93" s="67" t="str">
        <f>_xlfn.IFNA(IF(VLOOKUP(F93,tblMerits[],6,FALSE)=0,"None",VLOOKUP(F93,tblMerits[],6,FALSE)),"None")</f>
        <v>None</v>
      </c>
      <c r="I93" s="67"/>
      <c r="L93" s="4"/>
      <c r="M93" s="4"/>
      <c r="N93" s="4"/>
      <c r="O93" s="61">
        <f t="shared" si="15"/>
        <v>0</v>
      </c>
      <c r="P93" s="60">
        <f t="shared" si="14"/>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5"/>
        <v>0</v>
      </c>
      <c r="P94" s="60">
        <f t="shared" si="14"/>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5"/>
        <v>0</v>
      </c>
      <c r="P95" s="60">
        <f t="shared" si="14"/>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5"/>
        <v>0</v>
      </c>
      <c r="P96" s="60">
        <f t="shared" si="14"/>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5"/>
        <v>0</v>
      </c>
      <c r="P97" s="60">
        <f t="shared" si="14"/>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Divination 1</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5"/>
        <v>0</v>
      </c>
      <c r="P98" s="60">
        <f t="shared" si="14"/>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The Moulding Room</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61" t="s">
        <v>1577</v>
      </c>
      <c r="E101" s="15" t="s">
        <v>1439</v>
      </c>
      <c r="F101" s="3" t="s">
        <v>1744</v>
      </c>
      <c r="G101" s="60" t="str">
        <f>IFERROR(VLOOKUP(F101,tblManoeuvre[],2,FALSE)&amp;" "&amp;VLOOKUP(F101,tblManoeuvre[],3,FALSE),"")</f>
        <v>Cacophony Savvy 1</v>
      </c>
      <c r="H101" s="67" t="str">
        <f>IFERROR(IF(VLOOKUP(F101,tblManoeuvre[],8,FALSE)=0,"None",VLOOKUP(F101,tblManoeuvre[],8,FALSE)),"None")</f>
        <v>City Status 1</v>
      </c>
      <c r="I101" s="67"/>
      <c r="L101" s="4"/>
      <c r="M101" s="4">
        <v>1</v>
      </c>
      <c r="N101" s="4"/>
      <c r="O101" s="61">
        <f t="shared" ref="O101:O120" si="16">N101</f>
        <v>0</v>
      </c>
      <c r="P101" s="60">
        <f t="shared" ref="P101:P120" si="17">MIN(SUM(L101,M101,O101),R101)</f>
        <v>1</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
      </c>
      <c r="D102" s="61" t="s">
        <v>1577</v>
      </c>
      <c r="E102" s="15" t="s">
        <v>1441</v>
      </c>
      <c r="F102" s="3" t="s">
        <v>1745</v>
      </c>
      <c r="G102" s="60" t="str">
        <f>IFERROR(VLOOKUP(F102,tblManoeuvre[],2,FALSE)&amp;" "&amp;VLOOKUP(F102,tblManoeuvre[],3,FALSE),"")</f>
        <v>Cacophony Savvy 2</v>
      </c>
      <c r="H102" s="67" t="str">
        <f>IFERROR(IF(VLOOKUP(F102,tblManoeuvre[],8,FALSE)=0,"None",VLOOKUP(F102,tblManoeuvre[],8,FALSE)),"None")</f>
        <v>City Status 1</v>
      </c>
      <c r="I102" s="67"/>
      <c r="L102" s="4"/>
      <c r="M102" s="4">
        <v>1</v>
      </c>
      <c r="N102" s="4"/>
      <c r="O102" s="61">
        <f t="shared" si="16"/>
        <v>0</v>
      </c>
      <c r="P102" s="60">
        <f t="shared" si="17"/>
        <v>1</v>
      </c>
      <c r="Q102" s="61">
        <v>1</v>
      </c>
      <c r="R102" s="61">
        <v>1</v>
      </c>
      <c r="Y102" s="15">
        <v>1</v>
      </c>
      <c r="Z102" s="61" t="s">
        <v>251</v>
      </c>
      <c r="AA102" s="60" t="str" cm="1">
        <f t="array" ref="AA102">IF(VLOOKUP(Z102,$AI$1:$AJ$58,2,FALSE)&gt;=Y102,INDEX(tblDisciplines[Name],MATCH(1,(tblDisciplines[Discipline]=Z102)*(tblDisciplines[Rank]=Y102),0)),"")</f>
        <v>Protection 1</v>
      </c>
    </row>
    <row r="103" spans="1:27">
      <c r="A103" s="1" t="s">
        <v>102</v>
      </c>
      <c r="B103">
        <f>P73</f>
        <v>4</v>
      </c>
      <c r="D103" s="61"/>
      <c r="E103" s="15" t="s">
        <v>1443</v>
      </c>
      <c r="F103" s="3"/>
      <c r="G103" s="60" t="str">
        <f>IFERROR(VLOOKUP(F103,tblManoeuvre[],2,FALSE)&amp;" "&amp;VLOOKUP(F103,tblManoeuvre[],3,FALSE),"")</f>
        <v/>
      </c>
      <c r="H103" s="67" t="str">
        <f>IFERROR(IF(VLOOKUP(F103,tblManoeuvre[],8,FALSE)=0,"None",VLOOKUP(F103,tblManoeuvre[],8,FALSE)),"None")</f>
        <v>None</v>
      </c>
      <c r="I103" s="67"/>
      <c r="L103" s="4"/>
      <c r="M103" s="4"/>
      <c r="N103" s="4"/>
      <c r="O103" s="61">
        <f t="shared" si="16"/>
        <v>0</v>
      </c>
      <c r="P103" s="60">
        <f t="shared" si="17"/>
        <v>0</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61" t="s">
        <v>1577</v>
      </c>
      <c r="E104" s="15" t="s">
        <v>1447</v>
      </c>
      <c r="F104" s="3" t="s">
        <v>1746</v>
      </c>
      <c r="G104" s="60" t="str">
        <f>IFERROR(VLOOKUP(F104,tblManoeuvre[],2,FALSE)&amp;" "&amp;VLOOKUP(F104,tblManoeuvre[],3,FALSE),"")</f>
        <v>Cacophony Savvy 3</v>
      </c>
      <c r="H104" s="67" t="str">
        <f>IFERROR(IF(VLOOKUP(F104,tblManoeuvre[],8,FALSE)=0,"None",VLOOKUP(F104,tblManoeuvre[],8,FALSE)),"None")</f>
        <v>City Status 1</v>
      </c>
      <c r="I104" s="67"/>
      <c r="L104" s="4"/>
      <c r="M104" s="4">
        <v>1</v>
      </c>
      <c r="N104" s="4"/>
      <c r="O104" s="61">
        <f t="shared" si="16"/>
        <v>0</v>
      </c>
      <c r="P104" s="60">
        <f t="shared" si="17"/>
        <v>1</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c r="G105" s="60" t="str">
        <f>IFERROR(VLOOKUP(F105,tblManoeuvre[],2,FALSE)&amp;" "&amp;VLOOKUP(F105,tblManoeuvre[],3,FALSE),"")</f>
        <v/>
      </c>
      <c r="H105" s="67" t="str">
        <f>IFERROR(IF(VLOOKUP(F105,tblManoeuvre[],8,FALSE)=0,"None",VLOOKUP(F105,tblManoeuvre[],8,FALSE)),"None")</f>
        <v>None</v>
      </c>
      <c r="I105" s="67"/>
      <c r="L105" s="4"/>
      <c r="M105" s="4"/>
      <c r="N105" s="4"/>
      <c r="O105" s="61">
        <f t="shared" si="16"/>
        <v>0</v>
      </c>
      <c r="P105" s="60">
        <f t="shared" si="17"/>
        <v>0</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IFERROR(VLOOKUP(F106,tblManoeuvre[],2,FALSE)&amp;" "&amp;VLOOKUP(F106,tblManoeuvre[],3,FALSE),"")</f>
        <v/>
      </c>
      <c r="H106" s="67" t="str">
        <f>IFERROR(IF(VLOOKUP(F106,tblManoeuvre[],8,FALSE)=0,"None",VLOOKUP(F106,tblManoeuvre[],8,FALSE)),"None")</f>
        <v>None</v>
      </c>
      <c r="I106" s="67"/>
      <c r="L106" s="4"/>
      <c r="M106" s="4"/>
      <c r="N106" s="4"/>
      <c r="O106" s="61">
        <f t="shared" si="16"/>
        <v>0</v>
      </c>
      <c r="P106" s="60">
        <f t="shared" si="17"/>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IFERROR(VLOOKUP(F107,tblManoeuvre[],2,FALSE)&amp;" "&amp;VLOOKUP(F107,tblManoeuvre[],3,FALSE),"")</f>
        <v/>
      </c>
      <c r="H107" s="67" t="str">
        <f>IFERROR(IF(VLOOKUP(F107,tblManoeuvre[],8,FALSE)=0,"None",VLOOKUP(F107,tblManoeuvre[],8,FALSE)),"None")</f>
        <v>None</v>
      </c>
      <c r="I107" s="67"/>
      <c r="L107" s="4"/>
      <c r="M107" s="4"/>
      <c r="N107" s="4"/>
      <c r="O107" s="61">
        <f t="shared" si="16"/>
        <v>0</v>
      </c>
      <c r="P107" s="60">
        <f t="shared" si="17"/>
        <v>0</v>
      </c>
      <c r="Q107" s="61">
        <v>1</v>
      </c>
      <c r="R107" s="61">
        <v>1</v>
      </c>
      <c r="Y107" s="15">
        <v>1</v>
      </c>
      <c r="Z107" s="61" t="s">
        <v>252</v>
      </c>
      <c r="AA107" s="60" t="str" cm="1">
        <f t="array" ref="AA107">IF(VLOOKUP(Z107,$AI$1:$AJ$58,2,FALSE)&gt;=Y107,INDEX(tblDisciplines[Name],MATCH(1,(tblDisciplines[Discipline]=Z107)*(tblDisciplines[Rank]=Y107),0)),"")</f>
        <v>Transmutation 1</v>
      </c>
    </row>
    <row r="108" spans="1:27">
      <c r="A108" s="1" t="s">
        <v>107</v>
      </c>
      <c r="B108" t="str">
        <f>IF($P$73&gt;=7,"●","○") &amp; IF(F226&lt;&gt;""," (" &amp; F226 &amp; ")","")</f>
        <v>○</v>
      </c>
      <c r="D108" s="19"/>
      <c r="E108" s="15" t="s">
        <v>1452</v>
      </c>
      <c r="F108" s="3"/>
      <c r="G108" s="60" t="str">
        <f>IFERROR(VLOOKUP(F108,tblManoeuvre[],2,FALSE)&amp;" "&amp;VLOOKUP(F108,tblManoeuvre[],3,FALSE),"")</f>
        <v/>
      </c>
      <c r="H108" s="67" t="str">
        <f>IFERROR(IF(VLOOKUP(F108,tblManoeuvre[],8,FALSE)=0,"None",VLOOKUP(F108,tblManoeuvre[],8,FALSE)),"None")</f>
        <v>None</v>
      </c>
      <c r="I108" s="67"/>
      <c r="L108" s="4"/>
      <c r="M108" s="4"/>
      <c r="N108" s="4"/>
      <c r="O108" s="61">
        <f t="shared" si="16"/>
        <v>0</v>
      </c>
      <c r="P108" s="60">
        <f t="shared" si="17"/>
        <v>0</v>
      </c>
      <c r="Q108" s="61">
        <v>1</v>
      </c>
      <c r="R108" s="61">
        <v>1</v>
      </c>
      <c r="Y108" s="15">
        <v>2</v>
      </c>
      <c r="Z108" s="61" t="s">
        <v>252</v>
      </c>
      <c r="AA108" s="60" t="str" cm="1">
        <f t="array" ref="AA108">IF(VLOOKUP(Z108,$AI$1:$AJ$58,2,FALSE)&gt;=Y108,INDEX(tblDisciplines[Name],MATCH(1,(tblDisciplines[Discipline]=Z108)*(tblDisciplines[Rank]=Y108),0)),"")</f>
        <v>Transmutation 2</v>
      </c>
    </row>
    <row r="109" spans="1:27">
      <c r="A109" s="1" t="s">
        <v>108</v>
      </c>
      <c r="B109" t="str">
        <f>IF($P$73&gt;=6,"●","○") &amp; IF(F227&lt;&gt;""," (" &amp; F227 &amp; ")","")</f>
        <v>○</v>
      </c>
      <c r="D109" s="19"/>
      <c r="E109" s="15" t="s">
        <v>1454</v>
      </c>
      <c r="F109" s="3"/>
      <c r="G109" s="60" t="str">
        <f>IFERROR(VLOOKUP(F109,tblManoeuvre[],2,FALSE)&amp;" "&amp;VLOOKUP(F109,tblManoeuvre[],3,FALSE),"")</f>
        <v/>
      </c>
      <c r="H109" s="67" t="str">
        <f>IFERROR(IF(VLOOKUP(F109,tblManoeuvre[],8,FALSE)=0,"None",VLOOKUP(F109,tblManoeuvre[],8,FALSE)),"None")</f>
        <v>None</v>
      </c>
      <c r="I109" s="67"/>
      <c r="L109" s="4"/>
      <c r="M109" s="4"/>
      <c r="N109" s="4"/>
      <c r="O109" s="61">
        <f t="shared" si="16"/>
        <v>0</v>
      </c>
      <c r="P109" s="60">
        <f t="shared" si="17"/>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v>
      </c>
      <c r="D110" s="19"/>
      <c r="E110" s="15" t="s">
        <v>1455</v>
      </c>
      <c r="F110" s="3"/>
      <c r="G110" s="60" t="str">
        <f>IFERROR(VLOOKUP(F110,tblManoeuvre[],2,FALSE)&amp;" "&amp;VLOOKUP(F110,tblManoeuvre[],3,FALSE),"")</f>
        <v/>
      </c>
      <c r="H110" s="67" t="str">
        <f>IFERROR(IF(VLOOKUP(F110,tblManoeuvre[],8,FALSE)=0,"None",VLOOKUP(F110,tblManoeuvre[],8,FALSE)),"None")</f>
        <v>None</v>
      </c>
      <c r="I110" s="67"/>
      <c r="L110" s="4"/>
      <c r="M110" s="4"/>
      <c r="N110" s="4"/>
      <c r="O110" s="61">
        <f t="shared" si="16"/>
        <v>0</v>
      </c>
      <c r="P110" s="60">
        <f t="shared" si="17"/>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t="str">
        <f>IFERROR(VLOOKUP(F111,tblManoeuvre[],2,FALSE)&amp;" "&amp;VLOOKUP(F111,tblManoeuvre[],3,FALSE),"")</f>
        <v/>
      </c>
      <c r="H111" s="67" t="str">
        <f>IFERROR(IF(VLOOKUP(F111,tblManoeuvre[],8,FALSE)=0,"None",VLOOKUP(F111,tblManoeuvre[],8,FALSE)),"None")</f>
        <v>None</v>
      </c>
      <c r="I111" s="67"/>
      <c r="L111" s="4"/>
      <c r="M111" s="4"/>
      <c r="N111" s="4"/>
      <c r="O111" s="61">
        <f t="shared" si="16"/>
        <v>0</v>
      </c>
      <c r="P111" s="60">
        <f t="shared" si="17"/>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t="str">
        <f>IFERROR(VLOOKUP(F112,tblManoeuvre[],2,FALSE)&amp;" "&amp;VLOOKUP(F112,tblManoeuvre[],3,FALSE),"")</f>
        <v/>
      </c>
      <c r="H112" s="67" t="str">
        <f>IFERROR(IF(VLOOKUP(F112,tblManoeuvre[],8,FALSE)=0,"None",VLOOKUP(F112,tblManoeuvre[],8,FALSE)),"None")</f>
        <v>None</v>
      </c>
      <c r="I112" s="67"/>
      <c r="L112" s="4"/>
      <c r="M112" s="4"/>
      <c r="N112" s="4"/>
      <c r="O112" s="61">
        <f t="shared" si="16"/>
        <v>0</v>
      </c>
      <c r="P112" s="60">
        <f t="shared" si="17"/>
        <v>0</v>
      </c>
      <c r="Q112" s="61">
        <v>1</v>
      </c>
      <c r="R112" s="61">
        <v>1</v>
      </c>
      <c r="Y112" s="61" t="s">
        <v>1474</v>
      </c>
      <c r="Z112" s="61" t="str">
        <f t="shared" ref="Z112:Z121" si="18">G194</f>
        <v>Cruac</v>
      </c>
      <c r="AA112" s="60" t="str">
        <f t="shared" ref="AA112:AA121" si="19">IF(P194="","",F194)</f>
        <v>Mantle of Amorous Fire</v>
      </c>
    </row>
    <row r="113" spans="1:27">
      <c r="A113" s="1" t="s">
        <v>112</v>
      </c>
      <c r="B113" t="str">
        <f>IF($P$73&gt;=2,"●","○") &amp; IF(F231&lt;&gt;""," (" &amp; F231 &amp; ")","")</f>
        <v>●</v>
      </c>
      <c r="D113" s="19"/>
      <c r="E113" s="15" t="s">
        <v>1458</v>
      </c>
      <c r="F113" s="3"/>
      <c r="G113" s="60" t="str">
        <f>IFERROR(VLOOKUP(F113,tblManoeuvre[],2,FALSE)&amp;" "&amp;VLOOKUP(F113,tblManoeuvre[],3,FALSE),"")</f>
        <v/>
      </c>
      <c r="H113" s="67" t="str">
        <f>IFERROR(IF(VLOOKUP(F113,tblManoeuvre[],8,FALSE)=0,"None",VLOOKUP(F113,tblManoeuvre[],8,FALSE)),"None")</f>
        <v>None</v>
      </c>
      <c r="I113" s="67"/>
      <c r="L113" s="4"/>
      <c r="M113" s="4"/>
      <c r="N113" s="4"/>
      <c r="O113" s="61">
        <f t="shared" si="16"/>
        <v>0</v>
      </c>
      <c r="P113" s="60">
        <f t="shared" si="17"/>
        <v>0</v>
      </c>
      <c r="Q113" s="61">
        <v>1</v>
      </c>
      <c r="R113" s="61">
        <v>1</v>
      </c>
      <c r="Y113" s="61" t="s">
        <v>1474</v>
      </c>
      <c r="Z113" s="61" t="str">
        <f t="shared" si="18"/>
        <v/>
      </c>
      <c r="AA113" s="60" t="str">
        <f t="shared" si="19"/>
        <v/>
      </c>
    </row>
    <row r="114" spans="1:27">
      <c r="A114" s="1" t="s">
        <v>113</v>
      </c>
      <c r="B114" t="str">
        <f>IF($P$73&gt;=1,"●","○") &amp; IF(F232&lt;&gt;""," (" &amp; F232 &amp; ")","")</f>
        <v>●</v>
      </c>
      <c r="D114" s="19"/>
      <c r="E114" s="15" t="s">
        <v>1460</v>
      </c>
      <c r="F114" s="3"/>
      <c r="G114" s="60" t="str">
        <f>IFERROR(VLOOKUP(F114,tblManoeuvre[],2,FALSE)&amp;" "&amp;VLOOKUP(F114,tblManoeuvre[],3,FALSE),"")</f>
        <v/>
      </c>
      <c r="H114" s="67" t="str">
        <f>IFERROR(IF(VLOOKUP(F114,tblManoeuvre[],8,FALSE)=0,"None",VLOOKUP(F114,tblManoeuvre[],8,FALSE)),"None")</f>
        <v>None</v>
      </c>
      <c r="I114" s="67"/>
      <c r="L114" s="4"/>
      <c r="M114" s="4"/>
      <c r="N114" s="4"/>
      <c r="O114" s="61">
        <f t="shared" si="16"/>
        <v>0</v>
      </c>
      <c r="P114" s="60">
        <f t="shared" si="17"/>
        <v>0</v>
      </c>
      <c r="Q114" s="61">
        <v>1</v>
      </c>
      <c r="R114" s="61">
        <v>1</v>
      </c>
      <c r="Y114" s="61" t="s">
        <v>1474</v>
      </c>
      <c r="Z114" s="61" t="str">
        <f t="shared" si="18"/>
        <v/>
      </c>
      <c r="AA114" s="60" t="str">
        <f t="shared" si="19"/>
        <v/>
      </c>
    </row>
    <row r="115" spans="1:27">
      <c r="A115" s="1" t="s">
        <v>114</v>
      </c>
      <c r="B115" t="str">
        <f t="shared" ref="B115:B144" si="20">IF(AD2="","¬",AD2)</f>
        <v>Eye for the Strange ●●</v>
      </c>
      <c r="D115" s="19"/>
      <c r="E115" s="15" t="s">
        <v>1461</v>
      </c>
      <c r="F115" s="3"/>
      <c r="G115" s="60" t="str">
        <f>IFERROR(VLOOKUP(F115,tblManoeuvre[],2,FALSE)&amp;" "&amp;VLOOKUP(F115,tblManoeuvre[],3,FALSE),"")</f>
        <v/>
      </c>
      <c r="H115" s="67" t="str">
        <f>IFERROR(IF(VLOOKUP(F115,tblManoeuvre[],8,FALSE)=0,"None",VLOOKUP(F115,tblManoeuvre[],8,FALSE)),"None")</f>
        <v>None</v>
      </c>
      <c r="I115" s="67"/>
      <c r="L115" s="4"/>
      <c r="M115" s="4"/>
      <c r="N115" s="4"/>
      <c r="O115" s="61">
        <f t="shared" si="16"/>
        <v>0</v>
      </c>
      <c r="P115" s="60">
        <f t="shared" si="17"/>
        <v>0</v>
      </c>
      <c r="Q115" s="61">
        <v>1</v>
      </c>
      <c r="R115" s="61">
        <v>1</v>
      </c>
      <c r="Y115" s="61" t="s">
        <v>1474</v>
      </c>
      <c r="Z115" s="61" t="str">
        <f t="shared" si="18"/>
        <v/>
      </c>
      <c r="AA115" s="60" t="str">
        <f t="shared" si="19"/>
        <v/>
      </c>
    </row>
    <row r="116" spans="1:27">
      <c r="A116" s="1" t="s">
        <v>115</v>
      </c>
      <c r="B116" t="str">
        <f t="shared" si="20"/>
        <v>Indomitable ●●</v>
      </c>
      <c r="D116" s="19"/>
      <c r="E116" s="15" t="s">
        <v>1462</v>
      </c>
      <c r="F116" s="3"/>
      <c r="G116" s="60" t="str">
        <f>IFERROR(VLOOKUP(F116,tblManoeuvre[],2,FALSE)&amp;" "&amp;VLOOKUP(F116,tblManoeuvre[],3,FALSE),"")</f>
        <v/>
      </c>
      <c r="H116" s="67" t="str">
        <f>IFERROR(IF(VLOOKUP(F116,tblManoeuvre[],8,FALSE)=0,"None",VLOOKUP(F116,tblManoeuvre[],8,FALSE)),"None")</f>
        <v>None</v>
      </c>
      <c r="I116" s="67"/>
      <c r="L116" s="4"/>
      <c r="M116" s="4"/>
      <c r="N116" s="4"/>
      <c r="O116" s="61">
        <f t="shared" si="16"/>
        <v>0</v>
      </c>
      <c r="P116" s="60">
        <f t="shared" si="17"/>
        <v>0</v>
      </c>
      <c r="Q116" s="61">
        <v>1</v>
      </c>
      <c r="R116" s="61">
        <v>1</v>
      </c>
      <c r="Y116" s="61" t="s">
        <v>1474</v>
      </c>
      <c r="Z116" s="61" t="str">
        <f t="shared" si="18"/>
        <v/>
      </c>
      <c r="AA116" s="60" t="str">
        <f t="shared" si="19"/>
        <v/>
      </c>
    </row>
    <row r="117" spans="1:27">
      <c r="A117" s="1" t="s">
        <v>116</v>
      </c>
      <c r="B117" t="str">
        <f t="shared" si="20"/>
        <v>Mandragora Garden ●</v>
      </c>
      <c r="D117" s="19"/>
      <c r="E117" s="15" t="s">
        <v>1463</v>
      </c>
      <c r="F117" s="3"/>
      <c r="G117" s="60" t="str">
        <f>IFERROR(VLOOKUP(F117,tblManoeuvre[],2,FALSE)&amp;" "&amp;VLOOKUP(F117,tblManoeuvre[],3,FALSE),"")</f>
        <v/>
      </c>
      <c r="H117" s="67" t="str">
        <f>IFERROR(IF(VLOOKUP(F117,tblManoeuvre[],8,FALSE)=0,"None",VLOOKUP(F117,tblManoeuvre[],8,FALSE)),"None")</f>
        <v>None</v>
      </c>
      <c r="I117" s="67"/>
      <c r="L117" s="4"/>
      <c r="M117" s="4"/>
      <c r="N117" s="4"/>
      <c r="O117" s="61">
        <f t="shared" si="16"/>
        <v>0</v>
      </c>
      <c r="P117" s="60">
        <f t="shared" si="17"/>
        <v>0</v>
      </c>
      <c r="Q117" s="61">
        <v>1</v>
      </c>
      <c r="R117" s="61">
        <v>1</v>
      </c>
      <c r="Y117" s="61" t="s">
        <v>1474</v>
      </c>
      <c r="Z117" s="61" t="str">
        <f t="shared" si="18"/>
        <v/>
      </c>
      <c r="AA117" s="60" t="str">
        <f t="shared" si="19"/>
        <v/>
      </c>
    </row>
    <row r="118" spans="1:27">
      <c r="A118" s="1" t="s">
        <v>117</v>
      </c>
      <c r="B118" t="str">
        <f t="shared" si="20"/>
        <v>Secret Society Junkie ●</v>
      </c>
      <c r="D118" s="19"/>
      <c r="E118" s="15" t="s">
        <v>1464</v>
      </c>
      <c r="F118" s="3"/>
      <c r="G118" s="60" t="str">
        <f>IFERROR(VLOOKUP(F118,tblManoeuvre[],2,FALSE)&amp;" "&amp;VLOOKUP(F118,tblManoeuvre[],3,FALSE),"")</f>
        <v/>
      </c>
      <c r="H118" s="67" t="str">
        <f>IFERROR(IF(VLOOKUP(F118,tblManoeuvre[],8,FALSE)=0,"None",VLOOKUP(F118,tblManoeuvre[],8,FALSE)),"None")</f>
        <v>None</v>
      </c>
      <c r="I118" s="67"/>
      <c r="L118" s="4"/>
      <c r="M118" s="4"/>
      <c r="N118" s="4"/>
      <c r="O118" s="61">
        <f t="shared" si="16"/>
        <v>0</v>
      </c>
      <c r="P118" s="60">
        <f t="shared" si="17"/>
        <v>0</v>
      </c>
      <c r="Q118" s="61">
        <v>1</v>
      </c>
      <c r="R118" s="61">
        <v>1</v>
      </c>
      <c r="Y118" s="61" t="s">
        <v>1474</v>
      </c>
      <c r="Z118" s="61" t="str">
        <f t="shared" si="18"/>
        <v/>
      </c>
      <c r="AA118" s="60" t="str">
        <f t="shared" si="19"/>
        <v/>
      </c>
    </row>
    <row r="119" spans="1:27">
      <c r="A119" s="1" t="s">
        <v>118</v>
      </c>
      <c r="B119" t="str">
        <f t="shared" si="20"/>
        <v>Trained Observer ●</v>
      </c>
      <c r="D119" s="19"/>
      <c r="E119" s="15" t="s">
        <v>1466</v>
      </c>
      <c r="F119" s="3"/>
      <c r="G119" s="60" t="str">
        <f>IFERROR(VLOOKUP(F119,tblManoeuvre[],2,FALSE)&amp;" "&amp;VLOOKUP(F119,tblManoeuvre[],3,FALSE),"")</f>
        <v/>
      </c>
      <c r="H119" s="67" t="str">
        <f>IFERROR(IF(VLOOKUP(F119,tblManoeuvre[],8,FALSE)=0,"None",VLOOKUP(F119,tblManoeuvre[],8,FALSE)),"None")</f>
        <v>None</v>
      </c>
      <c r="I119" s="67"/>
      <c r="L119" s="4"/>
      <c r="M119" s="4"/>
      <c r="N119" s="4"/>
      <c r="O119" s="61">
        <f t="shared" si="16"/>
        <v>0</v>
      </c>
      <c r="P119" s="60">
        <f t="shared" si="17"/>
        <v>0</v>
      </c>
      <c r="Q119" s="61">
        <v>1</v>
      </c>
      <c r="R119" s="61">
        <v>1</v>
      </c>
      <c r="Y119" s="61" t="s">
        <v>1474</v>
      </c>
      <c r="Z119" s="61" t="str">
        <f t="shared" si="18"/>
        <v/>
      </c>
      <c r="AA119" s="60" t="str">
        <f t="shared" si="19"/>
        <v/>
      </c>
    </row>
    <row r="120" spans="1:27">
      <c r="A120" s="1" t="s">
        <v>119</v>
      </c>
      <c r="B120" t="str">
        <f t="shared" si="20"/>
        <v>Viral Mythology ●●●</v>
      </c>
      <c r="D120" s="19"/>
      <c r="E120" s="15" t="s">
        <v>1468</v>
      </c>
      <c r="F120" s="3"/>
      <c r="G120" s="60" t="str">
        <f>IFERROR(VLOOKUP(F120,tblManoeuvre[],2,FALSE)&amp;" "&amp;VLOOKUP(F120,tblManoeuvre[],3,FALSE),"")</f>
        <v/>
      </c>
      <c r="H120" s="67" t="str">
        <f>IFERROR(IF(VLOOKUP(F120,tblManoeuvre[],8,FALSE)=0,"None",VLOOKUP(F120,tblManoeuvre[],8,FALSE)),"None")</f>
        <v>None</v>
      </c>
      <c r="I120" s="67"/>
      <c r="L120" s="4"/>
      <c r="M120" s="4"/>
      <c r="N120" s="4"/>
      <c r="O120" s="61">
        <f t="shared" si="16"/>
        <v>0</v>
      </c>
      <c r="P120" s="60">
        <f t="shared" si="17"/>
        <v>0</v>
      </c>
      <c r="Q120" s="61">
        <v>1</v>
      </c>
      <c r="R120" s="61">
        <v>1</v>
      </c>
      <c r="Y120" s="61" t="s">
        <v>1474</v>
      </c>
      <c r="Z120" s="61" t="str">
        <f t="shared" si="18"/>
        <v/>
      </c>
      <c r="AA120" s="60" t="str">
        <f t="shared" si="19"/>
        <v/>
      </c>
    </row>
    <row r="121" spans="1:27">
      <c r="A121" s="1" t="s">
        <v>120</v>
      </c>
      <c r="B121" t="str">
        <f t="shared" si="20"/>
        <v>Cacophony Savvy ● | Gettin' Up</v>
      </c>
      <c r="Y121" s="61" t="s">
        <v>1474</v>
      </c>
      <c r="Z121" s="61" t="str">
        <f t="shared" si="18"/>
        <v/>
      </c>
      <c r="AA121" s="60" t="str">
        <f t="shared" si="19"/>
        <v/>
      </c>
    </row>
    <row r="122" spans="1:27" ht="15.75" thickBot="1">
      <c r="A122" s="1" t="s">
        <v>121</v>
      </c>
      <c r="B122" t="str">
        <f t="shared" si="20"/>
        <v>Cacophony Savvy ●● | Backpacker</v>
      </c>
      <c r="D122" s="14" t="s">
        <v>1475</v>
      </c>
      <c r="E122" s="14"/>
      <c r="F122" s="14"/>
      <c r="G122" s="14"/>
      <c r="H122" s="14"/>
      <c r="I122" s="14"/>
    </row>
    <row r="123" spans="1:27">
      <c r="A123" s="1" t="s">
        <v>122</v>
      </c>
      <c r="B123" t="str">
        <f t="shared" si="20"/>
        <v>Cacophony Savvy ●●● | Wearing a Hat</v>
      </c>
      <c r="D123" s="16" t="s">
        <v>927</v>
      </c>
      <c r="E123" s="17"/>
      <c r="F123" s="17"/>
      <c r="G123" s="17"/>
      <c r="H123" s="17"/>
      <c r="I123" s="17"/>
      <c r="Y123" s="15" t="s">
        <v>1476</v>
      </c>
      <c r="Z123" s="19"/>
      <c r="AA123" s="61" t="str">
        <f t="shared" ref="AA123:AA132" si="21">_xlfn.LET(_xlpm.name,VLOOKUP(Y123,$E$2:$F$362,2,FALSE),_xlpm.paid,_xlfn.IFNA(VLOOKUP(_xlpm.name,$F$121:$Q$215,11,FALSE)&gt;=VLOOKUP(_xlpm.name,$F$121:$Q$215,12,FALSE),FALSE),IF(AND(_xlpm.name&lt;&gt;"",_xlpm.paid),_xlpm.name,""))</f>
        <v/>
      </c>
    </row>
    <row r="124" spans="1:27">
      <c r="A124" s="1" t="s">
        <v>123</v>
      </c>
      <c r="B124" t="str">
        <f t="shared" si="20"/>
        <v>¬</v>
      </c>
      <c r="D124" s="19"/>
      <c r="E124" s="15" t="s">
        <v>83</v>
      </c>
      <c r="F124" s="19"/>
      <c r="G124" s="19"/>
      <c r="H124" s="19"/>
      <c r="I124" s="19"/>
      <c r="L124" s="4">
        <v>3</v>
      </c>
      <c r="M124" s="61">
        <f>IFERROR(VLOOKUP(G13,tblEffectiveStatus[#Data],2,FALSE),0)</f>
        <v>0</v>
      </c>
      <c r="P124" s="60">
        <f>MIN(L124+M124,R124)</f>
        <v>3</v>
      </c>
      <c r="R124" s="61">
        <v>10</v>
      </c>
      <c r="Y124" s="15" t="s">
        <v>1477</v>
      </c>
      <c r="Z124" s="19"/>
      <c r="AA124" s="61" t="str">
        <f t="shared" si="21"/>
        <v/>
      </c>
    </row>
    <row r="125" spans="1:27">
      <c r="A125" s="1" t="s">
        <v>124</v>
      </c>
      <c r="B125" t="str">
        <f t="shared" si="20"/>
        <v>¬</v>
      </c>
      <c r="D125" s="19"/>
      <c r="E125" s="15" t="str">
        <f>IF(F7="","Clan Status",F7&amp;" Status")</f>
        <v>Mekhet Status</v>
      </c>
      <c r="F125" s="19"/>
      <c r="G125" s="19"/>
      <c r="H125" s="19"/>
      <c r="I125" s="19"/>
      <c r="L125" s="4">
        <v>2</v>
      </c>
      <c r="P125" s="60">
        <f>IF(L125="",0,MIN(L125,R125))</f>
        <v>2</v>
      </c>
      <c r="R125" s="61">
        <v>5</v>
      </c>
      <c r="Y125" s="15" t="s">
        <v>1478</v>
      </c>
      <c r="Z125" s="19"/>
      <c r="AA125" s="61" t="str">
        <f t="shared" si="21"/>
        <v/>
      </c>
    </row>
    <row r="126" spans="1:27">
      <c r="A126" s="1" t="s">
        <v>125</v>
      </c>
      <c r="B126" t="str">
        <f t="shared" si="20"/>
        <v>¬</v>
      </c>
      <c r="D126" s="19"/>
      <c r="E126" s="15" t="str">
        <f>IF(F9="","",F9&amp;" Status")</f>
        <v>Circle of the Crone Status</v>
      </c>
      <c r="F126" s="19" t="str">
        <f>IF(F9="","",VLOOKUP(F9,tblCovenantShortName[#Data],2,FALSE))</f>
        <v>Crone</v>
      </c>
      <c r="G126" s="19"/>
      <c r="H126" s="19"/>
      <c r="I126" s="19"/>
      <c r="L126" s="4">
        <v>3</v>
      </c>
      <c r="P126" s="60">
        <f>L126</f>
        <v>3</v>
      </c>
      <c r="R126" s="61">
        <f>5-SUM(L127:L129)</f>
        <v>5</v>
      </c>
      <c r="Y126" s="15" t="s">
        <v>1479</v>
      </c>
      <c r="Z126" s="19"/>
      <c r="AA126" s="61" t="str">
        <f t="shared" si="21"/>
        <v/>
      </c>
    </row>
    <row r="127" spans="1:27">
      <c r="A127" s="1" t="s">
        <v>126</v>
      </c>
      <c r="B127" t="str">
        <f t="shared" si="20"/>
        <v>¬</v>
      </c>
      <c r="D127" s="19"/>
      <c r="E127" s="15" t="str" cm="1">
        <f t="array" ref="E127">IF(F9="","",IFERROR(INDEX(Lists!$F$2:$F$5,SMALL(IF(Lists!$F$2:$F$5&lt;&gt;$F$9,ROW(Lists!$F$2:$F$5)-ROW(Lists!$F$2)+1),1))&amp;" Status",""))</f>
        <v>Carthian Movement Status</v>
      </c>
      <c r="F127" s="19" t="str" cm="1">
        <f t="array" ref="F127">IF(F9="","",IFERROR(VLOOKUP(INDEX(Lists!$F$2:$F$5,SMALL(IF(Lists!$F$2:$F$5&lt;&gt;$F$9,ROW(Lists!$F$2:$F$5)-ROW(Lists!$F$2)+1),1)),tblCovenantShortName[],2,FALSE),""))</f>
        <v>Carthian</v>
      </c>
      <c r="G127" s="19"/>
      <c r="H127" s="19"/>
      <c r="I127" s="19"/>
      <c r="L127" s="4"/>
      <c r="P127" s="60">
        <f>L127</f>
        <v>0</v>
      </c>
      <c r="R127" s="61">
        <f>MAX(0,MIN(P126-1,5-L126-L128-L129))</f>
        <v>2</v>
      </c>
      <c r="Y127" s="15" t="s">
        <v>1480</v>
      </c>
      <c r="Z127" s="19"/>
      <c r="AA127" s="61" t="str">
        <f t="shared" si="21"/>
        <v/>
      </c>
    </row>
    <row r="128" spans="1:27">
      <c r="A128" s="1" t="s">
        <v>127</v>
      </c>
      <c r="B128" t="str">
        <f t="shared" si="20"/>
        <v>¬</v>
      </c>
      <c r="D128" s="19"/>
      <c r="E128" s="15" t="str" cm="1">
        <f t="array" ref="E128">IF(F9="","",IFERROR(INDEX(Lists!$F$2:$F$5,SMALL(IF(Lists!$F$2:$F$5&lt;&gt;$F$9,ROW(Lists!$F$2:$F$5)-ROW(Lists!$F$2)+1),2))&amp;" Status",""))</f>
        <v>Invictus Status</v>
      </c>
      <c r="F128" s="19" t="str" cm="1">
        <f t="array" ref="F128">IF(F9="","",IFERROR(VLOOKUP(INDEX(Lists!$F$2:$F$5,SMALL(IF(Lists!$F$2:$F$5&lt;&gt;$F$9,ROW(Lists!$F$2:$F$5)-ROW(Lists!$F$2)+1),2)),tblCovenantShortName[],2,FALSE),""))</f>
        <v>Invictus</v>
      </c>
      <c r="G128" s="19"/>
      <c r="H128" s="19"/>
      <c r="I128" s="19"/>
      <c r="L128" s="4"/>
      <c r="P128" s="60">
        <f>L128</f>
        <v>0</v>
      </c>
      <c r="R128" s="61">
        <f>MAX(0,MIN(P126-1,5-L126-L127-L129))</f>
        <v>2</v>
      </c>
      <c r="Y128" s="15" t="s">
        <v>1481</v>
      </c>
      <c r="Z128" s="19"/>
      <c r="AA128" s="61" t="str">
        <f t="shared" si="21"/>
        <v/>
      </c>
    </row>
    <row r="129" spans="1:32">
      <c r="A129" s="1" t="s">
        <v>128</v>
      </c>
      <c r="B129" t="str">
        <f t="shared" si="20"/>
        <v>¬</v>
      </c>
      <c r="D129" s="19"/>
      <c r="E129" s="15" t="str" cm="1">
        <f t="array" ref="E129">IF(F9="","",IFERROR(INDEX(Lists!$F$2:$F$5,SMALL(IF(Lists!$F$2:$F$5&lt;&gt;$F$9,ROW(Lists!$F$2:$F$5)-ROW(Lists!$F$2)+1),3))&amp;" Status",""))</f>
        <v>Lancea et Sanctum Status</v>
      </c>
      <c r="F129" s="19" t="str" cm="1">
        <f t="array" ref="F129">IF(F9="","",IFERROR(VLOOKUP(INDEX(Lists!$F$2:$F$5,SMALL(IF(Lists!$F$2:$F$5&lt;&gt;$F$9,ROW(Lists!$F$2:$F$5)-ROW(Lists!$F$2)+1),3)),tblCovenantShortName[],2,FALSE),""))</f>
        <v>Lance</v>
      </c>
      <c r="G129" s="19"/>
      <c r="H129" s="19"/>
      <c r="I129" s="19"/>
      <c r="L129" s="4"/>
      <c r="P129" s="60">
        <f>L129</f>
        <v>0</v>
      </c>
      <c r="R129" s="61">
        <f>MAX(0,MIN(P126-1,5-L126-L127-L128))</f>
        <v>2</v>
      </c>
      <c r="Y129" s="15" t="s">
        <v>1482</v>
      </c>
      <c r="Z129" s="19"/>
      <c r="AA129" s="61" t="str">
        <f t="shared" si="21"/>
        <v/>
      </c>
    </row>
    <row r="130" spans="1:32">
      <c r="A130" s="1" t="s">
        <v>129</v>
      </c>
      <c r="B130" t="str">
        <f t="shared" si="20"/>
        <v>¬</v>
      </c>
      <c r="Y130" s="15" t="s">
        <v>1483</v>
      </c>
      <c r="Z130" s="19"/>
      <c r="AA130" s="61" t="str">
        <f t="shared" si="21"/>
        <v/>
      </c>
    </row>
    <row r="131" spans="1:32">
      <c r="A131" s="1" t="s">
        <v>130</v>
      </c>
      <c r="B131" t="str">
        <f t="shared" si="20"/>
        <v>¬</v>
      </c>
      <c r="D131" s="16" t="s">
        <v>1475</v>
      </c>
      <c r="E131" s="17"/>
      <c r="F131" s="16" t="s">
        <v>1446</v>
      </c>
      <c r="G131" s="17"/>
      <c r="H131" s="17"/>
      <c r="I131" s="17"/>
      <c r="Y131" s="15" t="s">
        <v>1484</v>
      </c>
      <c r="Z131" s="19"/>
      <c r="AA131" s="61" t="str">
        <f t="shared" si="21"/>
        <v/>
      </c>
    </row>
    <row r="132" spans="1:32">
      <c r="A132" s="1" t="s">
        <v>131</v>
      </c>
      <c r="B132" t="str">
        <f t="shared" si="20"/>
        <v>¬</v>
      </c>
      <c r="D132" s="19"/>
      <c r="E132" s="15" t="s">
        <v>94</v>
      </c>
      <c r="F132" s="3"/>
      <c r="G132" s="19"/>
      <c r="H132" s="19"/>
      <c r="I132" s="19"/>
      <c r="L132" s="4"/>
      <c r="M132" s="4"/>
      <c r="N132" s="4">
        <v>1</v>
      </c>
      <c r="O132" s="61">
        <f>N132</f>
        <v>1</v>
      </c>
      <c r="P132" s="60">
        <f>MIN(SUM(L132,M132,O132),R132)</f>
        <v>1</v>
      </c>
      <c r="Q132" s="61">
        <f>_xlfn.IFNA(VLOOKUP($E132,tblDomain[],3,FALSE),"")</f>
        <v>1</v>
      </c>
      <c r="R132" s="61">
        <f>_xlfn.IFNA(VLOOKUP($E132,tblDomain[],4,FALSE),"")</f>
        <v>5</v>
      </c>
      <c r="Y132" s="15" t="s">
        <v>1485</v>
      </c>
      <c r="Z132" s="19"/>
      <c r="AA132" s="61" t="str">
        <f t="shared" si="21"/>
        <v/>
      </c>
    </row>
    <row r="133" spans="1:32">
      <c r="A133" s="1" t="s">
        <v>132</v>
      </c>
      <c r="B133" t="str">
        <f t="shared" si="20"/>
        <v>¬</v>
      </c>
      <c r="D133" s="19"/>
      <c r="E133" s="15" t="s">
        <v>95</v>
      </c>
      <c r="F133" s="3"/>
      <c r="G133" s="19"/>
      <c r="H133" s="19"/>
      <c r="I133" s="19"/>
      <c r="L133" s="4"/>
      <c r="M133" s="4"/>
      <c r="N133" s="4"/>
      <c r="O133" s="61">
        <f>N133</f>
        <v>0</v>
      </c>
      <c r="P133" s="60">
        <f>MIN(SUM(L133,M133,O133),R133)</f>
        <v>0</v>
      </c>
      <c r="Q133" s="61">
        <f>_xlfn.IFNA(VLOOKUP($E133,tblDomain[],3,FALSE),"")</f>
        <v>1</v>
      </c>
      <c r="R133" s="61">
        <f>_xlfn.IFNA(VLOOKUP($E133,tblDomain[],4,FALSE),"")</f>
        <v>5</v>
      </c>
    </row>
    <row r="134" spans="1:32">
      <c r="A134" s="1" t="s">
        <v>133</v>
      </c>
      <c r="B134" t="str">
        <f t="shared" si="20"/>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2">_xlfn.LET(_xlpm.name,VLOOKUP(Y134,$E$2:$F$362,2,FALSE),_xlpm.note,VLOOKUP(Y134,$E$2:$G$362,3,FALSE),_xlpm.row,MATCH(Y134,$E$138:$E$157,0),_xlpm.dots,INDEX($P$138:$P$157,_xlpm.row),_xlpm.max,INDEX($Q$138:$Q$157,_xlpm.row),_xlpm.paid,_xlfn.IFNA(_xlpm.dots&gt;=_xlpm.max,FALSE),IF(AND(_xlpm.name&lt;&gt;"",_xlpm.paid),IF(_xlpm.note="",_xlpm.name,_xlpm.name&amp;" ("&amp;_xlpm.note&amp;")"),""))</f>
        <v>Allies (Media)</v>
      </c>
      <c r="AC134" s="60" t="str" cm="1">
        <f t="array" ref="AC134:AC137">_xlfn.LET(_xlpm.raw,IFERROR(_xlfn.VSTACK(IFERROR(_xlfn._xlws.SORT(_xlfn._xlws.FILTER(AA134:AA211,AA134:AA211&lt;&gt;"")),""),IFERROR(_xlfn._xlws.SORT(_xlfn._xlws.FILTER(AA213:AA222,AA213:AA222&lt;&gt;"")),"")),""),_xlpm.sorted,IFERROR(_xlfn._xlws.FILTER(_xlpm.raw,_xlpm.raw&lt;&gt;""),""),IFERROR(LEFT(_xlpm.sorted,FIND(" (",_xlpm.sorted)-1),_xlpm.sorted))</f>
        <v>Allies</v>
      </c>
      <c r="AD134" s="20" t="str" cm="1">
        <f t="array" ref="AD134:AD137">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High Society</v>
      </c>
      <c r="AE134" s="20">
        <f t="shared" ref="AE134:AE153" si="23">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1</v>
      </c>
      <c r="AF134" s="61" cm="1">
        <f t="array" ref="AF134">IF(AC134="","",SUMPRODUCT(($F$138:$F$157=AC134)*($G$138:$G$157=IF(AD134="","",AD134))*$P$138:$P$157))</f>
        <v>3</v>
      </c>
    </row>
    <row r="135" spans="1:32">
      <c r="A135" s="1" t="s">
        <v>134</v>
      </c>
      <c r="B135" t="str">
        <f t="shared" si="20"/>
        <v>¬</v>
      </c>
      <c r="D135" s="61" t="s">
        <v>1575</v>
      </c>
      <c r="E135" s="15" t="s">
        <v>97</v>
      </c>
      <c r="F135" s="19"/>
      <c r="G135" s="19"/>
      <c r="H135" s="19"/>
      <c r="I135" s="19"/>
      <c r="L135" s="4"/>
      <c r="M135" s="4">
        <v>5</v>
      </c>
      <c r="N135" s="4"/>
      <c r="O135" s="61">
        <f>N135</f>
        <v>0</v>
      </c>
      <c r="P135" s="60">
        <f>MIN(SUM(L135,M135,O135),R135)</f>
        <v>5</v>
      </c>
      <c r="Q135" s="61">
        <f>_xlfn.IFNA(VLOOKUP($E135,tblDomain[],3,FALSE),"")</f>
        <v>1</v>
      </c>
      <c r="R135" s="61">
        <f>_xlfn.IFNA(VLOOKUP($E135,tblDomain[],4,FALSE),"")</f>
        <v>5</v>
      </c>
      <c r="Y135" s="15" t="s">
        <v>177</v>
      </c>
      <c r="Z135" s="19"/>
      <c r="AA135" s="61" t="str">
        <f t="shared" si="22"/>
        <v>Allies (Occult)</v>
      </c>
      <c r="AC135" s="60" t="str">
        <v>Allies</v>
      </c>
      <c r="AD135" s="20" t="str">
        <v>Media</v>
      </c>
      <c r="AE135" s="20">
        <f t="shared" si="23"/>
        <v>1</v>
      </c>
      <c r="AF135" s="61" cm="1">
        <f t="array" ref="AF135">IF(AC135="","",SUMPRODUCT(($F$138:$F$157=AC135)*($G$138:$G$157=IF(AD135="","",AD135))*$P$138:$P$157))</f>
        <v>3</v>
      </c>
    </row>
    <row r="136" spans="1:32">
      <c r="A136" s="1" t="s">
        <v>135</v>
      </c>
      <c r="B136" t="str">
        <f t="shared" si="20"/>
        <v>¬</v>
      </c>
      <c r="Y136" s="15" t="s">
        <v>178</v>
      </c>
      <c r="Z136" s="19"/>
      <c r="AA136" s="61" t="str">
        <f t="shared" si="22"/>
        <v>Allies (High Society)</v>
      </c>
      <c r="AC136" s="60" t="str">
        <v>Allies</v>
      </c>
      <c r="AD136" s="20" t="str">
        <v>Occult</v>
      </c>
      <c r="AE136" s="20">
        <f t="shared" si="23"/>
        <v>1</v>
      </c>
      <c r="AF136" s="61" cm="1">
        <f t="array" ref="AF136">IF(AC136="","",SUMPRODUCT(($F$138:$F$157=AC136)*($G$138:$G$157=IF(AD136="","",AD136))*$P$138:$P$157))</f>
        <v>3</v>
      </c>
    </row>
    <row r="137" spans="1:32">
      <c r="A137" s="1" t="s">
        <v>136</v>
      </c>
      <c r="B137" t="str">
        <f t="shared" si="20"/>
        <v>¬</v>
      </c>
      <c r="D137" s="16" t="s">
        <v>174</v>
      </c>
      <c r="E137" s="17"/>
      <c r="F137" s="17"/>
      <c r="G137" s="17"/>
      <c r="H137" s="61">
        <f>L225</f>
        <v>0</v>
      </c>
      <c r="I137" s="61">
        <f>SUM(AE134:AE155)+SUM(P125:P129)</f>
        <v>10</v>
      </c>
      <c r="Y137" s="15" t="s">
        <v>179</v>
      </c>
      <c r="Z137" s="19"/>
      <c r="AA137" s="61" t="str">
        <f t="shared" si="22"/>
        <v>Allies (Police)</v>
      </c>
      <c r="AC137" s="60" t="str">
        <v>Allies</v>
      </c>
      <c r="AD137" s="20" t="str">
        <v>Police</v>
      </c>
      <c r="AE137" s="20">
        <f t="shared" si="23"/>
        <v>1</v>
      </c>
      <c r="AF137" s="61" cm="1">
        <f t="array" ref="AF137">IF(AC137="","",SUMPRODUCT(($F$138:$F$157=AC137)*($G$138:$G$157=IF(AD137="","",AD137))*$P$138:$P$157))</f>
        <v>3</v>
      </c>
    </row>
    <row r="138" spans="1:32">
      <c r="A138" s="1" t="s">
        <v>137</v>
      </c>
      <c r="B138" t="str">
        <f t="shared" si="20"/>
        <v>¬</v>
      </c>
      <c r="D138" s="61" t="s">
        <v>1747</v>
      </c>
      <c r="E138" s="15" t="s">
        <v>176</v>
      </c>
      <c r="F138" s="3" t="s">
        <v>412</v>
      </c>
      <c r="G138" s="3" t="s">
        <v>527</v>
      </c>
      <c r="H138" s="67" t="str">
        <f>IFERROR(IF(VLOOKUP(F138,tblManoeuvre[],8,FALSE)=0,"None",VLOOKUP(F138,tblManoeuvre[],8,FALSE)),"None")</f>
        <v>None</v>
      </c>
      <c r="I138" s="67"/>
      <c r="L138" s="4"/>
      <c r="M138" s="4">
        <v>3</v>
      </c>
      <c r="N138" s="4"/>
      <c r="O138" s="61">
        <f t="shared" ref="O138:O157" si="24">N138</f>
        <v>0</v>
      </c>
      <c r="P138" s="60">
        <f t="shared" ref="P138:P157" si="25">MIN(SUM(L138,M138,O138),R138)</f>
        <v>3</v>
      </c>
      <c r="Q138" s="61">
        <f>_xlfn.IFNA(VLOOKUP($F138,tblInfluence[],3,FALSE),"")</f>
        <v>1</v>
      </c>
      <c r="R138" s="61">
        <f>_xlfn.IFNA(VLOOKUP($F138,tblInfluence[],4,FALSE),"")</f>
        <v>5</v>
      </c>
      <c r="Y138" s="15" t="s">
        <v>180</v>
      </c>
      <c r="Z138" s="19"/>
      <c r="AA138" s="61" t="str">
        <f t="shared" si="22"/>
        <v/>
      </c>
      <c r="AC138" s="60"/>
      <c r="AD138" s="20"/>
      <c r="AE138" s="20" t="str">
        <f t="shared" si="23"/>
        <v/>
      </c>
      <c r="AF138" s="61" t="str" cm="1">
        <f t="array" ref="AF138">IF(AC138="","",SUMPRODUCT(($F$138:$F$157=AC138)*($G$138:$G$157=IF(AD138="","",AD138))*$P$138:$P$157))</f>
        <v/>
      </c>
    </row>
    <row r="139" spans="1:32">
      <c r="A139" s="1" t="s">
        <v>138</v>
      </c>
      <c r="B139" t="str">
        <f t="shared" si="20"/>
        <v>¬</v>
      </c>
      <c r="D139" s="61" t="s">
        <v>1579</v>
      </c>
      <c r="E139" s="15" t="s">
        <v>177</v>
      </c>
      <c r="F139" s="3" t="s">
        <v>412</v>
      </c>
      <c r="G139" s="3" t="s">
        <v>30</v>
      </c>
      <c r="H139" s="67" t="str">
        <f>IFERROR(IF(VLOOKUP(F139,tblManoeuvre[],8,FALSE)=0,"None",VLOOKUP(F139,tblManoeuvre[],8,FALSE)),"None")</f>
        <v>None</v>
      </c>
      <c r="I139" s="67"/>
      <c r="L139" s="4"/>
      <c r="M139" s="4">
        <v>3</v>
      </c>
      <c r="N139" s="4"/>
      <c r="O139" s="61">
        <f t="shared" si="24"/>
        <v>0</v>
      </c>
      <c r="P139" s="60">
        <f t="shared" si="25"/>
        <v>3</v>
      </c>
      <c r="Q139" s="61">
        <f>_xlfn.IFNA(VLOOKUP($F139,tblInfluence[],3,FALSE),"")</f>
        <v>1</v>
      </c>
      <c r="R139" s="61">
        <f>_xlfn.IFNA(VLOOKUP($F139,tblInfluence[],4,FALSE),"")</f>
        <v>5</v>
      </c>
      <c r="Y139" s="15" t="s">
        <v>181</v>
      </c>
      <c r="Z139" s="19"/>
      <c r="AA139" s="61" t="str">
        <f t="shared" si="22"/>
        <v/>
      </c>
      <c r="AC139" s="60"/>
      <c r="AD139" s="20"/>
      <c r="AE139" s="20" t="str">
        <f t="shared" si="23"/>
        <v/>
      </c>
      <c r="AF139" s="61" t="str" cm="1">
        <f t="array" ref="AF139">IF(AC139="","",SUMPRODUCT(($F$138:$F$157=AC139)*($G$138:$G$157=IF(AD139="","",AD139))*$P$138:$P$157))</f>
        <v/>
      </c>
    </row>
    <row r="140" spans="1:32">
      <c r="A140" s="1" t="s">
        <v>139</v>
      </c>
      <c r="B140" t="str">
        <f t="shared" si="20"/>
        <v>¬</v>
      </c>
      <c r="D140" s="19"/>
      <c r="E140" s="15" t="s">
        <v>178</v>
      </c>
      <c r="F140" s="3" t="s">
        <v>412</v>
      </c>
      <c r="G140" s="3" t="s">
        <v>526</v>
      </c>
      <c r="H140" s="67" t="str">
        <f>IFERROR(IF(VLOOKUP(F140,tblManoeuvre[],8,FALSE)=0,"None",VLOOKUP(F140,tblManoeuvre[],8,FALSE)),"None")</f>
        <v>None</v>
      </c>
      <c r="I140" s="67"/>
      <c r="L140" s="4"/>
      <c r="M140" s="4"/>
      <c r="N140" s="4">
        <v>3</v>
      </c>
      <c r="O140" s="61">
        <f t="shared" si="24"/>
        <v>3</v>
      </c>
      <c r="P140" s="60">
        <f t="shared" si="25"/>
        <v>3</v>
      </c>
      <c r="Q140" s="61">
        <f>_xlfn.IFNA(VLOOKUP($F140,tblInfluence[],3,FALSE),"")</f>
        <v>1</v>
      </c>
      <c r="R140" s="61">
        <f>_xlfn.IFNA(VLOOKUP($F140,tblInfluence[],4,FALSE),"")</f>
        <v>5</v>
      </c>
      <c r="Y140" s="15" t="s">
        <v>182</v>
      </c>
      <c r="Z140" s="19"/>
      <c r="AA140" s="61" t="str">
        <f t="shared" si="22"/>
        <v/>
      </c>
      <c r="AC140" s="60"/>
      <c r="AD140" s="20"/>
      <c r="AE140" s="20" t="str">
        <f t="shared" si="23"/>
        <v/>
      </c>
      <c r="AF140" s="61" t="str" cm="1">
        <f t="array" ref="AF140">IF(AC140="","",SUMPRODUCT(($F$138:$F$157=AC140)*($G$138:$G$157=IF(AD140="","",AD140))*$P$138:$P$157))</f>
        <v/>
      </c>
    </row>
    <row r="141" spans="1:32">
      <c r="A141" s="1" t="s">
        <v>140</v>
      </c>
      <c r="B141" t="str">
        <f t="shared" si="20"/>
        <v>¬</v>
      </c>
      <c r="D141" s="61" t="s">
        <v>1579</v>
      </c>
      <c r="E141" s="15" t="s">
        <v>179</v>
      </c>
      <c r="F141" s="3" t="s">
        <v>412</v>
      </c>
      <c r="G141" s="3" t="s">
        <v>528</v>
      </c>
      <c r="H141" s="67" t="str">
        <f>IFERROR(IF(VLOOKUP(F141,tblManoeuvre[],8,FALSE)=0,"None",VLOOKUP(F141,tblManoeuvre[],8,FALSE)),"None")</f>
        <v>None</v>
      </c>
      <c r="I141" s="67"/>
      <c r="L141" s="4"/>
      <c r="M141" s="4">
        <v>3</v>
      </c>
      <c r="N141" s="4"/>
      <c r="O141" s="61">
        <f t="shared" si="24"/>
        <v>0</v>
      </c>
      <c r="P141" s="60">
        <f t="shared" si="25"/>
        <v>3</v>
      </c>
      <c r="Q141" s="61">
        <f>_xlfn.IFNA(VLOOKUP($F141,tblInfluence[],3,FALSE),"")</f>
        <v>1</v>
      </c>
      <c r="R141" s="61">
        <f>_xlfn.IFNA(VLOOKUP($F141,tblInfluence[],4,FALSE),"")</f>
        <v>5</v>
      </c>
      <c r="Y141" s="15" t="s">
        <v>183</v>
      </c>
      <c r="Z141" s="19"/>
      <c r="AA141" s="61" t="str">
        <f t="shared" si="22"/>
        <v/>
      </c>
      <c r="AC141" s="60"/>
      <c r="AD141" s="20"/>
      <c r="AE141" s="20" t="str">
        <f t="shared" si="23"/>
        <v/>
      </c>
      <c r="AF141" s="61" t="str" cm="1">
        <f t="array" ref="AF141">IF(AC141="","",SUMPRODUCT(($F$138:$F$157=AC141)*($G$138:$G$157=IF(AD141="","",AD141))*$P$138:$P$157))</f>
        <v/>
      </c>
    </row>
    <row r="142" spans="1:32">
      <c r="A142" s="1" t="s">
        <v>141</v>
      </c>
      <c r="B142" t="str">
        <f t="shared" si="20"/>
        <v>¬</v>
      </c>
      <c r="D142" s="19"/>
      <c r="E142" s="15" t="s">
        <v>180</v>
      </c>
      <c r="F142" s="3"/>
      <c r="G142" s="3"/>
      <c r="H142" s="67" t="str">
        <f>IFERROR(IF(VLOOKUP(F142,tblManoeuvre[],8,FALSE)=0,"None",VLOOKUP(F142,tblManoeuvre[],8,FALSE)),"None")</f>
        <v>None</v>
      </c>
      <c r="I142" s="67"/>
      <c r="L142" s="4"/>
      <c r="M142" s="4"/>
      <c r="N142" s="4"/>
      <c r="O142" s="61">
        <f t="shared" si="24"/>
        <v>0</v>
      </c>
      <c r="P142" s="60">
        <f t="shared" si="25"/>
        <v>0</v>
      </c>
      <c r="Q142" s="61" t="str">
        <f>_xlfn.IFNA(VLOOKUP($F142,tblInfluence[],3,FALSE),"")</f>
        <v/>
      </c>
      <c r="R142" s="61" t="str">
        <f>_xlfn.IFNA(VLOOKUP($F142,tblInfluence[],4,FALSE),"")</f>
        <v/>
      </c>
      <c r="Y142" s="15" t="s">
        <v>184</v>
      </c>
      <c r="Z142" s="19"/>
      <c r="AA142" s="61" t="str">
        <f t="shared" si="22"/>
        <v/>
      </c>
      <c r="AC142" s="60"/>
      <c r="AD142" s="20"/>
      <c r="AE142" s="20" t="str">
        <f t="shared" si="23"/>
        <v/>
      </c>
      <c r="AF142" s="61" t="str" cm="1">
        <f t="array" ref="AF142">IF(AC142="","",SUMPRODUCT(($F$138:$F$157=AC142)*($G$138:$G$157=IF(AD142="","",AD142))*$P$138:$P$157))</f>
        <v/>
      </c>
    </row>
    <row r="143" spans="1:32">
      <c r="A143" s="1" t="s">
        <v>142</v>
      </c>
      <c r="B143" t="str">
        <f t="shared" si="20"/>
        <v>¬</v>
      </c>
      <c r="D143" s="19"/>
      <c r="E143" s="15" t="s">
        <v>181</v>
      </c>
      <c r="F143" s="3"/>
      <c r="G143" s="3" t="str">
        <f>IFERROR(VLOOKUP(F143,tblManoeuvre[],2,FALSE)&amp;" "&amp;VLOOKUP(F143,tblManoeuvre[],3,FALSE),"")</f>
        <v/>
      </c>
      <c r="H143" s="67" t="str">
        <f>IFERROR(IF(VLOOKUP(F143,tblManoeuvre[],8,FALSE)=0,"None",VLOOKUP(F143,tblManoeuvre[],8,FALSE)),"None")</f>
        <v>None</v>
      </c>
      <c r="I143" s="67"/>
      <c r="L143" s="4"/>
      <c r="M143" s="4"/>
      <c r="N143" s="4"/>
      <c r="O143" s="61">
        <f t="shared" si="24"/>
        <v>0</v>
      </c>
      <c r="P143" s="60">
        <f t="shared" si="25"/>
        <v>0</v>
      </c>
      <c r="Q143" s="61" t="str">
        <f>_xlfn.IFNA(VLOOKUP($F143,tblInfluence[],3,FALSE),"")</f>
        <v/>
      </c>
      <c r="R143" s="61" t="str">
        <f>_xlfn.IFNA(VLOOKUP($F143,tblInfluence[],4,FALSE),"")</f>
        <v/>
      </c>
      <c r="Y143" s="15" t="s">
        <v>185</v>
      </c>
      <c r="Z143" s="19"/>
      <c r="AA143" s="61" t="str">
        <f t="shared" si="22"/>
        <v/>
      </c>
      <c r="AC143" s="60"/>
      <c r="AD143" s="20"/>
      <c r="AE143" s="20" t="str">
        <f t="shared" si="23"/>
        <v/>
      </c>
      <c r="AF143" s="61" t="str" cm="1">
        <f t="array" ref="AF143">IF(AC143="","",SUMPRODUCT(($F$138:$F$157=AC143)*($G$138:$G$157=IF(AD143="","",AD143))*$P$138:$P$157))</f>
        <v/>
      </c>
    </row>
    <row r="144" spans="1:32">
      <c r="A144" s="1" t="s">
        <v>143</v>
      </c>
      <c r="B144" t="str">
        <f t="shared" si="20"/>
        <v>¬</v>
      </c>
      <c r="D144" s="19"/>
      <c r="E144" s="15" t="s">
        <v>182</v>
      </c>
      <c r="F144" s="3"/>
      <c r="G144" s="3"/>
      <c r="H144" s="67" t="str">
        <f>IFERROR(IF(VLOOKUP(F144,tblManoeuvre[],8,FALSE)=0,"None",VLOOKUP(F144,tblManoeuvre[],8,FALSE)),"None")</f>
        <v>None</v>
      </c>
      <c r="I144" s="67"/>
      <c r="L144" s="4"/>
      <c r="M144" s="4"/>
      <c r="N144" s="4"/>
      <c r="O144" s="61">
        <f t="shared" si="24"/>
        <v>0</v>
      </c>
      <c r="P144" s="60">
        <f t="shared" si="25"/>
        <v>0</v>
      </c>
      <c r="Q144" s="61" t="str">
        <f>_xlfn.IFNA(VLOOKUP($F144,tblInfluence[],3,FALSE),"")</f>
        <v/>
      </c>
      <c r="R144" s="61" t="str">
        <f>_xlfn.IFNA(VLOOKUP($F144,tblInfluence[],4,FALSE),"")</f>
        <v/>
      </c>
      <c r="Y144" s="15" t="s">
        <v>186</v>
      </c>
      <c r="Z144" s="19"/>
      <c r="AA144" s="61" t="str">
        <f t="shared" si="22"/>
        <v/>
      </c>
      <c r="AC144" s="60"/>
      <c r="AD144" s="20"/>
      <c r="AE144" s="20" t="str">
        <f t="shared" si="23"/>
        <v/>
      </c>
      <c r="AF144" s="61" t="str" cm="1">
        <f t="array" ref="AF144">IF(AC144="","",SUMPRODUCT(($F$138:$F$157=AC144)*($G$138:$G$157=IF(AD144="","",AD144))*$P$138:$P$157))</f>
        <v/>
      </c>
    </row>
    <row r="145" spans="1:32">
      <c r="A145" s="1" t="s">
        <v>144</v>
      </c>
      <c r="B145" t="str">
        <f t="shared" ref="B145:B174" si="26">IF(AF2="","¬",AF2)</f>
        <v>Roll Intelligence + Composure to identify evidence of supernatural involvement.</v>
      </c>
      <c r="D145" s="19"/>
      <c r="E145" s="15" t="s">
        <v>183</v>
      </c>
      <c r="F145" s="3"/>
      <c r="G145" s="3" t="str">
        <f>IFERROR(VLOOKUP(F145,tblManoeuvre[],2,FALSE)&amp;" "&amp;VLOOKUP(F145,tblManoeuvre[],3,FALSE),"")</f>
        <v/>
      </c>
      <c r="H145" s="67" t="str">
        <f>IFERROR(IF(VLOOKUP(F145,tblManoeuvre[],8,FALSE)=0,"None",VLOOKUP(F145,tblManoeuvre[],8,FALSE)),"None")</f>
        <v>None</v>
      </c>
      <c r="I145" s="67"/>
      <c r="L145" s="4"/>
      <c r="M145" s="4"/>
      <c r="N145" s="4"/>
      <c r="O145" s="61">
        <f t="shared" si="24"/>
        <v>0</v>
      </c>
      <c r="P145" s="60">
        <f t="shared" si="25"/>
        <v>0</v>
      </c>
      <c r="Q145" s="61" t="str">
        <f>_xlfn.IFNA(VLOOKUP($F145,tblInfluence[],3,FALSE),"")</f>
        <v/>
      </c>
      <c r="R145" s="61" t="str">
        <f>_xlfn.IFNA(VLOOKUP($F145,tblInfluence[],4,FALSE),"")</f>
        <v/>
      </c>
      <c r="Y145" s="15" t="s">
        <v>187</v>
      </c>
      <c r="Z145" s="19"/>
      <c r="AA145" s="61" t="str">
        <f t="shared" si="22"/>
        <v/>
      </c>
      <c r="AC145" s="60"/>
      <c r="AD145" s="20"/>
      <c r="AE145" s="20" t="str">
        <f t="shared" si="23"/>
        <v/>
      </c>
      <c r="AF145" s="61" t="str" cm="1">
        <f t="array" ref="AF145">IF(AC145="","",SUMPRODUCT(($F$138:$F$157=AC145)*($G$138:$G$157=IF(AD145="","",AD145))*$P$138:$P$157))</f>
        <v/>
      </c>
    </row>
    <row r="146" spans="1:32">
      <c r="A146" s="1" t="s">
        <v>145</v>
      </c>
      <c r="B146" t="str">
        <f t="shared" si="26"/>
        <v>+2 to contest or resist supernatural mental influence.</v>
      </c>
      <c r="D146" s="19"/>
      <c r="E146" s="15" t="s">
        <v>184</v>
      </c>
      <c r="F146" s="3"/>
      <c r="G146" s="3" t="str">
        <f>IFERROR(VLOOKUP(F146,tblManoeuvre[],2,FALSE)&amp;" "&amp;VLOOKUP(F146,tblManoeuvre[],3,FALSE),"")</f>
        <v/>
      </c>
      <c r="H146" s="67" t="str">
        <f>IFERROR(IF(VLOOKUP(F146,tblManoeuvre[],8,FALSE)=0,"None",VLOOKUP(F146,tblManoeuvre[],8,FALSE)),"None")</f>
        <v>None</v>
      </c>
      <c r="I146" s="67"/>
      <c r="L146" s="4"/>
      <c r="M146" s="4"/>
      <c r="N146" s="4"/>
      <c r="O146" s="61">
        <f t="shared" si="24"/>
        <v>0</v>
      </c>
      <c r="P146" s="60">
        <f t="shared" si="25"/>
        <v>0</v>
      </c>
      <c r="Q146" s="61" t="str">
        <f>_xlfn.IFNA(VLOOKUP($F146,tblInfluence[],3,FALSE),"")</f>
        <v/>
      </c>
      <c r="R146" s="61" t="str">
        <f>_xlfn.IFNA(VLOOKUP($F146,tblInfluence[],4,FALSE),"")</f>
        <v/>
      </c>
      <c r="Y146" s="15" t="s">
        <v>188</v>
      </c>
      <c r="Z146" s="19"/>
      <c r="AA146" s="61" t="str">
        <f t="shared" si="22"/>
        <v/>
      </c>
      <c r="AC146" s="60"/>
      <c r="AD146" s="20"/>
      <c r="AE146" s="20" t="str">
        <f t="shared" si="23"/>
        <v/>
      </c>
      <c r="AF146" s="61" t="str" cm="1">
        <f t="array" ref="AF146">IF(AC146="","",SUMPRODUCT(($F$138:$F$157=AC146)*($G$138:$G$157=IF(AD146="","",AD146))*$P$138:$P$157))</f>
        <v/>
      </c>
    </row>
    <row r="147" spans="1:32">
      <c r="A147" s="1" t="s">
        <v>146</v>
      </c>
      <c r="B147" t="str">
        <f t="shared" si="26"/>
        <v>Remote Crúac into Safe Place. Add dots to Crúac rolls in garden. Sustain Merit dots in rituals indefinitely (don't count toward Sorcery Tolerance); reduce base cost of Merit dots in rituals by rating. Feed dots in Vitae monthly; produces double in animal blood (costume at game). Attacks provoke frenzy. Can share but not increase yields.</v>
      </c>
      <c r="D147" s="19"/>
      <c r="E147" s="15" t="s">
        <v>185</v>
      </c>
      <c r="F147" s="3"/>
      <c r="G147" s="3" t="str">
        <f>IFERROR(VLOOKUP(F147,tblManoeuvre[],2,FALSE)&amp;" "&amp;VLOOKUP(F147,tblManoeuvre[],3,FALSE),"")</f>
        <v/>
      </c>
      <c r="H147" s="67" t="str">
        <f>IFERROR(IF(VLOOKUP(F147,tblManoeuvre[],8,FALSE)=0,"None",VLOOKUP(F147,tblManoeuvre[],8,FALSE)),"None")</f>
        <v>None</v>
      </c>
      <c r="I147" s="67"/>
      <c r="L147" s="4"/>
      <c r="M147" s="4"/>
      <c r="N147" s="4"/>
      <c r="O147" s="61">
        <f t="shared" si="24"/>
        <v>0</v>
      </c>
      <c r="P147" s="60">
        <f t="shared" si="25"/>
        <v>0</v>
      </c>
      <c r="Q147" s="61" t="str">
        <f>_xlfn.IFNA(VLOOKUP($F147,tblInfluence[],3,FALSE),"")</f>
        <v/>
      </c>
      <c r="R147" s="61" t="str">
        <f>_xlfn.IFNA(VLOOKUP($F147,tblInfluence[],4,FALSE),"")</f>
        <v/>
      </c>
      <c r="Y147" s="15" t="s">
        <v>189</v>
      </c>
      <c r="Z147" s="19"/>
      <c r="AA147" s="61" t="str">
        <f t="shared" si="22"/>
        <v/>
      </c>
      <c r="AC147" s="60"/>
      <c r="AD147" s="20"/>
      <c r="AE147" s="20" t="str">
        <f t="shared" si="23"/>
        <v/>
      </c>
      <c r="AF147" s="61" t="str" cm="1">
        <f t="array" ref="AF147">IF(AC147="","",SUMPRODUCT(($F$138:$F$157=AC147)*($G$138:$G$157=IF(AD147="","",AD147))*$P$138:$P$157))</f>
        <v/>
      </c>
    </row>
    <row r="148" spans="1:32">
      <c r="A148" s="1" t="s">
        <v>147</v>
      </c>
      <c r="B148" t="str">
        <f t="shared" si="26"/>
        <v>Dots in Status or Mystery Cult Initiation representing human secret societies also count as dots of Herd.</v>
      </c>
      <c r="D148" s="19"/>
      <c r="E148" s="15" t="s">
        <v>186</v>
      </c>
      <c r="F148" s="3"/>
      <c r="G148" s="3" t="str">
        <f>IFERROR(VLOOKUP(F148,tblManoeuvre[],2,FALSE)&amp;" "&amp;VLOOKUP(F148,tblManoeuvre[],3,FALSE),"")</f>
        <v/>
      </c>
      <c r="H148" s="67" t="str">
        <f>IFERROR(IF(VLOOKUP(F148,tblManoeuvre[],8,FALSE)=0,"None",VLOOKUP(F148,tblManoeuvre[],8,FALSE)),"None")</f>
        <v>None</v>
      </c>
      <c r="I148" s="67"/>
      <c r="L148" s="4"/>
      <c r="M148" s="4"/>
      <c r="N148" s="4"/>
      <c r="O148" s="61">
        <f t="shared" si="24"/>
        <v>0</v>
      </c>
      <c r="P148" s="60">
        <f t="shared" si="25"/>
        <v>0</v>
      </c>
      <c r="Q148" s="61" t="str">
        <f>_xlfn.IFNA(VLOOKUP($F148,tblInfluence[],3,FALSE),"")</f>
        <v/>
      </c>
      <c r="R148" s="61" t="str">
        <f>_xlfn.IFNA(VLOOKUP($F148,tblInfluence[],4,FALSE),"")</f>
        <v/>
      </c>
      <c r="Y148" s="15" t="s">
        <v>190</v>
      </c>
      <c r="Z148" s="19"/>
      <c r="AA148" s="61" t="str">
        <f t="shared" si="22"/>
        <v/>
      </c>
      <c r="AC148" s="60"/>
      <c r="AD148" s="20"/>
      <c r="AE148" s="20" t="str">
        <f t="shared" si="23"/>
        <v/>
      </c>
      <c r="AF148" s="61" t="str" cm="1">
        <f t="array" ref="AF148">IF(AC148="","",SUMPRODUCT(($F$138:$F$157=AC148)*($G$138:$G$157=IF(AD148="","",AD148))*$P$138:$P$157))</f>
        <v/>
      </c>
    </row>
    <row r="149" spans="1:32">
      <c r="A149" s="1" t="s">
        <v>148</v>
      </c>
      <c r="B149" t="str">
        <f t="shared" si="26"/>
        <v>Take 9-Again, or 8-Again with three dots, on Perception rolls.</v>
      </c>
      <c r="D149" s="19"/>
      <c r="E149" s="15" t="s">
        <v>187</v>
      </c>
      <c r="F149" s="3"/>
      <c r="G149" s="3" t="str">
        <f>IFERROR(VLOOKUP(F149,tblManoeuvre[],2,FALSE)&amp;" "&amp;VLOOKUP(F149,tblManoeuvre[],3,FALSE),"")</f>
        <v/>
      </c>
      <c r="H149" s="67" t="str">
        <f>IFERROR(IF(VLOOKUP(F149,tblManoeuvre[],8,FALSE)=0,"None",VLOOKUP(F149,tblManoeuvre[],8,FALSE)),"None")</f>
        <v>None</v>
      </c>
      <c r="I149" s="67"/>
      <c r="L149" s="4"/>
      <c r="M149" s="4"/>
      <c r="N149" s="4"/>
      <c r="O149" s="61">
        <f t="shared" si="24"/>
        <v>0</v>
      </c>
      <c r="P149" s="60">
        <f t="shared" si="25"/>
        <v>0</v>
      </c>
      <c r="Q149" s="61" t="str">
        <f>_xlfn.IFNA(VLOOKUP($F149,tblInfluence[],3,FALSE),"")</f>
        <v/>
      </c>
      <c r="R149" s="61" t="str">
        <f>_xlfn.IFNA(VLOOKUP($F149,tblInfluence[],4,FALSE),"")</f>
        <v/>
      </c>
      <c r="Y149" s="15" t="s">
        <v>191</v>
      </c>
      <c r="Z149" s="19"/>
      <c r="AA149" s="61" t="str">
        <f t="shared" si="22"/>
        <v/>
      </c>
      <c r="AC149" s="60"/>
      <c r="AD149" s="20"/>
      <c r="AE149" s="20" t="str">
        <f t="shared" si="23"/>
        <v/>
      </c>
      <c r="AF149" s="61" t="str" cm="1">
        <f t="array" ref="AF149">IF(AC149="","",SUMPRODUCT(($F$138:$F$157=AC149)*($G$138:$G$157=IF(AD149="","",AD149))*$P$138:$P$157))</f>
        <v/>
      </c>
    </row>
    <row r="150" spans="1:32">
      <c r="A150" s="1" t="s">
        <v>149</v>
      </c>
      <c r="B150" t="str">
        <f t="shared" si="26"/>
        <v>Presence + Expression vs Wits + Composure to inflict contagious awe. Allies and Herd double their yield.</v>
      </c>
      <c r="D150" s="19"/>
      <c r="E150" s="15" t="s">
        <v>188</v>
      </c>
      <c r="F150" s="3"/>
      <c r="G150" s="3" t="str">
        <f>IFERROR(VLOOKUP(F150,tblManoeuvre[],2,FALSE)&amp;" "&amp;VLOOKUP(F150,tblManoeuvre[],3,FALSE),"")</f>
        <v/>
      </c>
      <c r="H150" s="67" t="str">
        <f>IFERROR(IF(VLOOKUP(F150,tblManoeuvre[],8,FALSE)=0,"None",VLOOKUP(F150,tblManoeuvre[],8,FALSE)),"None")</f>
        <v>None</v>
      </c>
      <c r="I150" s="67"/>
      <c r="L150" s="4"/>
      <c r="M150" s="4"/>
      <c r="N150" s="4"/>
      <c r="O150" s="61">
        <f t="shared" si="24"/>
        <v>0</v>
      </c>
      <c r="P150" s="60">
        <f t="shared" si="25"/>
        <v>0</v>
      </c>
      <c r="Q150" s="61" t="str">
        <f>_xlfn.IFNA(VLOOKUP($F150,tblInfluence[],3,FALSE),"")</f>
        <v/>
      </c>
      <c r="R150" s="61" t="str">
        <f>_xlfn.IFNA(VLOOKUP($F150,tblInfluence[],4,FALSE),"")</f>
        <v/>
      </c>
      <c r="Y150" s="15" t="s">
        <v>192</v>
      </c>
      <c r="Z150" s="19"/>
      <c r="AA150" s="61" t="str">
        <f t="shared" si="22"/>
        <v/>
      </c>
      <c r="AC150" s="60"/>
      <c r="AD150" s="20"/>
      <c r="AE150" s="20" t="str">
        <f t="shared" si="23"/>
        <v/>
      </c>
      <c r="AF150" s="61" t="str" cm="1">
        <f t="array" ref="AF150">IF(AC150="","",SUMPRODUCT(($F$138:$F$157=AC150)*($G$138:$G$157=IF(AD150="","",AD150))*$P$138:$P$157))</f>
        <v/>
      </c>
    </row>
    <row r="151" spans="1:32">
      <c r="A151" s="1" t="s">
        <v>150</v>
      </c>
      <c r="B151" t="str">
        <f t="shared" si="26"/>
        <v>You can read the Cacophony with Intelligence + Streetwise. Within a vampire's Feeding Grounds, add their (not your) dots in that Merit as bonus dice.</v>
      </c>
      <c r="D151" s="19"/>
      <c r="E151" s="15" t="s">
        <v>189</v>
      </c>
      <c r="F151" s="3"/>
      <c r="G151" s="3" t="str">
        <f>IFERROR(VLOOKUP(F151,tblManoeuvre[],2,FALSE)&amp;" "&amp;VLOOKUP(F151,tblManoeuvre[],3,FALSE),"")</f>
        <v/>
      </c>
      <c r="H151" s="67" t="str">
        <f>IFERROR(IF(VLOOKUP(F151,tblManoeuvre[],8,FALSE)=0,"None",VLOOKUP(F151,tblManoeuvre[],8,FALSE)),"None")</f>
        <v>None</v>
      </c>
      <c r="I151" s="67"/>
      <c r="L151" s="4"/>
      <c r="M151" s="4"/>
      <c r="N151" s="4"/>
      <c r="O151" s="61">
        <f t="shared" si="24"/>
        <v>0</v>
      </c>
      <c r="P151" s="60">
        <f t="shared" si="25"/>
        <v>0</v>
      </c>
      <c r="Q151" s="61" t="str">
        <f>_xlfn.IFNA(VLOOKUP($F151,tblInfluence[],3,FALSE),"")</f>
        <v/>
      </c>
      <c r="R151" s="61" t="str">
        <f>_xlfn.IFNA(VLOOKUP($F151,tblInfluence[],4,FALSE),"")</f>
        <v/>
      </c>
      <c r="Y151" s="15" t="s">
        <v>193</v>
      </c>
      <c r="Z151" s="19"/>
      <c r="AA151" s="61" t="str">
        <f t="shared" si="22"/>
        <v/>
      </c>
      <c r="AC151" s="60"/>
      <c r="AD151" s="20"/>
      <c r="AE151" s="20" t="str">
        <f t="shared" si="23"/>
        <v/>
      </c>
      <c r="AF151" s="61" t="str" cm="1">
        <f t="array" ref="AF151">IF(AC151="","",SUMPRODUCT(($F$138:$F$157=AC151)*($G$138:$G$157=IF(AD151="","",AD151))*$P$138:$P$157))</f>
        <v/>
      </c>
    </row>
    <row r="152" spans="1:32">
      <c r="A152" s="1" t="s">
        <v>151</v>
      </c>
      <c r="B152" t="str">
        <f t="shared" si="26"/>
        <v>You quickly learn who's who and where they hunt, even newcomers to the city.</v>
      </c>
      <c r="D152" s="19"/>
      <c r="E152" s="15" t="s">
        <v>190</v>
      </c>
      <c r="F152" s="3"/>
      <c r="G152" s="3" t="str">
        <f>IFERROR(VLOOKUP(F152,tblManoeuvre[],2,FALSE)&amp;" "&amp;VLOOKUP(F152,tblManoeuvre[],3,FALSE),"")</f>
        <v/>
      </c>
      <c r="H152" s="67" t="str">
        <f>IFERROR(IF(VLOOKUP(F152,tblManoeuvre[],8,FALSE)=0,"None",VLOOKUP(F152,tblManoeuvre[],8,FALSE)),"None")</f>
        <v>None</v>
      </c>
      <c r="I152" s="67"/>
      <c r="L152" s="4"/>
      <c r="M152" s="4"/>
      <c r="N152" s="4"/>
      <c r="O152" s="61">
        <f t="shared" si="24"/>
        <v>0</v>
      </c>
      <c r="P152" s="60">
        <f t="shared" si="25"/>
        <v>0</v>
      </c>
      <c r="Q152" s="61" t="str">
        <f>_xlfn.IFNA(VLOOKUP($F152,tblInfluence[],3,FALSE),"")</f>
        <v/>
      </c>
      <c r="R152" s="61" t="str">
        <f>_xlfn.IFNA(VLOOKUP($F152,tblInfluence[],4,FALSE),"")</f>
        <v/>
      </c>
      <c r="Y152" s="15" t="s">
        <v>194</v>
      </c>
      <c r="Z152" s="19"/>
      <c r="AA152" s="61" t="str">
        <f t="shared" si="22"/>
        <v/>
      </c>
      <c r="AC152" s="60"/>
      <c r="AD152" s="20"/>
      <c r="AE152" s="20" t="str">
        <f t="shared" si="23"/>
        <v/>
      </c>
      <c r="AF152" s="61" t="str" cm="1">
        <f t="array" ref="AF152">IF(AC152="","",SUMPRODUCT(($F$138:$F$157=AC152)*($G$138:$G$157=IF(AD152="","",AD152))*$P$138:$P$157))</f>
        <v/>
      </c>
    </row>
    <row r="153" spans="1:32">
      <c r="A153" s="1" t="s">
        <v>152</v>
      </c>
      <c r="B153" t="str">
        <f t="shared" si="26"/>
        <v>Once per session, roll Wits + Politics to ask a question about current events in the Requiem. Rolls to use that knowledge achieve exceptional success on a threshold of three, not five.</v>
      </c>
      <c r="D153" s="19"/>
      <c r="E153" s="15" t="s">
        <v>191</v>
      </c>
      <c r="F153" s="3"/>
      <c r="G153" s="3" t="str">
        <f>IFERROR(VLOOKUP(F153,tblManoeuvre[],2,FALSE)&amp;" "&amp;VLOOKUP(F153,tblManoeuvre[],3,FALSE),"")</f>
        <v/>
      </c>
      <c r="H153" s="67" t="str">
        <f>IFERROR(IF(VLOOKUP(F153,tblManoeuvre[],8,FALSE)=0,"None",VLOOKUP(F153,tblManoeuvre[],8,FALSE)),"None")</f>
        <v>None</v>
      </c>
      <c r="I153" s="67"/>
      <c r="L153" s="4"/>
      <c r="M153" s="4"/>
      <c r="N153" s="4"/>
      <c r="O153" s="61">
        <f t="shared" si="24"/>
        <v>0</v>
      </c>
      <c r="P153" s="60">
        <f t="shared" si="25"/>
        <v>0</v>
      </c>
      <c r="Q153" s="61" t="str">
        <f>_xlfn.IFNA(VLOOKUP($F153,tblInfluence[],3,FALSE),"")</f>
        <v/>
      </c>
      <c r="R153" s="61" t="str">
        <f>_xlfn.IFNA(VLOOKUP($F153,tblInfluence[],4,FALSE),"")</f>
        <v/>
      </c>
      <c r="Y153" s="15" t="s">
        <v>195</v>
      </c>
      <c r="Z153" s="19"/>
      <c r="AA153" s="61" t="str">
        <f t="shared" si="22"/>
        <v/>
      </c>
      <c r="AC153" s="60"/>
      <c r="AD153" s="20"/>
      <c r="AE153" s="20" t="str">
        <f t="shared" si="23"/>
        <v/>
      </c>
      <c r="AF153" s="61" t="str" cm="1">
        <f t="array" ref="AF153">IF(AC153="","",SUMPRODUCT(($F$138:$F$157=AC153)*($G$138:$G$157=IF(AD153="","",AD153))*$P$138:$P$157))</f>
        <v/>
      </c>
    </row>
    <row r="154" spans="1:32">
      <c r="A154" s="1" t="s">
        <v>153</v>
      </c>
      <c r="B154" t="str">
        <f t="shared" si="26"/>
        <v>¬</v>
      </c>
      <c r="D154" s="19"/>
      <c r="E154" s="15" t="s">
        <v>192</v>
      </c>
      <c r="F154" s="3"/>
      <c r="G154" s="3" t="str">
        <f>IFERROR(VLOOKUP(F154,tblManoeuvre[],2,FALSE)&amp;" "&amp;VLOOKUP(F154,tblManoeuvre[],3,FALSE),"")</f>
        <v/>
      </c>
      <c r="H154" s="67" t="str">
        <f>IFERROR(IF(VLOOKUP(F154,tblManoeuvre[],8,FALSE)=0,"None",VLOOKUP(F154,tblManoeuvre[],8,FALSE)),"None")</f>
        <v>None</v>
      </c>
      <c r="I154" s="67"/>
      <c r="L154" s="4"/>
      <c r="M154" s="4"/>
      <c r="N154" s="4"/>
      <c r="O154" s="61">
        <f t="shared" si="24"/>
        <v>0</v>
      </c>
      <c r="P154" s="60">
        <f t="shared" si="25"/>
        <v>0</v>
      </c>
      <c r="Q154" s="61" t="str">
        <f>_xlfn.IFNA(VLOOKUP($F154,tblInfluence[],3,FALSE),"")</f>
        <v/>
      </c>
      <c r="R154" s="61" t="str">
        <f>_xlfn.IFNA(VLOOKUP($F154,tblInfluence[],4,FALSE),"")</f>
        <v/>
      </c>
    </row>
    <row r="155" spans="1:32">
      <c r="A155" s="1" t="s">
        <v>154</v>
      </c>
      <c r="B155" t="str">
        <f t="shared" si="26"/>
        <v>¬</v>
      </c>
      <c r="D155" s="19"/>
      <c r="E155" s="15" t="s">
        <v>193</v>
      </c>
      <c r="F155" s="3"/>
      <c r="G155" s="3" t="str">
        <f>IFERROR(VLOOKUP(F155,tblManoeuvre[],2,FALSE)&amp;" "&amp;VLOOKUP(F155,tblManoeuvre[],3,FALSE),"")</f>
        <v/>
      </c>
      <c r="H155" s="67" t="str">
        <f>IFERROR(IF(VLOOKUP(F155,tblManoeuvre[],8,FALSE)=0,"None",VLOOKUP(F155,tblManoeuvre[],8,FALSE)),"None")</f>
        <v>None</v>
      </c>
      <c r="I155" s="67"/>
      <c r="L155" s="4"/>
      <c r="M155" s="4"/>
      <c r="N155" s="4"/>
      <c r="O155" s="61">
        <f t="shared" si="24"/>
        <v>0</v>
      </c>
      <c r="P155" s="60">
        <f t="shared" si="25"/>
        <v>0</v>
      </c>
      <c r="Q155" s="61" t="str">
        <f>_xlfn.IFNA(VLOOKUP($F155,tblInfluence[],3,FALSE),"")</f>
        <v/>
      </c>
      <c r="R155" s="61" t="str">
        <f>_xlfn.IFNA(VLOOKUP($F155,tblInfluence[],4,FALSE),"")</f>
        <v/>
      </c>
      <c r="AE155" s="61">
        <f>IF(P160=5,1,0)</f>
        <v>1</v>
      </c>
    </row>
    <row r="156" spans="1:32">
      <c r="A156" s="1" t="s">
        <v>155</v>
      </c>
      <c r="B156" t="str">
        <f t="shared" si="26"/>
        <v>¬</v>
      </c>
      <c r="D156" s="19"/>
      <c r="E156" s="15" t="s">
        <v>194</v>
      </c>
      <c r="F156" s="3"/>
      <c r="G156" s="3" t="str">
        <f>IFERROR(VLOOKUP(F156,tblManoeuvre[],2,FALSE)&amp;" "&amp;VLOOKUP(F156,tblManoeuvre[],3,FALSE),"")</f>
        <v/>
      </c>
      <c r="H156" s="67" t="str">
        <f>IFERROR(IF(VLOOKUP(F156,tblManoeuvre[],8,FALSE)=0,"None",VLOOKUP(F156,tblManoeuvre[],8,FALSE)),"None")</f>
        <v>None</v>
      </c>
      <c r="I156" s="67"/>
      <c r="L156" s="4"/>
      <c r="M156" s="4"/>
      <c r="N156" s="4"/>
      <c r="O156" s="61">
        <f t="shared" si="24"/>
        <v>0</v>
      </c>
      <c r="P156" s="60">
        <f t="shared" si="25"/>
        <v>0</v>
      </c>
      <c r="Q156" s="61" t="str">
        <f>_xlfn.IFNA(VLOOKUP($F156,tblInfluence[],3,FALSE),"")</f>
        <v/>
      </c>
      <c r="R156" s="61" t="str">
        <f>_xlfn.IFNA(VLOOKUP($F156,tblInfluence[],4,FALSE),"")</f>
        <v/>
      </c>
      <c r="AE156" s="61" t="b">
        <f>COUNTIF(AA2:AA21,"*Honey With Vinegar*")&gt;0</f>
        <v>0</v>
      </c>
    </row>
    <row r="157" spans="1:32">
      <c r="A157" s="1" t="s">
        <v>156</v>
      </c>
      <c r="B157" t="str">
        <f t="shared" si="26"/>
        <v>¬</v>
      </c>
      <c r="D157" s="19"/>
      <c r="E157" s="15" t="s">
        <v>195</v>
      </c>
      <c r="F157" s="3"/>
      <c r="G157" s="3" t="str">
        <f>IFERROR(VLOOKUP(F157,tblManoeuvre[],2,FALSE)&amp;" "&amp;VLOOKUP(F157,tblManoeuvre[],3,FALSE),"")</f>
        <v/>
      </c>
      <c r="H157" s="67" t="str">
        <f>IFERROR(IF(VLOOKUP(F157,tblManoeuvre[],8,FALSE)=0,"None",VLOOKUP(F157,tblManoeuvre[],8,FALSE)),"None")</f>
        <v>None</v>
      </c>
      <c r="I157" s="67"/>
      <c r="L157" s="4"/>
      <c r="M157" s="4"/>
      <c r="N157" s="4"/>
      <c r="O157" s="61">
        <f t="shared" si="24"/>
        <v>0</v>
      </c>
      <c r="P157" s="60">
        <f t="shared" si="25"/>
        <v>0</v>
      </c>
      <c r="Q157" s="61" t="str">
        <f>_xlfn.IFNA(VLOOKUP($F157,tblInfluence[],3,FALSE),"")</f>
        <v/>
      </c>
      <c r="R157" s="61" t="str">
        <f>_xlfn.IFNA(VLOOKUP($F157,tblInfluence[],4,FALSE),"")</f>
        <v/>
      </c>
    </row>
    <row r="158" spans="1:32">
      <c r="A158" s="1" t="s">
        <v>157</v>
      </c>
      <c r="B158" t="str">
        <f t="shared" si="26"/>
        <v>¬</v>
      </c>
    </row>
    <row r="159" spans="1:32">
      <c r="A159" s="1" t="s">
        <v>158</v>
      </c>
      <c r="B159" t="str">
        <f t="shared" si="26"/>
        <v>¬</v>
      </c>
      <c r="D159" s="16" t="s">
        <v>1486</v>
      </c>
      <c r="E159" s="17"/>
      <c r="F159" s="17" t="s">
        <v>1487</v>
      </c>
      <c r="G159" s="17"/>
      <c r="H159" s="17"/>
      <c r="I159" s="17"/>
    </row>
    <row r="160" spans="1:32">
      <c r="A160" s="1" t="s">
        <v>159</v>
      </c>
      <c r="B160" t="str">
        <f t="shared" si="26"/>
        <v>¬</v>
      </c>
      <c r="D160" s="19"/>
      <c r="E160" s="15" t="s">
        <v>98</v>
      </c>
      <c r="F160" s="3" t="s">
        <v>1045</v>
      </c>
      <c r="G160" s="60"/>
      <c r="H160" s="60"/>
      <c r="I160" s="60"/>
      <c r="L160" s="4">
        <v>5</v>
      </c>
      <c r="M160" s="4"/>
      <c r="N160" s="4"/>
      <c r="O160" s="61">
        <f>N160</f>
        <v>0</v>
      </c>
      <c r="P160" s="60">
        <f>MIN(SUM(L160,M160,O160),R160)</f>
        <v>5</v>
      </c>
      <c r="Q160" s="61">
        <v>1</v>
      </c>
      <c r="R160" s="61">
        <v>5</v>
      </c>
    </row>
    <row r="161" spans="1:18">
      <c r="A161" s="1" t="s">
        <v>160</v>
      </c>
      <c r="B161" t="str">
        <f t="shared" si="26"/>
        <v>¬</v>
      </c>
      <c r="D161" s="19"/>
      <c r="E161" s="15" t="s">
        <v>100</v>
      </c>
      <c r="F161" s="3"/>
      <c r="G161" s="60"/>
      <c r="H161" s="60"/>
      <c r="I161" s="60"/>
      <c r="L161" s="4"/>
      <c r="M161" s="4"/>
      <c r="N161" s="4"/>
      <c r="O161" s="61">
        <f>N161</f>
        <v>0</v>
      </c>
      <c r="P161" s="60">
        <f>MIN(SUM(L161,M161,O161),R161)</f>
        <v>0</v>
      </c>
      <c r="Q161" s="61">
        <v>1</v>
      </c>
      <c r="R161" s="61">
        <v>5</v>
      </c>
    </row>
    <row r="162" spans="1:18">
      <c r="A162" s="1" t="s">
        <v>161</v>
      </c>
      <c r="B162" t="str">
        <f t="shared" si="26"/>
        <v>¬</v>
      </c>
    </row>
    <row r="163" spans="1:18" ht="15.75" thickBot="1">
      <c r="A163" s="1" t="s">
        <v>162</v>
      </c>
      <c r="B163" t="str">
        <f t="shared" si="26"/>
        <v>¬</v>
      </c>
      <c r="D163" s="14" t="s">
        <v>1488</v>
      </c>
      <c r="E163" s="14"/>
      <c r="F163" s="14"/>
      <c r="G163" s="14"/>
      <c r="H163" s="14"/>
      <c r="I163" s="14"/>
      <c r="N163" s="60">
        <f>SUM(N165:N174)+SUM(N177:N181)+SUM(N184:N185)+SUM(N187:N191)+SUM(N194:N203)</f>
        <v>18</v>
      </c>
    </row>
    <row r="164" spans="1:18">
      <c r="A164" s="1" t="s">
        <v>163</v>
      </c>
      <c r="B164" t="str">
        <f t="shared" si="26"/>
        <v>¬</v>
      </c>
      <c r="D164" s="16" t="s">
        <v>1489</v>
      </c>
      <c r="E164" s="15" t="s">
        <v>1490</v>
      </c>
      <c r="F164" s="61" t="str">
        <f>IFERROR(IF($F$8="",VLOOKUP($F$7,tblClans[],5,FALSE),VLOOKUP($F$8,tblBloodlines[],5,FALSE)),"")</f>
        <v>Auspex</v>
      </c>
      <c r="G164" s="61" t="str">
        <f>IFERROR(IF($F$8="",VLOOKUP($F$7,tblClans[],6,FALSE),VLOOKUP($F$8,tblBloodlines[],6,FALSE)),"")</f>
        <v>Celerity</v>
      </c>
      <c r="H164" s="61" t="str">
        <f>IFERROR(IF($F$8="",VLOOKUP($F$7,tblClans[],7,FALSE),VLOOKUP($F$8,tblBloodlines[],7,FALSE)),"")</f>
        <v>Obfuscate</v>
      </c>
      <c r="I164" s="61" t="str">
        <f>IFERROR(IF($F$8="",VLOOKUP($F$7,tblClans[],8,FALSE),VLOOKUP($F$8,tblBloodlines[],8,FALSE)),"")</f>
        <v/>
      </c>
      <c r="L164" s="60">
        <f>3-SUM(L165:L174)-SUM(L184:L185)</f>
        <v>0</v>
      </c>
    </row>
    <row r="165" spans="1:18">
      <c r="A165" s="1" t="s">
        <v>164</v>
      </c>
      <c r="B165" t="str">
        <f t="shared" si="26"/>
        <v>¬</v>
      </c>
      <c r="D165" s="19"/>
      <c r="E165" s="15" t="s">
        <v>236</v>
      </c>
      <c r="F165" s="19"/>
      <c r="G165" s="19"/>
      <c r="H165" s="19"/>
      <c r="I165" s="19"/>
      <c r="L165" s="4"/>
      <c r="N165" s="4"/>
      <c r="O165" s="61">
        <f t="shared" ref="O165:O174" si="27">ROUNDDOWN(IF(COUNTIF($F$164:$I$164,$E165)&gt;0,N165/3,N165/4),0)</f>
        <v>0</v>
      </c>
      <c r="P165" s="60">
        <f>MIN(SUM(L165,O165),R165)</f>
        <v>0</v>
      </c>
      <c r="Q165" s="61">
        <v>0</v>
      </c>
      <c r="R165" s="61">
        <v>5</v>
      </c>
    </row>
    <row r="166" spans="1:18">
      <c r="A166" s="1" t="s">
        <v>165</v>
      </c>
      <c r="B166" t="str">
        <f t="shared" si="26"/>
        <v>¬</v>
      </c>
      <c r="D166" s="19"/>
      <c r="E166" s="15" t="s">
        <v>237</v>
      </c>
      <c r="F166" s="19"/>
      <c r="G166" s="19"/>
      <c r="H166" s="19"/>
      <c r="I166" s="19"/>
      <c r="L166" s="4">
        <v>1</v>
      </c>
      <c r="N166" s="4">
        <v>9</v>
      </c>
      <c r="O166" s="61">
        <f t="shared" si="27"/>
        <v>3</v>
      </c>
      <c r="P166" s="60">
        <f t="shared" ref="P166:P174" si="28">MIN(SUM(L166,O166),R166)</f>
        <v>4</v>
      </c>
      <c r="Q166" s="61">
        <v>0</v>
      </c>
      <c r="R166" s="61">
        <v>5</v>
      </c>
    </row>
    <row r="167" spans="1:18">
      <c r="A167" s="1" t="s">
        <v>166</v>
      </c>
      <c r="B167" t="str">
        <f t="shared" si="26"/>
        <v>¬</v>
      </c>
      <c r="D167" s="19"/>
      <c r="E167" s="15" t="s">
        <v>238</v>
      </c>
      <c r="F167" s="19"/>
      <c r="G167" s="19"/>
      <c r="H167" s="19"/>
      <c r="I167" s="19"/>
      <c r="L167" s="4"/>
      <c r="N167" s="4">
        <v>3</v>
      </c>
      <c r="O167" s="61">
        <f t="shared" si="27"/>
        <v>1</v>
      </c>
      <c r="P167" s="60">
        <f t="shared" si="28"/>
        <v>1</v>
      </c>
      <c r="Q167" s="61">
        <v>0</v>
      </c>
      <c r="R167" s="61">
        <v>5</v>
      </c>
    </row>
    <row r="168" spans="1:18">
      <c r="A168" s="1" t="s">
        <v>167</v>
      </c>
      <c r="B168" t="str">
        <f t="shared" si="26"/>
        <v>¬</v>
      </c>
      <c r="D168" s="19"/>
      <c r="E168" s="15" t="s">
        <v>239</v>
      </c>
      <c r="F168" s="19"/>
      <c r="G168" s="19"/>
      <c r="H168" s="19"/>
      <c r="I168" s="19"/>
      <c r="L168" s="4"/>
      <c r="N168" s="4"/>
      <c r="O168" s="61">
        <f t="shared" si="27"/>
        <v>0</v>
      </c>
      <c r="P168" s="60">
        <f t="shared" si="28"/>
        <v>0</v>
      </c>
      <c r="Q168" s="61">
        <v>0</v>
      </c>
      <c r="R168" s="61">
        <v>5</v>
      </c>
    </row>
    <row r="169" spans="1:18">
      <c r="A169" s="1" t="s">
        <v>168</v>
      </c>
      <c r="B169" t="str">
        <f t="shared" si="26"/>
        <v>¬</v>
      </c>
      <c r="D169" s="19"/>
      <c r="E169" s="15" t="s">
        <v>240</v>
      </c>
      <c r="F169" s="19"/>
      <c r="G169" s="19"/>
      <c r="H169" s="19"/>
      <c r="I169" s="19"/>
      <c r="L169" s="4"/>
      <c r="N169" s="4"/>
      <c r="O169" s="61">
        <f t="shared" si="27"/>
        <v>0</v>
      </c>
      <c r="P169" s="60">
        <f t="shared" si="28"/>
        <v>0</v>
      </c>
      <c r="Q169" s="61">
        <v>0</v>
      </c>
      <c r="R169" s="61">
        <v>5</v>
      </c>
    </row>
    <row r="170" spans="1:18">
      <c r="A170" s="1" t="s">
        <v>169</v>
      </c>
      <c r="B170" t="str">
        <f t="shared" si="26"/>
        <v>¬</v>
      </c>
      <c r="D170" s="19"/>
      <c r="E170" s="15" t="s">
        <v>241</v>
      </c>
      <c r="F170" s="19"/>
      <c r="G170" s="19"/>
      <c r="H170" s="19"/>
      <c r="I170" s="19"/>
      <c r="L170" s="4"/>
      <c r="N170" s="4"/>
      <c r="O170" s="61">
        <f t="shared" si="27"/>
        <v>0</v>
      </c>
      <c r="P170" s="60">
        <f t="shared" si="28"/>
        <v>0</v>
      </c>
      <c r="Q170" s="61">
        <v>0</v>
      </c>
      <c r="R170" s="61">
        <v>5</v>
      </c>
    </row>
    <row r="171" spans="1:18">
      <c r="A171" s="1" t="s">
        <v>170</v>
      </c>
      <c r="B171" t="str">
        <f t="shared" si="26"/>
        <v>¬</v>
      </c>
      <c r="D171" s="19"/>
      <c r="E171" s="15" t="s">
        <v>242</v>
      </c>
      <c r="F171" s="19"/>
      <c r="G171" s="19"/>
      <c r="H171" s="19"/>
      <c r="I171" s="19"/>
      <c r="L171" s="4">
        <v>1</v>
      </c>
      <c r="N171" s="4"/>
      <c r="O171" s="61">
        <f t="shared" si="27"/>
        <v>0</v>
      </c>
      <c r="P171" s="60">
        <f t="shared" si="28"/>
        <v>1</v>
      </c>
      <c r="Q171" s="61">
        <v>0</v>
      </c>
      <c r="R171" s="61">
        <v>5</v>
      </c>
    </row>
    <row r="172" spans="1:18">
      <c r="A172" s="1" t="s">
        <v>171</v>
      </c>
      <c r="B172" t="str">
        <f t="shared" si="26"/>
        <v>¬</v>
      </c>
      <c r="D172" s="19"/>
      <c r="E172" s="15" t="s">
        <v>243</v>
      </c>
      <c r="F172" s="19"/>
      <c r="G172" s="19"/>
      <c r="H172" s="19"/>
      <c r="I172" s="19"/>
      <c r="L172" s="4"/>
      <c r="N172" s="4"/>
      <c r="O172" s="61">
        <f t="shared" si="27"/>
        <v>0</v>
      </c>
      <c r="P172" s="60">
        <f t="shared" si="28"/>
        <v>0</v>
      </c>
      <c r="Q172" s="61">
        <v>0</v>
      </c>
      <c r="R172" s="61">
        <v>5</v>
      </c>
    </row>
    <row r="173" spans="1:18">
      <c r="A173" s="1" t="s">
        <v>172</v>
      </c>
      <c r="B173" t="str">
        <f t="shared" si="26"/>
        <v>¬</v>
      </c>
      <c r="D173" s="19"/>
      <c r="E173" s="15" t="s">
        <v>244</v>
      </c>
      <c r="F173" s="19"/>
      <c r="G173" s="19"/>
      <c r="H173" s="19"/>
      <c r="I173" s="19"/>
      <c r="L173" s="4"/>
      <c r="N173" s="4"/>
      <c r="O173" s="61">
        <f t="shared" si="27"/>
        <v>0</v>
      </c>
      <c r="P173" s="60">
        <f t="shared" si="28"/>
        <v>0</v>
      </c>
      <c r="Q173" s="61">
        <v>0</v>
      </c>
      <c r="R173" s="61">
        <v>5</v>
      </c>
    </row>
    <row r="174" spans="1:18">
      <c r="A174" s="1" t="s">
        <v>173</v>
      </c>
      <c r="B174" t="str">
        <f t="shared" si="26"/>
        <v>¬</v>
      </c>
      <c r="D174" s="19"/>
      <c r="E174" s="15" t="s">
        <v>245</v>
      </c>
      <c r="F174" s="19"/>
      <c r="G174" s="19"/>
      <c r="H174" s="19"/>
      <c r="I174" s="19"/>
      <c r="L174" s="4"/>
      <c r="N174" s="4"/>
      <c r="O174" s="61">
        <f t="shared" si="27"/>
        <v>0</v>
      </c>
      <c r="P174" s="60">
        <f t="shared" si="28"/>
        <v>0</v>
      </c>
      <c r="Q174" s="61">
        <v>0</v>
      </c>
      <c r="R174" s="61">
        <v>5</v>
      </c>
    </row>
    <row r="175" spans="1:18">
      <c r="A175" s="1" t="s">
        <v>174</v>
      </c>
      <c r="B175" t="str">
        <f>_xlfn.CONCAT(I137-H137," / ",I137)</f>
        <v>10 / 10</v>
      </c>
    </row>
    <row r="176" spans="1:18">
      <c r="A176" s="1" t="s">
        <v>175</v>
      </c>
      <c r="B176" t="str">
        <f>REPT("□",I137-H137) &amp; REPT("■",H137)</f>
        <v>□□□□□□□□□□</v>
      </c>
      <c r="D176" s="16" t="s">
        <v>1491</v>
      </c>
      <c r="E176" s="16"/>
      <c r="F176" s="16"/>
      <c r="G176" s="16"/>
      <c r="H176" s="16"/>
      <c r="I176" s="16"/>
    </row>
    <row r="177" spans="1:18">
      <c r="A177" s="1" t="s">
        <v>176</v>
      </c>
      <c r="B177" t="str">
        <f t="shared" ref="B177:B196" si="29">IF(AC134="","¬",AC134)</f>
        <v>Allies</v>
      </c>
      <c r="D177" s="19"/>
      <c r="E177" s="15" t="s">
        <v>1492</v>
      </c>
      <c r="F177" s="3"/>
      <c r="G177" s="19"/>
      <c r="H177" s="72" t="str">
        <f>IFERROR(IF(VLOOKUP(F177,tblDisciplines[],14,FALSE)=0,"None",VLOOKUP(F177,tblDisciplines[],14,FALSE)),"None")</f>
        <v>None</v>
      </c>
      <c r="I177" s="73"/>
      <c r="N177" s="4"/>
      <c r="O177" s="61">
        <f>N177</f>
        <v>0</v>
      </c>
      <c r="P177" s="60" t="str">
        <f>IF(O177=R177,O177,"")</f>
        <v/>
      </c>
      <c r="R177" s="61" t="str">
        <f>_xlfn.IFNA(VLOOKUP(F177,tblDisciplines[],15,FALSE),"")</f>
        <v/>
      </c>
    </row>
    <row r="178" spans="1:18">
      <c r="A178" s="1" t="s">
        <v>177</v>
      </c>
      <c r="B178" t="str">
        <f t="shared" si="29"/>
        <v>Allies</v>
      </c>
      <c r="D178" s="19"/>
      <c r="E178" s="15" t="s">
        <v>1493</v>
      </c>
      <c r="F178" s="3"/>
      <c r="G178" s="19"/>
      <c r="H178" s="72" t="str">
        <f>IFERROR(IF(VLOOKUP(F178,tblDisciplines[],14,FALSE)=0,"None",VLOOKUP(F178,tblDisciplines[],14,FALSE)),"None")</f>
        <v>None</v>
      </c>
      <c r="I178" s="73"/>
      <c r="N178" s="4"/>
      <c r="O178" s="61">
        <f>N178</f>
        <v>0</v>
      </c>
      <c r="P178" s="60" t="str">
        <f>IF(O178=R178,O178,"")</f>
        <v/>
      </c>
      <c r="R178" s="61" t="str">
        <f>_xlfn.IFNA(VLOOKUP(F178,tblDisciplines[],15,FALSE),"")</f>
        <v/>
      </c>
    </row>
    <row r="179" spans="1:18">
      <c r="A179" s="1" t="s">
        <v>178</v>
      </c>
      <c r="B179" t="str">
        <f t="shared" si="29"/>
        <v>Allies</v>
      </c>
      <c r="D179" s="19"/>
      <c r="E179" s="15" t="s">
        <v>1494</v>
      </c>
      <c r="F179" s="3"/>
      <c r="G179" s="19"/>
      <c r="H179" s="72" t="str">
        <f>IFERROR(IF(VLOOKUP(F179,tblDisciplines[],14,FALSE)=0,"None",VLOOKUP(F179,tblDisciplines[],14,FALSE)),"None")</f>
        <v>None</v>
      </c>
      <c r="I179" s="73"/>
      <c r="N179" s="4"/>
      <c r="O179" s="61">
        <f>N179</f>
        <v>0</v>
      </c>
      <c r="P179" s="60" t="str">
        <f>IF(O179=R179,O179,"")</f>
        <v/>
      </c>
      <c r="R179" s="61" t="str">
        <f>_xlfn.IFNA(VLOOKUP(F179,tblDisciplines[],15,FALSE),"")</f>
        <v/>
      </c>
    </row>
    <row r="180" spans="1:18">
      <c r="A180" s="1" t="s">
        <v>179</v>
      </c>
      <c r="B180" t="str">
        <f t="shared" si="29"/>
        <v>Allies</v>
      </c>
      <c r="D180" s="19"/>
      <c r="E180" s="15" t="s">
        <v>1495</v>
      </c>
      <c r="F180" s="3"/>
      <c r="G180" s="19"/>
      <c r="H180" s="72" t="str">
        <f>IFERROR(IF(VLOOKUP(F180,tblDisciplines[],14,FALSE)=0,"None",VLOOKUP(F180,tblDisciplines[],14,FALSE)),"None")</f>
        <v>None</v>
      </c>
      <c r="I180" s="73"/>
      <c r="N180" s="4"/>
      <c r="O180" s="61">
        <f>N180</f>
        <v>0</v>
      </c>
      <c r="P180" s="60" t="str">
        <f>IF(O180=R180,O180,"")</f>
        <v/>
      </c>
      <c r="R180" s="61" t="str">
        <f>_xlfn.IFNA(VLOOKUP(F180,tblDisciplines[],15,FALSE),"")</f>
        <v/>
      </c>
    </row>
    <row r="181" spans="1:18">
      <c r="A181" s="1" t="s">
        <v>180</v>
      </c>
      <c r="B181" t="str">
        <f t="shared" si="29"/>
        <v>¬</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29"/>
        <v>¬</v>
      </c>
    </row>
    <row r="183" spans="1:18">
      <c r="A183" s="1" t="s">
        <v>182</v>
      </c>
      <c r="B183" t="str">
        <f t="shared" si="29"/>
        <v>¬</v>
      </c>
      <c r="D183" s="16" t="s">
        <v>1497</v>
      </c>
      <c r="E183" s="16"/>
      <c r="F183" s="16"/>
      <c r="G183" s="16"/>
      <c r="H183" s="16"/>
      <c r="I183" s="16"/>
    </row>
    <row r="184" spans="1:18">
      <c r="A184" s="1" t="s">
        <v>183</v>
      </c>
      <c r="B184" t="str">
        <f t="shared" si="29"/>
        <v>¬</v>
      </c>
      <c r="D184" s="19"/>
      <c r="E184" s="15" t="s">
        <v>246</v>
      </c>
      <c r="F184" s="19"/>
      <c r="G184" s="19"/>
      <c r="H184" s="19"/>
      <c r="I184" s="60" t="b">
        <f>IF(OR(F$9="Circle of the Crone",COUNTIF(F$79:F$93,"Chorister")&gt;0),TRUE,FALSE)</f>
        <v>1</v>
      </c>
      <c r="L184" s="4">
        <v>1</v>
      </c>
      <c r="N184" s="4">
        <v>4</v>
      </c>
      <c r="O184" s="61">
        <f>ROUNDDOWN(N184/4,0)</f>
        <v>1</v>
      </c>
      <c r="P184" s="60">
        <f>SUM(L184,O184)</f>
        <v>2</v>
      </c>
      <c r="Q184" s="61">
        <v>0</v>
      </c>
      <c r="R184" s="61">
        <v>5</v>
      </c>
    </row>
    <row r="185" spans="1:18">
      <c r="A185" s="1" t="s">
        <v>184</v>
      </c>
      <c r="B185" t="str">
        <f t="shared" si="29"/>
        <v>¬</v>
      </c>
      <c r="D185" s="19"/>
      <c r="E185" s="15" t="s">
        <v>247</v>
      </c>
      <c r="F185" s="19"/>
      <c r="G185" s="19"/>
      <c r="H185" s="19"/>
      <c r="I185" s="60" t="b">
        <f>IF(OR(F$9="Lancea et Sanctum",COUNTIF(F$79:F$93,"Laity")&gt;0),TRUE,FALSE)</f>
        <v>0</v>
      </c>
      <c r="L185" s="4"/>
      <c r="N185" s="4"/>
      <c r="O185" s="61">
        <f>ROUNDDOWN(N185/4,0)</f>
        <v>0</v>
      </c>
      <c r="P185" s="60">
        <f>SUM(L185,O185)</f>
        <v>0</v>
      </c>
      <c r="Q185" s="61">
        <v>0</v>
      </c>
      <c r="R185" s="61">
        <v>5</v>
      </c>
    </row>
    <row r="186" spans="1:18">
      <c r="A186" s="1" t="s">
        <v>185</v>
      </c>
      <c r="B186" t="str">
        <f t="shared" si="29"/>
        <v>¬</v>
      </c>
      <c r="D186" s="19"/>
      <c r="E186" s="19"/>
      <c r="F186" s="19"/>
      <c r="G186" s="19"/>
      <c r="H186" s="19"/>
      <c r="I186" s="19"/>
      <c r="L186" s="60">
        <f>SUM(P184:P185)-SUM(L187:L191)</f>
        <v>0</v>
      </c>
    </row>
    <row r="187" spans="1:18">
      <c r="A187" s="1" t="s">
        <v>186</v>
      </c>
      <c r="B187" t="str">
        <f t="shared" si="29"/>
        <v>¬</v>
      </c>
      <c r="D187" s="19"/>
      <c r="E187" s="15" t="s">
        <v>248</v>
      </c>
      <c r="F187" s="19"/>
      <c r="G187" s="19"/>
      <c r="H187" s="19"/>
      <c r="I187" s="19"/>
      <c r="L187" s="4"/>
      <c r="M187" s="61">
        <f>IF(AND(I184,L184&gt;=1),1,0)</f>
        <v>1</v>
      </c>
      <c r="N187" s="4"/>
      <c r="O187" s="61">
        <f>ROUNDDOWN(N187/2,0)</f>
        <v>0</v>
      </c>
      <c r="P187" s="60">
        <f>MIN(SUM(L187,M187,O187),R187)</f>
        <v>1</v>
      </c>
      <c r="Q187" s="61">
        <v>0</v>
      </c>
      <c r="R187" s="61">
        <f>MAX(P$184,P$185)</f>
        <v>2</v>
      </c>
    </row>
    <row r="188" spans="1:18">
      <c r="A188" s="1" t="s">
        <v>187</v>
      </c>
      <c r="B188" t="str">
        <f t="shared" si="29"/>
        <v>¬</v>
      </c>
      <c r="D188" s="19"/>
      <c r="E188" s="15" t="s">
        <v>249</v>
      </c>
      <c r="F188" s="19"/>
      <c r="G188" s="19"/>
      <c r="H188" s="19"/>
      <c r="I188" s="19"/>
      <c r="L188" s="4"/>
      <c r="M188" s="61"/>
      <c r="N188" s="4"/>
      <c r="O188" s="61">
        <f>ROUNDDOWN(N188/2,0)</f>
        <v>0</v>
      </c>
      <c r="P188" s="60">
        <f>MIN(SUM(L188,M188,O188),R188)</f>
        <v>0</v>
      </c>
      <c r="Q188" s="61">
        <v>0</v>
      </c>
      <c r="R188" s="61">
        <f>MAX(P$184,P$185)</f>
        <v>2</v>
      </c>
    </row>
    <row r="189" spans="1:18">
      <c r="A189" s="1" t="s">
        <v>188</v>
      </c>
      <c r="B189" t="str">
        <f t="shared" si="29"/>
        <v>¬</v>
      </c>
      <c r="D189" s="19"/>
      <c r="E189" s="15" t="s">
        <v>250</v>
      </c>
      <c r="F189" s="19"/>
      <c r="G189" s="19"/>
      <c r="H189" s="19"/>
      <c r="I189" s="19"/>
      <c r="L189" s="4"/>
      <c r="M189" s="61">
        <f>IF(AND(I185,L185&gt;=1),1,0)</f>
        <v>0</v>
      </c>
      <c r="N189" s="4">
        <v>2</v>
      </c>
      <c r="O189" s="61">
        <f>ROUNDDOWN(N189/2,0)</f>
        <v>1</v>
      </c>
      <c r="P189" s="60">
        <f>MIN(SUM(L189,M189,O189),R189)</f>
        <v>1</v>
      </c>
      <c r="Q189" s="61">
        <v>0</v>
      </c>
      <c r="R189" s="61">
        <f>MAX(P$184,P$185)</f>
        <v>2</v>
      </c>
    </row>
    <row r="190" spans="1:18">
      <c r="A190" s="1" t="s">
        <v>189</v>
      </c>
      <c r="B190" t="str">
        <f t="shared" si="29"/>
        <v>¬</v>
      </c>
      <c r="D190" s="19"/>
      <c r="E190" s="15" t="s">
        <v>251</v>
      </c>
      <c r="F190" s="19"/>
      <c r="G190" s="19"/>
      <c r="H190" s="19"/>
      <c r="I190" s="19"/>
      <c r="L190" s="4"/>
      <c r="M190" s="61">
        <f>IF(AND(I184,L184&gt;=1),1,0)</f>
        <v>1</v>
      </c>
      <c r="N190" s="4"/>
      <c r="O190" s="61">
        <f>ROUNDDOWN(N190/2,0)</f>
        <v>0</v>
      </c>
      <c r="P190" s="60">
        <f>MIN(SUM(L190,M190,O190),R190)</f>
        <v>1</v>
      </c>
      <c r="Q190" s="61">
        <v>0</v>
      </c>
      <c r="R190" s="61">
        <f>MAX(P$184,P$185)</f>
        <v>2</v>
      </c>
    </row>
    <row r="191" spans="1:18">
      <c r="A191" s="1" t="s">
        <v>190</v>
      </c>
      <c r="B191" t="str">
        <f t="shared" si="29"/>
        <v>¬</v>
      </c>
      <c r="D191" s="19"/>
      <c r="E191" s="15" t="s">
        <v>252</v>
      </c>
      <c r="F191" s="19"/>
      <c r="G191" s="19"/>
      <c r="H191" s="19"/>
      <c r="I191" s="19"/>
      <c r="L191" s="4">
        <v>2</v>
      </c>
      <c r="M191" s="61">
        <f>IF(AND(I185,L185&gt;=1),1,0)</f>
        <v>0</v>
      </c>
      <c r="N191" s="4"/>
      <c r="O191" s="61">
        <f>ROUNDDOWN(N191/2,0)</f>
        <v>0</v>
      </c>
      <c r="P191" s="60">
        <f>MIN(SUM(L191,M191,O191),R191)</f>
        <v>2</v>
      </c>
      <c r="Q191" s="61">
        <v>0</v>
      </c>
      <c r="R191" s="61">
        <f>MAX(P$184,P$185)</f>
        <v>2</v>
      </c>
    </row>
    <row r="192" spans="1:18">
      <c r="A192" s="1" t="s">
        <v>191</v>
      </c>
      <c r="B192" t="str">
        <f t="shared" si="29"/>
        <v>¬</v>
      </c>
    </row>
    <row r="193" spans="1:18">
      <c r="A193" s="1" t="s">
        <v>192</v>
      </c>
      <c r="B193" t="str">
        <f t="shared" si="29"/>
        <v>¬</v>
      </c>
      <c r="D193" s="16" t="s">
        <v>1474</v>
      </c>
      <c r="E193" s="16"/>
      <c r="F193" s="16"/>
      <c r="G193" s="16"/>
      <c r="H193" s="16"/>
      <c r="I193" s="16"/>
      <c r="L193" s="60">
        <f>SUM(P184:P185)+SUM(O187:O191)</f>
        <v>3</v>
      </c>
    </row>
    <row r="194" spans="1:18">
      <c r="A194" s="1" t="s">
        <v>193</v>
      </c>
      <c r="B194" t="str">
        <f t="shared" si="29"/>
        <v>¬</v>
      </c>
      <c r="D194" s="19"/>
      <c r="E194" s="15" t="s">
        <v>1498</v>
      </c>
      <c r="F194" s="3" t="s">
        <v>1597</v>
      </c>
      <c r="G194" s="61" t="str">
        <f>_xlfn.IFNA(VLOOKUP(F194,tblDisciplines[],2,FALSE),"")</f>
        <v>Cruac</v>
      </c>
      <c r="H194" s="19"/>
      <c r="I194" s="19"/>
      <c r="L194" s="4">
        <v>1</v>
      </c>
      <c r="N194" s="4"/>
      <c r="O194" s="61">
        <f>N194</f>
        <v>0</v>
      </c>
      <c r="P194" s="60">
        <f>IF(OR(L194=R194,O194=R194),R194,MIN(SUM(L194,O194),R194))</f>
        <v>1</v>
      </c>
      <c r="R194" s="61">
        <f>_xlfn.IFNA(VLOOKUP(F194,tblDisciplines[],3,FALSE),"")</f>
        <v>1</v>
      </c>
    </row>
    <row r="195" spans="1:18">
      <c r="A195" s="1" t="s">
        <v>194</v>
      </c>
      <c r="B195" t="str">
        <f t="shared" si="29"/>
        <v>¬</v>
      </c>
      <c r="D195" s="19"/>
      <c r="E195" s="15" t="s">
        <v>1499</v>
      </c>
      <c r="F195" s="3"/>
      <c r="G195" s="61" t="str">
        <f>_xlfn.IFNA(VLOOKUP(F195,tblDisciplines[],2,FALSE),"")</f>
        <v/>
      </c>
      <c r="H195" s="19"/>
      <c r="I195" s="19"/>
      <c r="L195" s="4"/>
      <c r="N195" s="4"/>
      <c r="O195" s="61">
        <f t="shared" ref="O195:O203" si="30">N195</f>
        <v>0</v>
      </c>
      <c r="P195" s="60" t="str">
        <f t="shared" ref="P195:P203" si="31">IF(OR(L195=R195,O195=R195),R195,MIN(SUM(L195,O195),R195))</f>
        <v/>
      </c>
      <c r="R195" s="61" t="str">
        <f>_xlfn.IFNA(VLOOKUP(F195,tblDisciplines[],3,FALSE),"")</f>
        <v/>
      </c>
    </row>
    <row r="196" spans="1:18">
      <c r="A196" s="1" t="s">
        <v>195</v>
      </c>
      <c r="B196" t="str">
        <f t="shared" si="29"/>
        <v>¬</v>
      </c>
      <c r="D196" s="19"/>
      <c r="E196" s="15" t="s">
        <v>1500</v>
      </c>
      <c r="F196" s="3"/>
      <c r="G196" s="61" t="str">
        <f>_xlfn.IFNA(VLOOKUP(F196,tblDisciplines[],2,FALSE),"")</f>
        <v/>
      </c>
      <c r="H196" s="19"/>
      <c r="I196" s="19"/>
      <c r="L196" s="4"/>
      <c r="N196" s="4"/>
      <c r="O196" s="61">
        <f t="shared" si="30"/>
        <v>0</v>
      </c>
      <c r="P196" s="60" t="str">
        <f t="shared" si="31"/>
        <v/>
      </c>
      <c r="R196" s="61" t="str">
        <f>_xlfn.IFNA(VLOOKUP(F196,tblDisciplines[],3,FALSE),"")</f>
        <v/>
      </c>
    </row>
    <row r="197" spans="1:18">
      <c r="A197" s="1" t="s">
        <v>196</v>
      </c>
      <c r="B197" t="str">
        <f>IF(AD134="","¬",AD134)</f>
        <v>High Society</v>
      </c>
      <c r="D197" s="19"/>
      <c r="E197" s="15" t="s">
        <v>1501</v>
      </c>
      <c r="F197" s="3"/>
      <c r="G197" s="61" t="str">
        <f>_xlfn.IFNA(VLOOKUP(F197,tblDisciplines[],2,FALSE),"")</f>
        <v/>
      </c>
      <c r="H197" s="19"/>
      <c r="I197" s="19"/>
      <c r="L197" s="4"/>
      <c r="N197" s="4"/>
      <c r="O197" s="61">
        <f t="shared" si="30"/>
        <v>0</v>
      </c>
      <c r="P197" s="60" t="str">
        <f t="shared" si="31"/>
        <v/>
      </c>
      <c r="R197" s="61" t="str">
        <f>_xlfn.IFNA(VLOOKUP(F197,tblDisciplines[],3,FALSE),"")</f>
        <v/>
      </c>
    </row>
    <row r="198" spans="1:18">
      <c r="A198" s="1" t="s">
        <v>197</v>
      </c>
      <c r="B198" t="str">
        <f t="shared" ref="B198:B216" si="32">IF(AD135="","¬",AD135)</f>
        <v>Media</v>
      </c>
      <c r="D198" s="19"/>
      <c r="E198" s="15" t="s">
        <v>1502</v>
      </c>
      <c r="F198" s="3"/>
      <c r="G198" s="61" t="str">
        <f>_xlfn.IFNA(VLOOKUP(F198,tblDisciplines[],2,FALSE),"")</f>
        <v/>
      </c>
      <c r="H198" s="19"/>
      <c r="I198" s="19"/>
      <c r="L198" s="4"/>
      <c r="N198" s="4"/>
      <c r="O198" s="61">
        <f t="shared" si="30"/>
        <v>0</v>
      </c>
      <c r="P198" s="60" t="str">
        <f t="shared" si="31"/>
        <v/>
      </c>
      <c r="R198" s="61" t="str">
        <f>_xlfn.IFNA(VLOOKUP(F198,tblDisciplines[],3,FALSE),"")</f>
        <v/>
      </c>
    </row>
    <row r="199" spans="1:18">
      <c r="A199" s="1" t="s">
        <v>198</v>
      </c>
      <c r="B199" t="str">
        <f t="shared" si="32"/>
        <v>Occult</v>
      </c>
      <c r="D199" s="19"/>
      <c r="E199" s="15" t="s">
        <v>1503</v>
      </c>
      <c r="F199" s="3"/>
      <c r="G199" s="61" t="str">
        <f>_xlfn.IFNA(VLOOKUP(F199,tblDisciplines[],2,FALSE),"")</f>
        <v/>
      </c>
      <c r="H199" s="19"/>
      <c r="I199" s="19"/>
      <c r="L199" s="4"/>
      <c r="N199" s="4"/>
      <c r="O199" s="61">
        <f t="shared" si="30"/>
        <v>0</v>
      </c>
      <c r="P199" s="60" t="str">
        <f t="shared" si="31"/>
        <v/>
      </c>
      <c r="R199" s="61" t="str">
        <f>_xlfn.IFNA(VLOOKUP(F199,tblDisciplines[],3,FALSE),"")</f>
        <v/>
      </c>
    </row>
    <row r="200" spans="1:18">
      <c r="A200" s="1" t="s">
        <v>199</v>
      </c>
      <c r="B200" t="str">
        <f t="shared" si="32"/>
        <v>Police</v>
      </c>
      <c r="D200" s="19"/>
      <c r="E200" s="15" t="s">
        <v>1504</v>
      </c>
      <c r="F200" s="3"/>
      <c r="G200" s="61" t="str">
        <f>_xlfn.IFNA(VLOOKUP(F200,tblDisciplines[],2,FALSE),"")</f>
        <v/>
      </c>
      <c r="H200" s="19"/>
      <c r="I200" s="19"/>
      <c r="L200" s="4"/>
      <c r="N200" s="4"/>
      <c r="O200" s="61">
        <f t="shared" si="30"/>
        <v>0</v>
      </c>
      <c r="P200" s="60" t="str">
        <f t="shared" si="31"/>
        <v/>
      </c>
      <c r="R200" s="61" t="str">
        <f>_xlfn.IFNA(VLOOKUP(F200,tblDisciplines[],3,FALSE),"")</f>
        <v/>
      </c>
    </row>
    <row r="201" spans="1:18">
      <c r="A201" s="1" t="s">
        <v>200</v>
      </c>
      <c r="B201" t="str">
        <f t="shared" si="32"/>
        <v>¬</v>
      </c>
      <c r="D201" s="19"/>
      <c r="E201" s="15" t="s">
        <v>1505</v>
      </c>
      <c r="F201" s="3"/>
      <c r="G201" s="61" t="str">
        <f>_xlfn.IFNA(VLOOKUP(F201,tblDisciplines[],2,FALSE),"")</f>
        <v/>
      </c>
      <c r="H201" s="19"/>
      <c r="I201" s="19"/>
      <c r="L201" s="4"/>
      <c r="N201" s="4"/>
      <c r="O201" s="61">
        <f t="shared" si="30"/>
        <v>0</v>
      </c>
      <c r="P201" s="60" t="str">
        <f t="shared" si="31"/>
        <v/>
      </c>
      <c r="R201" s="61" t="str">
        <f>_xlfn.IFNA(VLOOKUP(F201,tblDisciplines[],3,FALSE),"")</f>
        <v/>
      </c>
    </row>
    <row r="202" spans="1:18">
      <c r="A202" s="1" t="s">
        <v>201</v>
      </c>
      <c r="B202" t="str">
        <f t="shared" si="32"/>
        <v>¬</v>
      </c>
      <c r="D202" s="19"/>
      <c r="E202" s="15" t="s">
        <v>1506</v>
      </c>
      <c r="F202" s="3"/>
      <c r="G202" s="61" t="str">
        <f>_xlfn.IFNA(VLOOKUP(F202,tblDisciplines[],2,FALSE),"")</f>
        <v/>
      </c>
      <c r="H202" s="19"/>
      <c r="I202" s="19"/>
      <c r="L202" s="4"/>
      <c r="N202" s="4"/>
      <c r="O202" s="61">
        <f t="shared" si="30"/>
        <v>0</v>
      </c>
      <c r="P202" s="60" t="str">
        <f t="shared" si="31"/>
        <v/>
      </c>
      <c r="R202" s="61" t="str">
        <f>_xlfn.IFNA(VLOOKUP(F202,tblDisciplines[],3,FALSE),"")</f>
        <v/>
      </c>
    </row>
    <row r="203" spans="1:18">
      <c r="A203" s="1" t="s">
        <v>202</v>
      </c>
      <c r="B203" t="str">
        <f t="shared" si="32"/>
        <v>¬</v>
      </c>
      <c r="D203" s="19"/>
      <c r="E203" s="15" t="s">
        <v>1507</v>
      </c>
      <c r="F203" s="3"/>
      <c r="G203" s="61" t="str">
        <f>_xlfn.IFNA(VLOOKUP(F203,tblDisciplines[],2,FALSE),"")</f>
        <v/>
      </c>
      <c r="H203" s="19"/>
      <c r="I203" s="19"/>
      <c r="L203" s="4"/>
      <c r="N203" s="4"/>
      <c r="O203" s="61">
        <f t="shared" si="30"/>
        <v>0</v>
      </c>
      <c r="P203" s="60" t="str">
        <f t="shared" si="31"/>
        <v/>
      </c>
      <c r="R203" s="61" t="str">
        <f>_xlfn.IFNA(VLOOKUP(F203,tblDisciplines[],3,FALSE),"")</f>
        <v/>
      </c>
    </row>
    <row r="204" spans="1:18">
      <c r="A204" s="1" t="s">
        <v>203</v>
      </c>
      <c r="B204" t="str">
        <f t="shared" si="32"/>
        <v>¬</v>
      </c>
    </row>
    <row r="205" spans="1:18">
      <c r="A205" s="1" t="s">
        <v>204</v>
      </c>
      <c r="B205" t="str">
        <f t="shared" si="32"/>
        <v>¬</v>
      </c>
      <c r="D205" s="16" t="s">
        <v>1508</v>
      </c>
      <c r="E205" s="17"/>
      <c r="F205" s="17"/>
      <c r="G205" s="17"/>
      <c r="H205" s="17"/>
      <c r="I205" s="17"/>
    </row>
    <row r="206" spans="1:18">
      <c r="A206" s="1" t="s">
        <v>205</v>
      </c>
      <c r="B206" t="str">
        <f t="shared" si="32"/>
        <v>¬</v>
      </c>
      <c r="D206" s="19"/>
      <c r="E206" s="15" t="s">
        <v>1476</v>
      </c>
      <c r="F206" s="7"/>
      <c r="G206" s="19" t="str">
        <f>IFERROR(VLOOKUP(F206,tblManoeuvre[],2,FALSE)&amp;" "&amp;VLOOKUP(F206,tblManoeuvre[],3,FALSE),"")</f>
        <v/>
      </c>
      <c r="H206" s="68" t="str">
        <f>_xlfn.IFNA(IF(VLOOKUP(F206,tblMerits[],6,FALSE)=0,"None",VLOOKUP(F206,tblMerits[],6,FALSE)),"None")</f>
        <v>None</v>
      </c>
      <c r="I206" s="69"/>
      <c r="L206" s="4"/>
      <c r="M206" s="4"/>
      <c r="N206" s="4"/>
      <c r="O206" s="61">
        <f t="shared" ref="O206:O215" si="33">N206</f>
        <v>0</v>
      </c>
      <c r="P206" s="60">
        <f t="shared" ref="P206:P215" si="34">MIN(SUM(L206,M206,O206),R206)</f>
        <v>0</v>
      </c>
      <c r="Q206" s="61" t="str">
        <f>_xlfn.IFNA(VLOOKUP($F206,tblPacts[],3,FALSE),"")</f>
        <v/>
      </c>
      <c r="R206" s="61" t="str">
        <f>_xlfn.IFNA(VLOOKUP($F206,tblPacts[],4,FALSE),"")</f>
        <v/>
      </c>
    </row>
    <row r="207" spans="1:18">
      <c r="A207" s="1" t="s">
        <v>206</v>
      </c>
      <c r="B207" t="str">
        <f t="shared" si="32"/>
        <v>¬</v>
      </c>
      <c r="D207" s="19"/>
      <c r="E207" s="15" t="s">
        <v>1477</v>
      </c>
      <c r="F207" s="7"/>
      <c r="G207" s="19" t="str">
        <f>IFERROR(VLOOKUP(F207,tblManoeuvre[],2,FALSE)&amp;" "&amp;VLOOKUP(F207,tblManoeuvre[],3,FALSE),"")</f>
        <v/>
      </c>
      <c r="H207" s="68" t="str">
        <f>_xlfn.IFNA(IF(VLOOKUP(F207,tblMerits[],6,FALSE)=0,"None",VLOOKUP(F207,tblMerits[],6,FALSE)),"None")</f>
        <v>None</v>
      </c>
      <c r="I207" s="69"/>
      <c r="L207" s="4"/>
      <c r="M207" s="4"/>
      <c r="N207" s="4"/>
      <c r="O207" s="61">
        <f t="shared" si="33"/>
        <v>0</v>
      </c>
      <c r="P207" s="60">
        <f t="shared" si="34"/>
        <v>0</v>
      </c>
      <c r="Q207" s="61" t="str">
        <f>_xlfn.IFNA(VLOOKUP($F207,tblPacts[],3,FALSE),"")</f>
        <v/>
      </c>
      <c r="R207" s="61" t="str">
        <f>_xlfn.IFNA(VLOOKUP($F207,tblPacts[],4,FALSE),"")</f>
        <v/>
      </c>
    </row>
    <row r="208" spans="1:18">
      <c r="A208" s="1" t="s">
        <v>207</v>
      </c>
      <c r="B208" t="str">
        <f t="shared" si="32"/>
        <v>¬</v>
      </c>
      <c r="D208" s="19"/>
      <c r="E208" s="15" t="s">
        <v>1478</v>
      </c>
      <c r="F208" s="7"/>
      <c r="G208" s="19" t="str">
        <f>IFERROR(VLOOKUP(F208,tblManoeuvre[],2,FALSE)&amp;" "&amp;VLOOKUP(F208,tblManoeuvre[],3,FALSE),"")</f>
        <v/>
      </c>
      <c r="H208" s="68" t="str">
        <f>_xlfn.IFNA(IF(VLOOKUP(F208,tblMerits[],6,FALSE)=0,"None",VLOOKUP(F208,tblMerits[],6,FALSE)),"None")</f>
        <v>None</v>
      </c>
      <c r="I208" s="69"/>
      <c r="L208" s="4"/>
      <c r="M208" s="4"/>
      <c r="N208" s="4"/>
      <c r="O208" s="61">
        <f t="shared" si="33"/>
        <v>0</v>
      </c>
      <c r="P208" s="60">
        <f t="shared" si="34"/>
        <v>0</v>
      </c>
      <c r="Q208" s="61" t="str">
        <f>_xlfn.IFNA(VLOOKUP($F208,tblPacts[],3,FALSE),"")</f>
        <v/>
      </c>
      <c r="R208" s="61" t="str">
        <f>_xlfn.IFNA(VLOOKUP($F208,tblPacts[],4,FALSE),"")</f>
        <v/>
      </c>
    </row>
    <row r="209" spans="1:18">
      <c r="A209" s="1" t="s">
        <v>208</v>
      </c>
      <c r="B209" t="str">
        <f t="shared" si="32"/>
        <v>¬</v>
      </c>
      <c r="D209" s="19"/>
      <c r="E209" s="15" t="s">
        <v>1479</v>
      </c>
      <c r="F209" s="7"/>
      <c r="G209" s="19" t="str">
        <f>IFERROR(VLOOKUP(F209,tblManoeuvre[],2,FALSE)&amp;" "&amp;VLOOKUP(F209,tblManoeuvre[],3,FALSE),"")</f>
        <v/>
      </c>
      <c r="H209" s="68" t="str">
        <f>_xlfn.IFNA(IF(VLOOKUP(F209,tblMerits[],6,FALSE)=0,"None",VLOOKUP(F209,tblMerits[],6,FALSE)),"None")</f>
        <v>None</v>
      </c>
      <c r="I209" s="69"/>
      <c r="L209" s="4"/>
      <c r="M209" s="4"/>
      <c r="N209" s="4"/>
      <c r="O209" s="61">
        <f t="shared" si="33"/>
        <v>0</v>
      </c>
      <c r="P209" s="60">
        <f t="shared" si="34"/>
        <v>0</v>
      </c>
      <c r="Q209" s="61" t="str">
        <f>_xlfn.IFNA(VLOOKUP($F209,tblPacts[],3,FALSE),"")</f>
        <v/>
      </c>
      <c r="R209" s="61" t="str">
        <f>_xlfn.IFNA(VLOOKUP($F209,tblPacts[],4,FALSE),"")</f>
        <v/>
      </c>
    </row>
    <row r="210" spans="1:18">
      <c r="A210" s="1" t="s">
        <v>209</v>
      </c>
      <c r="B210" t="str">
        <f t="shared" si="32"/>
        <v>¬</v>
      </c>
      <c r="D210" s="19"/>
      <c r="E210" s="15" t="s">
        <v>1480</v>
      </c>
      <c r="F210" s="7" t="s">
        <v>1748</v>
      </c>
      <c r="G210" s="19" t="str">
        <f>IFERROR(VLOOKUP(F210,tblManoeuvre[],2,FALSE)&amp;" "&amp;VLOOKUP(F210,tblManoeuvre[],3,FALSE),"")</f>
        <v/>
      </c>
      <c r="H210" s="68" t="str">
        <f>_xlfn.IFNA(IF(VLOOKUP(F210,tblMerits[],6,FALSE)=0,"None",VLOOKUP(F210,tblMerits[],6,FALSE)),"None")</f>
        <v>None</v>
      </c>
      <c r="I210" s="69"/>
      <c r="L210" s="4"/>
      <c r="M210" s="4"/>
      <c r="N210" s="4"/>
      <c r="O210" s="61">
        <f t="shared" si="33"/>
        <v>0</v>
      </c>
      <c r="P210" s="60">
        <f t="shared" si="34"/>
        <v>0</v>
      </c>
      <c r="Q210" s="61" t="str">
        <f>_xlfn.IFNA(VLOOKUP($F210,tblPacts[],3,FALSE),"")</f>
        <v/>
      </c>
      <c r="R210" s="61" t="str">
        <f>_xlfn.IFNA(VLOOKUP($F210,tblPacts[],4,FALSE),"")</f>
        <v/>
      </c>
    </row>
    <row r="211" spans="1:18">
      <c r="A211" s="1" t="s">
        <v>210</v>
      </c>
      <c r="B211" t="str">
        <f t="shared" si="32"/>
        <v>¬</v>
      </c>
      <c r="D211" s="19"/>
      <c r="E211" s="15" t="s">
        <v>1481</v>
      </c>
      <c r="F211" s="7" t="s">
        <v>1749</v>
      </c>
      <c r="G211" s="19" t="str">
        <f>IFERROR(VLOOKUP(F211,tblManoeuvre[],2,FALSE)&amp;" "&amp;VLOOKUP(F211,tblManoeuvre[],3,FALSE),"")</f>
        <v/>
      </c>
      <c r="H211" s="68" t="str">
        <f>_xlfn.IFNA(IF(VLOOKUP(F211,tblMerits[],6,FALSE)=0,"None",VLOOKUP(F211,tblMerits[],6,FALSE)),"None")</f>
        <v>None</v>
      </c>
      <c r="I211" s="69"/>
      <c r="L211" s="4"/>
      <c r="M211" s="4"/>
      <c r="N211" s="4"/>
      <c r="O211" s="61">
        <f t="shared" si="33"/>
        <v>0</v>
      </c>
      <c r="P211" s="60">
        <f t="shared" si="34"/>
        <v>0</v>
      </c>
      <c r="Q211" s="61" t="str">
        <f>_xlfn.IFNA(VLOOKUP($F211,tblPacts[],3,FALSE),"")</f>
        <v/>
      </c>
      <c r="R211" s="61" t="str">
        <f>_xlfn.IFNA(VLOOKUP($F211,tblPacts[],4,FALSE),"")</f>
        <v/>
      </c>
    </row>
    <row r="212" spans="1:18">
      <c r="A212" s="1" t="s">
        <v>211</v>
      </c>
      <c r="B212" t="str">
        <f t="shared" si="32"/>
        <v>¬</v>
      </c>
      <c r="D212" s="19"/>
      <c r="E212" s="15" t="s">
        <v>1482</v>
      </c>
      <c r="F212" s="7"/>
      <c r="G212" s="19" t="str">
        <f>IFERROR(VLOOKUP(F212,tblManoeuvre[],2,FALSE)&amp;" "&amp;VLOOKUP(F212,tblManoeuvre[],3,FALSE),"")</f>
        <v/>
      </c>
      <c r="H212" s="68" t="str">
        <f>_xlfn.IFNA(IF(VLOOKUP(F212,tblMerits[],6,FALSE)=0,"None",VLOOKUP(F212,tblMerits[],6,FALSE)),"None")</f>
        <v>None</v>
      </c>
      <c r="I212" s="69"/>
      <c r="L212" s="4"/>
      <c r="M212" s="4"/>
      <c r="N212" s="4"/>
      <c r="O212" s="61">
        <f t="shared" si="33"/>
        <v>0</v>
      </c>
      <c r="P212" s="60">
        <f t="shared" si="34"/>
        <v>0</v>
      </c>
      <c r="Q212" s="61" t="str">
        <f>_xlfn.IFNA(VLOOKUP($F212,tblPacts[],3,FALSE),"")</f>
        <v/>
      </c>
      <c r="R212" s="61" t="str">
        <f>_xlfn.IFNA(VLOOKUP($F212,tblPacts[],4,FALSE),"")</f>
        <v/>
      </c>
    </row>
    <row r="213" spans="1:18">
      <c r="A213" s="1" t="s">
        <v>212</v>
      </c>
      <c r="B213" t="str">
        <f t="shared" si="32"/>
        <v>¬</v>
      </c>
      <c r="D213" s="19"/>
      <c r="E213" s="15" t="s">
        <v>1483</v>
      </c>
      <c r="F213" s="7"/>
      <c r="G213" s="19" t="str">
        <f>IFERROR(VLOOKUP(F213,tblManoeuvre[],2,FALSE)&amp;" "&amp;VLOOKUP(F213,tblManoeuvre[],3,FALSE),"")</f>
        <v/>
      </c>
      <c r="H213" s="68" t="str">
        <f>_xlfn.IFNA(IF(VLOOKUP(F213,tblMerits[],6,FALSE)=0,"None",VLOOKUP(F213,tblMerits[],6,FALSE)),"None")</f>
        <v>None</v>
      </c>
      <c r="I213" s="69"/>
      <c r="L213" s="4"/>
      <c r="M213" s="4"/>
      <c r="N213" s="4"/>
      <c r="O213" s="61">
        <f t="shared" si="33"/>
        <v>0</v>
      </c>
      <c r="P213" s="60">
        <f t="shared" si="34"/>
        <v>0</v>
      </c>
      <c r="Q213" s="61" t="str">
        <f>_xlfn.IFNA(VLOOKUP($F213,tblPacts[],3,FALSE),"")</f>
        <v/>
      </c>
      <c r="R213" s="61" t="str">
        <f>_xlfn.IFNA(VLOOKUP($F213,tblPacts[],4,FALSE),"")</f>
        <v/>
      </c>
    </row>
    <row r="214" spans="1:18">
      <c r="A214" s="1" t="s">
        <v>213</v>
      </c>
      <c r="B214" t="str">
        <f t="shared" si="32"/>
        <v>¬</v>
      </c>
      <c r="D214" s="19"/>
      <c r="E214" s="15" t="s">
        <v>1484</v>
      </c>
      <c r="F214" s="7"/>
      <c r="G214" s="19" t="str">
        <f>IFERROR(VLOOKUP(F214,tblManoeuvre[],2,FALSE)&amp;" "&amp;VLOOKUP(F214,tblManoeuvre[],3,FALSE),"")</f>
        <v/>
      </c>
      <c r="H214" s="68" t="str">
        <f>_xlfn.IFNA(IF(VLOOKUP(F214,tblMerits[],6,FALSE)=0,"None",VLOOKUP(F214,tblMerits[],6,FALSE)),"None")</f>
        <v>None</v>
      </c>
      <c r="I214" s="69"/>
      <c r="L214" s="4"/>
      <c r="M214" s="4"/>
      <c r="N214" s="4"/>
      <c r="O214" s="61">
        <f t="shared" si="33"/>
        <v>0</v>
      </c>
      <c r="P214" s="60">
        <f t="shared" si="34"/>
        <v>0</v>
      </c>
      <c r="Q214" s="61" t="str">
        <f>_xlfn.IFNA(VLOOKUP($F214,tblPacts[],3,FALSE),"")</f>
        <v/>
      </c>
      <c r="R214" s="61" t="str">
        <f>_xlfn.IFNA(VLOOKUP($F214,tblPacts[],4,FALSE),"")</f>
        <v/>
      </c>
    </row>
    <row r="215" spans="1:18">
      <c r="A215" s="1" t="s">
        <v>214</v>
      </c>
      <c r="B215" t="str">
        <f t="shared" si="32"/>
        <v>¬</v>
      </c>
      <c r="D215" s="19"/>
      <c r="E215" s="15" t="s">
        <v>1485</v>
      </c>
      <c r="F215" s="7"/>
      <c r="G215" s="19" t="str">
        <f>IFERROR(VLOOKUP(F215,tblManoeuvre[],2,FALSE)&amp;" "&amp;VLOOKUP(F215,tblManoeuvre[],3,FALSE),"")</f>
        <v/>
      </c>
      <c r="H215" s="68" t="str">
        <f>_xlfn.IFNA(IF(VLOOKUP(F215,tblMerits[],6,FALSE)=0,"None",VLOOKUP(F215,tblMerits[],6,FALSE)),"None")</f>
        <v>None</v>
      </c>
      <c r="I215" s="69"/>
      <c r="L215" s="4"/>
      <c r="M215" s="4"/>
      <c r="N215" s="4"/>
      <c r="O215" s="61">
        <f t="shared" si="33"/>
        <v>0</v>
      </c>
      <c r="P215" s="60">
        <f t="shared" si="34"/>
        <v>0</v>
      </c>
      <c r="Q215" s="61" t="str">
        <f>_xlfn.IFNA(VLOOKUP($F215,tblPacts[],3,FALSE),"")</f>
        <v/>
      </c>
      <c r="R215" s="61" t="str">
        <f>_xlfn.IFNA(VLOOKUP($F215,tblPacts[],4,FALSE),"")</f>
        <v/>
      </c>
    </row>
    <row r="216" spans="1:18">
      <c r="A216" s="1" t="s">
        <v>215</v>
      </c>
      <c r="B216" t="str">
        <f t="shared" si="32"/>
        <v>¬</v>
      </c>
    </row>
    <row r="217" spans="1:18">
      <c r="A217" s="1" t="s">
        <v>216</v>
      </c>
      <c r="B217" t="str">
        <f>IF(OR(AF134=0,AF134=""),"",REPT("●",AF134))</f>
        <v>●●●</v>
      </c>
      <c r="D217" s="16" t="s">
        <v>1509</v>
      </c>
      <c r="E217" s="16"/>
      <c r="F217" s="16"/>
      <c r="G217" s="16"/>
      <c r="H217" s="16"/>
      <c r="I217" s="16"/>
    </row>
    <row r="218" spans="1:18">
      <c r="A218" s="1" t="s">
        <v>217</v>
      </c>
      <c r="B218" t="str">
        <f t="shared" ref="B218:B236" si="35">IF(OR(AF135=0,AF135=""),"",REPT("●",AF135))</f>
        <v>●●●</v>
      </c>
      <c r="D218" s="19"/>
      <c r="E218" s="15" t="s">
        <v>353</v>
      </c>
      <c r="F218" s="19"/>
      <c r="G218" s="19"/>
      <c r="H218" s="19"/>
      <c r="I218" s="19"/>
      <c r="M218" s="61">
        <f>IF(COUNTIF(F79:F93,"Giant")&gt;0,1,0)+IF(COUNTIF(F79:F93,"Small-Framed")&gt;0,-1,0)</f>
        <v>0</v>
      </c>
      <c r="P218" s="60">
        <f>5+M218</f>
        <v>5</v>
      </c>
    </row>
    <row r="219" spans="1:18">
      <c r="A219" s="1" t="s">
        <v>218</v>
      </c>
      <c r="B219" t="str">
        <f t="shared" si="35"/>
        <v>●●●</v>
      </c>
      <c r="D219" s="19"/>
      <c r="E219" s="15" t="s">
        <v>354</v>
      </c>
      <c r="F219" s="19"/>
      <c r="G219" s="19"/>
      <c r="H219" s="19"/>
      <c r="I219" s="19"/>
      <c r="P219" s="60">
        <f ca="1">VLOOKUP("Size",INDIRECT($AH$1),2,FALSE)+VLOOKUP("Strength",INDIRECT($AH$1),2,FALSE)+VLOOKUP("Dexterity",INDIRECT($AH$1),2,FALSE)+VLOOKUP("Vigour",INDIRECT($AH$1),2,FALSE)</f>
        <v>8</v>
      </c>
    </row>
    <row r="220" spans="1:18">
      <c r="A220" s="1" t="s">
        <v>219</v>
      </c>
      <c r="B220" t="str">
        <f t="shared" si="35"/>
        <v>●●●</v>
      </c>
      <c r="D220" s="19"/>
      <c r="E220" s="15" t="s">
        <v>355</v>
      </c>
      <c r="F220" s="19"/>
      <c r="G220" s="19"/>
      <c r="H220" s="19"/>
      <c r="I220" s="19"/>
      <c r="P220" s="60">
        <f ca="1">MIN(VLOOKUP("Dexterity",INDIRECT($AH$1),2,FALSE),VLOOKUP("Wits",INDIRECT($AH$1),2,FALSE))+VLOOKUP("Athletics",INDIRECT($AH$1),2,FALSE)</f>
        <v>3</v>
      </c>
    </row>
    <row r="221" spans="1:18">
      <c r="A221" s="1" t="s">
        <v>220</v>
      </c>
      <c r="B221" t="str">
        <f t="shared" si="35"/>
        <v/>
      </c>
      <c r="D221" s="19"/>
      <c r="E221" s="15" t="s">
        <v>52</v>
      </c>
      <c r="F221" s="19"/>
      <c r="G221" s="19"/>
      <c r="H221" s="19"/>
      <c r="I221" s="19"/>
      <c r="P221" s="60">
        <f ca="1">VLOOKUP("Size",INDIRECT($AH$1),2,FALSE)+VLOOKUP("Stamina",INDIRECT($AH$1),2,FALSE)+VLOOKUP("Resilience",INDIRECT($AH$1),2,FALSE)</f>
        <v>8</v>
      </c>
    </row>
    <row r="222" spans="1:18">
      <c r="A222" s="1" t="s">
        <v>221</v>
      </c>
      <c r="B222" t="str">
        <f t="shared" si="35"/>
        <v/>
      </c>
      <c r="D222" s="19"/>
      <c r="E222" s="19"/>
      <c r="F222" s="19"/>
      <c r="G222" s="19"/>
      <c r="H222" s="15" t="s">
        <v>1510</v>
      </c>
      <c r="I222" s="19"/>
      <c r="L222" s="4"/>
    </row>
    <row r="223" spans="1:18">
      <c r="A223" s="1" t="s">
        <v>222</v>
      </c>
      <c r="B223" t="str">
        <f t="shared" si="35"/>
        <v/>
      </c>
      <c r="D223" s="19"/>
      <c r="E223" s="15" t="s">
        <v>1511</v>
      </c>
      <c r="F223" s="7"/>
      <c r="G223" s="19"/>
      <c r="H223" s="15" t="s">
        <v>1512</v>
      </c>
      <c r="I223" s="19"/>
      <c r="L223" s="4">
        <v>1</v>
      </c>
    </row>
    <row r="224" spans="1:18">
      <c r="A224" s="1" t="s">
        <v>223</v>
      </c>
      <c r="B224" t="str">
        <f t="shared" si="35"/>
        <v/>
      </c>
      <c r="D224" s="19"/>
      <c r="E224" s="15" t="s">
        <v>1513</v>
      </c>
      <c r="F224" s="7"/>
      <c r="G224" s="19"/>
      <c r="H224" s="15" t="s">
        <v>1514</v>
      </c>
      <c r="I224" s="19"/>
      <c r="L224" s="4"/>
    </row>
    <row r="225" spans="1:12">
      <c r="A225" s="1" t="s">
        <v>224</v>
      </c>
      <c r="B225" t="str">
        <f t="shared" si="35"/>
        <v/>
      </c>
      <c r="D225" s="19"/>
      <c r="E225" s="15" t="s">
        <v>1515</v>
      </c>
      <c r="F225" s="7"/>
      <c r="G225" s="19"/>
      <c r="H225" s="15" t="s">
        <v>1516</v>
      </c>
      <c r="I225" s="19"/>
      <c r="L225" s="4"/>
    </row>
    <row r="226" spans="1:12">
      <c r="A226" s="1" t="s">
        <v>225</v>
      </c>
      <c r="B226" t="str">
        <f t="shared" si="35"/>
        <v/>
      </c>
      <c r="D226" s="19"/>
      <c r="E226" s="15" t="s">
        <v>1517</v>
      </c>
      <c r="F226" s="7"/>
      <c r="G226" s="19"/>
      <c r="H226" s="19"/>
      <c r="I226" s="19"/>
    </row>
    <row r="227" spans="1:12">
      <c r="A227" s="1" t="s">
        <v>226</v>
      </c>
      <c r="B227" t="str">
        <f t="shared" si="35"/>
        <v/>
      </c>
      <c r="D227" s="19"/>
      <c r="E227" s="15" t="s">
        <v>1518</v>
      </c>
      <c r="F227" s="7"/>
      <c r="G227" s="19"/>
      <c r="H227" s="19"/>
      <c r="I227" s="19"/>
    </row>
    <row r="228" spans="1:12">
      <c r="A228" s="1" t="s">
        <v>227</v>
      </c>
      <c r="B228" t="str">
        <f t="shared" si="35"/>
        <v/>
      </c>
      <c r="D228" s="19"/>
      <c r="E228" s="15" t="s">
        <v>1519</v>
      </c>
      <c r="F228" s="7"/>
      <c r="G228" s="19"/>
      <c r="H228" s="19"/>
      <c r="I228" s="19"/>
    </row>
    <row r="229" spans="1:12">
      <c r="A229" s="1" t="s">
        <v>228</v>
      </c>
      <c r="B229" t="str">
        <f t="shared" si="35"/>
        <v/>
      </c>
      <c r="D229" s="19"/>
      <c r="E229" s="15" t="s">
        <v>1520</v>
      </c>
      <c r="F229" s="7"/>
      <c r="G229" s="19"/>
      <c r="H229" s="19"/>
      <c r="I229" s="19"/>
    </row>
    <row r="230" spans="1:12">
      <c r="A230" s="1" t="s">
        <v>229</v>
      </c>
      <c r="B230" t="str">
        <f t="shared" si="35"/>
        <v/>
      </c>
      <c r="D230" s="19"/>
      <c r="E230" s="15" t="s">
        <v>1521</v>
      </c>
      <c r="F230" s="7"/>
      <c r="G230" s="19"/>
      <c r="H230" s="19"/>
      <c r="I230" s="19"/>
    </row>
    <row r="231" spans="1:12">
      <c r="A231" s="1" t="s">
        <v>230</v>
      </c>
      <c r="B231" t="str">
        <f t="shared" si="35"/>
        <v/>
      </c>
      <c r="D231" s="19"/>
      <c r="E231" s="15" t="s">
        <v>1522</v>
      </c>
      <c r="F231" s="7"/>
      <c r="G231" s="19"/>
      <c r="H231" s="19"/>
      <c r="I231" s="19"/>
    </row>
    <row r="232" spans="1:12">
      <c r="A232" s="1" t="s">
        <v>231</v>
      </c>
      <c r="B232" t="str">
        <f t="shared" si="35"/>
        <v/>
      </c>
      <c r="D232" s="19"/>
      <c r="E232" s="15" t="s">
        <v>1523</v>
      </c>
      <c r="F232" s="7"/>
      <c r="G232" s="19"/>
      <c r="H232" s="19"/>
      <c r="I232" s="19"/>
    </row>
    <row r="233" spans="1:12">
      <c r="A233" s="1" t="s">
        <v>232</v>
      </c>
      <c r="B233" t="str">
        <f t="shared" si="35"/>
        <v/>
      </c>
      <c r="D233" s="19"/>
      <c r="E233" s="19"/>
      <c r="F233" s="19"/>
      <c r="G233" s="19"/>
      <c r="H233" s="19"/>
      <c r="I233" s="19"/>
    </row>
    <row r="234" spans="1:12">
      <c r="A234" s="1" t="s">
        <v>233</v>
      </c>
      <c r="B234" t="str">
        <f t="shared" si="35"/>
        <v/>
      </c>
      <c r="D234" s="19"/>
      <c r="E234" s="15" t="s">
        <v>343</v>
      </c>
      <c r="F234" s="61" t="str">
        <f>_xlfn.IFNA(VLOOKUP(F7,tblClans[],4,FALSE),"")</f>
        <v>Tenebrous Curse</v>
      </c>
      <c r="G234" s="19"/>
      <c r="H234" s="74" t="str">
        <f>_xlfn.IFNA(VLOOKUP(F234,tblBanes[],2,FALSE),"")</f>
        <v>Gain an extra bane at Humanity 6 (doesn't count towards cap); Humanity counts –1 for all Humanity-based banes.</v>
      </c>
      <c r="I234" s="74"/>
    </row>
    <row r="235" spans="1:12">
      <c r="A235" s="1" t="s">
        <v>234</v>
      </c>
      <c r="B235" t="str">
        <f t="shared" si="35"/>
        <v/>
      </c>
      <c r="D235" s="19"/>
      <c r="E235" s="15" t="s">
        <v>344</v>
      </c>
      <c r="F235" s="19"/>
      <c r="G235" s="19"/>
      <c r="H235" s="19"/>
      <c r="I235" s="19"/>
    </row>
    <row r="236" spans="1:12">
      <c r="A236" s="1" t="s">
        <v>235</v>
      </c>
      <c r="B236" t="str">
        <f t="shared" si="35"/>
        <v/>
      </c>
      <c r="D236" s="19"/>
      <c r="E236" s="15" t="s">
        <v>345</v>
      </c>
      <c r="F236" s="3" t="s">
        <v>1060</v>
      </c>
      <c r="G236" s="7" t="s">
        <v>1750</v>
      </c>
      <c r="H236" s="70" t="str">
        <f>_xlfn.IFNA(VLOOKUP(F236,tblBanes[],2,FALSE),"")</f>
        <v>Touch by Integrity 8+ mortal causes (10 – Humanity) bashing damage.</v>
      </c>
      <c r="I236" s="71"/>
    </row>
    <row r="237" spans="1:12">
      <c r="A237" s="1" t="s">
        <v>236</v>
      </c>
      <c r="B237" t="str">
        <f ca="1">_xlfn.LET(_xlpm.v,VLOOKUP(tblCharDataJack[[#This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_xlfn.LET(_xlpm.v,VLOOKUP(tblCharDataJack[[#This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_xlfn.LET(_xlpm.v,VLOOKUP(tblCharDataJack[[#This Row],[Field]],INDIRECT($AH$1),2,FALSE),IF(OR(_xlpm.v=0,_xlpm.v=""),"-",REPT("●",_xlpm.v)))</f>
        <v>●</v>
      </c>
      <c r="D239" s="19"/>
      <c r="E239" s="19"/>
      <c r="F239" s="19"/>
      <c r="G239" s="19"/>
      <c r="H239" s="19"/>
      <c r="I239" s="19"/>
    </row>
    <row r="240" spans="1:12">
      <c r="A240" s="1" t="s">
        <v>239</v>
      </c>
      <c r="B240" t="str">
        <f ca="1">_xlfn.LET(_xlpm.v,VLOOKUP(tblCharDataJack[[#This Row],[Field]],INDIRECT($AH$1),2,FALSE),IF(OR(_xlpm.v=0,_xlpm.v=""),"-",REPT("●",_xlpm.v)))</f>
        <v>-</v>
      </c>
      <c r="D240" s="19"/>
      <c r="E240" s="15" t="s">
        <v>360</v>
      </c>
      <c r="F240" s="62" t="s">
        <v>1062</v>
      </c>
      <c r="G240" s="63"/>
      <c r="H240" s="63"/>
      <c r="I240" s="64"/>
    </row>
    <row r="241" spans="1:9">
      <c r="A241" s="1" t="s">
        <v>240</v>
      </c>
      <c r="B241" t="str">
        <f ca="1">_xlfn.LET(_xlpm.v,VLOOKUP(tblCharDataJack[[#This Row],[Field]],INDIRECT($AH$1),2,FALSE),IF(OR(_xlpm.v=0,_xlpm.v=""),"-",REPT("●",_xlpm.v)))</f>
        <v>-</v>
      </c>
      <c r="D241" s="19"/>
      <c r="E241" s="15" t="s">
        <v>361</v>
      </c>
      <c r="F241" s="62" t="s">
        <v>1063</v>
      </c>
      <c r="G241" s="63"/>
      <c r="H241" s="63"/>
      <c r="I241" s="64"/>
    </row>
    <row r="242" spans="1:9">
      <c r="A242" s="1" t="s">
        <v>241</v>
      </c>
      <c r="B242" t="str">
        <f ca="1">_xlfn.LET(_xlpm.v,VLOOKUP(tblCharDataJack[[#This Row],[Field]],INDIRECT($AH$1),2,FALSE),IF(OR(_xlpm.v=0,_xlpm.v=""),"-",REPT("●",_xlpm.v)))</f>
        <v>-</v>
      </c>
      <c r="D242" s="19"/>
      <c r="E242" s="15" t="s">
        <v>362</v>
      </c>
      <c r="F242" s="62" t="s">
        <v>1064</v>
      </c>
      <c r="G242" s="63"/>
      <c r="H242" s="63"/>
      <c r="I242" s="64"/>
    </row>
    <row r="243" spans="1:9">
      <c r="A243" s="1" t="s">
        <v>242</v>
      </c>
      <c r="B243" t="str">
        <f ca="1">_xlfn.LET(_xlpm.v,VLOOKUP(tblCharDataJack[[#This Row],[Field]],INDIRECT($AH$1),2,FALSE),IF(OR(_xlpm.v=0,_xlpm.v=""),"-",REPT("●",_xlpm.v)))</f>
        <v>●</v>
      </c>
      <c r="D243" s="19"/>
      <c r="E243" s="19"/>
      <c r="F243" s="19"/>
      <c r="G243" s="19"/>
      <c r="H243" s="19"/>
      <c r="I243" s="19"/>
    </row>
    <row r="244" spans="1:9">
      <c r="A244" s="1" t="s">
        <v>243</v>
      </c>
      <c r="B244" t="str">
        <f ca="1">_xlfn.LET(_xlpm.v,VLOOKUP(tblCharDataJack[[#This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_xlfn.LET(_xlpm.v,VLOOKUP(tblCharDataJack[[#This Row],[Field]],INDIRECT($AH$1),2,FALSE),IF(OR(_xlpm.v=0,_xlpm.v=""),"-",REPT("●",_xlpm.v)))</f>
        <v>-</v>
      </c>
      <c r="D245" s="19"/>
      <c r="E245" s="15" t="s">
        <v>1524</v>
      </c>
      <c r="F245" s="62"/>
      <c r="G245" s="63"/>
      <c r="H245" s="63"/>
      <c r="I245" s="64"/>
    </row>
    <row r="246" spans="1:9">
      <c r="A246" s="1" t="s">
        <v>245</v>
      </c>
      <c r="B246" t="str">
        <f ca="1">_xlfn.LET(_xlpm.v,VLOOKUP(tblCharDataJack[[#This Row],[Field]],INDIRECT($AH$1),2,FALSE),IF(OR(_xlpm.v=0,_xlpm.v=""),"-",REPT("●",_xlpm.v)))</f>
        <v>-</v>
      </c>
    </row>
    <row r="247" spans="1:9">
      <c r="A247" s="1" t="s">
        <v>246</v>
      </c>
      <c r="B247" t="str">
        <f ca="1">_xlfn.LET(_xlpm.v,VLOOKUP(tblCharDataJack[[#This Row],[Field]],INDIRECT($AH$1),2,FALSE),IF(OR(_xlpm.v=0,_xlpm.v=""),"-",REPT("●",_xlpm.v)))</f>
        <v>●●</v>
      </c>
      <c r="D247" s="16" t="s">
        <v>1525</v>
      </c>
      <c r="E247" s="16"/>
      <c r="F247" s="16" t="s">
        <v>1526</v>
      </c>
      <c r="G247" s="16" t="s">
        <v>1527</v>
      </c>
      <c r="H247" s="16"/>
      <c r="I247" s="16"/>
    </row>
    <row r="248" spans="1:9">
      <c r="A248" s="1" t="s">
        <v>247</v>
      </c>
      <c r="B248" t="str">
        <f ca="1">_xlfn.LET(_xlpm.v,VLOOKUP(tblCharDataJack[[#This Row],[Field]],INDIRECT($AH$1),2,FALSE),IF(OR(_xlpm.v=0,_xlpm.v=""),"-",REPT("●",_xlpm.v)))</f>
        <v>-</v>
      </c>
      <c r="D248" s="19"/>
      <c r="E248" s="15" t="s">
        <v>1528</v>
      </c>
      <c r="F248" s="7"/>
      <c r="G248" s="7"/>
      <c r="H248" s="19"/>
      <c r="I248" s="19" t="s">
        <v>1529</v>
      </c>
    </row>
    <row r="249" spans="1:9">
      <c r="A249" s="1" t="s">
        <v>248</v>
      </c>
      <c r="B249" t="str">
        <f ca="1">_xlfn.LET(_xlpm.v,VLOOKUP(tblCharDataJack[[#This Row],[Field]],INDIRECT($AH$1),2,FALSE),IF(OR(_xlpm.v=0,_xlpm.v=""),"-",REPT("●",_xlpm.v)))</f>
        <v>●</v>
      </c>
      <c r="D249" s="19"/>
      <c r="E249" s="15" t="s">
        <v>1530</v>
      </c>
      <c r="F249" s="7"/>
      <c r="G249" s="7"/>
      <c r="H249" s="19"/>
      <c r="I249" s="19" t="s">
        <v>1531</v>
      </c>
    </row>
    <row r="250" spans="1:9">
      <c r="A250" s="1" t="s">
        <v>249</v>
      </c>
      <c r="B250" t="str">
        <f ca="1">_xlfn.LET(_xlpm.v,VLOOKUP(tblCharDataJack[[#This Row],[Field]],INDIRECT($AH$1),2,FALSE),IF(OR(_xlpm.v=0,_xlpm.v=""),"-",REPT("●",_xlpm.v)))</f>
        <v>-</v>
      </c>
      <c r="D250" s="19" t="s">
        <v>1532</v>
      </c>
      <c r="E250" s="15" t="s">
        <v>1533</v>
      </c>
      <c r="F250" s="7"/>
      <c r="G250" s="7"/>
      <c r="H250" s="19"/>
      <c r="I250" s="19"/>
    </row>
    <row r="251" spans="1:9">
      <c r="A251" s="1" t="s">
        <v>250</v>
      </c>
      <c r="B251" t="str">
        <f ca="1">_xlfn.LET(_xlpm.v,VLOOKUP(tblCharDataJack[[#This Row],[Field]],INDIRECT($AH$1),2,FALSE),IF(OR(_xlpm.v=0,_xlpm.v=""),"-",REPT("●",_xlpm.v)))</f>
        <v>●</v>
      </c>
      <c r="D251" s="19" t="s">
        <v>1532</v>
      </c>
      <c r="E251" s="15" t="s">
        <v>1534</v>
      </c>
      <c r="F251" s="7"/>
      <c r="G251" s="7"/>
      <c r="H251" s="19"/>
      <c r="I251" s="19"/>
    </row>
    <row r="252" spans="1:9">
      <c r="A252" s="1" t="s">
        <v>251</v>
      </c>
      <c r="B252" t="str">
        <f ca="1">_xlfn.LET(_xlpm.v,VLOOKUP(tblCharDataJack[[#This Row],[Field]],INDIRECT($AH$1),2,FALSE),IF(OR(_xlpm.v=0,_xlpm.v=""),"-",REPT("●",_xlpm.v)))</f>
        <v>●</v>
      </c>
      <c r="D252" s="19" t="s">
        <v>1532</v>
      </c>
      <c r="E252" s="15" t="s">
        <v>1535</v>
      </c>
      <c r="F252" s="7"/>
      <c r="G252" s="7"/>
      <c r="H252" s="19"/>
      <c r="I252" s="19"/>
    </row>
    <row r="253" spans="1:9">
      <c r="A253" s="1" t="s">
        <v>252</v>
      </c>
      <c r="B253" t="str">
        <f ca="1">_xlfn.LET(_xlpm.v,VLOOKUP(tblCharDataJack[[#This Row],[Field]],INDIRECT($AH$1),2,FALSE),IF(OR(_xlpm.v=0,_xlpm.v=""),"-",REPT("●",_xlpm.v)))</f>
        <v>●●</v>
      </c>
      <c r="D253" s="19" t="s">
        <v>1532</v>
      </c>
      <c r="E253" s="15" t="s">
        <v>1536</v>
      </c>
      <c r="F253" s="7"/>
      <c r="G253" s="7"/>
      <c r="H253" s="19"/>
      <c r="I253" s="19"/>
    </row>
    <row r="254" spans="1:9">
      <c r="A254" s="1" t="s">
        <v>253</v>
      </c>
      <c r="B254" t="str">
        <f t="shared" ref="B254:B283" si="36">IF(AD44="","¬",AD44)</f>
        <v>Auspex ● | Beast's Hackles</v>
      </c>
      <c r="D254" s="19" t="s">
        <v>1532</v>
      </c>
      <c r="E254" s="15" t="s">
        <v>1537</v>
      </c>
      <c r="F254" s="7"/>
      <c r="G254" s="7"/>
      <c r="H254" s="19"/>
      <c r="I254" s="19"/>
    </row>
    <row r="255" spans="1:9">
      <c r="A255" s="1" t="s">
        <v>254</v>
      </c>
      <c r="B255" t="str">
        <f t="shared" si="36"/>
        <v>Auspex ●● | Uncanny Perception</v>
      </c>
      <c r="D255" s="19" t="s">
        <v>1532</v>
      </c>
      <c r="E255" s="15" t="s">
        <v>1538</v>
      </c>
      <c r="F255" s="7"/>
      <c r="G255" s="7"/>
      <c r="H255" s="19"/>
      <c r="I255" s="19"/>
    </row>
    <row r="256" spans="1:9">
      <c r="A256" s="1" t="s">
        <v>255</v>
      </c>
      <c r="B256" t="str">
        <f t="shared" si="36"/>
        <v>Auspex ●●● | Spirit's Touch</v>
      </c>
      <c r="D256" s="19" t="s">
        <v>1532</v>
      </c>
      <c r="E256" s="15" t="s">
        <v>1539</v>
      </c>
      <c r="F256" s="7"/>
      <c r="G256" s="7"/>
      <c r="H256" s="19"/>
      <c r="I256" s="19"/>
    </row>
    <row r="257" spans="1:9">
      <c r="A257" s="1" t="s">
        <v>256</v>
      </c>
      <c r="B257" t="str">
        <f t="shared" si="36"/>
        <v>Auspex ●●●● | Lay Open the Mind</v>
      </c>
      <c r="D257" s="19" t="s">
        <v>1532</v>
      </c>
      <c r="E257" s="15" t="s">
        <v>1540</v>
      </c>
      <c r="F257" s="7"/>
      <c r="G257" s="7"/>
      <c r="H257" s="19"/>
      <c r="I257" s="19"/>
    </row>
    <row r="258" spans="1:9">
      <c r="A258" s="1" t="s">
        <v>257</v>
      </c>
      <c r="B258" t="str">
        <f t="shared" si="36"/>
        <v>Celerity ●</v>
      </c>
      <c r="D258" s="19" t="s">
        <v>1532</v>
      </c>
      <c r="E258" s="15" t="s">
        <v>1541</v>
      </c>
      <c r="F258" s="7"/>
      <c r="G258" s="7"/>
      <c r="H258" s="19"/>
      <c r="I258" s="19"/>
    </row>
    <row r="259" spans="1:9">
      <c r="A259" s="1" t="s">
        <v>258</v>
      </c>
      <c r="B259" t="str">
        <f t="shared" si="36"/>
        <v>Obfuscate ● | Face in the Crowd</v>
      </c>
      <c r="D259" s="19" t="s">
        <v>1532</v>
      </c>
      <c r="E259" s="15" t="s">
        <v>1542</v>
      </c>
      <c r="F259" s="7"/>
      <c r="G259" s="7"/>
      <c r="H259" s="19"/>
      <c r="I259" s="19"/>
    </row>
    <row r="260" spans="1:9">
      <c r="A260" s="1" t="s">
        <v>259</v>
      </c>
      <c r="B260" t="str">
        <f t="shared" si="36"/>
        <v>Blood Sorcery | Creation ●</v>
      </c>
      <c r="D260" s="19" t="s">
        <v>1532</v>
      </c>
      <c r="E260" s="15" t="s">
        <v>1543</v>
      </c>
      <c r="F260" s="7"/>
      <c r="G260" s="7"/>
      <c r="H260" s="19"/>
      <c r="I260" s="19"/>
    </row>
    <row r="261" spans="1:9">
      <c r="A261" s="1" t="s">
        <v>260</v>
      </c>
      <c r="B261" t="str">
        <f t="shared" si="36"/>
        <v>Blood Sorcery | Divination ●</v>
      </c>
      <c r="D261" s="19" t="s">
        <v>1532</v>
      </c>
      <c r="E261" s="15" t="s">
        <v>1544</v>
      </c>
      <c r="F261" s="7"/>
      <c r="G261" s="7"/>
      <c r="H261" s="19"/>
      <c r="I261" s="19"/>
    </row>
    <row r="262" spans="1:9">
      <c r="A262" s="1" t="s">
        <v>261</v>
      </c>
      <c r="B262" t="str">
        <f t="shared" si="36"/>
        <v>Blood Sorcery | Protection ●</v>
      </c>
      <c r="D262" s="19" t="s">
        <v>1532</v>
      </c>
      <c r="E262" s="15" t="s">
        <v>1545</v>
      </c>
      <c r="F262" s="7"/>
      <c r="G262" s="7"/>
      <c r="H262" s="19"/>
      <c r="I262" s="19"/>
    </row>
    <row r="263" spans="1:9">
      <c r="A263" s="1" t="s">
        <v>262</v>
      </c>
      <c r="B263" t="str">
        <f t="shared" si="36"/>
        <v>Blood Sorcery | Transmutation ●</v>
      </c>
      <c r="D263" s="19" t="s">
        <v>1532</v>
      </c>
      <c r="E263" s="15" t="s">
        <v>1546</v>
      </c>
      <c r="F263" s="7"/>
      <c r="G263" s="7"/>
      <c r="H263" s="19"/>
      <c r="I263" s="19"/>
    </row>
    <row r="264" spans="1:9">
      <c r="A264" s="1" t="s">
        <v>263</v>
      </c>
      <c r="B264" t="str">
        <f t="shared" si="36"/>
        <v>Blood Sorcery | Transmutation ●●</v>
      </c>
      <c r="D264" s="19" t="s">
        <v>1532</v>
      </c>
      <c r="E264" s="15" t="s">
        <v>1547</v>
      </c>
      <c r="F264" s="7"/>
      <c r="G264" s="7"/>
      <c r="H264" s="19"/>
      <c r="I264" s="19"/>
    </row>
    <row r="265" spans="1:9">
      <c r="A265" s="1" t="s">
        <v>264</v>
      </c>
      <c r="B265" t="str">
        <f t="shared" si="36"/>
        <v>Cruac ● | Mantle of Amorous Fire</v>
      </c>
      <c r="D265" s="19" t="s">
        <v>1532</v>
      </c>
      <c r="E265" s="15" t="s">
        <v>1548</v>
      </c>
      <c r="F265" s="7"/>
      <c r="G265" s="7"/>
      <c r="H265" s="19"/>
      <c r="I265" s="19"/>
    </row>
    <row r="266" spans="1:9">
      <c r="A266" s="1" t="s">
        <v>265</v>
      </c>
      <c r="B266" t="str">
        <f t="shared" si="36"/>
        <v>¬</v>
      </c>
      <c r="D266" s="19" t="s">
        <v>1532</v>
      </c>
      <c r="E266" s="15" t="s">
        <v>1549</v>
      </c>
      <c r="F266" s="7"/>
      <c r="G266" s="7"/>
      <c r="H266" s="19"/>
      <c r="I266" s="19"/>
    </row>
    <row r="267" spans="1:9">
      <c r="A267" s="1" t="s">
        <v>266</v>
      </c>
      <c r="B267" t="str">
        <f t="shared" si="36"/>
        <v>¬</v>
      </c>
      <c r="D267" s="19" t="s">
        <v>1532</v>
      </c>
      <c r="E267" s="15" t="s">
        <v>1550</v>
      </c>
      <c r="F267" s="7"/>
      <c r="G267" s="7"/>
      <c r="H267" s="19"/>
      <c r="I267" s="19"/>
    </row>
    <row r="268" spans="1:9">
      <c r="A268" s="1" t="s">
        <v>267</v>
      </c>
      <c r="B268" t="str">
        <f t="shared" si="36"/>
        <v>¬</v>
      </c>
      <c r="D268" s="19" t="s">
        <v>1532</v>
      </c>
      <c r="E268" s="15" t="s">
        <v>1551</v>
      </c>
      <c r="F268" s="7"/>
      <c r="G268" s="7"/>
      <c r="H268" s="19"/>
      <c r="I268" s="19"/>
    </row>
    <row r="269" spans="1:9">
      <c r="A269" s="1" t="s">
        <v>268</v>
      </c>
      <c r="B269" t="str">
        <f t="shared" si="36"/>
        <v>¬</v>
      </c>
      <c r="D269" s="19" t="s">
        <v>1532</v>
      </c>
      <c r="E269" s="15" t="s">
        <v>1552</v>
      </c>
      <c r="F269" s="7"/>
      <c r="G269" s="7"/>
      <c r="H269" s="19"/>
      <c r="I269" s="19"/>
    </row>
    <row r="270" spans="1:9">
      <c r="A270" s="1" t="s">
        <v>269</v>
      </c>
      <c r="B270" t="str">
        <f t="shared" si="36"/>
        <v>¬</v>
      </c>
      <c r="D270" s="19" t="s">
        <v>1532</v>
      </c>
      <c r="E270" s="15" t="s">
        <v>1553</v>
      </c>
      <c r="F270" s="7"/>
      <c r="G270" s="7"/>
      <c r="H270" s="19"/>
      <c r="I270" s="19"/>
    </row>
    <row r="271" spans="1:9">
      <c r="A271" s="1" t="s">
        <v>270</v>
      </c>
      <c r="B271" t="str">
        <f t="shared" si="36"/>
        <v>¬</v>
      </c>
      <c r="D271" s="19" t="s">
        <v>1532</v>
      </c>
      <c r="E271" s="15" t="s">
        <v>1554</v>
      </c>
      <c r="F271" s="7"/>
      <c r="G271" s="7"/>
      <c r="H271" s="19"/>
      <c r="I271" s="19"/>
    </row>
    <row r="272" spans="1:9">
      <c r="A272" s="1" t="s">
        <v>271</v>
      </c>
      <c r="B272" t="str">
        <f t="shared" si="36"/>
        <v>¬</v>
      </c>
      <c r="D272" s="19" t="s">
        <v>1532</v>
      </c>
      <c r="E272" s="15" t="s">
        <v>1555</v>
      </c>
      <c r="F272" s="7"/>
      <c r="G272" s="7"/>
      <c r="H272" s="19"/>
      <c r="I272" s="19"/>
    </row>
    <row r="273" spans="1:14">
      <c r="A273" s="1" t="s">
        <v>272</v>
      </c>
      <c r="B273" t="str">
        <f t="shared" si="36"/>
        <v>¬</v>
      </c>
      <c r="D273" s="19" t="s">
        <v>1532</v>
      </c>
      <c r="E273" s="15" t="s">
        <v>1556</v>
      </c>
      <c r="F273" s="7"/>
      <c r="G273" s="7"/>
      <c r="H273" s="19"/>
      <c r="I273" s="19"/>
    </row>
    <row r="274" spans="1:14">
      <c r="A274" s="1" t="s">
        <v>273</v>
      </c>
      <c r="B274" t="str">
        <f t="shared" si="36"/>
        <v>¬</v>
      </c>
      <c r="D274" s="19" t="s">
        <v>1532</v>
      </c>
      <c r="E274" s="15" t="s">
        <v>1557</v>
      </c>
      <c r="F274" s="7"/>
      <c r="G274" s="7"/>
      <c r="H274" s="19"/>
      <c r="I274" s="19"/>
    </row>
    <row r="275" spans="1:14">
      <c r="A275" s="1" t="s">
        <v>274</v>
      </c>
      <c r="B275" t="str">
        <f t="shared" si="36"/>
        <v>¬</v>
      </c>
      <c r="D275" s="19" t="s">
        <v>1532</v>
      </c>
      <c r="E275" s="15" t="s">
        <v>1558</v>
      </c>
      <c r="F275" s="7"/>
      <c r="G275" s="7"/>
      <c r="H275" s="19"/>
      <c r="I275" s="19"/>
    </row>
    <row r="276" spans="1:14">
      <c r="A276" s="1" t="s">
        <v>275</v>
      </c>
      <c r="B276" t="str">
        <f t="shared" si="36"/>
        <v>¬</v>
      </c>
      <c r="D276" s="19" t="s">
        <v>1532</v>
      </c>
      <c r="E276" s="15" t="s">
        <v>1559</v>
      </c>
      <c r="F276" s="7"/>
      <c r="G276" s="7"/>
      <c r="H276" s="19"/>
      <c r="I276" s="19"/>
    </row>
    <row r="277" spans="1:14">
      <c r="A277" s="1" t="s">
        <v>276</v>
      </c>
      <c r="B277" t="str">
        <f t="shared" si="36"/>
        <v>¬</v>
      </c>
      <c r="D277" s="19" t="s">
        <v>1532</v>
      </c>
      <c r="E277" s="15" t="s">
        <v>1560</v>
      </c>
      <c r="F277" s="7"/>
      <c r="G277" s="7"/>
      <c r="H277" s="19"/>
      <c r="I277" s="19"/>
    </row>
    <row r="278" spans="1:14">
      <c r="A278" s="1" t="s">
        <v>277</v>
      </c>
      <c r="B278" t="str">
        <f t="shared" si="36"/>
        <v>¬</v>
      </c>
    </row>
    <row r="279" spans="1:14">
      <c r="A279" s="1" t="s">
        <v>278</v>
      </c>
      <c r="B279" t="str">
        <f t="shared" si="36"/>
        <v>¬</v>
      </c>
      <c r="D279" s="16" t="s">
        <v>1561</v>
      </c>
      <c r="E279" s="16"/>
      <c r="F279" s="16" t="s">
        <v>1347</v>
      </c>
      <c r="G279" s="16" t="s">
        <v>1348</v>
      </c>
      <c r="H279" s="16" t="s">
        <v>1349</v>
      </c>
      <c r="I279" s="16" t="s">
        <v>1350</v>
      </c>
      <c r="N279" s="60">
        <f ca="1">SUM(N280:N282)</f>
        <v>3</v>
      </c>
    </row>
    <row r="280" spans="1:14">
      <c r="A280" s="1" t="s">
        <v>279</v>
      </c>
      <c r="B280" t="str">
        <f t="shared" si="36"/>
        <v>¬</v>
      </c>
      <c r="D280" s="61" t="str" cm="1">
        <f t="array" aca="1" ref="D280" ca="1">INDEX(Attendance!$C$14:$GP$44,
       MATCH($F$4, Attendance!$C$14:$C$44, 0),
       MATCH(1, (Attendance!$C$12:$GP$12=$E280) * (Attendance!$C$13:$GP$13="Paid"), 0)
)</f>
        <v>Cash</v>
      </c>
      <c r="E280" s="41">
        <v>46054</v>
      </c>
      <c r="F280" s="61" cm="1">
        <f t="array" aca="1" ref="F280" ca="1">N(INDEX(Attendance!$C$14:$GP$104,
       MATCH($F$4, Attendance!$C$14:$C$104, 0),
       MATCH(1, (Attendance!$C$12:$GP$12=$E280) * (Attendance!$C$13:$GP$13=$F$279), 0)
))</f>
        <v>3</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0</v>
      </c>
      <c r="I280" s="61" t="str" cm="1">
        <f t="array" aca="1" ref="I280" ca="1">INDEX(Attendance!$C$14:$GP$44,
       MATCH($F$4, Attendance!$C$14:$C$44, 0),
       MATCH(1, (Attendance!$C$12:$GP$12=$E280) * (Attendance!$C$13:$GP$13=$I$279), 0)
)</f>
        <v>Quiet</v>
      </c>
      <c r="K280" s="18"/>
      <c r="L280" s="18"/>
      <c r="M280" s="18" t="s">
        <v>1562</v>
      </c>
      <c r="N280" s="61">
        <f ca="1">SUM(F$280:F$316)</f>
        <v>3</v>
      </c>
    </row>
    <row r="281" spans="1:14">
      <c r="A281" s="1" t="s">
        <v>280</v>
      </c>
      <c r="B281" t="str">
        <f t="shared" si="36"/>
        <v>¬</v>
      </c>
      <c r="D281" s="61" t="str" cm="1">
        <f t="array" aca="1" ref="D281" ca="1">INDEX(Attendance!$C$14:$GP$44,
       MATCH($F$4, Attendance!$C$14:$C$44, 0),
       MATCH(1, (Attendance!$C$12:$GP$12=$E281) * (Attendance!$C$13:$GP$13="Paid"), 0)
)</f>
        <v> </v>
      </c>
      <c r="E281" s="42">
        <f t="shared" ref="E281:E316" si="37">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6"/>
        <v>¬</v>
      </c>
      <c r="D282" s="61" t="str" cm="1">
        <f t="array" aca="1" ref="D282" ca="1">INDEX(Attendance!$C$14:$GP$44,
       MATCH($F$4, Attendance!$C$14:$C$44, 0),
       MATCH(1, (Attendance!$C$12:$GP$12=$E282) * (Attendance!$C$13:$GP$13="Paid"), 0)
)</f>
        <v> </v>
      </c>
      <c r="E282" s="42">
        <f t="shared" si="37"/>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0</v>
      </c>
    </row>
    <row r="283" spans="1:14">
      <c r="A283" s="1" t="s">
        <v>282</v>
      </c>
      <c r="B283" t="str">
        <f t="shared" si="36"/>
        <v>¬</v>
      </c>
      <c r="D283" s="61" t="str" cm="1">
        <f t="array" aca="1" ref="D283" ca="1">INDEX(Attendance!$C$14:$GP$44,
       MATCH($F$4, Attendance!$C$14:$C$44, 0),
       MATCH(1, (Attendance!$C$12:$GP$12=$E283) * (Attendance!$C$13:$GP$13="Paid"), 0)
)</f>
        <v> </v>
      </c>
      <c r="E283" s="42">
        <f t="shared" si="37"/>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8">IF(AE44="","¬",AE44)</f>
        <v>Cost: Free (1 V for Insight)  •  Pool: - - Composure &amp; Closed Book  •  Instant  •  Scene</v>
      </c>
      <c r="D284" s="61" t="str" cm="1">
        <f t="array" aca="1" ref="D284" ca="1">INDEX(Attendance!$C$14:$GP$44,
       MATCH($F$4, Attendance!$C$14:$C$44, 0),
       MATCH(1, (Attendance!$C$12:$GP$12=$E284) * (Attendance!$C$13:$GP$13="Paid"), 0)
)</f>
        <v> </v>
      </c>
      <c r="E284" s="42">
        <f t="shared" si="37"/>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8"/>
        <v>Cost: Free (1 V for Insight) Must perceive target  •  Pool: -  •  Instant  •  Scene</v>
      </c>
      <c r="D285" s="61" t="str" cm="1">
        <f t="array" aca="1" ref="D285" ca="1">INDEX(Attendance!$C$14:$GP$44,
       MATCH($F$4, Attendance!$C$14:$C$44, 0),
       MATCH(1, (Attendance!$C$12:$GP$12=$E285) * (Attendance!$C$13:$GP$13="Paid"), 0)
)</f>
        <v> </v>
      </c>
      <c r="E285" s="42">
        <f t="shared" si="37"/>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8"/>
        <v>Cost: Free (1 WP for clash / 1 V for Insight)  •  Pool: - v Resolve + Stealth + Obf  •  Reflexive  •  Immediate</v>
      </c>
      <c r="D286" s="61" t="str" cm="1">
        <f t="array" aca="1" ref="D286" ca="1">INDEX(Attendance!$C$14:$GP$44,
       MATCH($F$4, Attendance!$C$14:$C$44, 0),
       MATCH(1, (Attendance!$C$12:$GP$12=$E286) * (Attendance!$C$13:$GP$13="Paid"), 0)
)</f>
        <v> </v>
      </c>
      <c r="E286" s="42">
        <f t="shared" si="37"/>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8"/>
        <v>Cost: 1 V  •  Pool: 7  v Resolve + BP  •  Instant  •  Scene</v>
      </c>
      <c r="D287" s="61" t="str" cm="1">
        <f t="array" aca="1" ref="D287" ca="1">INDEX(Attendance!$C$14:$GP$44,
       MATCH($F$4, Attendance!$C$14:$C$44, 0),
       MATCH(1, (Attendance!$C$12:$GP$12=$E287) * (Attendance!$C$13:$GP$13="Paid"), 0)
)</f>
        <v> </v>
      </c>
      <c r="E287" s="42">
        <f t="shared" si="37"/>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8"/>
        <v>Cost: 1 V per effect  •  Pool: -  •  Reflexive  •  1 turn</v>
      </c>
      <c r="D288" s="61" t="str" cm="1">
        <f t="array" aca="1" ref="D288" ca="1">INDEX(Attendance!$C$14:$GP$44,
       MATCH($F$4, Attendance!$C$14:$C$44, 0),
       MATCH(1, (Attendance!$C$12:$GP$12=$E288) * (Attendance!$C$13:$GP$13="Paid"), 0)
)</f>
        <v> </v>
      </c>
      <c r="E288" s="42">
        <f t="shared" si="37"/>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8"/>
        <v>Cost: -  •  Pool: -  •  Instant  •  Scene</v>
      </c>
      <c r="D289" s="61" t="str" cm="1">
        <f t="array" aca="1" ref="D289" ca="1">INDEX(Attendance!$C$14:$GP$44,
       MATCH($F$4, Attendance!$C$14:$C$44, 0),
       MATCH(1, (Attendance!$C$12:$GP$12=$E289) * (Attendance!$C$13:$GP$13="Paid"), 0)
)</f>
        <v> </v>
      </c>
      <c r="E289" s="42">
        <f t="shared" si="37"/>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8"/>
        <v>¬</v>
      </c>
      <c r="D290" s="61" t="str" cm="1">
        <f t="array" aca="1" ref="D290" ca="1">INDEX(Attendance!$C$14:$GP$44,
       MATCH($F$4, Attendance!$C$14:$C$44, 0),
       MATCH(1, (Attendance!$C$12:$GP$12=$E290) * (Attendance!$C$13:$GP$13="Paid"), 0)
)</f>
        <v> </v>
      </c>
      <c r="E290" s="42">
        <f t="shared" si="37"/>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8"/>
        <v>¬</v>
      </c>
      <c r="D291" s="61" t="str" cm="1">
        <f t="array" aca="1" ref="D291" ca="1">INDEX(Attendance!$C$14:$GP$44,
       MATCH($F$4, Attendance!$C$14:$C$44, 0),
       MATCH(1, (Attendance!$C$12:$GP$12=$E291) * (Attendance!$C$13:$GP$13="Paid"), 0)
)</f>
        <v> </v>
      </c>
      <c r="E291" s="42">
        <f t="shared" si="37"/>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8"/>
        <v>¬</v>
      </c>
      <c r="D292" s="61" t="str" cm="1">
        <f t="array" aca="1" ref="D292" ca="1">INDEX(Attendance!$C$14:$GP$44,
       MATCH($F$4, Attendance!$C$14:$C$44, 0),
       MATCH(1, (Attendance!$C$12:$GP$12=$E292) * (Attendance!$C$13:$GP$13="Paid"), 0)
)</f>
        <v> </v>
      </c>
      <c r="E292" s="42">
        <f t="shared" si="37"/>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8"/>
        <v>¬</v>
      </c>
      <c r="D293" s="61" t="str" cm="1">
        <f t="array" aca="1" ref="D293" ca="1">INDEX(Attendance!$C$14:$GP$44,
       MATCH($F$4, Attendance!$C$14:$C$44, 0),
       MATCH(1, (Attendance!$C$12:$GP$12=$E293) * (Attendance!$C$13:$GP$13="Paid"), 0)
)</f>
        <v> </v>
      </c>
      <c r="E293" s="42">
        <f t="shared" si="37"/>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8"/>
        <v>¬</v>
      </c>
      <c r="D294" s="61" t="str" cm="1">
        <f t="array" aca="1" ref="D294" ca="1">INDEX(Attendance!$C$14:$GP$44,
       MATCH($F$4, Attendance!$C$14:$C$44, 0),
       MATCH(1, (Attendance!$C$12:$GP$12=$E294) * (Attendance!$C$13:$GP$13="Paid"), 0)
)</f>
        <v> </v>
      </c>
      <c r="E294" s="42">
        <f t="shared" si="37"/>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8"/>
        <v>Cost: 1 V 1 Successes  •  Pool: 8  •  Ritual  •  Scene</v>
      </c>
      <c r="D295" s="61" t="str" cm="1">
        <f t="array" aca="1" ref="D295" ca="1">INDEX(Attendance!$C$14:$GP$44,
       MATCH($F$4, Attendance!$C$14:$C$44, 0),
       MATCH(1, (Attendance!$C$12:$GP$12=$E295) * (Attendance!$C$13:$GP$13="Paid"), 0)
)</f>
        <v> </v>
      </c>
      <c r="E295" s="42">
        <f t="shared" si="37"/>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8"/>
        <v>¬</v>
      </c>
      <c r="D296" s="61" t="str" cm="1">
        <f t="array" aca="1" ref="D296" ca="1">INDEX(Attendance!$C$14:$GP$44,
       MATCH($F$4, Attendance!$C$14:$C$44, 0),
       MATCH(1, (Attendance!$C$12:$GP$12=$E296) * (Attendance!$C$13:$GP$13="Paid"), 0)
)</f>
        <v> </v>
      </c>
      <c r="E296" s="42">
        <f t="shared" si="37"/>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8"/>
        <v>¬</v>
      </c>
      <c r="D297" s="61" t="str" cm="1">
        <f t="array" aca="1" ref="D297" ca="1">INDEX(Attendance!$C$14:$GP$44,
       MATCH($F$4, Attendance!$C$14:$C$44, 0),
       MATCH(1, (Attendance!$C$12:$GP$12=$E297) * (Attendance!$C$13:$GP$13="Paid"), 0)
)</f>
        <v> </v>
      </c>
      <c r="E297" s="42">
        <f t="shared" si="37"/>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8"/>
        <v>¬</v>
      </c>
      <c r="D298" s="61" t="str" cm="1">
        <f t="array" aca="1" ref="D298" ca="1">INDEX(Attendance!$C$14:$GP$44,
       MATCH($F$4, Attendance!$C$14:$C$44, 0),
       MATCH(1, (Attendance!$C$12:$GP$12=$E298) * (Attendance!$C$13:$GP$13="Paid"), 0)
)</f>
        <v> </v>
      </c>
      <c r="E298" s="42">
        <f t="shared" si="37"/>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8"/>
        <v>¬</v>
      </c>
      <c r="D299" s="61" t="str" cm="1">
        <f t="array" aca="1" ref="D299" ca="1">INDEX(Attendance!$C$14:$GP$44,
       MATCH($F$4, Attendance!$C$14:$C$44, 0),
       MATCH(1, (Attendance!$C$12:$GP$12=$E299) * (Attendance!$C$13:$GP$13="Paid"), 0)
)</f>
        <v> </v>
      </c>
      <c r="E299" s="42">
        <f t="shared" si="37"/>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8"/>
        <v>¬</v>
      </c>
      <c r="D300" s="61" t="str" cm="1">
        <f t="array" aca="1" ref="D300" ca="1">INDEX(Attendance!$C$14:$GP$44,
       MATCH($F$4, Attendance!$C$14:$C$44, 0),
       MATCH(1, (Attendance!$C$12:$GP$12=$E300) * (Attendance!$C$13:$GP$13="Paid"), 0)
)</f>
        <v> </v>
      </c>
      <c r="E300" s="42">
        <f t="shared" si="37"/>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8"/>
        <v>¬</v>
      </c>
      <c r="D301" s="61" t="str" cm="1">
        <f t="array" aca="1" ref="D301" ca="1">INDEX(Attendance!$C$14:$GP$44,
       MATCH($F$4, Attendance!$C$14:$C$44, 0),
       MATCH(1, (Attendance!$C$12:$GP$12=$E301) * (Attendance!$C$13:$GP$13="Paid"), 0)
)</f>
        <v> </v>
      </c>
      <c r="E301" s="42">
        <f t="shared" si="37"/>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8"/>
        <v>¬</v>
      </c>
      <c r="D302" s="61" t="str" cm="1">
        <f t="array" aca="1" ref="D302" ca="1">INDEX(Attendance!$C$14:$GP$44,
       MATCH($F$4, Attendance!$C$14:$C$44, 0),
       MATCH(1, (Attendance!$C$12:$GP$12=$E302) * (Attendance!$C$13:$GP$13="Paid"), 0)
)</f>
        <v> </v>
      </c>
      <c r="E302" s="42">
        <f t="shared" si="37"/>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8"/>
        <v>¬</v>
      </c>
      <c r="D303" s="61" t="str" cm="1">
        <f t="array" aca="1" ref="D303" ca="1">INDEX(Attendance!$C$14:$GP$44,
       MATCH($F$4, Attendance!$C$14:$C$44, 0),
       MATCH(1, (Attendance!$C$12:$GP$12=$E303) * (Attendance!$C$13:$GP$13="Paid"), 0)
)</f>
        <v> </v>
      </c>
      <c r="E303" s="42">
        <f t="shared" si="37"/>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8"/>
        <v>¬</v>
      </c>
      <c r="D304" s="61" t="str" cm="1">
        <f t="array" aca="1" ref="D304" ca="1">INDEX(Attendance!$C$14:$GP$44,
       MATCH($F$4, Attendance!$C$14:$C$44, 0),
       MATCH(1, (Attendance!$C$12:$GP$12=$E304) * (Attendance!$C$13:$GP$13="Paid"), 0)
)</f>
        <v> </v>
      </c>
      <c r="E304" s="42">
        <f t="shared" si="37"/>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8"/>
        <v>¬</v>
      </c>
      <c r="D305" s="61" t="str" cm="1">
        <f t="array" aca="1" ref="D305" ca="1">INDEX(Attendance!$C$14:$GP$44,
       MATCH($F$4, Attendance!$C$14:$C$44, 0),
       MATCH(1, (Attendance!$C$12:$GP$12=$E305) * (Attendance!$C$13:$GP$13="Paid"), 0)
)</f>
        <v> </v>
      </c>
      <c r="E305" s="42">
        <f t="shared" si="37"/>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8"/>
        <v>¬</v>
      </c>
      <c r="D306" s="61" t="str" cm="1">
        <f t="array" aca="1" ref="D306" ca="1">INDEX(Attendance!$C$14:$GP$44,
       MATCH($F$4, Attendance!$C$14:$C$44, 0),
       MATCH(1, (Attendance!$C$12:$GP$12=$E306) * (Attendance!$C$13:$GP$13="Paid"), 0)
)</f>
        <v> </v>
      </c>
      <c r="E306" s="42">
        <f t="shared" si="37"/>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8"/>
        <v>¬</v>
      </c>
      <c r="D307" s="61" t="str" cm="1">
        <f t="array" aca="1" ref="D307" ca="1">INDEX(Attendance!$C$14:$GP$44,
       MATCH($F$4, Attendance!$C$14:$C$44, 0),
       MATCH(1, (Attendance!$C$12:$GP$12=$E307) * (Attendance!$C$13:$GP$13="Paid"), 0)
)</f>
        <v> </v>
      </c>
      <c r="E307" s="42">
        <f t="shared" si="37"/>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8"/>
        <v>¬</v>
      </c>
      <c r="D308" s="61" t="str" cm="1">
        <f t="array" aca="1" ref="D308" ca="1">INDEX(Attendance!$C$14:$GP$44,
       MATCH($F$4, Attendance!$C$14:$C$44, 0),
       MATCH(1, (Attendance!$C$12:$GP$12=$E308) * (Attendance!$C$13:$GP$13="Paid"), 0)
)</f>
        <v> </v>
      </c>
      <c r="E308" s="42">
        <f t="shared" si="37"/>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8"/>
        <v>¬</v>
      </c>
      <c r="D309" s="61" t="str" cm="1">
        <f t="array" aca="1" ref="D309" ca="1">INDEX(Attendance!$C$14:$GP$44,
       MATCH($F$4, Attendance!$C$14:$C$44, 0),
       MATCH(1, (Attendance!$C$12:$GP$12=$E309) * (Attendance!$C$13:$GP$13="Paid"), 0)
)</f>
        <v> </v>
      </c>
      <c r="E309" s="42">
        <f t="shared" si="37"/>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8"/>
        <v>¬</v>
      </c>
      <c r="D310" s="61" t="str" cm="1">
        <f t="array" aca="1" ref="D310" ca="1">INDEX(Attendance!$C$14:$GP$44,
       MATCH($F$4, Attendance!$C$14:$C$44, 0),
       MATCH(1, (Attendance!$C$12:$GP$12=$E310) * (Attendance!$C$13:$GP$13="Paid"), 0)
)</f>
        <v> </v>
      </c>
      <c r="E310" s="42">
        <f t="shared" si="37"/>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8"/>
        <v>¬</v>
      </c>
      <c r="D311" s="61" t="str" cm="1">
        <f t="array" aca="1" ref="D311" ca="1">INDEX(Attendance!$C$14:$GP$44,
       MATCH($F$4, Attendance!$C$14:$C$44, 0),
       MATCH(1, (Attendance!$C$12:$GP$12=$E311) * (Attendance!$C$13:$GP$13="Paid"), 0)
)</f>
        <v> </v>
      </c>
      <c r="E311" s="42">
        <f t="shared" si="37"/>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8"/>
        <v>¬</v>
      </c>
      <c r="D312" s="61" t="str" cm="1">
        <f t="array" aca="1" ref="D312" ca="1">INDEX(Attendance!$C$14:$GP$44,
       MATCH($F$4, Attendance!$C$14:$C$44, 0),
       MATCH(1, (Attendance!$C$12:$GP$12=$E312) * (Attendance!$C$13:$GP$13="Paid"), 0)
)</f>
        <v> </v>
      </c>
      <c r="E312" s="42">
        <f t="shared" si="37"/>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8"/>
        <v>¬</v>
      </c>
      <c r="D313" s="61" t="str" cm="1">
        <f t="array" aca="1" ref="D313" ca="1">INDEX(Attendance!$C$14:$GP$44,
       MATCH($F$4, Attendance!$C$14:$C$44, 0),
       MATCH(1, (Attendance!$C$12:$GP$12=$E313) * (Attendance!$C$13:$GP$13="Paid"), 0)
)</f>
        <v> </v>
      </c>
      <c r="E313" s="42">
        <f t="shared" si="37"/>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39">IF(AF44="","¬",AF44)</f>
        <v>Add Auspex dots to any rolls to resist surprise. Access to Tier 1 Auspex Insight questions.</v>
      </c>
      <c r="D314" s="61" t="str" cm="1">
        <f t="array" aca="1" ref="D314" ca="1">INDEX(Attendance!$C$14:$GP$44,
       MATCH($F$4, Attendance!$C$14:$C$44, 0),
       MATCH(1, (Attendance!$C$12:$GP$12=$E314) * (Attendance!$C$13:$GP$13="Paid"), 0)
)</f>
        <v> </v>
      </c>
      <c r="E314" s="42">
        <f t="shared" si="37"/>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39"/>
        <v>Persistent Acute Senses Merit, doubles actual merit. Access to Tier 2 Auspex Insight questions.</v>
      </c>
      <c r="D315" s="61" t="str" cm="1">
        <f t="array" aca="1" ref="D315" ca="1">INDEX(Attendance!$C$14:$GP$44,
       MATCH($F$4, Attendance!$C$14:$C$44, 0),
       MATCH(1, (Attendance!$C$12:$GP$12=$E315) * (Attendance!$C$13:$GP$13="Paid"), 0)
)</f>
        <v> </v>
      </c>
      <c r="E315" s="42">
        <f t="shared" si="37"/>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39"/>
        <v xml:space="preserve">Passively scan for anyone under Obfuscate 1 or 3, can provoke a challenge. Access to Tier 3 Auspex Insight questions. </v>
      </c>
      <c r="D316" s="61" t="str" cm="1">
        <f t="array" aca="1" ref="D316" ca="1">INDEX(Attendance!$C$14:$GP$44,
       MATCH($F$4, Attendance!$C$14:$C$44, 0),
       MATCH(1, (Attendance!$C$12:$GP$12=$E316) * (Attendance!$C$13:$GP$13="Paid"), 0)
)</f>
        <v> </v>
      </c>
      <c r="E316" s="42">
        <f t="shared" si="37"/>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39"/>
        <v>Telepathy and mind-reading. Invoke Conditions.</v>
      </c>
    </row>
    <row r="318" spans="1:9">
      <c r="A318" s="1" t="s">
        <v>317</v>
      </c>
      <c r="B318" t="str">
        <f t="shared" si="39"/>
        <v>Persistent improved Defence or Dodge. Activate for supernatural speed benefits. Unnatural Grace: add Celerity dots as bonus dice to non-combat speed-based pools.</v>
      </c>
    </row>
    <row r="319" spans="1:9">
      <c r="A319" s="1" t="s">
        <v>318</v>
      </c>
      <c r="B319" t="str">
        <f t="shared" si="39"/>
        <v>Blend into surroundings, visible but unnoticeable. Predatory aura fully on or off. Leaving combat: Wits + Composure - Obfuscate to notice; auto Clash of Wills vs Auspex.</v>
      </c>
    </row>
    <row r="320" spans="1:9">
      <c r="A320" s="1" t="s">
        <v>319</v>
      </c>
      <c r="B320" t="str">
        <f t="shared" si="39"/>
        <v>Summon liquids, dead organic matter, sensory phenomena. Bonus/penalty = Potency.</v>
      </c>
    </row>
    <row r="321" spans="1:2">
      <c r="A321" s="1" t="s">
        <v>320</v>
      </c>
      <c r="B321" t="str">
        <f t="shared" si="39"/>
        <v>Glimpse fragmented details about intended actions. Learn basic info about a target.</v>
      </c>
    </row>
    <row r="322" spans="1:2">
      <c r="A322" s="1" t="s">
        <v>321</v>
      </c>
      <c r="B322" t="str">
        <f t="shared" si="39"/>
        <v>Subtract Potency from ritual rolls targeting subject. Heal bashing in vampires. Protect from the Kiss (add Potency to resistance).</v>
      </c>
    </row>
    <row r="323" spans="1:2">
      <c r="A323" s="1" t="s">
        <v>322</v>
      </c>
      <c r="B323" t="str">
        <f t="shared" si="39"/>
        <v>Minor cosmetic changes to living subjects. Warp dead matter. Animate liquids.</v>
      </c>
    </row>
    <row r="324" spans="1:2">
      <c r="A324" s="1" t="s">
        <v>323</v>
      </c>
      <c r="B324" t="str">
        <f t="shared" si="39"/>
        <v>Disguise living/vampiric subjects. Transform dead matter completely. Animate gases and plants. Alter speech. Grant 9-again or WP/Vitae above maximum.</v>
      </c>
    </row>
    <row r="325" spans="1:2">
      <c r="A325" s="1" t="s">
        <v>324</v>
      </c>
      <c r="B325" t="str">
        <f t="shared" si="39"/>
        <v>Dance to exhaustion. Add Cruac as a Presence bonus for the night.</v>
      </c>
    </row>
    <row r="326" spans="1:2">
      <c r="A326" s="1" t="s">
        <v>325</v>
      </c>
      <c r="B326" t="str">
        <f t="shared" si="39"/>
        <v>¬</v>
      </c>
    </row>
    <row r="327" spans="1:2">
      <c r="A327" s="1" t="s">
        <v>326</v>
      </c>
      <c r="B327" t="str">
        <f t="shared" si="39"/>
        <v>¬</v>
      </c>
    </row>
    <row r="328" spans="1:2">
      <c r="A328" s="1" t="s">
        <v>327</v>
      </c>
      <c r="B328" t="str">
        <f t="shared" si="39"/>
        <v>¬</v>
      </c>
    </row>
    <row r="329" spans="1:2">
      <c r="A329" s="1" t="s">
        <v>328</v>
      </c>
      <c r="B329" t="str">
        <f t="shared" si="39"/>
        <v>¬</v>
      </c>
    </row>
    <row r="330" spans="1:2">
      <c r="A330" s="1" t="s">
        <v>329</v>
      </c>
      <c r="B330" t="str">
        <f t="shared" si="39"/>
        <v>¬</v>
      </c>
    </row>
    <row r="331" spans="1:2">
      <c r="A331" s="1" t="s">
        <v>330</v>
      </c>
      <c r="B331" t="str">
        <f t="shared" si="39"/>
        <v>¬</v>
      </c>
    </row>
    <row r="332" spans="1:2">
      <c r="A332" s="1" t="s">
        <v>331</v>
      </c>
      <c r="B332" t="str">
        <f t="shared" si="39"/>
        <v>¬</v>
      </c>
    </row>
    <row r="333" spans="1:2">
      <c r="A333" s="1" t="s">
        <v>332</v>
      </c>
      <c r="B333" t="str">
        <f t="shared" si="39"/>
        <v>¬</v>
      </c>
    </row>
    <row r="334" spans="1:2">
      <c r="A334" s="1" t="s">
        <v>333</v>
      </c>
      <c r="B334" t="str">
        <f t="shared" si="39"/>
        <v>¬</v>
      </c>
    </row>
    <row r="335" spans="1:2">
      <c r="A335" s="1" t="s">
        <v>334</v>
      </c>
      <c r="B335" t="str">
        <f t="shared" si="39"/>
        <v>¬</v>
      </c>
    </row>
    <row r="336" spans="1:2">
      <c r="A336" s="1" t="s">
        <v>335</v>
      </c>
      <c r="B336" t="str">
        <f t="shared" si="39"/>
        <v>¬</v>
      </c>
    </row>
    <row r="337" spans="1:2">
      <c r="A337" s="1" t="s">
        <v>336</v>
      </c>
      <c r="B337" t="str">
        <f t="shared" si="39"/>
        <v>¬</v>
      </c>
    </row>
    <row r="338" spans="1:2">
      <c r="A338" s="1" t="s">
        <v>337</v>
      </c>
      <c r="B338" t="str">
        <f t="shared" si="39"/>
        <v>¬</v>
      </c>
    </row>
    <row r="339" spans="1:2">
      <c r="A339" s="1" t="s">
        <v>338</v>
      </c>
      <c r="B339" t="str">
        <f t="shared" si="39"/>
        <v>¬</v>
      </c>
    </row>
    <row r="340" spans="1:2">
      <c r="A340" s="1" t="s">
        <v>339</v>
      </c>
      <c r="B340" t="str">
        <f t="shared" si="39"/>
        <v>¬</v>
      </c>
    </row>
    <row r="341" spans="1:2">
      <c r="A341" s="1" t="s">
        <v>340</v>
      </c>
      <c r="B341" t="str">
        <f t="shared" si="39"/>
        <v>¬</v>
      </c>
    </row>
    <row r="342" spans="1:2">
      <c r="A342" s="1" t="s">
        <v>341</v>
      </c>
      <c r="B342" t="str">
        <f t="shared" si="39"/>
        <v>¬</v>
      </c>
    </row>
    <row r="343" spans="1:2">
      <c r="A343" s="1" t="s">
        <v>342</v>
      </c>
      <c r="B343" t="str">
        <f t="shared" si="39"/>
        <v>¬</v>
      </c>
    </row>
    <row r="344" spans="1:2">
      <c r="A344" s="1" t="s">
        <v>343</v>
      </c>
      <c r="B344" s="8" t="str">
        <f>IF(VLOOKUP(tblCharDataJack[[#This Row],[Field]],$E$2:$F$361,2,FALSE)="","¬",VLOOKUP(tblCharDataJack[[#This Row],[Field]],$E$2:$F$361,2,FALSE))</f>
        <v>Tenebrous Curse</v>
      </c>
    </row>
    <row r="345" spans="1:2">
      <c r="A345" s="1" t="s">
        <v>344</v>
      </c>
      <c r="B345" s="8" t="str">
        <f>IF(VLOOKUP(tblCharDataJack[[#This Row],[Field]],$E$2:$F$361,2,FALSE)="","¬",VLOOKUP(tblCharDataJack[[#This Row],[Field]],$E$2:$F$361,2,FALSE))</f>
        <v>¬</v>
      </c>
    </row>
    <row r="346" spans="1:2">
      <c r="A346" s="1" t="s">
        <v>345</v>
      </c>
      <c r="B346" s="8" t="str">
        <f>IF(VLOOKUP(tblCharDataJack[[#This Row],[Field]],$E$2:$F$361,2,FALSE)="","¬",VLOOKUP(tblCharDataJack[[#This Row],[Field]],$E$2:$F$361,2,FALSE))</f>
        <v>Plague of Purity</v>
      </c>
    </row>
    <row r="347" spans="1:2">
      <c r="A347" s="1" t="s">
        <v>346</v>
      </c>
      <c r="B347" s="8" t="str">
        <f>IF(VLOOKUP(tblCharDataJack[[#This Row],[Field]],$E$2:$F$361,2,FALSE)="","¬",VLOOKUP(tblCharDataJack[[#This Row],[Field]],$E$2:$F$361,2,FALSE))</f>
        <v>¬</v>
      </c>
    </row>
    <row r="348" spans="1:2">
      <c r="A348" s="1" t="s">
        <v>347</v>
      </c>
      <c r="B348" s="8" t="str">
        <f>IF(VLOOKUP(tblCharDataJack[[#This Row],[Field]],$E$2:$F$361,2,FALSE)="","¬",VLOOKUP(tblCharDataJack[[#This Row],[Field]],$E$2:$F$361,2,FALSE))</f>
        <v>¬</v>
      </c>
    </row>
    <row r="349" spans="1:2">
      <c r="A349" s="1" t="s">
        <v>348</v>
      </c>
      <c r="B349" t="str">
        <f>_xlfn.IFNA(VLOOKUP(B344,$F$234:$I$238,3,FALSE),"")</f>
        <v>Gain an extra bane at Humanity 6 (doesn't count towards cap); Humanity counts –1 for all Humanity-based banes.</v>
      </c>
    </row>
    <row r="350" spans="1:2">
      <c r="A350" s="1" t="s">
        <v>349</v>
      </c>
      <c r="B350" t="str">
        <f>_xlfn.IFNA(VLOOKUP(B345,$F$234:$I$238,3,FALSE),"¬")</f>
        <v>¬</v>
      </c>
    </row>
    <row r="351" spans="1:2">
      <c r="A351" s="1" t="s">
        <v>350</v>
      </c>
      <c r="B351" t="str">
        <f>_xlfn.IFNA(VLOOKUP(B346,$F$234:$I$238,3,FALSE),"")</f>
        <v>Touch by Integrity 8+ mortal causes (10 – Humanity) bashing damage.</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8</v>
      </c>
    </row>
    <row r="356" spans="1:2">
      <c r="A356" s="1" t="s">
        <v>355</v>
      </c>
      <c r="B356">
        <f ca="1">P220</f>
        <v>3</v>
      </c>
    </row>
    <row r="357" spans="1:2">
      <c r="A357" s="1" t="s">
        <v>356</v>
      </c>
      <c r="B357" t="str">
        <f>IF(F10="","¬",VLOOKUP(F10,tblAnchors[],2,FALSE))</f>
        <v>Build a new identity or uncover a secret.</v>
      </c>
    </row>
    <row r="358" spans="1:2">
      <c r="A358" s="1" t="s">
        <v>357</v>
      </c>
      <c r="B358" t="str">
        <f>IF(F10="","¬",VLOOKUP(F10,tblAnchors[],3,FALSE))</f>
        <v>Uncover a damning secret that could end someone.</v>
      </c>
    </row>
    <row r="359" spans="1:2">
      <c r="A359" s="1" t="s">
        <v>358</v>
      </c>
      <c r="B359" t="str">
        <f>IF(F11="","¬",VLOOKUP(F11,tblAnchors[],2,FALSE))</f>
        <v>Cause pain for the sole intention of causing pain.</v>
      </c>
    </row>
    <row r="360" spans="1:2">
      <c r="A360" s="1" t="s">
        <v>359</v>
      </c>
      <c r="B360" t="str">
        <f>IF(F11="","¬",VLOOKUP(F11,tblAnchors[],3,FALSE))</f>
        <v>Commit a capital crime without additional motive.</v>
      </c>
    </row>
    <row r="361" spans="1:2">
      <c r="A361" s="1" t="s">
        <v>360</v>
      </c>
      <c r="B361" t="str">
        <f>IF(F240="","¬",F240)</f>
        <v>Build blackmail material dossier on Kindred</v>
      </c>
    </row>
    <row r="362" spans="1:2">
      <c r="A362" s="1" t="s">
        <v>361</v>
      </c>
      <c r="B362" t="str">
        <f>IF(F241="","¬",F241)</f>
        <v>Establish Crone Praxis / Film Kindred</v>
      </c>
    </row>
    <row r="363" spans="1:2">
      <c r="A363" s="1" t="s">
        <v>362</v>
      </c>
      <c r="B363" t="str">
        <f>IF(F242="","¬",F242)</f>
        <v>Dilute adherance to the Traditions / Subvert Moulding Room</v>
      </c>
    </row>
    <row r="364" spans="1:2">
      <c r="A364" s="1" t="s">
        <v>363</v>
      </c>
      <c r="B364" t="str">
        <f>IF(G14="","",G14)</f>
        <v>Mid 40's</v>
      </c>
    </row>
    <row r="365" spans="1:2">
      <c r="A365" s="1" t="s">
        <v>364</v>
      </c>
      <c r="B365" t="str">
        <f>_xlfn.LET(_xlpm.a,IF(F244="","",F244),_xlpm.b,IF(F245="","",F245),IF(AND(_xlpm.a&lt;&gt;"",_xlpm.b&lt;&gt;""),_xlpm.a&amp;", "&amp;_xlpm.b,IF(_xlpm.a&lt;&gt;"",_xlpm.a,IF(_xlpm.b&lt;&gt;"",_xlpm.b,""))))</f>
        <v/>
      </c>
    </row>
  </sheetData>
  <mergeCells count="89">
    <mergeCell ref="H85:I85"/>
    <mergeCell ref="O8:P8"/>
    <mergeCell ref="O9:P9"/>
    <mergeCell ref="O10:P10"/>
    <mergeCell ref="O11:P11"/>
    <mergeCell ref="O12:P12"/>
    <mergeCell ref="H79:I79"/>
    <mergeCell ref="H80:I80"/>
    <mergeCell ref="H81:I81"/>
    <mergeCell ref="H82:I82"/>
    <mergeCell ref="H83:I83"/>
    <mergeCell ref="H84:I84"/>
    <mergeCell ref="H97:I97"/>
    <mergeCell ref="H86:I86"/>
    <mergeCell ref="H87:I87"/>
    <mergeCell ref="H88:I88"/>
    <mergeCell ref="H89:I89"/>
    <mergeCell ref="H90:I90"/>
    <mergeCell ref="H91:I91"/>
    <mergeCell ref="H92:I92"/>
    <mergeCell ref="H93:I93"/>
    <mergeCell ref="H94:I94"/>
    <mergeCell ref="H95:I95"/>
    <mergeCell ref="H96:I96"/>
    <mergeCell ref="H111:I111"/>
    <mergeCell ref="H98:I98"/>
    <mergeCell ref="H101:I101"/>
    <mergeCell ref="H102:I102"/>
    <mergeCell ref="H103:I103"/>
    <mergeCell ref="H104:I104"/>
    <mergeCell ref="H105:I105"/>
    <mergeCell ref="H106:I106"/>
    <mergeCell ref="H107:I107"/>
    <mergeCell ref="H108:I108"/>
    <mergeCell ref="H109:I109"/>
    <mergeCell ref="H110:I110"/>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52:I152"/>
    <mergeCell ref="H141:I141"/>
    <mergeCell ref="H142:I142"/>
    <mergeCell ref="H143:I143"/>
    <mergeCell ref="H144:I144"/>
    <mergeCell ref="H145:I145"/>
    <mergeCell ref="H146:I146"/>
    <mergeCell ref="H147:I147"/>
    <mergeCell ref="H148:I148"/>
    <mergeCell ref="H149:I149"/>
    <mergeCell ref="H150:I150"/>
    <mergeCell ref="H151:I151"/>
    <mergeCell ref="H207:I207"/>
    <mergeCell ref="H153:I153"/>
    <mergeCell ref="H154:I154"/>
    <mergeCell ref="H155:I155"/>
    <mergeCell ref="H156:I156"/>
    <mergeCell ref="H157:I157"/>
    <mergeCell ref="H177:I177"/>
    <mergeCell ref="H178:I178"/>
    <mergeCell ref="H179:I179"/>
    <mergeCell ref="H180:I180"/>
    <mergeCell ref="H181:I181"/>
    <mergeCell ref="H206:I206"/>
    <mergeCell ref="H238:I238"/>
    <mergeCell ref="H208:I208"/>
    <mergeCell ref="H209:I209"/>
    <mergeCell ref="H210:I210"/>
    <mergeCell ref="H211:I211"/>
    <mergeCell ref="H212:I212"/>
    <mergeCell ref="H213:I213"/>
    <mergeCell ref="H214:I214"/>
    <mergeCell ref="H215:I215"/>
    <mergeCell ref="H234:I234"/>
    <mergeCell ref="H236:I236"/>
    <mergeCell ref="H237:I237"/>
    <mergeCell ref="F240:I240"/>
    <mergeCell ref="F241:I241"/>
    <mergeCell ref="F242:I242"/>
    <mergeCell ref="F244:I244"/>
    <mergeCell ref="F245:I245"/>
  </mergeCells>
  <dataValidations count="15">
    <dataValidation type="list" allowBlank="1" showInputMessage="1" showErrorMessage="1" sqref="G248:G277" xr:uid="{A328E989-C1A0-4DFC-95EC-6EC9B14089DD}">
      <formula1>$I$248:$I$249</formula1>
    </dataValidation>
    <dataValidation type="list" allowBlank="1" showInputMessage="1" showErrorMessage="1" sqref="F104:F120" xr:uid="{6CF15227-E759-4B6E-A16C-2B2DBFB82B4B}">
      <formula1>lstManoeuvres</formula1>
    </dataValidation>
    <dataValidation type="list" allowBlank="1" showInputMessage="1" showErrorMessage="1" sqref="F79:F98" xr:uid="{F19A6683-844A-4F3A-9B7E-25DEE89B3A16}">
      <formula1>lstMerits</formula1>
    </dataValidation>
    <dataValidation type="list" allowBlank="1" showInputMessage="1" showErrorMessage="1" sqref="F236:F238" xr:uid="{730474A0-C5E0-45DD-90D2-3821704DA17A}">
      <formula1>lstBanes</formula1>
    </dataValidation>
    <dataValidation type="list" allowBlank="1" showInputMessage="1" showErrorMessage="1" sqref="G13" xr:uid="{2E815580-F5B0-44FE-8DE7-26AEAE036B09}">
      <formula1>lstStatus</formula1>
    </dataValidation>
    <dataValidation type="list" allowBlank="1" showInputMessage="1" showErrorMessage="1" sqref="F194:F205" xr:uid="{3355D280-DB8C-4AE2-9F80-7A576199A33A}">
      <formula1>lstRites</formula1>
    </dataValidation>
    <dataValidation type="list" allowBlank="1" showInputMessage="1" showErrorMessage="1" sqref="F177:F181" xr:uid="{98917E6D-7A28-4FD0-88F7-852B8BB9AEF8}">
      <formula1>lstDevotions</formula1>
    </dataValidation>
    <dataValidation type="list" allowBlank="1" showInputMessage="1" showErrorMessage="1" sqref="F17:F21" xr:uid="{A857C976-2931-4E06-A9CC-C1893B777358}">
      <formula1>"TRUE,FALSE"</formula1>
    </dataValidation>
    <dataValidation type="list" allowBlank="1" showInputMessage="1" showErrorMessage="1" sqref="F24" xr:uid="{AAFD8511-5F52-4810-82BB-8B1DB945F81C}">
      <formula1>$D$7:$D$8</formula1>
    </dataValidation>
    <dataValidation type="list" allowBlank="1" showInputMessage="1" showErrorMessage="1" sqref="I25 I30 I35 I41 I51 I61" xr:uid="{9EE456F8-1523-4F4C-A27F-3882E903EAA1}">
      <formula1>lstPriority</formula1>
    </dataValidation>
    <dataValidation type="list" allowBlank="1" showInputMessage="1" showErrorMessage="1" sqref="F10:F11" xr:uid="{BE2C6DD1-C403-4FA5-8524-A25CF3539006}">
      <formula1>lstNature</formula1>
    </dataValidation>
    <dataValidation type="list" allowBlank="1" showInputMessage="1" showErrorMessage="1" sqref="F8" xr:uid="{D5C1AC06-C7B3-4B08-B54B-F837BE05210B}">
      <formula1>lstBloodlines</formula1>
    </dataValidation>
    <dataValidation type="list" allowBlank="1" showInputMessage="1" showErrorMessage="1" sqref="F9" xr:uid="{D879ED61-2E69-4CB0-B13C-1BADB010AD6D}">
      <formula1>lstCovenant</formula1>
    </dataValidation>
    <dataValidation type="list" allowBlank="1" showInputMessage="1" showErrorMessage="1" sqref="F7" xr:uid="{4A8F3CA5-2AF4-40D9-B063-E6083F01B2E5}">
      <formula1>lstClan</formula1>
    </dataValidation>
    <dataValidation type="list" allowBlank="1" showInputMessage="1" showErrorMessage="1" sqref="G12" xr:uid="{DCC6BB70-9722-436D-ADED-43EE5894FE78}">
      <formula1>INDIRECT("tblEffectiveStatus[Position]")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2020C8C9-6F4D-42FC-B54E-D3B3CA97AF58}">
          <x14:formula1>
            <xm:f>'Lookup-Domain'!$A$2:$A$8</xm:f>
          </x14:formula1>
          <xm:sqref>F161 F142:F157</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C64B9-C553-4764-A05C-8B38591E3CE5}">
  <dimension ref="A1:AK365"/>
  <sheetViews>
    <sheetView zoomScale="70" zoomScaleNormal="70" workbookViewId="0">
      <pane ySplit="1" topLeftCell="A2" activePane="bottomLeft" state="frozen"/>
      <selection pane="bottomLeft" activeCell="T1" sqref="T1:T1048576"/>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
      </c>
      <c r="AC2" s="60" t="str" cm="1">
        <f t="array" ref="AC2">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
      </c>
      <c r="AD2" s="20" t="str">
        <f>IF(AC2="","¬",_xlfn.LET(_xlpm.base,IFERROR(LEFT(AC2,FIND(" (",AC2)-1),AC2),IFERROR(VLOOKUP(_xlpm.base,tblManoeuvre[],2,FALSE) &amp; " " &amp; REPT("●",VLOOKUP(_xlpm.base,tblManoeuvre[],3,FALSE)) &amp; " | " &amp; AC2,AC2 &amp; " " &amp; REPT("●",VLOOKUP(_xlpm.base,$F$79:$P$120,11,FALSE)))))</f>
        <v>¬</v>
      </c>
      <c r="AE2" s="20"/>
      <c r="AF2" s="20" t="str">
        <f>IF(LEN(AC2)=0,"¬",_xlfn.LET(_xlpm.base,IFERROR(LEFT(AC2,FIND(" (",AC2)-1),AC2),IFERROR(VLOOKUP(_xlpm.base,tblMerits[],5,FALSE),IFERROR(VLOOKUP(_xlpm.base,tblManoeuvre[],9,FALSE),"¬"))))</f>
        <v>¬</v>
      </c>
      <c r="AI2" s="15" t="s">
        <v>25</v>
      </c>
      <c r="AJ2" s="61">
        <f t="shared" ref="AJ2:AJ58" si="1">VLOOKUP(AI2,$E$3:$P$221,12,FALSE)</f>
        <v>0</v>
      </c>
      <c r="AK2" s="61">
        <f>IF(AJ2=0,IF(COUNTIF($E$42:$E$49,AI2)&gt;0,-3,-1),AJ2)</f>
        <v>-3</v>
      </c>
    </row>
    <row r="3" spans="1:37">
      <c r="A3" s="1" t="s">
        <v>2</v>
      </c>
      <c r="B3" t="e">
        <f ca="1">N3</f>
        <v>#N/A</v>
      </c>
      <c r="D3" s="19"/>
      <c r="E3" s="15" t="s">
        <v>4</v>
      </c>
      <c r="F3" s="3" t="s">
        <v>1751</v>
      </c>
      <c r="G3" s="18"/>
      <c r="H3" s="18"/>
      <c r="I3" s="18" t="s">
        <v>1425</v>
      </c>
      <c r="N3" s="60" t="e">
        <f ca="1">10+SUM(N4:N6)-SUM(N7)</f>
        <v>#N/A</v>
      </c>
      <c r="Y3" s="15" t="s">
        <v>115</v>
      </c>
      <c r="Z3" s="19"/>
      <c r="AA3" s="61" t="str">
        <f t="shared" si="0"/>
        <v/>
      </c>
      <c r="AC3" s="60"/>
      <c r="AD3" s="20" t="str">
        <f>IF(AC3="","¬",_xlfn.LET(_xlpm.base,IFERROR(LEFT(AC3,FIND(" (",AC3)-1),AC3),IFERROR(VLOOKUP(_xlpm.base,tblManoeuvre[],2,FALSE) &amp; " " &amp; REPT("●",VLOOKUP(_xlpm.base,tblManoeuvre[],3,FALSE)) &amp; " | " &amp; AC3,AC3 &amp; " " &amp; REPT("●",VLOOKUP(_xlpm.base,$F$79:$P$120,11,FALSE)))))</f>
        <v>¬</v>
      </c>
      <c r="AE3" s="20"/>
      <c r="AF3" s="20" t="str">
        <f>IF(LEN(AC3)=0,"¬",_xlfn.LET(_xlpm.base,IFERROR(LEFT(AC3,FIND(" (",AC3)-1),AC3),IFERROR(VLOOKUP(_xlpm.base,tblMerits[],5,FALSE),IFERROR(VLOOKUP(_xlpm.base,tblManoeuvre[],9,FALSE),"¬"))))</f>
        <v>¬</v>
      </c>
      <c r="AI3" s="15" t="s">
        <v>41</v>
      </c>
      <c r="AJ3" s="61">
        <f t="shared" si="1"/>
        <v>0</v>
      </c>
      <c r="AK3" s="61">
        <f>IF(AJ3=0,IF(COUNTIF($E$42:$E$49,AI3)&gt;0,-3,-1),AJ3)</f>
        <v>-1</v>
      </c>
    </row>
    <row r="4" spans="1:37">
      <c r="A4" s="1" t="s">
        <v>3</v>
      </c>
      <c r="B4" t="e">
        <f ca="1">SUM(N3:N9)</f>
        <v>#N/A</v>
      </c>
      <c r="D4" s="19"/>
      <c r="E4" s="15" t="s">
        <v>5</v>
      </c>
      <c r="F4" s="3" t="s">
        <v>1752</v>
      </c>
      <c r="G4" s="18"/>
      <c r="H4" s="18"/>
      <c r="I4" s="18" t="s">
        <v>1426</v>
      </c>
      <c r="N4" s="61">
        <f>K73*2</f>
        <v>0</v>
      </c>
      <c r="Y4" s="15" t="s">
        <v>116</v>
      </c>
      <c r="Z4" s="19"/>
      <c r="AA4" s="61" t="str">
        <f t="shared" si="0"/>
        <v/>
      </c>
      <c r="AC4" s="60"/>
      <c r="AD4" s="20" t="str">
        <f>IF(AC4="","¬",_xlfn.LET(_xlpm.base,IFERROR(LEFT(AC4,FIND(" (",AC4)-1),AC4),IFERROR(VLOOKUP(_xlpm.base,tblManoeuvre[],2,FALSE) &amp; " " &amp; REPT("●",VLOOKUP(_xlpm.base,tblManoeuvre[],3,FALSE)) &amp; " | " &amp; AC4,AC4 &amp; " " &amp; REPT("●",VLOOKUP(_xlpm.base,$F$79:$P$120,11,FALSE)))))</f>
        <v>¬</v>
      </c>
      <c r="AE4" s="20"/>
      <c r="AF4" s="20" t="str">
        <f>IF(LEN(AC4)=0,"¬",_xlfn.LET(_xlpm.base,IFERROR(LEFT(AC4,FIND(" (",AC4)-1),AC4),IFERROR(VLOOKUP(_xlpm.base,tblMerits[],5,FALSE),IFERROR(VLOOKUP(_xlpm.base,tblManoeuvre[],9,FALSE),"¬"))))</f>
        <v>¬</v>
      </c>
      <c r="AI4" s="15" t="s">
        <v>236</v>
      </c>
      <c r="AJ4" s="61">
        <f t="shared" si="1"/>
        <v>0</v>
      </c>
      <c r="AK4" s="61">
        <f>AJ4</f>
        <v>0</v>
      </c>
    </row>
    <row r="5" spans="1:37">
      <c r="A5" s="1" t="s">
        <v>4</v>
      </c>
      <c r="B5" t="str">
        <f>IF(VLOOKUP(tblCharData27[[#This Row],[Field]],$E$2:$F$362,2,FALSE)="","¬",VLOOKUP(tblCharData27[[#This Row],[Field]],$E$2:$F$362,2,FALSE))</f>
        <v>Amelia Inglis</v>
      </c>
      <c r="D5" s="19"/>
      <c r="E5" s="15" t="s">
        <v>6</v>
      </c>
      <c r="F5" s="3" t="s">
        <v>1753</v>
      </c>
      <c r="G5" s="18"/>
      <c r="H5" s="18"/>
      <c r="I5" s="18" t="s">
        <v>1427</v>
      </c>
      <c r="N5" s="61">
        <f>N16</f>
        <v>0</v>
      </c>
      <c r="Y5" s="15" t="s">
        <v>117</v>
      </c>
      <c r="Z5" s="19"/>
      <c r="AA5" s="61" t="str">
        <f t="shared" si="0"/>
        <v/>
      </c>
      <c r="AC5" s="60"/>
      <c r="AD5" s="20" t="str">
        <f>IF(AC5="","¬",_xlfn.LET(_xlpm.base,IFERROR(LEFT(AC5,FIND(" (",AC5)-1),AC5),IFERROR(VLOOKUP(_xlpm.base,tblManoeuvre[],2,FALSE) &amp; " " &amp; REPT("●",VLOOKUP(_xlpm.base,tblManoeuvre[],3,FALSE)) &amp; " | " &amp; AC5,AC5 &amp; " " &amp; REPT("●",VLOOKUP(_xlpm.base,$F$79:$P$120,11,FALSE)))))</f>
        <v>¬</v>
      </c>
      <c r="AE5" s="20"/>
      <c r="AF5" s="20" t="str">
        <f>IF(LEN(AC5)=0,"¬",_xlfn.LET(_xlpm.base,IFERROR(LEFT(AC5,FIND(" (",AC5)-1),AC5),IFERROR(VLOOKUP(_xlpm.base,tblMerits[],5,FALSE),IFERROR(VLOOKUP(_xlpm.base,tblManoeuvre[],9,FALSE),"¬"))))</f>
        <v>¬</v>
      </c>
      <c r="AI5" s="15" t="s">
        <v>33</v>
      </c>
      <c r="AJ5" s="61">
        <f t="shared" si="1"/>
        <v>0</v>
      </c>
      <c r="AK5" s="61">
        <f>IF(AJ5=0,IF(COUNTIF($E$42:$E$49,AI5)&gt;0,-3,-1),AJ5)</f>
        <v>-1</v>
      </c>
    </row>
    <row r="6" spans="1:37">
      <c r="A6" s="1" t="s">
        <v>5</v>
      </c>
      <c r="B6" t="str">
        <f>IF(VLOOKUP(tblCharData27[[#This Row],[Field]],$E$2:$F$362,2,FALSE)="","¬",VLOOKUP(tblCharData27[[#This Row],[Field]],$E$2:$F$362,2,FALSE))</f>
        <v>Lady Julia</v>
      </c>
      <c r="D6" s="19"/>
      <c r="E6" s="15" t="s">
        <v>7</v>
      </c>
      <c r="F6" s="3"/>
      <c r="G6" s="18"/>
      <c r="H6" s="18"/>
      <c r="I6" s="18" t="s">
        <v>1347</v>
      </c>
      <c r="N6" s="61" t="e">
        <f ca="1">N279</f>
        <v>#N/A</v>
      </c>
      <c r="Y6" s="15" t="s">
        <v>118</v>
      </c>
      <c r="Z6" s="19"/>
      <c r="AA6" s="61" t="str">
        <f t="shared" si="0"/>
        <v/>
      </c>
      <c r="AC6" s="60"/>
      <c r="AD6" s="20" t="str">
        <f>IF(AC6="","¬",_xlfn.LET(_xlpm.base,IFERROR(LEFT(AC6,FIND(" (",AC6)-1),AC6),IFERROR(VLOOKUP(_xlpm.base,tblManoeuvre[],2,FALSE) &amp; " " &amp; REPT("●",VLOOKUP(_xlpm.base,tblManoeuvre[],3,FALSE)) &amp; " | " &amp; AC6,AC6 &amp; " " &amp; REPT("●",VLOOKUP(_xlpm.base,$F$79:$P$120,11,FALSE)))))</f>
        <v>¬</v>
      </c>
      <c r="AE6" s="20"/>
      <c r="AF6" s="20" t="str">
        <f>IF(LEN(AC6)=0,"¬",_xlfn.LET(_xlpm.base,IFERROR(LEFT(AC6,FIND(" (",AC6)-1),AC6),IFERROR(VLOOKUP(_xlpm.base,tblMerits[],5,FALSE),IFERROR(VLOOKUP(_xlpm.base,tblManoeuvre[],9,FALSE),"¬"))))</f>
        <v>¬</v>
      </c>
      <c r="AI6" s="15" t="s">
        <v>237</v>
      </c>
      <c r="AJ6" s="61">
        <f t="shared" si="1"/>
        <v>0</v>
      </c>
      <c r="AK6" s="61">
        <f>AJ6</f>
        <v>0</v>
      </c>
    </row>
    <row r="7" spans="1:37">
      <c r="A7" s="1" t="s">
        <v>6</v>
      </c>
      <c r="B7" t="str">
        <f>IF(VLOOKUP(tblCharData27[[#This Row],[Field]],$E$2:$F$362,2,FALSE)="","¬",VLOOKUP(tblCharData27[[#This Row],[Field]],$E$2:$F$362,2,FALSE))</f>
        <v>Renfield's EA</v>
      </c>
      <c r="D7" s="19" t="str">
        <f>VLOOKUP(F7,tblClans[],3,FALSE)</f>
        <v>Strength</v>
      </c>
      <c r="E7" s="15" t="s">
        <v>8</v>
      </c>
      <c r="F7" s="3" t="s">
        <v>680</v>
      </c>
      <c r="G7" s="18"/>
      <c r="H7" s="18"/>
      <c r="I7" s="18"/>
      <c r="N7" s="60">
        <f>SUM(N8:N12)</f>
        <v>8</v>
      </c>
      <c r="Y7" s="15" t="s">
        <v>119</v>
      </c>
      <c r="Z7" s="19"/>
      <c r="AA7" s="61" t="str">
        <f t="shared" si="0"/>
        <v/>
      </c>
      <c r="AC7" s="60"/>
      <c r="AD7" s="20" t="str">
        <f>IF(AC7="","¬",_xlfn.LET(_xlpm.base,IFERROR(LEFT(AC7,FIND(" (",AC7)-1),AC7),IFERROR(VLOOKUP(_xlpm.base,tblManoeuvre[],2,FALSE) &amp; " " &amp; REPT("●",VLOOKUP(_xlpm.base,tblManoeuvre[],3,FALSE)) &amp; " | " &amp; AC7,AC7 &amp; " " &amp; REPT("●",VLOOKUP(_xlpm.base,$F$79:$P$120,11,FALSE)))))</f>
        <v>¬</v>
      </c>
      <c r="AE7" s="20"/>
      <c r="AF7" s="20" t="str">
        <f>IF(LEN(AC7)=0,"¬",_xlfn.LET(_xlpm.base,IFERROR(LEFT(AC7,FIND(" (",AC7)-1),AC7),IFERROR(VLOOKUP(_xlpm.base,tblMerits[],5,FALSE),IFERROR(VLOOKUP(_xlpm.base,tblManoeuvre[],9,FALSE),"¬"))))</f>
        <v>¬</v>
      </c>
      <c r="AI7" s="15" t="s">
        <v>49</v>
      </c>
      <c r="AJ7" s="61">
        <f t="shared" si="1"/>
        <v>1</v>
      </c>
      <c r="AK7" s="61">
        <f>AJ7</f>
        <v>1</v>
      </c>
    </row>
    <row r="8" spans="1:37">
      <c r="A8" s="1" t="s">
        <v>7</v>
      </c>
      <c r="B8" t="str">
        <f>IF(VLOOKUP(tblCharData27[[#This Row],[Field]],$E$2:$F$362,2,FALSE)="","¬",LOWER(VLOOKUP(tblCharData27[[#This Row],[Field]],$E$2:$F$362,2,FALSE)))</f>
        <v>¬</v>
      </c>
      <c r="D8" s="19" t="str">
        <f>VLOOKUP(F7,tblClans[],2,FALSE)</f>
        <v>Composure</v>
      </c>
      <c r="E8" s="15" t="s">
        <v>10</v>
      </c>
      <c r="F8" s="3"/>
      <c r="G8" s="61" t="str">
        <f>IFERROR(IF(OR(AND(VLOOKUP(F8,tblBloodlines[],2,FALSE)="",VLOOKUP(F8,tblBloodlines[],3,FALSE)="",VLOOKUP(F8,tblBloodlines[],4,FALSE)=""),AND(VLOOKUP(F8,tblBloodlines[],2,FALSE)="",VLOOKUP(F8,tblBloodlines[],3,FALSE)="",F9=VLOOKUP(F8,tblBloodlines[],4,FALSE)),F7=VLOOKUP(F8,tblBloodlines[],2,FALSE),F7=VLOOKUP(F8,tblBloodlines[],3,FALSE)),TRUE,FALSE),"")</f>
        <v/>
      </c>
      <c r="H8" s="18"/>
      <c r="I8" s="18" t="s">
        <v>1428</v>
      </c>
      <c r="N8" s="61">
        <f>N23</f>
        <v>0</v>
      </c>
      <c r="O8" s="65">
        <f>N8/SUM(N$7:N$12)</f>
        <v>0</v>
      </c>
      <c r="P8" s="66"/>
      <c r="Y8" s="15" t="s">
        <v>120</v>
      </c>
      <c r="Z8" s="19"/>
      <c r="AA8" s="61" t="str">
        <f t="shared" si="0"/>
        <v/>
      </c>
      <c r="AC8" s="60"/>
      <c r="AD8" s="20" t="str">
        <f>IF(AC8="","¬",_xlfn.LET(_xlpm.base,IFERROR(LEFT(AC8,FIND(" (",AC8)-1),AC8),IFERROR(VLOOKUP(_xlpm.base,tblManoeuvre[],2,FALSE) &amp; " " &amp; REPT("●",VLOOKUP(_xlpm.base,tblManoeuvre[],3,FALSE)) &amp; " | " &amp; AC8,AC8 &amp; " " &amp; REPT("●",VLOOKUP(_xlpm.base,$F$79:$P$120,11,FALSE)))))</f>
        <v>¬</v>
      </c>
      <c r="AE8" s="20"/>
      <c r="AF8" s="20" t="str">
        <f>IF(LEN(AC8)=0,"¬",_xlfn.LET(_xlpm.base,IFERROR(LEFT(AC8,FIND(" (",AC8)-1),AC8),IFERROR(VLOOKUP(_xlpm.base,tblMerits[],5,FALSE),IFERROR(VLOOKUP(_xlpm.base,tblManoeuvre[],9,FALSE),"¬"))))</f>
        <v>¬</v>
      </c>
      <c r="AI8" s="15" t="s">
        <v>34</v>
      </c>
      <c r="AJ8" s="61">
        <f t="shared" si="1"/>
        <v>0</v>
      </c>
      <c r="AK8" s="61">
        <f>IF(AJ8=0,IF(COUNTIF($E$42:$E$49,AI8)&gt;0,-3,-1),AJ8)</f>
        <v>-1</v>
      </c>
    </row>
    <row r="9" spans="1:37">
      <c r="A9" s="1" t="s">
        <v>8</v>
      </c>
      <c r="B9" t="str">
        <f>IF(VLOOKUP(tblCharData27[[#This Row],[Field]],$E$2:$F$362,2,FALSE)="","¬",VLOOKUP(tblCharData27[[#This Row],[Field]],$E$2:$F$362,2,FALSE))</f>
        <v>Nosferatu</v>
      </c>
      <c r="D9" s="19"/>
      <c r="E9" s="15" t="s">
        <v>11</v>
      </c>
      <c r="F9" s="3" t="s">
        <v>396</v>
      </c>
      <c r="G9" s="18"/>
      <c r="H9" s="18"/>
      <c r="I9" s="18" t="s">
        <v>1429</v>
      </c>
      <c r="N9" s="61">
        <f>N40+T40</f>
        <v>0</v>
      </c>
      <c r="O9" s="65">
        <f>N9/SUM(N$7:N$12)</f>
        <v>0</v>
      </c>
      <c r="P9" s="66"/>
      <c r="Y9" s="15" t="s">
        <v>121</v>
      </c>
      <c r="Z9" s="19"/>
      <c r="AA9" s="61" t="str">
        <f t="shared" si="0"/>
        <v/>
      </c>
      <c r="AC9" s="60"/>
      <c r="AD9" s="20" t="str">
        <f>IF(AC9="","¬",_xlfn.LET(_xlpm.base,IFERROR(LEFT(AC9,FIND(" (",AC9)-1),AC9),IFERROR(VLOOKUP(_xlpm.base,tblManoeuvre[],2,FALSE) &amp; " " &amp; REPT("●",VLOOKUP(_xlpm.base,tblManoeuvre[],3,FALSE)) &amp; " | " &amp; AC9,AC9 &amp; " " &amp; REPT("●",VLOOKUP(_xlpm.base,$F$79:$P$120,11,FALSE)))))</f>
        <v>¬</v>
      </c>
      <c r="AE9" s="20"/>
      <c r="AF9" s="20" t="str">
        <f>IF(LEN(AC9)=0,"¬",_xlfn.LET(_xlpm.base,IFERROR(LEFT(AC9,FIND(" (",AC9)-1),AC9),IFERROR(VLOOKUP(_xlpm.base,tblMerits[],5,FALSE),IFERROR(VLOOKUP(_xlpm.base,tblManoeuvre[],9,FALSE),"¬"))))</f>
        <v>¬</v>
      </c>
      <c r="AI9" s="15" t="s">
        <v>238</v>
      </c>
      <c r="AJ9" s="61">
        <f t="shared" si="1"/>
        <v>1</v>
      </c>
      <c r="AK9" s="61">
        <f>AJ9</f>
        <v>1</v>
      </c>
    </row>
    <row r="10" spans="1:37">
      <c r="A10" s="1" t="s">
        <v>9</v>
      </c>
      <c r="B10" t="str">
        <f>CONCATENATE(Elements,B9," icon.svg")</f>
        <v>D:\Terra Mortis\Character Sheets\Sheet Elements\Nosferatu icon.svg</v>
      </c>
      <c r="D10" s="19"/>
      <c r="E10" s="15" t="s">
        <v>13</v>
      </c>
      <c r="F10" s="3"/>
      <c r="G10" s="18"/>
      <c r="H10" s="18"/>
      <c r="I10" s="18" t="s">
        <v>1430</v>
      </c>
      <c r="N10" s="61">
        <f>N77</f>
        <v>0</v>
      </c>
      <c r="O10" s="65">
        <f>N10/SUM(N$7:N$12)</f>
        <v>0</v>
      </c>
      <c r="P10" s="66"/>
      <c r="Y10" s="15" t="s">
        <v>122</v>
      </c>
      <c r="Z10" s="19"/>
      <c r="AA10" s="61" t="str">
        <f t="shared" si="0"/>
        <v/>
      </c>
      <c r="AC10" s="60"/>
      <c r="AD10" s="20" t="str">
        <f>IF(AC10="","¬",_xlfn.LET(_xlpm.base,IFERROR(LEFT(AC10,FIND(" (",AC10)-1),AC10),IFERROR(VLOOKUP(_xlpm.base,tblManoeuvre[],2,FALSE) &amp; " " &amp; REPT("●",VLOOKUP(_xlpm.base,tblManoeuvre[],3,FALSE)) &amp; " | " &amp; AC10,AC10 &amp; " " &amp; REPT("●",VLOOKUP(_xlpm.base,$F$79:$P$120,11,FALSE)))))</f>
        <v>¬</v>
      </c>
      <c r="AE10" s="20"/>
      <c r="AF10" s="20" t="str">
        <f>IF(LEN(AC10)=0,"¬",_xlfn.LET(_xlpm.base,IFERROR(LEFT(AC10,FIND(" (",AC10)-1),AC10),IFERROR(VLOOKUP(_xlpm.base,tblMerits[],5,FALSE),IFERROR(VLOOKUP(_xlpm.base,tblManoeuvre[],9,FALSE),"¬"))))</f>
        <v>¬</v>
      </c>
      <c r="AI10" s="15" t="s">
        <v>24</v>
      </c>
      <c r="AJ10" s="61">
        <f t="shared" si="1"/>
        <v>1</v>
      </c>
      <c r="AK10" s="61">
        <f>AJ10+IFERROR(INDEX($V$26:$V$38,MATCH(AI10,$E$26:$E$38,0)),0)</f>
        <v>1</v>
      </c>
    </row>
    <row r="11" spans="1:37">
      <c r="A11" s="1" t="s">
        <v>10</v>
      </c>
      <c r="B11" t="str">
        <f>IF(VLOOKUP(tblCharData27[[#This Row],[Field]],$E$2:$F$362,2,FALSE)="","¬",VLOOKUP(tblCharData27[[#This Row],[Field]],$E$2:$F$362,2,FALSE))</f>
        <v>¬</v>
      </c>
      <c r="D11" s="19"/>
      <c r="E11" s="15" t="s">
        <v>14</v>
      </c>
      <c r="F11" s="3"/>
      <c r="G11" s="18"/>
      <c r="H11" s="18"/>
      <c r="I11" s="18" t="s">
        <v>1431</v>
      </c>
      <c r="N11" s="61">
        <f>N163</f>
        <v>8</v>
      </c>
      <c r="O11" s="65">
        <f>N11/SUM(N$7:N$12)</f>
        <v>0.5</v>
      </c>
      <c r="P11" s="66"/>
      <c r="Y11" s="15" t="s">
        <v>123</v>
      </c>
      <c r="Z11" s="19"/>
      <c r="AA11" s="61" t="str">
        <f t="shared" si="0"/>
        <v/>
      </c>
      <c r="AC11" s="60"/>
      <c r="AD11" s="20" t="str">
        <f>IF(AC11="","¬",_xlfn.LET(_xlpm.base,IFERROR(LEFT(AC11,FIND(" (",AC11)-1),AC11),IFERROR(VLOOKUP(_xlpm.base,tblManoeuvre[],2,FALSE) &amp; " " &amp; REPT("●",VLOOKUP(_xlpm.base,tblManoeuvre[],3,FALSE)) &amp; " | " &amp; AC11,AC11 &amp; " " &amp; REPT("●",VLOOKUP(_xlpm.base,$F$79:$P$120,11,FALSE)))))</f>
        <v>¬</v>
      </c>
      <c r="AE11" s="20"/>
      <c r="AF11" s="20" t="str">
        <f>IF(LEN(AC11)=0,"¬",_xlfn.LET(_xlpm.base,IFERROR(LEFT(AC11,FIND(" (",AC11)-1),AC11),IFERROR(VLOOKUP(_xlpm.base,tblMerits[],5,FALSE),IFERROR(VLOOKUP(_xlpm.base,tblManoeuvre[],9,FALSE),"¬"))))</f>
        <v>¬</v>
      </c>
      <c r="AI11" s="15" t="s">
        <v>26</v>
      </c>
      <c r="AJ11" s="61">
        <f t="shared" si="1"/>
        <v>0</v>
      </c>
      <c r="AK11" s="61">
        <f>IF(AJ11=0,IF(COUNTIF($E$42:$E$49,AI11)&gt;0,-3,-1),AJ11)</f>
        <v>-3</v>
      </c>
    </row>
    <row r="12" spans="1:37">
      <c r="A12" s="1" t="s">
        <v>11</v>
      </c>
      <c r="B12" t="str">
        <f>IF(VLOOKUP(tblCharData27[[#This Row],[Field]],$E$2:$F$362,2,FALSE)="","¬",VLOOKUP(tblCharData27[[#This Row],[Field]],$E$2:$F$362,2,FALSE))</f>
        <v>Invictus</v>
      </c>
      <c r="D12" s="19"/>
      <c r="E12" s="15" t="s">
        <v>15</v>
      </c>
      <c r="F12" s="3"/>
      <c r="G12" s="3"/>
      <c r="H12" s="18"/>
      <c r="I12" s="18" t="s">
        <v>1432</v>
      </c>
      <c r="N12" s="61">
        <f>N71</f>
        <v>0</v>
      </c>
      <c r="O12" s="65">
        <f>N12/SUM(N$7:N$12)</f>
        <v>0</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0</v>
      </c>
      <c r="AK12" s="61">
        <f>IF(AJ12=0,IF(COUNTIF($E$42:$E$49,AI12)&gt;0,-3,-1),AJ12)</f>
        <v>-3</v>
      </c>
    </row>
    <row r="13" spans="1:37">
      <c r="A13" s="1" t="s">
        <v>12</v>
      </c>
      <c r="B13" t="str">
        <f>_xlfn.IFNA(CONCATENATE(Elements,VLOOKUP(B12,tblCovenantShortName[#Data],2,FALSE)," icon.svg"),"")</f>
        <v>D:\Terra Mortis\Character Sheets\Sheet Elements\Invictus icon.svg</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0</v>
      </c>
      <c r="AK13" s="61">
        <f t="shared" ref="AK13:AK19" si="2">AJ13</f>
        <v>0</v>
      </c>
    </row>
    <row r="14" spans="1:37">
      <c r="A14" s="1" t="s">
        <v>13</v>
      </c>
      <c r="B14" t="str">
        <f>IF(VLOOKUP(tblCharData27[[#This Row],[Field]],$E$2:$F$362,2,FALSE)="","¬",VLOOKUP(tblCharData27[[#This Row],[Field]],$E$2:$F$362,2,FALSE))</f>
        <v>¬</v>
      </c>
      <c r="D14" s="19"/>
      <c r="E14" s="15" t="s">
        <v>1433</v>
      </c>
      <c r="F14" s="28"/>
      <c r="G14" s="3"/>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0</v>
      </c>
      <c r="AK14" s="61">
        <f t="shared" si="2"/>
        <v>0</v>
      </c>
    </row>
    <row r="15" spans="1:37">
      <c r="A15" s="1" t="s">
        <v>14</v>
      </c>
      <c r="B15" t="str">
        <f>IF(VLOOKUP(tblCharData27[[#This Row],[Field]],$E$2:$F$362,2,FALSE)="","¬",VLOOKUP(tblCharData27[[#This Row],[Field]],$E$2:$F$362,2,FALSE))</f>
        <v>¬</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1</v>
      </c>
      <c r="AK15" s="61">
        <f t="shared" ca="1" si="2"/>
        <v>1</v>
      </c>
    </row>
    <row r="16" spans="1:37">
      <c r="A16" s="1" t="s">
        <v>15</v>
      </c>
      <c r="B16" t="str">
        <f ca="1">_xlfn.LET(_xlpm.a,VLOOKUP(tblCharData27[[#This Row],[Field]],$E$2:$F$362,2,FALSE),_xlpm.b,VLOOKUP(OFFSET(tblCharData27[[#This Row],[Field]],1,0),$E$2:$F$362,2,FALSE),IF(AND(_xlpm.a&lt;&gt;"",_xlpm.b&lt;&gt;""),_xlpm.a&amp;" &amp; "&amp;_xlpm.b,IF(_xlpm.a&lt;&gt;"",_xlpm.a,IF(_xlpm.b&lt;&gt;"",_xlpm.b,"¬"))))</f>
        <v>¬</v>
      </c>
      <c r="D16" s="14" t="s">
        <v>1427</v>
      </c>
      <c r="E16" s="14"/>
      <c r="F16" s="14"/>
      <c r="G16" s="14"/>
      <c r="H16" s="14"/>
      <c r="I16" s="14"/>
      <c r="N16" s="60">
        <f>SUM(N17:N21)</f>
        <v>0</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REPT("●",IFERROR(INDEX($P$26:$P$38,MATCH(tblCharData27[[#This Row],[Field]],$E$26:$E$38,0)),0))&amp;REPT("○",IFERROR(INDEX($V$26:$V$38,MATCH(tblCharData27[[#This Row],[Field]],$E$26:$E$38,0)),0))</f>
        <v>●</v>
      </c>
      <c r="D17" s="19"/>
      <c r="E17" s="15" t="s">
        <v>1435</v>
      </c>
      <c r="F17" s="3"/>
      <c r="G17" s="19"/>
      <c r="H17" s="19"/>
      <c r="I17" s="19"/>
      <c r="N17" s="61">
        <f>IF(F17=TRUE,3,0)</f>
        <v>0</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1</v>
      </c>
      <c r="AK17" s="61">
        <f>AJ17+IFERROR(INDEX($V$26:$V$38,MATCH(AI17,$E$26:$E$38,0)),0)</f>
        <v>1</v>
      </c>
    </row>
    <row r="18" spans="1:37">
      <c r="A18" s="1" t="s">
        <v>17</v>
      </c>
      <c r="B18" t="str">
        <f>REPT("●",IFERROR(INDEX($P$26:$P$38,MATCH(tblCharData27[[#This Row],[Field]],$E$26:$E$38,0)),0))&amp;REPT("○",IFERROR(INDEX($V$26:$V$38,MATCH(tblCharData27[[#This Row],[Field]],$E$26:$E$38,0)),0))</f>
        <v>●</v>
      </c>
      <c r="D18" s="19"/>
      <c r="E18" s="15" t="s">
        <v>1436</v>
      </c>
      <c r="F18" s="3"/>
      <c r="G18" s="19"/>
      <c r="H18" s="19"/>
      <c r="I18" s="19"/>
      <c r="N18" s="61">
        <f>IF(F18=TRUE,3,0)</f>
        <v>0</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0</v>
      </c>
      <c r="AK18" s="61">
        <f t="shared" si="2"/>
        <v>0</v>
      </c>
    </row>
    <row r="19" spans="1:37">
      <c r="A19" s="1" t="s">
        <v>18</v>
      </c>
      <c r="B19" t="str">
        <f>REPT("●",IFERROR(INDEX($P$26:$P$38,MATCH(tblCharData27[[#This Row],[Field]],$E$26:$E$38,0)),0))&amp;REPT("○",IFERROR(INDEX($V$26:$V$38,MATCH(tblCharData27[[#This Row],[Field]],$E$26:$E$38,0)),0))</f>
        <v>●</v>
      </c>
      <c r="D19" s="19"/>
      <c r="E19" s="15" t="s">
        <v>1437</v>
      </c>
      <c r="F19" s="3"/>
      <c r="G19" s="19"/>
      <c r="H19" s="19"/>
      <c r="I19" s="19"/>
      <c r="N19" s="61">
        <f>IF(F19=TRUE,3,0)</f>
        <v>0</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0</v>
      </c>
      <c r="AK19" s="61">
        <f t="shared" si="2"/>
        <v>0</v>
      </c>
    </row>
    <row r="20" spans="1:37">
      <c r="A20" s="1" t="s">
        <v>19</v>
      </c>
      <c r="B20" t="str">
        <f>REPT("●",IFERROR(INDEX($P$26:$P$38,MATCH(tblCharData27[[#This Row],[Field]],$E$26:$E$38,0)),0))&amp;REPT("○",IFERROR(INDEX($V$26:$V$38,MATCH(tblCharData27[[#This Row],[Field]],$E$26:$E$38,0)),0))</f>
        <v>●</v>
      </c>
      <c r="D20" s="19"/>
      <c r="E20" s="15" t="s">
        <v>1438</v>
      </c>
      <c r="F20" s="3"/>
      <c r="G20" s="19"/>
      <c r="H20" s="19"/>
      <c r="I20" s="19"/>
      <c r="N20" s="61">
        <f>IF(F20=TRUE,3,0)</f>
        <v>0</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REPT("●",IFERROR(INDEX($P$26:$P$38,MATCH(tblCharData27[[#This Row],[Field]],$E$26:$E$38,0)),0))&amp;REPT("○",IFERROR(INDEX($V$26:$V$38,MATCH(tblCharData27[[#This Row],[Field]],$E$26:$E$38,0)),0))</f>
        <v>●</v>
      </c>
      <c r="D21" s="19"/>
      <c r="E21" s="15" t="s">
        <v>11</v>
      </c>
      <c r="F21" s="3"/>
      <c r="G21" s="19"/>
      <c r="H21" s="19"/>
      <c r="I21" s="19"/>
      <c r="N21" s="61">
        <f>IF(F21=TRUE,3,0)</f>
        <v>0</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0</v>
      </c>
      <c r="AK21" s="61">
        <f>IF(AJ21=0,IF(COUNTIF($E$42:$E$49,AI21)&gt;0,-3,-1),AJ21)</f>
        <v>-1</v>
      </c>
    </row>
    <row r="22" spans="1:37">
      <c r="A22" s="1" t="s">
        <v>21</v>
      </c>
      <c r="B22" t="str">
        <f>REPT("●",IFERROR(INDEX($P$26:$P$38,MATCH(tblCharData27[[#This Row],[Field]],$E$26:$E$38,0)),0))&amp;REPT("○",IFERROR(INDEX($V$26:$V$38,MATCH(tblCharData27[[#This Row],[Field]],$E$26:$E$38,0)),0))</f>
        <v>●</v>
      </c>
      <c r="Y22" s="15" t="s">
        <v>1439</v>
      </c>
      <c r="Z22" s="61" t="str">
        <f>IFERROR(VLOOKUP(AA22,tblManoeuvre[],2,FALSE),"")</f>
        <v/>
      </c>
      <c r="AA22" s="61" t="str">
        <f t="shared" ref="AA22:AA41" si="3">_xlfn.LET(_xlpm.name,VLOOKUP(Y22,$E$2:$F$362,2,FALSE),_xlpm.paid,_xlfn.IFNA(VLOOKUP(_xlpm.name,$F$79:$Q$120,11,FALSE)&gt;=VLOOKUP(_xlpm.name,$F$79:$Q$120,12,FALSE),FALSE),IF(AND(_xlpm.name&lt;&gt;"",_xlpm.paid),_xlpm.name,""))</f>
        <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0</v>
      </c>
      <c r="AK22" s="61">
        <f>IF(AJ22=0,IF(COUNTIF($E$42:$E$49,AI22)&gt;0,-3,-1),AJ22)</f>
        <v>-1</v>
      </c>
    </row>
    <row r="23" spans="1:37">
      <c r="A23" s="1" t="s">
        <v>22</v>
      </c>
      <c r="B23" t="str">
        <f>REPT("●",IFERROR(INDEX($P$26:$P$38,MATCH(tblCharData27[[#This Row],[Field]],$E$26:$E$38,0)),0))&amp;REPT("○",IFERROR(INDEX($V$26:$V$38,MATCH(tblCharData27[[#This Row],[Field]],$E$26:$E$38,0)),0))</f>
        <v>●</v>
      </c>
      <c r="D23" s="14" t="s">
        <v>1440</v>
      </c>
      <c r="E23" s="14"/>
      <c r="F23" s="14"/>
      <c r="G23" s="14"/>
      <c r="H23" s="14"/>
      <c r="I23" s="14"/>
      <c r="N23" s="60">
        <f>SUM(N26:N28,N31:N33,N36:N38)</f>
        <v>0</v>
      </c>
      <c r="Y23" s="15" t="s">
        <v>1441</v>
      </c>
      <c r="Z23" s="61" t="str">
        <f>IFERROR(VLOOKUP(AA23,tblManoeuvre[],2,FALSE),"")</f>
        <v/>
      </c>
      <c r="AA23" s="61" t="str">
        <f t="shared" si="3"/>
        <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0</v>
      </c>
      <c r="AK23" s="61">
        <f>IF(AJ23=0,VLOOKUP(AI23,$E$42:$Q$69,13,FALSE),AJ23)</f>
        <v>0</v>
      </c>
    </row>
    <row r="24" spans="1:37">
      <c r="A24" s="1" t="s">
        <v>23</v>
      </c>
      <c r="B24" t="str">
        <f>REPT("●",IFERROR(INDEX($P$26:$P$38,MATCH(tblCharData27[[#This Row],[Field]],$E$26:$E$38,0)),0))&amp;REPT("○",IFERROR(INDEX($V$26:$V$38,MATCH(tblCharData27[[#This Row],[Field]],$E$26:$E$38,0)),0))</f>
        <v>●</v>
      </c>
      <c r="E24" s="15" t="s">
        <v>1442</v>
      </c>
      <c r="F24" s="3"/>
      <c r="Y24" s="15" t="s">
        <v>1443</v>
      </c>
      <c r="Z24" s="61" t="str">
        <f>IFERROR(VLOOKUP(AA24,tblManoeuvre[],2,FALSE),"")</f>
        <v/>
      </c>
      <c r="AA24" s="61" t="str">
        <f t="shared" si="3"/>
        <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6</v>
      </c>
      <c r="AK24" s="61">
        <f ca="1">AJ24</f>
        <v>6</v>
      </c>
    </row>
    <row r="25" spans="1:37">
      <c r="A25" s="1" t="s">
        <v>24</v>
      </c>
      <c r="B25" t="str">
        <f>REPT("●",IFERROR(INDEX($P$26:$P$38,MATCH(tblCharData27[[#This Row],[Field]],$E$26:$E$38,0)),0))&amp;REPT("○",IFERROR(INDEX($V$26:$V$38,MATCH(tblCharData27[[#This Row],[Field]],$E$26:$E$38,0)),0))</f>
        <v>●</v>
      </c>
      <c r="D25" s="16" t="s">
        <v>1444</v>
      </c>
      <c r="E25" s="17"/>
      <c r="F25" s="17"/>
      <c r="G25" s="17" t="s">
        <v>1445</v>
      </c>
      <c r="H25" s="16" t="s">
        <v>1446</v>
      </c>
      <c r="I25" s="3"/>
      <c r="L25" s="60">
        <f>IF(I25="",0,VLOOKUP(I25,tblPriority[],2,FALSE))-SUM(L26:L28)</f>
        <v>0</v>
      </c>
      <c r="Y25" s="15" t="s">
        <v>1447</v>
      </c>
      <c r="Z25" s="61" t="str">
        <f>IFERROR(VLOOKUP(AA25,tblManoeuvre[],2,FALSE),"")</f>
        <v/>
      </c>
      <c r="AA25" s="61" t="str">
        <f t="shared" si="3"/>
        <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7</v>
      </c>
      <c r="AK25" s="61">
        <f>AJ25</f>
        <v>7</v>
      </c>
    </row>
    <row r="26" spans="1:37">
      <c r="A26" s="1" t="s">
        <v>25</v>
      </c>
      <c r="B26" t="str">
        <f>REPT("●",IFERROR(INDEX($P$42:$P$69,MATCH(tblCharData27[[#This Row],[Field]],$E$42:$E$69,0)),0))&amp;REPT("○",IFERROR(INDEX($V$42:$V$69,MATCH(tblCharData27[[#This Row],[Field]],$E$42:$E$69,0)),0))&amp;IF(IFERROR(INDEX($W$42:$W$69,MATCH(tblCharData27[[#This Row],[Field]],$E$42:$E$69,0)),0)=1,"†","")</f>
        <v/>
      </c>
      <c r="D26" s="18"/>
      <c r="E26" s="15" t="s">
        <v>16</v>
      </c>
      <c r="F26" s="18"/>
      <c r="G26" s="3"/>
      <c r="H26" s="18"/>
      <c r="I26" s="18"/>
      <c r="L26" s="3"/>
      <c r="M26" s="60">
        <f>IF(E26=$F$24,2,1)</f>
        <v>1</v>
      </c>
      <c r="N26" s="3"/>
      <c r="O26" s="61">
        <f>ROUNDDOWN(N26/4,0)</f>
        <v>0</v>
      </c>
      <c r="P26" s="60">
        <f>MIN(SUM(L26,M26,O26),R26)</f>
        <v>1</v>
      </c>
      <c r="R26" s="61">
        <v>5</v>
      </c>
      <c r="U26" s="4"/>
      <c r="V26" s="61">
        <f>U26</f>
        <v>0</v>
      </c>
      <c r="Y26" s="15" t="s">
        <v>1449</v>
      </c>
      <c r="Z26" s="61" t="str">
        <f>IFERROR(VLOOKUP(AA26,tblManoeuvre[],2,FALSE),"")</f>
        <v/>
      </c>
      <c r="AA26" s="61" t="str">
        <f t="shared" si="3"/>
        <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1</v>
      </c>
      <c r="AK26" s="61">
        <f>AJ26+IFERROR(INDEX($V$26:$V$38,MATCH(AI26,$E$26:$E$38,0)),0)</f>
        <v>1</v>
      </c>
    </row>
    <row r="27" spans="1:37">
      <c r="A27" s="1" t="s">
        <v>26</v>
      </c>
      <c r="B27" t="str">
        <f>REPT("●",IFERROR(INDEX($P$42:$P$69,MATCH(tblCharData27[[#This Row],[Field]],$E$42:$E$69,0)),0))&amp;REPT("○",IFERROR(INDEX($V$42:$V$69,MATCH(tblCharData27[[#This Row],[Field]],$E$42:$E$69,0)),0))&amp;IF(IFERROR(INDEX($W$42:$W$69,MATCH(tblCharData27[[#This Row],[Field]],$E$42:$E$69,0)),0)=1,"†","")</f>
        <v/>
      </c>
      <c r="D27" s="18"/>
      <c r="E27" s="15" t="s">
        <v>17</v>
      </c>
      <c r="F27" s="18"/>
      <c r="G27" s="3"/>
      <c r="H27" s="18"/>
      <c r="I27" s="18"/>
      <c r="L27" s="3"/>
      <c r="M27" s="60">
        <f>IF(E27=$F$24,2,1)</f>
        <v>1</v>
      </c>
      <c r="N27" s="3"/>
      <c r="O27" s="61">
        <f>ROUNDDOWN(N27/4,0)</f>
        <v>0</v>
      </c>
      <c r="P27" s="60">
        <f>MIN(SUM(L27,M27,O27),R27)</f>
        <v>1</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0</v>
      </c>
      <c r="AK27" s="61">
        <f>IF(AJ27=0,IF(COUNTIF($E$42:$E$49,AI27)&gt;0,-3,-1),AJ27)</f>
        <v>-1</v>
      </c>
    </row>
    <row r="28" spans="1:37">
      <c r="A28" s="1" t="s">
        <v>27</v>
      </c>
      <c r="B28" t="str">
        <f>REPT("●",IFERROR(INDEX($P$42:$P$69,MATCH(tblCharData27[[#This Row],[Field]],$E$42:$E$69,0)),0))&amp;REPT("○",IFERROR(INDEX($V$42:$V$69,MATCH(tblCharData27[[#This Row],[Field]],$E$42:$E$69,0)),0))&amp;IF(IFERROR(INDEX($W$42:$W$69,MATCH(tblCharData27[[#This Row],[Field]],$E$42:$E$69,0)),0)=1,"†","")</f>
        <v/>
      </c>
      <c r="D28" s="18"/>
      <c r="E28" s="15" t="s">
        <v>18</v>
      </c>
      <c r="F28" s="18"/>
      <c r="G28" s="3"/>
      <c r="H28" s="18"/>
      <c r="I28" s="18"/>
      <c r="L28" s="3"/>
      <c r="M28" s="60">
        <f>IF(E28=$F$24,2,1)</f>
        <v>1</v>
      </c>
      <c r="N28" s="3"/>
      <c r="O28" s="61">
        <f>ROUNDDOWN(N28/4,0)</f>
        <v>0</v>
      </c>
      <c r="P28" s="60">
        <f>MIN(SUM(L28,M28,O28),R28)</f>
        <v>1</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0</v>
      </c>
      <c r="AK28" s="61">
        <f>IF(AJ28=0,IF(COUNTIF($E$42:$E$49,AI28)&gt;0,-3,-1),AJ28)</f>
        <v>-3</v>
      </c>
    </row>
    <row r="29" spans="1:37">
      <c r="A29" s="1" t="s">
        <v>28</v>
      </c>
      <c r="B29" t="str">
        <f>REPT("●",IFERROR(INDEX($P$42:$P$69,MATCH(tblCharData27[[#This Row],[Field]],$E$42:$E$69,0)),0))&amp;REPT("○",IFERROR(INDEX($V$42:$V$69,MATCH(tblCharData27[[#This Row],[Field]],$E$42:$E$69,0)),0))&amp;IF(IFERROR(INDEX($W$42:$W$69,MATCH(tblCharData27[[#This Row],[Field]],$E$42:$E$69,0)),0)=1,"†","")</f>
        <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0</v>
      </c>
      <c r="AK29" s="61">
        <f>IF(AJ29=0,IF(COUNTIF($E$42:$E$49,AI29)&gt;0,-3,-1),AJ29)</f>
        <v>-1</v>
      </c>
    </row>
    <row r="30" spans="1:37">
      <c r="A30" s="1" t="s">
        <v>29</v>
      </c>
      <c r="B30" t="str">
        <f>REPT("●",IFERROR(INDEX($P$42:$P$69,MATCH(tblCharData27[[#This Row],[Field]],$E$42:$E$69,0)),0))&amp;REPT("○",IFERROR(INDEX($V$42:$V$69,MATCH(tblCharData27[[#This Row],[Field]],$E$42:$E$69,0)),0))&amp;IF(IFERROR(INDEX($W$42:$W$69,MATCH(tblCharData27[[#This Row],[Field]],$E$42:$E$69,0)),0)=1,"†","")</f>
        <v/>
      </c>
      <c r="D30" s="16" t="s">
        <v>1453</v>
      </c>
      <c r="E30" s="17"/>
      <c r="F30" s="17"/>
      <c r="G30" s="17" t="s">
        <v>1445</v>
      </c>
      <c r="H30" s="16" t="s">
        <v>1446</v>
      </c>
      <c r="I30" s="3"/>
      <c r="L30" s="60">
        <f>IF(I30="",0,VLOOKUP(I30,tblPriority[],2,FALSE))-SUM(L31:L33)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0</v>
      </c>
      <c r="AK30" s="61">
        <f>AJ30</f>
        <v>0</v>
      </c>
    </row>
    <row r="31" spans="1:37">
      <c r="A31" s="1" t="s">
        <v>30</v>
      </c>
      <c r="B31" t="str">
        <f>REPT("●",IFERROR(INDEX($P$42:$P$69,MATCH(tblCharData27[[#This Row],[Field]],$E$42:$E$69,0)),0))&amp;REPT("○",IFERROR(INDEX($V$42:$V$69,MATCH(tblCharData27[[#This Row],[Field]],$E$42:$E$69,0)),0))&amp;IF(IFERROR(INDEX($W$42:$W$69,MATCH(tblCharData27[[#This Row],[Field]],$E$42:$E$69,0)),0)=1,"†","")</f>
        <v/>
      </c>
      <c r="D31" s="18"/>
      <c r="E31" s="15" t="s">
        <v>19</v>
      </c>
      <c r="F31" s="18"/>
      <c r="G31" s="3"/>
      <c r="H31" s="18"/>
      <c r="I31" s="18"/>
      <c r="L31" s="3"/>
      <c r="M31" s="60">
        <f>IF(E31=$F$24,2,1)</f>
        <v>1</v>
      </c>
      <c r="N31" s="3"/>
      <c r="O31" s="61">
        <f>ROUNDDOWN(N31/4,0)</f>
        <v>0</v>
      </c>
      <c r="P31" s="60">
        <f>MIN(SUM(L31,M31,O31),R31)</f>
        <v>1</v>
      </c>
      <c r="R31" s="61">
        <v>5</v>
      </c>
      <c r="U31" s="4"/>
      <c r="V31" s="61">
        <f>$P$174+U31</f>
        <v>0</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1</v>
      </c>
      <c r="AK31" s="61">
        <f>AJ31+IFERROR(INDEX($V$26:$V$38,MATCH(AI31,$E$26:$E$38,0)),0)</f>
        <v>1</v>
      </c>
    </row>
    <row r="32" spans="1:37">
      <c r="A32" s="1" t="s">
        <v>31</v>
      </c>
      <c r="B32" t="str">
        <f>REPT("●",IFERROR(INDEX($P$42:$P$69,MATCH(tblCharData27[[#This Row],[Field]],$E$42:$E$69,0)),0))&amp;REPT("○",IFERROR(INDEX($V$42:$V$69,MATCH(tblCharData27[[#This Row],[Field]],$E$42:$E$69,0)),0))&amp;IF(IFERROR(INDEX($W$42:$W$69,MATCH(tblCharData27[[#This Row],[Field]],$E$42:$E$69,0)),0)=1,"†","")</f>
        <v/>
      </c>
      <c r="D32" s="18"/>
      <c r="E32" s="15" t="s">
        <v>20</v>
      </c>
      <c r="F32" s="18"/>
      <c r="G32" s="3"/>
      <c r="H32" s="18"/>
      <c r="I32" s="18"/>
      <c r="L32" s="3"/>
      <c r="M32" s="60">
        <f>IF(E32=$F$24,2,1)</f>
        <v>1</v>
      </c>
      <c r="N32" s="3"/>
      <c r="O32" s="61">
        <f>ROUNDDOWN(N32/4,0)</f>
        <v>0</v>
      </c>
      <c r="P32" s="60">
        <f>MIN(SUM(L32,M32,O32),R32)</f>
        <v>1</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REPT("●",IFERROR(INDEX($P$42:$P$69,MATCH(tblCharData27[[#This Row],[Field]],$E$42:$E$69,0)),0))&amp;REPT("○",IFERROR(INDEX($V$42:$V$69,MATCH(tblCharData27[[#This Row],[Field]],$E$42:$E$69,0)),0))&amp;IF(IFERROR(INDEX($W$42:$W$69,MATCH(tblCharData27[[#This Row],[Field]],$E$42:$E$69,0)),0)=1,"†","")</f>
        <v/>
      </c>
      <c r="D33" s="18"/>
      <c r="E33" s="15" t="s">
        <v>21</v>
      </c>
      <c r="F33" s="18"/>
      <c r="G33" s="3"/>
      <c r="H33" s="18"/>
      <c r="I33" s="18"/>
      <c r="L33" s="3"/>
      <c r="M33" s="60">
        <f>IF(E33=$F$24,2,1)</f>
        <v>1</v>
      </c>
      <c r="N33" s="3"/>
      <c r="O33" s="61">
        <f>ROUNDDOWN(N33/4,0)</f>
        <v>0</v>
      </c>
      <c r="P33" s="60">
        <f>MIN(SUM(L33,M33,O33),R33)</f>
        <v>1</v>
      </c>
      <c r="R33" s="61">
        <v>5</v>
      </c>
      <c r="U33" s="4"/>
      <c r="V33" s="61">
        <f>$P$173+U33</f>
        <v>0</v>
      </c>
      <c r="Y33" s="15" t="s">
        <v>1457</v>
      </c>
      <c r="Z33" s="61" t="str">
        <f>IFERROR(VLOOKUP(AA33,tblManoeuvre[],2,FALSE),"")</f>
        <v/>
      </c>
      <c r="AA33" s="61" t="str">
        <f t="shared" si="3"/>
        <v/>
      </c>
      <c r="AI33" s="15" t="s">
        <v>241</v>
      </c>
      <c r="AJ33" s="61">
        <f t="shared" si="1"/>
        <v>1</v>
      </c>
      <c r="AK33" s="61">
        <f>AJ33</f>
        <v>1</v>
      </c>
    </row>
    <row r="34" spans="1:37">
      <c r="A34" s="1" t="s">
        <v>33</v>
      </c>
      <c r="B34" t="str">
        <f>REPT("●",IFERROR(INDEX($P$42:$P$69,MATCH(tblCharData27[[#This Row],[Field]],$E$42:$E$69,0)),0))&amp;REPT("○",IFERROR(INDEX($V$42:$V$69,MATCH(tblCharData27[[#This Row],[Field]],$E$42:$E$69,0)),0))&amp;IF(IFERROR(INDEX($W$42:$W$69,MATCH(tblCharData27[[#This Row],[Field]],$E$42:$E$69,0)),0)=1,"†","")</f>
        <v/>
      </c>
      <c r="Y34" s="15" t="s">
        <v>1458</v>
      </c>
      <c r="Z34" s="61" t="str">
        <f>IFERROR(VLOOKUP(AA34,tblManoeuvre[],2,FALSE),"")</f>
        <v/>
      </c>
      <c r="AA34" s="61" t="str">
        <f t="shared" si="3"/>
        <v/>
      </c>
      <c r="AI34" s="15" t="s">
        <v>242</v>
      </c>
      <c r="AJ34" s="61">
        <f t="shared" si="1"/>
        <v>3</v>
      </c>
      <c r="AK34" s="61">
        <f>AJ34</f>
        <v>3</v>
      </c>
    </row>
    <row r="35" spans="1:37">
      <c r="A35" s="1" t="s">
        <v>34</v>
      </c>
      <c r="B35" t="str">
        <f>REPT("●",IFERROR(INDEX($P$42:$P$69,MATCH(tblCharData27[[#This Row],[Field]],$E$42:$E$69,0)),0))&amp;REPT("○",IFERROR(INDEX($V$42:$V$69,MATCH(tblCharData27[[#This Row],[Field]],$E$42:$E$69,0)),0))&amp;IF(IFERROR(INDEX($W$42:$W$69,MATCH(tblCharData27[[#This Row],[Field]],$E$42:$E$69,0)),0)=1,"†","")</f>
        <v/>
      </c>
      <c r="D35" s="16" t="s">
        <v>1459</v>
      </c>
      <c r="E35" s="17"/>
      <c r="F35" s="17"/>
      <c r="G35" s="17" t="s">
        <v>1445</v>
      </c>
      <c r="H35" s="16" t="s">
        <v>1446</v>
      </c>
      <c r="I35" s="3"/>
      <c r="L35" s="60">
        <f>IF(I35="",0,VLOOKUP(I35,tblPriority[],2,FALSE))-SUM(L36:L38)</f>
        <v>0</v>
      </c>
      <c r="Y35" s="15" t="s">
        <v>1460</v>
      </c>
      <c r="Z35" s="61" t="str">
        <f>IFERROR(VLOOKUP(AA35,tblManoeuvre[],2,FALSE),"")</f>
        <v/>
      </c>
      <c r="AA35" s="61" t="str">
        <f t="shared" si="3"/>
        <v/>
      </c>
      <c r="AI35" s="15" t="s">
        <v>30</v>
      </c>
      <c r="AJ35" s="61">
        <f t="shared" si="1"/>
        <v>0</v>
      </c>
      <c r="AK35" s="61">
        <f>IF(AJ35=0,IF(COUNTIF($E$42:$E$49,AI35)&gt;0,-3,-1),AJ35)</f>
        <v>-3</v>
      </c>
    </row>
    <row r="36" spans="1:37">
      <c r="A36" s="1" t="s">
        <v>35</v>
      </c>
      <c r="B36" t="str">
        <f>REPT("●",IFERROR(INDEX($P$42:$P$69,MATCH(tblCharData27[[#This Row],[Field]],$E$42:$E$69,0)),0))&amp;REPT("○",IFERROR(INDEX($V$42:$V$69,MATCH(tblCharData27[[#This Row],[Field]],$E$42:$E$69,0)),0))&amp;IF(IFERROR(INDEX($W$42:$W$69,MATCH(tblCharData27[[#This Row],[Field]],$E$42:$E$69,0)),0)=1,"†","")</f>
        <v/>
      </c>
      <c r="D36" s="18"/>
      <c r="E36" s="15" t="s">
        <v>22</v>
      </c>
      <c r="F36" s="18"/>
      <c r="G36" s="3"/>
      <c r="H36" s="18"/>
      <c r="I36" s="18"/>
      <c r="L36" s="3"/>
      <c r="M36" s="60">
        <f>IF(E36=$F$24,2,1)</f>
        <v>1</v>
      </c>
      <c r="N36" s="3"/>
      <c r="O36" s="61">
        <f>ROUNDDOWN(N36/4,0)</f>
        <v>0</v>
      </c>
      <c r="P36" s="60">
        <f>MIN(SUM(L36,M36,O36),R36)</f>
        <v>1</v>
      </c>
      <c r="R36" s="61">
        <v>5</v>
      </c>
      <c r="U36" s="4"/>
      <c r="V36" s="61">
        <f>U36</f>
        <v>0</v>
      </c>
      <c r="Y36" s="15" t="s">
        <v>1461</v>
      </c>
      <c r="Z36" s="61" t="str">
        <f>IFERROR(VLOOKUP(AA36,tblManoeuvre[],2,FALSE),"")</f>
        <v/>
      </c>
      <c r="AA36" s="61" t="str">
        <f t="shared" si="3"/>
        <v/>
      </c>
      <c r="AI36" s="15" t="s">
        <v>45</v>
      </c>
      <c r="AJ36" s="61">
        <f t="shared" si="1"/>
        <v>0</v>
      </c>
      <c r="AK36" s="61">
        <f>IF(AJ36=0,IF(COUNTIF($E$42:$E$49,AI36)&gt;0,-3,-1),AJ36)</f>
        <v>-1</v>
      </c>
    </row>
    <row r="37" spans="1:37">
      <c r="A37" s="1" t="s">
        <v>36</v>
      </c>
      <c r="B37" t="str">
        <f>REPT("●",IFERROR(INDEX($P$42:$P$69,MATCH(tblCharData27[[#This Row],[Field]],$E$42:$E$69,0)),0))&amp;REPT("○",IFERROR(INDEX($V$42:$V$69,MATCH(tblCharData27[[#This Row],[Field]],$E$42:$E$69,0)),0))&amp;IF(IFERROR(INDEX($W$42:$W$69,MATCH(tblCharData27[[#This Row],[Field]],$E$42:$E$69,0)),0)=1,"†","")</f>
        <v/>
      </c>
      <c r="D37" s="18"/>
      <c r="E37" s="15" t="s">
        <v>23</v>
      </c>
      <c r="F37" s="18"/>
      <c r="G37" s="3"/>
      <c r="H37" s="18"/>
      <c r="I37" s="18"/>
      <c r="L37" s="3"/>
      <c r="M37" s="60">
        <f>IF(E37=$F$24,2,1)</f>
        <v>1</v>
      </c>
      <c r="N37" s="3"/>
      <c r="O37" s="61">
        <f>ROUNDDOWN(N37/4,0)</f>
        <v>0</v>
      </c>
      <c r="P37" s="60">
        <f>MIN(SUM(L37,M37,O37),R37)</f>
        <v>1</v>
      </c>
      <c r="R37" s="61">
        <v>5</v>
      </c>
      <c r="U37" s="4"/>
      <c r="V37" s="61">
        <f>U37</f>
        <v>0</v>
      </c>
      <c r="Y37" s="15" t="s">
        <v>1462</v>
      </c>
      <c r="Z37" s="61" t="str">
        <f>IFERROR(VLOOKUP(AA37,tblManoeuvre[],2,FALSE),"")</f>
        <v/>
      </c>
      <c r="AA37" s="61" t="str">
        <f t="shared" si="3"/>
        <v/>
      </c>
      <c r="AI37" s="15" t="s">
        <v>31</v>
      </c>
      <c r="AJ37" s="61">
        <f t="shared" si="1"/>
        <v>0</v>
      </c>
      <c r="AK37" s="61">
        <f>IF(AJ37=0,IF(COUNTIF($E$42:$E$49,AI37)&gt;0,-3,-1),AJ37)</f>
        <v>-3</v>
      </c>
    </row>
    <row r="38" spans="1:37">
      <c r="A38" s="1" t="s">
        <v>37</v>
      </c>
      <c r="B38" t="str">
        <f>REPT("●",IFERROR(INDEX($P$42:$P$69,MATCH(tblCharData27[[#This Row],[Field]],$E$42:$E$69,0)),0))&amp;REPT("○",IFERROR(INDEX($V$42:$V$69,MATCH(tblCharData27[[#This Row],[Field]],$E$42:$E$69,0)),0))&amp;IF(IFERROR(INDEX($W$42:$W$69,MATCH(tblCharData27[[#This Row],[Field]],$E$42:$E$69,0)),0)=1,"†","")</f>
        <v/>
      </c>
      <c r="D38" s="18"/>
      <c r="E38" s="15" t="s">
        <v>24</v>
      </c>
      <c r="F38" s="18"/>
      <c r="G38" s="3"/>
      <c r="H38" s="18"/>
      <c r="I38" s="18"/>
      <c r="L38" s="3"/>
      <c r="M38" s="60">
        <f>IF(E38=$F$24,2,1)</f>
        <v>1</v>
      </c>
      <c r="N38" s="3"/>
      <c r="O38" s="61">
        <f>ROUNDDOWN(N38/4,0)</f>
        <v>0</v>
      </c>
      <c r="P38" s="60">
        <f>MIN(SUM(L38,M38,O38),R38)</f>
        <v>1</v>
      </c>
      <c r="R38" s="61">
        <v>5</v>
      </c>
      <c r="U38" s="4"/>
      <c r="V38" s="61">
        <f>U38</f>
        <v>0</v>
      </c>
      <c r="Y38" s="15" t="s">
        <v>1463</v>
      </c>
      <c r="Z38" s="61" t="str">
        <f>IFERROR(VLOOKUP(AA38,tblManoeuvre[],2,FALSE),"")</f>
        <v/>
      </c>
      <c r="AA38" s="61" t="str">
        <f t="shared" si="3"/>
        <v/>
      </c>
      <c r="AI38" s="15" t="s">
        <v>22</v>
      </c>
      <c r="AJ38" s="61">
        <f t="shared" si="1"/>
        <v>1</v>
      </c>
      <c r="AK38" s="61">
        <f>AJ38+IFERROR(INDEX($V$26:$V$38,MATCH(AI38,$E$26:$E$38,0)),0)</f>
        <v>1</v>
      </c>
    </row>
    <row r="39" spans="1:37">
      <c r="A39" s="1" t="s">
        <v>38</v>
      </c>
      <c r="B39" t="str">
        <f>REPT("●",IFERROR(INDEX($P$42:$P$69,MATCH(tblCharData27[[#This Row],[Field]],$E$42:$E$69,0)),0))&amp;REPT("○",IFERROR(INDEX($V$42:$V$69,MATCH(tblCharData27[[#This Row],[Field]],$E$42:$E$69,0)),0))&amp;IF(IFERROR(INDEX($W$42:$W$69,MATCH(tblCharData27[[#This Row],[Field]],$E$42:$E$69,0)),0)=1,"†","")</f>
        <v/>
      </c>
      <c r="Y39" s="15" t="s">
        <v>1464</v>
      </c>
      <c r="Z39" s="61" t="str">
        <f>IFERROR(VLOOKUP(AA39,tblManoeuvre[],2,FALSE),"")</f>
        <v/>
      </c>
      <c r="AA39" s="61" t="str">
        <f t="shared" si="3"/>
        <v/>
      </c>
      <c r="AI39" s="15" t="s">
        <v>243</v>
      </c>
      <c r="AJ39" s="61">
        <f t="shared" si="1"/>
        <v>0</v>
      </c>
      <c r="AK39" s="61">
        <f>AJ39</f>
        <v>0</v>
      </c>
    </row>
    <row r="40" spans="1:37">
      <c r="A40" s="1" t="s">
        <v>39</v>
      </c>
      <c r="B40" t="str">
        <f>REPT("●",IFERROR(INDEX($P$42:$P$69,MATCH(tblCharData27[[#This Row],[Field]],$E$42:$E$69,0)),0))&amp;REPT("○",IFERROR(INDEX($V$42:$V$69,MATCH(tblCharData27[[#This Row],[Field]],$E$42:$E$69,0)),0))&amp;IF(IFERROR(INDEX($W$42:$W$69,MATCH(tblCharData27[[#This Row],[Field]],$E$42:$E$69,0)),0)=1,"†","")</f>
        <v/>
      </c>
      <c r="D40" s="14" t="s">
        <v>1465</v>
      </c>
      <c r="E40" s="14"/>
      <c r="F40" s="14"/>
      <c r="G40" s="14"/>
      <c r="H40" s="14"/>
      <c r="I40" s="14"/>
      <c r="N40" s="60">
        <f>SUM(N42:N49,N52:N59,N62:N69)</f>
        <v>0</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1"/>
        <v>0</v>
      </c>
      <c r="AK40" s="61">
        <f>AJ40</f>
        <v>0</v>
      </c>
    </row>
    <row r="41" spans="1:37">
      <c r="A41" s="1" t="s">
        <v>40</v>
      </c>
      <c r="B41" t="str">
        <f>REPT("●",IFERROR(INDEX($P$42:$P$69,MATCH(tblCharData27[[#This Row],[Field]],$E$42:$E$69,0)),0))&amp;REPT("○",IFERROR(INDEX($V$42:$V$69,MATCH(tblCharData27[[#This Row],[Field]],$E$42:$E$69,0)),0))&amp;IF(IFERROR(INDEX($W$42:$W$69,MATCH(tblCharData27[[#This Row],[Field]],$E$42:$E$69,0)),0)=1,"†","")</f>
        <v/>
      </c>
      <c r="D41" s="16" t="s">
        <v>1444</v>
      </c>
      <c r="E41" s="17"/>
      <c r="F41" s="17"/>
      <c r="G41" s="17" t="s">
        <v>1467</v>
      </c>
      <c r="H41" s="16" t="s">
        <v>1446</v>
      </c>
      <c r="I41" s="3"/>
      <c r="L41" s="60">
        <f>IF(I41="",0,VLOOKUP(I41,tblPriority[],3,FALSE))-SUM(L42:L49)</f>
        <v>0</v>
      </c>
      <c r="T41" s="60">
        <f>3+IF(P161&gt;=3,2,0)-SUM(T42:T49,T52:T59,T62:T69)</f>
        <v>3</v>
      </c>
      <c r="Y41" s="15" t="s">
        <v>1468</v>
      </c>
      <c r="Z41" s="61" t="str">
        <f>IFERROR(VLOOKUP(AA41,tblManoeuvre[],2,FALSE),"")</f>
        <v/>
      </c>
      <c r="AA41" s="61" t="str">
        <f t="shared" si="3"/>
        <v/>
      </c>
      <c r="AI41" s="15" t="s">
        <v>244</v>
      </c>
      <c r="AJ41" s="61">
        <f t="shared" si="1"/>
        <v>0</v>
      </c>
      <c r="AK41" s="61">
        <f>AJ41</f>
        <v>0</v>
      </c>
    </row>
    <row r="42" spans="1:37">
      <c r="A42" s="1" t="s">
        <v>41</v>
      </c>
      <c r="B42" t="str">
        <f>REPT("●",IFERROR(INDEX($P$42:$P$69,MATCH(tblCharData27[[#This Row],[Field]],$E$42:$E$69,0)),0))&amp;REPT("○",IFERROR(INDEX($V$42:$V$69,MATCH(tblCharData27[[#This Row],[Field]],$E$42:$E$69,0)),0))&amp;IF(IFERROR(INDEX($W$42:$W$69,MATCH(tblCharData27[[#This Row],[Field]],$E$42:$E$69,0)),0)=1,"†","")</f>
        <v/>
      </c>
      <c r="D42" s="18"/>
      <c r="E42" s="15" t="s">
        <v>25</v>
      </c>
      <c r="F42" s="18"/>
      <c r="G42" s="3"/>
      <c r="H42" s="18"/>
      <c r="I42" s="18"/>
      <c r="L42" s="4"/>
      <c r="M42" s="60"/>
      <c r="N42" s="4"/>
      <c r="O42" s="61">
        <f>ROUNDDOWN(N42/2,0)</f>
        <v>0</v>
      </c>
      <c r="P42" s="60">
        <f t="shared" ref="P42:P49" si="4">MIN(SUM(L42,M42,O42),R42)</f>
        <v>0</v>
      </c>
      <c r="R42" s="61">
        <v>5</v>
      </c>
      <c r="T42" s="4"/>
      <c r="U42" s="4"/>
      <c r="V42" s="61">
        <f t="shared" ref="V42:V49" si="5">U42</f>
        <v>0</v>
      </c>
      <c r="W42" s="4"/>
      <c r="AI42" s="15" t="s">
        <v>18</v>
      </c>
      <c r="AJ42" s="61">
        <f t="shared" si="1"/>
        <v>1</v>
      </c>
      <c r="AK42" s="61">
        <f>AJ42+IFERROR(INDEX($V$26:$V$38,MATCH(AI42,$E$26:$E$38,0)),0)</f>
        <v>1</v>
      </c>
    </row>
    <row r="43" spans="1:37">
      <c r="A43" s="1" t="s">
        <v>42</v>
      </c>
      <c r="B43" t="str">
        <f>REPT("●",IFERROR(INDEX($P$42:$P$69,MATCH(tblCharData27[[#This Row],[Field]],$E$42:$E$69,0)),0))&amp;REPT("○",IFERROR(INDEX($V$42:$V$69,MATCH(tblCharData27[[#This Row],[Field]],$E$42:$E$69,0)),0))&amp;IF(IFERROR(INDEX($W$42:$W$69,MATCH(tblCharData27[[#This Row],[Field]],$E$42:$E$69,0)),0)=1,"†","")</f>
        <v/>
      </c>
      <c r="D43" s="18"/>
      <c r="E43" s="15" t="s">
        <v>26</v>
      </c>
      <c r="F43" s="18"/>
      <c r="G43" s="3"/>
      <c r="H43" s="18"/>
      <c r="I43" s="18"/>
      <c r="L43" s="4"/>
      <c r="M43" s="60"/>
      <c r="N43" s="4"/>
      <c r="O43" s="61">
        <f t="shared" ref="O43:O49" si="6">ROUNDDOWN(N43/2,0)</f>
        <v>0</v>
      </c>
      <c r="P43" s="60">
        <f t="shared" si="4"/>
        <v>0</v>
      </c>
      <c r="R43" s="61">
        <v>5</v>
      </c>
      <c r="T43" s="4"/>
      <c r="U43" s="4"/>
      <c r="V43" s="61">
        <f t="shared" si="5"/>
        <v>0</v>
      </c>
      <c r="W43" s="4"/>
      <c r="AI43" s="15" t="s">
        <v>32</v>
      </c>
      <c r="AJ43" s="61">
        <f t="shared" si="1"/>
        <v>0</v>
      </c>
      <c r="AK43" s="61">
        <f>IF(AJ43=0,IF(COUNTIF($E$42:$E$49,AI43)&gt;0,-3,-1),AJ43)</f>
        <v>-3</v>
      </c>
    </row>
    <row r="44" spans="1:37">
      <c r="A44" s="1" t="s">
        <v>43</v>
      </c>
      <c r="B44" t="str">
        <f>REPT("●",IFERROR(INDEX($P$42:$P$69,MATCH(tblCharData27[[#This Row],[Field]],$E$42:$E$69,0)),0))&amp;REPT("○",IFERROR(INDEX($V$42:$V$69,MATCH(tblCharData27[[#This Row],[Field]],$E$42:$E$69,0)),0))&amp;IF(IFERROR(INDEX($W$42:$W$69,MATCH(tblCharData27[[#This Row],[Field]],$E$42:$E$69,0)),0)=1,"†","")</f>
        <v/>
      </c>
      <c r="D44" s="18"/>
      <c r="E44" s="15" t="s">
        <v>27</v>
      </c>
      <c r="F44" s="18"/>
      <c r="G44" s="3"/>
      <c r="H44" s="18"/>
      <c r="I44" s="18"/>
      <c r="L44" s="4"/>
      <c r="M44" s="60"/>
      <c r="N44" s="4"/>
      <c r="O44" s="61">
        <f t="shared" si="6"/>
        <v>0</v>
      </c>
      <c r="P44" s="60">
        <f t="shared" si="4"/>
        <v>0</v>
      </c>
      <c r="R44" s="61">
        <v>5</v>
      </c>
      <c r="T44" s="4"/>
      <c r="U44" s="4"/>
      <c r="V44" s="61">
        <f t="shared" si="5"/>
        <v>0</v>
      </c>
      <c r="W44" s="4"/>
      <c r="Y44" s="15">
        <v>1</v>
      </c>
      <c r="Z44" s="61" t="s">
        <v>236</v>
      </c>
      <c r="AA44" s="60" t="str" cm="1">
        <f t="array" ref="AA44">IF(OR(Y44=0,Y44=""),"",IF(VLOOKUP(Z44,$AI$1:$AJ$58,2,FALSE)&gt;=Y44,INDEX(tblDisciplines[Name],MATCH(1,(tblDisciplines[Discipline]=Z44)*(tblDisciplines[Rank]=Y44),0)),""))</f>
        <v/>
      </c>
      <c r="AC44" s="60" t="str" cm="1">
        <f t="array" ref="AC44:AC50">IFERROR(_xlfn.VSTACK(IFERROR(_xlfn._xlws.FILTER(AA44:AA121,AA44:AA121&lt;&gt;""),""),IFERROR(_xlfn._xlws.SORT(_xlfn._xlws.FILTER(AA123:AA132,AA123:AA132&lt;&gt;"")),"")),"")</f>
        <v>Celerity 1</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Celerity ●</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1 V per effect  •  Pool: -  •  Reflexive  •  1 turn</v>
      </c>
      <c r="AF44" s="20" t="str">
        <f>IF(AC44="","",IFERROR(VLOOKUP(AC44,tblDisciplines[],12,FALSE),VLOOKUP(AC44,tblPacts[],5,FALSE)))</f>
        <v>Persistent improved Defence or Dodge. Activate for supernatural speed benefits. Unnatural Grace: add Celerity dots as bonus dice to non-combat speed-based pools.</v>
      </c>
      <c r="AI44" s="15" t="s">
        <v>353</v>
      </c>
      <c r="AJ44" s="61">
        <f t="shared" si="1"/>
        <v>5</v>
      </c>
      <c r="AK44" s="61">
        <f>AJ44</f>
        <v>5</v>
      </c>
    </row>
    <row r="45" spans="1:37">
      <c r="A45" s="1" t="s">
        <v>44</v>
      </c>
      <c r="B45" t="str">
        <f>REPT("●",IFERROR(INDEX($P$42:$P$69,MATCH(tblCharData27[[#This Row],[Field]],$E$42:$E$69,0)),0))&amp;REPT("○",IFERROR(INDEX($V$42:$V$69,MATCH(tblCharData27[[#This Row],[Field]],$E$42:$E$69,0)),0))&amp;IF(IFERROR(INDEX($W$42:$W$69,MATCH(tblCharData27[[#This Row],[Field]],$E$42:$E$69,0)),0)=1,"†","")</f>
        <v/>
      </c>
      <c r="D45" s="18"/>
      <c r="E45" s="15" t="s">
        <v>28</v>
      </c>
      <c r="F45" s="18"/>
      <c r="G45" s="3"/>
      <c r="H45" s="18"/>
      <c r="I45" s="18"/>
      <c r="L45" s="4"/>
      <c r="M45" s="60"/>
      <c r="N45" s="4"/>
      <c r="O45" s="61">
        <f t="shared" si="6"/>
        <v>0</v>
      </c>
      <c r="P45" s="60">
        <f t="shared" si="4"/>
        <v>0</v>
      </c>
      <c r="R45" s="61">
        <v>5</v>
      </c>
      <c r="T45" s="4"/>
      <c r="U45" s="4"/>
      <c r="V45" s="61">
        <f t="shared" si="5"/>
        <v>0</v>
      </c>
      <c r="W45" s="4"/>
      <c r="Y45" s="15">
        <v>2</v>
      </c>
      <c r="Z45" s="61" t="s">
        <v>236</v>
      </c>
      <c r="AA45" s="60" t="str" cm="1">
        <f t="array" ref="AA45">IF(OR(Y45=0,Y45=""),"",IF(VLOOKUP(Z45,$AI$1:$AJ$58,2,FALSE)&gt;=Y45,INDEX(tblDisciplines[Name],MATCH(1,(tblDisciplines[Discipline]=Z45)*(tblDisciplines[Rank]=Y45),0)),""))</f>
        <v/>
      </c>
      <c r="AC45" s="60" t="str">
        <v>Dread Presence</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Nightmare ● | Dread Presence</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  •  Pool: -  •  Instant  •  Scene</v>
      </c>
      <c r="AF45" s="20" t="str">
        <f>IF(AC45="","",IFERROR(VLOOKUP(AC45,tblDisciplines[],12,FALSE),VLOOKUP(AC45,tblPacts[],5,FALSE)))</f>
        <v>Conjure brief illusions. Improve Intimidation. Prevent foes spending Willpower.</v>
      </c>
      <c r="AI45" s="15" t="s">
        <v>46</v>
      </c>
      <c r="AJ45" s="61">
        <f t="shared" si="1"/>
        <v>0</v>
      </c>
      <c r="AK45" s="61">
        <f>IF(AJ45=0,IF(COUNTIF($E$42:$E$49,AI45)&gt;0,-3,-1),AJ45)</f>
        <v>-1</v>
      </c>
    </row>
    <row r="46" spans="1:37">
      <c r="A46" s="1" t="s">
        <v>45</v>
      </c>
      <c r="B46" t="str">
        <f>REPT("●",IFERROR(INDEX($P$42:$P$69,MATCH(tblCharData27[[#This Row],[Field]],$E$42:$E$69,0)),0))&amp;REPT("○",IFERROR(INDEX($V$42:$V$69,MATCH(tblCharData27[[#This Row],[Field]],$E$42:$E$69,0)),0))&amp;IF(IFERROR(INDEX($W$42:$W$69,MATCH(tblCharData27[[#This Row],[Field]],$E$42:$E$69,0)),0)=1,"†","")</f>
        <v/>
      </c>
      <c r="D46" s="18"/>
      <c r="E46" s="15" t="s">
        <v>29</v>
      </c>
      <c r="F46" s="18"/>
      <c r="G46" s="3"/>
      <c r="H46" s="18"/>
      <c r="I46" s="18"/>
      <c r="L46" s="4"/>
      <c r="M46" s="60"/>
      <c r="N46" s="4"/>
      <c r="O46" s="61">
        <f t="shared" si="6"/>
        <v>0</v>
      </c>
      <c r="P46" s="60">
        <f t="shared" si="4"/>
        <v>0</v>
      </c>
      <c r="R46" s="61">
        <v>5</v>
      </c>
      <c r="T46" s="4"/>
      <c r="U46" s="4"/>
      <c r="V46" s="61">
        <f t="shared" si="5"/>
        <v>0</v>
      </c>
      <c r="W46" s="4"/>
      <c r="Y46" s="15">
        <v>3</v>
      </c>
      <c r="Z46" s="61" t="s">
        <v>236</v>
      </c>
      <c r="AA46" s="60" t="str" cm="1">
        <f t="array" ref="AA46">IF(OR(Y46=0,Y46=""),"",IF(VLOOKUP(Z46,$AI$1:$AJ$58,2,FALSE)&gt;=Y46,INDEX(tblDisciplines[Name],MATCH(1,(tblDisciplines[Discipline]=Z46)*(tblDisciplines[Rank]=Y46),0)),""))</f>
        <v/>
      </c>
      <c r="AC46" s="60" t="str">
        <v>Face in the Crowd</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Obfuscate ● | Face in the Crowd</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  •  Pool: -  •  Instant  •  Scene</v>
      </c>
      <c r="AF46" s="20" t="str">
        <f>IF(AC46="","",IFERROR(VLOOKUP(AC46,tblDisciplines[],12,FALSE),VLOOKUP(AC46,tblPacts[],5,FALSE)))</f>
        <v>Blend into surroundings, visible but unnoticeable. Predatory aura fully on or off. Leaving combat: Wits + Composure - Obfuscate to notice; auto Clash of Wills vs Auspex.</v>
      </c>
      <c r="AI46" s="15" t="s">
        <v>354</v>
      </c>
      <c r="AJ46" s="61">
        <f t="shared" ca="1" si="1"/>
        <v>7</v>
      </c>
      <c r="AK46" s="61">
        <f ca="1">AJ46</f>
        <v>7</v>
      </c>
    </row>
    <row r="47" spans="1:37">
      <c r="A47" s="1" t="s">
        <v>46</v>
      </c>
      <c r="B47" t="str">
        <f>REPT("●",IFERROR(INDEX($P$42:$P$69,MATCH(tblCharData27[[#This Row],[Field]],$E$42:$E$69,0)),0))&amp;REPT("○",IFERROR(INDEX($V$42:$V$69,MATCH(tblCharData27[[#This Row],[Field]],$E$42:$E$69,0)),0))&amp;IF(IFERROR(INDEX($W$42:$W$69,MATCH(tblCharData27[[#This Row],[Field]],$E$42:$E$69,0)),0)=1,"†","")</f>
        <v/>
      </c>
      <c r="D47" s="18"/>
      <c r="E47" s="15" t="s">
        <v>30</v>
      </c>
      <c r="F47" s="18"/>
      <c r="G47" s="3"/>
      <c r="H47" s="18"/>
      <c r="I47" s="18"/>
      <c r="L47" s="4"/>
      <c r="M47" s="60"/>
      <c r="N47" s="4"/>
      <c r="O47" s="61">
        <f t="shared" si="6"/>
        <v>0</v>
      </c>
      <c r="P47" s="60">
        <f t="shared" si="4"/>
        <v>0</v>
      </c>
      <c r="R47" s="61">
        <v>5</v>
      </c>
      <c r="T47" s="4"/>
      <c r="U47" s="4"/>
      <c r="V47" s="61">
        <f t="shared" si="5"/>
        <v>0</v>
      </c>
      <c r="W47" s="4"/>
      <c r="Y47" s="15">
        <v>4</v>
      </c>
      <c r="Z47" s="61" t="s">
        <v>236</v>
      </c>
      <c r="AA47" s="60" t="str" cm="1">
        <f t="array" ref="AA47">IF(OR(Y47=0,Y47=""),"",IF(VLOOKUP(Z47,$AI$1:$AJ$58,2,FALSE)&gt;=Y47,INDEX(tblDisciplines[Name],MATCH(1,(tblDisciplines[Discipline]=Z47)*(tblDisciplines[Rank]=Y47),0)),""))</f>
        <v/>
      </c>
      <c r="AC47" s="60" t="str">
        <v>Touch of Shadow</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Obfuscate ●● | Touch of Shadow</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Cost: 1 V  •  Pool: 3  •  Instant  •  Scene</v>
      </c>
      <c r="AF47" s="20" t="str">
        <f>IF(AC47="","",IFERROR(VLOOKUP(AC47,tblDisciplines[],12,FALSE),VLOOKUP(AC47,tblPacts[],5,FALSE)))</f>
        <v>Cast Face in the Crowd on object or person. Free and unlimited duration on carried/worn objects if not drawing attention.</v>
      </c>
      <c r="AI47" s="15" t="s">
        <v>21</v>
      </c>
      <c r="AJ47" s="61">
        <f t="shared" si="1"/>
        <v>1</v>
      </c>
      <c r="AK47" s="61">
        <f>AJ47+IFERROR(INDEX($V$26:$V$38,MATCH(AI47,$E$26:$E$38,0)),0)</f>
        <v>1</v>
      </c>
    </row>
    <row r="48" spans="1:37">
      <c r="A48" s="1" t="s">
        <v>47</v>
      </c>
      <c r="B48" t="str">
        <f>REPT("●",IFERROR(INDEX($P$42:$P$69,MATCH(tblCharData27[[#This Row],[Field]],$E$42:$E$69,0)),0))&amp;REPT("○",IFERROR(INDEX($V$42:$V$69,MATCH(tblCharData27[[#This Row],[Field]],$E$42:$E$69,0)),0))&amp;IF(IFERROR(INDEX($W$42:$W$69,MATCH(tblCharData27[[#This Row],[Field]],$E$42:$E$69,0)),0)=1,"†","")</f>
        <v/>
      </c>
      <c r="D48" s="18"/>
      <c r="E48" s="15" t="s">
        <v>31</v>
      </c>
      <c r="F48" s="18"/>
      <c r="G48" s="3"/>
      <c r="H48" s="18"/>
      <c r="I48" s="18"/>
      <c r="L48" s="4"/>
      <c r="M48" s="60"/>
      <c r="N48" s="4"/>
      <c r="O48" s="61">
        <f t="shared" si="6"/>
        <v>0</v>
      </c>
      <c r="P48" s="60">
        <f t="shared" si="4"/>
        <v>0</v>
      </c>
      <c r="R48" s="61">
        <v>5</v>
      </c>
      <c r="T48" s="4"/>
      <c r="U48" s="4"/>
      <c r="V48" s="61">
        <f t="shared" si="5"/>
        <v>0</v>
      </c>
      <c r="W48" s="4"/>
      <c r="Y48" s="15">
        <v>5</v>
      </c>
      <c r="Z48" s="61" t="s">
        <v>236</v>
      </c>
      <c r="AA48" s="60" t="str" cm="1">
        <f t="array" ref="AA48">IF(OR(Y48=0,Y48=""),"",IF(VLOOKUP(Z48,$AI$1:$AJ$58,2,FALSE)&gt;=Y48,INDEX(tblDisciplines[Name],MATCH(1,(tblDisciplines[Discipline]=Z48)*(tblDisciplines[Rank]=Y48),0)),""))</f>
        <v/>
      </c>
      <c r="AC48" s="60" t="str">
        <v>Cloak of Night</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Obfuscate ●●● | Cloak of Night</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Cost: 1 V  •  Pool: -  •  None</v>
      </c>
      <c r="AF48" s="20" t="str">
        <f>IF(AC48="","",IFERROR(VLOOKUP(AC48,tblDisciplines[],12,FALSE),VLOOKUP(AC48,tblPacts[],5,FALSE)))</f>
        <v>Become invisible. Leaving combat: auto Clash of Wills vs Auspex 2.</v>
      </c>
      <c r="AI48" s="15" t="s">
        <v>38</v>
      </c>
      <c r="AJ48" s="61">
        <f t="shared" si="1"/>
        <v>0</v>
      </c>
      <c r="AK48" s="61">
        <f>IF(AJ48=0,IF(COUNTIF($E$42:$E$49,AI48)&gt;0,-3,-1),AJ48)</f>
        <v>-1</v>
      </c>
    </row>
    <row r="49" spans="1:37">
      <c r="A49" s="1" t="s">
        <v>48</v>
      </c>
      <c r="B49" t="str">
        <f>REPT("●",IFERROR(INDEX($P$42:$P$69,MATCH(tblCharData27[[#This Row],[Field]],$E$42:$E$69,0)),0))&amp;REPT("○",IFERROR(INDEX($V$42:$V$69,MATCH(tblCharData27[[#This Row],[Field]],$E$42:$E$69,0)),0))&amp;IF(IFERROR(INDEX($W$42:$W$69,MATCH(tblCharData27[[#This Row],[Field]],$E$42:$E$69,0)),0)=1,"†","")</f>
        <v/>
      </c>
      <c r="D49" s="18"/>
      <c r="E49" s="15" t="s">
        <v>32</v>
      </c>
      <c r="F49" s="18"/>
      <c r="G49" s="3"/>
      <c r="H49" s="18"/>
      <c r="I49" s="18"/>
      <c r="L49" s="4"/>
      <c r="M49" s="60"/>
      <c r="N49" s="4"/>
      <c r="O49" s="61">
        <f t="shared" si="6"/>
        <v>0</v>
      </c>
      <c r="P49" s="60">
        <f t="shared" si="4"/>
        <v>0</v>
      </c>
      <c r="R49" s="61">
        <v>5</v>
      </c>
      <c r="T49" s="4"/>
      <c r="U49" s="4"/>
      <c r="V49" s="61">
        <f t="shared" si="5"/>
        <v>0</v>
      </c>
      <c r="W49" s="4"/>
      <c r="Y49" s="15">
        <v>1</v>
      </c>
      <c r="Z49" s="61" t="s">
        <v>237</v>
      </c>
      <c r="AA49" s="60" t="str" cm="1">
        <f t="array" ref="AA49">IF(OR(Y49=0,Y49=""),"",IF(VLOOKUP(Z49,$AI$1:$AJ$58,2,FALSE)&gt;=Y49,INDEX(tblDisciplines[Name],MATCH(1,(tblDisciplines[Discipline]=Z49)*(tblDisciplines[Rank]=Y49),0)),""))</f>
        <v/>
      </c>
      <c r="AC49" s="60" t="str">
        <v>Wraith's Presence</v>
      </c>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Devotion  | Wraith's Presence</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Cost: 1 V Activate with Cloak of Night  •  Pool: 3  •  Instant  •  Scene</v>
      </c>
      <c r="AF49" s="20" t="str">
        <f>IF(AC49="","",IFERROR(VLOOKUP(AC49,tblDisciplines[],12,FALSE),VLOOKUP(AC49,tblPacts[],5,FALSE)))</f>
        <v>Project an image of the subject in another visible location. Image appears realistic but cannot talk or make noise. Vanishes on touch; Clash of Wills to see through otherwise.</v>
      </c>
      <c r="AI49" s="15" t="s">
        <v>47</v>
      </c>
      <c r="AJ49" s="61">
        <f t="shared" si="1"/>
        <v>0</v>
      </c>
      <c r="AK49" s="61">
        <f>IF(AJ49=0,IF(COUNTIF($E$42:$E$49,AI49)&gt;0,-3,-1),AJ49)</f>
        <v>-1</v>
      </c>
    </row>
    <row r="50" spans="1:37">
      <c r="A50" s="1" t="s">
        <v>49</v>
      </c>
      <c r="B50" t="str">
        <f ca="1">REPT("●",VLOOKUP(tblCharData27[[#This Row],[Field]],INDIRECT($AH$1),2,FALSE)) &amp; REPT("○",10-VLOOKUP(tblCharData27[[#This Row],[Field]],INDIRECT($AH$1),2,FALSE)) &amp; REPT("○",10-VLOOKUP(tblCharData27[[#This Row],[Field]],INDIRECT($AH$1),2,FALSE))</f>
        <v>●○○○○○○○○○○○○○○○○○○</v>
      </c>
      <c r="Y50" s="15">
        <v>2</v>
      </c>
      <c r="Z50" s="61" t="s">
        <v>237</v>
      </c>
      <c r="AA50" s="60" t="str" cm="1">
        <f t="array" ref="AA50">IF(OR(Y50=0,Y50=""),"",IF(VLOOKUP(Z50,$AI$1:$AJ$58,2,FALSE)&gt;=Y50,INDEX(tblDisciplines[Name],MATCH(1,(tblDisciplines[Discipline]=Z50)*(tblDisciplines[Rank]=Y50),0)),""))</f>
        <v/>
      </c>
      <c r="AC50" s="60" t="str">
        <v/>
      </c>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
      </c>
      <c r="AF50" s="20" t="str">
        <f>IF(AC50="","",IFERROR(VLOOKUP(AC50,tblDisciplines[],12,FALSE),VLOOKUP(AC50,tblPacts[],5,FALSE)))</f>
        <v/>
      </c>
      <c r="AI50" s="15" t="s">
        <v>19</v>
      </c>
      <c r="AJ50" s="61">
        <f t="shared" si="1"/>
        <v>1</v>
      </c>
      <c r="AK50" s="61">
        <f>AJ50+IFERROR(INDEX($V$26:$V$38,MATCH(AI50,$E$26:$E$38,0)),0)</f>
        <v>1</v>
      </c>
    </row>
    <row r="51" spans="1:37">
      <c r="A51" s="1" t="s">
        <v>50</v>
      </c>
      <c r="B51">
        <f>P72</f>
        <v>1</v>
      </c>
      <c r="D51" s="16" t="s">
        <v>1453</v>
      </c>
      <c r="E51" s="17"/>
      <c r="F51" s="17"/>
      <c r="G51" s="17" t="s">
        <v>1467</v>
      </c>
      <c r="H51" s="16" t="s">
        <v>1446</v>
      </c>
      <c r="I51" s="3"/>
      <c r="L51" s="60">
        <f>IF(I51="",0,VLOOKUP(I51,tblPriority[],3,FALSE))-SUM(L52:L59)</f>
        <v>0</v>
      </c>
      <c r="Y51" s="15">
        <v>3</v>
      </c>
      <c r="Z51" s="61" t="s">
        <v>237</v>
      </c>
      <c r="AA51" s="60" t="str" cm="1">
        <f t="array" ref="AA51">IF(OR(Y51=0,Y51=""),"",IF(VLOOKUP(Z51,$AI$1:$AJ$58,2,FALSE)&gt;=Y51,INDEX(tblDisciplines[Name],MATCH(1,(tblDisciplines[Discipline]=Z51)*(tblDisciplines[Rank]=Y51),0)),""))</f>
        <v/>
      </c>
      <c r="AC51" s="60"/>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
      </c>
      <c r="AF51" s="20" t="str">
        <f>IF(AC51="","",IFERROR(VLOOKUP(AC51,tblDisciplines[],12,FALSE),VLOOKUP(AC51,tblPacts[],5,FALSE)))</f>
        <v/>
      </c>
      <c r="AI51" s="15" t="s">
        <v>48</v>
      </c>
      <c r="AJ51" s="61">
        <f t="shared" si="1"/>
        <v>0</v>
      </c>
      <c r="AK51" s="61">
        <f>IF(AJ51=0,IF(COUNTIF($E$42:$E$49,AI51)&gt;0,-3,-1),AJ51)</f>
        <v>-1</v>
      </c>
    </row>
    <row r="52" spans="1:37">
      <c r="A52" s="1" t="s">
        <v>51</v>
      </c>
      <c r="B52" t="str">
        <f>_xlfn.IFNA(VLOOKUP(P72,tblBloodPotency[#Data],5,FALSE),"")</f>
        <v/>
      </c>
      <c r="D52" s="18"/>
      <c r="E52" s="15" t="s">
        <v>33</v>
      </c>
      <c r="F52" s="18"/>
      <c r="G52" s="3"/>
      <c r="H52" s="18"/>
      <c r="I52" s="18"/>
      <c r="L52" s="4"/>
      <c r="M52" s="60"/>
      <c r="N52" s="4"/>
      <c r="O52" s="61">
        <f>ROUNDDOWN(N52/2,0)</f>
        <v>0</v>
      </c>
      <c r="P52" s="60">
        <f t="shared" ref="P52:P59" si="7">MIN(SUM(L52,M52,O52),R52)</f>
        <v>0</v>
      </c>
      <c r="R52" s="61">
        <v>5</v>
      </c>
      <c r="T52" s="4"/>
      <c r="U52" s="4"/>
      <c r="V52" s="61">
        <f t="shared" ref="V52:V59" si="8">U52</f>
        <v>0</v>
      </c>
      <c r="W52" s="4"/>
      <c r="Y52" s="15">
        <v>4</v>
      </c>
      <c r="Z52" s="61" t="s">
        <v>237</v>
      </c>
      <c r="AA52" s="60" t="str" cm="1">
        <f t="array" ref="AA52">IF(OR(Y52=0,Y52=""),"",IF(VLOOKUP(Z52,$AI$1:$AJ$58,2,FALSE)&gt;=Y52,INDEX(tblDisciplines[Name],MATCH(1,(tblDisciplines[Discipline]=Z52)*(tblDisciplines[Rank]=Y52),0)),""))</f>
        <v/>
      </c>
      <c r="AC52" s="60"/>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
      </c>
      <c r="AF52" s="20" t="str">
        <f>IF(AC52="","",IFERROR(VLOOKUP(AC52,tblDisciplines[],12,FALSE),VLOOKUP(AC52,tblPacts[],5,FALSE)))</f>
        <v/>
      </c>
      <c r="AI52" s="15" t="s">
        <v>39</v>
      </c>
      <c r="AJ52" s="61">
        <f t="shared" si="1"/>
        <v>0</v>
      </c>
      <c r="AK52" s="61">
        <f>IF(AJ52=0,IF(COUNTIF($E$42:$E$49,AI52)&gt;0,-3,-1),AJ52)</f>
        <v>-1</v>
      </c>
    </row>
    <row r="53" spans="1:37">
      <c r="A53" s="1" t="s">
        <v>52</v>
      </c>
      <c r="B53" t="str">
        <f ca="1">REPT("□",P221) &amp; REPT("■",15-P221)</f>
        <v>□□□□□□■■■■■■■■■</v>
      </c>
      <c r="D53" s="18"/>
      <c r="E53" s="15" t="s">
        <v>34</v>
      </c>
      <c r="F53" s="18"/>
      <c r="G53" s="3"/>
      <c r="H53" s="18"/>
      <c r="I53" s="18"/>
      <c r="L53" s="4"/>
      <c r="M53" s="60"/>
      <c r="N53" s="4"/>
      <c r="O53" s="61">
        <f t="shared" ref="O53:O59" si="9">ROUNDDOWN(N53/2,0)</f>
        <v>0</v>
      </c>
      <c r="P53" s="60">
        <f t="shared" si="7"/>
        <v>0</v>
      </c>
      <c r="R53" s="61">
        <v>5</v>
      </c>
      <c r="T53" s="4"/>
      <c r="U53" s="4"/>
      <c r="V53" s="61">
        <f t="shared" si="8"/>
        <v>0</v>
      </c>
      <c r="W53" s="4"/>
      <c r="Y53" s="15">
        <v>5</v>
      </c>
      <c r="Z53" s="61" t="s">
        <v>237</v>
      </c>
      <c r="AA53" s="60" t="str" cm="1">
        <f t="array" ref="AA53">IF(OR(Y53=0,Y53=""),"",IF(VLOOKUP(Z53,$AI$1:$AJ$58,2,FALSE)&gt;=Y53,INDEX(tblDisciplines[Name],MATCH(1,(tblDisciplines[Discipline]=Z53)*(tblDisciplines[Rank]=Y53),0)),""))</f>
        <v/>
      </c>
      <c r="AC53" s="60"/>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
      </c>
      <c r="AF53" s="20" t="str">
        <f>IF(AC53="","",IFERROR(VLOOKUP(AC53,tblDisciplines[],12,FALSE),VLOOKUP(AC53,tblPacts[],5,FALSE)))</f>
        <v/>
      </c>
      <c r="AI53" s="15" t="s">
        <v>247</v>
      </c>
      <c r="AJ53" s="61">
        <f t="shared" si="1"/>
        <v>0</v>
      </c>
      <c r="AK53" s="61">
        <f>AJ53</f>
        <v>0</v>
      </c>
    </row>
    <row r="54" spans="1:37">
      <c r="A54" s="1" t="s">
        <v>53</v>
      </c>
      <c r="B54" t="str">
        <f>_xlfn.CONCAT(P74-L224," / ",P74)</f>
        <v>2 / 2</v>
      </c>
      <c r="D54" s="18"/>
      <c r="E54" s="15" t="s">
        <v>35</v>
      </c>
      <c r="F54" s="18"/>
      <c r="G54" s="3"/>
      <c r="H54" s="18"/>
      <c r="I54" s="18"/>
      <c r="L54" s="4"/>
      <c r="M54" s="60"/>
      <c r="N54" s="4"/>
      <c r="O54" s="61">
        <f t="shared" si="9"/>
        <v>0</v>
      </c>
      <c r="P54" s="60">
        <f t="shared" si="7"/>
        <v>0</v>
      </c>
      <c r="R54" s="61">
        <v>5</v>
      </c>
      <c r="T54" s="4"/>
      <c r="U54" s="4"/>
      <c r="V54" s="61">
        <f t="shared" si="8"/>
        <v>0</v>
      </c>
      <c r="W54" s="4"/>
      <c r="Y54" s="15">
        <f>P167</f>
        <v>1</v>
      </c>
      <c r="Z54" s="61" t="s">
        <v>238</v>
      </c>
      <c r="AA54" s="60" t="str" cm="1">
        <f t="array" ref="AA54">IF(OR(Y54=0,Y54=""),"",IF(VLOOKUP(Z54,$AI$1:$AJ$58,2,FALSE)&gt;=Y54,INDEX(tblDisciplines[Name],MATCH(1,(tblDisciplines[Discipline]=Z54)*(tblDisciplines[Rank]=Y54),0)),""))</f>
        <v>Celerity 1</v>
      </c>
      <c r="AC54" s="60"/>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
      </c>
      <c r="AF54" s="20" t="str">
        <f>IF(AC54="","",IFERROR(VLOOKUP(AC54,tblDisciplines[],12,FALSE),VLOOKUP(AC54,tblPacts[],5,FALSE)))</f>
        <v/>
      </c>
      <c r="AI54" s="15" t="s">
        <v>252</v>
      </c>
      <c r="AJ54" s="61">
        <f t="shared" si="1"/>
        <v>0</v>
      </c>
      <c r="AK54" s="61">
        <f>AJ54</f>
        <v>0</v>
      </c>
    </row>
    <row r="55" spans="1:37">
      <c r="A55" s="1" t="s">
        <v>54</v>
      </c>
      <c r="B55" t="str">
        <f>REPT("□",P74) &amp; REPT("■",10-P74)</f>
        <v>□□■■■■■■■■</v>
      </c>
      <c r="D55" s="18"/>
      <c r="E55" s="15" t="s">
        <v>36</v>
      </c>
      <c r="F55" s="18"/>
      <c r="G55" s="3"/>
      <c r="H55" s="18"/>
      <c r="I55" s="18"/>
      <c r="L55" s="4"/>
      <c r="M55" s="60"/>
      <c r="N55" s="4"/>
      <c r="O55" s="61">
        <f t="shared" si="9"/>
        <v>0</v>
      </c>
      <c r="P55" s="60">
        <f t="shared" si="7"/>
        <v>0</v>
      </c>
      <c r="R55" s="61">
        <v>5</v>
      </c>
      <c r="T55" s="4"/>
      <c r="U55" s="4"/>
      <c r="V55" s="61">
        <f t="shared" si="8"/>
        <v>0</v>
      </c>
      <c r="W55" s="4"/>
      <c r="Y55" s="15">
        <v>1</v>
      </c>
      <c r="Z55" s="61" t="s">
        <v>239</v>
      </c>
      <c r="AA55" s="60" t="str" cm="1">
        <f t="array" ref="AA55">IF(OR(Y55=0,Y55=""),"",IF(VLOOKUP(Z55,$AI$1:$AJ$58,2,FALSE)&gt;=Y55,INDEX(tblDisciplines[Name],MATCH(1,(tblDisciplines[Discipline]=Z55)*(tblDisciplines[Rank]=Y55),0)),""))</f>
        <v/>
      </c>
      <c r="AC55" s="60"/>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
      </c>
      <c r="AF55" s="20" t="str">
        <f>IF(AC55="","",IFERROR(VLOOKUP(AC55,tblDisciplines[],12,FALSE),VLOOKUP(AC55,tblPacts[],5,FALSE)))</f>
        <v/>
      </c>
      <c r="AI55" s="15" t="s">
        <v>245</v>
      </c>
      <c r="AJ55" s="61">
        <f t="shared" si="1"/>
        <v>0</v>
      </c>
      <c r="AK55" s="61">
        <f>AJ55+IFERROR(INDEX($V$26:$V$38,MATCH(AI55,$E$26:$E$38,0)),0)</f>
        <v>0</v>
      </c>
    </row>
    <row r="56" spans="1:37">
      <c r="A56" s="1" t="s">
        <v>55</v>
      </c>
      <c r="B56" t="str">
        <f ca="1">_xlfn.CONCAT(P75-L223," / ",P75)</f>
        <v>10 / 10</v>
      </c>
      <c r="D56" s="19"/>
      <c r="E56" s="15" t="s">
        <v>37</v>
      </c>
      <c r="F56" s="18"/>
      <c r="G56" s="3"/>
      <c r="H56" s="18"/>
      <c r="I56" s="18"/>
      <c r="L56" s="4"/>
      <c r="M56" s="60"/>
      <c r="N56" s="4"/>
      <c r="O56" s="61">
        <f t="shared" si="9"/>
        <v>0</v>
      </c>
      <c r="P56" s="60">
        <f t="shared" si="7"/>
        <v>0</v>
      </c>
      <c r="R56" s="61">
        <v>5</v>
      </c>
      <c r="T56" s="4"/>
      <c r="U56" s="4"/>
      <c r="V56" s="61">
        <f t="shared" si="8"/>
        <v>0</v>
      </c>
      <c r="W56" s="4"/>
      <c r="Y56" s="15">
        <v>2</v>
      </c>
      <c r="Z56" s="61" t="s">
        <v>239</v>
      </c>
      <c r="AA56" s="60" t="str" cm="1">
        <f t="array" ref="AA56">IF(OR(Y56=0,Y56=""),"",IF(VLOOKUP(Z56,$AI$1:$AJ$58,2,FALSE)&gt;=Y56,INDEX(tblDisciplines[Name],MATCH(1,(tblDisciplines[Discipline]=Z56)*(tblDisciplines[Rank]=Y56),0)),""))</f>
        <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1"/>
        <v>0</v>
      </c>
      <c r="AK56" s="61">
        <f>IF(AJ56=0,IF(COUNTIF($E$42:$E$49,AI56)&gt;0,-3,-1),AJ56)</f>
        <v>-1</v>
      </c>
    </row>
    <row r="57" spans="1:37">
      <c r="A57" s="1" t="s">
        <v>56</v>
      </c>
      <c r="B57" t="str">
        <f ca="1">REPT("□",P75-L223) &amp; REPT("■",20-P75+L223)</f>
        <v>□□□□□□□□□□■■■■■■■■■■</v>
      </c>
      <c r="D57" s="19"/>
      <c r="E57" s="15" t="s">
        <v>38</v>
      </c>
      <c r="F57" s="18"/>
      <c r="G57" s="3"/>
      <c r="H57" s="18"/>
      <c r="I57" s="18"/>
      <c r="L57" s="4"/>
      <c r="M57" s="60"/>
      <c r="N57" s="4"/>
      <c r="O57" s="61">
        <f t="shared" si="9"/>
        <v>0</v>
      </c>
      <c r="P57" s="60">
        <f t="shared" si="7"/>
        <v>0</v>
      </c>
      <c r="R57" s="61">
        <v>5</v>
      </c>
      <c r="T57" s="4"/>
      <c r="U57" s="4"/>
      <c r="V57" s="61">
        <f t="shared" si="8"/>
        <v>0</v>
      </c>
      <c r="W57" s="4"/>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1"/>
        <v>2</v>
      </c>
      <c r="AK57" s="61">
        <f>AJ57</f>
        <v>2</v>
      </c>
    </row>
    <row r="58" spans="1:37">
      <c r="A58" s="1" t="s">
        <v>57</v>
      </c>
      <c r="B58">
        <f ca="1">VLOOKUP(VLOOKUP("Blood Potency", INDIRECT($AH$1),2,FALSE),tblBloodPotency[#Data],3,FALSE)</f>
        <v>1</v>
      </c>
      <c r="D58" s="19"/>
      <c r="E58" s="15" t="s">
        <v>39</v>
      </c>
      <c r="F58" s="18"/>
      <c r="G58" s="3"/>
      <c r="H58" s="18"/>
      <c r="I58" s="18"/>
      <c r="L58" s="4"/>
      <c r="M58" s="60"/>
      <c r="N58" s="4"/>
      <c r="O58" s="61">
        <f t="shared" si="9"/>
        <v>0</v>
      </c>
      <c r="P58" s="60">
        <f t="shared" si="7"/>
        <v>0</v>
      </c>
      <c r="R58" s="61">
        <v>5</v>
      </c>
      <c r="T58" s="4"/>
      <c r="U58" s="4"/>
      <c r="V58" s="61">
        <f t="shared" si="8"/>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1"/>
        <v>1</v>
      </c>
      <c r="AK58" s="61">
        <f>AJ58+IFERROR(INDEX($V$26:$V$38,MATCH(AI58,$E$26:$E$38,0)),0)</f>
        <v>1</v>
      </c>
    </row>
    <row r="59" spans="1:37">
      <c r="A59" s="1" t="s">
        <v>58</v>
      </c>
      <c r="B59" t="str">
        <f ca="1">VLOOKUP(VLOOKUP("Blood Potency", INDIRECT($AH$1),2,FALSE),tblBloodPotency[#Data],4,FALSE)</f>
        <v>Animals</v>
      </c>
      <c r="D59" s="19"/>
      <c r="E59" s="15" t="s">
        <v>40</v>
      </c>
      <c r="F59" s="18"/>
      <c r="G59" s="3"/>
      <c r="H59" s="18"/>
      <c r="I59" s="18"/>
      <c r="L59" s="4"/>
      <c r="M59" s="60"/>
      <c r="N59" s="4"/>
      <c r="O59" s="61">
        <f t="shared" si="9"/>
        <v>0</v>
      </c>
      <c r="P59" s="60">
        <f t="shared" si="7"/>
        <v>0</v>
      </c>
      <c r="R59" s="61">
        <v>5</v>
      </c>
      <c r="T59" s="4"/>
      <c r="U59" s="4"/>
      <c r="V59" s="61">
        <f t="shared" si="8"/>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0">IFERROR(IF(VLOOKUP(SUBSTITUTE(A60," Spec",""),$E$42:$G$69,3,FALSE)=0,"",VLOOKUP(SUBSTITUTE(A60," Spec",""),$E$42:$G$69,3,FALSE)),"")</f>
        <v/>
      </c>
      <c r="Y60" s="15">
        <v>1</v>
      </c>
      <c r="Z60" s="61" t="s">
        <v>240</v>
      </c>
      <c r="AA60" s="60" t="str" cm="1">
        <f t="array" ref="AA60">IF(OR(Y60=0,Y60=""),"",IF(VLOOKUP(Z60,$AI$1:$AJ$58,2,FALSE)&gt;=Y60,INDEX(tblDisciplines[Name],MATCH(1,(tblDisciplines[Discipline]=Z60)*(tblDisciplines[Rank]=Y60),0)),""))</f>
        <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0"/>
        <v/>
      </c>
      <c r="D61" s="16" t="s">
        <v>1459</v>
      </c>
      <c r="E61" s="17"/>
      <c r="F61" s="17"/>
      <c r="G61" s="17" t="s">
        <v>1467</v>
      </c>
      <c r="H61" s="16" t="s">
        <v>1446</v>
      </c>
      <c r="I61" s="3"/>
      <c r="L61" s="60">
        <f>IF(I61="",0,VLOOKUP(I61,tblPriority[],3,FALSE))-SUM(L62:L69)</f>
        <v>0</v>
      </c>
      <c r="Y61" s="15">
        <v>2</v>
      </c>
      <c r="Z61" s="61" t="s">
        <v>240</v>
      </c>
      <c r="AA61" s="60" t="str" cm="1">
        <f t="array" ref="AA61">IF(OR(Y61=0,Y61=""),"",IF(VLOOKUP(Z61,$AI$1:$AJ$58,2,FALSE)&gt;=Y61,INDEX(tblDisciplines[Name],MATCH(1,(tblDisciplines[Discipline]=Z61)*(tblDisciplines[Rank]=Y61),0)),""))</f>
        <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0"/>
        <v/>
      </c>
      <c r="D62" s="18"/>
      <c r="E62" s="15" t="s">
        <v>41</v>
      </c>
      <c r="F62" s="18"/>
      <c r="G62" s="3"/>
      <c r="H62" s="18"/>
      <c r="I62" s="18"/>
      <c r="L62" s="4"/>
      <c r="M62" s="60"/>
      <c r="N62" s="4"/>
      <c r="O62" s="61">
        <f>ROUNDDOWN(N62/2,0)</f>
        <v>0</v>
      </c>
      <c r="P62" s="60">
        <f t="shared" ref="P62:P69" si="11">MIN(SUM(L62,M62,O62),R62)</f>
        <v>0</v>
      </c>
      <c r="R62" s="61">
        <v>5</v>
      </c>
      <c r="T62" s="4"/>
      <c r="U62" s="4"/>
      <c r="V62" s="61">
        <f t="shared" ref="V62:V69" si="12">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0"/>
        <v/>
      </c>
      <c r="D63" s="19"/>
      <c r="E63" s="15" t="s">
        <v>42</v>
      </c>
      <c r="F63" s="18"/>
      <c r="G63" s="3"/>
      <c r="H63" s="18"/>
      <c r="I63" s="18"/>
      <c r="L63" s="4"/>
      <c r="M63" s="60"/>
      <c r="N63" s="4"/>
      <c r="O63" s="61">
        <f t="shared" ref="O63:O69" si="13">ROUNDDOWN(N63/2,0)</f>
        <v>0</v>
      </c>
      <c r="P63" s="60">
        <f t="shared" si="11"/>
        <v>0</v>
      </c>
      <c r="R63" s="61">
        <v>5</v>
      </c>
      <c r="T63" s="4"/>
      <c r="U63" s="4"/>
      <c r="V63" s="61">
        <f t="shared" si="12"/>
        <v>0</v>
      </c>
      <c r="W63" s="4"/>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0"/>
        <v/>
      </c>
      <c r="D64" s="19"/>
      <c r="E64" s="15" t="s">
        <v>43</v>
      </c>
      <c r="F64" s="18"/>
      <c r="G64" s="3"/>
      <c r="H64" s="18"/>
      <c r="I64" s="18"/>
      <c r="L64" s="4"/>
      <c r="M64" s="60"/>
      <c r="N64" s="4"/>
      <c r="O64" s="61">
        <f t="shared" si="13"/>
        <v>0</v>
      </c>
      <c r="P64" s="60">
        <f t="shared" si="11"/>
        <v>0</v>
      </c>
      <c r="R64" s="61">
        <v>5</v>
      </c>
      <c r="T64" s="4"/>
      <c r="U64" s="4"/>
      <c r="V64" s="61">
        <f t="shared" si="12"/>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0"/>
        <v/>
      </c>
      <c r="D65" s="19"/>
      <c r="E65" s="15" t="s">
        <v>44</v>
      </c>
      <c r="F65" s="18"/>
      <c r="G65" s="3"/>
      <c r="H65" s="18"/>
      <c r="I65" s="18"/>
      <c r="L65" s="4"/>
      <c r="M65" s="60"/>
      <c r="N65" s="4"/>
      <c r="O65" s="61">
        <f t="shared" si="13"/>
        <v>0</v>
      </c>
      <c r="P65" s="60">
        <f t="shared" si="11"/>
        <v>0</v>
      </c>
      <c r="R65" s="61">
        <v>5</v>
      </c>
      <c r="T65" s="4"/>
      <c r="U65" s="4"/>
      <c r="V65" s="61">
        <f t="shared" si="12"/>
        <v>0</v>
      </c>
      <c r="W65" s="4"/>
      <c r="Y65" s="15">
        <v>1</v>
      </c>
      <c r="Z65" s="61" t="s">
        <v>241</v>
      </c>
      <c r="AA65" s="60" t="str" cm="1">
        <f t="array" ref="AA65">IF(OR(Y65=0,Y65=""),"",IF(VLOOKUP(Z65,$AI$1:$AJ$58,2,FALSE)&gt;=Y65,INDEX(tblDisciplines[Name],MATCH(1,(tblDisciplines[Discipline]=Z65)*(tblDisciplines[Rank]=Y65),0)),""))</f>
        <v>Dread Presence</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0"/>
        <v/>
      </c>
      <c r="D66" s="19"/>
      <c r="E66" s="15" t="s">
        <v>45</v>
      </c>
      <c r="F66" s="18"/>
      <c r="G66" s="3"/>
      <c r="H66" s="18"/>
      <c r="I66" s="18"/>
      <c r="L66" s="4"/>
      <c r="M66" s="60"/>
      <c r="N66" s="4"/>
      <c r="O66" s="61">
        <f t="shared" si="13"/>
        <v>0</v>
      </c>
      <c r="P66" s="60">
        <f t="shared" si="11"/>
        <v>0</v>
      </c>
      <c r="R66" s="61">
        <v>5</v>
      </c>
      <c r="T66" s="4"/>
      <c r="U66" s="4"/>
      <c r="V66" s="61">
        <f t="shared" si="12"/>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0"/>
        <v/>
      </c>
      <c r="D67" s="19"/>
      <c r="E67" s="15" t="s">
        <v>46</v>
      </c>
      <c r="F67" s="18"/>
      <c r="G67" s="3"/>
      <c r="H67" s="18"/>
      <c r="I67" s="18"/>
      <c r="L67" s="4"/>
      <c r="M67" s="60"/>
      <c r="N67" s="4"/>
      <c r="O67" s="61">
        <f t="shared" si="13"/>
        <v>0</v>
      </c>
      <c r="P67" s="60">
        <f t="shared" si="11"/>
        <v>0</v>
      </c>
      <c r="R67" s="61">
        <v>5</v>
      </c>
      <c r="T67" s="4"/>
      <c r="U67" s="4"/>
      <c r="V67" s="61">
        <f t="shared" si="12"/>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0"/>
        <v/>
      </c>
      <c r="D68" s="18"/>
      <c r="E68" s="15" t="s">
        <v>47</v>
      </c>
      <c r="F68" s="18"/>
      <c r="G68" s="3"/>
      <c r="H68" s="18"/>
      <c r="I68" s="18"/>
      <c r="L68" s="4"/>
      <c r="M68" s="60"/>
      <c r="N68" s="4"/>
      <c r="O68" s="61">
        <f t="shared" si="13"/>
        <v>0</v>
      </c>
      <c r="P68" s="60">
        <f t="shared" si="11"/>
        <v>0</v>
      </c>
      <c r="R68" s="61">
        <v>5</v>
      </c>
      <c r="T68" s="4"/>
      <c r="U68" s="4"/>
      <c r="V68" s="61">
        <f t="shared" si="12"/>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0"/>
        <v/>
      </c>
      <c r="D69" s="18"/>
      <c r="E69" s="15" t="s">
        <v>48</v>
      </c>
      <c r="F69" s="18"/>
      <c r="G69" s="3"/>
      <c r="H69" s="18"/>
      <c r="I69" s="18"/>
      <c r="L69" s="4"/>
      <c r="M69" s="60"/>
      <c r="N69" s="4"/>
      <c r="O69" s="61">
        <f t="shared" si="13"/>
        <v>0</v>
      </c>
      <c r="P69" s="60">
        <f t="shared" si="11"/>
        <v>0</v>
      </c>
      <c r="R69" s="61">
        <v>5</v>
      </c>
      <c r="T69" s="4"/>
      <c r="U69" s="4"/>
      <c r="V69" s="61">
        <f t="shared" si="12"/>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0"/>
        <v/>
      </c>
      <c r="Y70" s="15">
        <v>1</v>
      </c>
      <c r="Z70" s="61" t="s">
        <v>242</v>
      </c>
      <c r="AA70" s="60" t="str" cm="1">
        <f t="array" ref="AA70">IF(OR(Y70=0,Y70=""),"",IF(VLOOKUP(Z70,$AI$1:$AJ$58,2,FALSE)&gt;=Y70,INDEX(tblDisciplines[Name],MATCH(1,(tblDisciplines[Discipline]=Z70)*(tblDisciplines[Rank]=Y70),0)),""))</f>
        <v>Face in the Crowd</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c r="A71" s="1" t="s">
        <v>70</v>
      </c>
      <c r="B71" t="str">
        <f t="shared" si="10"/>
        <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Touch of Shadow</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0"/>
        <v/>
      </c>
      <c r="D72" s="19"/>
      <c r="E72" s="15" t="s">
        <v>49</v>
      </c>
      <c r="F72" s="19"/>
      <c r="G72" s="19"/>
      <c r="H72" s="19"/>
      <c r="I72" s="19"/>
      <c r="K72" s="4"/>
      <c r="L72" s="4"/>
      <c r="M72" s="60">
        <v>1</v>
      </c>
      <c r="N72" s="4"/>
      <c r="O72" s="61">
        <f>ROUNDDOWN(N72/5,0)</f>
        <v>0</v>
      </c>
      <c r="P72" s="60">
        <f>MIN(SUM(K72*-1,ROUNDDOWN(L72/5,0),M72,O72),R72)</f>
        <v>1</v>
      </c>
      <c r="R72" s="61">
        <v>2</v>
      </c>
      <c r="Y72" s="15">
        <v>3</v>
      </c>
      <c r="Z72" s="61" t="s">
        <v>242</v>
      </c>
      <c r="AA72" s="60" t="str" cm="1">
        <f t="array" ref="AA72">IF(OR(Y72=0,Y72=""),"",IF(VLOOKUP(Z72,$AI$1:$AJ$58,2,FALSE)&gt;=Y72,INDEX(tblDisciplines[Name],MATCH(1,(tblDisciplines[Discipline]=Z72)*(tblDisciplines[Rank]=Y72),0)),""))</f>
        <v>Cloak of Night</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0"/>
        <v/>
      </c>
      <c r="D73" s="19"/>
      <c r="E73" s="15" t="s">
        <v>1448</v>
      </c>
      <c r="F73" s="19"/>
      <c r="G73" s="19"/>
      <c r="H73" s="19"/>
      <c r="I73" s="19"/>
      <c r="K73" s="4"/>
      <c r="M73" s="60">
        <v>7</v>
      </c>
      <c r="N73" s="4"/>
      <c r="O73" s="61">
        <f>ROUNDDOWN(N73/2,0)</f>
        <v>0</v>
      </c>
      <c r="P73" s="60">
        <f>MIN(SUM(K73*-1,M73,O73),R73)</f>
        <v>7</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0"/>
        <v/>
      </c>
      <c r="D74" s="19"/>
      <c r="E74" s="15" t="s">
        <v>53</v>
      </c>
      <c r="F74" s="19"/>
      <c r="G74" s="19"/>
      <c r="H74" s="19"/>
      <c r="I74" s="19"/>
      <c r="K74" s="4"/>
      <c r="M74" s="60">
        <f>P28+P38</f>
        <v>2</v>
      </c>
      <c r="N74" s="4"/>
      <c r="O74" s="61">
        <f>N74</f>
        <v>0</v>
      </c>
      <c r="P74" s="60">
        <f>MIN(SUM(K74*-1,M74,O74),R74)</f>
        <v>2</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0"/>
        <v/>
      </c>
      <c r="D75" s="19"/>
      <c r="E75" s="15" t="s">
        <v>55</v>
      </c>
      <c r="F75" s="19"/>
      <c r="G75" s="19"/>
      <c r="H75" s="19"/>
      <c r="I75" s="19"/>
      <c r="P75" s="60">
        <f ca="1">VLOOKUP(VLOOKUP("Blood Potency",INDIRECT($AH$1),2,FALSE),tblBloodPotency[],2,FALSE)</f>
        <v>10</v>
      </c>
      <c r="Y75" s="15">
        <v>1</v>
      </c>
      <c r="Z75" s="61" t="s">
        <v>243</v>
      </c>
      <c r="AA75" s="60" t="str" cm="1">
        <f t="array" ref="AA75">IF(OR(Y75=0,Y75=""),"",IF(VLOOKUP(Z75,$AI$1:$AJ$58,2,FALSE)&gt;=Y75,INDEX(tblDisciplines[Name],MATCH(1,(tblDisciplines[Discipline]=Z75)*(tblDisciplines[Rank]=Y75),0)),""))</f>
        <v/>
      </c>
    </row>
    <row r="76" spans="1:32">
      <c r="A76" s="1" t="s">
        <v>75</v>
      </c>
      <c r="B76" t="str">
        <f t="shared" si="10"/>
        <v/>
      </c>
      <c r="Y76" s="15">
        <v>2</v>
      </c>
      <c r="Z76" s="61" t="s">
        <v>243</v>
      </c>
      <c r="AA76" s="60" t="str" cm="1">
        <f t="array" ref="AA76">IF(OR(Y76=0,Y76=""),"",IF(VLOOKUP(Z76,$AI$1:$AJ$58,2,FALSE)&gt;=Y76,INDEX(tblDisciplines[Name],MATCH(1,(tblDisciplines[Discipline]=Z76)*(tblDisciplines[Rank]=Y76),0)),""))</f>
        <v/>
      </c>
    </row>
    <row r="77" spans="1:32">
      <c r="A77" s="1" t="s">
        <v>76</v>
      </c>
      <c r="B77" t="str">
        <f t="shared" si="10"/>
        <v/>
      </c>
      <c r="D77" s="14" t="s">
        <v>1470</v>
      </c>
      <c r="E77" s="14"/>
      <c r="F77" s="14"/>
      <c r="G77" s="14"/>
      <c r="H77" s="14"/>
      <c r="I77" s="14"/>
      <c r="N77" s="60">
        <f>SUM(N79:N98,N101:N120,N206:N215,N132:N135,N138:N157,N160:N161)</f>
        <v>0</v>
      </c>
      <c r="Y77" s="15">
        <v>3</v>
      </c>
      <c r="Z77" s="61" t="s">
        <v>243</v>
      </c>
      <c r="AA77" s="60" t="str" cm="1">
        <f t="array" ref="AA77">IF(OR(Y77=0,Y77=""),"",IF(VLOOKUP(Z77,$AI$1:$AJ$58,2,FALSE)&gt;=Y77,INDEX(tblDisciplines[Name],MATCH(1,(tblDisciplines[Discipline]=Z77)*(tblDisciplines[Rank]=Y77),0)),""))</f>
        <v/>
      </c>
    </row>
    <row r="78" spans="1:32">
      <c r="A78" s="1" t="s">
        <v>77</v>
      </c>
      <c r="B78" t="str">
        <f t="shared" si="10"/>
        <v/>
      </c>
      <c r="D78" s="16" t="s">
        <v>1471</v>
      </c>
      <c r="E78" s="17"/>
      <c r="F78" s="17"/>
      <c r="G78" s="17"/>
      <c r="H78" s="17"/>
      <c r="I78" s="17"/>
      <c r="L78" s="60">
        <f>10-L72-SUM(L79:L98)-SUM(L101:L120)-SUM(L206:L215)-SUM(L132:L135)-SUM(L138:L157)-SUM(L160:L161)</f>
        <v>10</v>
      </c>
      <c r="Y78" s="15">
        <v>4</v>
      </c>
      <c r="Z78" s="61" t="s">
        <v>243</v>
      </c>
      <c r="AA78" s="60" t="str" cm="1">
        <f t="array" ref="AA78">IF(OR(Y78=0,Y78=""),"",IF(VLOOKUP(Z78,$AI$1:$AJ$58,2,FALSE)&gt;=Y78,INDEX(tblDisciplines[Name],MATCH(1,(tblDisciplines[Discipline]=Z78)*(tblDisciplines[Rank]=Y78),0)),""))</f>
        <v/>
      </c>
    </row>
    <row r="79" spans="1:32">
      <c r="A79" s="1" t="s">
        <v>78</v>
      </c>
      <c r="B79" t="str">
        <f t="shared" si="10"/>
        <v/>
      </c>
      <c r="D79" s="19"/>
      <c r="E79" s="15" t="s">
        <v>114</v>
      </c>
      <c r="F79" s="3"/>
      <c r="G79" s="3"/>
      <c r="H79" s="67" t="str">
        <f>_xlfn.IFNA(IF(VLOOKUP(F79,tblMerits[],6,FALSE)=0,"None",VLOOKUP(F79,tblMerits[],6,FALSE)),"None")</f>
        <v>None</v>
      </c>
      <c r="I79" s="67"/>
      <c r="L79" s="4"/>
      <c r="M79" s="4"/>
      <c r="N79" s="4"/>
      <c r="O79" s="61">
        <f>N79</f>
        <v>0</v>
      </c>
      <c r="P79" s="60">
        <f t="shared" ref="P79:P98" si="14">MIN(SUM(L79,M79,O79),R79)</f>
        <v>0</v>
      </c>
      <c r="Q79" s="61" t="str">
        <f>_xlfn.IFNA(VLOOKUP($F79,tblMerits[],3,FALSE),"")</f>
        <v/>
      </c>
      <c r="R79" s="61" t="str">
        <f>_xlfn.IFNA(VLOOKUP($F79,tblMerits[],4,FALSE),"")</f>
        <v/>
      </c>
      <c r="Y79" s="15">
        <v>5</v>
      </c>
      <c r="Z79" s="61" t="s">
        <v>243</v>
      </c>
      <c r="AA79" s="60" t="str" cm="1">
        <f t="array" ref="AA79">IF(OR(Y79=0,Y79=""),"",IF(VLOOKUP(Z79,$AI$1:$AJ$58,2,FALSE)&gt;=Y79,INDEX(tblDisciplines[Name],MATCH(1,(tblDisciplines[Discipline]=Z79)*(tblDisciplines[Rank]=Y79),0)),""))</f>
        <v/>
      </c>
    </row>
    <row r="80" spans="1:32">
      <c r="A80" s="1" t="s">
        <v>79</v>
      </c>
      <c r="B80" t="str">
        <f t="shared" si="10"/>
        <v/>
      </c>
      <c r="D80" s="19"/>
      <c r="E80" s="15" t="s">
        <v>115</v>
      </c>
      <c r="F80" s="3"/>
      <c r="G80" s="3"/>
      <c r="H80" s="67" t="str">
        <f>_xlfn.IFNA(IF(VLOOKUP(F80,tblMerits[],6,FALSE)=0,"None",VLOOKUP(F80,tblMerits[],6,FALSE)),"None")</f>
        <v>None</v>
      </c>
      <c r="I80" s="67"/>
      <c r="L80" s="4"/>
      <c r="M80" s="4"/>
      <c r="N80" s="4"/>
      <c r="O80" s="61">
        <f t="shared" ref="O80:O98" si="15">N80</f>
        <v>0</v>
      </c>
      <c r="P80" s="60">
        <f t="shared" si="14"/>
        <v>0</v>
      </c>
      <c r="Q80" s="61" t="str">
        <f>_xlfn.IFNA(VLOOKUP($F80,tblMerits[],3,FALSE),"")</f>
        <v/>
      </c>
      <c r="R80" s="61" t="str">
        <f>_xlfn.IFNA(VLOOKUP($F80,tblMerits[],4,FALSE),"")</f>
        <v/>
      </c>
      <c r="Y80" s="15">
        <f>P173</f>
        <v>0</v>
      </c>
      <c r="Z80" s="61" t="s">
        <v>244</v>
      </c>
      <c r="AA80" s="60" t="str" cm="1">
        <f t="array" ref="AA80">IF(OR(Y80=0,Y80=""),"",IF(VLOOKUP(Z80,$AI$1:$AJ$58,2,FALSE)&gt;=Y80,INDEX(tblDisciplines[Name],MATCH(1,(tblDisciplines[Discipline]=Z80)*(tblDisciplines[Rank]=Y80),0)),""))</f>
        <v/>
      </c>
    </row>
    <row r="81" spans="1:27">
      <c r="A81" s="1" t="s">
        <v>80</v>
      </c>
      <c r="B81" t="str">
        <f t="shared" si="10"/>
        <v/>
      </c>
      <c r="D81" s="19"/>
      <c r="E81" s="15" t="s">
        <v>116</v>
      </c>
      <c r="F81" s="3"/>
      <c r="G81" s="3"/>
      <c r="H81" s="67" t="str">
        <f>_xlfn.IFNA(IF(VLOOKUP(F81,tblMerits[],6,FALSE)=0,"None",VLOOKUP(F81,tblMerits[],6,FALSE)),"None")</f>
        <v>None</v>
      </c>
      <c r="I81" s="67"/>
      <c r="L81" s="4"/>
      <c r="M81" s="4"/>
      <c r="N81" s="4"/>
      <c r="O81" s="61">
        <f t="shared" si="15"/>
        <v>0</v>
      </c>
      <c r="P81" s="60">
        <f t="shared" si="14"/>
        <v>0</v>
      </c>
      <c r="Q81" s="61" t="str">
        <f>_xlfn.IFNA(VLOOKUP($F81,tblMerits[],3,FALSE),"")</f>
        <v/>
      </c>
      <c r="R81" s="61" t="str">
        <f>_xlfn.IFNA(VLOOKUP($F81,tblMerits[],4,FALSE),"")</f>
        <v/>
      </c>
      <c r="Y81" s="15">
        <f>P174</f>
        <v>0</v>
      </c>
      <c r="Z81" s="61" t="s">
        <v>245</v>
      </c>
      <c r="AA81" s="60" t="str" cm="1">
        <f t="array" ref="AA81">IF(OR(Y81=0,Y81=""),"",IF(VLOOKUP(Z81,$AI$1:$AJ$58,2,FALSE)&gt;=Y81,INDEX(tblDisciplines[Name],MATCH(1,(tblDisciplines[Discipline]=Z81)*(tblDisciplines[Rank]=Y81),0)),""))</f>
        <v/>
      </c>
    </row>
    <row r="82" spans="1:27">
      <c r="A82" s="1" t="s">
        <v>81</v>
      </c>
      <c r="B82" t="str">
        <f t="shared" si="10"/>
        <v/>
      </c>
      <c r="D82" s="19"/>
      <c r="E82" s="15" t="s">
        <v>117</v>
      </c>
      <c r="F82" s="3"/>
      <c r="G82" s="3"/>
      <c r="H82" s="67" t="str">
        <f>_xlfn.IFNA(IF(VLOOKUP(F82,tblMerits[],6,FALSE)=0,"None",VLOOKUP(F82,tblMerits[],6,FALSE)),"None")</f>
        <v>None</v>
      </c>
      <c r="I82" s="67"/>
      <c r="L82" s="4"/>
      <c r="M82" s="4"/>
      <c r="N82" s="4"/>
      <c r="O82" s="61">
        <f t="shared" si="15"/>
        <v>0</v>
      </c>
      <c r="P82" s="60">
        <f t="shared" si="14"/>
        <v>0</v>
      </c>
      <c r="Q82" s="61" t="str">
        <f>_xlfn.IFNA(VLOOKUP($F82,tblMerits[],3,FALSE),"")</f>
        <v/>
      </c>
      <c r="R82" s="61" t="str">
        <f>_xlfn.IFNA(VLOOKUP($F82,tblMerits[],4,FALSE),"")</f>
        <v/>
      </c>
      <c r="Y82" s="61" t="s">
        <v>1472</v>
      </c>
      <c r="Z82" s="19"/>
      <c r="AA82" s="60" t="str">
        <f>IF(P177="","",F177)</f>
        <v>Wraith's Presence</v>
      </c>
    </row>
    <row r="83" spans="1:27">
      <c r="A83" s="1" t="s">
        <v>82</v>
      </c>
      <c r="B83" t="str">
        <f t="shared" si="10"/>
        <v/>
      </c>
      <c r="D83" s="19"/>
      <c r="E83" s="15" t="s">
        <v>118</v>
      </c>
      <c r="F83" s="3"/>
      <c r="G83" s="3"/>
      <c r="H83" s="67" t="str">
        <f>_xlfn.IFNA(IF(VLOOKUP(F83,tblMerits[],6,FALSE)=0,"None",VLOOKUP(F83,tblMerits[],6,FALSE)),"None")</f>
        <v>None</v>
      </c>
      <c r="I83" s="67"/>
      <c r="L83" s="4"/>
      <c r="M83" s="4"/>
      <c r="N83" s="4"/>
      <c r="O83" s="61">
        <f t="shared" si="15"/>
        <v>0</v>
      </c>
      <c r="P83" s="60">
        <f t="shared" si="14"/>
        <v>0</v>
      </c>
      <c r="Q83" s="61" t="str">
        <f>_xlfn.IFNA(VLOOKUP($F83,tblMerits[],3,FALSE),"")</f>
        <v/>
      </c>
      <c r="R83" s="61" t="str">
        <f>_xlfn.IFNA(VLOOKUP($F83,tblMerits[],4,FALSE),"")</f>
        <v/>
      </c>
      <c r="Y83" s="61" t="s">
        <v>1472</v>
      </c>
      <c r="Z83" s="19"/>
      <c r="AA83" s="60" t="str">
        <f>IF(P178="","",F178)</f>
        <v/>
      </c>
    </row>
    <row r="84" spans="1:27">
      <c r="A84" s="1" t="s">
        <v>83</v>
      </c>
      <c r="B84">
        <f>P124</f>
        <v>0</v>
      </c>
      <c r="D84" s="19"/>
      <c r="E84" s="15" t="s">
        <v>119</v>
      </c>
      <c r="F84" s="3"/>
      <c r="G84" s="3"/>
      <c r="H84" s="67" t="str">
        <f>_xlfn.IFNA(IF(VLOOKUP(F84,tblMerits[],6,FALSE)=0,"None",VLOOKUP(F84,tblMerits[],6,FALSE)),"None")</f>
        <v>None</v>
      </c>
      <c r="I84" s="67"/>
      <c r="L84" s="4"/>
      <c r="M84" s="4"/>
      <c r="N84" s="4"/>
      <c r="O84" s="61">
        <f t="shared" si="15"/>
        <v>0</v>
      </c>
      <c r="P84" s="60">
        <f t="shared" si="14"/>
        <v>0</v>
      </c>
      <c r="Q84" s="61" t="str">
        <f>_xlfn.IFNA(VLOOKUP($F84,tblMerits[],3,FALSE),"")</f>
        <v/>
      </c>
      <c r="R84" s="61" t="str">
        <f>_xlfn.IFNA(VLOOKUP($F84,tblMerits[],4,FALSE),"")</f>
        <v/>
      </c>
      <c r="Y84" s="61" t="s">
        <v>1472</v>
      </c>
      <c r="Z84" s="19"/>
      <c r="AA84" s="60" t="str">
        <f>IF(P179="","",F179)</f>
        <v/>
      </c>
    </row>
    <row r="85" spans="1:27">
      <c r="A85" s="1" t="s">
        <v>84</v>
      </c>
      <c r="B85">
        <f>P125</f>
        <v>0</v>
      </c>
      <c r="D85" s="19"/>
      <c r="E85" s="15" t="s">
        <v>120</v>
      </c>
      <c r="F85" s="3"/>
      <c r="G85" s="3"/>
      <c r="H85" s="67" t="str">
        <f>_xlfn.IFNA(IF(VLOOKUP(F85,tblMerits[],6,FALSE)=0,"None",VLOOKUP(F85,tblMerits[],6,FALSE)),"None")</f>
        <v>None</v>
      </c>
      <c r="I85" s="67"/>
      <c r="L85" s="4"/>
      <c r="M85" s="4"/>
      <c r="N85" s="4"/>
      <c r="O85" s="61">
        <f t="shared" si="15"/>
        <v>0</v>
      </c>
      <c r="P85" s="60">
        <f t="shared" si="14"/>
        <v>0</v>
      </c>
      <c r="Q85" s="61" t="str">
        <f>_xlfn.IFNA(VLOOKUP($F85,tblMerits[],3,FALSE),"")</f>
        <v/>
      </c>
      <c r="R85" s="61" t="str">
        <f>_xlfn.IFNA(VLOOKUP($F85,tblMerits[],4,FALSE),"")</f>
        <v/>
      </c>
      <c r="Y85" s="61" t="s">
        <v>1472</v>
      </c>
      <c r="Z85" s="19"/>
      <c r="AA85" s="60" t="str">
        <f>IF(P180="","",F180)</f>
        <v/>
      </c>
    </row>
    <row r="86" spans="1:27">
      <c r="A86" s="1" t="s">
        <v>85</v>
      </c>
      <c r="B86">
        <f>P126</f>
        <v>0</v>
      </c>
      <c r="D86" s="19"/>
      <c r="E86" s="15" t="s">
        <v>121</v>
      </c>
      <c r="F86" s="3"/>
      <c r="G86" s="3"/>
      <c r="H86" s="67" t="str">
        <f>_xlfn.IFNA(IF(VLOOKUP(F86,tblMerits[],6,FALSE)=0,"None",VLOOKUP(F86,tblMerits[],6,FALSE)),"None")</f>
        <v>None</v>
      </c>
      <c r="I86" s="67"/>
      <c r="L86" s="4"/>
      <c r="M86" s="4"/>
      <c r="N86" s="4"/>
      <c r="O86" s="61">
        <f t="shared" si="15"/>
        <v>0</v>
      </c>
      <c r="P86" s="60">
        <f t="shared" si="14"/>
        <v>0</v>
      </c>
      <c r="Q86" s="61" t="str">
        <f>_xlfn.IFNA(VLOOKUP($F86,tblMerits[],3,FALSE),"")</f>
        <v/>
      </c>
      <c r="R86" s="61" t="str">
        <f>_xlfn.IFNA(VLOOKUP($F86,tblMerits[],4,FALSE),"")</f>
        <v/>
      </c>
      <c r="Y86" s="61" t="s">
        <v>1472</v>
      </c>
      <c r="Z86" s="19"/>
      <c r="AA86" s="60" t="str">
        <f>IF(P181="","",F181)</f>
        <v/>
      </c>
    </row>
    <row r="87" spans="1:27">
      <c r="A87" s="1" t="s">
        <v>86</v>
      </c>
      <c r="B87" t="str">
        <f>IF(F126="","¬",F126)</f>
        <v>Invictus</v>
      </c>
      <c r="D87" s="19"/>
      <c r="E87" s="15" t="s">
        <v>122</v>
      </c>
      <c r="F87" s="3"/>
      <c r="G87" s="3"/>
      <c r="H87" s="67" t="str">
        <f>_xlfn.IFNA(IF(VLOOKUP(F87,tblMerits[],6,FALSE)=0,"None",VLOOKUP(F87,tblMerits[],6,FALSE)),"None")</f>
        <v>None</v>
      </c>
      <c r="I87" s="67"/>
      <c r="L87" s="4"/>
      <c r="M87" s="4"/>
      <c r="N87" s="4"/>
      <c r="O87" s="61">
        <f t="shared" si="15"/>
        <v>0</v>
      </c>
      <c r="P87" s="60">
        <f t="shared" si="14"/>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
      </c>
    </row>
    <row r="88" spans="1:27">
      <c r="A88" s="1" t="s">
        <v>87</v>
      </c>
      <c r="B88" t="str">
        <f>REPT("●",P126)</f>
        <v/>
      </c>
      <c r="D88" s="19"/>
      <c r="E88" s="15" t="s">
        <v>123</v>
      </c>
      <c r="F88" s="3"/>
      <c r="G88" s="3"/>
      <c r="H88" s="67" t="str">
        <f>_xlfn.IFNA(IF(VLOOKUP(F88,tblMerits[],6,FALSE)=0,"None",VLOOKUP(F88,tblMerits[],6,FALSE)),"None")</f>
        <v>None</v>
      </c>
      <c r="I88" s="67"/>
      <c r="L88" s="4"/>
      <c r="M88" s="4"/>
      <c r="N88" s="4"/>
      <c r="O88" s="61">
        <f t="shared" si="15"/>
        <v>0</v>
      </c>
      <c r="P88" s="60">
        <f t="shared" si="14"/>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Carthian</v>
      </c>
      <c r="D89" s="19"/>
      <c r="E89" s="15" t="s">
        <v>124</v>
      </c>
      <c r="F89" s="3"/>
      <c r="G89" s="3"/>
      <c r="H89" s="67" t="str">
        <f>_xlfn.IFNA(IF(VLOOKUP(F89,tblMerits[],6,FALSE)=0,"None",VLOOKUP(F89,tblMerits[],6,FALSE)),"None")</f>
        <v>None</v>
      </c>
      <c r="I89" s="67"/>
      <c r="L89" s="4"/>
      <c r="M89" s="4"/>
      <c r="N89" s="4"/>
      <c r="O89" s="61">
        <f t="shared" si="15"/>
        <v>0</v>
      </c>
      <c r="P89" s="60">
        <f t="shared" si="14"/>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_xlfn.IFNA(IF(VLOOKUP(F90,tblMerits[],6,FALSE)=0,"None",VLOOKUP(F90,tblMerits[],6,FALSE)),"None")</f>
        <v>None</v>
      </c>
      <c r="I90" s="67"/>
      <c r="L90" s="4"/>
      <c r="M90" s="4"/>
      <c r="N90" s="4"/>
      <c r="O90" s="61">
        <f t="shared" si="15"/>
        <v>0</v>
      </c>
      <c r="P90" s="60">
        <f t="shared" si="14"/>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Crone</v>
      </c>
      <c r="D91" s="19"/>
      <c r="E91" s="15" t="s">
        <v>126</v>
      </c>
      <c r="F91" s="3"/>
      <c r="G91" s="3"/>
      <c r="H91" s="67" t="str">
        <f>_xlfn.IFNA(IF(VLOOKUP(F91,tblMerits[],6,FALSE)=0,"None",VLOOKUP(F91,tblMerits[],6,FALSE)),"None")</f>
        <v>None</v>
      </c>
      <c r="I91" s="67"/>
      <c r="L91" s="4"/>
      <c r="M91" s="4"/>
      <c r="N91" s="4"/>
      <c r="O91" s="61">
        <f t="shared" si="15"/>
        <v>0</v>
      </c>
      <c r="P91" s="60">
        <f t="shared" si="14"/>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5"/>
        <v>0</v>
      </c>
      <c r="P92" s="60">
        <f t="shared" si="14"/>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Lance</v>
      </c>
      <c r="D93" s="19"/>
      <c r="E93" s="15" t="s">
        <v>128</v>
      </c>
      <c r="F93" s="3"/>
      <c r="G93" s="3"/>
      <c r="H93" s="67" t="str">
        <f>_xlfn.IFNA(IF(VLOOKUP(F93,tblMerits[],6,FALSE)=0,"None",VLOOKUP(F93,tblMerits[],6,FALSE)),"None")</f>
        <v>None</v>
      </c>
      <c r="I93" s="67"/>
      <c r="L93" s="4"/>
      <c r="M93" s="4"/>
      <c r="N93" s="4"/>
      <c r="O93" s="61">
        <f t="shared" si="15"/>
        <v>0</v>
      </c>
      <c r="P93" s="60">
        <f t="shared" si="14"/>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5"/>
        <v>0</v>
      </c>
      <c r="P94" s="60">
        <f t="shared" si="14"/>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5"/>
        <v>0</v>
      </c>
      <c r="P95" s="60">
        <f t="shared" si="14"/>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5"/>
        <v>0</v>
      </c>
      <c r="P96" s="60">
        <f t="shared" si="14"/>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5"/>
        <v>0</v>
      </c>
      <c r="P97" s="60">
        <f t="shared" si="14"/>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5"/>
        <v>0</v>
      </c>
      <c r="P98" s="60">
        <f t="shared" si="14"/>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c r="G101" s="60" t="str">
        <f>IFERROR(VLOOKUP(F101,tblManoeuvre[],2,FALSE)&amp;" "&amp;VLOOKUP(F101,tblManoeuvre[],3,FALSE),"")</f>
        <v/>
      </c>
      <c r="H101" s="67" t="str">
        <f>IFERROR(IF(VLOOKUP(F101,tblManoeuvre[],8,FALSE)=0,"None",VLOOKUP(F101,tblManoeuvre[],8,FALSE)),"None")</f>
        <v>None</v>
      </c>
      <c r="I101" s="67"/>
      <c r="L101" s="4"/>
      <c r="M101" s="4"/>
      <c r="N101" s="4"/>
      <c r="O101" s="61">
        <f t="shared" ref="O101:O120" si="16">N101</f>
        <v>0</v>
      </c>
      <c r="P101" s="60">
        <f t="shared" ref="P101:P120" si="17">MIN(SUM(L101,M101,O101),R101)</f>
        <v>0</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
      </c>
      <c r="D102" s="19"/>
      <c r="E102" s="15" t="s">
        <v>1441</v>
      </c>
      <c r="F102" s="3"/>
      <c r="G102" s="60" t="str">
        <f>IFERROR(VLOOKUP(F102,tblManoeuvre[],2,FALSE)&amp;" "&amp;VLOOKUP(F102,tblManoeuvre[],3,FALSE),"")</f>
        <v/>
      </c>
      <c r="H102" s="67" t="str">
        <f>IFERROR(IF(VLOOKUP(F102,tblManoeuvre[],8,FALSE)=0,"None",VLOOKUP(F102,tblManoeuvre[],8,FALSE)),"None")</f>
        <v>None</v>
      </c>
      <c r="I102" s="67"/>
      <c r="L102" s="4"/>
      <c r="M102" s="4"/>
      <c r="N102" s="4"/>
      <c r="O102" s="61">
        <f t="shared" si="16"/>
        <v>0</v>
      </c>
      <c r="P102" s="60">
        <f t="shared" si="17"/>
        <v>0</v>
      </c>
      <c r="Q102" s="61">
        <v>1</v>
      </c>
      <c r="R102" s="61">
        <v>1</v>
      </c>
      <c r="Y102" s="15">
        <v>1</v>
      </c>
      <c r="Z102" s="61" t="s">
        <v>251</v>
      </c>
      <c r="AA102" s="60" t="str" cm="1">
        <f t="array" ref="AA102">IF(VLOOKUP(Z102,$AI$1:$AJ$58,2,FALSE)&gt;=Y102,INDEX(tblDisciplines[Name],MATCH(1,(tblDisciplines[Discipline]=Z102)*(tblDisciplines[Rank]=Y102),0)),"")</f>
        <v/>
      </c>
    </row>
    <row r="103" spans="1:27">
      <c r="A103" s="1" t="s">
        <v>102</v>
      </c>
      <c r="B103">
        <f>P73</f>
        <v>7</v>
      </c>
      <c r="D103" s="19"/>
      <c r="E103" s="15" t="s">
        <v>1443</v>
      </c>
      <c r="F103" s="3"/>
      <c r="G103" s="60" t="str">
        <f>IFERROR(VLOOKUP(F103,tblManoeuvre[],2,FALSE)&amp;" "&amp;VLOOKUP(F103,tblManoeuvre[],3,FALSE),"")</f>
        <v/>
      </c>
      <c r="H103" s="67" t="str">
        <f>IFERROR(IF(VLOOKUP(F103,tblManoeuvre[],8,FALSE)=0,"None",VLOOKUP(F103,tblManoeuvre[],8,FALSE)),"None")</f>
        <v>None</v>
      </c>
      <c r="I103" s="67"/>
      <c r="L103" s="4"/>
      <c r="M103" s="4"/>
      <c r="N103" s="4"/>
      <c r="O103" s="61">
        <f t="shared" si="16"/>
        <v>0</v>
      </c>
      <c r="P103" s="60">
        <f t="shared" si="17"/>
        <v>0</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c r="G104" s="60" t="str">
        <f>IFERROR(VLOOKUP(F104,tblManoeuvre[],2,FALSE)&amp;" "&amp;VLOOKUP(F104,tblManoeuvre[],3,FALSE),"")</f>
        <v/>
      </c>
      <c r="H104" s="67" t="str">
        <f>IFERROR(IF(VLOOKUP(F104,tblManoeuvre[],8,FALSE)=0,"None",VLOOKUP(F104,tblManoeuvre[],8,FALSE)),"None")</f>
        <v>None</v>
      </c>
      <c r="I104" s="67"/>
      <c r="L104" s="4"/>
      <c r="M104" s="4"/>
      <c r="N104" s="4"/>
      <c r="O104" s="61">
        <f t="shared" si="16"/>
        <v>0</v>
      </c>
      <c r="P104" s="60">
        <f t="shared" si="17"/>
        <v>0</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c r="G105" s="60" t="str">
        <f>IFERROR(VLOOKUP(F105,tblManoeuvre[],2,FALSE)&amp;" "&amp;VLOOKUP(F105,tblManoeuvre[],3,FALSE),"")</f>
        <v/>
      </c>
      <c r="H105" s="67" t="str">
        <f>IFERROR(IF(VLOOKUP(F105,tblManoeuvre[],8,FALSE)=0,"None",VLOOKUP(F105,tblManoeuvre[],8,FALSE)),"None")</f>
        <v>None</v>
      </c>
      <c r="I105" s="67"/>
      <c r="L105" s="4"/>
      <c r="M105" s="4"/>
      <c r="N105" s="4"/>
      <c r="O105" s="61">
        <f t="shared" si="16"/>
        <v>0</v>
      </c>
      <c r="P105" s="60">
        <f t="shared" si="17"/>
        <v>0</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IFERROR(VLOOKUP(F106,tblManoeuvre[],2,FALSE)&amp;" "&amp;VLOOKUP(F106,tblManoeuvre[],3,FALSE),"")</f>
        <v/>
      </c>
      <c r="H106" s="67" t="str">
        <f>IFERROR(IF(VLOOKUP(F106,tblManoeuvre[],8,FALSE)=0,"None",VLOOKUP(F106,tblManoeuvre[],8,FALSE)),"None")</f>
        <v>None</v>
      </c>
      <c r="I106" s="67"/>
      <c r="L106" s="4"/>
      <c r="M106" s="4"/>
      <c r="N106" s="4"/>
      <c r="O106" s="61">
        <f t="shared" si="16"/>
        <v>0</v>
      </c>
      <c r="P106" s="60">
        <f t="shared" si="17"/>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IFERROR(VLOOKUP(F107,tblManoeuvre[],2,FALSE)&amp;" "&amp;VLOOKUP(F107,tblManoeuvre[],3,FALSE),"")</f>
        <v/>
      </c>
      <c r="H107" s="67" t="str">
        <f>IFERROR(IF(VLOOKUP(F107,tblManoeuvre[],8,FALSE)=0,"None",VLOOKUP(F107,tblManoeuvre[],8,FALSE)),"None")</f>
        <v>None</v>
      </c>
      <c r="I107" s="67"/>
      <c r="L107" s="4"/>
      <c r="M107" s="4"/>
      <c r="N107" s="4"/>
      <c r="O107" s="61">
        <f t="shared" si="16"/>
        <v>0</v>
      </c>
      <c r="P107" s="60">
        <f t="shared" si="17"/>
        <v>0</v>
      </c>
      <c r="Q107" s="61">
        <v>1</v>
      </c>
      <c r="R107" s="61">
        <v>1</v>
      </c>
      <c r="Y107" s="15">
        <v>1</v>
      </c>
      <c r="Z107" s="61" t="s">
        <v>252</v>
      </c>
      <c r="AA107" s="60" t="str" cm="1">
        <f t="array" ref="AA107">IF(VLOOKUP(Z107,$AI$1:$AJ$58,2,FALSE)&gt;=Y107,INDEX(tblDisciplines[Name],MATCH(1,(tblDisciplines[Discipline]=Z107)*(tblDisciplines[Rank]=Y107),0)),"")</f>
        <v/>
      </c>
    </row>
    <row r="108" spans="1:27">
      <c r="A108" s="1" t="s">
        <v>107</v>
      </c>
      <c r="B108" t="str">
        <f>IF($P$73&gt;=7,"●","○") &amp; IF(F226&lt;&gt;""," (" &amp; F226 &amp; ")","")</f>
        <v>●</v>
      </c>
      <c r="D108" s="19"/>
      <c r="E108" s="15" t="s">
        <v>1452</v>
      </c>
      <c r="F108" s="3"/>
      <c r="G108" s="60" t="str">
        <f>IFERROR(VLOOKUP(F108,tblManoeuvre[],2,FALSE)&amp;" "&amp;VLOOKUP(F108,tblManoeuvre[],3,FALSE),"")</f>
        <v/>
      </c>
      <c r="H108" s="67" t="str">
        <f>IFERROR(IF(VLOOKUP(F108,tblManoeuvre[],8,FALSE)=0,"None",VLOOKUP(F108,tblManoeuvre[],8,FALSE)),"None")</f>
        <v>None</v>
      </c>
      <c r="I108" s="67"/>
      <c r="L108" s="4"/>
      <c r="M108" s="4"/>
      <c r="N108" s="4"/>
      <c r="O108" s="61">
        <f t="shared" si="16"/>
        <v>0</v>
      </c>
      <c r="P108" s="60">
        <f t="shared" si="17"/>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v>
      </c>
      <c r="D109" s="19"/>
      <c r="E109" s="15" t="s">
        <v>1454</v>
      </c>
      <c r="F109" s="3"/>
      <c r="G109" s="60" t="str">
        <f>IFERROR(VLOOKUP(F109,tblManoeuvre[],2,FALSE)&amp;" "&amp;VLOOKUP(F109,tblManoeuvre[],3,FALSE),"")</f>
        <v/>
      </c>
      <c r="H109" s="67" t="str">
        <f>IFERROR(IF(VLOOKUP(F109,tblManoeuvre[],8,FALSE)=0,"None",VLOOKUP(F109,tblManoeuvre[],8,FALSE)),"None")</f>
        <v>None</v>
      </c>
      <c r="I109" s="67"/>
      <c r="L109" s="4"/>
      <c r="M109" s="4"/>
      <c r="N109" s="4"/>
      <c r="O109" s="61">
        <f t="shared" si="16"/>
        <v>0</v>
      </c>
      <c r="P109" s="60">
        <f t="shared" si="17"/>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v>
      </c>
      <c r="D110" s="19"/>
      <c r="E110" s="15" t="s">
        <v>1455</v>
      </c>
      <c r="F110" s="3"/>
      <c r="G110" s="60" t="str">
        <f>IFERROR(VLOOKUP(F110,tblManoeuvre[],2,FALSE)&amp;" "&amp;VLOOKUP(F110,tblManoeuvre[],3,FALSE),"")</f>
        <v/>
      </c>
      <c r="H110" s="67" t="str">
        <f>IFERROR(IF(VLOOKUP(F110,tblManoeuvre[],8,FALSE)=0,"None",VLOOKUP(F110,tblManoeuvre[],8,FALSE)),"None")</f>
        <v>None</v>
      </c>
      <c r="I110" s="67"/>
      <c r="L110" s="4"/>
      <c r="M110" s="4"/>
      <c r="N110" s="4"/>
      <c r="O110" s="61">
        <f t="shared" si="16"/>
        <v>0</v>
      </c>
      <c r="P110" s="60">
        <f t="shared" si="17"/>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t="str">
        <f>IFERROR(VLOOKUP(F111,tblManoeuvre[],2,FALSE)&amp;" "&amp;VLOOKUP(F111,tblManoeuvre[],3,FALSE),"")</f>
        <v/>
      </c>
      <c r="H111" s="67" t="str">
        <f>IFERROR(IF(VLOOKUP(F111,tblManoeuvre[],8,FALSE)=0,"None",VLOOKUP(F111,tblManoeuvre[],8,FALSE)),"None")</f>
        <v>None</v>
      </c>
      <c r="I111" s="67"/>
      <c r="L111" s="4"/>
      <c r="M111" s="4"/>
      <c r="N111" s="4"/>
      <c r="O111" s="61">
        <f t="shared" si="16"/>
        <v>0</v>
      </c>
      <c r="P111" s="60">
        <f t="shared" si="17"/>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t="str">
        <f>IFERROR(VLOOKUP(F112,tblManoeuvre[],2,FALSE)&amp;" "&amp;VLOOKUP(F112,tblManoeuvre[],3,FALSE),"")</f>
        <v/>
      </c>
      <c r="H112" s="67" t="str">
        <f>IFERROR(IF(VLOOKUP(F112,tblManoeuvre[],8,FALSE)=0,"None",VLOOKUP(F112,tblManoeuvre[],8,FALSE)),"None")</f>
        <v>None</v>
      </c>
      <c r="I112" s="67"/>
      <c r="L112" s="4"/>
      <c r="M112" s="4"/>
      <c r="N112" s="4"/>
      <c r="O112" s="61">
        <f t="shared" si="16"/>
        <v>0</v>
      </c>
      <c r="P112" s="60">
        <f t="shared" si="17"/>
        <v>0</v>
      </c>
      <c r="Q112" s="61">
        <v>1</v>
      </c>
      <c r="R112" s="61">
        <v>1</v>
      </c>
      <c r="Y112" s="61" t="s">
        <v>1474</v>
      </c>
      <c r="Z112" s="61" t="str">
        <f t="shared" ref="Z112:Z121" si="18">G194</f>
        <v/>
      </c>
      <c r="AA112" s="60" t="str">
        <f t="shared" ref="AA112:AA121" si="19">IF(P194="","",F194)</f>
        <v/>
      </c>
    </row>
    <row r="113" spans="1:27">
      <c r="A113" s="1" t="s">
        <v>112</v>
      </c>
      <c r="B113" t="str">
        <f>IF($P$73&gt;=2,"●","○") &amp; IF(F231&lt;&gt;""," (" &amp; F231 &amp; ")","")</f>
        <v>●</v>
      </c>
      <c r="D113" s="19"/>
      <c r="E113" s="15" t="s">
        <v>1458</v>
      </c>
      <c r="F113" s="3"/>
      <c r="G113" s="60" t="str">
        <f>IFERROR(VLOOKUP(F113,tblManoeuvre[],2,FALSE)&amp;" "&amp;VLOOKUP(F113,tblManoeuvre[],3,FALSE),"")</f>
        <v/>
      </c>
      <c r="H113" s="67" t="str">
        <f>IFERROR(IF(VLOOKUP(F113,tblManoeuvre[],8,FALSE)=0,"None",VLOOKUP(F113,tblManoeuvre[],8,FALSE)),"None")</f>
        <v>None</v>
      </c>
      <c r="I113" s="67"/>
      <c r="L113" s="4"/>
      <c r="M113" s="4"/>
      <c r="N113" s="4"/>
      <c r="O113" s="61">
        <f t="shared" si="16"/>
        <v>0</v>
      </c>
      <c r="P113" s="60">
        <f t="shared" si="17"/>
        <v>0</v>
      </c>
      <c r="Q113" s="61">
        <v>1</v>
      </c>
      <c r="R113" s="61">
        <v>1</v>
      </c>
      <c r="Y113" s="61" t="s">
        <v>1474</v>
      </c>
      <c r="Z113" s="61" t="str">
        <f t="shared" si="18"/>
        <v/>
      </c>
      <c r="AA113" s="60" t="str">
        <f t="shared" si="19"/>
        <v/>
      </c>
    </row>
    <row r="114" spans="1:27">
      <c r="A114" s="1" t="s">
        <v>113</v>
      </c>
      <c r="B114" t="str">
        <f>IF($P$73&gt;=1,"●","○") &amp; IF(F232&lt;&gt;""," (" &amp; F232 &amp; ")","")</f>
        <v>●</v>
      </c>
      <c r="D114" s="19"/>
      <c r="E114" s="15" t="s">
        <v>1460</v>
      </c>
      <c r="F114" s="3"/>
      <c r="G114" s="60" t="str">
        <f>IFERROR(VLOOKUP(F114,tblManoeuvre[],2,FALSE)&amp;" "&amp;VLOOKUP(F114,tblManoeuvre[],3,FALSE),"")</f>
        <v/>
      </c>
      <c r="H114" s="67" t="str">
        <f>IFERROR(IF(VLOOKUP(F114,tblManoeuvre[],8,FALSE)=0,"None",VLOOKUP(F114,tblManoeuvre[],8,FALSE)),"None")</f>
        <v>None</v>
      </c>
      <c r="I114" s="67"/>
      <c r="L114" s="4"/>
      <c r="M114" s="4"/>
      <c r="N114" s="4"/>
      <c r="O114" s="61">
        <f t="shared" si="16"/>
        <v>0</v>
      </c>
      <c r="P114" s="60">
        <f t="shared" si="17"/>
        <v>0</v>
      </c>
      <c r="Q114" s="61">
        <v>1</v>
      </c>
      <c r="R114" s="61">
        <v>1</v>
      </c>
      <c r="Y114" s="61" t="s">
        <v>1474</v>
      </c>
      <c r="Z114" s="61" t="str">
        <f t="shared" si="18"/>
        <v/>
      </c>
      <c r="AA114" s="60" t="str">
        <f t="shared" si="19"/>
        <v/>
      </c>
    </row>
    <row r="115" spans="1:27">
      <c r="A115" s="1" t="s">
        <v>114</v>
      </c>
      <c r="B115" t="str">
        <f t="shared" ref="B115:B144" si="20">IF(AD2="","¬",AD2)</f>
        <v>¬</v>
      </c>
      <c r="D115" s="19"/>
      <c r="E115" s="15" t="s">
        <v>1461</v>
      </c>
      <c r="F115" s="3"/>
      <c r="G115" s="60" t="str">
        <f>IFERROR(VLOOKUP(F115,tblManoeuvre[],2,FALSE)&amp;" "&amp;VLOOKUP(F115,tblManoeuvre[],3,FALSE),"")</f>
        <v/>
      </c>
      <c r="H115" s="67" t="str">
        <f>IFERROR(IF(VLOOKUP(F115,tblManoeuvre[],8,FALSE)=0,"None",VLOOKUP(F115,tblManoeuvre[],8,FALSE)),"None")</f>
        <v>None</v>
      </c>
      <c r="I115" s="67"/>
      <c r="L115" s="4"/>
      <c r="M115" s="4"/>
      <c r="N115" s="4"/>
      <c r="O115" s="61">
        <f t="shared" si="16"/>
        <v>0</v>
      </c>
      <c r="P115" s="60">
        <f t="shared" si="17"/>
        <v>0</v>
      </c>
      <c r="Q115" s="61">
        <v>1</v>
      </c>
      <c r="R115" s="61">
        <v>1</v>
      </c>
      <c r="Y115" s="61" t="s">
        <v>1474</v>
      </c>
      <c r="Z115" s="61" t="str">
        <f t="shared" si="18"/>
        <v/>
      </c>
      <c r="AA115" s="60" t="str">
        <f t="shared" si="19"/>
        <v/>
      </c>
    </row>
    <row r="116" spans="1:27">
      <c r="A116" s="1" t="s">
        <v>115</v>
      </c>
      <c r="B116" t="str">
        <f t="shared" si="20"/>
        <v>¬</v>
      </c>
      <c r="D116" s="19"/>
      <c r="E116" s="15" t="s">
        <v>1462</v>
      </c>
      <c r="F116" s="3"/>
      <c r="G116" s="60" t="str">
        <f>IFERROR(VLOOKUP(F116,tblManoeuvre[],2,FALSE)&amp;" "&amp;VLOOKUP(F116,tblManoeuvre[],3,FALSE),"")</f>
        <v/>
      </c>
      <c r="H116" s="67" t="str">
        <f>IFERROR(IF(VLOOKUP(F116,tblManoeuvre[],8,FALSE)=0,"None",VLOOKUP(F116,tblManoeuvre[],8,FALSE)),"None")</f>
        <v>None</v>
      </c>
      <c r="I116" s="67"/>
      <c r="L116" s="4"/>
      <c r="M116" s="4"/>
      <c r="N116" s="4"/>
      <c r="O116" s="61">
        <f t="shared" si="16"/>
        <v>0</v>
      </c>
      <c r="P116" s="60">
        <f t="shared" si="17"/>
        <v>0</v>
      </c>
      <c r="Q116" s="61">
        <v>1</v>
      </c>
      <c r="R116" s="61">
        <v>1</v>
      </c>
      <c r="Y116" s="61" t="s">
        <v>1474</v>
      </c>
      <c r="Z116" s="61" t="str">
        <f t="shared" si="18"/>
        <v/>
      </c>
      <c r="AA116" s="60" t="str">
        <f t="shared" si="19"/>
        <v/>
      </c>
    </row>
    <row r="117" spans="1:27">
      <c r="A117" s="1" t="s">
        <v>116</v>
      </c>
      <c r="B117" t="str">
        <f t="shared" si="20"/>
        <v>¬</v>
      </c>
      <c r="D117" s="19"/>
      <c r="E117" s="15" t="s">
        <v>1463</v>
      </c>
      <c r="F117" s="3"/>
      <c r="G117" s="60" t="str">
        <f>IFERROR(VLOOKUP(F117,tblManoeuvre[],2,FALSE)&amp;" "&amp;VLOOKUP(F117,tblManoeuvre[],3,FALSE),"")</f>
        <v/>
      </c>
      <c r="H117" s="67" t="str">
        <f>IFERROR(IF(VLOOKUP(F117,tblManoeuvre[],8,FALSE)=0,"None",VLOOKUP(F117,tblManoeuvre[],8,FALSE)),"None")</f>
        <v>None</v>
      </c>
      <c r="I117" s="67"/>
      <c r="L117" s="4"/>
      <c r="M117" s="4"/>
      <c r="N117" s="4"/>
      <c r="O117" s="61">
        <f t="shared" si="16"/>
        <v>0</v>
      </c>
      <c r="P117" s="60">
        <f t="shared" si="17"/>
        <v>0</v>
      </c>
      <c r="Q117" s="61">
        <v>1</v>
      </c>
      <c r="R117" s="61">
        <v>1</v>
      </c>
      <c r="Y117" s="61" t="s">
        <v>1474</v>
      </c>
      <c r="Z117" s="61" t="str">
        <f t="shared" si="18"/>
        <v/>
      </c>
      <c r="AA117" s="60" t="str">
        <f t="shared" si="19"/>
        <v/>
      </c>
    </row>
    <row r="118" spans="1:27">
      <c r="A118" s="1" t="s">
        <v>117</v>
      </c>
      <c r="B118" t="str">
        <f t="shared" si="20"/>
        <v>¬</v>
      </c>
      <c r="D118" s="19"/>
      <c r="E118" s="15" t="s">
        <v>1464</v>
      </c>
      <c r="F118" s="3"/>
      <c r="G118" s="60" t="str">
        <f>IFERROR(VLOOKUP(F118,tblManoeuvre[],2,FALSE)&amp;" "&amp;VLOOKUP(F118,tblManoeuvre[],3,FALSE),"")</f>
        <v/>
      </c>
      <c r="H118" s="67" t="str">
        <f>IFERROR(IF(VLOOKUP(F118,tblManoeuvre[],8,FALSE)=0,"None",VLOOKUP(F118,tblManoeuvre[],8,FALSE)),"None")</f>
        <v>None</v>
      </c>
      <c r="I118" s="67"/>
      <c r="L118" s="4"/>
      <c r="M118" s="4"/>
      <c r="N118" s="4"/>
      <c r="O118" s="61">
        <f t="shared" si="16"/>
        <v>0</v>
      </c>
      <c r="P118" s="60">
        <f t="shared" si="17"/>
        <v>0</v>
      </c>
      <c r="Q118" s="61">
        <v>1</v>
      </c>
      <c r="R118" s="61">
        <v>1</v>
      </c>
      <c r="Y118" s="61" t="s">
        <v>1474</v>
      </c>
      <c r="Z118" s="61" t="str">
        <f t="shared" si="18"/>
        <v/>
      </c>
      <c r="AA118" s="60" t="str">
        <f t="shared" si="19"/>
        <v/>
      </c>
    </row>
    <row r="119" spans="1:27">
      <c r="A119" s="1" t="s">
        <v>118</v>
      </c>
      <c r="B119" t="str">
        <f t="shared" si="20"/>
        <v>¬</v>
      </c>
      <c r="D119" s="19"/>
      <c r="E119" s="15" t="s">
        <v>1466</v>
      </c>
      <c r="F119" s="3"/>
      <c r="G119" s="60" t="str">
        <f>IFERROR(VLOOKUP(F119,tblManoeuvre[],2,FALSE)&amp;" "&amp;VLOOKUP(F119,tblManoeuvre[],3,FALSE),"")</f>
        <v/>
      </c>
      <c r="H119" s="67" t="str">
        <f>IFERROR(IF(VLOOKUP(F119,tblManoeuvre[],8,FALSE)=0,"None",VLOOKUP(F119,tblManoeuvre[],8,FALSE)),"None")</f>
        <v>None</v>
      </c>
      <c r="I119" s="67"/>
      <c r="L119" s="4"/>
      <c r="M119" s="4"/>
      <c r="N119" s="4"/>
      <c r="O119" s="61">
        <f t="shared" si="16"/>
        <v>0</v>
      </c>
      <c r="P119" s="60">
        <f t="shared" si="17"/>
        <v>0</v>
      </c>
      <c r="Q119" s="61">
        <v>1</v>
      </c>
      <c r="R119" s="61">
        <v>1</v>
      </c>
      <c r="Y119" s="61" t="s">
        <v>1474</v>
      </c>
      <c r="Z119" s="61" t="str">
        <f t="shared" si="18"/>
        <v/>
      </c>
      <c r="AA119" s="60" t="str">
        <f t="shared" si="19"/>
        <v/>
      </c>
    </row>
    <row r="120" spans="1:27">
      <c r="A120" s="1" t="s">
        <v>119</v>
      </c>
      <c r="B120" t="str">
        <f t="shared" si="20"/>
        <v>¬</v>
      </c>
      <c r="D120" s="19"/>
      <c r="E120" s="15" t="s">
        <v>1468</v>
      </c>
      <c r="F120" s="3"/>
      <c r="G120" s="60" t="str">
        <f>IFERROR(VLOOKUP(F120,tblManoeuvre[],2,FALSE)&amp;" "&amp;VLOOKUP(F120,tblManoeuvre[],3,FALSE),"")</f>
        <v/>
      </c>
      <c r="H120" s="67" t="str">
        <f>IFERROR(IF(VLOOKUP(F120,tblManoeuvre[],8,FALSE)=0,"None",VLOOKUP(F120,tblManoeuvre[],8,FALSE)),"None")</f>
        <v>None</v>
      </c>
      <c r="I120" s="67"/>
      <c r="L120" s="4"/>
      <c r="M120" s="4"/>
      <c r="N120" s="4"/>
      <c r="O120" s="61">
        <f t="shared" si="16"/>
        <v>0</v>
      </c>
      <c r="P120" s="60">
        <f t="shared" si="17"/>
        <v>0</v>
      </c>
      <c r="Q120" s="61">
        <v>1</v>
      </c>
      <c r="R120" s="61">
        <v>1</v>
      </c>
      <c r="Y120" s="61" t="s">
        <v>1474</v>
      </c>
      <c r="Z120" s="61" t="str">
        <f t="shared" si="18"/>
        <v/>
      </c>
      <c r="AA120" s="60" t="str">
        <f t="shared" si="19"/>
        <v/>
      </c>
    </row>
    <row r="121" spans="1:27">
      <c r="A121" s="1" t="s">
        <v>120</v>
      </c>
      <c r="B121" t="str">
        <f t="shared" si="20"/>
        <v>¬</v>
      </c>
      <c r="Y121" s="61" t="s">
        <v>1474</v>
      </c>
      <c r="Z121" s="61" t="str">
        <f t="shared" si="18"/>
        <v/>
      </c>
      <c r="AA121" s="60" t="str">
        <f t="shared" si="19"/>
        <v/>
      </c>
    </row>
    <row r="122" spans="1:27">
      <c r="A122" s="1" t="s">
        <v>121</v>
      </c>
      <c r="B122" t="str">
        <f t="shared" si="20"/>
        <v>¬</v>
      </c>
      <c r="D122" s="14" t="s">
        <v>1475</v>
      </c>
      <c r="E122" s="14"/>
      <c r="F122" s="14"/>
      <c r="G122" s="14"/>
      <c r="H122" s="14"/>
      <c r="I122" s="14"/>
    </row>
    <row r="123" spans="1:27">
      <c r="A123" s="1" t="s">
        <v>122</v>
      </c>
      <c r="B123" t="str">
        <f t="shared" si="20"/>
        <v>¬</v>
      </c>
      <c r="D123" s="16" t="s">
        <v>927</v>
      </c>
      <c r="E123" s="17"/>
      <c r="F123" s="17"/>
      <c r="G123" s="17"/>
      <c r="H123" s="17"/>
      <c r="I123" s="17"/>
      <c r="Y123" s="15" t="s">
        <v>1476</v>
      </c>
      <c r="Z123" s="19"/>
      <c r="AA123" s="61" t="str">
        <f t="shared" ref="AA123:AA132" si="21">_xlfn.LET(_xlpm.name,VLOOKUP(Y123,$E$2:$F$362,2,FALSE),_xlpm.paid,_xlfn.IFNA(VLOOKUP(_xlpm.name,$F$121:$Q$215,11,FALSE)&gt;=VLOOKUP(_xlpm.name,$F$121:$Q$215,12,FALSE),FALSE),IF(AND(_xlpm.name&lt;&gt;"",_xlpm.paid),_xlpm.name,""))</f>
        <v/>
      </c>
    </row>
    <row r="124" spans="1:27">
      <c r="A124" s="1" t="s">
        <v>123</v>
      </c>
      <c r="B124" t="str">
        <f t="shared" si="20"/>
        <v>¬</v>
      </c>
      <c r="D124" s="19"/>
      <c r="E124" s="15" t="s">
        <v>83</v>
      </c>
      <c r="F124" s="19"/>
      <c r="G124" s="19"/>
      <c r="H124" s="19"/>
      <c r="I124" s="19"/>
      <c r="L124" s="4"/>
      <c r="M124" s="61">
        <f>IFERROR(VLOOKUP(G12,tblEffectiveStatus[],2,FALSE),0)+IFERROR(VLOOKUP(G13,tblEffectiveStatus[],2,FALSE),0)</f>
        <v>0</v>
      </c>
      <c r="P124" s="60">
        <f>MIN(L124+M124,R124)</f>
        <v>0</v>
      </c>
      <c r="R124" s="61">
        <v>10</v>
      </c>
      <c r="Y124" s="15" t="s">
        <v>1477</v>
      </c>
      <c r="Z124" s="19"/>
      <c r="AA124" s="61" t="str">
        <f t="shared" si="21"/>
        <v/>
      </c>
    </row>
    <row r="125" spans="1:27">
      <c r="A125" s="1" t="s">
        <v>124</v>
      </c>
      <c r="B125" t="str">
        <f t="shared" si="20"/>
        <v>¬</v>
      </c>
      <c r="D125" s="19"/>
      <c r="E125" s="15" t="str">
        <f>IF(F7="","Clan Status",F7&amp;" Status")</f>
        <v>Nosferatu Status</v>
      </c>
      <c r="F125" s="19"/>
      <c r="G125" s="19"/>
      <c r="H125" s="19"/>
      <c r="I125" s="19"/>
      <c r="L125" s="4"/>
      <c r="P125" s="60">
        <f>IF(L125="",0,MIN(L125,R125))</f>
        <v>0</v>
      </c>
      <c r="R125" s="61">
        <v>5</v>
      </c>
      <c r="Y125" s="15" t="s">
        <v>1478</v>
      </c>
      <c r="Z125" s="19"/>
      <c r="AA125" s="61" t="str">
        <f t="shared" si="21"/>
        <v/>
      </c>
    </row>
    <row r="126" spans="1:27">
      <c r="A126" s="1" t="s">
        <v>125</v>
      </c>
      <c r="B126" t="str">
        <f t="shared" si="20"/>
        <v>¬</v>
      </c>
      <c r="D126" s="19"/>
      <c r="E126" s="15" t="str">
        <f>IF(F9="","",F9&amp;" Status")</f>
        <v>Invictus Status</v>
      </c>
      <c r="F126" s="19" t="str">
        <f>IF(F9="","",VLOOKUP(F9,tblCovenantShortName[#Data],2,FALSE))</f>
        <v>Invictus</v>
      </c>
      <c r="G126" s="19"/>
      <c r="H126" s="19"/>
      <c r="I126" s="19"/>
      <c r="L126" s="4"/>
      <c r="P126" s="60">
        <f>L126</f>
        <v>0</v>
      </c>
      <c r="R126" s="61">
        <f>5-SUM(L127:L129)</f>
        <v>5</v>
      </c>
      <c r="Y126" s="15" t="s">
        <v>1479</v>
      </c>
      <c r="Z126" s="19"/>
      <c r="AA126" s="61" t="str">
        <f t="shared" si="21"/>
        <v/>
      </c>
    </row>
    <row r="127" spans="1:27">
      <c r="A127" s="1" t="s">
        <v>126</v>
      </c>
      <c r="B127" t="str">
        <f t="shared" si="20"/>
        <v>¬</v>
      </c>
      <c r="D127" s="19"/>
      <c r="E127" s="15" t="str" cm="1">
        <f t="array" ref="E127">IF(F9="","",IFERROR(INDEX(Lists!$F$2:$F$5,SMALL(IF(Lists!$F$2:$F$5&lt;&gt;$F$9,ROW(Lists!$F$2:$F$5)-ROW(Lists!$F$2)+1),1))&amp;" Status",""))</f>
        <v>Carthian Movement Status</v>
      </c>
      <c r="F127" s="19" t="str" cm="1">
        <f t="array" ref="F127">IF(F9="","",IFERROR(VLOOKUP(INDEX(Lists!$F$2:$F$5,SMALL(IF(Lists!$F$2:$F$5&lt;&gt;$F$9,ROW(Lists!$F$2:$F$5)-ROW(Lists!$F$2)+1),1)),tblCovenantShortName[],2,FALSE),""))</f>
        <v>Carthian</v>
      </c>
      <c r="G127" s="19"/>
      <c r="H127" s="19"/>
      <c r="I127" s="19"/>
      <c r="L127" s="4"/>
      <c r="P127" s="60">
        <f>L127</f>
        <v>0</v>
      </c>
      <c r="R127" s="61">
        <f>MAX(0,MIN(P126-1,5-L126-L128-L129))</f>
        <v>0</v>
      </c>
      <c r="Y127" s="15" t="s">
        <v>1480</v>
      </c>
      <c r="Z127" s="19"/>
      <c r="AA127" s="61" t="str">
        <f t="shared" si="21"/>
        <v/>
      </c>
    </row>
    <row r="128" spans="1:27">
      <c r="A128" s="1" t="s">
        <v>127</v>
      </c>
      <c r="B128" t="str">
        <f t="shared" si="20"/>
        <v>¬</v>
      </c>
      <c r="D128" s="19"/>
      <c r="E128" s="15" t="str" cm="1">
        <f t="array" ref="E128">IF(F9="","",IFERROR(INDEX(Lists!$F$2:$F$5,SMALL(IF(Lists!$F$2:$F$5&lt;&gt;$F$9,ROW(Lists!$F$2:$F$5)-ROW(Lists!$F$2)+1),2))&amp;" Status",""))</f>
        <v>Circle of the Crone Status</v>
      </c>
      <c r="F128" s="19" t="str" cm="1">
        <f t="array" ref="F128">IF(F9="","",IFERROR(VLOOKUP(INDEX(Lists!$F$2:$F$5,SMALL(IF(Lists!$F$2:$F$5&lt;&gt;$F$9,ROW(Lists!$F$2:$F$5)-ROW(Lists!$F$2)+1),2)),tblCovenantShortName[],2,FALSE),""))</f>
        <v>Crone</v>
      </c>
      <c r="G128" s="19"/>
      <c r="H128" s="19"/>
      <c r="I128" s="19"/>
      <c r="L128" s="4"/>
      <c r="P128" s="60">
        <f>L128</f>
        <v>0</v>
      </c>
      <c r="R128" s="61">
        <f>MAX(0,MIN(P126-1,5-L126-L127-L129))</f>
        <v>0</v>
      </c>
      <c r="Y128" s="15" t="s">
        <v>1481</v>
      </c>
      <c r="Z128" s="19"/>
      <c r="AA128" s="61" t="str">
        <f t="shared" si="21"/>
        <v/>
      </c>
    </row>
    <row r="129" spans="1:32">
      <c r="A129" s="1" t="s">
        <v>128</v>
      </c>
      <c r="B129" t="str">
        <f t="shared" si="20"/>
        <v>¬</v>
      </c>
      <c r="D129" s="19"/>
      <c r="E129" s="15" t="str" cm="1">
        <f t="array" ref="E129">IF(F9="","",IFERROR(INDEX(Lists!$F$2:$F$5,SMALL(IF(Lists!$F$2:$F$5&lt;&gt;$F$9,ROW(Lists!$F$2:$F$5)-ROW(Lists!$F$2)+1),3))&amp;" Status",""))</f>
        <v>Lancea et Sanctum Status</v>
      </c>
      <c r="F129" s="19" t="str" cm="1">
        <f t="array" ref="F129">IF(F9="","",IFERROR(VLOOKUP(INDEX(Lists!$F$2:$F$5,SMALL(IF(Lists!$F$2:$F$5&lt;&gt;$F$9,ROW(Lists!$F$2:$F$5)-ROW(Lists!$F$2)+1),3)),tblCovenantShortName[],2,FALSE),""))</f>
        <v>Lance</v>
      </c>
      <c r="G129" s="19"/>
      <c r="H129" s="19"/>
      <c r="I129" s="19"/>
      <c r="L129" s="4"/>
      <c r="P129" s="60">
        <f>L129</f>
        <v>0</v>
      </c>
      <c r="R129" s="61">
        <f>MAX(0,MIN(P126-1,5-L126-L127-L128))</f>
        <v>0</v>
      </c>
      <c r="Y129" s="15" t="s">
        <v>1482</v>
      </c>
      <c r="Z129" s="19"/>
      <c r="AA129" s="61" t="str">
        <f t="shared" si="21"/>
        <v/>
      </c>
    </row>
    <row r="130" spans="1:32">
      <c r="A130" s="1" t="s">
        <v>129</v>
      </c>
      <c r="B130" t="str">
        <f t="shared" si="20"/>
        <v>¬</v>
      </c>
      <c r="Y130" s="15" t="s">
        <v>1483</v>
      </c>
      <c r="Z130" s="19"/>
      <c r="AA130" s="61" t="str">
        <f t="shared" si="21"/>
        <v/>
      </c>
    </row>
    <row r="131" spans="1:32">
      <c r="A131" s="1" t="s">
        <v>130</v>
      </c>
      <c r="B131" t="str">
        <f t="shared" si="20"/>
        <v>¬</v>
      </c>
      <c r="D131" s="16" t="s">
        <v>1475</v>
      </c>
      <c r="E131" s="17"/>
      <c r="F131" s="16" t="s">
        <v>1446</v>
      </c>
      <c r="G131" s="17"/>
      <c r="H131" s="17"/>
      <c r="I131" s="17"/>
      <c r="Y131" s="15" t="s">
        <v>1484</v>
      </c>
      <c r="Z131" s="19"/>
      <c r="AA131" s="61" t="str">
        <f t="shared" si="21"/>
        <v/>
      </c>
    </row>
    <row r="132" spans="1:32">
      <c r="A132" s="1" t="s">
        <v>131</v>
      </c>
      <c r="B132" t="str">
        <f t="shared" si="20"/>
        <v>¬</v>
      </c>
      <c r="D132" s="19"/>
      <c r="E132" s="15" t="s">
        <v>94</v>
      </c>
      <c r="F132" s="3"/>
      <c r="G132" s="19"/>
      <c r="H132" s="19"/>
      <c r="I132" s="19"/>
      <c r="L132" s="4"/>
      <c r="M132" s="4"/>
      <c r="N132" s="4"/>
      <c r="O132" s="61">
        <f>N132</f>
        <v>0</v>
      </c>
      <c r="P132" s="60">
        <f>MIN(SUM(L132,M132,O132),R132)</f>
        <v>0</v>
      </c>
      <c r="Q132" s="61">
        <f>_xlfn.IFNA(VLOOKUP($E132,tblDomain[],3,FALSE),"")</f>
        <v>1</v>
      </c>
      <c r="R132" s="61">
        <f>_xlfn.IFNA(VLOOKUP($E132,tblDomain[],4,FALSE),"")</f>
        <v>5</v>
      </c>
      <c r="Y132" s="15" t="s">
        <v>1485</v>
      </c>
      <c r="Z132" s="19"/>
      <c r="AA132" s="61" t="str">
        <f t="shared" si="21"/>
        <v/>
      </c>
    </row>
    <row r="133" spans="1:32">
      <c r="A133" s="1" t="s">
        <v>132</v>
      </c>
      <c r="B133" t="str">
        <f t="shared" si="20"/>
        <v>¬</v>
      </c>
      <c r="D133" s="19"/>
      <c r="E133" s="15" t="s">
        <v>95</v>
      </c>
      <c r="F133" s="3"/>
      <c r="G133" s="19"/>
      <c r="H133" s="19"/>
      <c r="I133" s="19"/>
      <c r="L133" s="4"/>
      <c r="M133" s="4"/>
      <c r="N133" s="4"/>
      <c r="O133" s="61">
        <f>N133</f>
        <v>0</v>
      </c>
      <c r="P133" s="60">
        <f>MIN(SUM(L133,M133,O133),R133)</f>
        <v>0</v>
      </c>
      <c r="Q133" s="61">
        <f>_xlfn.IFNA(VLOOKUP($E133,tblDomain[],3,FALSE),"")</f>
        <v>1</v>
      </c>
      <c r="R133" s="61">
        <f>_xlfn.IFNA(VLOOKUP($E133,tblDomain[],4,FALSE),"")</f>
        <v>5</v>
      </c>
    </row>
    <row r="134" spans="1:32">
      <c r="A134" s="1" t="s">
        <v>133</v>
      </c>
      <c r="B134" t="str">
        <f t="shared" si="20"/>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2">_xlfn.LET(_xlpm.name,VLOOKUP(Y134,$E$2:$F$362,2,FALSE),_xlpm.note,VLOOKUP(Y134,$E$2:$G$362,3,FALSE),_xlpm.row,MATCH(Y134,$E$138:$E$157,0),_xlpm.dots,INDEX($P$138:$P$157,_xlpm.row),_xlpm.max,INDEX($Q$138:$Q$157,_xlpm.row),_xlpm.paid,_xlfn.IFNA(_xlpm.dots&gt;=_xlpm.max,FALSE),IF(AND(_xlpm.name&lt;&gt;"",_xlpm.paid),IF(_xlpm.note="",_xlpm.name,_xlpm.name&amp;" ("&amp;_xlpm.note&amp;")"),""))</f>
        <v/>
      </c>
      <c r="AC134" s="60" t="str" cm="1">
        <f t="array" ref="AC134">_xlfn.LET(_xlpm.raw,IFERROR(_xlfn.VSTACK(IFERROR(_xlfn._xlws.SORT(_xlfn._xlws.FILTER(AA134:AA211,AA134:AA211&lt;&gt;"")),""),IFERROR(_xlfn._xlws.SORT(_xlfn._xlws.FILTER(AA213:AA222,AA213:AA222&lt;&gt;"")),"")),""),_xlpm.sorted,IFERROR(_xlfn._xlws.FILTER(_xlpm.raw,_xlpm.raw&lt;&gt;""),""),IFERROR(LEFT(_xlpm.sorted,FIND(" (",_xlpm.sorted)-1),_xlpm.sorted))</f>
        <v/>
      </c>
      <c r="AD134" s="20" t="str" cm="1">
        <f t="array" ref="AD134">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
      </c>
      <c r="AE134" s="20" t="str">
        <f t="shared" ref="AE134:AE153" si="23">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
      </c>
      <c r="AF134" s="61" t="str" cm="1">
        <f t="array" ref="AF134">IF(AC134="","",SUMPRODUCT(($F$138:$F$157=AC134)*($G$138:$G$157=IF(AD134="","",AD134))*$P$138:$P$157))</f>
        <v/>
      </c>
    </row>
    <row r="135" spans="1:32">
      <c r="A135" s="1" t="s">
        <v>134</v>
      </c>
      <c r="B135" t="str">
        <f t="shared" si="20"/>
        <v>¬</v>
      </c>
      <c r="D135" s="19"/>
      <c r="E135" s="15" t="s">
        <v>97</v>
      </c>
      <c r="F135" s="19"/>
      <c r="G135" s="19"/>
      <c r="H135" s="19"/>
      <c r="I135" s="19"/>
      <c r="L135" s="4"/>
      <c r="M135" s="4"/>
      <c r="N135" s="4"/>
      <c r="O135" s="61">
        <f>N135</f>
        <v>0</v>
      </c>
      <c r="P135" s="60">
        <f>MIN(SUM(L135,M135,O135),R135)</f>
        <v>0</v>
      </c>
      <c r="Q135" s="61">
        <f>_xlfn.IFNA(VLOOKUP($E135,tblDomain[],3,FALSE),"")</f>
        <v>1</v>
      </c>
      <c r="R135" s="61">
        <f>_xlfn.IFNA(VLOOKUP($E135,tblDomain[],4,FALSE),"")</f>
        <v>5</v>
      </c>
      <c r="Y135" s="15" t="s">
        <v>177</v>
      </c>
      <c r="Z135" s="19"/>
      <c r="AA135" s="61" t="str">
        <f t="shared" si="22"/>
        <v/>
      </c>
      <c r="AC135" s="60"/>
      <c r="AD135" s="20"/>
      <c r="AE135" s="20" t="str">
        <f t="shared" si="23"/>
        <v/>
      </c>
      <c r="AF135" s="61" t="str" cm="1">
        <f t="array" ref="AF135">IF(AC135="","",SUMPRODUCT(($F$138:$F$157=AC135)*($G$138:$G$157=IF(AD135="","",AD135))*$P$138:$P$157))</f>
        <v/>
      </c>
    </row>
    <row r="136" spans="1:32">
      <c r="A136" s="1" t="s">
        <v>135</v>
      </c>
      <c r="B136" t="str">
        <f t="shared" si="20"/>
        <v>¬</v>
      </c>
      <c r="Y136" s="15" t="s">
        <v>178</v>
      </c>
      <c r="Z136" s="19"/>
      <c r="AA136" s="61" t="str">
        <f t="shared" si="22"/>
        <v/>
      </c>
      <c r="AC136" s="60"/>
      <c r="AD136" s="20"/>
      <c r="AE136" s="20" t="str">
        <f t="shared" si="23"/>
        <v/>
      </c>
      <c r="AF136" s="61" t="str" cm="1">
        <f t="array" ref="AF136">IF(AC136="","",SUMPRODUCT(($F$138:$F$157=AC136)*($G$138:$G$157=IF(AD136="","",AD136))*$P$138:$P$157))</f>
        <v/>
      </c>
    </row>
    <row r="137" spans="1:32">
      <c r="A137" s="1" t="s">
        <v>136</v>
      </c>
      <c r="B137" t="str">
        <f t="shared" si="20"/>
        <v>¬</v>
      </c>
      <c r="D137" s="16" t="s">
        <v>174</v>
      </c>
      <c r="E137" s="17"/>
      <c r="F137" s="17"/>
      <c r="G137" s="17"/>
      <c r="H137" s="61">
        <f>L225</f>
        <v>0</v>
      </c>
      <c r="I137" s="61">
        <f>SUM(AE134:AE155)+SUM(P125:P129)</f>
        <v>0</v>
      </c>
      <c r="Y137" s="15" t="s">
        <v>179</v>
      </c>
      <c r="Z137" s="19"/>
      <c r="AA137" s="61" t="str">
        <f t="shared" si="22"/>
        <v/>
      </c>
      <c r="AC137" s="60"/>
      <c r="AD137" s="20"/>
      <c r="AE137" s="20" t="str">
        <f t="shared" si="23"/>
        <v/>
      </c>
      <c r="AF137" s="61" t="str" cm="1">
        <f t="array" ref="AF137">IF(AC137="","",SUMPRODUCT(($F$138:$F$157=AC137)*($G$138:$G$157=IF(AD137="","",AD137))*$P$138:$P$157))</f>
        <v/>
      </c>
    </row>
    <row r="138" spans="1:32">
      <c r="A138" s="1" t="s">
        <v>137</v>
      </c>
      <c r="B138" t="str">
        <f t="shared" si="20"/>
        <v>¬</v>
      </c>
      <c r="D138" s="19"/>
      <c r="E138" s="15" t="s">
        <v>176</v>
      </c>
      <c r="F138" s="3"/>
      <c r="G138" s="3"/>
      <c r="H138" s="67" t="str">
        <f>IFERROR(IF(VLOOKUP(F138,tblManoeuvre[],8,FALSE)=0,"None",VLOOKUP(F138,tblManoeuvre[],8,FALSE)),"None")</f>
        <v>None</v>
      </c>
      <c r="I138" s="67"/>
      <c r="L138" s="4"/>
      <c r="M138" s="4"/>
      <c r="N138" s="4"/>
      <c r="O138" s="61">
        <f t="shared" ref="O138:O157" si="24">N138</f>
        <v>0</v>
      </c>
      <c r="P138" s="60">
        <f t="shared" ref="P138:P157" si="25">MIN(SUM(L138,M138,O138),R138)</f>
        <v>0</v>
      </c>
      <c r="Q138" s="61" t="str">
        <f>_xlfn.IFNA(VLOOKUP($F138,tblInfluence[],3,FALSE),"")</f>
        <v/>
      </c>
      <c r="R138" s="61" t="str">
        <f>_xlfn.IFNA(VLOOKUP($F138,tblInfluence[],4,FALSE),"")</f>
        <v/>
      </c>
      <c r="Y138" s="15" t="s">
        <v>180</v>
      </c>
      <c r="Z138" s="19"/>
      <c r="AA138" s="61" t="str">
        <f t="shared" si="22"/>
        <v/>
      </c>
      <c r="AC138" s="60"/>
      <c r="AD138" s="20"/>
      <c r="AE138" s="20" t="str">
        <f t="shared" si="23"/>
        <v/>
      </c>
      <c r="AF138" s="61" t="str" cm="1">
        <f t="array" ref="AF138">IF(AC138="","",SUMPRODUCT(($F$138:$F$157=AC138)*($G$138:$G$157=IF(AD138="","",AD138))*$P$138:$P$157))</f>
        <v/>
      </c>
    </row>
    <row r="139" spans="1:32">
      <c r="A139" s="1" t="s">
        <v>138</v>
      </c>
      <c r="B139" t="str">
        <f t="shared" si="20"/>
        <v>¬</v>
      </c>
      <c r="D139" s="19"/>
      <c r="E139" s="15" t="s">
        <v>177</v>
      </c>
      <c r="F139" s="3"/>
      <c r="G139" s="3"/>
      <c r="H139" s="67" t="str">
        <f>IFERROR(IF(VLOOKUP(F139,tblManoeuvre[],8,FALSE)=0,"None",VLOOKUP(F139,tblManoeuvre[],8,FALSE)),"None")</f>
        <v>None</v>
      </c>
      <c r="I139" s="67"/>
      <c r="L139" s="4"/>
      <c r="M139" s="4"/>
      <c r="N139" s="4"/>
      <c r="O139" s="61">
        <f t="shared" si="24"/>
        <v>0</v>
      </c>
      <c r="P139" s="60">
        <f t="shared" si="25"/>
        <v>0</v>
      </c>
      <c r="Q139" s="61" t="str">
        <f>_xlfn.IFNA(VLOOKUP($F139,tblInfluence[],3,FALSE),"")</f>
        <v/>
      </c>
      <c r="R139" s="61" t="str">
        <f>_xlfn.IFNA(VLOOKUP($F139,tblInfluence[],4,FALSE),"")</f>
        <v/>
      </c>
      <c r="Y139" s="15" t="s">
        <v>181</v>
      </c>
      <c r="Z139" s="19"/>
      <c r="AA139" s="61" t="str">
        <f t="shared" si="22"/>
        <v/>
      </c>
      <c r="AC139" s="60"/>
      <c r="AD139" s="20"/>
      <c r="AE139" s="20" t="str">
        <f t="shared" si="23"/>
        <v/>
      </c>
      <c r="AF139" s="61" t="str" cm="1">
        <f t="array" ref="AF139">IF(AC139="","",SUMPRODUCT(($F$138:$F$157=AC139)*($G$138:$G$157=IF(AD139="","",AD139))*$P$138:$P$157))</f>
        <v/>
      </c>
    </row>
    <row r="140" spans="1:32">
      <c r="A140" s="1" t="s">
        <v>139</v>
      </c>
      <c r="B140" t="str">
        <f t="shared" si="20"/>
        <v>¬</v>
      </c>
      <c r="D140" s="19"/>
      <c r="E140" s="15" t="s">
        <v>178</v>
      </c>
      <c r="F140" s="3"/>
      <c r="G140" s="3"/>
      <c r="H140" s="67" t="str">
        <f>IFERROR(IF(VLOOKUP(F140,tblManoeuvre[],8,FALSE)=0,"None",VLOOKUP(F140,tblManoeuvre[],8,FALSE)),"None")</f>
        <v>None</v>
      </c>
      <c r="I140" s="67"/>
      <c r="L140" s="4"/>
      <c r="M140" s="4"/>
      <c r="N140" s="4"/>
      <c r="O140" s="61">
        <f t="shared" si="24"/>
        <v>0</v>
      </c>
      <c r="P140" s="60">
        <f t="shared" si="25"/>
        <v>0</v>
      </c>
      <c r="Q140" s="61" t="str">
        <f>_xlfn.IFNA(VLOOKUP($F140,tblInfluence[],3,FALSE),"")</f>
        <v/>
      </c>
      <c r="R140" s="61" t="str">
        <f>_xlfn.IFNA(VLOOKUP($F140,tblInfluence[],4,FALSE),"")</f>
        <v/>
      </c>
      <c r="Y140" s="15" t="s">
        <v>182</v>
      </c>
      <c r="Z140" s="19"/>
      <c r="AA140" s="61" t="str">
        <f t="shared" si="22"/>
        <v/>
      </c>
      <c r="AC140" s="60"/>
      <c r="AD140" s="20"/>
      <c r="AE140" s="20" t="str">
        <f t="shared" si="23"/>
        <v/>
      </c>
      <c r="AF140" s="61" t="str" cm="1">
        <f t="array" ref="AF140">IF(AC140="","",SUMPRODUCT(($F$138:$F$157=AC140)*($G$138:$G$157=IF(AD140="","",AD140))*$P$138:$P$157))</f>
        <v/>
      </c>
    </row>
    <row r="141" spans="1:32">
      <c r="A141" s="1" t="s">
        <v>140</v>
      </c>
      <c r="B141" t="str">
        <f t="shared" si="20"/>
        <v>¬</v>
      </c>
      <c r="D141" s="19"/>
      <c r="E141" s="15" t="s">
        <v>179</v>
      </c>
      <c r="F141" s="3"/>
      <c r="G141" s="3"/>
      <c r="H141" s="67" t="str">
        <f>IFERROR(IF(VLOOKUP(F141,tblManoeuvre[],8,FALSE)=0,"None",VLOOKUP(F141,tblManoeuvre[],8,FALSE)),"None")</f>
        <v>None</v>
      </c>
      <c r="I141" s="67"/>
      <c r="L141" s="4"/>
      <c r="M141" s="4"/>
      <c r="N141" s="4"/>
      <c r="O141" s="61">
        <f t="shared" si="24"/>
        <v>0</v>
      </c>
      <c r="P141" s="60">
        <f t="shared" si="25"/>
        <v>0</v>
      </c>
      <c r="Q141" s="61" t="str">
        <f>_xlfn.IFNA(VLOOKUP($F141,tblInfluence[],3,FALSE),"")</f>
        <v/>
      </c>
      <c r="R141" s="61" t="str">
        <f>_xlfn.IFNA(VLOOKUP($F141,tblInfluence[],4,FALSE),"")</f>
        <v/>
      </c>
      <c r="Y141" s="15" t="s">
        <v>183</v>
      </c>
      <c r="Z141" s="19"/>
      <c r="AA141" s="61" t="str">
        <f t="shared" si="22"/>
        <v/>
      </c>
      <c r="AC141" s="60"/>
      <c r="AD141" s="20"/>
      <c r="AE141" s="20" t="str">
        <f t="shared" si="23"/>
        <v/>
      </c>
      <c r="AF141" s="61" t="str" cm="1">
        <f t="array" ref="AF141">IF(AC141="","",SUMPRODUCT(($F$138:$F$157=AC141)*($G$138:$G$157=IF(AD141="","",AD141))*$P$138:$P$157))</f>
        <v/>
      </c>
    </row>
    <row r="142" spans="1:32">
      <c r="A142" s="1" t="s">
        <v>141</v>
      </c>
      <c r="B142" t="str">
        <f t="shared" si="20"/>
        <v>¬</v>
      </c>
      <c r="D142" s="19"/>
      <c r="E142" s="15" t="s">
        <v>180</v>
      </c>
      <c r="F142" s="3"/>
      <c r="G142" s="3"/>
      <c r="H142" s="67" t="str">
        <f>IFERROR(IF(VLOOKUP(F142,tblManoeuvre[],8,FALSE)=0,"None",VLOOKUP(F142,tblManoeuvre[],8,FALSE)),"None")</f>
        <v>None</v>
      </c>
      <c r="I142" s="67"/>
      <c r="L142" s="4"/>
      <c r="M142" s="4"/>
      <c r="N142" s="4"/>
      <c r="O142" s="61">
        <f t="shared" si="24"/>
        <v>0</v>
      </c>
      <c r="P142" s="60">
        <f t="shared" si="25"/>
        <v>0</v>
      </c>
      <c r="Q142" s="61" t="str">
        <f>_xlfn.IFNA(VLOOKUP($F142,tblInfluence[],3,FALSE),"")</f>
        <v/>
      </c>
      <c r="R142" s="61" t="str">
        <f>_xlfn.IFNA(VLOOKUP($F142,tblInfluence[],4,FALSE),"")</f>
        <v/>
      </c>
      <c r="Y142" s="15" t="s">
        <v>184</v>
      </c>
      <c r="Z142" s="19"/>
      <c r="AA142" s="61" t="str">
        <f t="shared" si="22"/>
        <v/>
      </c>
      <c r="AC142" s="60"/>
      <c r="AD142" s="20"/>
      <c r="AE142" s="20" t="str">
        <f t="shared" si="23"/>
        <v/>
      </c>
      <c r="AF142" s="61" t="str" cm="1">
        <f t="array" ref="AF142">IF(AC142="","",SUMPRODUCT(($F$138:$F$157=AC142)*($G$138:$G$157=IF(AD142="","",AD142))*$P$138:$P$157))</f>
        <v/>
      </c>
    </row>
    <row r="143" spans="1:32">
      <c r="A143" s="1" t="s">
        <v>142</v>
      </c>
      <c r="B143" t="str">
        <f t="shared" si="20"/>
        <v>¬</v>
      </c>
      <c r="D143" s="19"/>
      <c r="E143" s="15" t="s">
        <v>181</v>
      </c>
      <c r="F143" s="3"/>
      <c r="G143" s="3" t="str">
        <f>IFERROR(VLOOKUP(F143,tblManoeuvre[],2,FALSE)&amp;" "&amp;VLOOKUP(F143,tblManoeuvre[],3,FALSE),"")</f>
        <v/>
      </c>
      <c r="H143" s="67" t="str">
        <f>IFERROR(IF(VLOOKUP(F143,tblManoeuvre[],8,FALSE)=0,"None",VLOOKUP(F143,tblManoeuvre[],8,FALSE)),"None")</f>
        <v>None</v>
      </c>
      <c r="I143" s="67"/>
      <c r="L143" s="4"/>
      <c r="M143" s="4"/>
      <c r="N143" s="4"/>
      <c r="O143" s="61">
        <f t="shared" si="24"/>
        <v>0</v>
      </c>
      <c r="P143" s="60">
        <f t="shared" si="25"/>
        <v>0</v>
      </c>
      <c r="Q143" s="61" t="str">
        <f>_xlfn.IFNA(VLOOKUP($F143,tblInfluence[],3,FALSE),"")</f>
        <v/>
      </c>
      <c r="R143" s="61" t="str">
        <f>_xlfn.IFNA(VLOOKUP($F143,tblInfluence[],4,FALSE),"")</f>
        <v/>
      </c>
      <c r="Y143" s="15" t="s">
        <v>185</v>
      </c>
      <c r="Z143" s="19"/>
      <c r="AA143" s="61" t="str">
        <f t="shared" si="22"/>
        <v/>
      </c>
      <c r="AC143" s="60"/>
      <c r="AD143" s="20"/>
      <c r="AE143" s="20" t="str">
        <f t="shared" si="23"/>
        <v/>
      </c>
      <c r="AF143" s="61" t="str" cm="1">
        <f t="array" ref="AF143">IF(AC143="","",SUMPRODUCT(($F$138:$F$157=AC143)*($G$138:$G$157=IF(AD143="","",AD143))*$P$138:$P$157))</f>
        <v/>
      </c>
    </row>
    <row r="144" spans="1:32">
      <c r="A144" s="1" t="s">
        <v>143</v>
      </c>
      <c r="B144" t="str">
        <f t="shared" si="20"/>
        <v>¬</v>
      </c>
      <c r="D144" s="19"/>
      <c r="E144" s="15" t="s">
        <v>182</v>
      </c>
      <c r="F144" s="3"/>
      <c r="G144" s="3"/>
      <c r="H144" s="67" t="str">
        <f>IFERROR(IF(VLOOKUP(F144,tblManoeuvre[],8,FALSE)=0,"None",VLOOKUP(F144,tblManoeuvre[],8,FALSE)),"None")</f>
        <v>None</v>
      </c>
      <c r="I144" s="67"/>
      <c r="L144" s="4"/>
      <c r="M144" s="4"/>
      <c r="N144" s="4"/>
      <c r="O144" s="61">
        <f t="shared" si="24"/>
        <v>0</v>
      </c>
      <c r="P144" s="60">
        <f t="shared" si="25"/>
        <v>0</v>
      </c>
      <c r="Q144" s="61" t="str">
        <f>_xlfn.IFNA(VLOOKUP($F144,tblInfluence[],3,FALSE),"")</f>
        <v/>
      </c>
      <c r="R144" s="61" t="str">
        <f>_xlfn.IFNA(VLOOKUP($F144,tblInfluence[],4,FALSE),"")</f>
        <v/>
      </c>
      <c r="Y144" s="15" t="s">
        <v>186</v>
      </c>
      <c r="Z144" s="19"/>
      <c r="AA144" s="61" t="str">
        <f t="shared" si="22"/>
        <v/>
      </c>
      <c r="AC144" s="60"/>
      <c r="AD144" s="20"/>
      <c r="AE144" s="20" t="str">
        <f t="shared" si="23"/>
        <v/>
      </c>
      <c r="AF144" s="61" t="str" cm="1">
        <f t="array" ref="AF144">IF(AC144="","",SUMPRODUCT(($F$138:$F$157=AC144)*($G$138:$G$157=IF(AD144="","",AD144))*$P$138:$P$157))</f>
        <v/>
      </c>
    </row>
    <row r="145" spans="1:32">
      <c r="A145" s="1" t="s">
        <v>144</v>
      </c>
      <c r="B145" t="str">
        <f t="shared" ref="B145:B174" si="26">IF(AF2="","¬",AF2)</f>
        <v>¬</v>
      </c>
      <c r="D145" s="19"/>
      <c r="E145" s="15" t="s">
        <v>183</v>
      </c>
      <c r="F145" s="3"/>
      <c r="G145" s="3" t="str">
        <f>IFERROR(VLOOKUP(F145,tblManoeuvre[],2,FALSE)&amp;" "&amp;VLOOKUP(F145,tblManoeuvre[],3,FALSE),"")</f>
        <v/>
      </c>
      <c r="H145" s="67" t="str">
        <f>IFERROR(IF(VLOOKUP(F145,tblManoeuvre[],8,FALSE)=0,"None",VLOOKUP(F145,tblManoeuvre[],8,FALSE)),"None")</f>
        <v>None</v>
      </c>
      <c r="I145" s="67"/>
      <c r="L145" s="4"/>
      <c r="M145" s="4"/>
      <c r="N145" s="4"/>
      <c r="O145" s="61">
        <f t="shared" si="24"/>
        <v>0</v>
      </c>
      <c r="P145" s="60">
        <f t="shared" si="25"/>
        <v>0</v>
      </c>
      <c r="Q145" s="61" t="str">
        <f>_xlfn.IFNA(VLOOKUP($F145,tblInfluence[],3,FALSE),"")</f>
        <v/>
      </c>
      <c r="R145" s="61" t="str">
        <f>_xlfn.IFNA(VLOOKUP($F145,tblInfluence[],4,FALSE),"")</f>
        <v/>
      </c>
      <c r="Y145" s="15" t="s">
        <v>187</v>
      </c>
      <c r="Z145" s="19"/>
      <c r="AA145" s="61" t="str">
        <f t="shared" si="22"/>
        <v/>
      </c>
      <c r="AC145" s="60"/>
      <c r="AD145" s="20"/>
      <c r="AE145" s="20" t="str">
        <f t="shared" si="23"/>
        <v/>
      </c>
      <c r="AF145" s="61" t="str" cm="1">
        <f t="array" ref="AF145">IF(AC145="","",SUMPRODUCT(($F$138:$F$157=AC145)*($G$138:$G$157=IF(AD145="","",AD145))*$P$138:$P$157))</f>
        <v/>
      </c>
    </row>
    <row r="146" spans="1:32">
      <c r="A146" s="1" t="s">
        <v>145</v>
      </c>
      <c r="B146" t="str">
        <f t="shared" si="26"/>
        <v>¬</v>
      </c>
      <c r="D146" s="19"/>
      <c r="E146" s="15" t="s">
        <v>184</v>
      </c>
      <c r="F146" s="3"/>
      <c r="G146" s="3" t="str">
        <f>IFERROR(VLOOKUP(F146,tblManoeuvre[],2,FALSE)&amp;" "&amp;VLOOKUP(F146,tblManoeuvre[],3,FALSE),"")</f>
        <v/>
      </c>
      <c r="H146" s="67" t="str">
        <f>IFERROR(IF(VLOOKUP(F146,tblManoeuvre[],8,FALSE)=0,"None",VLOOKUP(F146,tblManoeuvre[],8,FALSE)),"None")</f>
        <v>None</v>
      </c>
      <c r="I146" s="67"/>
      <c r="L146" s="4"/>
      <c r="M146" s="4"/>
      <c r="N146" s="4"/>
      <c r="O146" s="61">
        <f t="shared" si="24"/>
        <v>0</v>
      </c>
      <c r="P146" s="60">
        <f t="shared" si="25"/>
        <v>0</v>
      </c>
      <c r="Q146" s="61" t="str">
        <f>_xlfn.IFNA(VLOOKUP($F146,tblInfluence[],3,FALSE),"")</f>
        <v/>
      </c>
      <c r="R146" s="61" t="str">
        <f>_xlfn.IFNA(VLOOKUP($F146,tblInfluence[],4,FALSE),"")</f>
        <v/>
      </c>
      <c r="Y146" s="15" t="s">
        <v>188</v>
      </c>
      <c r="Z146" s="19"/>
      <c r="AA146" s="61" t="str">
        <f t="shared" si="22"/>
        <v/>
      </c>
      <c r="AC146" s="60"/>
      <c r="AD146" s="20"/>
      <c r="AE146" s="20" t="str">
        <f t="shared" si="23"/>
        <v/>
      </c>
      <c r="AF146" s="61" t="str" cm="1">
        <f t="array" ref="AF146">IF(AC146="","",SUMPRODUCT(($F$138:$F$157=AC146)*($G$138:$G$157=IF(AD146="","",AD146))*$P$138:$P$157))</f>
        <v/>
      </c>
    </row>
    <row r="147" spans="1:32">
      <c r="A147" s="1" t="s">
        <v>146</v>
      </c>
      <c r="B147" t="str">
        <f t="shared" si="26"/>
        <v>¬</v>
      </c>
      <c r="D147" s="19"/>
      <c r="E147" s="15" t="s">
        <v>185</v>
      </c>
      <c r="F147" s="3"/>
      <c r="G147" s="3" t="str">
        <f>IFERROR(VLOOKUP(F147,tblManoeuvre[],2,FALSE)&amp;" "&amp;VLOOKUP(F147,tblManoeuvre[],3,FALSE),"")</f>
        <v/>
      </c>
      <c r="H147" s="67" t="str">
        <f>IFERROR(IF(VLOOKUP(F147,tblManoeuvre[],8,FALSE)=0,"None",VLOOKUP(F147,tblManoeuvre[],8,FALSE)),"None")</f>
        <v>None</v>
      </c>
      <c r="I147" s="67"/>
      <c r="L147" s="4"/>
      <c r="M147" s="4"/>
      <c r="N147" s="4"/>
      <c r="O147" s="61">
        <f t="shared" si="24"/>
        <v>0</v>
      </c>
      <c r="P147" s="60">
        <f t="shared" si="25"/>
        <v>0</v>
      </c>
      <c r="Q147" s="61" t="str">
        <f>_xlfn.IFNA(VLOOKUP($F147,tblInfluence[],3,FALSE),"")</f>
        <v/>
      </c>
      <c r="R147" s="61" t="str">
        <f>_xlfn.IFNA(VLOOKUP($F147,tblInfluence[],4,FALSE),"")</f>
        <v/>
      </c>
      <c r="Y147" s="15" t="s">
        <v>189</v>
      </c>
      <c r="Z147" s="19"/>
      <c r="AA147" s="61" t="str">
        <f t="shared" si="22"/>
        <v/>
      </c>
      <c r="AC147" s="60"/>
      <c r="AD147" s="20"/>
      <c r="AE147" s="20" t="str">
        <f t="shared" si="23"/>
        <v/>
      </c>
      <c r="AF147" s="61" t="str" cm="1">
        <f t="array" ref="AF147">IF(AC147="","",SUMPRODUCT(($F$138:$F$157=AC147)*($G$138:$G$157=IF(AD147="","",AD147))*$P$138:$P$157))</f>
        <v/>
      </c>
    </row>
    <row r="148" spans="1:32">
      <c r="A148" s="1" t="s">
        <v>147</v>
      </c>
      <c r="B148" t="str">
        <f t="shared" si="26"/>
        <v>¬</v>
      </c>
      <c r="D148" s="19"/>
      <c r="E148" s="15" t="s">
        <v>186</v>
      </c>
      <c r="F148" s="3"/>
      <c r="G148" s="3" t="str">
        <f>IFERROR(VLOOKUP(F148,tblManoeuvre[],2,FALSE)&amp;" "&amp;VLOOKUP(F148,tblManoeuvre[],3,FALSE),"")</f>
        <v/>
      </c>
      <c r="H148" s="67" t="str">
        <f>IFERROR(IF(VLOOKUP(F148,tblManoeuvre[],8,FALSE)=0,"None",VLOOKUP(F148,tblManoeuvre[],8,FALSE)),"None")</f>
        <v>None</v>
      </c>
      <c r="I148" s="67"/>
      <c r="L148" s="4"/>
      <c r="M148" s="4"/>
      <c r="N148" s="4"/>
      <c r="O148" s="61">
        <f t="shared" si="24"/>
        <v>0</v>
      </c>
      <c r="P148" s="60">
        <f t="shared" si="25"/>
        <v>0</v>
      </c>
      <c r="Q148" s="61" t="str">
        <f>_xlfn.IFNA(VLOOKUP($F148,tblInfluence[],3,FALSE),"")</f>
        <v/>
      </c>
      <c r="R148" s="61" t="str">
        <f>_xlfn.IFNA(VLOOKUP($F148,tblInfluence[],4,FALSE),"")</f>
        <v/>
      </c>
      <c r="Y148" s="15" t="s">
        <v>190</v>
      </c>
      <c r="Z148" s="19"/>
      <c r="AA148" s="61" t="str">
        <f t="shared" si="22"/>
        <v/>
      </c>
      <c r="AC148" s="60"/>
      <c r="AD148" s="20"/>
      <c r="AE148" s="20" t="str">
        <f t="shared" si="23"/>
        <v/>
      </c>
      <c r="AF148" s="61" t="str" cm="1">
        <f t="array" ref="AF148">IF(AC148="","",SUMPRODUCT(($F$138:$F$157=AC148)*($G$138:$G$157=IF(AD148="","",AD148))*$P$138:$P$157))</f>
        <v/>
      </c>
    </row>
    <row r="149" spans="1:32">
      <c r="A149" s="1" t="s">
        <v>148</v>
      </c>
      <c r="B149" t="str">
        <f t="shared" si="26"/>
        <v>¬</v>
      </c>
      <c r="D149" s="19"/>
      <c r="E149" s="15" t="s">
        <v>187</v>
      </c>
      <c r="F149" s="3"/>
      <c r="G149" s="3" t="str">
        <f>IFERROR(VLOOKUP(F149,tblManoeuvre[],2,FALSE)&amp;" "&amp;VLOOKUP(F149,tblManoeuvre[],3,FALSE),"")</f>
        <v/>
      </c>
      <c r="H149" s="67" t="str">
        <f>IFERROR(IF(VLOOKUP(F149,tblManoeuvre[],8,FALSE)=0,"None",VLOOKUP(F149,tblManoeuvre[],8,FALSE)),"None")</f>
        <v>None</v>
      </c>
      <c r="I149" s="67"/>
      <c r="L149" s="4"/>
      <c r="M149" s="4"/>
      <c r="N149" s="4"/>
      <c r="O149" s="61">
        <f t="shared" si="24"/>
        <v>0</v>
      </c>
      <c r="P149" s="60">
        <f t="shared" si="25"/>
        <v>0</v>
      </c>
      <c r="Q149" s="61" t="str">
        <f>_xlfn.IFNA(VLOOKUP($F149,tblInfluence[],3,FALSE),"")</f>
        <v/>
      </c>
      <c r="R149" s="61" t="str">
        <f>_xlfn.IFNA(VLOOKUP($F149,tblInfluence[],4,FALSE),"")</f>
        <v/>
      </c>
      <c r="Y149" s="15" t="s">
        <v>191</v>
      </c>
      <c r="Z149" s="19"/>
      <c r="AA149" s="61" t="str">
        <f t="shared" si="22"/>
        <v/>
      </c>
      <c r="AC149" s="60"/>
      <c r="AD149" s="20"/>
      <c r="AE149" s="20" t="str">
        <f t="shared" si="23"/>
        <v/>
      </c>
      <c r="AF149" s="61" t="str" cm="1">
        <f t="array" ref="AF149">IF(AC149="","",SUMPRODUCT(($F$138:$F$157=AC149)*($G$138:$G$157=IF(AD149="","",AD149))*$P$138:$P$157))</f>
        <v/>
      </c>
    </row>
    <row r="150" spans="1:32">
      <c r="A150" s="1" t="s">
        <v>149</v>
      </c>
      <c r="B150" t="str">
        <f t="shared" si="26"/>
        <v>¬</v>
      </c>
      <c r="D150" s="19"/>
      <c r="E150" s="15" t="s">
        <v>188</v>
      </c>
      <c r="F150" s="3"/>
      <c r="G150" s="3" t="str">
        <f>IFERROR(VLOOKUP(F150,tblManoeuvre[],2,FALSE)&amp;" "&amp;VLOOKUP(F150,tblManoeuvre[],3,FALSE),"")</f>
        <v/>
      </c>
      <c r="H150" s="67" t="str">
        <f>IFERROR(IF(VLOOKUP(F150,tblManoeuvre[],8,FALSE)=0,"None",VLOOKUP(F150,tblManoeuvre[],8,FALSE)),"None")</f>
        <v>None</v>
      </c>
      <c r="I150" s="67"/>
      <c r="L150" s="4"/>
      <c r="M150" s="4"/>
      <c r="N150" s="4"/>
      <c r="O150" s="61">
        <f t="shared" si="24"/>
        <v>0</v>
      </c>
      <c r="P150" s="60">
        <f t="shared" si="25"/>
        <v>0</v>
      </c>
      <c r="Q150" s="61" t="str">
        <f>_xlfn.IFNA(VLOOKUP($F150,tblInfluence[],3,FALSE),"")</f>
        <v/>
      </c>
      <c r="R150" s="61" t="str">
        <f>_xlfn.IFNA(VLOOKUP($F150,tblInfluence[],4,FALSE),"")</f>
        <v/>
      </c>
      <c r="Y150" s="15" t="s">
        <v>192</v>
      </c>
      <c r="Z150" s="19"/>
      <c r="AA150" s="61" t="str">
        <f t="shared" si="22"/>
        <v/>
      </c>
      <c r="AC150" s="60"/>
      <c r="AD150" s="20"/>
      <c r="AE150" s="20" t="str">
        <f t="shared" si="23"/>
        <v/>
      </c>
      <c r="AF150" s="61" t="str" cm="1">
        <f t="array" ref="AF150">IF(AC150="","",SUMPRODUCT(($F$138:$F$157=AC150)*($G$138:$G$157=IF(AD150="","",AD150))*$P$138:$P$157))</f>
        <v/>
      </c>
    </row>
    <row r="151" spans="1:32">
      <c r="A151" s="1" t="s">
        <v>150</v>
      </c>
      <c r="B151" t="str">
        <f t="shared" si="26"/>
        <v>¬</v>
      </c>
      <c r="D151" s="19"/>
      <c r="E151" s="15" t="s">
        <v>189</v>
      </c>
      <c r="F151" s="3"/>
      <c r="G151" s="3" t="str">
        <f>IFERROR(VLOOKUP(F151,tblManoeuvre[],2,FALSE)&amp;" "&amp;VLOOKUP(F151,tblManoeuvre[],3,FALSE),"")</f>
        <v/>
      </c>
      <c r="H151" s="67" t="str">
        <f>IFERROR(IF(VLOOKUP(F151,tblManoeuvre[],8,FALSE)=0,"None",VLOOKUP(F151,tblManoeuvre[],8,FALSE)),"None")</f>
        <v>None</v>
      </c>
      <c r="I151" s="67"/>
      <c r="L151" s="4"/>
      <c r="M151" s="4"/>
      <c r="N151" s="4"/>
      <c r="O151" s="61">
        <f t="shared" si="24"/>
        <v>0</v>
      </c>
      <c r="P151" s="60">
        <f t="shared" si="25"/>
        <v>0</v>
      </c>
      <c r="Q151" s="61" t="str">
        <f>_xlfn.IFNA(VLOOKUP($F151,tblInfluence[],3,FALSE),"")</f>
        <v/>
      </c>
      <c r="R151" s="61" t="str">
        <f>_xlfn.IFNA(VLOOKUP($F151,tblInfluence[],4,FALSE),"")</f>
        <v/>
      </c>
      <c r="Y151" s="15" t="s">
        <v>193</v>
      </c>
      <c r="Z151" s="19"/>
      <c r="AA151" s="61" t="str">
        <f t="shared" si="22"/>
        <v/>
      </c>
      <c r="AC151" s="60"/>
      <c r="AD151" s="20"/>
      <c r="AE151" s="20" t="str">
        <f t="shared" si="23"/>
        <v/>
      </c>
      <c r="AF151" s="61" t="str" cm="1">
        <f t="array" ref="AF151">IF(AC151="","",SUMPRODUCT(($F$138:$F$157=AC151)*($G$138:$G$157=IF(AD151="","",AD151))*$P$138:$P$157))</f>
        <v/>
      </c>
    </row>
    <row r="152" spans="1:32">
      <c r="A152" s="1" t="s">
        <v>151</v>
      </c>
      <c r="B152" t="str">
        <f t="shared" si="26"/>
        <v>¬</v>
      </c>
      <c r="D152" s="19"/>
      <c r="E152" s="15" t="s">
        <v>190</v>
      </c>
      <c r="F152" s="3"/>
      <c r="G152" s="3" t="str">
        <f>IFERROR(VLOOKUP(F152,tblManoeuvre[],2,FALSE)&amp;" "&amp;VLOOKUP(F152,tblManoeuvre[],3,FALSE),"")</f>
        <v/>
      </c>
      <c r="H152" s="67" t="str">
        <f>IFERROR(IF(VLOOKUP(F152,tblManoeuvre[],8,FALSE)=0,"None",VLOOKUP(F152,tblManoeuvre[],8,FALSE)),"None")</f>
        <v>None</v>
      </c>
      <c r="I152" s="67"/>
      <c r="L152" s="4"/>
      <c r="M152" s="4"/>
      <c r="N152" s="4"/>
      <c r="O152" s="61">
        <f t="shared" si="24"/>
        <v>0</v>
      </c>
      <c r="P152" s="60">
        <f t="shared" si="25"/>
        <v>0</v>
      </c>
      <c r="Q152" s="61" t="str">
        <f>_xlfn.IFNA(VLOOKUP($F152,tblInfluence[],3,FALSE),"")</f>
        <v/>
      </c>
      <c r="R152" s="61" t="str">
        <f>_xlfn.IFNA(VLOOKUP($F152,tblInfluence[],4,FALSE),"")</f>
        <v/>
      </c>
      <c r="Y152" s="15" t="s">
        <v>194</v>
      </c>
      <c r="Z152" s="19"/>
      <c r="AA152" s="61" t="str">
        <f t="shared" si="22"/>
        <v/>
      </c>
      <c r="AC152" s="60"/>
      <c r="AD152" s="20"/>
      <c r="AE152" s="20" t="str">
        <f t="shared" si="23"/>
        <v/>
      </c>
      <c r="AF152" s="61" t="str" cm="1">
        <f t="array" ref="AF152">IF(AC152="","",SUMPRODUCT(($F$138:$F$157=AC152)*($G$138:$G$157=IF(AD152="","",AD152))*$P$138:$P$157))</f>
        <v/>
      </c>
    </row>
    <row r="153" spans="1:32">
      <c r="A153" s="1" t="s">
        <v>152</v>
      </c>
      <c r="B153" t="str">
        <f t="shared" si="26"/>
        <v>¬</v>
      </c>
      <c r="D153" s="19"/>
      <c r="E153" s="15" t="s">
        <v>191</v>
      </c>
      <c r="F153" s="3"/>
      <c r="G153" s="3" t="str">
        <f>IFERROR(VLOOKUP(F153,tblManoeuvre[],2,FALSE)&amp;" "&amp;VLOOKUP(F153,tblManoeuvre[],3,FALSE),"")</f>
        <v/>
      </c>
      <c r="H153" s="67" t="str">
        <f>IFERROR(IF(VLOOKUP(F153,tblManoeuvre[],8,FALSE)=0,"None",VLOOKUP(F153,tblManoeuvre[],8,FALSE)),"None")</f>
        <v>None</v>
      </c>
      <c r="I153" s="67"/>
      <c r="L153" s="4"/>
      <c r="M153" s="4"/>
      <c r="N153" s="4"/>
      <c r="O153" s="61">
        <f t="shared" si="24"/>
        <v>0</v>
      </c>
      <c r="P153" s="60">
        <f t="shared" si="25"/>
        <v>0</v>
      </c>
      <c r="Q153" s="61" t="str">
        <f>_xlfn.IFNA(VLOOKUP($F153,tblInfluence[],3,FALSE),"")</f>
        <v/>
      </c>
      <c r="R153" s="61" t="str">
        <f>_xlfn.IFNA(VLOOKUP($F153,tblInfluence[],4,FALSE),"")</f>
        <v/>
      </c>
      <c r="Y153" s="15" t="s">
        <v>195</v>
      </c>
      <c r="Z153" s="19"/>
      <c r="AA153" s="61" t="str">
        <f t="shared" si="22"/>
        <v/>
      </c>
      <c r="AC153" s="60"/>
      <c r="AD153" s="20"/>
      <c r="AE153" s="20" t="str">
        <f t="shared" si="23"/>
        <v/>
      </c>
      <c r="AF153" s="61" t="str" cm="1">
        <f t="array" ref="AF153">IF(AC153="","",SUMPRODUCT(($F$138:$F$157=AC153)*($G$138:$G$157=IF(AD153="","",AD153))*$P$138:$P$157))</f>
        <v/>
      </c>
    </row>
    <row r="154" spans="1:32">
      <c r="A154" s="1" t="s">
        <v>153</v>
      </c>
      <c r="B154" t="str">
        <f t="shared" si="26"/>
        <v>¬</v>
      </c>
      <c r="D154" s="19"/>
      <c r="E154" s="15" t="s">
        <v>192</v>
      </c>
      <c r="F154" s="3"/>
      <c r="G154" s="3" t="str">
        <f>IFERROR(VLOOKUP(F154,tblManoeuvre[],2,FALSE)&amp;" "&amp;VLOOKUP(F154,tblManoeuvre[],3,FALSE),"")</f>
        <v/>
      </c>
      <c r="H154" s="67" t="str">
        <f>IFERROR(IF(VLOOKUP(F154,tblManoeuvre[],8,FALSE)=0,"None",VLOOKUP(F154,tblManoeuvre[],8,FALSE)),"None")</f>
        <v>None</v>
      </c>
      <c r="I154" s="67"/>
      <c r="L154" s="4"/>
      <c r="M154" s="4"/>
      <c r="N154" s="4"/>
      <c r="O154" s="61">
        <f t="shared" si="24"/>
        <v>0</v>
      </c>
      <c r="P154" s="60">
        <f t="shared" si="25"/>
        <v>0</v>
      </c>
      <c r="Q154" s="61" t="str">
        <f>_xlfn.IFNA(VLOOKUP($F154,tblInfluence[],3,FALSE),"")</f>
        <v/>
      </c>
      <c r="R154" s="61" t="str">
        <f>_xlfn.IFNA(VLOOKUP($F154,tblInfluence[],4,FALSE),"")</f>
        <v/>
      </c>
    </row>
    <row r="155" spans="1:32">
      <c r="A155" s="1" t="s">
        <v>154</v>
      </c>
      <c r="B155" t="str">
        <f t="shared" si="26"/>
        <v>¬</v>
      </c>
      <c r="D155" s="19"/>
      <c r="E155" s="15" t="s">
        <v>193</v>
      </c>
      <c r="F155" s="3"/>
      <c r="G155" s="3" t="str">
        <f>IFERROR(VLOOKUP(F155,tblManoeuvre[],2,FALSE)&amp;" "&amp;VLOOKUP(F155,tblManoeuvre[],3,FALSE),"")</f>
        <v/>
      </c>
      <c r="H155" s="67" t="str">
        <f>IFERROR(IF(VLOOKUP(F155,tblManoeuvre[],8,FALSE)=0,"None",VLOOKUP(F155,tblManoeuvre[],8,FALSE)),"None")</f>
        <v>None</v>
      </c>
      <c r="I155" s="67"/>
      <c r="L155" s="4"/>
      <c r="M155" s="4"/>
      <c r="N155" s="4"/>
      <c r="O155" s="61">
        <f t="shared" si="24"/>
        <v>0</v>
      </c>
      <c r="P155" s="60">
        <f t="shared" si="25"/>
        <v>0</v>
      </c>
      <c r="Q155" s="61" t="str">
        <f>_xlfn.IFNA(VLOOKUP($F155,tblInfluence[],3,FALSE),"")</f>
        <v/>
      </c>
      <c r="R155" s="61" t="str">
        <f>_xlfn.IFNA(VLOOKUP($F155,tblInfluence[],4,FALSE),"")</f>
        <v/>
      </c>
      <c r="AE155" s="61">
        <f>IF(P160=5,1,0)</f>
        <v>0</v>
      </c>
    </row>
    <row r="156" spans="1:32">
      <c r="A156" s="1" t="s">
        <v>155</v>
      </c>
      <c r="B156" t="str">
        <f t="shared" si="26"/>
        <v>¬</v>
      </c>
      <c r="D156" s="19"/>
      <c r="E156" s="15" t="s">
        <v>194</v>
      </c>
      <c r="F156" s="3"/>
      <c r="G156" s="3" t="str">
        <f>IFERROR(VLOOKUP(F156,tblManoeuvre[],2,FALSE)&amp;" "&amp;VLOOKUP(F156,tblManoeuvre[],3,FALSE),"")</f>
        <v/>
      </c>
      <c r="H156" s="67" t="str">
        <f>IFERROR(IF(VLOOKUP(F156,tblManoeuvre[],8,FALSE)=0,"None",VLOOKUP(F156,tblManoeuvre[],8,FALSE)),"None")</f>
        <v>None</v>
      </c>
      <c r="I156" s="67"/>
      <c r="L156" s="4"/>
      <c r="M156" s="4"/>
      <c r="N156" s="4"/>
      <c r="O156" s="61">
        <f t="shared" si="24"/>
        <v>0</v>
      </c>
      <c r="P156" s="60">
        <f t="shared" si="25"/>
        <v>0</v>
      </c>
      <c r="Q156" s="61" t="str">
        <f>_xlfn.IFNA(VLOOKUP($F156,tblInfluence[],3,FALSE),"")</f>
        <v/>
      </c>
      <c r="R156" s="61" t="str">
        <f>_xlfn.IFNA(VLOOKUP($F156,tblInfluence[],4,FALSE),"")</f>
        <v/>
      </c>
      <c r="AE156" s="61" t="b">
        <f>COUNTIF(AA2:AA21,"*Honey With Vinegar*")&gt;0</f>
        <v>0</v>
      </c>
    </row>
    <row r="157" spans="1:32">
      <c r="A157" s="1" t="s">
        <v>156</v>
      </c>
      <c r="B157" t="str">
        <f t="shared" si="26"/>
        <v>¬</v>
      </c>
      <c r="D157" s="19"/>
      <c r="E157" s="15" t="s">
        <v>195</v>
      </c>
      <c r="F157" s="3"/>
      <c r="G157" s="3" t="str">
        <f>IFERROR(VLOOKUP(F157,tblManoeuvre[],2,FALSE)&amp;" "&amp;VLOOKUP(F157,tblManoeuvre[],3,FALSE),"")</f>
        <v/>
      </c>
      <c r="H157" s="67" t="str">
        <f>IFERROR(IF(VLOOKUP(F157,tblManoeuvre[],8,FALSE)=0,"None",VLOOKUP(F157,tblManoeuvre[],8,FALSE)),"None")</f>
        <v>None</v>
      </c>
      <c r="I157" s="67"/>
      <c r="L157" s="4"/>
      <c r="M157" s="4"/>
      <c r="N157" s="4"/>
      <c r="O157" s="61">
        <f t="shared" si="24"/>
        <v>0</v>
      </c>
      <c r="P157" s="60">
        <f t="shared" si="25"/>
        <v>0</v>
      </c>
      <c r="Q157" s="61" t="str">
        <f>_xlfn.IFNA(VLOOKUP($F157,tblInfluence[],3,FALSE),"")</f>
        <v/>
      </c>
      <c r="R157" s="61" t="str">
        <f>_xlfn.IFNA(VLOOKUP($F157,tblInfluence[],4,FALSE),"")</f>
        <v/>
      </c>
    </row>
    <row r="158" spans="1:32">
      <c r="A158" s="1" t="s">
        <v>157</v>
      </c>
      <c r="B158" t="str">
        <f t="shared" si="26"/>
        <v>¬</v>
      </c>
    </row>
    <row r="159" spans="1:32">
      <c r="A159" s="1" t="s">
        <v>158</v>
      </c>
      <c r="B159" t="str">
        <f t="shared" si="26"/>
        <v>¬</v>
      </c>
      <c r="D159" s="16" t="s">
        <v>1486</v>
      </c>
      <c r="E159" s="17"/>
      <c r="F159" s="17" t="s">
        <v>1487</v>
      </c>
      <c r="G159" s="17"/>
      <c r="H159" s="17"/>
      <c r="I159" s="17"/>
    </row>
    <row r="160" spans="1:32">
      <c r="A160" s="1" t="s">
        <v>159</v>
      </c>
      <c r="B160" t="str">
        <f t="shared" si="26"/>
        <v>¬</v>
      </c>
      <c r="D160" s="19"/>
      <c r="E160" s="15" t="s">
        <v>98</v>
      </c>
      <c r="F160" s="3"/>
      <c r="G160" s="60"/>
      <c r="H160" s="60"/>
      <c r="I160" s="60"/>
      <c r="L160" s="4"/>
      <c r="M160" s="4"/>
      <c r="N160" s="4"/>
      <c r="O160" s="61">
        <f>N160</f>
        <v>0</v>
      </c>
      <c r="P160" s="60">
        <f>MIN(SUM(L160,M160,O160),R160)</f>
        <v>0</v>
      </c>
      <c r="Q160" s="61">
        <v>1</v>
      </c>
      <c r="R160" s="61">
        <v>5</v>
      </c>
    </row>
    <row r="161" spans="1:18">
      <c r="A161" s="1" t="s">
        <v>160</v>
      </c>
      <c r="B161" t="str">
        <f t="shared" si="26"/>
        <v>¬</v>
      </c>
      <c r="D161" s="19"/>
      <c r="E161" s="15" t="s">
        <v>100</v>
      </c>
      <c r="F161" s="3"/>
      <c r="G161" s="60"/>
      <c r="H161" s="60"/>
      <c r="I161" s="60"/>
      <c r="L161" s="4"/>
      <c r="M161" s="4"/>
      <c r="N161" s="4"/>
      <c r="O161" s="61">
        <f>N161</f>
        <v>0</v>
      </c>
      <c r="P161" s="60">
        <f>MIN(SUM(L161,M161,O161),R161)</f>
        <v>0</v>
      </c>
      <c r="Q161" s="61">
        <v>1</v>
      </c>
      <c r="R161" s="61">
        <v>5</v>
      </c>
    </row>
    <row r="162" spans="1:18">
      <c r="A162" s="1" t="s">
        <v>161</v>
      </c>
      <c r="B162" t="str">
        <f t="shared" si="26"/>
        <v>¬</v>
      </c>
    </row>
    <row r="163" spans="1:18">
      <c r="A163" s="1" t="s">
        <v>162</v>
      </c>
      <c r="B163" t="str">
        <f t="shared" si="26"/>
        <v>¬</v>
      </c>
      <c r="D163" s="14" t="s">
        <v>1488</v>
      </c>
      <c r="E163" s="14"/>
      <c r="F163" s="14"/>
      <c r="G163" s="14"/>
      <c r="H163" s="14"/>
      <c r="I163" s="14"/>
      <c r="N163" s="60">
        <f>SUM(N165:N174)+SUM(N177:N181)+SUM(N184:N185)+SUM(N187:N191)+SUM(N194:N203)</f>
        <v>8</v>
      </c>
    </row>
    <row r="164" spans="1:18">
      <c r="A164" s="1" t="s">
        <v>163</v>
      </c>
      <c r="B164" t="str">
        <f t="shared" si="26"/>
        <v>¬</v>
      </c>
      <c r="D164" s="16" t="s">
        <v>1489</v>
      </c>
      <c r="E164" s="15" t="s">
        <v>1490</v>
      </c>
      <c r="F164" s="61" t="str">
        <f>IFERROR(IF($F$8="",VLOOKUP($F$7,tblClans[],5,FALSE),VLOOKUP($F$8,tblBloodlines[],5,FALSE)),"")</f>
        <v>Nightmare</v>
      </c>
      <c r="G164" s="61" t="str">
        <f>IFERROR(IF($F$8="",VLOOKUP($F$7,tblClans[],6,FALSE),VLOOKUP($F$8,tblBloodlines[],6,FALSE)),"")</f>
        <v>Obfuscate</v>
      </c>
      <c r="H164" s="61" t="str">
        <f>IFERROR(IF($F$8="",VLOOKUP($F$7,tblClans[],7,FALSE),VLOOKUP($F$8,tblBloodlines[],7,FALSE)),"")</f>
        <v>Vigour</v>
      </c>
      <c r="I164" s="61" t="str">
        <f>IFERROR(IF($F$8="",VLOOKUP($F$7,tblClans[],8,FALSE),VLOOKUP($F$8,tblBloodlines[],8,FALSE)),"")</f>
        <v/>
      </c>
      <c r="L164" s="60">
        <f>3-SUM(L165:L174)-SUM(L184:L185)</f>
        <v>0</v>
      </c>
    </row>
    <row r="165" spans="1:18">
      <c r="A165" s="1" t="s">
        <v>164</v>
      </c>
      <c r="B165" t="str">
        <f t="shared" si="26"/>
        <v>¬</v>
      </c>
      <c r="D165" s="19"/>
      <c r="E165" s="15" t="s">
        <v>236</v>
      </c>
      <c r="F165" s="19"/>
      <c r="G165" s="19"/>
      <c r="H165" s="19"/>
      <c r="I165" s="19"/>
      <c r="L165" s="4"/>
      <c r="N165" s="4"/>
      <c r="O165" s="61">
        <f t="shared" ref="O165:O174" si="27">ROUNDDOWN(IF(COUNTIF($F$164:$I$164,$E165)&gt;0,N165/3,N165/4),0)</f>
        <v>0</v>
      </c>
      <c r="P165" s="60">
        <f>MIN(SUM(L165,O165),R165)</f>
        <v>0</v>
      </c>
      <c r="Q165" s="61">
        <v>0</v>
      </c>
      <c r="R165" s="61">
        <v>5</v>
      </c>
    </row>
    <row r="166" spans="1:18">
      <c r="A166" s="1" t="s">
        <v>165</v>
      </c>
      <c r="B166" t="str">
        <f t="shared" si="26"/>
        <v>¬</v>
      </c>
      <c r="D166" s="19"/>
      <c r="E166" s="15" t="s">
        <v>237</v>
      </c>
      <c r="F166" s="19"/>
      <c r="G166" s="19"/>
      <c r="H166" s="19"/>
      <c r="I166" s="19"/>
      <c r="L166" s="4"/>
      <c r="N166" s="4"/>
      <c r="O166" s="61">
        <f t="shared" si="27"/>
        <v>0</v>
      </c>
      <c r="P166" s="60">
        <f t="shared" ref="P166:P174" si="28">MIN(SUM(L166,O166),R166)</f>
        <v>0</v>
      </c>
      <c r="Q166" s="61">
        <v>0</v>
      </c>
      <c r="R166" s="61">
        <v>5</v>
      </c>
    </row>
    <row r="167" spans="1:18">
      <c r="A167" s="1" t="s">
        <v>166</v>
      </c>
      <c r="B167" t="str">
        <f t="shared" si="26"/>
        <v>¬</v>
      </c>
      <c r="D167" s="19"/>
      <c r="E167" s="15" t="s">
        <v>238</v>
      </c>
      <c r="F167" s="19"/>
      <c r="G167" s="19"/>
      <c r="H167" s="19"/>
      <c r="I167" s="19"/>
      <c r="L167" s="4">
        <v>1</v>
      </c>
      <c r="N167" s="4"/>
      <c r="O167" s="61">
        <f t="shared" si="27"/>
        <v>0</v>
      </c>
      <c r="P167" s="60">
        <f t="shared" si="28"/>
        <v>1</v>
      </c>
      <c r="Q167" s="61">
        <v>0</v>
      </c>
      <c r="R167" s="61">
        <v>5</v>
      </c>
    </row>
    <row r="168" spans="1:18">
      <c r="A168" s="1" t="s">
        <v>167</v>
      </c>
      <c r="B168" t="str">
        <f t="shared" si="26"/>
        <v>¬</v>
      </c>
      <c r="D168" s="19"/>
      <c r="E168" s="15" t="s">
        <v>239</v>
      </c>
      <c r="F168" s="19"/>
      <c r="G168" s="19"/>
      <c r="H168" s="19"/>
      <c r="I168" s="19"/>
      <c r="L168" s="4"/>
      <c r="N168" s="4"/>
      <c r="O168" s="61">
        <f t="shared" si="27"/>
        <v>0</v>
      </c>
      <c r="P168" s="60">
        <f t="shared" si="28"/>
        <v>0</v>
      </c>
      <c r="Q168" s="61">
        <v>0</v>
      </c>
      <c r="R168" s="61">
        <v>5</v>
      </c>
    </row>
    <row r="169" spans="1:18">
      <c r="A169" s="1" t="s">
        <v>168</v>
      </c>
      <c r="B169" t="str">
        <f t="shared" si="26"/>
        <v>¬</v>
      </c>
      <c r="D169" s="19"/>
      <c r="E169" s="15" t="s">
        <v>240</v>
      </c>
      <c r="F169" s="19"/>
      <c r="G169" s="19"/>
      <c r="H169" s="19"/>
      <c r="I169" s="19"/>
      <c r="L169" s="4"/>
      <c r="N169" s="4"/>
      <c r="O169" s="61">
        <f t="shared" si="27"/>
        <v>0</v>
      </c>
      <c r="P169" s="60">
        <f t="shared" si="28"/>
        <v>0</v>
      </c>
      <c r="Q169" s="61">
        <v>0</v>
      </c>
      <c r="R169" s="61">
        <v>5</v>
      </c>
    </row>
    <row r="170" spans="1:18">
      <c r="A170" s="1" t="s">
        <v>169</v>
      </c>
      <c r="B170" t="str">
        <f t="shared" si="26"/>
        <v>¬</v>
      </c>
      <c r="D170" s="19"/>
      <c r="E170" s="15" t="s">
        <v>241</v>
      </c>
      <c r="F170" s="19"/>
      <c r="G170" s="19"/>
      <c r="H170" s="19"/>
      <c r="I170" s="19"/>
      <c r="L170" s="4"/>
      <c r="N170" s="4">
        <v>3</v>
      </c>
      <c r="O170" s="61">
        <f t="shared" si="27"/>
        <v>1</v>
      </c>
      <c r="P170" s="60">
        <f t="shared" si="28"/>
        <v>1</v>
      </c>
      <c r="Q170" s="61">
        <v>0</v>
      </c>
      <c r="R170" s="61">
        <v>5</v>
      </c>
    </row>
    <row r="171" spans="1:18">
      <c r="A171" s="1" t="s">
        <v>170</v>
      </c>
      <c r="B171" t="str">
        <f t="shared" si="26"/>
        <v>¬</v>
      </c>
      <c r="D171" s="19"/>
      <c r="E171" s="15" t="s">
        <v>242</v>
      </c>
      <c r="F171" s="19"/>
      <c r="G171" s="19"/>
      <c r="H171" s="19"/>
      <c r="I171" s="19"/>
      <c r="L171" s="4">
        <v>2</v>
      </c>
      <c r="N171" s="4">
        <v>3</v>
      </c>
      <c r="O171" s="61">
        <f t="shared" si="27"/>
        <v>1</v>
      </c>
      <c r="P171" s="60">
        <f t="shared" si="28"/>
        <v>3</v>
      </c>
      <c r="Q171" s="61">
        <v>0</v>
      </c>
      <c r="R171" s="61">
        <v>5</v>
      </c>
    </row>
    <row r="172" spans="1:18">
      <c r="A172" s="1" t="s">
        <v>171</v>
      </c>
      <c r="B172" t="str">
        <f t="shared" si="26"/>
        <v>¬</v>
      </c>
      <c r="D172" s="19"/>
      <c r="E172" s="15" t="s">
        <v>243</v>
      </c>
      <c r="F172" s="19"/>
      <c r="G172" s="19"/>
      <c r="H172" s="19"/>
      <c r="I172" s="19"/>
      <c r="L172" s="4"/>
      <c r="N172" s="4"/>
      <c r="O172" s="61">
        <f t="shared" si="27"/>
        <v>0</v>
      </c>
      <c r="P172" s="60">
        <f t="shared" si="28"/>
        <v>0</v>
      </c>
      <c r="Q172" s="61">
        <v>0</v>
      </c>
      <c r="R172" s="61">
        <v>5</v>
      </c>
    </row>
    <row r="173" spans="1:18">
      <c r="A173" s="1" t="s">
        <v>172</v>
      </c>
      <c r="B173" t="str">
        <f t="shared" si="26"/>
        <v>¬</v>
      </c>
      <c r="D173" s="19"/>
      <c r="E173" s="15" t="s">
        <v>244</v>
      </c>
      <c r="F173" s="19"/>
      <c r="G173" s="19"/>
      <c r="H173" s="19"/>
      <c r="I173" s="19"/>
      <c r="L173" s="4"/>
      <c r="N173" s="4"/>
      <c r="O173" s="61">
        <f t="shared" si="27"/>
        <v>0</v>
      </c>
      <c r="P173" s="60">
        <f t="shared" si="28"/>
        <v>0</v>
      </c>
      <c r="Q173" s="61">
        <v>0</v>
      </c>
      <c r="R173" s="61">
        <v>5</v>
      </c>
    </row>
    <row r="174" spans="1:18">
      <c r="A174" s="1" t="s">
        <v>173</v>
      </c>
      <c r="B174" t="str">
        <f t="shared" si="26"/>
        <v>¬</v>
      </c>
      <c r="D174" s="19"/>
      <c r="E174" s="15" t="s">
        <v>245</v>
      </c>
      <c r="F174" s="19"/>
      <c r="G174" s="19"/>
      <c r="H174" s="19"/>
      <c r="I174" s="19"/>
      <c r="L174" s="4"/>
      <c r="N174" s="4"/>
      <c r="O174" s="61">
        <f t="shared" si="27"/>
        <v>0</v>
      </c>
      <c r="P174" s="60">
        <f t="shared" si="28"/>
        <v>0</v>
      </c>
      <c r="Q174" s="61">
        <v>0</v>
      </c>
      <c r="R174" s="61">
        <v>5</v>
      </c>
    </row>
    <row r="175" spans="1:18">
      <c r="A175" s="1" t="s">
        <v>174</v>
      </c>
      <c r="B175" t="str">
        <f>_xlfn.CONCAT(I137-H137," / ",I137)</f>
        <v>0 / 0</v>
      </c>
    </row>
    <row r="176" spans="1:18">
      <c r="A176" s="1" t="s">
        <v>175</v>
      </c>
      <c r="B176" t="str">
        <f>REPT("□",I137-H137) &amp; REPT("■",H137)</f>
        <v/>
      </c>
      <c r="D176" s="16" t="s">
        <v>1491</v>
      </c>
      <c r="E176" s="16"/>
      <c r="F176" s="16"/>
      <c r="G176" s="16"/>
      <c r="H176" s="16"/>
      <c r="I176" s="16"/>
    </row>
    <row r="177" spans="1:18">
      <c r="A177" s="1" t="s">
        <v>176</v>
      </c>
      <c r="B177" t="str">
        <f t="shared" ref="B177:B196" si="29">IF(AC134="","¬",AC134)</f>
        <v>¬</v>
      </c>
      <c r="D177" s="19"/>
      <c r="E177" s="15" t="s">
        <v>1492</v>
      </c>
      <c r="F177" s="3" t="s">
        <v>1754</v>
      </c>
      <c r="G177" s="19"/>
      <c r="H177" s="72" t="str">
        <f>IFERROR(IF(VLOOKUP(F177,tblDisciplines[],14,FALSE)=0,"None",VLOOKUP(F177,tblDisciplines[],14,FALSE)),"None")</f>
        <v>Obfs 3, Nigh 1</v>
      </c>
      <c r="I177" s="73"/>
      <c r="N177" s="4">
        <v>2</v>
      </c>
      <c r="O177" s="61">
        <f>N177</f>
        <v>2</v>
      </c>
      <c r="P177" s="60">
        <f>IF(O177=R177,O177,"")</f>
        <v>2</v>
      </c>
      <c r="R177" s="61">
        <f>_xlfn.IFNA(VLOOKUP(F177,tblDisciplines[],15,FALSE),"")</f>
        <v>2</v>
      </c>
    </row>
    <row r="178" spans="1:18">
      <c r="A178" s="1" t="s">
        <v>177</v>
      </c>
      <c r="B178" t="str">
        <f t="shared" si="29"/>
        <v>¬</v>
      </c>
      <c r="D178" s="19"/>
      <c r="E178" s="15" t="s">
        <v>1493</v>
      </c>
      <c r="F178" s="3"/>
      <c r="G178" s="19"/>
      <c r="H178" s="72" t="str">
        <f>IFERROR(IF(VLOOKUP(F178,tblDisciplines[],14,FALSE)=0,"None",VLOOKUP(F178,tblDisciplines[],14,FALSE)),"None")</f>
        <v>None</v>
      </c>
      <c r="I178" s="73"/>
      <c r="N178" s="4"/>
      <c r="O178" s="61">
        <f>N178</f>
        <v>0</v>
      </c>
      <c r="P178" s="60" t="str">
        <f>IF(O178=R178,O178,"")</f>
        <v/>
      </c>
      <c r="R178" s="61" t="str">
        <f>_xlfn.IFNA(VLOOKUP(F178,tblDisciplines[],15,FALSE),"")</f>
        <v/>
      </c>
    </row>
    <row r="179" spans="1:18">
      <c r="A179" s="1" t="s">
        <v>178</v>
      </c>
      <c r="B179" t="str">
        <f t="shared" si="29"/>
        <v>¬</v>
      </c>
      <c r="D179" s="19"/>
      <c r="E179" s="15" t="s">
        <v>1494</v>
      </c>
      <c r="F179" s="3"/>
      <c r="G179" s="19"/>
      <c r="H179" s="72" t="str">
        <f>IFERROR(IF(VLOOKUP(F179,tblDisciplines[],14,FALSE)=0,"None",VLOOKUP(F179,tblDisciplines[],14,FALSE)),"None")</f>
        <v>None</v>
      </c>
      <c r="I179" s="73"/>
      <c r="N179" s="4"/>
      <c r="O179" s="61">
        <f>N179</f>
        <v>0</v>
      </c>
      <c r="P179" s="60" t="str">
        <f>IF(O179=R179,O179,"")</f>
        <v/>
      </c>
      <c r="R179" s="61" t="str">
        <f>_xlfn.IFNA(VLOOKUP(F179,tblDisciplines[],15,FALSE),"")</f>
        <v/>
      </c>
    </row>
    <row r="180" spans="1:18">
      <c r="A180" s="1" t="s">
        <v>179</v>
      </c>
      <c r="B180" t="str">
        <f t="shared" si="29"/>
        <v>¬</v>
      </c>
      <c r="D180" s="19"/>
      <c r="E180" s="15" t="s">
        <v>1495</v>
      </c>
      <c r="F180" s="3"/>
      <c r="G180" s="19"/>
      <c r="H180" s="72" t="str">
        <f>IFERROR(IF(VLOOKUP(F180,tblDisciplines[],14,FALSE)=0,"None",VLOOKUP(F180,tblDisciplines[],14,FALSE)),"None")</f>
        <v>None</v>
      </c>
      <c r="I180" s="73"/>
      <c r="N180" s="4"/>
      <c r="O180" s="61">
        <f>N180</f>
        <v>0</v>
      </c>
      <c r="P180" s="60" t="str">
        <f>IF(O180=R180,O180,"")</f>
        <v/>
      </c>
      <c r="R180" s="61" t="str">
        <f>_xlfn.IFNA(VLOOKUP(F180,tblDisciplines[],15,FALSE),"")</f>
        <v/>
      </c>
    </row>
    <row r="181" spans="1:18">
      <c r="A181" s="1" t="s">
        <v>180</v>
      </c>
      <c r="B181" t="str">
        <f t="shared" si="29"/>
        <v>¬</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29"/>
        <v>¬</v>
      </c>
    </row>
    <row r="183" spans="1:18">
      <c r="A183" s="1" t="s">
        <v>182</v>
      </c>
      <c r="B183" t="str">
        <f t="shared" si="29"/>
        <v>¬</v>
      </c>
      <c r="D183" s="16" t="s">
        <v>1497</v>
      </c>
      <c r="E183" s="16"/>
      <c r="F183" s="16"/>
      <c r="G183" s="16"/>
      <c r="H183" s="16"/>
      <c r="I183" s="16"/>
    </row>
    <row r="184" spans="1:18">
      <c r="A184" s="1" t="s">
        <v>183</v>
      </c>
      <c r="B184" t="str">
        <f t="shared" si="29"/>
        <v>¬</v>
      </c>
      <c r="D184" s="19"/>
      <c r="E184" s="15" t="s">
        <v>246</v>
      </c>
      <c r="F184" s="19"/>
      <c r="G184" s="19"/>
      <c r="H184" s="19"/>
      <c r="I184" s="60" t="b">
        <f>IF(OR(F$9="Circle of the Crone",COUNTIF(F$79:F$93,"Chorister")&gt;0),TRUE,FALSE)</f>
        <v>0</v>
      </c>
      <c r="L184" s="4"/>
      <c r="N184" s="4"/>
      <c r="O184" s="61">
        <f>ROUNDDOWN(N184/4,0)</f>
        <v>0</v>
      </c>
      <c r="P184" s="60">
        <f>SUM(L184,O184)</f>
        <v>0</v>
      </c>
      <c r="Q184" s="61">
        <v>0</v>
      </c>
      <c r="R184" s="61">
        <v>5</v>
      </c>
    </row>
    <row r="185" spans="1:18">
      <c r="A185" s="1" t="s">
        <v>184</v>
      </c>
      <c r="B185" t="str">
        <f t="shared" si="29"/>
        <v>¬</v>
      </c>
      <c r="D185" s="19"/>
      <c r="E185" s="15" t="s">
        <v>247</v>
      </c>
      <c r="F185" s="19"/>
      <c r="G185" s="19"/>
      <c r="H185" s="19"/>
      <c r="I185" s="60" t="b">
        <f>IF(OR(F$9="Lancea et Sanctum",COUNTIF(F$79:F$93,"Laity")&gt;0),TRUE,FALSE)</f>
        <v>0</v>
      </c>
      <c r="L185" s="4"/>
      <c r="N185" s="4"/>
      <c r="O185" s="61">
        <f>ROUNDDOWN(N185/4,0)</f>
        <v>0</v>
      </c>
      <c r="P185" s="60">
        <f>SUM(L185,O185)</f>
        <v>0</v>
      </c>
      <c r="Q185" s="61">
        <v>0</v>
      </c>
      <c r="R185" s="61">
        <v>5</v>
      </c>
    </row>
    <row r="186" spans="1:18">
      <c r="A186" s="1" t="s">
        <v>185</v>
      </c>
      <c r="B186" t="str">
        <f t="shared" si="29"/>
        <v>¬</v>
      </c>
      <c r="D186" s="19"/>
      <c r="E186" s="19"/>
      <c r="F186" s="19"/>
      <c r="G186" s="19"/>
      <c r="H186" s="19"/>
      <c r="I186" s="19"/>
      <c r="L186" s="60">
        <f>SUM(P184:P185)-SUM(L187:L191)</f>
        <v>0</v>
      </c>
    </row>
    <row r="187" spans="1:18">
      <c r="A187" s="1" t="s">
        <v>186</v>
      </c>
      <c r="B187" t="str">
        <f t="shared" si="29"/>
        <v>¬</v>
      </c>
      <c r="D187" s="19"/>
      <c r="E187" s="15" t="s">
        <v>248</v>
      </c>
      <c r="F187" s="19"/>
      <c r="G187" s="19"/>
      <c r="H187" s="19"/>
      <c r="I187" s="19"/>
      <c r="L187" s="4"/>
      <c r="M187" s="61">
        <f>IF(AND(I184,L184&gt;=1),1,0)</f>
        <v>0</v>
      </c>
      <c r="N187" s="4"/>
      <c r="O187" s="61">
        <f>ROUNDDOWN(N187/2,0)</f>
        <v>0</v>
      </c>
      <c r="P187" s="60">
        <f>MIN(SUM(L187,M187,O187),R187)</f>
        <v>0</v>
      </c>
      <c r="Q187" s="61">
        <v>0</v>
      </c>
      <c r="R187" s="61">
        <f>MAX(P$184,P$185)</f>
        <v>0</v>
      </c>
    </row>
    <row r="188" spans="1:18">
      <c r="A188" s="1" t="s">
        <v>187</v>
      </c>
      <c r="B188" t="str">
        <f t="shared" si="29"/>
        <v>¬</v>
      </c>
      <c r="D188" s="19"/>
      <c r="E188" s="15" t="s">
        <v>249</v>
      </c>
      <c r="F188" s="19"/>
      <c r="G188" s="19"/>
      <c r="H188" s="19"/>
      <c r="I188" s="19"/>
      <c r="L188" s="4"/>
      <c r="M188" s="61"/>
      <c r="N188" s="4"/>
      <c r="O188" s="61">
        <f>ROUNDDOWN(N188/2,0)</f>
        <v>0</v>
      </c>
      <c r="P188" s="60">
        <f>MIN(SUM(L188,M188,O188),R188)</f>
        <v>0</v>
      </c>
      <c r="Q188" s="61">
        <v>0</v>
      </c>
      <c r="R188" s="61">
        <f>MAX(P$184,P$185)</f>
        <v>0</v>
      </c>
    </row>
    <row r="189" spans="1:18">
      <c r="A189" s="1" t="s">
        <v>188</v>
      </c>
      <c r="B189" t="str">
        <f t="shared" si="29"/>
        <v>¬</v>
      </c>
      <c r="D189" s="19"/>
      <c r="E189" s="15" t="s">
        <v>250</v>
      </c>
      <c r="F189" s="19"/>
      <c r="G189" s="19"/>
      <c r="H189" s="19"/>
      <c r="I189" s="19"/>
      <c r="L189" s="4"/>
      <c r="M189" s="61">
        <f>IF(AND(I185,L185&gt;=1),1,0)</f>
        <v>0</v>
      </c>
      <c r="N189" s="4"/>
      <c r="O189" s="61">
        <f>ROUNDDOWN(N189/2,0)</f>
        <v>0</v>
      </c>
      <c r="P189" s="60">
        <f>MIN(SUM(L189,M189,O189),R189)</f>
        <v>0</v>
      </c>
      <c r="Q189" s="61">
        <v>0</v>
      </c>
      <c r="R189" s="61">
        <f>MAX(P$184,P$185)</f>
        <v>0</v>
      </c>
    </row>
    <row r="190" spans="1:18">
      <c r="A190" s="1" t="s">
        <v>189</v>
      </c>
      <c r="B190" t="str">
        <f t="shared" si="29"/>
        <v>¬</v>
      </c>
      <c r="D190" s="19"/>
      <c r="E190" s="15" t="s">
        <v>251</v>
      </c>
      <c r="F190" s="19"/>
      <c r="G190" s="19"/>
      <c r="H190" s="19"/>
      <c r="I190" s="19"/>
      <c r="L190" s="4"/>
      <c r="M190" s="61">
        <f>IF(AND(I184,L184&gt;=1),1,0)</f>
        <v>0</v>
      </c>
      <c r="N190" s="4"/>
      <c r="O190" s="61">
        <f>ROUNDDOWN(N190/2,0)</f>
        <v>0</v>
      </c>
      <c r="P190" s="60">
        <f>MIN(SUM(L190,M190,O190),R190)</f>
        <v>0</v>
      </c>
      <c r="Q190" s="61">
        <v>0</v>
      </c>
      <c r="R190" s="61">
        <f>MAX(P$184,P$185)</f>
        <v>0</v>
      </c>
    </row>
    <row r="191" spans="1:18">
      <c r="A191" s="1" t="s">
        <v>190</v>
      </c>
      <c r="B191" t="str">
        <f t="shared" si="29"/>
        <v>¬</v>
      </c>
      <c r="D191" s="19"/>
      <c r="E191" s="15" t="s">
        <v>252</v>
      </c>
      <c r="F191" s="19"/>
      <c r="G191" s="19"/>
      <c r="H191" s="19"/>
      <c r="I191" s="19"/>
      <c r="L191" s="4"/>
      <c r="M191" s="61">
        <f>IF(AND(I185,L185&gt;=1),1,0)</f>
        <v>0</v>
      </c>
      <c r="N191" s="4"/>
      <c r="O191" s="61">
        <f>ROUNDDOWN(N191/2,0)</f>
        <v>0</v>
      </c>
      <c r="P191" s="60">
        <f>MIN(SUM(L191,M191,O191),R191)</f>
        <v>0</v>
      </c>
      <c r="Q191" s="61">
        <v>0</v>
      </c>
      <c r="R191" s="61">
        <f>MAX(P$184,P$185)</f>
        <v>0</v>
      </c>
    </row>
    <row r="192" spans="1:18">
      <c r="A192" s="1" t="s">
        <v>191</v>
      </c>
      <c r="B192" t="str">
        <f t="shared" si="29"/>
        <v>¬</v>
      </c>
    </row>
    <row r="193" spans="1:18">
      <c r="A193" s="1" t="s">
        <v>192</v>
      </c>
      <c r="B193" t="str">
        <f t="shared" si="29"/>
        <v>¬</v>
      </c>
      <c r="D193" s="16" t="s">
        <v>1474</v>
      </c>
      <c r="E193" s="16"/>
      <c r="F193" s="16"/>
      <c r="G193" s="16"/>
      <c r="H193" s="16"/>
      <c r="I193" s="16"/>
      <c r="L193" s="60">
        <f>SUM(P184:P185)+SUM(O187:O191)-SUM(L194:L203)</f>
        <v>0</v>
      </c>
    </row>
    <row r="194" spans="1:18">
      <c r="A194" s="1" t="s">
        <v>193</v>
      </c>
      <c r="B194" t="str">
        <f t="shared" si="29"/>
        <v>¬</v>
      </c>
      <c r="D194" s="19"/>
      <c r="E194" s="15" t="s">
        <v>1498</v>
      </c>
      <c r="F194" s="3"/>
      <c r="G194" s="61" t="str">
        <f>_xlfn.IFNA(VLOOKUP(F194,tblDisciplines[],2,FALSE),"")</f>
        <v/>
      </c>
      <c r="H194" s="19"/>
      <c r="I194" s="19"/>
      <c r="L194" s="4"/>
      <c r="N194" s="4"/>
      <c r="O194" s="61">
        <f>N194</f>
        <v>0</v>
      </c>
      <c r="P194" s="60" t="str">
        <f>IF(OR(L194=R194,O194=R194),R194,MIN(SUM(L194,O194),R194))</f>
        <v/>
      </c>
      <c r="R194" s="61" t="str">
        <f>_xlfn.IFNA(VLOOKUP(F194,tblDisciplines[],3,FALSE),"")</f>
        <v/>
      </c>
    </row>
    <row r="195" spans="1:18">
      <c r="A195" s="1" t="s">
        <v>194</v>
      </c>
      <c r="B195" t="str">
        <f t="shared" si="29"/>
        <v>¬</v>
      </c>
      <c r="D195" s="19"/>
      <c r="E195" s="15" t="s">
        <v>1499</v>
      </c>
      <c r="F195" s="3"/>
      <c r="G195" s="61" t="str">
        <f>_xlfn.IFNA(VLOOKUP(F195,tblDisciplines[],2,FALSE),"")</f>
        <v/>
      </c>
      <c r="H195" s="19"/>
      <c r="I195" s="19"/>
      <c r="L195" s="4"/>
      <c r="N195" s="4"/>
      <c r="O195" s="61">
        <f t="shared" ref="O195:O203" si="30">N195</f>
        <v>0</v>
      </c>
      <c r="P195" s="60" t="str">
        <f t="shared" ref="P195:P203" si="31">IF(OR(L195=R195,O195=R195),R195,MIN(SUM(L195,O195),R195))</f>
        <v/>
      </c>
      <c r="R195" s="61" t="str">
        <f>_xlfn.IFNA(VLOOKUP(F195,tblDisciplines[],3,FALSE),"")</f>
        <v/>
      </c>
    </row>
    <row r="196" spans="1:18">
      <c r="A196" s="1" t="s">
        <v>195</v>
      </c>
      <c r="B196" t="str">
        <f t="shared" si="29"/>
        <v>¬</v>
      </c>
      <c r="D196" s="19"/>
      <c r="E196" s="15" t="s">
        <v>1500</v>
      </c>
      <c r="F196" s="3"/>
      <c r="G196" s="61" t="str">
        <f>_xlfn.IFNA(VLOOKUP(F196,tblDisciplines[],2,FALSE),"")</f>
        <v/>
      </c>
      <c r="H196" s="19"/>
      <c r="I196" s="19"/>
      <c r="L196" s="4"/>
      <c r="N196" s="4"/>
      <c r="O196" s="61">
        <f t="shared" si="30"/>
        <v>0</v>
      </c>
      <c r="P196" s="60" t="str">
        <f t="shared" si="31"/>
        <v/>
      </c>
      <c r="R196" s="61" t="str">
        <f>_xlfn.IFNA(VLOOKUP(F196,tblDisciplines[],3,FALSE),"")</f>
        <v/>
      </c>
    </row>
    <row r="197" spans="1:18">
      <c r="A197" s="1" t="s">
        <v>196</v>
      </c>
      <c r="B197" t="str">
        <f>IF(AD134="","¬",AD134)</f>
        <v>¬</v>
      </c>
      <c r="D197" s="19"/>
      <c r="E197" s="15" t="s">
        <v>1501</v>
      </c>
      <c r="F197" s="3"/>
      <c r="G197" s="61" t="str">
        <f>_xlfn.IFNA(VLOOKUP(F197,tblDisciplines[],2,FALSE),"")</f>
        <v/>
      </c>
      <c r="H197" s="19"/>
      <c r="I197" s="19"/>
      <c r="L197" s="4"/>
      <c r="N197" s="4"/>
      <c r="O197" s="61">
        <f t="shared" si="30"/>
        <v>0</v>
      </c>
      <c r="P197" s="60" t="str">
        <f t="shared" si="31"/>
        <v/>
      </c>
      <c r="R197" s="61" t="str">
        <f>_xlfn.IFNA(VLOOKUP(F197,tblDisciplines[],3,FALSE),"")</f>
        <v/>
      </c>
    </row>
    <row r="198" spans="1:18">
      <c r="A198" s="1" t="s">
        <v>197</v>
      </c>
      <c r="B198" t="str">
        <f t="shared" ref="B198:B216" si="32">IF(AD135="","¬",AD135)</f>
        <v>¬</v>
      </c>
      <c r="D198" s="19"/>
      <c r="E198" s="15" t="s">
        <v>1502</v>
      </c>
      <c r="F198" s="3"/>
      <c r="G198" s="61" t="str">
        <f>_xlfn.IFNA(VLOOKUP(F198,tblDisciplines[],2,FALSE),"")</f>
        <v/>
      </c>
      <c r="H198" s="19"/>
      <c r="I198" s="19"/>
      <c r="L198" s="4"/>
      <c r="N198" s="4"/>
      <c r="O198" s="61">
        <f t="shared" si="30"/>
        <v>0</v>
      </c>
      <c r="P198" s="60" t="str">
        <f t="shared" si="31"/>
        <v/>
      </c>
      <c r="R198" s="61" t="str">
        <f>_xlfn.IFNA(VLOOKUP(F198,tblDisciplines[],3,FALSE),"")</f>
        <v/>
      </c>
    </row>
    <row r="199" spans="1:18">
      <c r="A199" s="1" t="s">
        <v>198</v>
      </c>
      <c r="B199" t="str">
        <f t="shared" si="32"/>
        <v>¬</v>
      </c>
      <c r="D199" s="19"/>
      <c r="E199" s="15" t="s">
        <v>1503</v>
      </c>
      <c r="F199" s="3"/>
      <c r="G199" s="61" t="str">
        <f>_xlfn.IFNA(VLOOKUP(F199,tblDisciplines[],2,FALSE),"")</f>
        <v/>
      </c>
      <c r="H199" s="19"/>
      <c r="I199" s="19"/>
      <c r="L199" s="4"/>
      <c r="N199" s="4"/>
      <c r="O199" s="61">
        <f t="shared" si="30"/>
        <v>0</v>
      </c>
      <c r="P199" s="60" t="str">
        <f t="shared" si="31"/>
        <v/>
      </c>
      <c r="R199" s="61" t="str">
        <f>_xlfn.IFNA(VLOOKUP(F199,tblDisciplines[],3,FALSE),"")</f>
        <v/>
      </c>
    </row>
    <row r="200" spans="1:18">
      <c r="A200" s="1" t="s">
        <v>199</v>
      </c>
      <c r="B200" t="str">
        <f t="shared" si="32"/>
        <v>¬</v>
      </c>
      <c r="D200" s="19"/>
      <c r="E200" s="15" t="s">
        <v>1504</v>
      </c>
      <c r="F200" s="3"/>
      <c r="G200" s="61" t="str">
        <f>_xlfn.IFNA(VLOOKUP(F200,tblDisciplines[],2,FALSE),"")</f>
        <v/>
      </c>
      <c r="H200" s="19"/>
      <c r="I200" s="19"/>
      <c r="L200" s="4"/>
      <c r="N200" s="4"/>
      <c r="O200" s="61">
        <f t="shared" si="30"/>
        <v>0</v>
      </c>
      <c r="P200" s="60" t="str">
        <f t="shared" si="31"/>
        <v/>
      </c>
      <c r="R200" s="61" t="str">
        <f>_xlfn.IFNA(VLOOKUP(F200,tblDisciplines[],3,FALSE),"")</f>
        <v/>
      </c>
    </row>
    <row r="201" spans="1:18">
      <c r="A201" s="1" t="s">
        <v>200</v>
      </c>
      <c r="B201" t="str">
        <f t="shared" si="32"/>
        <v>¬</v>
      </c>
      <c r="D201" s="19"/>
      <c r="E201" s="15" t="s">
        <v>1505</v>
      </c>
      <c r="F201" s="3"/>
      <c r="G201" s="61" t="str">
        <f>_xlfn.IFNA(VLOOKUP(F201,tblDisciplines[],2,FALSE),"")</f>
        <v/>
      </c>
      <c r="H201" s="19"/>
      <c r="I201" s="19"/>
      <c r="L201" s="4"/>
      <c r="N201" s="4"/>
      <c r="O201" s="61">
        <f t="shared" si="30"/>
        <v>0</v>
      </c>
      <c r="P201" s="60" t="str">
        <f t="shared" si="31"/>
        <v/>
      </c>
      <c r="R201" s="61" t="str">
        <f>_xlfn.IFNA(VLOOKUP(F201,tblDisciplines[],3,FALSE),"")</f>
        <v/>
      </c>
    </row>
    <row r="202" spans="1:18">
      <c r="A202" s="1" t="s">
        <v>201</v>
      </c>
      <c r="B202" t="str">
        <f t="shared" si="32"/>
        <v>¬</v>
      </c>
      <c r="D202" s="19"/>
      <c r="E202" s="15" t="s">
        <v>1506</v>
      </c>
      <c r="F202" s="3"/>
      <c r="G202" s="61" t="str">
        <f>_xlfn.IFNA(VLOOKUP(F202,tblDisciplines[],2,FALSE),"")</f>
        <v/>
      </c>
      <c r="H202" s="19"/>
      <c r="I202" s="19"/>
      <c r="L202" s="4"/>
      <c r="N202" s="4"/>
      <c r="O202" s="61">
        <f t="shared" si="30"/>
        <v>0</v>
      </c>
      <c r="P202" s="60" t="str">
        <f t="shared" si="31"/>
        <v/>
      </c>
      <c r="R202" s="61" t="str">
        <f>_xlfn.IFNA(VLOOKUP(F202,tblDisciplines[],3,FALSE),"")</f>
        <v/>
      </c>
    </row>
    <row r="203" spans="1:18">
      <c r="A203" s="1" t="s">
        <v>202</v>
      </c>
      <c r="B203" t="str">
        <f t="shared" si="32"/>
        <v>¬</v>
      </c>
      <c r="D203" s="19"/>
      <c r="E203" s="15" t="s">
        <v>1507</v>
      </c>
      <c r="F203" s="3"/>
      <c r="G203" s="61" t="str">
        <f>_xlfn.IFNA(VLOOKUP(F203,tblDisciplines[],2,FALSE),"")</f>
        <v/>
      </c>
      <c r="H203" s="19"/>
      <c r="I203" s="19"/>
      <c r="L203" s="4"/>
      <c r="N203" s="4"/>
      <c r="O203" s="61">
        <f t="shared" si="30"/>
        <v>0</v>
      </c>
      <c r="P203" s="60" t="str">
        <f t="shared" si="31"/>
        <v/>
      </c>
      <c r="R203" s="61" t="str">
        <f>_xlfn.IFNA(VLOOKUP(F203,tblDisciplines[],3,FALSE),"")</f>
        <v/>
      </c>
    </row>
    <row r="204" spans="1:18">
      <c r="A204" s="1" t="s">
        <v>203</v>
      </c>
      <c r="B204" t="str">
        <f t="shared" si="32"/>
        <v>¬</v>
      </c>
    </row>
    <row r="205" spans="1:18">
      <c r="A205" s="1" t="s">
        <v>204</v>
      </c>
      <c r="B205" t="str">
        <f t="shared" si="32"/>
        <v>¬</v>
      </c>
      <c r="D205" s="16" t="s">
        <v>1508</v>
      </c>
      <c r="E205" s="17"/>
      <c r="F205" s="17"/>
      <c r="G205" s="17"/>
      <c r="H205" s="17"/>
      <c r="I205" s="17"/>
    </row>
    <row r="206" spans="1:18">
      <c r="A206" s="1" t="s">
        <v>205</v>
      </c>
      <c r="B206" t="str">
        <f t="shared" si="32"/>
        <v>¬</v>
      </c>
      <c r="D206" s="19"/>
      <c r="E206" s="15" t="s">
        <v>1476</v>
      </c>
      <c r="F206" s="3"/>
      <c r="G206" s="19" t="str">
        <f>IFERROR(VLOOKUP(F206,tblManoeuvre[],2,FALSE)&amp;" "&amp;VLOOKUP(F206,tblManoeuvre[],3,FALSE),"")</f>
        <v/>
      </c>
      <c r="H206" s="68" t="str">
        <f>_xlfn.IFNA(IF(VLOOKUP(F206,tblMerits[],6,FALSE)=0,"None",VLOOKUP(F206,tblMerits[],6,FALSE)),"None")</f>
        <v>None</v>
      </c>
      <c r="I206" s="69"/>
      <c r="L206" s="4"/>
      <c r="M206" s="4"/>
      <c r="N206" s="4"/>
      <c r="O206" s="61">
        <f t="shared" ref="O206:O215" si="33">N206</f>
        <v>0</v>
      </c>
      <c r="P206" s="60">
        <f t="shared" ref="P206:P215" si="34">MIN(SUM(L206,M206,O206),R206)</f>
        <v>0</v>
      </c>
      <c r="Q206" s="61" t="str">
        <f>_xlfn.IFNA(VLOOKUP($F206,tblPacts[],3,FALSE),"")</f>
        <v/>
      </c>
      <c r="R206" s="61" t="str">
        <f>_xlfn.IFNA(VLOOKUP($F206,tblPacts[],4,FALSE),"")</f>
        <v/>
      </c>
    </row>
    <row r="207" spans="1:18">
      <c r="A207" s="1" t="s">
        <v>206</v>
      </c>
      <c r="B207" t="str">
        <f t="shared" si="32"/>
        <v>¬</v>
      </c>
      <c r="D207" s="19"/>
      <c r="E207" s="15" t="s">
        <v>1477</v>
      </c>
      <c r="F207" s="3"/>
      <c r="G207" s="19" t="str">
        <f>IFERROR(VLOOKUP(F207,tblManoeuvre[],2,FALSE)&amp;" "&amp;VLOOKUP(F207,tblManoeuvre[],3,FALSE),"")</f>
        <v/>
      </c>
      <c r="H207" s="68" t="str">
        <f>_xlfn.IFNA(IF(VLOOKUP(F207,tblMerits[],6,FALSE)=0,"None",VLOOKUP(F207,tblMerits[],6,FALSE)),"None")</f>
        <v>None</v>
      </c>
      <c r="I207" s="69"/>
      <c r="L207" s="4"/>
      <c r="M207" s="4"/>
      <c r="N207" s="4"/>
      <c r="O207" s="61">
        <f t="shared" si="33"/>
        <v>0</v>
      </c>
      <c r="P207" s="60">
        <f t="shared" si="34"/>
        <v>0</v>
      </c>
      <c r="Q207" s="61" t="str">
        <f>_xlfn.IFNA(VLOOKUP($F207,tblPacts[],3,FALSE),"")</f>
        <v/>
      </c>
      <c r="R207" s="61" t="str">
        <f>_xlfn.IFNA(VLOOKUP($F207,tblPacts[],4,FALSE),"")</f>
        <v/>
      </c>
    </row>
    <row r="208" spans="1:18">
      <c r="A208" s="1" t="s">
        <v>207</v>
      </c>
      <c r="B208" t="str">
        <f t="shared" si="32"/>
        <v>¬</v>
      </c>
      <c r="D208" s="19"/>
      <c r="E208" s="15" t="s">
        <v>1478</v>
      </c>
      <c r="F208" s="3"/>
      <c r="G208" s="19" t="str">
        <f>IFERROR(VLOOKUP(F208,tblManoeuvre[],2,FALSE)&amp;" "&amp;VLOOKUP(F208,tblManoeuvre[],3,FALSE),"")</f>
        <v/>
      </c>
      <c r="H208" s="68" t="str">
        <f>_xlfn.IFNA(IF(VLOOKUP(F208,tblMerits[],6,FALSE)=0,"None",VLOOKUP(F208,tblMerits[],6,FALSE)),"None")</f>
        <v>None</v>
      </c>
      <c r="I208" s="69"/>
      <c r="L208" s="4"/>
      <c r="M208" s="4"/>
      <c r="N208" s="4"/>
      <c r="O208" s="61">
        <f t="shared" si="33"/>
        <v>0</v>
      </c>
      <c r="P208" s="60">
        <f t="shared" si="34"/>
        <v>0</v>
      </c>
      <c r="Q208" s="61" t="str">
        <f>_xlfn.IFNA(VLOOKUP($F208,tblPacts[],3,FALSE),"")</f>
        <v/>
      </c>
      <c r="R208" s="61" t="str">
        <f>_xlfn.IFNA(VLOOKUP($F208,tblPacts[],4,FALSE),"")</f>
        <v/>
      </c>
    </row>
    <row r="209" spans="1:18">
      <c r="A209" s="1" t="s">
        <v>208</v>
      </c>
      <c r="B209" t="str">
        <f t="shared" si="32"/>
        <v>¬</v>
      </c>
      <c r="D209" s="19"/>
      <c r="E209" s="15" t="s">
        <v>1479</v>
      </c>
      <c r="F209" s="3"/>
      <c r="G209" s="19" t="str">
        <f>IFERROR(VLOOKUP(F209,tblManoeuvre[],2,FALSE)&amp;" "&amp;VLOOKUP(F209,tblManoeuvre[],3,FALSE),"")</f>
        <v/>
      </c>
      <c r="H209" s="68" t="str">
        <f>_xlfn.IFNA(IF(VLOOKUP(F209,tblMerits[],6,FALSE)=0,"None",VLOOKUP(F209,tblMerits[],6,FALSE)),"None")</f>
        <v>None</v>
      </c>
      <c r="I209" s="69"/>
      <c r="L209" s="4"/>
      <c r="M209" s="4"/>
      <c r="N209" s="4"/>
      <c r="O209" s="61">
        <f t="shared" si="33"/>
        <v>0</v>
      </c>
      <c r="P209" s="60">
        <f t="shared" si="34"/>
        <v>0</v>
      </c>
      <c r="Q209" s="61" t="str">
        <f>_xlfn.IFNA(VLOOKUP($F209,tblPacts[],3,FALSE),"")</f>
        <v/>
      </c>
      <c r="R209" s="61" t="str">
        <f>_xlfn.IFNA(VLOOKUP($F209,tblPacts[],4,FALSE),"")</f>
        <v/>
      </c>
    </row>
    <row r="210" spans="1:18">
      <c r="A210" s="1" t="s">
        <v>209</v>
      </c>
      <c r="B210" t="str">
        <f t="shared" si="32"/>
        <v>¬</v>
      </c>
      <c r="D210" s="19"/>
      <c r="E210" s="15" t="s">
        <v>1480</v>
      </c>
      <c r="F210" s="3"/>
      <c r="G210" s="19" t="str">
        <f>IFERROR(VLOOKUP(F210,tblManoeuvre[],2,FALSE)&amp;" "&amp;VLOOKUP(F210,tblManoeuvre[],3,FALSE),"")</f>
        <v/>
      </c>
      <c r="H210" s="68" t="str">
        <f>_xlfn.IFNA(IF(VLOOKUP(F210,tblMerits[],6,FALSE)=0,"None",VLOOKUP(F210,tblMerits[],6,FALSE)),"None")</f>
        <v>None</v>
      </c>
      <c r="I210" s="69"/>
      <c r="L210" s="4"/>
      <c r="M210" s="4"/>
      <c r="N210" s="4"/>
      <c r="O210" s="61">
        <f t="shared" si="33"/>
        <v>0</v>
      </c>
      <c r="P210" s="60">
        <f t="shared" si="34"/>
        <v>0</v>
      </c>
      <c r="Q210" s="61" t="str">
        <f>_xlfn.IFNA(VLOOKUP($F210,tblPacts[],3,FALSE),"")</f>
        <v/>
      </c>
      <c r="R210" s="61" t="str">
        <f>_xlfn.IFNA(VLOOKUP($F210,tblPacts[],4,FALSE),"")</f>
        <v/>
      </c>
    </row>
    <row r="211" spans="1:18">
      <c r="A211" s="1" t="s">
        <v>210</v>
      </c>
      <c r="B211" t="str">
        <f t="shared" si="32"/>
        <v>¬</v>
      </c>
      <c r="D211" s="19"/>
      <c r="E211" s="15" t="s">
        <v>1481</v>
      </c>
      <c r="F211" s="3"/>
      <c r="G211" s="19" t="str">
        <f>IFERROR(VLOOKUP(F211,tblManoeuvre[],2,FALSE)&amp;" "&amp;VLOOKUP(F211,tblManoeuvre[],3,FALSE),"")</f>
        <v/>
      </c>
      <c r="H211" s="68" t="str">
        <f>_xlfn.IFNA(IF(VLOOKUP(F211,tblMerits[],6,FALSE)=0,"None",VLOOKUP(F211,tblMerits[],6,FALSE)),"None")</f>
        <v>None</v>
      </c>
      <c r="I211" s="69"/>
      <c r="L211" s="4"/>
      <c r="M211" s="4"/>
      <c r="N211" s="4"/>
      <c r="O211" s="61">
        <f t="shared" si="33"/>
        <v>0</v>
      </c>
      <c r="P211" s="60">
        <f t="shared" si="34"/>
        <v>0</v>
      </c>
      <c r="Q211" s="61" t="str">
        <f>_xlfn.IFNA(VLOOKUP($F211,tblPacts[],3,FALSE),"")</f>
        <v/>
      </c>
      <c r="R211" s="61" t="str">
        <f>_xlfn.IFNA(VLOOKUP($F211,tblPacts[],4,FALSE),"")</f>
        <v/>
      </c>
    </row>
    <row r="212" spans="1:18">
      <c r="A212" s="1" t="s">
        <v>211</v>
      </c>
      <c r="B212" t="str">
        <f t="shared" si="32"/>
        <v>¬</v>
      </c>
      <c r="D212" s="19"/>
      <c r="E212" s="15" t="s">
        <v>1482</v>
      </c>
      <c r="F212" s="3"/>
      <c r="G212" s="19" t="str">
        <f>IFERROR(VLOOKUP(F212,tblManoeuvre[],2,FALSE)&amp;" "&amp;VLOOKUP(F212,tblManoeuvre[],3,FALSE),"")</f>
        <v/>
      </c>
      <c r="H212" s="68" t="str">
        <f>_xlfn.IFNA(IF(VLOOKUP(F212,tblMerits[],6,FALSE)=0,"None",VLOOKUP(F212,tblMerits[],6,FALSE)),"None")</f>
        <v>None</v>
      </c>
      <c r="I212" s="69"/>
      <c r="L212" s="4"/>
      <c r="M212" s="4"/>
      <c r="N212" s="4"/>
      <c r="O212" s="61">
        <f t="shared" si="33"/>
        <v>0</v>
      </c>
      <c r="P212" s="60">
        <f t="shared" si="34"/>
        <v>0</v>
      </c>
      <c r="Q212" s="61" t="str">
        <f>_xlfn.IFNA(VLOOKUP($F212,tblPacts[],3,FALSE),"")</f>
        <v/>
      </c>
      <c r="R212" s="61" t="str">
        <f>_xlfn.IFNA(VLOOKUP($F212,tblPacts[],4,FALSE),"")</f>
        <v/>
      </c>
    </row>
    <row r="213" spans="1:18">
      <c r="A213" s="1" t="s">
        <v>212</v>
      </c>
      <c r="B213" t="str">
        <f t="shared" si="32"/>
        <v>¬</v>
      </c>
      <c r="D213" s="19"/>
      <c r="E213" s="15" t="s">
        <v>1483</v>
      </c>
      <c r="F213" s="3"/>
      <c r="G213" s="19" t="str">
        <f>IFERROR(VLOOKUP(F213,tblManoeuvre[],2,FALSE)&amp;" "&amp;VLOOKUP(F213,tblManoeuvre[],3,FALSE),"")</f>
        <v/>
      </c>
      <c r="H213" s="68" t="str">
        <f>_xlfn.IFNA(IF(VLOOKUP(F213,tblMerits[],6,FALSE)=0,"None",VLOOKUP(F213,tblMerits[],6,FALSE)),"None")</f>
        <v>None</v>
      </c>
      <c r="I213" s="69"/>
      <c r="L213" s="4"/>
      <c r="M213" s="4"/>
      <c r="N213" s="4"/>
      <c r="O213" s="61">
        <f t="shared" si="33"/>
        <v>0</v>
      </c>
      <c r="P213" s="60">
        <f t="shared" si="34"/>
        <v>0</v>
      </c>
      <c r="Q213" s="61" t="str">
        <f>_xlfn.IFNA(VLOOKUP($F213,tblPacts[],3,FALSE),"")</f>
        <v/>
      </c>
      <c r="R213" s="61" t="str">
        <f>_xlfn.IFNA(VLOOKUP($F213,tblPacts[],4,FALSE),"")</f>
        <v/>
      </c>
    </row>
    <row r="214" spans="1:18">
      <c r="A214" s="1" t="s">
        <v>213</v>
      </c>
      <c r="B214" t="str">
        <f t="shared" si="32"/>
        <v>¬</v>
      </c>
      <c r="D214" s="19"/>
      <c r="E214" s="15" t="s">
        <v>1484</v>
      </c>
      <c r="F214" s="3"/>
      <c r="G214" s="19" t="str">
        <f>IFERROR(VLOOKUP(F214,tblManoeuvre[],2,FALSE)&amp;" "&amp;VLOOKUP(F214,tblManoeuvre[],3,FALSE),"")</f>
        <v/>
      </c>
      <c r="H214" s="68" t="str">
        <f>_xlfn.IFNA(IF(VLOOKUP(F214,tblMerits[],6,FALSE)=0,"None",VLOOKUP(F214,tblMerits[],6,FALSE)),"None")</f>
        <v>None</v>
      </c>
      <c r="I214" s="69"/>
      <c r="L214" s="4"/>
      <c r="M214" s="4"/>
      <c r="N214" s="4"/>
      <c r="O214" s="61">
        <f t="shared" si="33"/>
        <v>0</v>
      </c>
      <c r="P214" s="60">
        <f t="shared" si="34"/>
        <v>0</v>
      </c>
      <c r="Q214" s="61" t="str">
        <f>_xlfn.IFNA(VLOOKUP($F214,tblPacts[],3,FALSE),"")</f>
        <v/>
      </c>
      <c r="R214" s="61" t="str">
        <f>_xlfn.IFNA(VLOOKUP($F214,tblPacts[],4,FALSE),"")</f>
        <v/>
      </c>
    </row>
    <row r="215" spans="1:18">
      <c r="A215" s="1" t="s">
        <v>214</v>
      </c>
      <c r="B215" t="str">
        <f t="shared" si="32"/>
        <v>¬</v>
      </c>
      <c r="D215" s="19"/>
      <c r="E215" s="15" t="s">
        <v>1485</v>
      </c>
      <c r="F215" s="3"/>
      <c r="G215" s="19" t="str">
        <f>IFERROR(VLOOKUP(F215,tblManoeuvre[],2,FALSE)&amp;" "&amp;VLOOKUP(F215,tblManoeuvre[],3,FALSE),"")</f>
        <v/>
      </c>
      <c r="H215" s="68" t="str">
        <f>_xlfn.IFNA(IF(VLOOKUP(F215,tblMerits[],6,FALSE)=0,"None",VLOOKUP(F215,tblMerits[],6,FALSE)),"None")</f>
        <v>None</v>
      </c>
      <c r="I215" s="69"/>
      <c r="L215" s="4"/>
      <c r="M215" s="4"/>
      <c r="N215" s="4"/>
      <c r="O215" s="61">
        <f t="shared" si="33"/>
        <v>0</v>
      </c>
      <c r="P215" s="60">
        <f t="shared" si="34"/>
        <v>0</v>
      </c>
      <c r="Q215" s="61" t="str">
        <f>_xlfn.IFNA(VLOOKUP($F215,tblPacts[],3,FALSE),"")</f>
        <v/>
      </c>
      <c r="R215" s="61" t="str">
        <f>_xlfn.IFNA(VLOOKUP($F215,tblPacts[],4,FALSE),"")</f>
        <v/>
      </c>
    </row>
    <row r="216" spans="1:18">
      <c r="A216" s="1" t="s">
        <v>215</v>
      </c>
      <c r="B216" t="str">
        <f t="shared" si="32"/>
        <v>¬</v>
      </c>
    </row>
    <row r="217" spans="1:18">
      <c r="A217" s="1" t="s">
        <v>216</v>
      </c>
      <c r="B217" t="str">
        <f>IF(OR(AF134=0,AF134=""),"",REPT("●",AF134))</f>
        <v/>
      </c>
      <c r="D217" s="16" t="s">
        <v>1509</v>
      </c>
      <c r="E217" s="16"/>
      <c r="F217" s="16"/>
      <c r="G217" s="16"/>
      <c r="H217" s="16"/>
      <c r="I217" s="16"/>
    </row>
    <row r="218" spans="1:18">
      <c r="A218" s="1" t="s">
        <v>217</v>
      </c>
      <c r="B218" t="str">
        <f t="shared" ref="B218:B236" si="35">IF(OR(AF135=0,AF135=""),"",REPT("●",AF135))</f>
        <v/>
      </c>
      <c r="D218" s="19"/>
      <c r="E218" s="15" t="s">
        <v>353</v>
      </c>
      <c r="F218" s="19"/>
      <c r="G218" s="19"/>
      <c r="H218" s="19"/>
      <c r="I218" s="19"/>
      <c r="M218" s="61">
        <f>IF(COUNTIF(F79:F93,"Giant")&gt;0,1,0)+IF(COUNTIF(F79:F93,"Small-Framed")&gt;0,-1,0)</f>
        <v>0</v>
      </c>
      <c r="P218" s="60">
        <f>5+M218</f>
        <v>5</v>
      </c>
    </row>
    <row r="219" spans="1:18">
      <c r="A219" s="1" t="s">
        <v>218</v>
      </c>
      <c r="B219" t="str">
        <f t="shared" si="35"/>
        <v/>
      </c>
      <c r="D219" s="19"/>
      <c r="E219" s="15" t="s">
        <v>354</v>
      </c>
      <c r="F219" s="19"/>
      <c r="G219" s="19"/>
      <c r="H219" s="19"/>
      <c r="I219" s="19"/>
      <c r="P219" s="60">
        <f ca="1">VLOOKUP("Size",INDIRECT($AH$1),2,FALSE)+VLOOKUP("Strength",INDIRECT($AH$1),2,FALSE)+VLOOKUP("Dexterity",INDIRECT($AH$1),2,FALSE)+VLOOKUP("Vigour",INDIRECT($AH$1),2,FALSE)</f>
        <v>7</v>
      </c>
    </row>
    <row r="220" spans="1:18">
      <c r="A220" s="1" t="s">
        <v>219</v>
      </c>
      <c r="B220" t="str">
        <f t="shared" si="35"/>
        <v/>
      </c>
      <c r="D220" s="19"/>
      <c r="E220" s="15" t="s">
        <v>355</v>
      </c>
      <c r="F220" s="19"/>
      <c r="G220" s="19"/>
      <c r="H220" s="19"/>
      <c r="I220" s="19"/>
      <c r="P220" s="60">
        <f ca="1">MIN(VLOOKUP("Dexterity",INDIRECT($AH$1),2,FALSE),VLOOKUP("Wits",INDIRECT($AH$1),2,FALSE))+VLOOKUP("Athletics",INDIRECT($AH$1),2,FALSE)</f>
        <v>1</v>
      </c>
    </row>
    <row r="221" spans="1:18">
      <c r="A221" s="1" t="s">
        <v>220</v>
      </c>
      <c r="B221" t="str">
        <f t="shared" si="35"/>
        <v/>
      </c>
      <c r="D221" s="19"/>
      <c r="E221" s="15" t="s">
        <v>52</v>
      </c>
      <c r="F221" s="19"/>
      <c r="G221" s="19"/>
      <c r="H221" s="19"/>
      <c r="I221" s="19"/>
      <c r="P221" s="60">
        <f ca="1">VLOOKUP("Size",INDIRECT($AH$1),2,FALSE)+VLOOKUP("Stamina",INDIRECT($AH$1),2,FALSE)+VLOOKUP("Resilience",INDIRECT($AH$1),2,FALSE)</f>
        <v>6</v>
      </c>
    </row>
    <row r="222" spans="1:18">
      <c r="A222" s="1" t="s">
        <v>221</v>
      </c>
      <c r="B222" t="str">
        <f t="shared" si="35"/>
        <v/>
      </c>
      <c r="D222" s="19"/>
      <c r="E222" s="19"/>
      <c r="F222" s="19"/>
      <c r="G222" s="19"/>
      <c r="H222" s="15" t="s">
        <v>1510</v>
      </c>
      <c r="I222" s="19"/>
      <c r="L222" s="4"/>
    </row>
    <row r="223" spans="1:18">
      <c r="A223" s="1" t="s">
        <v>222</v>
      </c>
      <c r="B223" t="str">
        <f t="shared" si="35"/>
        <v/>
      </c>
      <c r="D223" s="19"/>
      <c r="E223" s="15" t="s">
        <v>1511</v>
      </c>
      <c r="F223" s="7"/>
      <c r="G223" s="19"/>
      <c r="H223" s="15" t="s">
        <v>1512</v>
      </c>
      <c r="I223" s="19"/>
      <c r="L223" s="4"/>
    </row>
    <row r="224" spans="1:18">
      <c r="A224" s="1" t="s">
        <v>223</v>
      </c>
      <c r="B224" t="str">
        <f t="shared" si="35"/>
        <v/>
      </c>
      <c r="D224" s="19"/>
      <c r="E224" s="15" t="s">
        <v>1513</v>
      </c>
      <c r="F224" s="7"/>
      <c r="G224" s="19"/>
      <c r="H224" s="15" t="s">
        <v>1514</v>
      </c>
      <c r="I224" s="19"/>
      <c r="L224" s="4"/>
    </row>
    <row r="225" spans="1:12">
      <c r="A225" s="1" t="s">
        <v>224</v>
      </c>
      <c r="B225" t="str">
        <f t="shared" si="35"/>
        <v/>
      </c>
      <c r="D225" s="19"/>
      <c r="E225" s="15" t="s">
        <v>1515</v>
      </c>
      <c r="F225" s="7"/>
      <c r="G225" s="19"/>
      <c r="H225" s="15" t="s">
        <v>1516</v>
      </c>
      <c r="I225" s="19"/>
      <c r="L225" s="4"/>
    </row>
    <row r="226" spans="1:12">
      <c r="A226" s="1" t="s">
        <v>225</v>
      </c>
      <c r="B226" t="str">
        <f t="shared" si="35"/>
        <v/>
      </c>
      <c r="D226" s="19"/>
      <c r="E226" s="15" t="s">
        <v>1517</v>
      </c>
      <c r="F226" s="7"/>
      <c r="G226" s="19"/>
      <c r="H226" s="19"/>
      <c r="I226" s="19"/>
    </row>
    <row r="227" spans="1:12">
      <c r="A227" s="1" t="s">
        <v>226</v>
      </c>
      <c r="B227" t="str">
        <f t="shared" si="35"/>
        <v/>
      </c>
      <c r="D227" s="19"/>
      <c r="E227" s="15" t="s">
        <v>1518</v>
      </c>
      <c r="F227" s="7"/>
      <c r="G227" s="19"/>
      <c r="H227" s="19"/>
      <c r="I227" s="19"/>
    </row>
    <row r="228" spans="1:12">
      <c r="A228" s="1" t="s">
        <v>227</v>
      </c>
      <c r="B228" t="str">
        <f t="shared" si="35"/>
        <v/>
      </c>
      <c r="D228" s="19"/>
      <c r="E228" s="15" t="s">
        <v>1519</v>
      </c>
      <c r="F228" s="7"/>
      <c r="G228" s="19"/>
      <c r="H228" s="19"/>
      <c r="I228" s="19"/>
    </row>
    <row r="229" spans="1:12">
      <c r="A229" s="1" t="s">
        <v>228</v>
      </c>
      <c r="B229" t="str">
        <f t="shared" si="35"/>
        <v/>
      </c>
      <c r="D229" s="19"/>
      <c r="E229" s="15" t="s">
        <v>1520</v>
      </c>
      <c r="F229" s="7"/>
      <c r="G229" s="19"/>
      <c r="H229" s="19"/>
      <c r="I229" s="19"/>
    </row>
    <row r="230" spans="1:12">
      <c r="A230" s="1" t="s">
        <v>229</v>
      </c>
      <c r="B230" t="str">
        <f t="shared" si="35"/>
        <v/>
      </c>
      <c r="D230" s="19"/>
      <c r="E230" s="15" t="s">
        <v>1521</v>
      </c>
      <c r="F230" s="7"/>
      <c r="G230" s="19"/>
      <c r="H230" s="19"/>
      <c r="I230" s="19"/>
    </row>
    <row r="231" spans="1:12">
      <c r="A231" s="1" t="s">
        <v>230</v>
      </c>
      <c r="B231" t="str">
        <f t="shared" si="35"/>
        <v/>
      </c>
      <c r="D231" s="19"/>
      <c r="E231" s="15" t="s">
        <v>1522</v>
      </c>
      <c r="F231" s="7"/>
      <c r="G231" s="19"/>
      <c r="H231" s="19"/>
      <c r="I231" s="19"/>
    </row>
    <row r="232" spans="1:12">
      <c r="A232" s="1" t="s">
        <v>231</v>
      </c>
      <c r="B232" t="str">
        <f t="shared" si="35"/>
        <v/>
      </c>
      <c r="D232" s="19"/>
      <c r="E232" s="15" t="s">
        <v>1523</v>
      </c>
      <c r="F232" s="7"/>
      <c r="G232" s="19"/>
      <c r="H232" s="19"/>
      <c r="I232" s="19"/>
    </row>
    <row r="233" spans="1:12">
      <c r="A233" s="1" t="s">
        <v>232</v>
      </c>
      <c r="B233" t="str">
        <f t="shared" si="35"/>
        <v/>
      </c>
      <c r="D233" s="19"/>
      <c r="E233" s="19"/>
      <c r="F233" s="19"/>
      <c r="G233" s="19"/>
      <c r="H233" s="19"/>
      <c r="I233" s="19"/>
    </row>
    <row r="234" spans="1:12">
      <c r="A234" s="1" t="s">
        <v>233</v>
      </c>
      <c r="B234" t="str">
        <f t="shared" si="35"/>
        <v/>
      </c>
      <c r="D234" s="19"/>
      <c r="E234" s="15" t="s">
        <v>343</v>
      </c>
      <c r="F234" s="61" t="str">
        <f>_xlfn.IFNA(VLOOKUP(F7,tblClans[],4,FALSE),"")</f>
        <v>Lonely Curse</v>
      </c>
      <c r="G234" s="19"/>
      <c r="H234" s="74" t="str">
        <f>_xlfn.IFNA(VLOOKUP(F234,tblBanes[],2,FALSE),"")</f>
        <v>With mortals, Humanity counts –2; Presence/Manipulation failures become dramatic failures. Intimidation and Subterfuge unaffected.</v>
      </c>
      <c r="I234" s="74"/>
    </row>
    <row r="235" spans="1:12">
      <c r="A235" s="1" t="s">
        <v>234</v>
      </c>
      <c r="B235" t="str">
        <f t="shared" si="35"/>
        <v/>
      </c>
      <c r="D235" s="19"/>
      <c r="E235" s="15" t="s">
        <v>344</v>
      </c>
      <c r="F235" s="19"/>
      <c r="G235" s="19"/>
      <c r="H235" s="19"/>
      <c r="I235" s="19"/>
    </row>
    <row r="236" spans="1:12">
      <c r="A236" s="1" t="s">
        <v>235</v>
      </c>
      <c r="B236" t="str">
        <f t="shared" si="35"/>
        <v/>
      </c>
      <c r="D236" s="19"/>
      <c r="E236" s="15" t="s">
        <v>345</v>
      </c>
      <c r="F236" s="3"/>
      <c r="G236" s="19"/>
      <c r="H236" s="70" t="str">
        <f>_xlfn.IFNA(VLOOKUP(F236,tblBanes[],2,FALSE),"")</f>
        <v/>
      </c>
      <c r="I236" s="71"/>
    </row>
    <row r="237" spans="1:12">
      <c r="A237" s="1" t="s">
        <v>236</v>
      </c>
      <c r="B237" t="str">
        <f ca="1">_xlfn.LET(_xlpm.v,VLOOKUP(tblCharData27[[#This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_xlfn.LET(_xlpm.v,VLOOKUP(tblCharData27[[#This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_xlfn.LET(_xlpm.v,VLOOKUP(tblCharData27[[#This Row],[Field]],INDIRECT($AH$1),2,FALSE),IF(OR(_xlpm.v=0,_xlpm.v=""),"-",REPT("●",_xlpm.v)))</f>
        <v>●</v>
      </c>
      <c r="D239" s="19"/>
      <c r="E239" s="19"/>
      <c r="F239" s="19"/>
      <c r="G239" s="19"/>
      <c r="H239" s="19"/>
      <c r="I239" s="19"/>
    </row>
    <row r="240" spans="1:12">
      <c r="A240" s="1" t="s">
        <v>239</v>
      </c>
      <c r="B240" t="str">
        <f ca="1">_xlfn.LET(_xlpm.v,VLOOKUP(tblCharData27[[#This Row],[Field]],INDIRECT($AH$1),2,FALSE),IF(OR(_xlpm.v=0,_xlpm.v=""),"-",REPT("●",_xlpm.v)))</f>
        <v>-</v>
      </c>
      <c r="D240" s="19"/>
      <c r="E240" s="15" t="s">
        <v>360</v>
      </c>
      <c r="F240" s="62"/>
      <c r="G240" s="63"/>
      <c r="H240" s="63"/>
      <c r="I240" s="64"/>
    </row>
    <row r="241" spans="1:9">
      <c r="A241" s="1" t="s">
        <v>240</v>
      </c>
      <c r="B241" t="str">
        <f ca="1">_xlfn.LET(_xlpm.v,VLOOKUP(tblCharData27[[#This Row],[Field]],INDIRECT($AH$1),2,FALSE),IF(OR(_xlpm.v=0,_xlpm.v=""),"-",REPT("●",_xlpm.v)))</f>
        <v>-</v>
      </c>
      <c r="D241" s="19"/>
      <c r="E241" s="15" t="s">
        <v>361</v>
      </c>
      <c r="F241" s="62"/>
      <c r="G241" s="63"/>
      <c r="H241" s="63"/>
      <c r="I241" s="64"/>
    </row>
    <row r="242" spans="1:9">
      <c r="A242" s="1" t="s">
        <v>241</v>
      </c>
      <c r="B242" t="str">
        <f ca="1">_xlfn.LET(_xlpm.v,VLOOKUP(tblCharData27[[#This Row],[Field]],INDIRECT($AH$1),2,FALSE),IF(OR(_xlpm.v=0,_xlpm.v=""),"-",REPT("●",_xlpm.v)))</f>
        <v>●</v>
      </c>
      <c r="D242" s="19"/>
      <c r="E242" s="15" t="s">
        <v>362</v>
      </c>
      <c r="F242" s="62"/>
      <c r="G242" s="63"/>
      <c r="H242" s="63"/>
      <c r="I242" s="64"/>
    </row>
    <row r="243" spans="1:9">
      <c r="A243" s="1" t="s">
        <v>242</v>
      </c>
      <c r="B243" t="str">
        <f ca="1">_xlfn.LET(_xlpm.v,VLOOKUP(tblCharData27[[#This Row],[Field]],INDIRECT($AH$1),2,FALSE),IF(OR(_xlpm.v=0,_xlpm.v=""),"-",REPT("●",_xlpm.v)))</f>
        <v>●●●</v>
      </c>
      <c r="D243" s="19"/>
      <c r="E243" s="19"/>
      <c r="F243" s="19"/>
      <c r="G243" s="19"/>
      <c r="H243" s="19"/>
      <c r="I243" s="19"/>
    </row>
    <row r="244" spans="1:9">
      <c r="A244" s="1" t="s">
        <v>243</v>
      </c>
      <c r="B244" t="str">
        <f ca="1">_xlfn.LET(_xlpm.v,VLOOKUP(tblCharData27[[#This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_xlfn.LET(_xlpm.v,VLOOKUP(tblCharData27[[#This Row],[Field]],INDIRECT($AH$1),2,FALSE),IF(OR(_xlpm.v=0,_xlpm.v=""),"-",REPT("●",_xlpm.v)))</f>
        <v>-</v>
      </c>
      <c r="D245" s="19"/>
      <c r="E245" s="15" t="s">
        <v>1524</v>
      </c>
      <c r="F245" s="62"/>
      <c r="G245" s="63"/>
      <c r="H245" s="63"/>
      <c r="I245" s="64"/>
    </row>
    <row r="246" spans="1:9">
      <c r="A246" s="1" t="s">
        <v>245</v>
      </c>
      <c r="B246" t="str">
        <f ca="1">_xlfn.LET(_xlpm.v,VLOOKUP(tblCharData27[[#This Row],[Field]],INDIRECT($AH$1),2,FALSE),IF(OR(_xlpm.v=0,_xlpm.v=""),"-",REPT("●",_xlpm.v)))</f>
        <v>-</v>
      </c>
    </row>
    <row r="247" spans="1:9">
      <c r="A247" s="1" t="s">
        <v>246</v>
      </c>
      <c r="B247" t="str">
        <f ca="1">_xlfn.LET(_xlpm.v,VLOOKUP(tblCharData27[[#This Row],[Field]],INDIRECT($AH$1),2,FALSE),IF(OR(_xlpm.v=0,_xlpm.v=""),"-",REPT("●",_xlpm.v)))</f>
        <v>-</v>
      </c>
      <c r="D247" s="16" t="s">
        <v>1525</v>
      </c>
      <c r="E247" s="16"/>
      <c r="F247" s="16" t="s">
        <v>1526</v>
      </c>
      <c r="G247" s="16" t="s">
        <v>1527</v>
      </c>
      <c r="H247" s="16"/>
      <c r="I247" s="16"/>
    </row>
    <row r="248" spans="1:9">
      <c r="A248" s="1" t="s">
        <v>247</v>
      </c>
      <c r="B248" t="str">
        <f ca="1">_xlfn.LET(_xlpm.v,VLOOKUP(tblCharData27[[#This Row],[Field]],INDIRECT($AH$1),2,FALSE),IF(OR(_xlpm.v=0,_xlpm.v=""),"-",REPT("●",_xlpm.v)))</f>
        <v>-</v>
      </c>
      <c r="D248" s="19"/>
      <c r="E248" s="15" t="s">
        <v>1528</v>
      </c>
      <c r="F248" s="7"/>
      <c r="G248" s="7"/>
      <c r="H248" s="19"/>
      <c r="I248" s="19" t="s">
        <v>1529</v>
      </c>
    </row>
    <row r="249" spans="1:9">
      <c r="A249" s="1" t="s">
        <v>248</v>
      </c>
      <c r="B249" t="str">
        <f ca="1">_xlfn.LET(_xlpm.v,VLOOKUP(tblCharData27[[#This Row],[Field]],INDIRECT($AH$1),2,FALSE),IF(OR(_xlpm.v=0,_xlpm.v=""),"-",REPT("●",_xlpm.v)))</f>
        <v>-</v>
      </c>
      <c r="D249" s="19"/>
      <c r="E249" s="15" t="s">
        <v>1530</v>
      </c>
      <c r="F249" s="7"/>
      <c r="G249" s="7"/>
      <c r="H249" s="19"/>
      <c r="I249" s="19" t="s">
        <v>1531</v>
      </c>
    </row>
    <row r="250" spans="1:9">
      <c r="A250" s="1" t="s">
        <v>249</v>
      </c>
      <c r="B250" t="str">
        <f ca="1">_xlfn.LET(_xlpm.v,VLOOKUP(tblCharData27[[#This Row],[Field]],INDIRECT($AH$1),2,FALSE),IF(OR(_xlpm.v=0,_xlpm.v=""),"-",REPT("●",_xlpm.v)))</f>
        <v>-</v>
      </c>
      <c r="D250" s="19" t="s">
        <v>1532</v>
      </c>
      <c r="E250" s="15" t="s">
        <v>1533</v>
      </c>
      <c r="F250" s="7"/>
      <c r="G250" s="7"/>
      <c r="H250" s="19"/>
      <c r="I250" s="19"/>
    </row>
    <row r="251" spans="1:9">
      <c r="A251" s="1" t="s">
        <v>250</v>
      </c>
      <c r="B251" t="str">
        <f ca="1">_xlfn.LET(_xlpm.v,VLOOKUP(tblCharData27[[#This Row],[Field]],INDIRECT($AH$1),2,FALSE),IF(OR(_xlpm.v=0,_xlpm.v=""),"-",REPT("●",_xlpm.v)))</f>
        <v>-</v>
      </c>
      <c r="D251" s="19" t="s">
        <v>1532</v>
      </c>
      <c r="E251" s="15" t="s">
        <v>1534</v>
      </c>
      <c r="F251" s="7"/>
      <c r="G251" s="7"/>
      <c r="H251" s="19"/>
      <c r="I251" s="19"/>
    </row>
    <row r="252" spans="1:9">
      <c r="A252" s="1" t="s">
        <v>251</v>
      </c>
      <c r="B252" t="str">
        <f ca="1">_xlfn.LET(_xlpm.v,VLOOKUP(tblCharData27[[#This Row],[Field]],INDIRECT($AH$1),2,FALSE),IF(OR(_xlpm.v=0,_xlpm.v=""),"-",REPT("●",_xlpm.v)))</f>
        <v>-</v>
      </c>
      <c r="D252" s="19" t="s">
        <v>1532</v>
      </c>
      <c r="E252" s="15" t="s">
        <v>1535</v>
      </c>
      <c r="F252" s="7"/>
      <c r="G252" s="7"/>
      <c r="H252" s="19"/>
      <c r="I252" s="19"/>
    </row>
    <row r="253" spans="1:9">
      <c r="A253" s="1" t="s">
        <v>252</v>
      </c>
      <c r="B253" t="str">
        <f ca="1">_xlfn.LET(_xlpm.v,VLOOKUP(tblCharData27[[#This Row],[Field]],INDIRECT($AH$1),2,FALSE),IF(OR(_xlpm.v=0,_xlpm.v=""),"-",REPT("●",_xlpm.v)))</f>
        <v>-</v>
      </c>
      <c r="D253" s="19" t="s">
        <v>1532</v>
      </c>
      <c r="E253" s="15" t="s">
        <v>1536</v>
      </c>
      <c r="F253" s="7"/>
      <c r="G253" s="7"/>
      <c r="H253" s="19"/>
      <c r="I253" s="19"/>
    </row>
    <row r="254" spans="1:9">
      <c r="A254" s="1" t="s">
        <v>253</v>
      </c>
      <c r="B254" t="str">
        <f t="shared" ref="B254:B283" si="36">IF(AD44="","¬",AD44)</f>
        <v>Celerity ●</v>
      </c>
      <c r="D254" s="19" t="s">
        <v>1532</v>
      </c>
      <c r="E254" s="15" t="s">
        <v>1537</v>
      </c>
      <c r="F254" s="7"/>
      <c r="G254" s="7"/>
      <c r="H254" s="19"/>
      <c r="I254" s="19"/>
    </row>
    <row r="255" spans="1:9">
      <c r="A255" s="1" t="s">
        <v>254</v>
      </c>
      <c r="B255" t="str">
        <f t="shared" si="36"/>
        <v>Nightmare ● | Dread Presence</v>
      </c>
      <c r="D255" s="19" t="s">
        <v>1532</v>
      </c>
      <c r="E255" s="15" t="s">
        <v>1538</v>
      </c>
      <c r="F255" s="7"/>
      <c r="G255" s="7"/>
      <c r="H255" s="19"/>
      <c r="I255" s="19"/>
    </row>
    <row r="256" spans="1:9">
      <c r="A256" s="1" t="s">
        <v>255</v>
      </c>
      <c r="B256" t="str">
        <f t="shared" si="36"/>
        <v>Obfuscate ● | Face in the Crowd</v>
      </c>
      <c r="D256" s="19" t="s">
        <v>1532</v>
      </c>
      <c r="E256" s="15" t="s">
        <v>1539</v>
      </c>
      <c r="F256" s="7"/>
      <c r="G256" s="7"/>
      <c r="H256" s="19"/>
      <c r="I256" s="19"/>
    </row>
    <row r="257" spans="1:9">
      <c r="A257" s="1" t="s">
        <v>256</v>
      </c>
      <c r="B257" t="str">
        <f t="shared" si="36"/>
        <v>Obfuscate ●● | Touch of Shadow</v>
      </c>
      <c r="D257" s="19" t="s">
        <v>1532</v>
      </c>
      <c r="E257" s="15" t="s">
        <v>1540</v>
      </c>
      <c r="F257" s="7"/>
      <c r="G257" s="7"/>
      <c r="H257" s="19"/>
      <c r="I257" s="19"/>
    </row>
    <row r="258" spans="1:9">
      <c r="A258" s="1" t="s">
        <v>257</v>
      </c>
      <c r="B258" t="str">
        <f t="shared" si="36"/>
        <v>Obfuscate ●●● | Cloak of Night</v>
      </c>
      <c r="D258" s="19" t="s">
        <v>1532</v>
      </c>
      <c r="E258" s="15" t="s">
        <v>1541</v>
      </c>
      <c r="F258" s="7"/>
      <c r="G258" s="7"/>
      <c r="H258" s="19"/>
      <c r="I258" s="19"/>
    </row>
    <row r="259" spans="1:9">
      <c r="A259" s="1" t="s">
        <v>258</v>
      </c>
      <c r="B259" t="str">
        <f t="shared" si="36"/>
        <v>Devotion  | Wraith's Presence</v>
      </c>
      <c r="D259" s="19" t="s">
        <v>1532</v>
      </c>
      <c r="E259" s="15" t="s">
        <v>1542</v>
      </c>
      <c r="F259" s="7"/>
      <c r="G259" s="7"/>
      <c r="H259" s="19"/>
      <c r="I259" s="19"/>
    </row>
    <row r="260" spans="1:9">
      <c r="A260" s="1" t="s">
        <v>259</v>
      </c>
      <c r="B260" t="str">
        <f t="shared" si="36"/>
        <v>¬</v>
      </c>
      <c r="D260" s="19" t="s">
        <v>1532</v>
      </c>
      <c r="E260" s="15" t="s">
        <v>1543</v>
      </c>
      <c r="F260" s="7"/>
      <c r="G260" s="7"/>
      <c r="H260" s="19"/>
      <c r="I260" s="19"/>
    </row>
    <row r="261" spans="1:9">
      <c r="A261" s="1" t="s">
        <v>260</v>
      </c>
      <c r="B261" t="str">
        <f t="shared" si="36"/>
        <v>¬</v>
      </c>
      <c r="D261" s="19" t="s">
        <v>1532</v>
      </c>
      <c r="E261" s="15" t="s">
        <v>1544</v>
      </c>
      <c r="F261" s="7"/>
      <c r="G261" s="7"/>
      <c r="H261" s="19"/>
      <c r="I261" s="19"/>
    </row>
    <row r="262" spans="1:9">
      <c r="A262" s="1" t="s">
        <v>261</v>
      </c>
      <c r="B262" t="str">
        <f t="shared" si="36"/>
        <v>¬</v>
      </c>
      <c r="D262" s="19" t="s">
        <v>1532</v>
      </c>
      <c r="E262" s="15" t="s">
        <v>1545</v>
      </c>
      <c r="F262" s="7"/>
      <c r="G262" s="7"/>
      <c r="H262" s="19"/>
      <c r="I262" s="19"/>
    </row>
    <row r="263" spans="1:9">
      <c r="A263" s="1" t="s">
        <v>262</v>
      </c>
      <c r="B263" t="str">
        <f t="shared" si="36"/>
        <v>¬</v>
      </c>
      <c r="D263" s="19" t="s">
        <v>1532</v>
      </c>
      <c r="E263" s="15" t="s">
        <v>1546</v>
      </c>
      <c r="F263" s="7"/>
      <c r="G263" s="7"/>
      <c r="H263" s="19"/>
      <c r="I263" s="19"/>
    </row>
    <row r="264" spans="1:9">
      <c r="A264" s="1" t="s">
        <v>263</v>
      </c>
      <c r="B264" t="str">
        <f t="shared" si="36"/>
        <v>¬</v>
      </c>
      <c r="D264" s="19" t="s">
        <v>1532</v>
      </c>
      <c r="E264" s="15" t="s">
        <v>1547</v>
      </c>
      <c r="F264" s="7"/>
      <c r="G264" s="7"/>
      <c r="H264" s="19"/>
      <c r="I264" s="19"/>
    </row>
    <row r="265" spans="1:9">
      <c r="A265" s="1" t="s">
        <v>264</v>
      </c>
      <c r="B265" t="str">
        <f t="shared" si="36"/>
        <v>¬</v>
      </c>
      <c r="D265" s="19" t="s">
        <v>1532</v>
      </c>
      <c r="E265" s="15" t="s">
        <v>1548</v>
      </c>
      <c r="F265" s="7"/>
      <c r="G265" s="7"/>
      <c r="H265" s="19"/>
      <c r="I265" s="19"/>
    </row>
    <row r="266" spans="1:9">
      <c r="A266" s="1" t="s">
        <v>265</v>
      </c>
      <c r="B266" t="str">
        <f t="shared" si="36"/>
        <v>¬</v>
      </c>
      <c r="D266" s="19" t="s">
        <v>1532</v>
      </c>
      <c r="E266" s="15" t="s">
        <v>1549</v>
      </c>
      <c r="F266" s="7"/>
      <c r="G266" s="7"/>
      <c r="H266" s="19"/>
      <c r="I266" s="19"/>
    </row>
    <row r="267" spans="1:9">
      <c r="A267" s="1" t="s">
        <v>266</v>
      </c>
      <c r="B267" t="str">
        <f t="shared" si="36"/>
        <v>¬</v>
      </c>
      <c r="D267" s="19" t="s">
        <v>1532</v>
      </c>
      <c r="E267" s="15" t="s">
        <v>1550</v>
      </c>
      <c r="F267" s="7"/>
      <c r="G267" s="7"/>
      <c r="H267" s="19"/>
      <c r="I267" s="19"/>
    </row>
    <row r="268" spans="1:9">
      <c r="A268" s="1" t="s">
        <v>267</v>
      </c>
      <c r="B268" t="str">
        <f t="shared" si="36"/>
        <v>¬</v>
      </c>
      <c r="D268" s="19" t="s">
        <v>1532</v>
      </c>
      <c r="E268" s="15" t="s">
        <v>1551</v>
      </c>
      <c r="F268" s="7"/>
      <c r="G268" s="7"/>
      <c r="H268" s="19"/>
      <c r="I268" s="19"/>
    </row>
    <row r="269" spans="1:9">
      <c r="A269" s="1" t="s">
        <v>268</v>
      </c>
      <c r="B269" t="str">
        <f t="shared" si="36"/>
        <v>¬</v>
      </c>
      <c r="D269" s="19" t="s">
        <v>1532</v>
      </c>
      <c r="E269" s="15" t="s">
        <v>1552</v>
      </c>
      <c r="F269" s="7"/>
      <c r="G269" s="7"/>
      <c r="H269" s="19"/>
      <c r="I269" s="19"/>
    </row>
    <row r="270" spans="1:9">
      <c r="A270" s="1" t="s">
        <v>269</v>
      </c>
      <c r="B270" t="str">
        <f t="shared" si="36"/>
        <v>¬</v>
      </c>
      <c r="D270" s="19" t="s">
        <v>1532</v>
      </c>
      <c r="E270" s="15" t="s">
        <v>1553</v>
      </c>
      <c r="F270" s="7"/>
      <c r="G270" s="7"/>
      <c r="H270" s="19"/>
      <c r="I270" s="19"/>
    </row>
    <row r="271" spans="1:9">
      <c r="A271" s="1" t="s">
        <v>270</v>
      </c>
      <c r="B271" t="str">
        <f t="shared" si="36"/>
        <v>¬</v>
      </c>
      <c r="D271" s="19" t="s">
        <v>1532</v>
      </c>
      <c r="E271" s="15" t="s">
        <v>1554</v>
      </c>
      <c r="F271" s="7"/>
      <c r="G271" s="7"/>
      <c r="H271" s="19"/>
      <c r="I271" s="19"/>
    </row>
    <row r="272" spans="1:9">
      <c r="A272" s="1" t="s">
        <v>271</v>
      </c>
      <c r="B272" t="str">
        <f t="shared" si="36"/>
        <v>¬</v>
      </c>
      <c r="D272" s="19" t="s">
        <v>1532</v>
      </c>
      <c r="E272" s="15" t="s">
        <v>1555</v>
      </c>
      <c r="F272" s="7"/>
      <c r="G272" s="7"/>
      <c r="H272" s="19"/>
      <c r="I272" s="19"/>
    </row>
    <row r="273" spans="1:14">
      <c r="A273" s="1" t="s">
        <v>272</v>
      </c>
      <c r="B273" t="str">
        <f t="shared" si="36"/>
        <v>¬</v>
      </c>
      <c r="D273" s="19" t="s">
        <v>1532</v>
      </c>
      <c r="E273" s="15" t="s">
        <v>1556</v>
      </c>
      <c r="F273" s="7"/>
      <c r="G273" s="7"/>
      <c r="H273" s="19"/>
      <c r="I273" s="19"/>
    </row>
    <row r="274" spans="1:14">
      <c r="A274" s="1" t="s">
        <v>273</v>
      </c>
      <c r="B274" t="str">
        <f t="shared" si="36"/>
        <v>¬</v>
      </c>
      <c r="D274" s="19" t="s">
        <v>1532</v>
      </c>
      <c r="E274" s="15" t="s">
        <v>1557</v>
      </c>
      <c r="F274" s="7"/>
      <c r="G274" s="7"/>
      <c r="H274" s="19"/>
      <c r="I274" s="19"/>
    </row>
    <row r="275" spans="1:14">
      <c r="A275" s="1" t="s">
        <v>274</v>
      </c>
      <c r="B275" t="str">
        <f t="shared" si="36"/>
        <v>¬</v>
      </c>
      <c r="D275" s="19" t="s">
        <v>1532</v>
      </c>
      <c r="E275" s="15" t="s">
        <v>1558</v>
      </c>
      <c r="F275" s="7"/>
      <c r="G275" s="7"/>
      <c r="H275" s="19"/>
      <c r="I275" s="19"/>
    </row>
    <row r="276" spans="1:14">
      <c r="A276" s="1" t="s">
        <v>275</v>
      </c>
      <c r="B276" t="str">
        <f t="shared" si="36"/>
        <v>¬</v>
      </c>
      <c r="D276" s="19" t="s">
        <v>1532</v>
      </c>
      <c r="E276" s="15" t="s">
        <v>1559</v>
      </c>
      <c r="F276" s="7"/>
      <c r="G276" s="7"/>
      <c r="H276" s="19"/>
      <c r="I276" s="19"/>
    </row>
    <row r="277" spans="1:14">
      <c r="A277" s="1" t="s">
        <v>276</v>
      </c>
      <c r="B277" t="str">
        <f t="shared" si="36"/>
        <v>¬</v>
      </c>
      <c r="D277" s="19" t="s">
        <v>1532</v>
      </c>
      <c r="E277" s="15" t="s">
        <v>1560</v>
      </c>
      <c r="F277" s="7"/>
      <c r="G277" s="7"/>
      <c r="H277" s="19"/>
      <c r="I277" s="19"/>
    </row>
    <row r="278" spans="1:14">
      <c r="A278" s="1" t="s">
        <v>277</v>
      </c>
      <c r="B278" t="str">
        <f t="shared" si="36"/>
        <v>¬</v>
      </c>
    </row>
    <row r="279" spans="1:14">
      <c r="A279" s="1" t="s">
        <v>278</v>
      </c>
      <c r="B279" t="str">
        <f t="shared" si="36"/>
        <v>¬</v>
      </c>
      <c r="D279" s="16" t="s">
        <v>1561</v>
      </c>
      <c r="E279" s="16"/>
      <c r="F279" s="16" t="s">
        <v>1347</v>
      </c>
      <c r="G279" s="16" t="s">
        <v>1348</v>
      </c>
      <c r="H279" s="16" t="s">
        <v>1349</v>
      </c>
      <c r="I279" s="16" t="s">
        <v>1350</v>
      </c>
      <c r="N279" s="60" t="e">
        <f ca="1">SUM(N280:N282)</f>
        <v>#N/A</v>
      </c>
    </row>
    <row r="280" spans="1:14">
      <c r="A280" s="1" t="s">
        <v>279</v>
      </c>
      <c r="B280" t="str">
        <f t="shared" si="36"/>
        <v>¬</v>
      </c>
      <c r="D280" s="61" t="e" cm="1">
        <f t="array" aca="1" ref="D280" ca="1">INDEX(Attendance!$C$14:$GP$44,
       MATCH($F$4, Attendance!$C$14:$C$44, 0),
       MATCH(1, (Attendance!$C$12:$GP$12=$E280) * (Attendance!$C$13:$GP$13="Paid"), 0)
)</f>
        <v>#N/A</v>
      </c>
      <c r="E280" s="41">
        <v>46054</v>
      </c>
      <c r="F280" s="61" t="e" cm="1">
        <f t="array" aca="1" ref="F280" ca="1">N(INDEX(Attendance!$C$14:$GP$104,
       MATCH($F$4, Attendance!$C$14:$C$104, 0),
       MATCH(1, (Attendance!$C$12:$GP$12=$E280) * (Attendance!$C$13:$GP$13=$F$279), 0)
))</f>
        <v>#N/A</v>
      </c>
      <c r="G280" s="61" t="e" cm="1">
        <f t="array" aca="1" ref="G280" ca="1">N(INDEX(Attendance!$C$14:$GP$104,
       MATCH($F$4, Attendance!$C$14:$C$104, 0),
       MATCH(1, (Attendance!$C$12:$GP$12=$E280) * (Attendance!$C$13:$GP$13=$G$279), 0)
))</f>
        <v>#N/A</v>
      </c>
      <c r="H280" s="61" t="e" cm="1">
        <f t="array" aca="1" ref="H280" ca="1">N(INDEX(Attendance!$C$14:$GP$104,
       MATCH($F$4, Attendance!$C$14:$C$104, 0),
       MATCH(1, (Attendance!$C$12:$GP$12=$E280) * (Attendance!$C$13:$GP$13=$H$279), 0)
))</f>
        <v>#N/A</v>
      </c>
      <c r="I280" s="61" t="e" cm="1">
        <f t="array" aca="1" ref="I280" ca="1">INDEX(Attendance!$C$14:$GP$44,
       MATCH($F$4, Attendance!$C$14:$C$44, 0),
       MATCH(1, (Attendance!$C$12:$GP$12=$E280) * (Attendance!$C$13:$GP$13=$I$279), 0)
)</f>
        <v>#N/A</v>
      </c>
      <c r="K280" s="18"/>
      <c r="L280" s="18"/>
      <c r="M280" s="18" t="s">
        <v>1562</v>
      </c>
      <c r="N280" s="61" t="e">
        <f ca="1">SUM(F$280:F$316)</f>
        <v>#N/A</v>
      </c>
    </row>
    <row r="281" spans="1:14">
      <c r="A281" s="1" t="s">
        <v>280</v>
      </c>
      <c r="B281" t="str">
        <f t="shared" si="36"/>
        <v>¬</v>
      </c>
      <c r="D281" s="61" t="e" cm="1">
        <f t="array" aca="1" ref="D281" ca="1">INDEX(Attendance!$C$14:$GP$44,
       MATCH($F$4, Attendance!$C$14:$C$44, 0),
       MATCH(1, (Attendance!$C$12:$GP$12=$E281) * (Attendance!$C$13:$GP$13="Paid"), 0)
)</f>
        <v>#N/A</v>
      </c>
      <c r="E281" s="42">
        <f t="shared" ref="E281:E316" si="37">EDATE(E280, 1)</f>
        <v>46082</v>
      </c>
      <c r="F281" s="61" t="e" cm="1">
        <f t="array" aca="1" ref="F281" ca="1">N(INDEX(Attendance!$C$14:$GP$104,
       MATCH($F$4, Attendance!$C$14:$C$104, 0),
       MATCH(1, (Attendance!$C$12:$GP$12=$E281) * (Attendance!$C$13:$GP$13=$F$279), 0)
))</f>
        <v>#N/A</v>
      </c>
      <c r="G281" s="61" t="e" cm="1">
        <f t="array" aca="1" ref="G281" ca="1">N(INDEX(Attendance!$C$14:$GP$104,
       MATCH($F$4, Attendance!$C$14:$C$104, 0),
       MATCH(1, (Attendance!$C$12:$GP$12=$E281) * (Attendance!$C$13:$GP$13=$G$279), 0)
))</f>
        <v>#N/A</v>
      </c>
      <c r="H281" s="61" t="e" cm="1">
        <f t="array" aca="1" ref="H281" ca="1">N(INDEX(Attendance!$C$14:$GP$104,
       MATCH($F$4, Attendance!$C$14:$C$104, 0),
       MATCH(1, (Attendance!$C$12:$GP$12=$E281) * (Attendance!$C$13:$GP$13=$H$279), 0)
))</f>
        <v>#N/A</v>
      </c>
      <c r="I281" s="61" t="e" cm="1">
        <f t="array" aca="1" ref="I281" ca="1">INDEX(Attendance!$C$14:$GP$44,
       MATCH($F$4, Attendance!$C$14:$C$44, 0),
       MATCH(1, (Attendance!$C$12:$GP$12=$E281) * (Attendance!$C$13:$GP$13=$I$279), 0)
)</f>
        <v>#N/A</v>
      </c>
      <c r="K281" s="18"/>
      <c r="L281" s="18"/>
      <c r="M281" s="18" t="s">
        <v>1563</v>
      </c>
      <c r="N281" s="61" t="e">
        <f ca="1">SUM(G$280:G$316)</f>
        <v>#N/A</v>
      </c>
    </row>
    <row r="282" spans="1:14">
      <c r="A282" s="1" t="s">
        <v>281</v>
      </c>
      <c r="B282" t="str">
        <f t="shared" si="36"/>
        <v>¬</v>
      </c>
      <c r="D282" s="61" t="e" cm="1">
        <f t="array" aca="1" ref="D282" ca="1">INDEX(Attendance!$C$14:$GP$44,
       MATCH($F$4, Attendance!$C$14:$C$44, 0),
       MATCH(1, (Attendance!$C$12:$GP$12=$E282) * (Attendance!$C$13:$GP$13="Paid"), 0)
)</f>
        <v>#N/A</v>
      </c>
      <c r="E282" s="42">
        <f t="shared" si="37"/>
        <v>46113</v>
      </c>
      <c r="F282" s="61" t="e" cm="1">
        <f t="array" aca="1" ref="F282" ca="1">N(INDEX(Attendance!$C$14:$GP$104,
       MATCH($F$4, Attendance!$C$14:$C$104, 0),
       MATCH(1, (Attendance!$C$12:$GP$12=$E282) * (Attendance!$C$13:$GP$13=$F$279), 0)
))</f>
        <v>#N/A</v>
      </c>
      <c r="G282" s="61" t="e" cm="1">
        <f t="array" aca="1" ref="G282" ca="1">N(INDEX(Attendance!$C$14:$GP$104,
       MATCH($F$4, Attendance!$C$14:$C$104, 0),
       MATCH(1, (Attendance!$C$12:$GP$12=$E282) * (Attendance!$C$13:$GP$13=$G$279), 0)
))</f>
        <v>#N/A</v>
      </c>
      <c r="H282" s="61" t="e" cm="1">
        <f t="array" aca="1" ref="H282" ca="1">N(INDEX(Attendance!$C$14:$GP$104,
       MATCH($F$4, Attendance!$C$14:$C$104, 0),
       MATCH(1, (Attendance!$C$12:$GP$12=$E282) * (Attendance!$C$13:$GP$13=$H$279), 0)
))</f>
        <v>#N/A</v>
      </c>
      <c r="I282" s="61" t="e" cm="1">
        <f t="array" aca="1" ref="I282" ca="1">INDEX(Attendance!$C$14:$GP$44,
       MATCH($F$4, Attendance!$C$14:$C$44, 0),
       MATCH(1, (Attendance!$C$12:$GP$12=$E282) * (Attendance!$C$13:$GP$13=$I$279), 0)
)</f>
        <v>#N/A</v>
      </c>
      <c r="K282" s="18"/>
      <c r="L282" s="18"/>
      <c r="M282" s="18" t="s">
        <v>1564</v>
      </c>
      <c r="N282" s="61" t="e">
        <f ca="1">SUM(H$280:H$316)</f>
        <v>#N/A</v>
      </c>
    </row>
    <row r="283" spans="1:14">
      <c r="A283" s="1" t="s">
        <v>282</v>
      </c>
      <c r="B283" t="str">
        <f t="shared" si="36"/>
        <v>¬</v>
      </c>
      <c r="D283" s="61" t="e" cm="1">
        <f t="array" aca="1" ref="D283" ca="1">INDEX(Attendance!$C$14:$GP$44,
       MATCH($F$4, Attendance!$C$14:$C$44, 0),
       MATCH(1, (Attendance!$C$12:$GP$12=$E283) * (Attendance!$C$13:$GP$13="Paid"), 0)
)</f>
        <v>#N/A</v>
      </c>
      <c r="E283" s="42">
        <f t="shared" si="37"/>
        <v>46143</v>
      </c>
      <c r="F283" s="61" t="e" cm="1">
        <f t="array" aca="1" ref="F283" ca="1">N(INDEX(Attendance!$C$14:$GP$104,
       MATCH($F$4, Attendance!$C$14:$C$104, 0),
       MATCH(1, (Attendance!$C$12:$GP$12=$E283) * (Attendance!$C$13:$GP$13=$F$279), 0)
))</f>
        <v>#N/A</v>
      </c>
      <c r="G283" s="61" t="e" cm="1">
        <f t="array" aca="1" ref="G283" ca="1">N(INDEX(Attendance!$C$14:$GP$104,
       MATCH($F$4, Attendance!$C$14:$C$104, 0),
       MATCH(1, (Attendance!$C$12:$GP$12=$E283) * (Attendance!$C$13:$GP$13=$G$279), 0)
))</f>
        <v>#N/A</v>
      </c>
      <c r="H283" s="61" t="e" cm="1">
        <f t="array" aca="1" ref="H283" ca="1">N(INDEX(Attendance!$C$14:$GP$104,
       MATCH($F$4, Attendance!$C$14:$C$104, 0),
       MATCH(1, (Attendance!$C$12:$GP$12=$E283) * (Attendance!$C$13:$GP$13=$H$279), 0)
))</f>
        <v>#N/A</v>
      </c>
      <c r="I283" s="61" t="e" cm="1">
        <f t="array" aca="1" ref="I283" ca="1">INDEX(Attendance!$C$14:$GP$44,
       MATCH($F$4, Attendance!$C$14:$C$44, 0),
       MATCH(1, (Attendance!$C$12:$GP$12=$E283) * (Attendance!$C$13:$GP$13=$I$279), 0)
)</f>
        <v>#N/A</v>
      </c>
    </row>
    <row r="284" spans="1:14">
      <c r="A284" s="1" t="s">
        <v>283</v>
      </c>
      <c r="B284" t="str">
        <f t="shared" ref="B284:B313" si="38">IF(AE44="","¬",AE44)</f>
        <v>Cost: 1 V per effect  •  Pool: -  •  Reflexive  •  1 turn</v>
      </c>
      <c r="D284" s="61" t="e" cm="1">
        <f t="array" aca="1" ref="D284" ca="1">INDEX(Attendance!$C$14:$GP$44,
       MATCH($F$4, Attendance!$C$14:$C$44, 0),
       MATCH(1, (Attendance!$C$12:$GP$12=$E284) * (Attendance!$C$13:$GP$13="Paid"), 0)
)</f>
        <v>#N/A</v>
      </c>
      <c r="E284" s="42">
        <f t="shared" si="37"/>
        <v>46174</v>
      </c>
      <c r="F284" s="61" t="e" cm="1">
        <f t="array" aca="1" ref="F284" ca="1">N(INDEX(Attendance!$C$14:$GP$104,
       MATCH($F$4, Attendance!$C$14:$C$104, 0),
       MATCH(1, (Attendance!$C$12:$GP$12=$E284) * (Attendance!$C$13:$GP$13=$F$279), 0)
))</f>
        <v>#N/A</v>
      </c>
      <c r="G284" s="61" t="e" cm="1">
        <f t="array" aca="1" ref="G284" ca="1">N(INDEX(Attendance!$C$14:$GP$104,
       MATCH($F$4, Attendance!$C$14:$C$104, 0),
       MATCH(1, (Attendance!$C$12:$GP$12=$E284) * (Attendance!$C$13:$GP$13=$G$279), 0)
))</f>
        <v>#N/A</v>
      </c>
      <c r="H284" s="61" t="e" cm="1">
        <f t="array" aca="1" ref="H284" ca="1">N(INDEX(Attendance!$C$14:$GP$104,
       MATCH($F$4, Attendance!$C$14:$C$104, 0),
       MATCH(1, (Attendance!$C$12:$GP$12=$E284) * (Attendance!$C$13:$GP$13=$H$279), 0)
))</f>
        <v>#N/A</v>
      </c>
      <c r="I284" s="61" t="e" cm="1">
        <f t="array" aca="1" ref="I284" ca="1">INDEX(Attendance!$C$14:$GP$44,
       MATCH($F$4, Attendance!$C$14:$C$44, 0),
       MATCH(1, (Attendance!$C$12:$GP$12=$E284) * (Attendance!$C$13:$GP$13=$I$279), 0)
)</f>
        <v>#N/A</v>
      </c>
    </row>
    <row r="285" spans="1:14">
      <c r="A285" s="1" t="s">
        <v>284</v>
      </c>
      <c r="B285" t="str">
        <f t="shared" si="38"/>
        <v>Cost: -  •  Pool: -  •  Instant  •  Scene</v>
      </c>
      <c r="D285" s="61" t="e" cm="1">
        <f t="array" aca="1" ref="D285" ca="1">INDEX(Attendance!$C$14:$GP$44,
       MATCH($F$4, Attendance!$C$14:$C$44, 0),
       MATCH(1, (Attendance!$C$12:$GP$12=$E285) * (Attendance!$C$13:$GP$13="Paid"), 0)
)</f>
        <v>#N/A</v>
      </c>
      <c r="E285" s="42">
        <f t="shared" si="37"/>
        <v>46204</v>
      </c>
      <c r="F285" s="61" t="e" cm="1">
        <f t="array" aca="1" ref="F285" ca="1">N(INDEX(Attendance!$C$14:$GP$104,
       MATCH($F$4, Attendance!$C$14:$C$104, 0),
       MATCH(1, (Attendance!$C$12:$GP$12=$E285) * (Attendance!$C$13:$GP$13=$F$279), 0)
))</f>
        <v>#N/A</v>
      </c>
      <c r="G285" s="61" t="e" cm="1">
        <f t="array" aca="1" ref="G285" ca="1">N(INDEX(Attendance!$C$14:$GP$104,
       MATCH($F$4, Attendance!$C$14:$C$104, 0),
       MATCH(1, (Attendance!$C$12:$GP$12=$E285) * (Attendance!$C$13:$GP$13=$G$279), 0)
))</f>
        <v>#N/A</v>
      </c>
      <c r="H285" s="61" t="e" cm="1">
        <f t="array" aca="1" ref="H285" ca="1">N(INDEX(Attendance!$C$14:$GP$104,
       MATCH($F$4, Attendance!$C$14:$C$104, 0),
       MATCH(1, (Attendance!$C$12:$GP$12=$E285) * (Attendance!$C$13:$GP$13=$H$279), 0)
))</f>
        <v>#N/A</v>
      </c>
      <c r="I285" s="61" t="e" cm="1">
        <f t="array" aca="1" ref="I285" ca="1">INDEX(Attendance!$C$14:$GP$44,
       MATCH($F$4, Attendance!$C$14:$C$44, 0),
       MATCH(1, (Attendance!$C$12:$GP$12=$E285) * (Attendance!$C$13:$GP$13=$I$279), 0)
)</f>
        <v>#N/A</v>
      </c>
    </row>
    <row r="286" spans="1:14">
      <c r="A286" s="1" t="s">
        <v>285</v>
      </c>
      <c r="B286" t="str">
        <f t="shared" si="38"/>
        <v>Cost: -  •  Pool: -  •  Instant  •  Scene</v>
      </c>
      <c r="D286" s="61" t="e" cm="1">
        <f t="array" aca="1" ref="D286" ca="1">INDEX(Attendance!$C$14:$GP$44,
       MATCH($F$4, Attendance!$C$14:$C$44, 0),
       MATCH(1, (Attendance!$C$12:$GP$12=$E286) * (Attendance!$C$13:$GP$13="Paid"), 0)
)</f>
        <v>#N/A</v>
      </c>
      <c r="E286" s="42">
        <f t="shared" si="37"/>
        <v>46235</v>
      </c>
      <c r="F286" s="61" t="e" cm="1">
        <f t="array" aca="1" ref="F286" ca="1">N(INDEX(Attendance!$C$14:$GP$104,
       MATCH($F$4, Attendance!$C$14:$C$104, 0),
       MATCH(1, (Attendance!$C$12:$GP$12=$E286) * (Attendance!$C$13:$GP$13=$F$279), 0)
))</f>
        <v>#N/A</v>
      </c>
      <c r="G286" s="61" t="e" cm="1">
        <f t="array" aca="1" ref="G286" ca="1">N(INDEX(Attendance!$C$14:$GP$104,
       MATCH($F$4, Attendance!$C$14:$C$104, 0),
       MATCH(1, (Attendance!$C$12:$GP$12=$E286) * (Attendance!$C$13:$GP$13=$G$279), 0)
))</f>
        <v>#N/A</v>
      </c>
      <c r="H286" s="61" t="e" cm="1">
        <f t="array" aca="1" ref="H286" ca="1">N(INDEX(Attendance!$C$14:$GP$104,
       MATCH($F$4, Attendance!$C$14:$C$104, 0),
       MATCH(1, (Attendance!$C$12:$GP$12=$E286) * (Attendance!$C$13:$GP$13=$H$279), 0)
))</f>
        <v>#N/A</v>
      </c>
      <c r="I286" s="61" t="e" cm="1">
        <f t="array" aca="1" ref="I286" ca="1">INDEX(Attendance!$C$14:$GP$44,
       MATCH($F$4, Attendance!$C$14:$C$44, 0),
       MATCH(1, (Attendance!$C$12:$GP$12=$E286) * (Attendance!$C$13:$GP$13=$I$279), 0)
)</f>
        <v>#N/A</v>
      </c>
    </row>
    <row r="287" spans="1:14">
      <c r="A287" s="1" t="s">
        <v>286</v>
      </c>
      <c r="B287" t="str">
        <f t="shared" si="38"/>
        <v>Cost: 1 V  •  Pool: 3  •  Instant  •  Scene</v>
      </c>
      <c r="D287" s="61" t="e" cm="1">
        <f t="array" aca="1" ref="D287" ca="1">INDEX(Attendance!$C$14:$GP$44,
       MATCH($F$4, Attendance!$C$14:$C$44, 0),
       MATCH(1, (Attendance!$C$12:$GP$12=$E287) * (Attendance!$C$13:$GP$13="Paid"), 0)
)</f>
        <v>#N/A</v>
      </c>
      <c r="E287" s="42">
        <f t="shared" si="37"/>
        <v>46266</v>
      </c>
      <c r="F287" s="61" t="e" cm="1">
        <f t="array" aca="1" ref="F287" ca="1">N(INDEX(Attendance!$C$14:$GP$104,
       MATCH($F$4, Attendance!$C$14:$C$104, 0),
       MATCH(1, (Attendance!$C$12:$GP$12=$E287) * (Attendance!$C$13:$GP$13=$F$279), 0)
))</f>
        <v>#N/A</v>
      </c>
      <c r="G287" s="61" t="e" cm="1">
        <f t="array" aca="1" ref="G287" ca="1">N(INDEX(Attendance!$C$14:$GP$104,
       MATCH($F$4, Attendance!$C$14:$C$104, 0),
       MATCH(1, (Attendance!$C$12:$GP$12=$E287) * (Attendance!$C$13:$GP$13=$G$279), 0)
))</f>
        <v>#N/A</v>
      </c>
      <c r="H287" s="61" t="e" cm="1">
        <f t="array" aca="1" ref="H287" ca="1">N(INDEX(Attendance!$C$14:$GP$104,
       MATCH($F$4, Attendance!$C$14:$C$104, 0),
       MATCH(1, (Attendance!$C$12:$GP$12=$E287) * (Attendance!$C$13:$GP$13=$H$279), 0)
))</f>
        <v>#N/A</v>
      </c>
      <c r="I287" s="61" t="e" cm="1">
        <f t="array" aca="1" ref="I287" ca="1">INDEX(Attendance!$C$14:$GP$44,
       MATCH($F$4, Attendance!$C$14:$C$44, 0),
       MATCH(1, (Attendance!$C$12:$GP$12=$E287) * (Attendance!$C$13:$GP$13=$I$279), 0)
)</f>
        <v>#N/A</v>
      </c>
    </row>
    <row r="288" spans="1:14">
      <c r="A288" s="1" t="s">
        <v>287</v>
      </c>
      <c r="B288" t="str">
        <f t="shared" si="38"/>
        <v>Cost: 1 V  •  Pool: -  •  None</v>
      </c>
      <c r="D288" s="61" t="e" cm="1">
        <f t="array" aca="1" ref="D288" ca="1">INDEX(Attendance!$C$14:$GP$44,
       MATCH($F$4, Attendance!$C$14:$C$44, 0),
       MATCH(1, (Attendance!$C$12:$GP$12=$E288) * (Attendance!$C$13:$GP$13="Paid"), 0)
)</f>
        <v>#N/A</v>
      </c>
      <c r="E288" s="42">
        <f t="shared" si="37"/>
        <v>46296</v>
      </c>
      <c r="F288" s="61" t="e" cm="1">
        <f t="array" aca="1" ref="F288" ca="1">N(INDEX(Attendance!$C$14:$GP$104,
       MATCH($F$4, Attendance!$C$14:$C$104, 0),
       MATCH(1, (Attendance!$C$12:$GP$12=$E288) * (Attendance!$C$13:$GP$13=$F$279), 0)
))</f>
        <v>#N/A</v>
      </c>
      <c r="G288" s="61" t="e" cm="1">
        <f t="array" aca="1" ref="G288" ca="1">N(INDEX(Attendance!$C$14:$GP$104,
       MATCH($F$4, Attendance!$C$14:$C$104, 0),
       MATCH(1, (Attendance!$C$12:$GP$12=$E288) * (Attendance!$C$13:$GP$13=$G$279), 0)
))</f>
        <v>#N/A</v>
      </c>
      <c r="H288" s="61" t="e" cm="1">
        <f t="array" aca="1" ref="H288" ca="1">N(INDEX(Attendance!$C$14:$GP$104,
       MATCH($F$4, Attendance!$C$14:$C$104, 0),
       MATCH(1, (Attendance!$C$12:$GP$12=$E288) * (Attendance!$C$13:$GP$13=$H$279), 0)
))</f>
        <v>#N/A</v>
      </c>
      <c r="I288" s="61" t="e" cm="1">
        <f t="array" aca="1" ref="I288" ca="1">INDEX(Attendance!$C$14:$GP$44,
       MATCH($F$4, Attendance!$C$14:$C$44, 0),
       MATCH(1, (Attendance!$C$12:$GP$12=$E288) * (Attendance!$C$13:$GP$13=$I$279), 0)
)</f>
        <v>#N/A</v>
      </c>
    </row>
    <row r="289" spans="1:9">
      <c r="A289" s="1" t="s">
        <v>288</v>
      </c>
      <c r="B289" t="str">
        <f t="shared" si="38"/>
        <v>Cost: 1 V Activate with Cloak of Night  •  Pool: 3  •  Instant  •  Scene</v>
      </c>
      <c r="D289" s="61" t="e" cm="1">
        <f t="array" aca="1" ref="D289" ca="1">INDEX(Attendance!$C$14:$GP$44,
       MATCH($F$4, Attendance!$C$14:$C$44, 0),
       MATCH(1, (Attendance!$C$12:$GP$12=$E289) * (Attendance!$C$13:$GP$13="Paid"), 0)
)</f>
        <v>#N/A</v>
      </c>
      <c r="E289" s="42">
        <f t="shared" si="37"/>
        <v>46327</v>
      </c>
      <c r="F289" s="61" t="e" cm="1">
        <f t="array" aca="1" ref="F289" ca="1">N(INDEX(Attendance!$C$14:$GP$104,
       MATCH($F$4, Attendance!$C$14:$C$104, 0),
       MATCH(1, (Attendance!$C$12:$GP$12=$E289) * (Attendance!$C$13:$GP$13=$F$279), 0)
))</f>
        <v>#N/A</v>
      </c>
      <c r="G289" s="61" t="e" cm="1">
        <f t="array" aca="1" ref="G289" ca="1">N(INDEX(Attendance!$C$14:$GP$104,
       MATCH($F$4, Attendance!$C$14:$C$104, 0),
       MATCH(1, (Attendance!$C$12:$GP$12=$E289) * (Attendance!$C$13:$GP$13=$G$279), 0)
))</f>
        <v>#N/A</v>
      </c>
      <c r="H289" s="61" t="e" cm="1">
        <f t="array" aca="1" ref="H289" ca="1">N(INDEX(Attendance!$C$14:$GP$104,
       MATCH($F$4, Attendance!$C$14:$C$104, 0),
       MATCH(1, (Attendance!$C$12:$GP$12=$E289) * (Attendance!$C$13:$GP$13=$H$279), 0)
))</f>
        <v>#N/A</v>
      </c>
      <c r="I289" s="61" t="e" cm="1">
        <f t="array" aca="1" ref="I289" ca="1">INDEX(Attendance!$C$14:$GP$44,
       MATCH($F$4, Attendance!$C$14:$C$44, 0),
       MATCH(1, (Attendance!$C$12:$GP$12=$E289) * (Attendance!$C$13:$GP$13=$I$279), 0)
)</f>
        <v>#N/A</v>
      </c>
    </row>
    <row r="290" spans="1:9">
      <c r="A290" s="1" t="s">
        <v>289</v>
      </c>
      <c r="B290" t="str">
        <f t="shared" si="38"/>
        <v>¬</v>
      </c>
      <c r="D290" s="61" t="e" cm="1">
        <f t="array" aca="1" ref="D290" ca="1">INDEX(Attendance!$C$14:$GP$44,
       MATCH($F$4, Attendance!$C$14:$C$44, 0),
       MATCH(1, (Attendance!$C$12:$GP$12=$E290) * (Attendance!$C$13:$GP$13="Paid"), 0)
)</f>
        <v>#N/A</v>
      </c>
      <c r="E290" s="42">
        <f t="shared" si="37"/>
        <v>46357</v>
      </c>
      <c r="F290" s="61" t="e" cm="1">
        <f t="array" aca="1" ref="F290" ca="1">N(INDEX(Attendance!$C$14:$GP$104,
       MATCH($F$4, Attendance!$C$14:$C$104, 0),
       MATCH(1, (Attendance!$C$12:$GP$12=$E290) * (Attendance!$C$13:$GP$13=$F$279), 0)
))</f>
        <v>#N/A</v>
      </c>
      <c r="G290" s="61" t="e" cm="1">
        <f t="array" aca="1" ref="G290" ca="1">N(INDEX(Attendance!$C$14:$GP$104,
       MATCH($F$4, Attendance!$C$14:$C$104, 0),
       MATCH(1, (Attendance!$C$12:$GP$12=$E290) * (Attendance!$C$13:$GP$13=$G$279), 0)
))</f>
        <v>#N/A</v>
      </c>
      <c r="H290" s="61" t="e" cm="1">
        <f t="array" aca="1" ref="H290" ca="1">N(INDEX(Attendance!$C$14:$GP$104,
       MATCH($F$4, Attendance!$C$14:$C$104, 0),
       MATCH(1, (Attendance!$C$12:$GP$12=$E290) * (Attendance!$C$13:$GP$13=$H$279), 0)
))</f>
        <v>#N/A</v>
      </c>
      <c r="I290" s="61" t="e" cm="1">
        <f t="array" aca="1" ref="I290" ca="1">INDEX(Attendance!$C$14:$GP$44,
       MATCH($F$4, Attendance!$C$14:$C$44, 0),
       MATCH(1, (Attendance!$C$12:$GP$12=$E290) * (Attendance!$C$13:$GP$13=$I$279), 0)
)</f>
        <v>#N/A</v>
      </c>
    </row>
    <row r="291" spans="1:9">
      <c r="A291" s="1" t="s">
        <v>290</v>
      </c>
      <c r="B291" t="str">
        <f t="shared" si="38"/>
        <v>¬</v>
      </c>
      <c r="D291" s="61" t="e" cm="1">
        <f t="array" aca="1" ref="D291" ca="1">INDEX(Attendance!$C$14:$GP$44,
       MATCH($F$4, Attendance!$C$14:$C$44, 0),
       MATCH(1, (Attendance!$C$12:$GP$12=$E291) * (Attendance!$C$13:$GP$13="Paid"), 0)
)</f>
        <v>#N/A</v>
      </c>
      <c r="E291" s="42">
        <f t="shared" si="37"/>
        <v>46388</v>
      </c>
      <c r="F291" s="61" t="e" cm="1">
        <f t="array" aca="1" ref="F291" ca="1">N(INDEX(Attendance!$C$14:$GP$104,
       MATCH($F$4, Attendance!$C$14:$C$104, 0),
       MATCH(1, (Attendance!$C$12:$GP$12=$E291) * (Attendance!$C$13:$GP$13=$F$279), 0)
))</f>
        <v>#N/A</v>
      </c>
      <c r="G291" s="61" t="e" cm="1">
        <f t="array" aca="1" ref="G291" ca="1">N(INDEX(Attendance!$C$14:$GP$104,
       MATCH($F$4, Attendance!$C$14:$C$104, 0),
       MATCH(1, (Attendance!$C$12:$GP$12=$E291) * (Attendance!$C$13:$GP$13=$G$279), 0)
))</f>
        <v>#N/A</v>
      </c>
      <c r="H291" s="61" t="e" cm="1">
        <f t="array" aca="1" ref="H291" ca="1">N(INDEX(Attendance!$C$14:$GP$104,
       MATCH($F$4, Attendance!$C$14:$C$104, 0),
       MATCH(1, (Attendance!$C$12:$GP$12=$E291) * (Attendance!$C$13:$GP$13=$H$279), 0)
))</f>
        <v>#N/A</v>
      </c>
      <c r="I291" s="61" t="e" cm="1">
        <f t="array" aca="1" ref="I291" ca="1">INDEX(Attendance!$C$14:$GP$44,
       MATCH($F$4, Attendance!$C$14:$C$44, 0),
       MATCH(1, (Attendance!$C$12:$GP$12=$E291) * (Attendance!$C$13:$GP$13=$I$279), 0)
)</f>
        <v>#N/A</v>
      </c>
    </row>
    <row r="292" spans="1:9">
      <c r="A292" s="1" t="s">
        <v>291</v>
      </c>
      <c r="B292" t="str">
        <f t="shared" si="38"/>
        <v>¬</v>
      </c>
      <c r="D292" s="61" t="e" cm="1">
        <f t="array" aca="1" ref="D292" ca="1">INDEX(Attendance!$C$14:$GP$44,
       MATCH($F$4, Attendance!$C$14:$C$44, 0),
       MATCH(1, (Attendance!$C$12:$GP$12=$E292) * (Attendance!$C$13:$GP$13="Paid"), 0)
)</f>
        <v>#N/A</v>
      </c>
      <c r="E292" s="42">
        <f t="shared" si="37"/>
        <v>46419</v>
      </c>
      <c r="F292" s="61" t="e" cm="1">
        <f t="array" aca="1" ref="F292" ca="1">N(INDEX(Attendance!$C$14:$GP$104,
       MATCH($F$4, Attendance!$C$14:$C$104, 0),
       MATCH(1, (Attendance!$C$12:$GP$12=$E292) * (Attendance!$C$13:$GP$13=$F$279), 0)
))</f>
        <v>#N/A</v>
      </c>
      <c r="G292" s="61" t="e" cm="1">
        <f t="array" aca="1" ref="G292" ca="1">N(INDEX(Attendance!$C$14:$GP$104,
       MATCH($F$4, Attendance!$C$14:$C$104, 0),
       MATCH(1, (Attendance!$C$12:$GP$12=$E292) * (Attendance!$C$13:$GP$13=$G$279), 0)
))</f>
        <v>#N/A</v>
      </c>
      <c r="H292" s="61" t="e" cm="1">
        <f t="array" aca="1" ref="H292" ca="1">N(INDEX(Attendance!$C$14:$GP$104,
       MATCH($F$4, Attendance!$C$14:$C$104, 0),
       MATCH(1, (Attendance!$C$12:$GP$12=$E292) * (Attendance!$C$13:$GP$13=$H$279), 0)
))</f>
        <v>#N/A</v>
      </c>
      <c r="I292" s="61" t="e" cm="1">
        <f t="array" aca="1" ref="I292" ca="1">INDEX(Attendance!$C$14:$GP$44,
       MATCH($F$4, Attendance!$C$14:$C$44, 0),
       MATCH(1, (Attendance!$C$12:$GP$12=$E292) * (Attendance!$C$13:$GP$13=$I$279), 0)
)</f>
        <v>#N/A</v>
      </c>
    </row>
    <row r="293" spans="1:9">
      <c r="A293" s="1" t="s">
        <v>292</v>
      </c>
      <c r="B293" t="str">
        <f t="shared" si="38"/>
        <v>¬</v>
      </c>
      <c r="D293" s="61" t="e" cm="1">
        <f t="array" aca="1" ref="D293" ca="1">INDEX(Attendance!$C$14:$GP$44,
       MATCH($F$4, Attendance!$C$14:$C$44, 0),
       MATCH(1, (Attendance!$C$12:$GP$12=$E293) * (Attendance!$C$13:$GP$13="Paid"), 0)
)</f>
        <v>#N/A</v>
      </c>
      <c r="E293" s="42">
        <f t="shared" si="37"/>
        <v>46447</v>
      </c>
      <c r="F293" s="61" t="e" cm="1">
        <f t="array" aca="1" ref="F293" ca="1">N(INDEX(Attendance!$C$14:$GP$104,
       MATCH($F$4, Attendance!$C$14:$C$104, 0),
       MATCH(1, (Attendance!$C$12:$GP$12=$E293) * (Attendance!$C$13:$GP$13=$F$279), 0)
))</f>
        <v>#N/A</v>
      </c>
      <c r="G293" s="61" t="e" cm="1">
        <f t="array" aca="1" ref="G293" ca="1">N(INDEX(Attendance!$C$14:$GP$104,
       MATCH($F$4, Attendance!$C$14:$C$104, 0),
       MATCH(1, (Attendance!$C$12:$GP$12=$E293) * (Attendance!$C$13:$GP$13=$G$279), 0)
))</f>
        <v>#N/A</v>
      </c>
      <c r="H293" s="61" t="e" cm="1">
        <f t="array" aca="1" ref="H293" ca="1">N(INDEX(Attendance!$C$14:$GP$104,
       MATCH($F$4, Attendance!$C$14:$C$104, 0),
       MATCH(1, (Attendance!$C$12:$GP$12=$E293) * (Attendance!$C$13:$GP$13=$H$279), 0)
))</f>
        <v>#N/A</v>
      </c>
      <c r="I293" s="61" t="e" cm="1">
        <f t="array" aca="1" ref="I293" ca="1">INDEX(Attendance!$C$14:$GP$44,
       MATCH($F$4, Attendance!$C$14:$C$44, 0),
       MATCH(1, (Attendance!$C$12:$GP$12=$E293) * (Attendance!$C$13:$GP$13=$I$279), 0)
)</f>
        <v>#N/A</v>
      </c>
    </row>
    <row r="294" spans="1:9">
      <c r="A294" s="1" t="s">
        <v>293</v>
      </c>
      <c r="B294" t="str">
        <f t="shared" si="38"/>
        <v>¬</v>
      </c>
      <c r="D294" s="61" t="e" cm="1">
        <f t="array" aca="1" ref="D294" ca="1">INDEX(Attendance!$C$14:$GP$44,
       MATCH($F$4, Attendance!$C$14:$C$44, 0),
       MATCH(1, (Attendance!$C$12:$GP$12=$E294) * (Attendance!$C$13:$GP$13="Paid"), 0)
)</f>
        <v>#N/A</v>
      </c>
      <c r="E294" s="42">
        <f t="shared" si="37"/>
        <v>46478</v>
      </c>
      <c r="F294" s="61" t="e" cm="1">
        <f t="array" aca="1" ref="F294" ca="1">N(INDEX(Attendance!$C$14:$GP$104,
       MATCH($F$4, Attendance!$C$14:$C$104, 0),
       MATCH(1, (Attendance!$C$12:$GP$12=$E294) * (Attendance!$C$13:$GP$13=$F$279), 0)
))</f>
        <v>#N/A</v>
      </c>
      <c r="G294" s="61" t="e" cm="1">
        <f t="array" aca="1" ref="G294" ca="1">N(INDEX(Attendance!$C$14:$GP$104,
       MATCH($F$4, Attendance!$C$14:$C$104, 0),
       MATCH(1, (Attendance!$C$12:$GP$12=$E294) * (Attendance!$C$13:$GP$13=$G$279), 0)
))</f>
        <v>#N/A</v>
      </c>
      <c r="H294" s="61" t="e" cm="1">
        <f t="array" aca="1" ref="H294" ca="1">N(INDEX(Attendance!$C$14:$GP$104,
       MATCH($F$4, Attendance!$C$14:$C$104, 0),
       MATCH(1, (Attendance!$C$12:$GP$12=$E294) * (Attendance!$C$13:$GP$13=$H$279), 0)
))</f>
        <v>#N/A</v>
      </c>
      <c r="I294" s="61" t="e" cm="1">
        <f t="array" aca="1" ref="I294" ca="1">INDEX(Attendance!$C$14:$GP$44,
       MATCH($F$4, Attendance!$C$14:$C$44, 0),
       MATCH(1, (Attendance!$C$12:$GP$12=$E294) * (Attendance!$C$13:$GP$13=$I$279), 0)
)</f>
        <v>#N/A</v>
      </c>
    </row>
    <row r="295" spans="1:9">
      <c r="A295" s="1" t="s">
        <v>294</v>
      </c>
      <c r="B295" t="str">
        <f t="shared" si="38"/>
        <v>¬</v>
      </c>
      <c r="D295" s="61" t="e" cm="1">
        <f t="array" aca="1" ref="D295" ca="1">INDEX(Attendance!$C$14:$GP$44,
       MATCH($F$4, Attendance!$C$14:$C$44, 0),
       MATCH(1, (Attendance!$C$12:$GP$12=$E295) * (Attendance!$C$13:$GP$13="Paid"), 0)
)</f>
        <v>#N/A</v>
      </c>
      <c r="E295" s="42">
        <f t="shared" si="37"/>
        <v>46508</v>
      </c>
      <c r="F295" s="61" t="e" cm="1">
        <f t="array" aca="1" ref="F295" ca="1">N(INDEX(Attendance!$C$14:$GP$104,
       MATCH($F$4, Attendance!$C$14:$C$104, 0),
       MATCH(1, (Attendance!$C$12:$GP$12=$E295) * (Attendance!$C$13:$GP$13=$F$279), 0)
))</f>
        <v>#N/A</v>
      </c>
      <c r="G295" s="61" t="e" cm="1">
        <f t="array" aca="1" ref="G295" ca="1">N(INDEX(Attendance!$C$14:$GP$104,
       MATCH($F$4, Attendance!$C$14:$C$104, 0),
       MATCH(1, (Attendance!$C$12:$GP$12=$E295) * (Attendance!$C$13:$GP$13=$G$279), 0)
))</f>
        <v>#N/A</v>
      </c>
      <c r="H295" s="61" t="e" cm="1">
        <f t="array" aca="1" ref="H295" ca="1">N(INDEX(Attendance!$C$14:$GP$104,
       MATCH($F$4, Attendance!$C$14:$C$104, 0),
       MATCH(1, (Attendance!$C$12:$GP$12=$E295) * (Attendance!$C$13:$GP$13=$H$279), 0)
))</f>
        <v>#N/A</v>
      </c>
      <c r="I295" s="61" t="e" cm="1">
        <f t="array" aca="1" ref="I295" ca="1">INDEX(Attendance!$C$14:$GP$44,
       MATCH($F$4, Attendance!$C$14:$C$44, 0),
       MATCH(1, (Attendance!$C$12:$GP$12=$E295) * (Attendance!$C$13:$GP$13=$I$279), 0)
)</f>
        <v>#N/A</v>
      </c>
    </row>
    <row r="296" spans="1:9">
      <c r="A296" s="1" t="s">
        <v>295</v>
      </c>
      <c r="B296" t="str">
        <f t="shared" si="38"/>
        <v>¬</v>
      </c>
      <c r="D296" s="61" t="e" cm="1">
        <f t="array" aca="1" ref="D296" ca="1">INDEX(Attendance!$C$14:$GP$44,
       MATCH($F$4, Attendance!$C$14:$C$44, 0),
       MATCH(1, (Attendance!$C$12:$GP$12=$E296) * (Attendance!$C$13:$GP$13="Paid"), 0)
)</f>
        <v>#N/A</v>
      </c>
      <c r="E296" s="42">
        <f t="shared" si="37"/>
        <v>46539</v>
      </c>
      <c r="F296" s="61" t="e" cm="1">
        <f t="array" aca="1" ref="F296" ca="1">N(INDEX(Attendance!$C$14:$GP$104,
       MATCH($F$4, Attendance!$C$14:$C$104, 0),
       MATCH(1, (Attendance!$C$12:$GP$12=$E296) * (Attendance!$C$13:$GP$13=$F$279), 0)
))</f>
        <v>#N/A</v>
      </c>
      <c r="G296" s="61" t="e" cm="1">
        <f t="array" aca="1" ref="G296" ca="1">N(INDEX(Attendance!$C$14:$GP$104,
       MATCH($F$4, Attendance!$C$14:$C$104, 0),
       MATCH(1, (Attendance!$C$12:$GP$12=$E296) * (Attendance!$C$13:$GP$13=$G$279), 0)
))</f>
        <v>#N/A</v>
      </c>
      <c r="H296" s="61" t="e" cm="1">
        <f t="array" aca="1" ref="H296" ca="1">N(INDEX(Attendance!$C$14:$GP$104,
       MATCH($F$4, Attendance!$C$14:$C$104, 0),
       MATCH(1, (Attendance!$C$12:$GP$12=$E296) * (Attendance!$C$13:$GP$13=$H$279), 0)
))</f>
        <v>#N/A</v>
      </c>
      <c r="I296" s="61" t="e" cm="1">
        <f t="array" aca="1" ref="I296" ca="1">INDEX(Attendance!$C$14:$GP$44,
       MATCH($F$4, Attendance!$C$14:$C$44, 0),
       MATCH(1, (Attendance!$C$12:$GP$12=$E296) * (Attendance!$C$13:$GP$13=$I$279), 0)
)</f>
        <v>#N/A</v>
      </c>
    </row>
    <row r="297" spans="1:9">
      <c r="A297" s="1" t="s">
        <v>296</v>
      </c>
      <c r="B297" t="str">
        <f t="shared" si="38"/>
        <v>¬</v>
      </c>
      <c r="D297" s="61" t="e" cm="1">
        <f t="array" aca="1" ref="D297" ca="1">INDEX(Attendance!$C$14:$GP$44,
       MATCH($F$4, Attendance!$C$14:$C$44, 0),
       MATCH(1, (Attendance!$C$12:$GP$12=$E297) * (Attendance!$C$13:$GP$13="Paid"), 0)
)</f>
        <v>#N/A</v>
      </c>
      <c r="E297" s="42">
        <f t="shared" si="37"/>
        <v>46569</v>
      </c>
      <c r="F297" s="61" t="e" cm="1">
        <f t="array" aca="1" ref="F297" ca="1">N(INDEX(Attendance!$C$14:$GP$104,
       MATCH($F$4, Attendance!$C$14:$C$104, 0),
       MATCH(1, (Attendance!$C$12:$GP$12=$E297) * (Attendance!$C$13:$GP$13=$F$279), 0)
))</f>
        <v>#N/A</v>
      </c>
      <c r="G297" s="61" t="e" cm="1">
        <f t="array" aca="1" ref="G297" ca="1">N(INDEX(Attendance!$C$14:$GP$104,
       MATCH($F$4, Attendance!$C$14:$C$104, 0),
       MATCH(1, (Attendance!$C$12:$GP$12=$E297) * (Attendance!$C$13:$GP$13=$G$279), 0)
))</f>
        <v>#N/A</v>
      </c>
      <c r="H297" s="61" t="e" cm="1">
        <f t="array" aca="1" ref="H297" ca="1">N(INDEX(Attendance!$C$14:$GP$104,
       MATCH($F$4, Attendance!$C$14:$C$104, 0),
       MATCH(1, (Attendance!$C$12:$GP$12=$E297) * (Attendance!$C$13:$GP$13=$H$279), 0)
))</f>
        <v>#N/A</v>
      </c>
      <c r="I297" s="61" t="e" cm="1">
        <f t="array" aca="1" ref="I297" ca="1">INDEX(Attendance!$C$14:$GP$44,
       MATCH($F$4, Attendance!$C$14:$C$44, 0),
       MATCH(1, (Attendance!$C$12:$GP$12=$E297) * (Attendance!$C$13:$GP$13=$I$279), 0)
)</f>
        <v>#N/A</v>
      </c>
    </row>
    <row r="298" spans="1:9">
      <c r="A298" s="1" t="s">
        <v>297</v>
      </c>
      <c r="B298" t="str">
        <f t="shared" si="38"/>
        <v>¬</v>
      </c>
      <c r="D298" s="61" t="e" cm="1">
        <f t="array" aca="1" ref="D298" ca="1">INDEX(Attendance!$C$14:$GP$44,
       MATCH($F$4, Attendance!$C$14:$C$44, 0),
       MATCH(1, (Attendance!$C$12:$GP$12=$E298) * (Attendance!$C$13:$GP$13="Paid"), 0)
)</f>
        <v>#N/A</v>
      </c>
      <c r="E298" s="42">
        <f t="shared" si="37"/>
        <v>46600</v>
      </c>
      <c r="F298" s="61" t="e" cm="1">
        <f t="array" aca="1" ref="F298" ca="1">N(INDEX(Attendance!$C$14:$GP$104,
       MATCH($F$4, Attendance!$C$14:$C$104, 0),
       MATCH(1, (Attendance!$C$12:$GP$12=$E298) * (Attendance!$C$13:$GP$13=$F$279), 0)
))</f>
        <v>#N/A</v>
      </c>
      <c r="G298" s="61" t="e" cm="1">
        <f t="array" aca="1" ref="G298" ca="1">N(INDEX(Attendance!$C$14:$GP$104,
       MATCH($F$4, Attendance!$C$14:$C$104, 0),
       MATCH(1, (Attendance!$C$12:$GP$12=$E298) * (Attendance!$C$13:$GP$13=$G$279), 0)
))</f>
        <v>#N/A</v>
      </c>
      <c r="H298" s="61" t="e" cm="1">
        <f t="array" aca="1" ref="H298" ca="1">N(INDEX(Attendance!$C$14:$GP$104,
       MATCH($F$4, Attendance!$C$14:$C$104, 0),
       MATCH(1, (Attendance!$C$12:$GP$12=$E298) * (Attendance!$C$13:$GP$13=$H$279), 0)
))</f>
        <v>#N/A</v>
      </c>
      <c r="I298" s="61" t="e" cm="1">
        <f t="array" aca="1" ref="I298" ca="1">INDEX(Attendance!$C$14:$GP$44,
       MATCH($F$4, Attendance!$C$14:$C$44, 0),
       MATCH(1, (Attendance!$C$12:$GP$12=$E298) * (Attendance!$C$13:$GP$13=$I$279), 0)
)</f>
        <v>#N/A</v>
      </c>
    </row>
    <row r="299" spans="1:9">
      <c r="A299" s="1" t="s">
        <v>298</v>
      </c>
      <c r="B299" t="str">
        <f t="shared" si="38"/>
        <v>¬</v>
      </c>
      <c r="D299" s="61" t="e" cm="1">
        <f t="array" aca="1" ref="D299" ca="1">INDEX(Attendance!$C$14:$GP$44,
       MATCH($F$4, Attendance!$C$14:$C$44, 0),
       MATCH(1, (Attendance!$C$12:$GP$12=$E299) * (Attendance!$C$13:$GP$13="Paid"), 0)
)</f>
        <v>#N/A</v>
      </c>
      <c r="E299" s="42">
        <f t="shared" si="37"/>
        <v>46631</v>
      </c>
      <c r="F299" s="61" t="e" cm="1">
        <f t="array" aca="1" ref="F299" ca="1">N(INDEX(Attendance!$C$14:$GP$104,
       MATCH($F$4, Attendance!$C$14:$C$104, 0),
       MATCH(1, (Attendance!$C$12:$GP$12=$E299) * (Attendance!$C$13:$GP$13=$F$279), 0)
))</f>
        <v>#N/A</v>
      </c>
      <c r="G299" s="61" t="e" cm="1">
        <f t="array" aca="1" ref="G299" ca="1">N(INDEX(Attendance!$C$14:$GP$104,
       MATCH($F$4, Attendance!$C$14:$C$104, 0),
       MATCH(1, (Attendance!$C$12:$GP$12=$E299) * (Attendance!$C$13:$GP$13=$G$279), 0)
))</f>
        <v>#N/A</v>
      </c>
      <c r="H299" s="61" t="e" cm="1">
        <f t="array" aca="1" ref="H299" ca="1">N(INDEX(Attendance!$C$14:$GP$104,
       MATCH($F$4, Attendance!$C$14:$C$104, 0),
       MATCH(1, (Attendance!$C$12:$GP$12=$E299) * (Attendance!$C$13:$GP$13=$H$279), 0)
))</f>
        <v>#N/A</v>
      </c>
      <c r="I299" s="61" t="e" cm="1">
        <f t="array" aca="1" ref="I299" ca="1">INDEX(Attendance!$C$14:$GP$44,
       MATCH($F$4, Attendance!$C$14:$C$44, 0),
       MATCH(1, (Attendance!$C$12:$GP$12=$E299) * (Attendance!$C$13:$GP$13=$I$279), 0)
)</f>
        <v>#N/A</v>
      </c>
    </row>
    <row r="300" spans="1:9">
      <c r="A300" s="1" t="s">
        <v>299</v>
      </c>
      <c r="B300" t="str">
        <f t="shared" si="38"/>
        <v>¬</v>
      </c>
      <c r="D300" s="61" t="e" cm="1">
        <f t="array" aca="1" ref="D300" ca="1">INDEX(Attendance!$C$14:$GP$44,
       MATCH($F$4, Attendance!$C$14:$C$44, 0),
       MATCH(1, (Attendance!$C$12:$GP$12=$E300) * (Attendance!$C$13:$GP$13="Paid"), 0)
)</f>
        <v>#N/A</v>
      </c>
      <c r="E300" s="42">
        <f t="shared" si="37"/>
        <v>46661</v>
      </c>
      <c r="F300" s="61" t="e" cm="1">
        <f t="array" aca="1" ref="F300" ca="1">N(INDEX(Attendance!$C$14:$GP$104,
       MATCH($F$4, Attendance!$C$14:$C$104, 0),
       MATCH(1, (Attendance!$C$12:$GP$12=$E300) * (Attendance!$C$13:$GP$13=$F$279), 0)
))</f>
        <v>#N/A</v>
      </c>
      <c r="G300" s="61" t="e" cm="1">
        <f t="array" aca="1" ref="G300" ca="1">N(INDEX(Attendance!$C$14:$GP$104,
       MATCH($F$4, Attendance!$C$14:$C$104, 0),
       MATCH(1, (Attendance!$C$12:$GP$12=$E300) * (Attendance!$C$13:$GP$13=$G$279), 0)
))</f>
        <v>#N/A</v>
      </c>
      <c r="H300" s="61" t="e" cm="1">
        <f t="array" aca="1" ref="H300" ca="1">N(INDEX(Attendance!$C$14:$GP$104,
       MATCH($F$4, Attendance!$C$14:$C$104, 0),
       MATCH(1, (Attendance!$C$12:$GP$12=$E300) * (Attendance!$C$13:$GP$13=$H$279), 0)
))</f>
        <v>#N/A</v>
      </c>
      <c r="I300" s="61" t="e" cm="1">
        <f t="array" aca="1" ref="I300" ca="1">INDEX(Attendance!$C$14:$GP$44,
       MATCH($F$4, Attendance!$C$14:$C$44, 0),
       MATCH(1, (Attendance!$C$12:$GP$12=$E300) * (Attendance!$C$13:$GP$13=$I$279), 0)
)</f>
        <v>#N/A</v>
      </c>
    </row>
    <row r="301" spans="1:9">
      <c r="A301" s="1" t="s">
        <v>300</v>
      </c>
      <c r="B301" t="str">
        <f t="shared" si="38"/>
        <v>¬</v>
      </c>
      <c r="D301" s="61" t="e" cm="1">
        <f t="array" aca="1" ref="D301" ca="1">INDEX(Attendance!$C$14:$GP$44,
       MATCH($F$4, Attendance!$C$14:$C$44, 0),
       MATCH(1, (Attendance!$C$12:$GP$12=$E301) * (Attendance!$C$13:$GP$13="Paid"), 0)
)</f>
        <v>#N/A</v>
      </c>
      <c r="E301" s="42">
        <f t="shared" si="37"/>
        <v>46692</v>
      </c>
      <c r="F301" s="61" t="e" cm="1">
        <f t="array" aca="1" ref="F301" ca="1">N(INDEX(Attendance!$C$14:$GP$104,
       MATCH($F$4, Attendance!$C$14:$C$104, 0),
       MATCH(1, (Attendance!$C$12:$GP$12=$E301) * (Attendance!$C$13:$GP$13=$F$279), 0)
))</f>
        <v>#N/A</v>
      </c>
      <c r="G301" s="61" t="e" cm="1">
        <f t="array" aca="1" ref="G301" ca="1">N(INDEX(Attendance!$C$14:$GP$104,
       MATCH($F$4, Attendance!$C$14:$C$104, 0),
       MATCH(1, (Attendance!$C$12:$GP$12=$E301) * (Attendance!$C$13:$GP$13=$G$279), 0)
))</f>
        <v>#N/A</v>
      </c>
      <c r="H301" s="61" t="e" cm="1">
        <f t="array" aca="1" ref="H301" ca="1">N(INDEX(Attendance!$C$14:$GP$104,
       MATCH($F$4, Attendance!$C$14:$C$104, 0),
       MATCH(1, (Attendance!$C$12:$GP$12=$E301) * (Attendance!$C$13:$GP$13=$H$279), 0)
))</f>
        <v>#N/A</v>
      </c>
      <c r="I301" s="61" t="e" cm="1">
        <f t="array" aca="1" ref="I301" ca="1">INDEX(Attendance!$C$14:$GP$44,
       MATCH($F$4, Attendance!$C$14:$C$44, 0),
       MATCH(1, (Attendance!$C$12:$GP$12=$E301) * (Attendance!$C$13:$GP$13=$I$279), 0)
)</f>
        <v>#N/A</v>
      </c>
    </row>
    <row r="302" spans="1:9">
      <c r="A302" s="1" t="s">
        <v>301</v>
      </c>
      <c r="B302" t="str">
        <f t="shared" si="38"/>
        <v>¬</v>
      </c>
      <c r="D302" s="61" t="e" cm="1">
        <f t="array" aca="1" ref="D302" ca="1">INDEX(Attendance!$C$14:$GP$44,
       MATCH($F$4, Attendance!$C$14:$C$44, 0),
       MATCH(1, (Attendance!$C$12:$GP$12=$E302) * (Attendance!$C$13:$GP$13="Paid"), 0)
)</f>
        <v>#N/A</v>
      </c>
      <c r="E302" s="42">
        <f t="shared" si="37"/>
        <v>46722</v>
      </c>
      <c r="F302" s="61" t="e" cm="1">
        <f t="array" aca="1" ref="F302" ca="1">N(INDEX(Attendance!$C$14:$GP$104,
       MATCH($F$4, Attendance!$C$14:$C$104, 0),
       MATCH(1, (Attendance!$C$12:$GP$12=$E302) * (Attendance!$C$13:$GP$13=$F$279), 0)
))</f>
        <v>#N/A</v>
      </c>
      <c r="G302" s="61" t="e" cm="1">
        <f t="array" aca="1" ref="G302" ca="1">N(INDEX(Attendance!$C$14:$GP$104,
       MATCH($F$4, Attendance!$C$14:$C$104, 0),
       MATCH(1, (Attendance!$C$12:$GP$12=$E302) * (Attendance!$C$13:$GP$13=$G$279), 0)
))</f>
        <v>#N/A</v>
      </c>
      <c r="H302" s="61" t="e" cm="1">
        <f t="array" aca="1" ref="H302" ca="1">N(INDEX(Attendance!$C$14:$GP$104,
       MATCH($F$4, Attendance!$C$14:$C$104, 0),
       MATCH(1, (Attendance!$C$12:$GP$12=$E302) * (Attendance!$C$13:$GP$13=$H$279), 0)
))</f>
        <v>#N/A</v>
      </c>
      <c r="I302" s="61" t="e" cm="1">
        <f t="array" aca="1" ref="I302" ca="1">INDEX(Attendance!$C$14:$GP$44,
       MATCH($F$4, Attendance!$C$14:$C$44, 0),
       MATCH(1, (Attendance!$C$12:$GP$12=$E302) * (Attendance!$C$13:$GP$13=$I$279), 0)
)</f>
        <v>#N/A</v>
      </c>
    </row>
    <row r="303" spans="1:9">
      <c r="A303" s="1" t="s">
        <v>302</v>
      </c>
      <c r="B303" t="str">
        <f t="shared" si="38"/>
        <v>¬</v>
      </c>
      <c r="D303" s="61" t="e" cm="1">
        <f t="array" aca="1" ref="D303" ca="1">INDEX(Attendance!$C$14:$GP$44,
       MATCH($F$4, Attendance!$C$14:$C$44, 0),
       MATCH(1, (Attendance!$C$12:$GP$12=$E303) * (Attendance!$C$13:$GP$13="Paid"), 0)
)</f>
        <v>#N/A</v>
      </c>
      <c r="E303" s="42">
        <f t="shared" si="37"/>
        <v>46753</v>
      </c>
      <c r="F303" s="61" t="e" cm="1">
        <f t="array" aca="1" ref="F303" ca="1">N(INDEX(Attendance!$C$14:$GP$104,
       MATCH($F$4, Attendance!$C$14:$C$104, 0),
       MATCH(1, (Attendance!$C$12:$GP$12=$E303) * (Attendance!$C$13:$GP$13=$F$279), 0)
))</f>
        <v>#N/A</v>
      </c>
      <c r="G303" s="61" t="e" cm="1">
        <f t="array" aca="1" ref="G303" ca="1">N(INDEX(Attendance!$C$14:$GP$104,
       MATCH($F$4, Attendance!$C$14:$C$104, 0),
       MATCH(1, (Attendance!$C$12:$GP$12=$E303) * (Attendance!$C$13:$GP$13=$G$279), 0)
))</f>
        <v>#N/A</v>
      </c>
      <c r="H303" s="61" t="e" cm="1">
        <f t="array" aca="1" ref="H303" ca="1">N(INDEX(Attendance!$C$14:$GP$104,
       MATCH($F$4, Attendance!$C$14:$C$104, 0),
       MATCH(1, (Attendance!$C$12:$GP$12=$E303) * (Attendance!$C$13:$GP$13=$H$279), 0)
))</f>
        <v>#N/A</v>
      </c>
      <c r="I303" s="61" t="e" cm="1">
        <f t="array" aca="1" ref="I303" ca="1">INDEX(Attendance!$C$14:$GP$44,
       MATCH($F$4, Attendance!$C$14:$C$44, 0),
       MATCH(1, (Attendance!$C$12:$GP$12=$E303) * (Attendance!$C$13:$GP$13=$I$279), 0)
)</f>
        <v>#N/A</v>
      </c>
    </row>
    <row r="304" spans="1:9">
      <c r="A304" s="1" t="s">
        <v>303</v>
      </c>
      <c r="B304" t="str">
        <f t="shared" si="38"/>
        <v>¬</v>
      </c>
      <c r="D304" s="61" t="e" cm="1">
        <f t="array" aca="1" ref="D304" ca="1">INDEX(Attendance!$C$14:$GP$44,
       MATCH($F$4, Attendance!$C$14:$C$44, 0),
       MATCH(1, (Attendance!$C$12:$GP$12=$E304) * (Attendance!$C$13:$GP$13="Paid"), 0)
)</f>
        <v>#N/A</v>
      </c>
      <c r="E304" s="42">
        <f t="shared" si="37"/>
        <v>46784</v>
      </c>
      <c r="F304" s="61" t="e" cm="1">
        <f t="array" aca="1" ref="F304" ca="1">N(INDEX(Attendance!$C$14:$GP$104,
       MATCH($F$4, Attendance!$C$14:$C$104, 0),
       MATCH(1, (Attendance!$C$12:$GP$12=$E304) * (Attendance!$C$13:$GP$13=$F$279), 0)
))</f>
        <v>#N/A</v>
      </c>
      <c r="G304" s="61" t="e" cm="1">
        <f t="array" aca="1" ref="G304" ca="1">N(INDEX(Attendance!$C$14:$GP$104,
       MATCH($F$4, Attendance!$C$14:$C$104, 0),
       MATCH(1, (Attendance!$C$12:$GP$12=$E304) * (Attendance!$C$13:$GP$13=$G$279), 0)
))</f>
        <v>#N/A</v>
      </c>
      <c r="H304" s="61" t="e" cm="1">
        <f t="array" aca="1" ref="H304" ca="1">N(INDEX(Attendance!$C$14:$GP$104,
       MATCH($F$4, Attendance!$C$14:$C$104, 0),
       MATCH(1, (Attendance!$C$12:$GP$12=$E304) * (Attendance!$C$13:$GP$13=$H$279), 0)
))</f>
        <v>#N/A</v>
      </c>
      <c r="I304" s="61" t="e" cm="1">
        <f t="array" aca="1" ref="I304" ca="1">INDEX(Attendance!$C$14:$GP$44,
       MATCH($F$4, Attendance!$C$14:$C$44, 0),
       MATCH(1, (Attendance!$C$12:$GP$12=$E304) * (Attendance!$C$13:$GP$13=$I$279), 0)
)</f>
        <v>#N/A</v>
      </c>
    </row>
    <row r="305" spans="1:9">
      <c r="A305" s="1" t="s">
        <v>304</v>
      </c>
      <c r="B305" t="str">
        <f t="shared" si="38"/>
        <v>¬</v>
      </c>
      <c r="D305" s="61" t="e" cm="1">
        <f t="array" aca="1" ref="D305" ca="1">INDEX(Attendance!$C$14:$GP$44,
       MATCH($F$4, Attendance!$C$14:$C$44, 0),
       MATCH(1, (Attendance!$C$12:$GP$12=$E305) * (Attendance!$C$13:$GP$13="Paid"), 0)
)</f>
        <v>#N/A</v>
      </c>
      <c r="E305" s="42">
        <f t="shared" si="37"/>
        <v>46813</v>
      </c>
      <c r="F305" s="61" t="e" cm="1">
        <f t="array" aca="1" ref="F305" ca="1">N(INDEX(Attendance!$C$14:$GP$104,
       MATCH($F$4, Attendance!$C$14:$C$104, 0),
       MATCH(1, (Attendance!$C$12:$GP$12=$E305) * (Attendance!$C$13:$GP$13=$F$279), 0)
))</f>
        <v>#N/A</v>
      </c>
      <c r="G305" s="61" t="e" cm="1">
        <f t="array" aca="1" ref="G305" ca="1">N(INDEX(Attendance!$C$14:$GP$104,
       MATCH($F$4, Attendance!$C$14:$C$104, 0),
       MATCH(1, (Attendance!$C$12:$GP$12=$E305) * (Attendance!$C$13:$GP$13=$G$279), 0)
))</f>
        <v>#N/A</v>
      </c>
      <c r="H305" s="61" t="e" cm="1">
        <f t="array" aca="1" ref="H305" ca="1">N(INDEX(Attendance!$C$14:$GP$104,
       MATCH($F$4, Attendance!$C$14:$C$104, 0),
       MATCH(1, (Attendance!$C$12:$GP$12=$E305) * (Attendance!$C$13:$GP$13=$H$279), 0)
))</f>
        <v>#N/A</v>
      </c>
      <c r="I305" s="61" t="e" cm="1">
        <f t="array" aca="1" ref="I305" ca="1">INDEX(Attendance!$C$14:$GP$44,
       MATCH($F$4, Attendance!$C$14:$C$44, 0),
       MATCH(1, (Attendance!$C$12:$GP$12=$E305) * (Attendance!$C$13:$GP$13=$I$279), 0)
)</f>
        <v>#N/A</v>
      </c>
    </row>
    <row r="306" spans="1:9">
      <c r="A306" s="1" t="s">
        <v>305</v>
      </c>
      <c r="B306" t="str">
        <f t="shared" si="38"/>
        <v>¬</v>
      </c>
      <c r="D306" s="61" t="e" cm="1">
        <f t="array" aca="1" ref="D306" ca="1">INDEX(Attendance!$C$14:$GP$44,
       MATCH($F$4, Attendance!$C$14:$C$44, 0),
       MATCH(1, (Attendance!$C$12:$GP$12=$E306) * (Attendance!$C$13:$GP$13="Paid"), 0)
)</f>
        <v>#N/A</v>
      </c>
      <c r="E306" s="42">
        <f t="shared" si="37"/>
        <v>46844</v>
      </c>
      <c r="F306" s="61" t="e" cm="1">
        <f t="array" aca="1" ref="F306" ca="1">N(INDEX(Attendance!$C$14:$GP$104,
       MATCH($F$4, Attendance!$C$14:$C$104, 0),
       MATCH(1, (Attendance!$C$12:$GP$12=$E306) * (Attendance!$C$13:$GP$13=$F$279), 0)
))</f>
        <v>#N/A</v>
      </c>
      <c r="G306" s="61" t="e" cm="1">
        <f t="array" aca="1" ref="G306" ca="1">N(INDEX(Attendance!$C$14:$GP$104,
       MATCH($F$4, Attendance!$C$14:$C$104, 0),
       MATCH(1, (Attendance!$C$12:$GP$12=$E306) * (Attendance!$C$13:$GP$13=$G$279), 0)
))</f>
        <v>#N/A</v>
      </c>
      <c r="H306" s="61" t="e" cm="1">
        <f t="array" aca="1" ref="H306" ca="1">N(INDEX(Attendance!$C$14:$GP$104,
       MATCH($F$4, Attendance!$C$14:$C$104, 0),
       MATCH(1, (Attendance!$C$12:$GP$12=$E306) * (Attendance!$C$13:$GP$13=$H$279), 0)
))</f>
        <v>#N/A</v>
      </c>
      <c r="I306" s="61" t="e" cm="1">
        <f t="array" aca="1" ref="I306" ca="1">INDEX(Attendance!$C$14:$GP$44,
       MATCH($F$4, Attendance!$C$14:$C$44, 0),
       MATCH(1, (Attendance!$C$12:$GP$12=$E306) * (Attendance!$C$13:$GP$13=$I$279), 0)
)</f>
        <v>#N/A</v>
      </c>
    </row>
    <row r="307" spans="1:9">
      <c r="A307" s="1" t="s">
        <v>306</v>
      </c>
      <c r="B307" t="str">
        <f t="shared" si="38"/>
        <v>¬</v>
      </c>
      <c r="D307" s="61" t="e" cm="1">
        <f t="array" aca="1" ref="D307" ca="1">INDEX(Attendance!$C$14:$GP$44,
       MATCH($F$4, Attendance!$C$14:$C$44, 0),
       MATCH(1, (Attendance!$C$12:$GP$12=$E307) * (Attendance!$C$13:$GP$13="Paid"), 0)
)</f>
        <v>#N/A</v>
      </c>
      <c r="E307" s="42">
        <f t="shared" si="37"/>
        <v>46874</v>
      </c>
      <c r="F307" s="61" t="e" cm="1">
        <f t="array" aca="1" ref="F307" ca="1">N(INDEX(Attendance!$C$14:$GP$104,
       MATCH($F$4, Attendance!$C$14:$C$104, 0),
       MATCH(1, (Attendance!$C$12:$GP$12=$E307) * (Attendance!$C$13:$GP$13=$F$279), 0)
))</f>
        <v>#N/A</v>
      </c>
      <c r="G307" s="61" t="e" cm="1">
        <f t="array" aca="1" ref="G307" ca="1">N(INDEX(Attendance!$C$14:$GP$104,
       MATCH($F$4, Attendance!$C$14:$C$104, 0),
       MATCH(1, (Attendance!$C$12:$GP$12=$E307) * (Attendance!$C$13:$GP$13=$G$279), 0)
))</f>
        <v>#N/A</v>
      </c>
      <c r="H307" s="61" t="e" cm="1">
        <f t="array" aca="1" ref="H307" ca="1">N(INDEX(Attendance!$C$14:$GP$104,
       MATCH($F$4, Attendance!$C$14:$C$104, 0),
       MATCH(1, (Attendance!$C$12:$GP$12=$E307) * (Attendance!$C$13:$GP$13=$H$279), 0)
))</f>
        <v>#N/A</v>
      </c>
      <c r="I307" s="61" t="e" cm="1">
        <f t="array" aca="1" ref="I307" ca="1">INDEX(Attendance!$C$14:$GP$44,
       MATCH($F$4, Attendance!$C$14:$C$44, 0),
       MATCH(1, (Attendance!$C$12:$GP$12=$E307) * (Attendance!$C$13:$GP$13=$I$279), 0)
)</f>
        <v>#N/A</v>
      </c>
    </row>
    <row r="308" spans="1:9">
      <c r="A308" s="1" t="s">
        <v>307</v>
      </c>
      <c r="B308" t="str">
        <f t="shared" si="38"/>
        <v>¬</v>
      </c>
      <c r="D308" s="61" t="e" cm="1">
        <f t="array" aca="1" ref="D308" ca="1">INDEX(Attendance!$C$14:$GP$44,
       MATCH($F$4, Attendance!$C$14:$C$44, 0),
       MATCH(1, (Attendance!$C$12:$GP$12=$E308) * (Attendance!$C$13:$GP$13="Paid"), 0)
)</f>
        <v>#N/A</v>
      </c>
      <c r="E308" s="42">
        <f t="shared" si="37"/>
        <v>46905</v>
      </c>
      <c r="F308" s="61" t="e" cm="1">
        <f t="array" aca="1" ref="F308" ca="1">N(INDEX(Attendance!$C$14:$GP$104,
       MATCH($F$4, Attendance!$C$14:$C$104, 0),
       MATCH(1, (Attendance!$C$12:$GP$12=$E308) * (Attendance!$C$13:$GP$13=$F$279), 0)
))</f>
        <v>#N/A</v>
      </c>
      <c r="G308" s="61" t="e" cm="1">
        <f t="array" aca="1" ref="G308" ca="1">N(INDEX(Attendance!$C$14:$GP$104,
       MATCH($F$4, Attendance!$C$14:$C$104, 0),
       MATCH(1, (Attendance!$C$12:$GP$12=$E308) * (Attendance!$C$13:$GP$13=$G$279), 0)
))</f>
        <v>#N/A</v>
      </c>
      <c r="H308" s="61" t="e" cm="1">
        <f t="array" aca="1" ref="H308" ca="1">N(INDEX(Attendance!$C$14:$GP$104,
       MATCH($F$4, Attendance!$C$14:$C$104, 0),
       MATCH(1, (Attendance!$C$12:$GP$12=$E308) * (Attendance!$C$13:$GP$13=$H$279), 0)
))</f>
        <v>#N/A</v>
      </c>
      <c r="I308" s="61" t="e" cm="1">
        <f t="array" aca="1" ref="I308" ca="1">INDEX(Attendance!$C$14:$GP$44,
       MATCH($F$4, Attendance!$C$14:$C$44, 0),
       MATCH(1, (Attendance!$C$12:$GP$12=$E308) * (Attendance!$C$13:$GP$13=$I$279), 0)
)</f>
        <v>#N/A</v>
      </c>
    </row>
    <row r="309" spans="1:9">
      <c r="A309" s="1" t="s">
        <v>308</v>
      </c>
      <c r="B309" t="str">
        <f t="shared" si="38"/>
        <v>¬</v>
      </c>
      <c r="D309" s="61" t="e" cm="1">
        <f t="array" aca="1" ref="D309" ca="1">INDEX(Attendance!$C$14:$GP$44,
       MATCH($F$4, Attendance!$C$14:$C$44, 0),
       MATCH(1, (Attendance!$C$12:$GP$12=$E309) * (Attendance!$C$13:$GP$13="Paid"), 0)
)</f>
        <v>#N/A</v>
      </c>
      <c r="E309" s="42">
        <f t="shared" si="37"/>
        <v>46935</v>
      </c>
      <c r="F309" s="61" t="e" cm="1">
        <f t="array" aca="1" ref="F309" ca="1">N(INDEX(Attendance!$C$14:$GP$104,
       MATCH($F$4, Attendance!$C$14:$C$104, 0),
       MATCH(1, (Attendance!$C$12:$GP$12=$E309) * (Attendance!$C$13:$GP$13=$F$279), 0)
))</f>
        <v>#N/A</v>
      </c>
      <c r="G309" s="61" t="e" cm="1">
        <f t="array" aca="1" ref="G309" ca="1">N(INDEX(Attendance!$C$14:$GP$104,
       MATCH($F$4, Attendance!$C$14:$C$104, 0),
       MATCH(1, (Attendance!$C$12:$GP$12=$E309) * (Attendance!$C$13:$GP$13=$G$279), 0)
))</f>
        <v>#N/A</v>
      </c>
      <c r="H309" s="61" t="e" cm="1">
        <f t="array" aca="1" ref="H309" ca="1">N(INDEX(Attendance!$C$14:$GP$104,
       MATCH($F$4, Attendance!$C$14:$C$104, 0),
       MATCH(1, (Attendance!$C$12:$GP$12=$E309) * (Attendance!$C$13:$GP$13=$H$279), 0)
))</f>
        <v>#N/A</v>
      </c>
      <c r="I309" s="61" t="e" cm="1">
        <f t="array" aca="1" ref="I309" ca="1">INDEX(Attendance!$C$14:$GP$44,
       MATCH($F$4, Attendance!$C$14:$C$44, 0),
       MATCH(1, (Attendance!$C$12:$GP$12=$E309) * (Attendance!$C$13:$GP$13=$I$279), 0)
)</f>
        <v>#N/A</v>
      </c>
    </row>
    <row r="310" spans="1:9">
      <c r="A310" s="1" t="s">
        <v>309</v>
      </c>
      <c r="B310" t="str">
        <f t="shared" si="38"/>
        <v>¬</v>
      </c>
      <c r="D310" s="61" t="e" cm="1">
        <f t="array" aca="1" ref="D310" ca="1">INDEX(Attendance!$C$14:$GP$44,
       MATCH($F$4, Attendance!$C$14:$C$44, 0),
       MATCH(1, (Attendance!$C$12:$GP$12=$E310) * (Attendance!$C$13:$GP$13="Paid"), 0)
)</f>
        <v>#N/A</v>
      </c>
      <c r="E310" s="42">
        <f t="shared" si="37"/>
        <v>46966</v>
      </c>
      <c r="F310" s="61" t="e" cm="1">
        <f t="array" aca="1" ref="F310" ca="1">N(INDEX(Attendance!$C$14:$GP$104,
       MATCH($F$4, Attendance!$C$14:$C$104, 0),
       MATCH(1, (Attendance!$C$12:$GP$12=$E310) * (Attendance!$C$13:$GP$13=$F$279), 0)
))</f>
        <v>#N/A</v>
      </c>
      <c r="G310" s="61" t="e" cm="1">
        <f t="array" aca="1" ref="G310" ca="1">N(INDEX(Attendance!$C$14:$GP$104,
       MATCH($F$4, Attendance!$C$14:$C$104, 0),
       MATCH(1, (Attendance!$C$12:$GP$12=$E310) * (Attendance!$C$13:$GP$13=$G$279), 0)
))</f>
        <v>#N/A</v>
      </c>
      <c r="H310" s="61" t="e" cm="1">
        <f t="array" aca="1" ref="H310" ca="1">N(INDEX(Attendance!$C$14:$GP$104,
       MATCH($F$4, Attendance!$C$14:$C$104, 0),
       MATCH(1, (Attendance!$C$12:$GP$12=$E310) * (Attendance!$C$13:$GP$13=$H$279), 0)
))</f>
        <v>#N/A</v>
      </c>
      <c r="I310" s="61" t="e" cm="1">
        <f t="array" aca="1" ref="I310" ca="1">INDEX(Attendance!$C$14:$GP$44,
       MATCH($F$4, Attendance!$C$14:$C$44, 0),
       MATCH(1, (Attendance!$C$12:$GP$12=$E310) * (Attendance!$C$13:$GP$13=$I$279), 0)
)</f>
        <v>#N/A</v>
      </c>
    </row>
    <row r="311" spans="1:9">
      <c r="A311" s="1" t="s">
        <v>310</v>
      </c>
      <c r="B311" t="str">
        <f t="shared" si="38"/>
        <v>¬</v>
      </c>
      <c r="D311" s="61" t="e" cm="1">
        <f t="array" aca="1" ref="D311" ca="1">INDEX(Attendance!$C$14:$GP$44,
       MATCH($F$4, Attendance!$C$14:$C$44, 0),
       MATCH(1, (Attendance!$C$12:$GP$12=$E311) * (Attendance!$C$13:$GP$13="Paid"), 0)
)</f>
        <v>#N/A</v>
      </c>
      <c r="E311" s="42">
        <f t="shared" si="37"/>
        <v>46997</v>
      </c>
      <c r="F311" s="61" t="e" cm="1">
        <f t="array" aca="1" ref="F311" ca="1">N(INDEX(Attendance!$C$14:$GP$104,
       MATCH($F$4, Attendance!$C$14:$C$104, 0),
       MATCH(1, (Attendance!$C$12:$GP$12=$E311) * (Attendance!$C$13:$GP$13=$F$279), 0)
))</f>
        <v>#N/A</v>
      </c>
      <c r="G311" s="61" t="e" cm="1">
        <f t="array" aca="1" ref="G311" ca="1">N(INDEX(Attendance!$C$14:$GP$104,
       MATCH($F$4, Attendance!$C$14:$C$104, 0),
       MATCH(1, (Attendance!$C$12:$GP$12=$E311) * (Attendance!$C$13:$GP$13=$G$279), 0)
))</f>
        <v>#N/A</v>
      </c>
      <c r="H311" s="61" t="e" cm="1">
        <f t="array" aca="1" ref="H311" ca="1">N(INDEX(Attendance!$C$14:$GP$104,
       MATCH($F$4, Attendance!$C$14:$C$104, 0),
       MATCH(1, (Attendance!$C$12:$GP$12=$E311) * (Attendance!$C$13:$GP$13=$H$279), 0)
))</f>
        <v>#N/A</v>
      </c>
      <c r="I311" s="61" t="e" cm="1">
        <f t="array" aca="1" ref="I311" ca="1">INDEX(Attendance!$C$14:$GP$44,
       MATCH($F$4, Attendance!$C$14:$C$44, 0),
       MATCH(1, (Attendance!$C$12:$GP$12=$E311) * (Attendance!$C$13:$GP$13=$I$279), 0)
)</f>
        <v>#N/A</v>
      </c>
    </row>
    <row r="312" spans="1:9">
      <c r="A312" s="1" t="s">
        <v>311</v>
      </c>
      <c r="B312" t="str">
        <f t="shared" si="38"/>
        <v>¬</v>
      </c>
      <c r="D312" s="61" t="e" cm="1">
        <f t="array" aca="1" ref="D312" ca="1">INDEX(Attendance!$C$14:$GP$44,
       MATCH($F$4, Attendance!$C$14:$C$44, 0),
       MATCH(1, (Attendance!$C$12:$GP$12=$E312) * (Attendance!$C$13:$GP$13="Paid"), 0)
)</f>
        <v>#N/A</v>
      </c>
      <c r="E312" s="42">
        <f t="shared" si="37"/>
        <v>47027</v>
      </c>
      <c r="F312" s="61" t="e" cm="1">
        <f t="array" aca="1" ref="F312" ca="1">N(INDEX(Attendance!$C$14:$GP$104,
       MATCH($F$4, Attendance!$C$14:$C$104, 0),
       MATCH(1, (Attendance!$C$12:$GP$12=$E312) * (Attendance!$C$13:$GP$13=$F$279), 0)
))</f>
        <v>#N/A</v>
      </c>
      <c r="G312" s="61" t="e" cm="1">
        <f t="array" aca="1" ref="G312" ca="1">N(INDEX(Attendance!$C$14:$GP$104,
       MATCH($F$4, Attendance!$C$14:$C$104, 0),
       MATCH(1, (Attendance!$C$12:$GP$12=$E312) * (Attendance!$C$13:$GP$13=$G$279), 0)
))</f>
        <v>#N/A</v>
      </c>
      <c r="H312" s="61" t="e" cm="1">
        <f t="array" aca="1" ref="H312" ca="1">N(INDEX(Attendance!$C$14:$GP$104,
       MATCH($F$4, Attendance!$C$14:$C$104, 0),
       MATCH(1, (Attendance!$C$12:$GP$12=$E312) * (Attendance!$C$13:$GP$13=$H$279), 0)
))</f>
        <v>#N/A</v>
      </c>
      <c r="I312" s="61" t="e" cm="1">
        <f t="array" aca="1" ref="I312" ca="1">INDEX(Attendance!$C$14:$GP$44,
       MATCH($F$4, Attendance!$C$14:$C$44, 0),
       MATCH(1, (Attendance!$C$12:$GP$12=$E312) * (Attendance!$C$13:$GP$13=$I$279), 0)
)</f>
        <v>#N/A</v>
      </c>
    </row>
    <row r="313" spans="1:9">
      <c r="A313" s="1" t="s">
        <v>312</v>
      </c>
      <c r="B313" t="str">
        <f t="shared" si="38"/>
        <v>¬</v>
      </c>
      <c r="D313" s="61" t="e" cm="1">
        <f t="array" aca="1" ref="D313" ca="1">INDEX(Attendance!$C$14:$GP$44,
       MATCH($F$4, Attendance!$C$14:$C$44, 0),
       MATCH(1, (Attendance!$C$12:$GP$12=$E313) * (Attendance!$C$13:$GP$13="Paid"), 0)
)</f>
        <v>#N/A</v>
      </c>
      <c r="E313" s="42">
        <f t="shared" si="37"/>
        <v>47058</v>
      </c>
      <c r="F313" s="61" t="e" cm="1">
        <f t="array" aca="1" ref="F313" ca="1">N(INDEX(Attendance!$C$14:$GP$104,
       MATCH($F$4, Attendance!$C$14:$C$104, 0),
       MATCH(1, (Attendance!$C$12:$GP$12=$E313) * (Attendance!$C$13:$GP$13=$F$279), 0)
))</f>
        <v>#N/A</v>
      </c>
      <c r="G313" s="61" t="e" cm="1">
        <f t="array" aca="1" ref="G313" ca="1">N(INDEX(Attendance!$C$14:$GP$104,
       MATCH($F$4, Attendance!$C$14:$C$104, 0),
       MATCH(1, (Attendance!$C$12:$GP$12=$E313) * (Attendance!$C$13:$GP$13=$G$279), 0)
))</f>
        <v>#N/A</v>
      </c>
      <c r="H313" s="61" t="e" cm="1">
        <f t="array" aca="1" ref="H313" ca="1">N(INDEX(Attendance!$C$14:$GP$104,
       MATCH($F$4, Attendance!$C$14:$C$104, 0),
       MATCH(1, (Attendance!$C$12:$GP$12=$E313) * (Attendance!$C$13:$GP$13=$H$279), 0)
))</f>
        <v>#N/A</v>
      </c>
      <c r="I313" s="61" t="e" cm="1">
        <f t="array" aca="1" ref="I313" ca="1">INDEX(Attendance!$C$14:$GP$44,
       MATCH($F$4, Attendance!$C$14:$C$44, 0),
       MATCH(1, (Attendance!$C$12:$GP$12=$E313) * (Attendance!$C$13:$GP$13=$I$279), 0)
)</f>
        <v>#N/A</v>
      </c>
    </row>
    <row r="314" spans="1:9">
      <c r="A314" s="1" t="s">
        <v>313</v>
      </c>
      <c r="B314" t="str">
        <f t="shared" ref="B314:B343" si="39">IF(AF44="","¬",AF44)</f>
        <v>Persistent improved Defence or Dodge. Activate for supernatural speed benefits. Unnatural Grace: add Celerity dots as bonus dice to non-combat speed-based pools.</v>
      </c>
      <c r="D314" s="61" t="e" cm="1">
        <f t="array" aca="1" ref="D314" ca="1">INDEX(Attendance!$C$14:$GP$44,
       MATCH($F$4, Attendance!$C$14:$C$44, 0),
       MATCH(1, (Attendance!$C$12:$GP$12=$E314) * (Attendance!$C$13:$GP$13="Paid"), 0)
)</f>
        <v>#N/A</v>
      </c>
      <c r="E314" s="42">
        <f t="shared" si="37"/>
        <v>47088</v>
      </c>
      <c r="F314" s="61" t="e" cm="1">
        <f t="array" aca="1" ref="F314" ca="1">N(INDEX(Attendance!$C$14:$GP$104,
       MATCH($F$4, Attendance!$C$14:$C$104, 0),
       MATCH(1, (Attendance!$C$12:$GP$12=$E314) * (Attendance!$C$13:$GP$13=$F$279), 0)
))</f>
        <v>#N/A</v>
      </c>
      <c r="G314" s="61" t="e" cm="1">
        <f t="array" aca="1" ref="G314" ca="1">N(INDEX(Attendance!$C$14:$GP$104,
       MATCH($F$4, Attendance!$C$14:$C$104, 0),
       MATCH(1, (Attendance!$C$12:$GP$12=$E314) * (Attendance!$C$13:$GP$13=$G$279), 0)
))</f>
        <v>#N/A</v>
      </c>
      <c r="H314" s="61" t="e" cm="1">
        <f t="array" aca="1" ref="H314" ca="1">N(INDEX(Attendance!$C$14:$GP$104,
       MATCH($F$4, Attendance!$C$14:$C$104, 0),
       MATCH(1, (Attendance!$C$12:$GP$12=$E314) * (Attendance!$C$13:$GP$13=$H$279), 0)
))</f>
        <v>#N/A</v>
      </c>
      <c r="I314" s="61" t="e" cm="1">
        <f t="array" aca="1" ref="I314" ca="1">INDEX(Attendance!$C$14:$GP$44,
       MATCH($F$4, Attendance!$C$14:$C$44, 0),
       MATCH(1, (Attendance!$C$12:$GP$12=$E314) * (Attendance!$C$13:$GP$13=$I$279), 0)
)</f>
        <v>#N/A</v>
      </c>
    </row>
    <row r="315" spans="1:9">
      <c r="A315" s="1" t="s">
        <v>314</v>
      </c>
      <c r="B315" t="str">
        <f t="shared" si="39"/>
        <v>Conjure brief illusions. Improve Intimidation. Prevent foes spending Willpower.</v>
      </c>
      <c r="D315" s="61" t="e" cm="1">
        <f t="array" aca="1" ref="D315" ca="1">INDEX(Attendance!$C$14:$GP$44,
       MATCH($F$4, Attendance!$C$14:$C$44, 0),
       MATCH(1, (Attendance!$C$12:$GP$12=$E315) * (Attendance!$C$13:$GP$13="Paid"), 0)
)</f>
        <v>#N/A</v>
      </c>
      <c r="E315" s="42">
        <f t="shared" si="37"/>
        <v>47119</v>
      </c>
      <c r="F315" s="61" t="e" cm="1">
        <f t="array" aca="1" ref="F315" ca="1">N(INDEX(Attendance!$C$14:$GP$104,
       MATCH($F$4, Attendance!$C$14:$C$104, 0),
       MATCH(1, (Attendance!$C$12:$GP$12=$E315) * (Attendance!$C$13:$GP$13=$F$279), 0)
))</f>
        <v>#N/A</v>
      </c>
      <c r="G315" s="61" t="e" cm="1">
        <f t="array" aca="1" ref="G315" ca="1">N(INDEX(Attendance!$C$14:$GP$104,
       MATCH($F$4, Attendance!$C$14:$C$104, 0),
       MATCH(1, (Attendance!$C$12:$GP$12=$E315) * (Attendance!$C$13:$GP$13=$G$279), 0)
))</f>
        <v>#N/A</v>
      </c>
      <c r="H315" s="61" t="e" cm="1">
        <f t="array" aca="1" ref="H315" ca="1">N(INDEX(Attendance!$C$14:$GP$104,
       MATCH($F$4, Attendance!$C$14:$C$104, 0),
       MATCH(1, (Attendance!$C$12:$GP$12=$E315) * (Attendance!$C$13:$GP$13=$H$279), 0)
))</f>
        <v>#N/A</v>
      </c>
      <c r="I315" s="61" t="e" cm="1">
        <f t="array" aca="1" ref="I315" ca="1">INDEX(Attendance!$C$14:$GP$44,
       MATCH($F$4, Attendance!$C$14:$C$44, 0),
       MATCH(1, (Attendance!$C$12:$GP$12=$E315) * (Attendance!$C$13:$GP$13=$I$279), 0)
)</f>
        <v>#N/A</v>
      </c>
    </row>
    <row r="316" spans="1:9">
      <c r="A316" s="1" t="s">
        <v>315</v>
      </c>
      <c r="B316" t="str">
        <f t="shared" si="39"/>
        <v>Blend into surroundings, visible but unnoticeable. Predatory aura fully on or off. Leaving combat: Wits + Composure - Obfuscate to notice; auto Clash of Wills vs Auspex.</v>
      </c>
      <c r="D316" s="61" t="e" cm="1">
        <f t="array" aca="1" ref="D316" ca="1">INDEX(Attendance!$C$14:$GP$44,
       MATCH($F$4, Attendance!$C$14:$C$44, 0),
       MATCH(1, (Attendance!$C$12:$GP$12=$E316) * (Attendance!$C$13:$GP$13="Paid"), 0)
)</f>
        <v>#N/A</v>
      </c>
      <c r="E316" s="42">
        <f t="shared" si="37"/>
        <v>47150</v>
      </c>
      <c r="F316" s="61" t="e" cm="1">
        <f t="array" aca="1" ref="F316" ca="1">N(INDEX(Attendance!$C$14:$GP$104,
       MATCH($F$4, Attendance!$C$14:$C$104, 0),
       MATCH(1, (Attendance!$C$12:$GP$12=$E316) * (Attendance!$C$13:$GP$13=$F$279), 0)
))</f>
        <v>#N/A</v>
      </c>
      <c r="G316" s="61" t="e" cm="1">
        <f t="array" aca="1" ref="G316" ca="1">N(INDEX(Attendance!$C$14:$GP$104,
       MATCH($F$4, Attendance!$C$14:$C$104, 0),
       MATCH(1, (Attendance!$C$12:$GP$12=$E316) * (Attendance!$C$13:$GP$13=$G$279), 0)
))</f>
        <v>#N/A</v>
      </c>
      <c r="H316" s="61" t="e" cm="1">
        <f t="array" aca="1" ref="H316" ca="1">N(INDEX(Attendance!$C$14:$GP$104,
       MATCH($F$4, Attendance!$C$14:$C$104, 0),
       MATCH(1, (Attendance!$C$12:$GP$12=$E316) * (Attendance!$C$13:$GP$13=$H$279), 0)
))</f>
        <v>#N/A</v>
      </c>
      <c r="I316" s="61" t="e" cm="1">
        <f t="array" aca="1" ref="I316" ca="1">INDEX(Attendance!$C$14:$GP$44,
       MATCH($F$4, Attendance!$C$14:$C$44, 0),
       MATCH(1, (Attendance!$C$12:$GP$12=$E316) * (Attendance!$C$13:$GP$13=$I$279), 0)
)</f>
        <v>#N/A</v>
      </c>
    </row>
    <row r="317" spans="1:9">
      <c r="A317" s="1" t="s">
        <v>316</v>
      </c>
      <c r="B317" t="str">
        <f t="shared" si="39"/>
        <v>Cast Face in the Crowd on object or person. Free and unlimited duration on carried/worn objects if not drawing attention.</v>
      </c>
    </row>
    <row r="318" spans="1:9">
      <c r="A318" s="1" t="s">
        <v>317</v>
      </c>
      <c r="B318" t="str">
        <f t="shared" si="39"/>
        <v>Become invisible. Leaving combat: auto Clash of Wills vs Auspex 2.</v>
      </c>
    </row>
    <row r="319" spans="1:9">
      <c r="A319" s="1" t="s">
        <v>318</v>
      </c>
      <c r="B319" t="str">
        <f t="shared" si="39"/>
        <v>Project an image of the subject in another visible location. Image appears realistic but cannot talk or make noise. Vanishes on touch; Clash of Wills to see through otherwise.</v>
      </c>
    </row>
    <row r="320" spans="1:9">
      <c r="A320" s="1" t="s">
        <v>319</v>
      </c>
      <c r="B320" t="str">
        <f t="shared" si="39"/>
        <v>¬</v>
      </c>
    </row>
    <row r="321" spans="1:2">
      <c r="A321" s="1" t="s">
        <v>320</v>
      </c>
      <c r="B321" t="str">
        <f t="shared" si="39"/>
        <v>¬</v>
      </c>
    </row>
    <row r="322" spans="1:2">
      <c r="A322" s="1" t="s">
        <v>321</v>
      </c>
      <c r="B322" t="str">
        <f t="shared" si="39"/>
        <v>¬</v>
      </c>
    </row>
    <row r="323" spans="1:2">
      <c r="A323" s="1" t="s">
        <v>322</v>
      </c>
      <c r="B323" t="str">
        <f t="shared" si="39"/>
        <v>¬</v>
      </c>
    </row>
    <row r="324" spans="1:2">
      <c r="A324" s="1" t="s">
        <v>323</v>
      </c>
      <c r="B324" t="str">
        <f t="shared" si="39"/>
        <v>¬</v>
      </c>
    </row>
    <row r="325" spans="1:2">
      <c r="A325" s="1" t="s">
        <v>324</v>
      </c>
      <c r="B325" t="str">
        <f t="shared" si="39"/>
        <v>¬</v>
      </c>
    </row>
    <row r="326" spans="1:2">
      <c r="A326" s="1" t="s">
        <v>325</v>
      </c>
      <c r="B326" t="str">
        <f t="shared" si="39"/>
        <v>¬</v>
      </c>
    </row>
    <row r="327" spans="1:2">
      <c r="A327" s="1" t="s">
        <v>326</v>
      </c>
      <c r="B327" t="str">
        <f t="shared" si="39"/>
        <v>¬</v>
      </c>
    </row>
    <row r="328" spans="1:2">
      <c r="A328" s="1" t="s">
        <v>327</v>
      </c>
      <c r="B328" t="str">
        <f t="shared" si="39"/>
        <v>¬</v>
      </c>
    </row>
    <row r="329" spans="1:2">
      <c r="A329" s="1" t="s">
        <v>328</v>
      </c>
      <c r="B329" t="str">
        <f t="shared" si="39"/>
        <v>¬</v>
      </c>
    </row>
    <row r="330" spans="1:2">
      <c r="A330" s="1" t="s">
        <v>329</v>
      </c>
      <c r="B330" t="str">
        <f t="shared" si="39"/>
        <v>¬</v>
      </c>
    </row>
    <row r="331" spans="1:2">
      <c r="A331" s="1" t="s">
        <v>330</v>
      </c>
      <c r="B331" t="str">
        <f t="shared" si="39"/>
        <v>¬</v>
      </c>
    </row>
    <row r="332" spans="1:2">
      <c r="A332" s="1" t="s">
        <v>331</v>
      </c>
      <c r="B332" t="str">
        <f t="shared" si="39"/>
        <v>¬</v>
      </c>
    </row>
    <row r="333" spans="1:2">
      <c r="A333" s="1" t="s">
        <v>332</v>
      </c>
      <c r="B333" t="str">
        <f t="shared" si="39"/>
        <v>¬</v>
      </c>
    </row>
    <row r="334" spans="1:2">
      <c r="A334" s="1" t="s">
        <v>333</v>
      </c>
      <c r="B334" t="str">
        <f t="shared" si="39"/>
        <v>¬</v>
      </c>
    </row>
    <row r="335" spans="1:2">
      <c r="A335" s="1" t="s">
        <v>334</v>
      </c>
      <c r="B335" t="str">
        <f t="shared" si="39"/>
        <v>¬</v>
      </c>
    </row>
    <row r="336" spans="1:2">
      <c r="A336" s="1" t="s">
        <v>335</v>
      </c>
      <c r="B336" t="str">
        <f t="shared" si="39"/>
        <v>¬</v>
      </c>
    </row>
    <row r="337" spans="1:2">
      <c r="A337" s="1" t="s">
        <v>336</v>
      </c>
      <c r="B337" t="str">
        <f t="shared" si="39"/>
        <v>¬</v>
      </c>
    </row>
    <row r="338" spans="1:2">
      <c r="A338" s="1" t="s">
        <v>337</v>
      </c>
      <c r="B338" t="str">
        <f t="shared" si="39"/>
        <v>¬</v>
      </c>
    </row>
    <row r="339" spans="1:2">
      <c r="A339" s="1" t="s">
        <v>338</v>
      </c>
      <c r="B339" t="str">
        <f t="shared" si="39"/>
        <v>¬</v>
      </c>
    </row>
    <row r="340" spans="1:2">
      <c r="A340" s="1" t="s">
        <v>339</v>
      </c>
      <c r="B340" t="str">
        <f t="shared" si="39"/>
        <v>¬</v>
      </c>
    </row>
    <row r="341" spans="1:2">
      <c r="A341" s="1" t="s">
        <v>340</v>
      </c>
      <c r="B341" t="str">
        <f t="shared" si="39"/>
        <v>¬</v>
      </c>
    </row>
    <row r="342" spans="1:2">
      <c r="A342" s="1" t="s">
        <v>341</v>
      </c>
      <c r="B342" t="str">
        <f t="shared" si="39"/>
        <v>¬</v>
      </c>
    </row>
    <row r="343" spans="1:2">
      <c r="A343" s="1" t="s">
        <v>342</v>
      </c>
      <c r="B343" t="str">
        <f t="shared" si="39"/>
        <v>¬</v>
      </c>
    </row>
    <row r="344" spans="1:2">
      <c r="A344" s="1" t="s">
        <v>343</v>
      </c>
      <c r="B344" s="8" t="str">
        <f>IF(VLOOKUP(tblCharData27[[#This Row],[Field]],$E$2:$F$361,2,FALSE)="","¬",VLOOKUP(tblCharData27[[#This Row],[Field]],$E$2:$F$361,2,FALSE))</f>
        <v>Lonely Curse</v>
      </c>
    </row>
    <row r="345" spans="1:2">
      <c r="A345" s="1" t="s">
        <v>344</v>
      </c>
      <c r="B345" s="8" t="str">
        <f>IF(VLOOKUP(tblCharData27[[#This Row],[Field]],$E$2:$F$361,2,FALSE)="","¬",VLOOKUP(tblCharData27[[#This Row],[Field]],$E$2:$F$361,2,FALSE))</f>
        <v>¬</v>
      </c>
    </row>
    <row r="346" spans="1:2">
      <c r="A346" s="1" t="s">
        <v>345</v>
      </c>
      <c r="B346" s="8" t="str">
        <f>IF(VLOOKUP(tblCharData27[[#This Row],[Field]],$E$2:$F$361,2,FALSE)="","¬",VLOOKUP(tblCharData27[[#This Row],[Field]],$E$2:$F$361,2,FALSE))</f>
        <v>¬</v>
      </c>
    </row>
    <row r="347" spans="1:2">
      <c r="A347" s="1" t="s">
        <v>346</v>
      </c>
      <c r="B347" s="8" t="str">
        <f>IF(VLOOKUP(tblCharData27[[#This Row],[Field]],$E$2:$F$361,2,FALSE)="","¬",VLOOKUP(tblCharData27[[#This Row],[Field]],$E$2:$F$361,2,FALSE))</f>
        <v>¬</v>
      </c>
    </row>
    <row r="348" spans="1:2">
      <c r="A348" s="1" t="s">
        <v>347</v>
      </c>
      <c r="B348" s="8" t="str">
        <f>IF(VLOOKUP(tblCharData27[[#This Row],[Field]],$E$2:$F$361,2,FALSE)="","¬",VLOOKUP(tblCharData27[[#This Row],[Field]],$E$2:$F$361,2,FALSE))</f>
        <v>¬</v>
      </c>
    </row>
    <row r="349" spans="1:2">
      <c r="A349" s="1" t="s">
        <v>348</v>
      </c>
      <c r="B349" t="str">
        <f>_xlfn.IFNA(VLOOKUP(B344,$F$234:$I$238,3,FALSE),"")</f>
        <v>With mortals, Humanity counts –2; Presence/Manipulation failures become dramatic failures. Intimidation and Subterfuge unaffected.</v>
      </c>
    </row>
    <row r="350" spans="1:2">
      <c r="A350" s="1" t="s">
        <v>349</v>
      </c>
      <c r="B350" t="str">
        <f>_xlfn.IFNA(VLOOKUP(B345,$F$234:$I$238,3,FALSE),"¬")</f>
        <v>¬</v>
      </c>
    </row>
    <row r="351" spans="1:2">
      <c r="A351" s="1" t="s">
        <v>350</v>
      </c>
      <c r="B351" t="str">
        <f>_xlfn.IFNA(VLOOKUP(B346,$F$234:$I$238,3,FALSE),"")</f>
        <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7</v>
      </c>
    </row>
    <row r="356" spans="1:2">
      <c r="A356" s="1" t="s">
        <v>355</v>
      </c>
      <c r="B356">
        <f ca="1">P220</f>
        <v>1</v>
      </c>
    </row>
    <row r="357" spans="1:2">
      <c r="A357" s="1" t="s">
        <v>356</v>
      </c>
      <c r="B357" t="str">
        <f>IF(F10="","¬",VLOOKUP(F10,tblAnchors[],2,FALSE))</f>
        <v>¬</v>
      </c>
    </row>
    <row r="358" spans="1:2">
      <c r="A358" s="1" t="s">
        <v>357</v>
      </c>
      <c r="B358" t="str">
        <f>IF(F10="","¬",VLOOKUP(F10,tblAnchors[],3,FALSE))</f>
        <v>¬</v>
      </c>
    </row>
    <row r="359" spans="1:2">
      <c r="A359" s="1" t="s">
        <v>358</v>
      </c>
      <c r="B359" t="str">
        <f>IF(F11="","¬",VLOOKUP(F11,tblAnchors[],2,FALSE))</f>
        <v>¬</v>
      </c>
    </row>
    <row r="360" spans="1:2">
      <c r="A360" s="1" t="s">
        <v>359</v>
      </c>
      <c r="B360" t="str">
        <f>IF(F11="","¬",VLOOKUP(F11,tblAnchors[],3,FALSE))</f>
        <v>¬</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
      </c>
    </row>
    <row r="365" spans="1:2">
      <c r="A365" s="1" t="s">
        <v>364</v>
      </c>
      <c r="B365" t="str">
        <f>_xlfn.LET(_xlpm.a,IF(F244="","",F244),_xlpm.b,IF(F245="","",F245),IF(AND(_xlpm.a&lt;&gt;"",_xlpm.b&lt;&gt;""),_xlpm.a&amp;", "&amp;_xlpm.b,IF(_xlpm.a&lt;&gt;"",_xlpm.a,IF(_xlpm.b&lt;&gt;"",_xlpm.b,""))))</f>
        <v/>
      </c>
    </row>
  </sheetData>
  <mergeCells count="89">
    <mergeCell ref="F240:I240"/>
    <mergeCell ref="F241:I241"/>
    <mergeCell ref="F242:I242"/>
    <mergeCell ref="F244:I244"/>
    <mergeCell ref="F245:I245"/>
    <mergeCell ref="H238:I238"/>
    <mergeCell ref="H208:I208"/>
    <mergeCell ref="H209:I209"/>
    <mergeCell ref="H210:I210"/>
    <mergeCell ref="H211:I211"/>
    <mergeCell ref="H212:I212"/>
    <mergeCell ref="H213:I213"/>
    <mergeCell ref="H214:I214"/>
    <mergeCell ref="H215:I215"/>
    <mergeCell ref="H234:I234"/>
    <mergeCell ref="H236:I236"/>
    <mergeCell ref="H237:I237"/>
    <mergeCell ref="H207:I207"/>
    <mergeCell ref="H153:I153"/>
    <mergeCell ref="H154:I154"/>
    <mergeCell ref="H155:I155"/>
    <mergeCell ref="H156:I156"/>
    <mergeCell ref="H157:I157"/>
    <mergeCell ref="H177:I177"/>
    <mergeCell ref="H178:I178"/>
    <mergeCell ref="H179:I179"/>
    <mergeCell ref="H180:I180"/>
    <mergeCell ref="H181:I181"/>
    <mergeCell ref="H206:I206"/>
    <mergeCell ref="H152:I152"/>
    <mergeCell ref="H141:I141"/>
    <mergeCell ref="H142:I142"/>
    <mergeCell ref="H143:I143"/>
    <mergeCell ref="H144:I144"/>
    <mergeCell ref="H145:I145"/>
    <mergeCell ref="H146:I146"/>
    <mergeCell ref="H147:I147"/>
    <mergeCell ref="H148:I148"/>
    <mergeCell ref="H149:I149"/>
    <mergeCell ref="H150:I150"/>
    <mergeCell ref="H151:I151"/>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11:I111"/>
    <mergeCell ref="H98:I98"/>
    <mergeCell ref="H101:I101"/>
    <mergeCell ref="H102:I102"/>
    <mergeCell ref="H103:I103"/>
    <mergeCell ref="H104:I104"/>
    <mergeCell ref="H105:I105"/>
    <mergeCell ref="H106:I106"/>
    <mergeCell ref="H107:I107"/>
    <mergeCell ref="H108:I108"/>
    <mergeCell ref="H109:I109"/>
    <mergeCell ref="H110:I110"/>
    <mergeCell ref="H97:I97"/>
    <mergeCell ref="H86:I86"/>
    <mergeCell ref="H87:I87"/>
    <mergeCell ref="H88:I88"/>
    <mergeCell ref="H89:I89"/>
    <mergeCell ref="H90:I90"/>
    <mergeCell ref="H91:I91"/>
    <mergeCell ref="H92:I92"/>
    <mergeCell ref="H93:I93"/>
    <mergeCell ref="H94:I94"/>
    <mergeCell ref="H95:I95"/>
    <mergeCell ref="H96:I96"/>
    <mergeCell ref="H85:I85"/>
    <mergeCell ref="O8:P8"/>
    <mergeCell ref="O9:P9"/>
    <mergeCell ref="O10:P10"/>
    <mergeCell ref="O11:P11"/>
    <mergeCell ref="O12:P12"/>
    <mergeCell ref="H79:I79"/>
    <mergeCell ref="H80:I80"/>
    <mergeCell ref="H81:I81"/>
    <mergeCell ref="H82:I82"/>
    <mergeCell ref="H83:I83"/>
    <mergeCell ref="H84:I84"/>
  </mergeCells>
  <phoneticPr fontId="1" type="noConversion"/>
  <dataValidations count="15">
    <dataValidation type="list" allowBlank="1" showInputMessage="1" showErrorMessage="1" sqref="G248:G277" xr:uid="{CEEA15F7-7113-4954-AF56-05B84A68B23C}">
      <formula1>$I$248:$I$249</formula1>
    </dataValidation>
    <dataValidation type="list" allowBlank="1" showInputMessage="1" showErrorMessage="1" sqref="F101:F120" xr:uid="{AB9CCAD4-9F84-4CD9-AC7F-F5E62A698E93}">
      <formula1>lstManoeuvres</formula1>
    </dataValidation>
    <dataValidation type="list" allowBlank="1" showInputMessage="1" showErrorMessage="1" sqref="F79:F98" xr:uid="{B6CA180C-4AEA-40F5-B69F-4DAE2B6D0769}">
      <formula1>lstMerits</formula1>
    </dataValidation>
    <dataValidation type="list" allowBlank="1" showInputMessage="1" showErrorMessage="1" sqref="F236:F238" xr:uid="{28CD373A-C61A-4554-AA6D-CC35396EF27A}">
      <formula1>lstBanes</formula1>
    </dataValidation>
    <dataValidation type="list" allowBlank="1" showInputMessage="1" showErrorMessage="1" sqref="F206:F215" xr:uid="{3CA4BC2C-1FA7-4390-B10B-F7E0FFEFBC20}">
      <formula1>lstPacts</formula1>
    </dataValidation>
    <dataValidation type="list" allowBlank="1" showInputMessage="1" showErrorMessage="1" sqref="G12:G13" xr:uid="{BA2EBF37-51D2-4AB2-8D6F-BDA5736861FA}">
      <formula1>lstStatus</formula1>
    </dataValidation>
    <dataValidation type="list" allowBlank="1" showInputMessage="1" showErrorMessage="1" sqref="F194:F205 F207:F215" xr:uid="{6F45C573-01A8-4C56-99F9-90F7AE1ACC6E}">
      <formula1>lstRites</formula1>
    </dataValidation>
    <dataValidation type="list" allowBlank="1" showInputMessage="1" showErrorMessage="1" sqref="F177:F181" xr:uid="{376FB8F4-B911-4F74-BD55-89222F7C0C84}">
      <formula1>lstDevotions</formula1>
    </dataValidation>
    <dataValidation type="list" allowBlank="1" showInputMessage="1" showErrorMessage="1" sqref="F17:F21" xr:uid="{5653E400-B04C-4F66-888A-01DD80CA60CD}">
      <formula1>"TRUE,FALSE"</formula1>
    </dataValidation>
    <dataValidation type="list" allowBlank="1" showInputMessage="1" showErrorMessage="1" sqref="F24" xr:uid="{15742B9E-068C-4C17-8D65-9A18EBA63F41}">
      <formula1>$D$7:$D$8</formula1>
    </dataValidation>
    <dataValidation type="list" allowBlank="1" showInputMessage="1" showErrorMessage="1" sqref="I25 I30 I35 I41 I51 I61" xr:uid="{90657C60-B168-4C48-9560-833B61E5A1ED}">
      <formula1>lstPriority</formula1>
    </dataValidation>
    <dataValidation type="list" allowBlank="1" showInputMessage="1" showErrorMessage="1" sqref="F10:F11" xr:uid="{E8FD97F6-45B6-457B-97D9-637298FF0604}">
      <formula1>lstNature</formula1>
    </dataValidation>
    <dataValidation type="list" allowBlank="1" showInputMessage="1" showErrorMessage="1" sqref="F8" xr:uid="{ADB8D36A-EFF6-4C75-9264-52083889A3E2}">
      <formula1>lstBloodlines</formula1>
    </dataValidation>
    <dataValidation type="list" allowBlank="1" showInputMessage="1" showErrorMessage="1" sqref="F9" xr:uid="{77DC8585-429E-4A65-B786-6082C1A259B6}">
      <formula1>lstCovenant</formula1>
    </dataValidation>
    <dataValidation type="list" allowBlank="1" showInputMessage="1" showErrorMessage="1" sqref="F7" xr:uid="{CC643D7C-1BA5-46E3-8246-BD7356439F75}">
      <formula1>lstClan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6B82CC7F-B539-4D79-8089-8006590EC8B2}">
          <x14:formula1>
            <xm:f>'Lookup-Domain'!$A$2:$A$8</xm:f>
          </x14:formula1>
          <xm:sqref>F138:F157 F161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0A97C-E628-43BA-8246-92EC9FFFC7AC}">
  <dimension ref="A1:AK365"/>
  <sheetViews>
    <sheetView zoomScale="70" zoomScaleNormal="70" workbookViewId="0">
      <pane ySplit="1" topLeftCell="A23" activePane="bottomLeft" state="frozen"/>
      <selection pane="bottomLeft" activeCell="D23" sqref="D23"/>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Eidetic Memory</v>
      </c>
      <c r="AC2" s="60" t="str" cm="1">
        <f t="array" ref="AC2:AC9">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Closed Book</v>
      </c>
      <c r="AD2" s="20" t="str">
        <f>IF(AC2="","¬",_xlfn.LET(_xlpm.base,IFERROR(LEFT(AC2,FIND(" (",AC2)-1),AC2),IFERROR(VLOOKUP(_xlpm.base,tblManoeuvre[],2,FALSE) &amp; " " &amp; REPT("●",VLOOKUP(_xlpm.base,tblManoeuvre[],3,FALSE)) &amp; " | " &amp; AC2,AC2 &amp; " " &amp; REPT("●",VLOOKUP(_xlpm.base,$F$79:$P$120,11,FALSE)))))</f>
        <v>Closed Book ●●●</v>
      </c>
      <c r="AE2" s="20"/>
      <c r="AF2" s="20" t="str">
        <f>IF(LEN(AC2)=0,"¬",_xlfn.LET(_xlpm.base,IFERROR(LEFT(AC2,FIND(" (",AC2)-1),AC2),IFERROR(VLOOKUP(_xlpm.base,tblMerits[],5,FALSE),IFERROR(VLOOKUP(_xlpm.base,tblManoeuvre[],9,FALSE),"¬"))))</f>
        <v>Add dots to Doors and as bonus to contest Social assessments.</v>
      </c>
      <c r="AI2" s="15" t="s">
        <v>25</v>
      </c>
      <c r="AJ2" s="61">
        <f t="shared" ref="AJ2:AJ58" si="1">VLOOKUP(AI2,$E$3:$P$221,12,FALSE)</f>
        <v>0</v>
      </c>
      <c r="AK2" s="61">
        <f>IF(AJ2=0,IF(COUNTIF($E$42:$E$49,AI2)&gt;0,-3,-1),AJ2)</f>
        <v>-3</v>
      </c>
    </row>
    <row r="3" spans="1:37">
      <c r="A3" s="1" t="s">
        <v>2</v>
      </c>
      <c r="B3">
        <f ca="1">N3</f>
        <v>1</v>
      </c>
      <c r="D3" s="19"/>
      <c r="E3" s="15" t="s">
        <v>4</v>
      </c>
      <c r="F3" s="3" t="s">
        <v>1067</v>
      </c>
      <c r="G3" s="18"/>
      <c r="H3" s="18"/>
      <c r="I3" s="18" t="s">
        <v>1425</v>
      </c>
      <c r="N3" s="60">
        <f ca="1">10+SUM(N4:N6)-SUM(N7)</f>
        <v>1</v>
      </c>
      <c r="Y3" s="15" t="s">
        <v>115</v>
      </c>
      <c r="Z3" s="19"/>
      <c r="AA3" s="61" t="str">
        <f t="shared" si="0"/>
        <v>Table Turner</v>
      </c>
      <c r="AC3" s="60" t="str">
        <v>Eidetic Memory</v>
      </c>
      <c r="AD3" s="20" t="str">
        <f>IF(AC3="","¬",_xlfn.LET(_xlpm.base,IFERROR(LEFT(AC3,FIND(" (",AC3)-1),AC3),IFERROR(VLOOKUP(_xlpm.base,tblManoeuvre[],2,FALSE) &amp; " " &amp; REPT("●",VLOOKUP(_xlpm.base,tblManoeuvre[],3,FALSE)) &amp; " | " &amp; AC3,AC3 &amp; " " &amp; REPT("●",VLOOKUP(_xlpm.base,$F$79:$P$120,11,FALSE)))))</f>
        <v>Eidetic Memory ●</v>
      </c>
      <c r="AE3" s="20"/>
      <c r="AF3" s="20" t="str">
        <f>IF(LEN(AC3)=0,"¬",_xlfn.LET(_xlpm.base,IFERROR(LEFT(AC3,FIND(" (",AC3)-1),AC3),IFERROR(VLOOKUP(_xlpm.base,tblMerits[],5,FALSE),IFERROR(VLOOKUP(_xlpm.base,tblManoeuvre[],9,FALSE),"¬"))))</f>
        <v>No rolls for recall. +2 to recall minute facts.</v>
      </c>
      <c r="AI3" s="15" t="s">
        <v>41</v>
      </c>
      <c r="AJ3" s="61">
        <f t="shared" si="1"/>
        <v>0</v>
      </c>
      <c r="AK3" s="61">
        <f>IF(AJ3=0,IF(COUNTIF($E$42:$E$49,AI3)&gt;0,-3,-1),AJ3)</f>
        <v>-1</v>
      </c>
    </row>
    <row r="4" spans="1:37">
      <c r="A4" s="1" t="s">
        <v>3</v>
      </c>
      <c r="B4">
        <f ca="1">SUM(N3:N9)</f>
        <v>62</v>
      </c>
      <c r="D4" s="19"/>
      <c r="E4" s="15" t="s">
        <v>5</v>
      </c>
      <c r="F4" s="3" t="s">
        <v>1068</v>
      </c>
      <c r="G4" s="18"/>
      <c r="H4" s="18"/>
      <c r="I4" s="18" t="s">
        <v>1426</v>
      </c>
      <c r="N4" s="61">
        <f>K73*2</f>
        <v>8</v>
      </c>
      <c r="Y4" s="15" t="s">
        <v>116</v>
      </c>
      <c r="Z4" s="19"/>
      <c r="AA4" s="61" t="str">
        <f t="shared" si="0"/>
        <v>Indomitable</v>
      </c>
      <c r="AC4" s="60" t="str">
        <v>Empath</v>
      </c>
      <c r="AD4" s="20" t="str">
        <f>IF(AC4="","¬",_xlfn.LET(_xlpm.base,IFERROR(LEFT(AC4,FIND(" (",AC4)-1),AC4),IFERROR(VLOOKUP(_xlpm.base,tblManoeuvre[],2,FALSE) &amp; " " &amp; REPT("●",VLOOKUP(_xlpm.base,tblManoeuvre[],3,FALSE)) &amp; " | " &amp; AC4,AC4 &amp; " " &amp; REPT("●",VLOOKUP(_xlpm.base,$F$79:$P$120,11,FALSE)))))</f>
        <v>Empath ●●</v>
      </c>
      <c r="AE4" s="20"/>
      <c r="AF4" s="20" t="str">
        <f>IF(LEN(AC4)=0,"¬",_xlfn.LET(_xlpm.base,IFERROR(LEFT(AC4,FIND(" (",AC4)-1),AC4),IFERROR(VLOOKUP(_xlpm.base,tblMerits[],5,FALSE),IFERROR(VLOOKUP(_xlpm.base,tblManoeuvre[],9,FALSE),"¬"))))</f>
        <v>Wits + Empathy vs Manipulation + Subterfuge for mental state insight; can open Doors or ease breaking points.</v>
      </c>
      <c r="AI4" s="15" t="s">
        <v>236</v>
      </c>
      <c r="AJ4" s="61">
        <f t="shared" si="1"/>
        <v>0</v>
      </c>
      <c r="AK4" s="61">
        <f>AJ4</f>
        <v>0</v>
      </c>
    </row>
    <row r="5" spans="1:37">
      <c r="A5" s="1" t="s">
        <v>4</v>
      </c>
      <c r="B5" t="str">
        <f>IF(VLOOKUP(tblCharDataKeeper[[#This Row],[Field]],$E$2:$F$362,2,FALSE)="","¬",VLOOKUP(tblCharDataKeeper[[#This Row],[Field]],$E$2:$F$362,2,FALSE))</f>
        <v>Symon</v>
      </c>
      <c r="D5" s="19"/>
      <c r="E5" s="15" t="s">
        <v>6</v>
      </c>
      <c r="F5" s="3" t="s">
        <v>1069</v>
      </c>
      <c r="G5" s="18"/>
      <c r="H5" s="18"/>
      <c r="I5" s="18" t="s">
        <v>1427</v>
      </c>
      <c r="N5" s="61">
        <f>N16</f>
        <v>15</v>
      </c>
      <c r="Y5" s="15" t="s">
        <v>117</v>
      </c>
      <c r="Z5" s="19"/>
      <c r="AA5" s="61" t="str">
        <f t="shared" si="0"/>
        <v>Peacemaker</v>
      </c>
      <c r="AC5" s="60" t="str">
        <v>Indomitable</v>
      </c>
      <c r="AD5" s="20" t="str">
        <f>IF(AC5="","¬",_xlfn.LET(_xlpm.base,IFERROR(LEFT(AC5,FIND(" (",AC5)-1),AC5),IFERROR(VLOOKUP(_xlpm.base,tblManoeuvre[],2,FALSE) &amp; " " &amp; REPT("●",VLOOKUP(_xlpm.base,tblManoeuvre[],3,FALSE)) &amp; " | " &amp; AC5,AC5 &amp; " " &amp; REPT("●",VLOOKUP(_xlpm.base,$F$79:$P$120,11,FALSE)))))</f>
        <v>Indomitable ●●</v>
      </c>
      <c r="AE5" s="20"/>
      <c r="AF5" s="20" t="str">
        <f>IF(LEN(AC5)=0,"¬",_xlfn.LET(_xlpm.base,IFERROR(LEFT(AC5,FIND(" (",AC5)-1),AC5),IFERROR(VLOOKUP(_xlpm.base,tblMerits[],5,FALSE),IFERROR(VLOOKUP(_xlpm.base,tblManoeuvre[],9,FALSE),"¬"))))</f>
        <v>+2 to contest or resist supernatural mental influence.</v>
      </c>
      <c r="AI5" s="15" t="s">
        <v>33</v>
      </c>
      <c r="AJ5" s="61">
        <f t="shared" si="1"/>
        <v>5</v>
      </c>
      <c r="AK5" s="61">
        <f>IF(AJ5=0,IF(COUNTIF($E$42:$E$49,AI5)&gt;0,-3,-1),AJ5)</f>
        <v>5</v>
      </c>
    </row>
    <row r="6" spans="1:37">
      <c r="A6" s="1" t="s">
        <v>5</v>
      </c>
      <c r="B6" t="str">
        <f>IF(VLOOKUP(tblCharDataKeeper[[#This Row],[Field]],$E$2:$F$362,2,FALSE)="","¬",VLOOKUP(tblCharDataKeeper[[#This Row],[Field]],$E$2:$F$362,2,FALSE))</f>
        <v>Keeper</v>
      </c>
      <c r="D6" s="19"/>
      <c r="E6" s="15" t="s">
        <v>7</v>
      </c>
      <c r="F6" s="3" t="s">
        <v>1070</v>
      </c>
      <c r="G6" s="18"/>
      <c r="H6" s="18"/>
      <c r="I6" s="18" t="s">
        <v>1347</v>
      </c>
      <c r="N6" s="61">
        <f ca="1">N279</f>
        <v>3</v>
      </c>
      <c r="Y6" s="15" t="s">
        <v>118</v>
      </c>
      <c r="Z6" s="19"/>
      <c r="AA6" s="61" t="str">
        <f t="shared" si="0"/>
        <v>Closed Book</v>
      </c>
      <c r="AC6" s="60" t="str">
        <v>Mandragora Garden (Shared (Ivana))</v>
      </c>
      <c r="AD6" s="20" t="str">
        <f>IF(AC6="","¬",_xlfn.LET(_xlpm.base,IFERROR(LEFT(AC6,FIND(" (",AC6)-1),AC6),IFERROR(VLOOKUP(_xlpm.base,tblManoeuvre[],2,FALSE) &amp; " " &amp; REPT("●",VLOOKUP(_xlpm.base,tblManoeuvre[],3,FALSE)) &amp; " | " &amp; AC6,AC6 &amp; " " &amp; REPT("●",VLOOKUP(_xlpm.base,$F$79:$P$120,11,FALSE)))))</f>
        <v>Mandragora Garden (Shared (Ivana)) ●●●</v>
      </c>
      <c r="AE6" s="20"/>
      <c r="AF6" s="20" t="str">
        <f>IF(LEN(AC6)=0,"¬",_xlfn.LET(_xlpm.base,IFERROR(LEFT(AC6,FIND(" (",AC6)-1),AC6),IFERROR(VLOOKUP(_xlpm.base,tblMerits[],5,FALSE),IFERROR(VLOOKUP(_xlpm.base,tblManoeuvre[],9,FALSE),"¬"))))</f>
        <v>Remote Crúac into Safe Place. Add dots to Crúac rolls in garden. Sustain Merit dots in rituals indefinitely (don't count toward Sorcery Tolerance); reduce base cost of Merit dots in rituals by rating. Feed dots in Vitae monthly; produces double in animal blood (costume at game). Attacks provoke frenzy. Can share but not increase yields.</v>
      </c>
      <c r="AI6" s="15" t="s">
        <v>237</v>
      </c>
      <c r="AJ6" s="61">
        <f t="shared" si="1"/>
        <v>1</v>
      </c>
      <c r="AK6" s="61">
        <f>AJ6</f>
        <v>1</v>
      </c>
    </row>
    <row r="7" spans="1:37">
      <c r="A7" s="1" t="s">
        <v>6</v>
      </c>
      <c r="B7" t="str">
        <f>IF(VLOOKUP(tblCharDataKeeper[[#This Row],[Field]],$E$2:$F$362,2,FALSE)="","¬",VLOOKUP(tblCharDataKeeper[[#This Row],[Field]],$E$2:$F$362,2,FALSE))</f>
        <v>Fallen Elder</v>
      </c>
      <c r="D7" s="19" t="str">
        <f>VLOOKUP(F7,tblClans[],3,FALSE)</f>
        <v>Wits</v>
      </c>
      <c r="E7" s="15" t="s">
        <v>8</v>
      </c>
      <c r="F7" s="3" t="s">
        <v>370</v>
      </c>
      <c r="G7" s="18"/>
      <c r="H7" s="18"/>
      <c r="I7" s="18"/>
      <c r="N7" s="60">
        <f>SUM(N8:N12)</f>
        <v>35</v>
      </c>
      <c r="Y7" s="15" t="s">
        <v>119</v>
      </c>
      <c r="Z7" s="19"/>
      <c r="AA7" s="61" t="str">
        <f t="shared" si="0"/>
        <v>Empath</v>
      </c>
      <c r="AC7" s="60" t="str">
        <v>Peacemaker</v>
      </c>
      <c r="AD7" s="20" t="str">
        <f>IF(AC7="","¬",_xlfn.LET(_xlpm.base,IFERROR(LEFT(AC7,FIND(" (",AC7)-1),AC7),IFERROR(VLOOKUP(_xlpm.base,tblManoeuvre[],2,FALSE) &amp; " " &amp; REPT("●",VLOOKUP(_xlpm.base,tblManoeuvre[],3,FALSE)) &amp; " | " &amp; AC7,AC7 &amp; " " &amp; REPT("●",VLOOKUP(_xlpm.base,$F$79:$P$120,11,FALSE)))))</f>
        <v>Peacemaker ●●●</v>
      </c>
      <c r="AE7" s="20"/>
      <c r="AF7" s="20" t="str">
        <f>IF(LEN(AC7)=0,"¬",_xlfn.LET(_xlpm.base,IFERROR(LEFT(AC7,FIND(" (",AC7)-1),AC7),IFERROR(VLOOKUP(_xlpm.base,tblMerits[],5,FALSE),IFERROR(VLOOKUP(_xlpm.base,tblManoeuvre[],9,FALSE),"¬"))))</f>
        <v>Spend Willpower to negotiate peace via Social Manoeuvring. (•••) can talk down supernatural rages.</v>
      </c>
      <c r="AI7" s="15" t="s">
        <v>49</v>
      </c>
      <c r="AJ7" s="61">
        <f t="shared" si="1"/>
        <v>2</v>
      </c>
      <c r="AK7" s="61">
        <f>AJ7</f>
        <v>2</v>
      </c>
    </row>
    <row r="8" spans="1:37">
      <c r="A8" s="1" t="s">
        <v>7</v>
      </c>
      <c r="B8" t="str">
        <f>IF(VLOOKUP(tblCharDataKeeper[[#This Row],[Field]],$E$2:$F$362,2,FALSE)="","¬",LOWER(VLOOKUP(tblCharDataKeeper[[#This Row],[Field]],$E$2:$F$362,2,FALSE)))</f>
        <v>he/she/they</v>
      </c>
      <c r="D8" s="19" t="str">
        <f>VLOOKUP(F7,tblClans[],2,FALSE)</f>
        <v>Intelligence</v>
      </c>
      <c r="E8" s="15" t="s">
        <v>10</v>
      </c>
      <c r="F8" s="3" t="s">
        <v>1071</v>
      </c>
      <c r="G8" s="61" t="b">
        <f>IFERROR(IF(OR(AND(VLOOKUP(F8,tblBloodlines[],2,FALSE)="",VLOOKUP(F8,tblBloodlines[],3,FALSE)="",VLOOKUP(F8,tblBloodlines[],4,FALSE)=""),AND(VLOOKUP(F8,tblBloodlines[],2,FALSE)="",VLOOKUP(F8,tblBloodlines[],3,FALSE)="",F9=VLOOKUP(F8,tblBloodlines[],4,FALSE)),F7=VLOOKUP(F8,tblBloodlines[],2,FALSE),F7=VLOOKUP(F8,tblBloodlines[],3,FALSE)),TRUE,FALSE),"")</f>
        <v>1</v>
      </c>
      <c r="H8" s="18"/>
      <c r="I8" s="18" t="s">
        <v>1428</v>
      </c>
      <c r="N8" s="61">
        <f>N23</f>
        <v>0</v>
      </c>
      <c r="O8" s="65">
        <f>N8/SUM(N$7:N$12)</f>
        <v>0</v>
      </c>
      <c r="P8" s="66"/>
      <c r="Y8" s="15" t="s">
        <v>120</v>
      </c>
      <c r="Z8" s="19"/>
      <c r="AA8" s="61" t="str">
        <f t="shared" si="0"/>
        <v>Secret Society Junkie</v>
      </c>
      <c r="AC8" s="60" t="str">
        <v>Secret Society Junkie</v>
      </c>
      <c r="AD8" s="20" t="str">
        <f>IF(AC8="","¬",_xlfn.LET(_xlpm.base,IFERROR(LEFT(AC8,FIND(" (",AC8)-1),AC8),IFERROR(VLOOKUP(_xlpm.base,tblManoeuvre[],2,FALSE) &amp; " " &amp; REPT("●",VLOOKUP(_xlpm.base,tblManoeuvre[],3,FALSE)) &amp; " | " &amp; AC8,AC8 &amp; " " &amp; REPT("●",VLOOKUP(_xlpm.base,$F$79:$P$120,11,FALSE)))))</f>
        <v>Secret Society Junkie ●</v>
      </c>
      <c r="AE8" s="20"/>
      <c r="AF8" s="20" t="str">
        <f>IF(LEN(AC8)=0,"¬",_xlfn.LET(_xlpm.base,IFERROR(LEFT(AC8,FIND(" (",AC8)-1),AC8),IFERROR(VLOOKUP(_xlpm.base,tblMerits[],5,FALSE),IFERROR(VLOOKUP(_xlpm.base,tblManoeuvre[],9,FALSE),"¬"))))</f>
        <v>Dots in Status or Mystery Cult Initiation representing human secret societies also count as dots of Herd.</v>
      </c>
      <c r="AI8" s="15" t="s">
        <v>34</v>
      </c>
      <c r="AJ8" s="61">
        <f t="shared" si="1"/>
        <v>0</v>
      </c>
      <c r="AK8" s="61">
        <f>IF(AJ8=0,IF(COUNTIF($E$42:$E$49,AI8)&gt;0,-3,-1),AJ8)</f>
        <v>-1</v>
      </c>
    </row>
    <row r="9" spans="1:37">
      <c r="A9" s="1" t="s">
        <v>8</v>
      </c>
      <c r="B9" t="str">
        <f>IF(VLOOKUP(tblCharDataKeeper[[#This Row],[Field]],$E$2:$F$362,2,FALSE)="","¬",VLOOKUP(tblCharDataKeeper[[#This Row],[Field]],$E$2:$F$362,2,FALSE))</f>
        <v>Mekhet</v>
      </c>
      <c r="D9" s="19"/>
      <c r="E9" s="15" t="s">
        <v>11</v>
      </c>
      <c r="F9" s="3" t="s">
        <v>373</v>
      </c>
      <c r="G9" s="18"/>
      <c r="H9" s="18"/>
      <c r="I9" s="18" t="s">
        <v>1429</v>
      </c>
      <c r="N9" s="61">
        <f>N40+T40</f>
        <v>0</v>
      </c>
      <c r="O9" s="65">
        <f>N9/SUM(N$7:N$12)</f>
        <v>0</v>
      </c>
      <c r="P9" s="66"/>
      <c r="Y9" s="15" t="s">
        <v>121</v>
      </c>
      <c r="Z9" s="19"/>
      <c r="AA9" s="61" t="str">
        <f t="shared" si="0"/>
        <v>Mandragora Garden (Shared (Ivana))</v>
      </c>
      <c r="AC9" s="60" t="str">
        <v>Table Turner</v>
      </c>
      <c r="AD9" s="20" t="str">
        <f>IF(AC9="","¬",_xlfn.LET(_xlpm.base,IFERROR(LEFT(AC9,FIND(" (",AC9)-1),AC9),IFERROR(VLOOKUP(_xlpm.base,tblManoeuvre[],2,FALSE) &amp; " " &amp; REPT("●",VLOOKUP(_xlpm.base,tblManoeuvre[],3,FALSE)) &amp; " | " &amp; AC9,AC9 &amp; " " &amp; REPT("●",VLOOKUP(_xlpm.base,$F$79:$P$120,11,FALSE)))))</f>
        <v>Table Turner ●</v>
      </c>
      <c r="AE9" s="20"/>
      <c r="AF9" s="20" t="str">
        <f>IF(LEN(AC9)=0,"¬",_xlfn.LET(_xlpm.base,IFERROR(LEFT(AC9,FIND(" (",AC9)-1),AC9),IFERROR(VLOOKUP(_xlpm.base,tblMerits[],5,FALSE),IFERROR(VLOOKUP(_xlpm.base,tblManoeuvre[],9,FALSE),"¬"))))</f>
        <v>Spend Willpower to preempt Social Manoeuvring with your own Social action.</v>
      </c>
      <c r="AI9" s="15" t="s">
        <v>238</v>
      </c>
      <c r="AJ9" s="61">
        <f t="shared" si="1"/>
        <v>1</v>
      </c>
      <c r="AK9" s="61">
        <f>AJ9</f>
        <v>1</v>
      </c>
    </row>
    <row r="10" spans="1:37">
      <c r="A10" s="1" t="s">
        <v>9</v>
      </c>
      <c r="B10" t="str">
        <f>CONCATENATE(Elements,B9," icon.svg")</f>
        <v>D:\Terra Mortis\Character Sheets\Sheet Elements\Mekhet icon.svg</v>
      </c>
      <c r="D10" s="19"/>
      <c r="E10" s="15" t="s">
        <v>13</v>
      </c>
      <c r="F10" s="3" t="s">
        <v>876</v>
      </c>
      <c r="G10" s="18"/>
      <c r="H10" s="18"/>
      <c r="I10" s="18" t="s">
        <v>1430</v>
      </c>
      <c r="N10" s="61">
        <f>N77</f>
        <v>7</v>
      </c>
      <c r="O10" s="65">
        <f>N10/SUM(N$7:N$12)</f>
        <v>0.1</v>
      </c>
      <c r="P10" s="66"/>
      <c r="Y10" s="15" t="s">
        <v>122</v>
      </c>
      <c r="Z10" s="19"/>
      <c r="AA10" s="61" t="str">
        <f t="shared" si="0"/>
        <v/>
      </c>
      <c r="AC10" s="60"/>
      <c r="AD10" s="20" t="str">
        <f>IF(AC10="","¬",_xlfn.LET(_xlpm.base,IFERROR(LEFT(AC10,FIND(" (",AC10)-1),AC10),IFERROR(VLOOKUP(_xlpm.base,tblManoeuvre[],2,FALSE) &amp; " " &amp; REPT("●",VLOOKUP(_xlpm.base,tblManoeuvre[],3,FALSE)) &amp; " | " &amp; AC10,AC10 &amp; " " &amp; REPT("●",VLOOKUP(_xlpm.base,$F$79:$P$120,11,FALSE)))))</f>
        <v>¬</v>
      </c>
      <c r="AE10" s="20"/>
      <c r="AF10" s="20" t="str">
        <f>IF(LEN(AC10)=0,"¬",_xlfn.LET(_xlpm.base,IFERROR(LEFT(AC10,FIND(" (",AC10)-1),AC10),IFERROR(VLOOKUP(_xlpm.base,tblMerits[],5,FALSE),IFERROR(VLOOKUP(_xlpm.base,tblManoeuvre[],9,FALSE),"¬"))))</f>
        <v>¬</v>
      </c>
      <c r="AI10" s="15" t="s">
        <v>24</v>
      </c>
      <c r="AJ10" s="61">
        <f t="shared" si="1"/>
        <v>2</v>
      </c>
      <c r="AK10" s="61">
        <f>AJ10+IFERROR(INDEX($V$26:$V$38,MATCH(AI10,$E$26:$E$38,0)),0)</f>
        <v>2</v>
      </c>
    </row>
    <row r="11" spans="1:37">
      <c r="A11" s="1" t="s">
        <v>10</v>
      </c>
      <c r="B11" t="str">
        <f>IF(VLOOKUP(tblCharDataKeeper[[#This Row],[Field]],$E$2:$F$362,2,FALSE)="","¬",VLOOKUP(tblCharDataKeeper[[#This Row],[Field]],$E$2:$F$362,2,FALSE))</f>
        <v>Mnemosyne</v>
      </c>
      <c r="D11" s="19"/>
      <c r="E11" s="15" t="s">
        <v>14</v>
      </c>
      <c r="F11" s="3" t="s">
        <v>1072</v>
      </c>
      <c r="G11" s="18"/>
      <c r="H11" s="18"/>
      <c r="I11" s="18" t="s">
        <v>1431</v>
      </c>
      <c r="N11" s="61">
        <f>N163</f>
        <v>28</v>
      </c>
      <c r="O11" s="65">
        <f>N11/SUM(N$7:N$12)</f>
        <v>0.4</v>
      </c>
      <c r="P11" s="66"/>
      <c r="Y11" s="15" t="s">
        <v>123</v>
      </c>
      <c r="Z11" s="19"/>
      <c r="AA11" s="61" t="str">
        <f t="shared" si="0"/>
        <v/>
      </c>
      <c r="AC11" s="60"/>
      <c r="AD11" s="20" t="str">
        <f>IF(AC11="","¬",_xlfn.LET(_xlpm.base,IFERROR(LEFT(AC11,FIND(" (",AC11)-1),AC11),IFERROR(VLOOKUP(_xlpm.base,tblManoeuvre[],2,FALSE) &amp; " " &amp; REPT("●",VLOOKUP(_xlpm.base,tblManoeuvre[],3,FALSE)) &amp; " | " &amp; AC11,AC11 &amp; " " &amp; REPT("●",VLOOKUP(_xlpm.base,$F$79:$P$120,11,FALSE)))))</f>
        <v>¬</v>
      </c>
      <c r="AE11" s="20"/>
      <c r="AF11" s="20" t="str">
        <f>IF(LEN(AC11)=0,"¬",_xlfn.LET(_xlpm.base,IFERROR(LEFT(AC11,FIND(" (",AC11)-1),AC11),IFERROR(VLOOKUP(_xlpm.base,tblMerits[],5,FALSE),IFERROR(VLOOKUP(_xlpm.base,tblManoeuvre[],9,FALSE),"¬"))))</f>
        <v>¬</v>
      </c>
      <c r="AI11" s="15" t="s">
        <v>26</v>
      </c>
      <c r="AJ11" s="61">
        <f t="shared" si="1"/>
        <v>0</v>
      </c>
      <c r="AK11" s="61">
        <f>IF(AJ11=0,IF(COUNTIF($E$42:$E$49,AI11)&gt;0,-3,-1),AJ11)</f>
        <v>-3</v>
      </c>
    </row>
    <row r="12" spans="1:37">
      <c r="A12" s="1" t="s">
        <v>11</v>
      </c>
      <c r="B12" t="str">
        <f>IF(VLOOKUP(tblCharDataKeeper[[#This Row],[Field]],$E$2:$F$362,2,FALSE)="","¬",VLOOKUP(tblCharDataKeeper[[#This Row],[Field]],$E$2:$F$362,2,FALSE))</f>
        <v>Circle of the Crone</v>
      </c>
      <c r="D12" s="19"/>
      <c r="E12" s="15" t="s">
        <v>15</v>
      </c>
      <c r="F12" s="3"/>
      <c r="G12" s="3"/>
      <c r="H12" s="18"/>
      <c r="I12" s="18" t="s">
        <v>1432</v>
      </c>
      <c r="N12" s="61">
        <f>N71</f>
        <v>0</v>
      </c>
      <c r="O12" s="65">
        <f>N12/SUM(N$7:N$12)</f>
        <v>0</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0</v>
      </c>
      <c r="AK12" s="61">
        <f>IF(AJ12=0,IF(COUNTIF($E$42:$E$49,AI12)&gt;0,-3,-1),AJ12)</f>
        <v>-3</v>
      </c>
    </row>
    <row r="13" spans="1:37">
      <c r="A13" s="1" t="s">
        <v>12</v>
      </c>
      <c r="B13" t="str">
        <f>_xlfn.IFNA(CONCATENATE(Elements,VLOOKUP(B12,tblCovenantShortName[#Data],2,FALSE)," icon.svg"),"")</f>
        <v>D:\Terra Mortis\Character Sheets\Sheet Elements\Crone icon.svg</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1</v>
      </c>
      <c r="AK13" s="61">
        <f t="shared" ref="AK13:AK19" si="2">AJ13</f>
        <v>1</v>
      </c>
    </row>
    <row r="14" spans="1:37">
      <c r="A14" s="1" t="s">
        <v>13</v>
      </c>
      <c r="B14" t="str">
        <f>IF(VLOOKUP(tblCharDataKeeper[[#This Row],[Field]],$E$2:$F$362,2,FALSE)="","¬",VLOOKUP(tblCharDataKeeper[[#This Row],[Field]],$E$2:$F$362,2,FALSE))</f>
        <v>Junkie</v>
      </c>
      <c r="D14" s="19"/>
      <c r="E14" s="15" t="s">
        <v>1433</v>
      </c>
      <c r="F14" s="54" t="s">
        <v>1755</v>
      </c>
      <c r="G14" s="3" t="s">
        <v>1113</v>
      </c>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4</v>
      </c>
      <c r="AK14" s="61">
        <f t="shared" si="2"/>
        <v>4</v>
      </c>
    </row>
    <row r="15" spans="1:37">
      <c r="A15" s="1" t="s">
        <v>14</v>
      </c>
      <c r="B15" t="str">
        <f>IF(VLOOKUP(tblCharDataKeeper[[#This Row],[Field]],$E$2:$F$362,2,FALSE)="","¬",VLOOKUP(tblCharDataKeeper[[#This Row],[Field]],$E$2:$F$362,2,FALSE))</f>
        <v>Masochist</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7</v>
      </c>
      <c r="AK15" s="61">
        <f t="shared" ca="1" si="2"/>
        <v>7</v>
      </c>
    </row>
    <row r="16" spans="1:37" ht="15.75" thickBot="1">
      <c r="A16" s="1" t="s">
        <v>15</v>
      </c>
      <c r="B16" t="str">
        <f ca="1">_xlfn.LET(_xlpm.a,VLOOKUP(tblCharDataKeeper[[#This Row],[Field]],$E$2:$F$362,2,FALSE),_xlpm.b,VLOOKUP(OFFSET(tblCharDataKeeper[[#This Row],[Field]],1,0),$E$2:$F$362,2,FALSE),IF(AND(_xlpm.a&lt;&gt;"",_xlpm.b&lt;&gt;""),_xlpm.a&amp;" &amp; "&amp;_xlpm.b,IF(_xlpm.a&lt;&gt;"",_xlpm.a,IF(_xlpm.b&lt;&gt;"",_xlpm.b,"¬"))))</f>
        <v>¬</v>
      </c>
      <c r="D16" s="14" t="s">
        <v>1427</v>
      </c>
      <c r="E16" s="14"/>
      <c r="F16" s="14"/>
      <c r="G16" s="14"/>
      <c r="H16" s="14"/>
      <c r="I16" s="14"/>
      <c r="N16" s="60">
        <f>SUM(N17:N21)</f>
        <v>15</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REPT("●",IFERROR(INDEX($P$26:$P$38,MATCH(tblCharDataKeeper[[#This Row],[Field]],$E$26:$E$38,0)),0))&amp;REPT("○",IFERROR(INDEX($V$26:$V$38,MATCH(tblCharDataKeeper[[#This Row],[Field]],$E$26:$E$38,0)),0))</f>
        <v>●●●●</v>
      </c>
      <c r="D17" s="19"/>
      <c r="E17" s="15" t="s">
        <v>1435</v>
      </c>
      <c r="F17" s="3" t="b">
        <v>1</v>
      </c>
      <c r="G17" s="19"/>
      <c r="H17" s="19"/>
      <c r="I17" s="19"/>
      <c r="N17" s="61">
        <f>IF(F17=TRUE,3,0)</f>
        <v>3</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2</v>
      </c>
      <c r="AK17" s="61">
        <f>AJ17+IFERROR(INDEX($V$26:$V$38,MATCH(AI17,$E$26:$E$38,0)),0)</f>
        <v>2</v>
      </c>
    </row>
    <row r="18" spans="1:37">
      <c r="A18" s="1" t="s">
        <v>17</v>
      </c>
      <c r="B18" t="str">
        <f>REPT("●",IFERROR(INDEX($P$26:$P$38,MATCH(tblCharDataKeeper[[#This Row],[Field]],$E$26:$E$38,0)),0))&amp;REPT("○",IFERROR(INDEX($V$26:$V$38,MATCH(tblCharDataKeeper[[#This Row],[Field]],$E$26:$E$38,0)),0))</f>
        <v>●●</v>
      </c>
      <c r="D18" s="19"/>
      <c r="E18" s="15" t="s">
        <v>1436</v>
      </c>
      <c r="F18" s="3" t="b">
        <v>1</v>
      </c>
      <c r="G18" s="19"/>
      <c r="H18" s="19"/>
      <c r="I18" s="19"/>
      <c r="N18" s="61">
        <f>IF(F18=TRUE,3,0)</f>
        <v>3</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0</v>
      </c>
      <c r="AK18" s="61">
        <f t="shared" si="2"/>
        <v>0</v>
      </c>
    </row>
    <row r="19" spans="1:37">
      <c r="A19" s="1" t="s">
        <v>18</v>
      </c>
      <c r="B19" t="str">
        <f>REPT("●",IFERROR(INDEX($P$26:$P$38,MATCH(tblCharDataKeeper[[#This Row],[Field]],$E$26:$E$38,0)),0))&amp;REPT("○",IFERROR(INDEX($V$26:$V$38,MATCH(tblCharDataKeeper[[#This Row],[Field]],$E$26:$E$38,0)),0))</f>
        <v>●●</v>
      </c>
      <c r="D19" s="19"/>
      <c r="E19" s="15" t="s">
        <v>1437</v>
      </c>
      <c r="F19" s="3" t="b">
        <v>1</v>
      </c>
      <c r="G19" s="19"/>
      <c r="H19" s="19"/>
      <c r="I19" s="19"/>
      <c r="N19" s="61">
        <f>IF(F19=TRUE,3,0)</f>
        <v>3</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4</v>
      </c>
      <c r="AK19" s="61">
        <f t="shared" si="2"/>
        <v>4</v>
      </c>
    </row>
    <row r="20" spans="1:37">
      <c r="A20" s="1" t="s">
        <v>19</v>
      </c>
      <c r="B20" t="str">
        <f>REPT("●",IFERROR(INDEX($P$26:$P$38,MATCH(tblCharDataKeeper[[#This Row],[Field]],$E$26:$E$38,0)),0))&amp;REPT("○",IFERROR(INDEX($V$26:$V$38,MATCH(tblCharDataKeeper[[#This Row],[Field]],$E$26:$E$38,0)),0))</f>
        <v>●●</v>
      </c>
      <c r="D20" s="19"/>
      <c r="E20" s="15" t="s">
        <v>1438</v>
      </c>
      <c r="F20" s="3" t="b">
        <v>1</v>
      </c>
      <c r="G20" s="19"/>
      <c r="H20" s="19"/>
      <c r="I20" s="19"/>
      <c r="N20" s="61">
        <f>IF(F20=TRUE,3,0)</f>
        <v>3</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REPT("●",IFERROR(INDEX($P$26:$P$38,MATCH(tblCharDataKeeper[[#This Row],[Field]],$E$26:$E$38,0)),0))&amp;REPT("○",IFERROR(INDEX($V$26:$V$38,MATCH(tblCharDataKeeper[[#This Row],[Field]],$E$26:$E$38,0)),0))</f>
        <v>●●</v>
      </c>
      <c r="D21" s="19"/>
      <c r="E21" s="15" t="s">
        <v>11</v>
      </c>
      <c r="F21" s="3" t="b">
        <v>1</v>
      </c>
      <c r="G21" s="19"/>
      <c r="H21" s="19"/>
      <c r="I21" s="19"/>
      <c r="N21" s="61">
        <f>IF(F21=TRUE,3,0)</f>
        <v>3</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3</v>
      </c>
      <c r="AK21" s="61">
        <f>IF(AJ21=0,IF(COUNTIF($E$42:$E$49,AI21)&gt;0,-3,-1),AJ21)</f>
        <v>3</v>
      </c>
    </row>
    <row r="22" spans="1:37">
      <c r="A22" s="1" t="s">
        <v>21</v>
      </c>
      <c r="B22" t="str">
        <f>REPT("●",IFERROR(INDEX($P$26:$P$38,MATCH(tblCharDataKeeper[[#This Row],[Field]],$E$26:$E$38,0)),0))&amp;REPT("○",IFERROR(INDEX($V$26:$V$38,MATCH(tblCharDataKeeper[[#This Row],[Field]],$E$26:$E$38,0)),0))</f>
        <v>●●</v>
      </c>
      <c r="Y22" s="15" t="s">
        <v>1439</v>
      </c>
      <c r="Z22" s="61" t="str">
        <f>IFERROR(VLOOKUP(AA22,tblManoeuvre[],2,FALSE),"")</f>
        <v/>
      </c>
      <c r="AA22" s="61" t="str">
        <f t="shared" ref="AA22:AA41" si="3">_xlfn.LET(_xlpm.name,VLOOKUP(Y22,$E$2:$F$362,2,FALSE),_xlpm.paid,_xlfn.IFNA(VLOOKUP(_xlpm.name,$F$79:$Q$120,11,FALSE)&gt;=VLOOKUP(_xlpm.name,$F$79:$Q$120,12,FALSE),FALSE),IF(AND(_xlpm.name&lt;&gt;"",_xlpm.paid),_xlpm.name,""))</f>
        <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4</v>
      </c>
      <c r="AK22" s="61">
        <f>IF(AJ22=0,IF(COUNTIF($E$42:$E$49,AI22)&gt;0,-3,-1),AJ22)</f>
        <v>4</v>
      </c>
    </row>
    <row r="23" spans="1:37" ht="15.75" thickBot="1">
      <c r="A23" s="1" t="s">
        <v>22</v>
      </c>
      <c r="B23" t="str">
        <f>REPT("●",IFERROR(INDEX($P$26:$P$38,MATCH(tblCharDataKeeper[[#This Row],[Field]],$E$26:$E$38,0)),0))&amp;REPT("○",IFERROR(INDEX($V$26:$V$38,MATCH(tblCharDataKeeper[[#This Row],[Field]],$E$26:$E$38,0)),0))</f>
        <v>●●●</v>
      </c>
      <c r="D23" s="14" t="s">
        <v>1440</v>
      </c>
      <c r="E23" s="14"/>
      <c r="F23" s="14"/>
      <c r="G23" s="14"/>
      <c r="H23" s="14"/>
      <c r="I23" s="14"/>
      <c r="N23" s="60">
        <f>SUM(N26:N28,N31:N33,N36:N38)</f>
        <v>0</v>
      </c>
      <c r="Y23" s="15" t="s">
        <v>1441</v>
      </c>
      <c r="Z23" s="61" t="str">
        <f>IFERROR(VLOOKUP(AA23,tblManoeuvre[],2,FALSE),"")</f>
        <v/>
      </c>
      <c r="AA23" s="61" t="str">
        <f t="shared" si="3"/>
        <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0</v>
      </c>
      <c r="AK23" s="61">
        <f>IF(AJ23=0,VLOOKUP(AI23,$E$42:$Q$69,13,FALSE),AJ23)</f>
        <v>0</v>
      </c>
    </row>
    <row r="24" spans="1:37">
      <c r="A24" s="1" t="s">
        <v>23</v>
      </c>
      <c r="B24" t="str">
        <f>REPT("●",IFERROR(INDEX($P$26:$P$38,MATCH(tblCharDataKeeper[[#This Row],[Field]],$E$26:$E$38,0)),0))&amp;REPT("○",IFERROR(INDEX($V$26:$V$38,MATCH(tblCharDataKeeper[[#This Row],[Field]],$E$26:$E$38,0)),0))</f>
        <v>●●●</v>
      </c>
      <c r="E24" s="15" t="s">
        <v>1442</v>
      </c>
      <c r="F24" s="3" t="s">
        <v>16</v>
      </c>
      <c r="Y24" s="15" t="s">
        <v>1443</v>
      </c>
      <c r="Z24" s="61" t="str">
        <f>IFERROR(VLOOKUP(AA24,tblManoeuvre[],2,FALSE),"")</f>
        <v/>
      </c>
      <c r="AA24" s="61" t="str">
        <f t="shared" si="3"/>
        <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7</v>
      </c>
      <c r="AK24" s="61">
        <f ca="1">AJ24</f>
        <v>7</v>
      </c>
    </row>
    <row r="25" spans="1:37">
      <c r="A25" s="1" t="s">
        <v>24</v>
      </c>
      <c r="B25" t="str">
        <f>REPT("●",IFERROR(INDEX($P$26:$P$38,MATCH(tblCharDataKeeper[[#This Row],[Field]],$E$26:$E$38,0)),0))&amp;REPT("○",IFERROR(INDEX($V$26:$V$38,MATCH(tblCharDataKeeper[[#This Row],[Field]],$E$26:$E$38,0)),0))</f>
        <v>●●</v>
      </c>
      <c r="D25" s="16" t="s">
        <v>1444</v>
      </c>
      <c r="E25" s="17"/>
      <c r="F25" s="17"/>
      <c r="G25" s="17" t="s">
        <v>1445</v>
      </c>
      <c r="H25" s="16" t="s">
        <v>1446</v>
      </c>
      <c r="I25" s="3" t="s">
        <v>1567</v>
      </c>
      <c r="L25" s="60">
        <f>IF(I25="",0,VLOOKUP(I25,tblPriority[#Data],2,FALSE))-SUM(L26:L28)</f>
        <v>0</v>
      </c>
      <c r="Y25" s="15" t="s">
        <v>1447</v>
      </c>
      <c r="Z25" s="61" t="str">
        <f>IFERROR(VLOOKUP(AA25,tblManoeuvre[],2,FALSE),"")</f>
        <v/>
      </c>
      <c r="AA25" s="61" t="str">
        <f t="shared" si="3"/>
        <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3</v>
      </c>
      <c r="AK25" s="61">
        <f>AJ25</f>
        <v>3</v>
      </c>
    </row>
    <row r="26" spans="1:37">
      <c r="A26" s="1" t="s">
        <v>25</v>
      </c>
      <c r="B26" t="str">
        <f>REPT("●",IFERROR(INDEX($P$42:$P$69,MATCH(tblCharDataKeeper[[#This Row],[Field]],$E$42:$E$69,0)),0))&amp;REPT("○",IFERROR(INDEX($V$42:$V$69,MATCH(tblCharDataKeeper[[#This Row],[Field]],$E$42:$E$69,0)),0))&amp;IF(IFERROR(INDEX($W$42:$W$69,MATCH(tblCharDataKeeper[[#This Row],[Field]],$E$42:$E$69,0)),0)=1,"†","")</f>
        <v/>
      </c>
      <c r="D26" s="18"/>
      <c r="E26" s="15" t="s">
        <v>16</v>
      </c>
      <c r="F26" s="18"/>
      <c r="G26" s="3"/>
      <c r="H26" s="18"/>
      <c r="I26" s="18"/>
      <c r="L26" s="3">
        <v>2</v>
      </c>
      <c r="M26" s="60">
        <f>IF(E26=$F$24,2,1)</f>
        <v>2</v>
      </c>
      <c r="N26" s="3"/>
      <c r="O26" s="61">
        <f>ROUNDDOWN(N26/4,0)</f>
        <v>0</v>
      </c>
      <c r="P26" s="60">
        <f>MIN(SUM(L26,M26,O26),R26)</f>
        <v>4</v>
      </c>
      <c r="R26" s="61">
        <v>5</v>
      </c>
      <c r="U26" s="4"/>
      <c r="V26" s="61">
        <f>U26</f>
        <v>0</v>
      </c>
      <c r="Y26" s="15" t="s">
        <v>1449</v>
      </c>
      <c r="Z26" s="61" t="str">
        <f>IFERROR(VLOOKUP(AA26,tblManoeuvre[],2,FALSE),"")</f>
        <v/>
      </c>
      <c r="AA26" s="61" t="str">
        <f t="shared" si="3"/>
        <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4</v>
      </c>
      <c r="AK26" s="61">
        <f>AJ26+IFERROR(INDEX($V$26:$V$38,MATCH(AI26,$E$26:$E$38,0)),0)</f>
        <v>4</v>
      </c>
    </row>
    <row r="27" spans="1:37">
      <c r="A27" s="1" t="s">
        <v>26</v>
      </c>
      <c r="B27" t="str">
        <f>REPT("●",IFERROR(INDEX($P$42:$P$69,MATCH(tblCharDataKeeper[[#This Row],[Field]],$E$42:$E$69,0)),0))&amp;REPT("○",IFERROR(INDEX($V$42:$V$69,MATCH(tblCharDataKeeper[[#This Row],[Field]],$E$42:$E$69,0)),0))&amp;IF(IFERROR(INDEX($W$42:$W$69,MATCH(tblCharDataKeeper[[#This Row],[Field]],$E$42:$E$69,0)),0)=1,"†","")</f>
        <v/>
      </c>
      <c r="D27" s="18"/>
      <c r="E27" s="15" t="s">
        <v>17</v>
      </c>
      <c r="F27" s="18"/>
      <c r="G27" s="3"/>
      <c r="H27" s="18"/>
      <c r="I27" s="18"/>
      <c r="L27" s="3">
        <v>1</v>
      </c>
      <c r="M27" s="60">
        <f>IF(E27=$F$24,2,1)</f>
        <v>1</v>
      </c>
      <c r="N27" s="3"/>
      <c r="O27" s="61">
        <f>ROUNDDOWN(N27/4,0)</f>
        <v>0</v>
      </c>
      <c r="P27" s="60">
        <f>MIN(SUM(L27,M27,O27),R27)</f>
        <v>2</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1</v>
      </c>
      <c r="AK27" s="61">
        <f>IF(AJ27=0,IF(COUNTIF($E$42:$E$49,AI27)&gt;0,-3,-1),AJ27)</f>
        <v>1</v>
      </c>
    </row>
    <row r="28" spans="1:37">
      <c r="A28" s="1" t="s">
        <v>27</v>
      </c>
      <c r="B28" t="str">
        <f>REPT("●",IFERROR(INDEX($P$42:$P$69,MATCH(tblCharDataKeeper[[#This Row],[Field]],$E$42:$E$69,0)),0))&amp;REPT("○",IFERROR(INDEX($V$42:$V$69,MATCH(tblCharDataKeeper[[#This Row],[Field]],$E$42:$E$69,0)),0))&amp;IF(IFERROR(INDEX($W$42:$W$69,MATCH(tblCharDataKeeper[[#This Row],[Field]],$E$42:$E$69,0)),0)=1,"†","")</f>
        <v/>
      </c>
      <c r="D28" s="18"/>
      <c r="E28" s="15" t="s">
        <v>18</v>
      </c>
      <c r="F28" s="18"/>
      <c r="G28" s="3"/>
      <c r="H28" s="18"/>
      <c r="I28" s="18"/>
      <c r="L28" s="3">
        <v>1</v>
      </c>
      <c r="M28" s="60">
        <f>IF(E28=$F$24,2,1)</f>
        <v>1</v>
      </c>
      <c r="N28" s="3"/>
      <c r="O28" s="61">
        <f>ROUNDDOWN(N28/4,0)</f>
        <v>0</v>
      </c>
      <c r="P28" s="60">
        <f>MIN(SUM(L28,M28,O28),R28)</f>
        <v>2</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0</v>
      </c>
      <c r="AK28" s="61">
        <f>IF(AJ28=0,IF(COUNTIF($E$42:$E$49,AI28)&gt;0,-3,-1),AJ28)</f>
        <v>-3</v>
      </c>
    </row>
    <row r="29" spans="1:37">
      <c r="A29" s="1" t="s">
        <v>28</v>
      </c>
      <c r="B29" t="str">
        <f>REPT("●",IFERROR(INDEX($P$42:$P$69,MATCH(tblCharDataKeeper[[#This Row],[Field]],$E$42:$E$69,0)),0))&amp;REPT("○",IFERROR(INDEX($V$42:$V$69,MATCH(tblCharDataKeeper[[#This Row],[Field]],$E$42:$E$69,0)),0))&amp;IF(IFERROR(INDEX($W$42:$W$69,MATCH(tblCharDataKeeper[[#This Row],[Field]],$E$42:$E$69,0)),0)=1,"†","")</f>
        <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0</v>
      </c>
      <c r="AK29" s="61">
        <f>IF(AJ29=0,IF(COUNTIF($E$42:$E$49,AI29)&gt;0,-3,-1),AJ29)</f>
        <v>-1</v>
      </c>
    </row>
    <row r="30" spans="1:37">
      <c r="A30" s="1" t="s">
        <v>29</v>
      </c>
      <c r="B30" t="str">
        <f>REPT("●",IFERROR(INDEX($P$42:$P$69,MATCH(tblCharDataKeeper[[#This Row],[Field]],$E$42:$E$69,0)),0))&amp;REPT("○",IFERROR(INDEX($V$42:$V$69,MATCH(tblCharDataKeeper[[#This Row],[Field]],$E$42:$E$69,0)),0))&amp;IF(IFERROR(INDEX($W$42:$W$69,MATCH(tblCharDataKeeper[[#This Row],[Field]],$E$42:$E$69,0)),0)=1,"†","")</f>
        <v/>
      </c>
      <c r="D30" s="16" t="s">
        <v>1453</v>
      </c>
      <c r="E30" s="17"/>
      <c r="F30" s="17"/>
      <c r="G30" s="17" t="s">
        <v>1445</v>
      </c>
      <c r="H30" s="16" t="s">
        <v>1446</v>
      </c>
      <c r="I30" s="3" t="s">
        <v>1566</v>
      </c>
      <c r="L30" s="60">
        <f>IF(I30="",0,VLOOKUP(I30,tblPriority[#Data],2,FALSE))-SUM(L31:L33)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0</v>
      </c>
      <c r="AK30" s="61">
        <f>AJ30</f>
        <v>0</v>
      </c>
    </row>
    <row r="31" spans="1:37">
      <c r="A31" s="1" t="s">
        <v>30</v>
      </c>
      <c r="B31" t="str">
        <f>REPT("●",IFERROR(INDEX($P$42:$P$69,MATCH(tblCharDataKeeper[[#This Row],[Field]],$E$42:$E$69,0)),0))&amp;REPT("○",IFERROR(INDEX($V$42:$V$69,MATCH(tblCharDataKeeper[[#This Row],[Field]],$E$42:$E$69,0)),0))&amp;IF(IFERROR(INDEX($W$42:$W$69,MATCH(tblCharDataKeeper[[#This Row],[Field]],$E$42:$E$69,0)),0)=1,"†","")</f>
        <v>●●●●</v>
      </c>
      <c r="D31" s="18"/>
      <c r="E31" s="15" t="s">
        <v>19</v>
      </c>
      <c r="F31" s="18"/>
      <c r="G31" s="3"/>
      <c r="H31" s="18"/>
      <c r="I31" s="18"/>
      <c r="L31" s="3">
        <v>1</v>
      </c>
      <c r="M31" s="60">
        <f>IF(E31=$F$24,2,1)</f>
        <v>1</v>
      </c>
      <c r="N31" s="3"/>
      <c r="O31" s="61">
        <f>ROUNDDOWN(N31/4,0)</f>
        <v>0</v>
      </c>
      <c r="P31" s="60">
        <f>MIN(SUM(L31,M31,O31),R31)</f>
        <v>2</v>
      </c>
      <c r="R31" s="61">
        <v>5</v>
      </c>
      <c r="U31" s="4"/>
      <c r="V31" s="61">
        <f>$P$174+U31</f>
        <v>0</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3</v>
      </c>
      <c r="AK31" s="61">
        <f>AJ31+IFERROR(INDEX($V$26:$V$38,MATCH(AI31,$E$26:$E$38,0)),0)</f>
        <v>3</v>
      </c>
    </row>
    <row r="32" spans="1:37">
      <c r="A32" s="1" t="s">
        <v>31</v>
      </c>
      <c r="B32" t="str">
        <f>REPT("●",IFERROR(INDEX($P$42:$P$69,MATCH(tblCharDataKeeper[[#This Row],[Field]],$E$42:$E$69,0)),0))&amp;REPT("○",IFERROR(INDEX($V$42:$V$69,MATCH(tblCharDataKeeper[[#This Row],[Field]],$E$42:$E$69,0)),0))&amp;IF(IFERROR(INDEX($W$42:$W$69,MATCH(tblCharDataKeeper[[#This Row],[Field]],$E$42:$E$69,0)),0)=1,"†","")</f>
        <v/>
      </c>
      <c r="D32" s="18"/>
      <c r="E32" s="15" t="s">
        <v>20</v>
      </c>
      <c r="F32" s="18"/>
      <c r="G32" s="3"/>
      <c r="H32" s="18"/>
      <c r="I32" s="18"/>
      <c r="L32" s="3">
        <v>1</v>
      </c>
      <c r="M32" s="60">
        <f>IF(E32=$F$24,2,1)</f>
        <v>1</v>
      </c>
      <c r="N32" s="3"/>
      <c r="O32" s="61">
        <f>ROUNDDOWN(N32/4,0)</f>
        <v>0</v>
      </c>
      <c r="P32" s="60">
        <f>MIN(SUM(L32,M32,O32),R32)</f>
        <v>2</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REPT("●",IFERROR(INDEX($P$42:$P$69,MATCH(tblCharDataKeeper[[#This Row],[Field]],$E$42:$E$69,0)),0))&amp;REPT("○",IFERROR(INDEX($V$42:$V$69,MATCH(tblCharDataKeeper[[#This Row],[Field]],$E$42:$E$69,0)),0))&amp;IF(IFERROR(INDEX($W$42:$W$69,MATCH(tblCharDataKeeper[[#This Row],[Field]],$E$42:$E$69,0)),0)=1,"†","")</f>
        <v/>
      </c>
      <c r="D33" s="18"/>
      <c r="E33" s="15" t="s">
        <v>21</v>
      </c>
      <c r="F33" s="18"/>
      <c r="G33" s="3"/>
      <c r="H33" s="18"/>
      <c r="I33" s="18"/>
      <c r="L33" s="3">
        <v>1</v>
      </c>
      <c r="M33" s="60">
        <f>IF(E33=$F$24,2,1)</f>
        <v>1</v>
      </c>
      <c r="N33" s="3"/>
      <c r="O33" s="61">
        <f>ROUNDDOWN(N33/4,0)</f>
        <v>0</v>
      </c>
      <c r="P33" s="60">
        <f>MIN(SUM(L33,M33,O33),R33)</f>
        <v>2</v>
      </c>
      <c r="R33" s="61">
        <v>5</v>
      </c>
      <c r="U33" s="4"/>
      <c r="V33" s="61">
        <f>$P$173+U33</f>
        <v>0</v>
      </c>
      <c r="Y33" s="15" t="s">
        <v>1457</v>
      </c>
      <c r="Z33" s="61" t="str">
        <f>IFERROR(VLOOKUP(AA33,tblManoeuvre[],2,FALSE),"")</f>
        <v/>
      </c>
      <c r="AA33" s="61" t="str">
        <f t="shared" si="3"/>
        <v/>
      </c>
      <c r="AI33" s="15" t="s">
        <v>241</v>
      </c>
      <c r="AJ33" s="61">
        <f t="shared" si="1"/>
        <v>0</v>
      </c>
      <c r="AK33" s="61">
        <f>AJ33</f>
        <v>0</v>
      </c>
    </row>
    <row r="34" spans="1:37">
      <c r="A34" s="1" t="s">
        <v>33</v>
      </c>
      <c r="B34" t="str">
        <f>REPT("●",IFERROR(INDEX($P$42:$P$69,MATCH(tblCharDataKeeper[[#This Row],[Field]],$E$42:$E$69,0)),0))&amp;REPT("○",IFERROR(INDEX($V$42:$V$69,MATCH(tblCharDataKeeper[[#This Row],[Field]],$E$42:$E$69,0)),0))&amp;IF(IFERROR(INDEX($W$42:$W$69,MATCH(tblCharDataKeeper[[#This Row],[Field]],$E$42:$E$69,0)),0)=1,"†","")</f>
        <v>●●●●●</v>
      </c>
      <c r="Y34" s="15" t="s">
        <v>1458</v>
      </c>
      <c r="Z34" s="61" t="str">
        <f>IFERROR(VLOOKUP(AA34,tblManoeuvre[],2,FALSE),"")</f>
        <v/>
      </c>
      <c r="AA34" s="61" t="str">
        <f t="shared" si="3"/>
        <v/>
      </c>
      <c r="AI34" s="15" t="s">
        <v>242</v>
      </c>
      <c r="AJ34" s="61">
        <f t="shared" si="1"/>
        <v>1</v>
      </c>
      <c r="AK34" s="61">
        <f>AJ34</f>
        <v>1</v>
      </c>
    </row>
    <row r="35" spans="1:37">
      <c r="A35" s="1" t="s">
        <v>34</v>
      </c>
      <c r="B35" t="str">
        <f>REPT("●",IFERROR(INDEX($P$42:$P$69,MATCH(tblCharDataKeeper[[#This Row],[Field]],$E$42:$E$69,0)),0))&amp;REPT("○",IFERROR(INDEX($V$42:$V$69,MATCH(tblCharDataKeeper[[#This Row],[Field]],$E$42:$E$69,0)),0))&amp;IF(IFERROR(INDEX($W$42:$W$69,MATCH(tblCharDataKeeper[[#This Row],[Field]],$E$42:$E$69,0)),0)=1,"†","")</f>
        <v/>
      </c>
      <c r="D35" s="16" t="s">
        <v>1459</v>
      </c>
      <c r="E35" s="17"/>
      <c r="F35" s="17"/>
      <c r="G35" s="17" t="s">
        <v>1445</v>
      </c>
      <c r="H35" s="16" t="s">
        <v>1446</v>
      </c>
      <c r="I35" s="3" t="s">
        <v>1565</v>
      </c>
      <c r="L35" s="60">
        <f>IF(I35="",0,VLOOKUP(I35,tblPriority[#Data],2,FALSE))-SUM(L36:L38)</f>
        <v>0</v>
      </c>
      <c r="Y35" s="15" t="s">
        <v>1460</v>
      </c>
      <c r="Z35" s="61" t="str">
        <f>IFERROR(VLOOKUP(AA35,tblManoeuvre[],2,FALSE),"")</f>
        <v/>
      </c>
      <c r="AA35" s="61" t="str">
        <f t="shared" si="3"/>
        <v/>
      </c>
      <c r="AI35" s="15" t="s">
        <v>30</v>
      </c>
      <c r="AJ35" s="61">
        <f t="shared" si="1"/>
        <v>4</v>
      </c>
      <c r="AK35" s="61">
        <f>IF(AJ35=0,IF(COUNTIF($E$42:$E$49,AI35)&gt;0,-3,-1),AJ35)</f>
        <v>4</v>
      </c>
    </row>
    <row r="36" spans="1:37">
      <c r="A36" s="1" t="s">
        <v>35</v>
      </c>
      <c r="B36" t="str">
        <f>REPT("●",IFERROR(INDEX($P$42:$P$69,MATCH(tblCharDataKeeper[[#This Row],[Field]],$E$42:$E$69,0)),0))&amp;REPT("○",IFERROR(INDEX($V$42:$V$69,MATCH(tblCharDataKeeper[[#This Row],[Field]],$E$42:$E$69,0)),0))&amp;IF(IFERROR(INDEX($W$42:$W$69,MATCH(tblCharDataKeeper[[#This Row],[Field]],$E$42:$E$69,0)),0)=1,"†","")</f>
        <v/>
      </c>
      <c r="D36" s="18"/>
      <c r="E36" s="15" t="s">
        <v>22</v>
      </c>
      <c r="F36" s="18"/>
      <c r="G36" s="3"/>
      <c r="H36" s="18"/>
      <c r="I36" s="18"/>
      <c r="L36" s="3">
        <v>2</v>
      </c>
      <c r="M36" s="60">
        <f>IF(E36=$F$24,2,1)</f>
        <v>1</v>
      </c>
      <c r="N36" s="3"/>
      <c r="O36" s="61">
        <f>ROUNDDOWN(N36/4,0)</f>
        <v>0</v>
      </c>
      <c r="P36" s="60">
        <f>MIN(SUM(L36,M36,O36),R36)</f>
        <v>3</v>
      </c>
      <c r="R36" s="61">
        <v>5</v>
      </c>
      <c r="U36" s="4"/>
      <c r="V36" s="61">
        <f>U36</f>
        <v>0</v>
      </c>
      <c r="Y36" s="15" t="s">
        <v>1461</v>
      </c>
      <c r="Z36" s="61" t="str">
        <f>IFERROR(VLOOKUP(AA36,tblManoeuvre[],2,FALSE),"")</f>
        <v/>
      </c>
      <c r="AA36" s="61" t="str">
        <f t="shared" si="3"/>
        <v/>
      </c>
      <c r="AI36" s="15" t="s">
        <v>45</v>
      </c>
      <c r="AJ36" s="61">
        <f t="shared" si="1"/>
        <v>0</v>
      </c>
      <c r="AK36" s="61">
        <f>IF(AJ36=0,IF(COUNTIF($E$42:$E$49,AI36)&gt;0,-3,-1),AJ36)</f>
        <v>-1</v>
      </c>
    </row>
    <row r="37" spans="1:37">
      <c r="A37" s="1" t="s">
        <v>36</v>
      </c>
      <c r="B37" t="str">
        <f>REPT("●",IFERROR(INDEX($P$42:$P$69,MATCH(tblCharDataKeeper[[#This Row],[Field]],$E$42:$E$69,0)),0))&amp;REPT("○",IFERROR(INDEX($V$42:$V$69,MATCH(tblCharDataKeeper[[#This Row],[Field]],$E$42:$E$69,0)),0))&amp;IF(IFERROR(INDEX($W$42:$W$69,MATCH(tblCharDataKeeper[[#This Row],[Field]],$E$42:$E$69,0)),0)=1,"†","")</f>
        <v/>
      </c>
      <c r="D37" s="18"/>
      <c r="E37" s="15" t="s">
        <v>23</v>
      </c>
      <c r="F37" s="18"/>
      <c r="G37" s="3"/>
      <c r="H37" s="18"/>
      <c r="I37" s="18"/>
      <c r="L37" s="3">
        <v>2</v>
      </c>
      <c r="M37" s="60">
        <f>IF(E37=$F$24,2,1)</f>
        <v>1</v>
      </c>
      <c r="N37" s="3"/>
      <c r="O37" s="61">
        <f>ROUNDDOWN(N37/4,0)</f>
        <v>0</v>
      </c>
      <c r="P37" s="60">
        <f>MIN(SUM(L37,M37,O37),R37)</f>
        <v>3</v>
      </c>
      <c r="R37" s="61">
        <v>5</v>
      </c>
      <c r="U37" s="4"/>
      <c r="V37" s="61">
        <f>U37</f>
        <v>0</v>
      </c>
      <c r="Y37" s="15" t="s">
        <v>1462</v>
      </c>
      <c r="Z37" s="61" t="str">
        <f>IFERROR(VLOOKUP(AA37,tblManoeuvre[],2,FALSE),"")</f>
        <v/>
      </c>
      <c r="AA37" s="61" t="str">
        <f t="shared" si="3"/>
        <v/>
      </c>
      <c r="AI37" s="15" t="s">
        <v>31</v>
      </c>
      <c r="AJ37" s="61">
        <f t="shared" si="1"/>
        <v>0</v>
      </c>
      <c r="AK37" s="61">
        <f>IF(AJ37=0,IF(COUNTIF($E$42:$E$49,AI37)&gt;0,-3,-1),AJ37)</f>
        <v>-3</v>
      </c>
    </row>
    <row r="38" spans="1:37">
      <c r="A38" s="1" t="s">
        <v>37</v>
      </c>
      <c r="B38" t="str">
        <f>REPT("●",IFERROR(INDEX($P$42:$P$69,MATCH(tblCharDataKeeper[[#This Row],[Field]],$E$42:$E$69,0)),0))&amp;REPT("○",IFERROR(INDEX($V$42:$V$69,MATCH(tblCharDataKeeper[[#This Row],[Field]],$E$42:$E$69,0)),0))&amp;IF(IFERROR(INDEX($W$42:$W$69,MATCH(tblCharDataKeeper[[#This Row],[Field]],$E$42:$E$69,0)),0)=1,"†","")</f>
        <v/>
      </c>
      <c r="D38" s="18"/>
      <c r="E38" s="15" t="s">
        <v>24</v>
      </c>
      <c r="F38" s="18"/>
      <c r="G38" s="3"/>
      <c r="H38" s="18"/>
      <c r="I38" s="18"/>
      <c r="L38" s="3">
        <v>1</v>
      </c>
      <c r="M38" s="60">
        <f>IF(E38=$F$24,2,1)</f>
        <v>1</v>
      </c>
      <c r="N38" s="3"/>
      <c r="O38" s="61">
        <f>ROUNDDOWN(N38/4,0)</f>
        <v>0</v>
      </c>
      <c r="P38" s="60">
        <f>MIN(SUM(L38,M38,O38),R38)</f>
        <v>2</v>
      </c>
      <c r="R38" s="61">
        <v>5</v>
      </c>
      <c r="U38" s="4"/>
      <c r="V38" s="61">
        <f>U38</f>
        <v>0</v>
      </c>
      <c r="Y38" s="15" t="s">
        <v>1463</v>
      </c>
      <c r="Z38" s="61" t="str">
        <f>IFERROR(VLOOKUP(AA38,tblManoeuvre[],2,FALSE),"")</f>
        <v/>
      </c>
      <c r="AA38" s="61" t="str">
        <f t="shared" si="3"/>
        <v/>
      </c>
      <c r="AI38" s="15" t="s">
        <v>22</v>
      </c>
      <c r="AJ38" s="61">
        <f t="shared" si="1"/>
        <v>3</v>
      </c>
      <c r="AK38" s="61">
        <f>AJ38+IFERROR(INDEX($V$26:$V$38,MATCH(AI38,$E$26:$E$38,0)),0)</f>
        <v>3</v>
      </c>
    </row>
    <row r="39" spans="1:37">
      <c r="A39" s="1" t="s">
        <v>38</v>
      </c>
      <c r="B39" t="str">
        <f>REPT("●",IFERROR(INDEX($P$42:$P$69,MATCH(tblCharDataKeeper[[#This Row],[Field]],$E$42:$E$69,0)),0))&amp;REPT("○",IFERROR(INDEX($V$42:$V$69,MATCH(tblCharDataKeeper[[#This Row],[Field]],$E$42:$E$69,0)),0))&amp;IF(IFERROR(INDEX($W$42:$W$69,MATCH(tblCharDataKeeper[[#This Row],[Field]],$E$42:$E$69,0)),0)=1,"†","")</f>
        <v>●●</v>
      </c>
      <c r="Y39" s="15" t="s">
        <v>1464</v>
      </c>
      <c r="Z39" s="61" t="str">
        <f>IFERROR(VLOOKUP(AA39,tblManoeuvre[],2,FALSE),"")</f>
        <v/>
      </c>
      <c r="AA39" s="61" t="str">
        <f t="shared" si="3"/>
        <v/>
      </c>
      <c r="AI39" s="15" t="s">
        <v>243</v>
      </c>
      <c r="AJ39" s="61">
        <f t="shared" si="1"/>
        <v>0</v>
      </c>
      <c r="AK39" s="61">
        <f>AJ39</f>
        <v>0</v>
      </c>
    </row>
    <row r="40" spans="1:37" ht="15.75" thickBot="1">
      <c r="A40" s="1" t="s">
        <v>39</v>
      </c>
      <c r="B40" t="str">
        <f>REPT("●",IFERROR(INDEX($P$42:$P$69,MATCH(tblCharDataKeeper[[#This Row],[Field]],$E$42:$E$69,0)),0))&amp;REPT("○",IFERROR(INDEX($V$42:$V$69,MATCH(tblCharDataKeeper[[#This Row],[Field]],$E$42:$E$69,0)),0))&amp;IF(IFERROR(INDEX($W$42:$W$69,MATCH(tblCharDataKeeper[[#This Row],[Field]],$E$42:$E$69,0)),0)=1,"†","")</f>
        <v/>
      </c>
      <c r="D40" s="14" t="s">
        <v>1465</v>
      </c>
      <c r="E40" s="14"/>
      <c r="F40" s="14"/>
      <c r="G40" s="14"/>
      <c r="H40" s="14"/>
      <c r="I40" s="14"/>
      <c r="N40" s="60">
        <f>SUM(N42:N49,N52:N59,N62:N69)</f>
        <v>0</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1"/>
        <v>1</v>
      </c>
      <c r="AK40" s="61">
        <f>AJ40</f>
        <v>1</v>
      </c>
    </row>
    <row r="41" spans="1:37">
      <c r="A41" s="1" t="s">
        <v>40</v>
      </c>
      <c r="B41" t="str">
        <f>REPT("●",IFERROR(INDEX($P$42:$P$69,MATCH(tblCharDataKeeper[[#This Row],[Field]],$E$42:$E$69,0)),0))&amp;REPT("○",IFERROR(INDEX($V$42:$V$69,MATCH(tblCharDataKeeper[[#This Row],[Field]],$E$42:$E$69,0)),0))&amp;IF(IFERROR(INDEX($W$42:$W$69,MATCH(tblCharDataKeeper[[#This Row],[Field]],$E$42:$E$69,0)),0)=1,"†","")</f>
        <v/>
      </c>
      <c r="D41" s="16" t="s">
        <v>1444</v>
      </c>
      <c r="E41" s="17"/>
      <c r="F41" s="17"/>
      <c r="G41" s="17" t="s">
        <v>1467</v>
      </c>
      <c r="H41" s="16" t="s">
        <v>1446</v>
      </c>
      <c r="I41" s="3" t="s">
        <v>1566</v>
      </c>
      <c r="L41" s="60">
        <f>IF(I41="",0,VLOOKUP(I41,tblPriority[#Data],3,FALSE))-SUM(L42:L49)</f>
        <v>0</v>
      </c>
      <c r="T41" s="60">
        <f>3+IF(P161&gt;=3,2,0)-SUM(T42:T49,T52:T59,T62:T69)</f>
        <v>0</v>
      </c>
      <c r="Y41" s="15" t="s">
        <v>1468</v>
      </c>
      <c r="Z41" s="61" t="str">
        <f>IFERROR(VLOOKUP(AA41,tblManoeuvre[],2,FALSE),"")</f>
        <v/>
      </c>
      <c r="AA41" s="61" t="str">
        <f t="shared" si="3"/>
        <v/>
      </c>
      <c r="AI41" s="15" t="s">
        <v>244</v>
      </c>
      <c r="AJ41" s="61">
        <f t="shared" si="1"/>
        <v>0</v>
      </c>
      <c r="AK41" s="61">
        <f>AJ41</f>
        <v>0</v>
      </c>
    </row>
    <row r="42" spans="1:37">
      <c r="A42" s="1" t="s">
        <v>41</v>
      </c>
      <c r="B42" t="str">
        <f>REPT("●",IFERROR(INDEX($P$42:$P$69,MATCH(tblCharDataKeeper[[#This Row],[Field]],$E$42:$E$69,0)),0))&amp;REPT("○",IFERROR(INDEX($V$42:$V$69,MATCH(tblCharDataKeeper[[#This Row],[Field]],$E$42:$E$69,0)),0))&amp;IF(IFERROR(INDEX($W$42:$W$69,MATCH(tblCharDataKeeper[[#This Row],[Field]],$E$42:$E$69,0)),0)=1,"†","")</f>
        <v/>
      </c>
      <c r="D42" s="18"/>
      <c r="E42" s="15" t="s">
        <v>25</v>
      </c>
      <c r="F42" s="18"/>
      <c r="G42" s="3"/>
      <c r="H42" s="18"/>
      <c r="I42" s="18"/>
      <c r="L42" s="4"/>
      <c r="M42" s="60"/>
      <c r="N42" s="4"/>
      <c r="O42" s="61">
        <f>ROUNDDOWN(N42/2,0)</f>
        <v>0</v>
      </c>
      <c r="P42" s="60">
        <f t="shared" ref="P42:P49" si="4">MIN(SUM(L42,M42,O42),R42)</f>
        <v>0</v>
      </c>
      <c r="R42" s="61">
        <v>5</v>
      </c>
      <c r="T42" s="4"/>
      <c r="U42" s="4"/>
      <c r="V42" s="61">
        <f t="shared" ref="V42:V49" si="5">U42</f>
        <v>0</v>
      </c>
      <c r="W42" s="4"/>
      <c r="AI42" s="15" t="s">
        <v>18</v>
      </c>
      <c r="AJ42" s="61">
        <f t="shared" si="1"/>
        <v>2</v>
      </c>
      <c r="AK42" s="61">
        <f>AJ42+IFERROR(INDEX($V$26:$V$38,MATCH(AI42,$E$26:$E$38,0)),0)</f>
        <v>2</v>
      </c>
    </row>
    <row r="43" spans="1:37">
      <c r="A43" s="1" t="s">
        <v>42</v>
      </c>
      <c r="B43" t="str">
        <f>REPT("●",IFERROR(INDEX($P$42:$P$69,MATCH(tblCharDataKeeper[[#This Row],[Field]],$E$42:$E$69,0)),0))&amp;REPT("○",IFERROR(INDEX($V$42:$V$69,MATCH(tblCharDataKeeper[[#This Row],[Field]],$E$42:$E$69,0)),0))&amp;IF(IFERROR(INDEX($W$42:$W$69,MATCH(tblCharDataKeeper[[#This Row],[Field]],$E$42:$E$69,0)),0)=1,"†","")</f>
        <v>●●●</v>
      </c>
      <c r="D43" s="18"/>
      <c r="E43" s="15" t="s">
        <v>26</v>
      </c>
      <c r="F43" s="18"/>
      <c r="G43" s="3"/>
      <c r="H43" s="18"/>
      <c r="I43" s="18"/>
      <c r="L43" s="4"/>
      <c r="M43" s="60"/>
      <c r="N43" s="4"/>
      <c r="O43" s="61">
        <f t="shared" ref="O43:O49" si="6">ROUNDDOWN(N43/2,0)</f>
        <v>0</v>
      </c>
      <c r="P43" s="60">
        <f t="shared" si="4"/>
        <v>0</v>
      </c>
      <c r="R43" s="61">
        <v>5</v>
      </c>
      <c r="T43" s="4"/>
      <c r="U43" s="4"/>
      <c r="V43" s="61">
        <f t="shared" si="5"/>
        <v>0</v>
      </c>
      <c r="W43" s="4"/>
      <c r="AI43" s="15" t="s">
        <v>32</v>
      </c>
      <c r="AJ43" s="61">
        <f t="shared" si="1"/>
        <v>0</v>
      </c>
      <c r="AK43" s="61">
        <f>IF(AJ43=0,IF(COUNTIF($E$42:$E$49,AI43)&gt;0,-3,-1),AJ43)</f>
        <v>-3</v>
      </c>
    </row>
    <row r="44" spans="1:37">
      <c r="A44" s="1" t="s">
        <v>43</v>
      </c>
      <c r="B44" t="str">
        <f>REPT("●",IFERROR(INDEX($P$42:$P$69,MATCH(tblCharDataKeeper[[#This Row],[Field]],$E$42:$E$69,0)),0))&amp;REPT("○",IFERROR(INDEX($V$42:$V$69,MATCH(tblCharDataKeeper[[#This Row],[Field]],$E$42:$E$69,0)),0))&amp;IF(IFERROR(INDEX($W$42:$W$69,MATCH(tblCharDataKeeper[[#This Row],[Field]],$E$42:$E$69,0)),0)=1,"†","")</f>
        <v>●●●●</v>
      </c>
      <c r="D44" s="18"/>
      <c r="E44" s="15" t="s">
        <v>27</v>
      </c>
      <c r="F44" s="18"/>
      <c r="G44" s="3"/>
      <c r="H44" s="18"/>
      <c r="I44" s="18"/>
      <c r="L44" s="4"/>
      <c r="M44" s="60"/>
      <c r="N44" s="4"/>
      <c r="O44" s="61">
        <f t="shared" si="6"/>
        <v>0</v>
      </c>
      <c r="P44" s="60">
        <f t="shared" si="4"/>
        <v>0</v>
      </c>
      <c r="R44" s="61">
        <v>5</v>
      </c>
      <c r="T44" s="4"/>
      <c r="U44" s="4"/>
      <c r="V44" s="61">
        <f t="shared" si="5"/>
        <v>0</v>
      </c>
      <c r="W44" s="4"/>
      <c r="Y44" s="15">
        <v>1</v>
      </c>
      <c r="Z44" s="61" t="s">
        <v>236</v>
      </c>
      <c r="AA44" s="60" t="str" cm="1">
        <f t="array" ref="AA44">IF(OR(Y44=0,Y44=""),"",IF(VLOOKUP(Z44,$AI$1:$AJ$58,2,FALSE)&gt;=Y44,INDEX(tblDisciplines[Name],MATCH(1,(tblDisciplines[Discipline]=Z44)*(tblDisciplines[Rank]=Y44),0)),""))</f>
        <v/>
      </c>
      <c r="AC44" s="60" t="str" cm="1">
        <f t="array" ref="AC44:AC63">IFERROR(_xlfn.VSTACK(IFERROR(_xlfn._xlws.FILTER(AA44:AA121,AA44:AA121&lt;&gt;""),""),IFERROR(_xlfn._xlws.SORT(_xlfn._xlws.FILTER(AA123:AA132,AA123:AA132&lt;&gt;"")),"")),"")</f>
        <v>Beast's Hackles</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Auspex ● | Beast's Hackles</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Free (1 V for Insight)  •  Pool: - - Composure &amp; Closed Book  •  Instant  •  Scene</v>
      </c>
      <c r="AF44" s="20" t="str">
        <f>IF(AC44="","",IFERROR(VLOOKUP(AC44,tblDisciplines[],12,FALSE),VLOOKUP(AC44,tblPacts[],5,FALSE)))</f>
        <v>Add Auspex dots to any rolls to resist surprise. Access to Tier 1 Auspex Insight questions.</v>
      </c>
      <c r="AI44" s="15" t="s">
        <v>353</v>
      </c>
      <c r="AJ44" s="61">
        <f t="shared" si="1"/>
        <v>5</v>
      </c>
      <c r="AK44" s="61">
        <f>AJ44</f>
        <v>5</v>
      </c>
    </row>
    <row r="45" spans="1:37">
      <c r="A45" s="1" t="s">
        <v>44</v>
      </c>
      <c r="B45" t="str">
        <f>REPT("●",IFERROR(INDEX($P$42:$P$69,MATCH(tblCharDataKeeper[[#This Row],[Field]],$E$42:$E$69,0)),0))&amp;REPT("○",IFERROR(INDEX($V$42:$V$69,MATCH(tblCharDataKeeper[[#This Row],[Field]],$E$42:$E$69,0)),0))&amp;IF(IFERROR(INDEX($W$42:$W$69,MATCH(tblCharDataKeeper[[#This Row],[Field]],$E$42:$E$69,0)),0)=1,"†","")</f>
        <v>●</v>
      </c>
      <c r="D45" s="18"/>
      <c r="E45" s="15" t="s">
        <v>28</v>
      </c>
      <c r="F45" s="18"/>
      <c r="G45" s="3"/>
      <c r="H45" s="18"/>
      <c r="I45" s="18"/>
      <c r="L45" s="4"/>
      <c r="M45" s="60"/>
      <c r="N45" s="4"/>
      <c r="O45" s="61">
        <f t="shared" si="6"/>
        <v>0</v>
      </c>
      <c r="P45" s="60">
        <f t="shared" si="4"/>
        <v>0</v>
      </c>
      <c r="R45" s="61">
        <v>5</v>
      </c>
      <c r="T45" s="4"/>
      <c r="U45" s="4"/>
      <c r="V45" s="61">
        <f t="shared" si="5"/>
        <v>0</v>
      </c>
      <c r="W45" s="4"/>
      <c r="Y45" s="15">
        <v>2</v>
      </c>
      <c r="Z45" s="61" t="s">
        <v>236</v>
      </c>
      <c r="AA45" s="60" t="str" cm="1">
        <f t="array" ref="AA45">IF(OR(Y45=0,Y45=""),"",IF(VLOOKUP(Z45,$AI$1:$AJ$58,2,FALSE)&gt;=Y45,INDEX(tblDisciplines[Name],MATCH(1,(tblDisciplines[Discipline]=Z45)*(tblDisciplines[Rank]=Y45),0)),""))</f>
        <v/>
      </c>
      <c r="AC45" s="60" t="str">
        <v>Celerity 1</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Celerity ●</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1 V per effect  •  Pool: -  •  Reflexive  •  1 turn</v>
      </c>
      <c r="AF45" s="20" t="str">
        <f>IF(AC45="","",IFERROR(VLOOKUP(AC45,tblDisciplines[],12,FALSE),VLOOKUP(AC45,tblPacts[],5,FALSE)))</f>
        <v>Persistent improved Defence or Dodge. Activate for supernatural speed benefits. Unnatural Grace: add Celerity dots as bonus dice to non-combat speed-based pools.</v>
      </c>
      <c r="AI45" s="15" t="s">
        <v>46</v>
      </c>
      <c r="AJ45" s="61">
        <f t="shared" si="1"/>
        <v>1</v>
      </c>
      <c r="AK45" s="61">
        <f>IF(AJ45=0,IF(COUNTIF($E$42:$E$49,AI45)&gt;0,-3,-1),AJ45)</f>
        <v>1</v>
      </c>
    </row>
    <row r="46" spans="1:37">
      <c r="A46" s="1" t="s">
        <v>45</v>
      </c>
      <c r="B46" t="str">
        <f>REPT("●",IFERROR(INDEX($P$42:$P$69,MATCH(tblCharDataKeeper[[#This Row],[Field]],$E$42:$E$69,0)),0))&amp;REPT("○",IFERROR(INDEX($V$42:$V$69,MATCH(tblCharDataKeeper[[#This Row],[Field]],$E$42:$E$69,0)),0))&amp;IF(IFERROR(INDEX($W$42:$W$69,MATCH(tblCharDataKeeper[[#This Row],[Field]],$E$42:$E$69,0)),0)=1,"†","")</f>
        <v/>
      </c>
      <c r="D46" s="18"/>
      <c r="E46" s="15" t="s">
        <v>29</v>
      </c>
      <c r="F46" s="18"/>
      <c r="G46" s="3"/>
      <c r="H46" s="18"/>
      <c r="I46" s="18"/>
      <c r="L46" s="4"/>
      <c r="M46" s="60"/>
      <c r="N46" s="4"/>
      <c r="O46" s="61">
        <f t="shared" si="6"/>
        <v>0</v>
      </c>
      <c r="P46" s="60">
        <f t="shared" si="4"/>
        <v>0</v>
      </c>
      <c r="R46" s="61">
        <v>5</v>
      </c>
      <c r="T46" s="4"/>
      <c r="U46" s="4"/>
      <c r="V46" s="61">
        <f t="shared" si="5"/>
        <v>0</v>
      </c>
      <c r="W46" s="4"/>
      <c r="Y46" s="15">
        <v>3</v>
      </c>
      <c r="Z46" s="61" t="s">
        <v>236</v>
      </c>
      <c r="AA46" s="60" t="str" cm="1">
        <f t="array" ref="AA46">IF(OR(Y46=0,Y46=""),"",IF(VLOOKUP(Z46,$AI$1:$AJ$58,2,FALSE)&gt;=Y46,INDEX(tblDisciplines[Name],MATCH(1,(tblDisciplines[Discipline]=Z46)*(tblDisciplines[Rank]=Y46),0)),""))</f>
        <v/>
      </c>
      <c r="AC46" s="60" t="str">
        <v>Mesmerise</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Dominate ● | Mesmerise</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 -3 in combat unless Blinded  •  Pool: 12  v Resolve + BP  •  Instant  •  Instant</v>
      </c>
      <c r="AF46" s="20" t="str">
        <f>IF(AC46="","",IFERROR(VLOOKUP(AC46,tblDisciplines[],12,FALSE),VLOOKUP(AC46,tblPacts[],5,FALSE)))</f>
        <v>Impose Mesmerised Condition. Control with short commands.</v>
      </c>
      <c r="AI46" s="15" t="s">
        <v>354</v>
      </c>
      <c r="AJ46" s="61">
        <f t="shared" ca="1" si="1"/>
        <v>9</v>
      </c>
      <c r="AK46" s="61">
        <f ca="1">AJ46</f>
        <v>9</v>
      </c>
    </row>
    <row r="47" spans="1:37">
      <c r="A47" s="1" t="s">
        <v>46</v>
      </c>
      <c r="B47" t="str">
        <f>REPT("●",IFERROR(INDEX($P$42:$P$69,MATCH(tblCharDataKeeper[[#This Row],[Field]],$E$42:$E$69,0)),0))&amp;REPT("○",IFERROR(INDEX($V$42:$V$69,MATCH(tblCharDataKeeper[[#This Row],[Field]],$E$42:$E$69,0)),0))&amp;IF(IFERROR(INDEX($W$42:$W$69,MATCH(tblCharDataKeeper[[#This Row],[Field]],$E$42:$E$69,0)),0)=1,"†","")</f>
        <v>●</v>
      </c>
      <c r="D47" s="18"/>
      <c r="E47" s="15" t="s">
        <v>30</v>
      </c>
      <c r="F47" s="18"/>
      <c r="G47" s="3"/>
      <c r="H47" s="18"/>
      <c r="I47" s="18"/>
      <c r="L47" s="4">
        <v>4</v>
      </c>
      <c r="M47" s="60"/>
      <c r="N47" s="4"/>
      <c r="O47" s="61">
        <f t="shared" si="6"/>
        <v>0</v>
      </c>
      <c r="P47" s="60">
        <f t="shared" si="4"/>
        <v>4</v>
      </c>
      <c r="R47" s="61">
        <v>5</v>
      </c>
      <c r="T47" s="4"/>
      <c r="U47" s="4"/>
      <c r="V47" s="61">
        <f t="shared" si="5"/>
        <v>0</v>
      </c>
      <c r="W47" s="4"/>
      <c r="Y47" s="15">
        <v>4</v>
      </c>
      <c r="Z47" s="61" t="s">
        <v>236</v>
      </c>
      <c r="AA47" s="60" t="str" cm="1">
        <f t="array" ref="AA47">IF(OR(Y47=0,Y47=""),"",IF(VLOOKUP(Z47,$AI$1:$AJ$58,2,FALSE)&gt;=Y47,INDEX(tblDisciplines[Name],MATCH(1,(tblDisciplines[Discipline]=Z47)*(tblDisciplines[Rank]=Y47),0)),""))</f>
        <v/>
      </c>
      <c r="AC47" s="60" t="str">
        <v>Iron Edict</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Dominate ●● | Iron Edict</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Cost: 1 V (0 in bond) (req: Mesmerised); -3 in combat unless Blinded  •  Pool: -  •  Instant  •  Instant</v>
      </c>
      <c r="AF47" s="20" t="str">
        <f>IF(AC47="","",IFERROR(VLOOKUP(AC47,tblDisciplines[],12,FALSE),VLOOKUP(AC47,tblPacts[],5,FALSE)))</f>
        <v>Impose Dominated Condition. Give long, detailed commands.</v>
      </c>
      <c r="AI47" s="15" t="s">
        <v>21</v>
      </c>
      <c r="AJ47" s="61">
        <f t="shared" si="1"/>
        <v>2</v>
      </c>
      <c r="AK47" s="61">
        <f>AJ47+IFERROR(INDEX($V$26:$V$38,MATCH(AI47,$E$26:$E$38,0)),0)</f>
        <v>2</v>
      </c>
    </row>
    <row r="48" spans="1:37">
      <c r="A48" s="1" t="s">
        <v>47</v>
      </c>
      <c r="B48" t="str">
        <f>REPT("●",IFERROR(INDEX($P$42:$P$69,MATCH(tblCharDataKeeper[[#This Row],[Field]],$E$42:$E$69,0)),0))&amp;REPT("○",IFERROR(INDEX($V$42:$V$69,MATCH(tblCharDataKeeper[[#This Row],[Field]],$E$42:$E$69,0)),0))&amp;IF(IFERROR(INDEX($W$42:$W$69,MATCH(tblCharDataKeeper[[#This Row],[Field]],$E$42:$E$69,0)),0)=1,"†","")</f>
        <v/>
      </c>
      <c r="D48" s="18"/>
      <c r="E48" s="15" t="s">
        <v>31</v>
      </c>
      <c r="F48" s="18"/>
      <c r="G48" s="3"/>
      <c r="H48" s="18"/>
      <c r="I48" s="18"/>
      <c r="L48" s="4"/>
      <c r="M48" s="60"/>
      <c r="N48" s="4"/>
      <c r="O48" s="61">
        <f t="shared" si="6"/>
        <v>0</v>
      </c>
      <c r="P48" s="60">
        <f t="shared" si="4"/>
        <v>0</v>
      </c>
      <c r="R48" s="61">
        <v>5</v>
      </c>
      <c r="T48" s="4"/>
      <c r="U48" s="4"/>
      <c r="V48" s="61">
        <f t="shared" si="5"/>
        <v>0</v>
      </c>
      <c r="W48" s="4"/>
      <c r="Y48" s="15">
        <v>5</v>
      </c>
      <c r="Z48" s="61" t="s">
        <v>236</v>
      </c>
      <c r="AA48" s="60" t="str" cm="1">
        <f t="array" ref="AA48">IF(OR(Y48=0,Y48=""),"",IF(VLOOKUP(Z48,$AI$1:$AJ$58,2,FALSE)&gt;=Y48,INDEX(tblDisciplines[Name],MATCH(1,(tblDisciplines[Discipline]=Z48)*(tblDisciplines[Rank]=Y48),0)),""))</f>
        <v/>
      </c>
      <c r="AC48" s="60" t="str">
        <v>Entombed Command</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Dominate ●●● | Entombed Command</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Cost: - (req: Mesmerised)   •  Pool: 10  - Resolve  •  Instant  •  1 week/success (1 month bonded)</v>
      </c>
      <c r="AF48" s="20" t="str">
        <f>IF(AC48="","",IFERROR(VLOOKUP(AC48,tblDisciplines[],12,FALSE),VLOOKUP(AC48,tblPacts[],5,FALSE)))</f>
        <v>Establish triggers for other Dominate powers.</v>
      </c>
      <c r="AI48" s="15" t="s">
        <v>38</v>
      </c>
      <c r="AJ48" s="61">
        <f t="shared" si="1"/>
        <v>2</v>
      </c>
      <c r="AK48" s="61">
        <f>IF(AJ48=0,IF(COUNTIF($E$42:$E$49,AI48)&gt;0,-3,-1),AJ48)</f>
        <v>2</v>
      </c>
    </row>
    <row r="49" spans="1:37">
      <c r="A49" s="1" t="s">
        <v>48</v>
      </c>
      <c r="B49" t="str">
        <f>REPT("●",IFERROR(INDEX($P$42:$P$69,MATCH(tblCharDataKeeper[[#This Row],[Field]],$E$42:$E$69,0)),0))&amp;REPT("○",IFERROR(INDEX($V$42:$V$69,MATCH(tblCharDataKeeper[[#This Row],[Field]],$E$42:$E$69,0)),0))&amp;IF(IFERROR(INDEX($W$42:$W$69,MATCH(tblCharDataKeeper[[#This Row],[Field]],$E$42:$E$69,0)),0)=1,"†","")</f>
        <v>●●</v>
      </c>
      <c r="D49" s="18"/>
      <c r="E49" s="15" t="s">
        <v>32</v>
      </c>
      <c r="F49" s="18"/>
      <c r="G49" s="3"/>
      <c r="H49" s="18"/>
      <c r="I49" s="18"/>
      <c r="L49" s="4"/>
      <c r="M49" s="60"/>
      <c r="N49" s="4"/>
      <c r="O49" s="61">
        <f t="shared" si="6"/>
        <v>0</v>
      </c>
      <c r="P49" s="60">
        <f t="shared" si="4"/>
        <v>0</v>
      </c>
      <c r="R49" s="61">
        <v>5</v>
      </c>
      <c r="T49" s="4"/>
      <c r="U49" s="4"/>
      <c r="V49" s="61">
        <f t="shared" si="5"/>
        <v>0</v>
      </c>
      <c r="W49" s="4"/>
      <c r="Y49" s="15">
        <v>1</v>
      </c>
      <c r="Z49" s="61" t="s">
        <v>237</v>
      </c>
      <c r="AA49" s="60" t="str" cm="1">
        <f t="array" ref="AA49">IF(OR(Y49=0,Y49=""),"",IF(VLOOKUP(Z49,$AI$1:$AJ$58,2,FALSE)&gt;=Y49,INDEX(tblDisciplines[Name],MATCH(1,(tblDisciplines[Discipline]=Z49)*(tblDisciplines[Rank]=Y49),0)),""))</f>
        <v>Beast's Hackles</v>
      </c>
      <c r="AC49" s="60" t="str">
        <v>The Lying Mind</v>
      </c>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Dominate ●●●● | The Lying Mind</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Cost: 2 V (req: Mesmerised)   •  Pool: -  •  Instant  •  Permanent</v>
      </c>
      <c r="AF49" s="20" t="str">
        <f>IF(AC49="","",IFERROR(VLOOKUP(AC49,tblDisciplines[],12,FALSE),VLOOKUP(AC49,tblPacts[],5,FALSE)))</f>
        <v>Impose Amnesia or False Memories Condition.</v>
      </c>
      <c r="AI49" s="15" t="s">
        <v>47</v>
      </c>
      <c r="AJ49" s="61">
        <f t="shared" si="1"/>
        <v>0</v>
      </c>
      <c r="AK49" s="61">
        <f>IF(AJ49=0,IF(COUNTIF($E$42:$E$49,AI49)&gt;0,-3,-1),AJ49)</f>
        <v>-1</v>
      </c>
    </row>
    <row r="50" spans="1:37">
      <c r="A50" s="1" t="s">
        <v>49</v>
      </c>
      <c r="B50" t="str">
        <f ca="1">REPT("●",VLOOKUP(tblCharDataKeeper[[#This Row],[Field]],INDIRECT($AH$1),2,FALSE)) &amp; REPT("○",10-VLOOKUP(tblCharDataKeeper[[#This Row],[Field]],INDIRECT($AH$1),2,FALSE)) &amp; REPT("○",10-VLOOKUP(tblCharDataKeeper[[#This Row],[Field]],INDIRECT($AH$1),2,FALSE))</f>
        <v>●●○○○○○○○○○○○○○○○○</v>
      </c>
      <c r="Y50" s="15">
        <v>2</v>
      </c>
      <c r="Z50" s="61" t="s">
        <v>237</v>
      </c>
      <c r="AA50" s="60" t="str" cm="1">
        <f t="array" ref="AA50">IF(OR(Y50=0,Y50=""),"",IF(VLOOKUP(Z50,$AI$1:$AJ$58,2,FALSE)&gt;=Y50,INDEX(tblDisciplines[Name],MATCH(1,(tblDisciplines[Discipline]=Z50)*(tblDisciplines[Rank]=Y50),0)),""))</f>
        <v/>
      </c>
      <c r="AC50" s="60" t="str">
        <v>Face in the Crowd</v>
      </c>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Obfuscate ● | Face in the Crowd</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Cost: -  •  Pool: -  •  Instant  •  Scene</v>
      </c>
      <c r="AF50" s="20" t="str">
        <f>IF(AC50="","",IFERROR(VLOOKUP(AC50,tblDisciplines[],12,FALSE),VLOOKUP(AC50,tblPacts[],5,FALSE)))</f>
        <v>Blend into surroundings, visible but unnoticeable. Predatory aura fully on or off. Leaving combat: Wits + Composure - Obfuscate to notice; auto Clash of Wills vs Auspex.</v>
      </c>
      <c r="AI50" s="15" t="s">
        <v>19</v>
      </c>
      <c r="AJ50" s="61">
        <f t="shared" si="1"/>
        <v>2</v>
      </c>
      <c r="AK50" s="61">
        <f>AJ50+IFERROR(INDEX($V$26:$V$38,MATCH(AI50,$E$26:$E$38,0)),0)</f>
        <v>2</v>
      </c>
    </row>
    <row r="51" spans="1:37">
      <c r="A51" s="1" t="s">
        <v>50</v>
      </c>
      <c r="B51">
        <f>P72</f>
        <v>2</v>
      </c>
      <c r="D51" s="16" t="s">
        <v>1453</v>
      </c>
      <c r="E51" s="17"/>
      <c r="F51" s="17"/>
      <c r="G51" s="17" t="s">
        <v>1467</v>
      </c>
      <c r="H51" s="16" t="s">
        <v>1446</v>
      </c>
      <c r="I51" s="3" t="s">
        <v>1567</v>
      </c>
      <c r="L51" s="60">
        <f>IF(I51="",0,VLOOKUP(I51,tblPriority[#Data],3,FALSE))-SUM(L52:L59)</f>
        <v>0</v>
      </c>
      <c r="Y51" s="15">
        <v>3</v>
      </c>
      <c r="Z51" s="61" t="s">
        <v>237</v>
      </c>
      <c r="AA51" s="60" t="str" cm="1">
        <f t="array" ref="AA51">IF(OR(Y51=0,Y51=""),"",IF(VLOOKUP(Z51,$AI$1:$AJ$58,2,FALSE)&gt;=Y51,INDEX(tblDisciplines[Name],MATCH(1,(tblDisciplines[Discipline]=Z51)*(tblDisciplines[Rank]=Y51),0)),""))</f>
        <v/>
      </c>
      <c r="AC51" s="60" t="str">
        <v>The Taste of Things Lived</v>
      </c>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Devotion  | The Taste of Things Lived</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Cost: 1 V (reflexive for insight) (Mnemosyne Only)  •  Pool: 7  •  Reflexive  •  Scene</v>
      </c>
      <c r="AF51" s="20" t="str">
        <f>IF(AC51="","",IFERROR(VLOOKUP(AC51,tblDisciplines[],12,FALSE),VLOOKUP(AC51,tblPacts[],5,FALSE)))</f>
        <v>Feeding creates artificial blood ties (+2 Social vs target; Twice Removed for Blood Sympathy). Sever for 1 WP. Can effect blood ties with Touch of Shadow. Spend 1 V: +1 Mental per applicable human/vampire within 100 metres.</v>
      </c>
      <c r="AI51" s="15" t="s">
        <v>48</v>
      </c>
      <c r="AJ51" s="61">
        <f t="shared" si="1"/>
        <v>2</v>
      </c>
      <c r="AK51" s="61">
        <f>IF(AJ51=0,IF(COUNTIF($E$42:$E$49,AI51)&gt;0,-3,-1),AJ51)</f>
        <v>2</v>
      </c>
    </row>
    <row r="52" spans="1:37">
      <c r="A52" s="1" t="s">
        <v>51</v>
      </c>
      <c r="B52" t="str">
        <f>_xlfn.IFNA(VLOOKUP(P72,tblBloodPotency[#Data],5,FALSE),"")</f>
        <v>†</v>
      </c>
      <c r="D52" s="18"/>
      <c r="E52" s="15" t="s">
        <v>33</v>
      </c>
      <c r="F52" s="18"/>
      <c r="G52" s="3" t="s">
        <v>1075</v>
      </c>
      <c r="H52" s="18"/>
      <c r="I52" s="18"/>
      <c r="L52" s="4">
        <v>5</v>
      </c>
      <c r="M52" s="60"/>
      <c r="N52" s="4"/>
      <c r="O52" s="61">
        <f>ROUNDDOWN(N52/2,0)</f>
        <v>0</v>
      </c>
      <c r="P52" s="60">
        <f t="shared" ref="P52:P59" si="7">MIN(SUM(L52,M52,O52),R52)</f>
        <v>5</v>
      </c>
      <c r="R52" s="61">
        <v>5</v>
      </c>
      <c r="T52" s="4">
        <v>1</v>
      </c>
      <c r="U52" s="4"/>
      <c r="V52" s="61">
        <f t="shared" ref="V52:V59" si="8">U52</f>
        <v>0</v>
      </c>
      <c r="W52" s="4"/>
      <c r="Y52" s="15">
        <v>4</v>
      </c>
      <c r="Z52" s="61" t="s">
        <v>237</v>
      </c>
      <c r="AA52" s="60" t="str" cm="1">
        <f t="array" ref="AA52">IF(OR(Y52=0,Y52=""),"",IF(VLOOKUP(Z52,$AI$1:$AJ$58,2,FALSE)&gt;=Y52,INDEX(tblDisciplines[Name],MATCH(1,(tblDisciplines[Discipline]=Z52)*(tblDisciplines[Rank]=Y52),0)),""))</f>
        <v/>
      </c>
      <c r="AC52" s="60" t="str">
        <v>The Exchange of Things Past</v>
      </c>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Devotion  | The Exchange of Things Past</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Cost: 1 V (Mnemosyne Only); blood tie to target; replaces The Lying Mind  •  Pool: 12  v Resolve + BP  •  Contested  •  Scene / Permanent (elective)</v>
      </c>
      <c r="AF52" s="20" t="str">
        <f>IF(AC52="","",IFERROR(VLOOKUP(AC52,tblDisciplines[],12,FALSE),VLOOKUP(AC52,tblPacts[],5,FALSE)))</f>
        <v>Exchange memories with target. For each memory taken, must give one of equal length. Both gain False Memories condition. After scene, own memories return but exchanged memories remain, or elect to make permanent. Traumatic memories: vampire rolls Fear Frenzy, mortal Resolve + Composure or Shaken.</v>
      </c>
      <c r="AI52" s="15" t="s">
        <v>39</v>
      </c>
      <c r="AJ52" s="61">
        <f t="shared" si="1"/>
        <v>0</v>
      </c>
      <c r="AK52" s="61">
        <f>IF(AJ52=0,IF(COUNTIF($E$42:$E$49,AI52)&gt;0,-3,-1),AJ52)</f>
        <v>-1</v>
      </c>
    </row>
    <row r="53" spans="1:37">
      <c r="A53" s="1" t="s">
        <v>52</v>
      </c>
      <c r="B53" t="str">
        <f ca="1">REPT("□",P221) &amp; REPT("■",15-P221)</f>
        <v>□□□□□□□■■■■■■■■</v>
      </c>
      <c r="D53" s="18"/>
      <c r="E53" s="15" t="s">
        <v>34</v>
      </c>
      <c r="F53" s="18"/>
      <c r="G53" s="3"/>
      <c r="H53" s="18"/>
      <c r="I53" s="18"/>
      <c r="L53" s="4"/>
      <c r="M53" s="60"/>
      <c r="N53" s="4"/>
      <c r="O53" s="61">
        <f t="shared" ref="O53:O59" si="9">ROUNDDOWN(N53/2,0)</f>
        <v>0</v>
      </c>
      <c r="P53" s="60">
        <f t="shared" si="7"/>
        <v>0</v>
      </c>
      <c r="R53" s="61">
        <v>5</v>
      </c>
      <c r="T53" s="4"/>
      <c r="U53" s="4"/>
      <c r="V53" s="61">
        <f t="shared" si="8"/>
        <v>0</v>
      </c>
      <c r="W53" s="4"/>
      <c r="Y53" s="15">
        <v>5</v>
      </c>
      <c r="Z53" s="61" t="s">
        <v>237</v>
      </c>
      <c r="AA53" s="60" t="str" cm="1">
        <f t="array" ref="AA53">IF(OR(Y53=0,Y53=""),"",IF(VLOOKUP(Z53,$AI$1:$AJ$58,2,FALSE)&gt;=Y53,INDEX(tblDisciplines[Name],MATCH(1,(tblDisciplines[Discipline]=Z53)*(tblDisciplines[Rank]=Y53),0)),""))</f>
        <v/>
      </c>
      <c r="AC53" s="60" t="str">
        <v>Creation 1</v>
      </c>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Blood Sorcery | Creation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v>
      </c>
      <c r="AF53" s="20" t="str">
        <f>IF(AC53="","",IFERROR(VLOOKUP(AC53,tblDisciplines[],12,FALSE),VLOOKUP(AC53,tblPacts[],5,FALSE)))</f>
        <v>Summon liquids, dead organic matter, sensory phenomena. Bonus/penalty = Potency.</v>
      </c>
      <c r="AI53" s="15" t="s">
        <v>247</v>
      </c>
      <c r="AJ53" s="61">
        <f t="shared" si="1"/>
        <v>0</v>
      </c>
      <c r="AK53" s="61">
        <f>AJ53</f>
        <v>0</v>
      </c>
    </row>
    <row r="54" spans="1:37">
      <c r="A54" s="1" t="s">
        <v>53</v>
      </c>
      <c r="B54" t="str">
        <f>_xlfn.CONCAT(P74-L224," / ",P74)</f>
        <v>4 / 4</v>
      </c>
      <c r="D54" s="18"/>
      <c r="E54" s="15" t="s">
        <v>35</v>
      </c>
      <c r="F54" s="18"/>
      <c r="G54" s="3"/>
      <c r="H54" s="18"/>
      <c r="I54" s="18"/>
      <c r="L54" s="4"/>
      <c r="M54" s="60"/>
      <c r="N54" s="4"/>
      <c r="O54" s="61">
        <f t="shared" si="9"/>
        <v>0</v>
      </c>
      <c r="P54" s="60">
        <f t="shared" si="7"/>
        <v>0</v>
      </c>
      <c r="R54" s="61">
        <v>5</v>
      </c>
      <c r="T54" s="4"/>
      <c r="U54" s="4"/>
      <c r="V54" s="61">
        <f t="shared" si="8"/>
        <v>0</v>
      </c>
      <c r="W54" s="4"/>
      <c r="Y54" s="15">
        <f>P167</f>
        <v>1</v>
      </c>
      <c r="Z54" s="61" t="s">
        <v>238</v>
      </c>
      <c r="AA54" s="60" t="str" cm="1">
        <f t="array" ref="AA54">IF(OR(Y54=0,Y54=""),"",IF(VLOOKUP(Z54,$AI$1:$AJ$58,2,FALSE)&gt;=Y54,INDEX(tblDisciplines[Name],MATCH(1,(tblDisciplines[Discipline]=Z54)*(tblDisciplines[Rank]=Y54),0)),""))</f>
        <v>Celerity 1</v>
      </c>
      <c r="AC54" s="60" t="str">
        <v>Protection 1</v>
      </c>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Blood Sorcery | Protection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v>
      </c>
      <c r="AF54" s="20" t="str">
        <f>IF(AC54="","",IFERROR(VLOOKUP(AC54,tblDisciplines[],12,FALSE),VLOOKUP(AC54,tblPacts[],5,FALSE)))</f>
        <v>Subtract Potency from ritual rolls targeting subject. Heal bashing in vampires. Protect from the Kiss (add Potency to resistance).</v>
      </c>
      <c r="AI54" s="15" t="s">
        <v>252</v>
      </c>
      <c r="AJ54" s="61">
        <f t="shared" si="1"/>
        <v>4</v>
      </c>
      <c r="AK54" s="61">
        <f>AJ54</f>
        <v>4</v>
      </c>
    </row>
    <row r="55" spans="1:37">
      <c r="A55" s="1" t="s">
        <v>54</v>
      </c>
      <c r="B55" t="str">
        <f>REPT("□",P74) &amp; REPT("■",10-P74)</f>
        <v>□□□□■■■■■■</v>
      </c>
      <c r="D55" s="18"/>
      <c r="E55" s="15" t="s">
        <v>36</v>
      </c>
      <c r="F55" s="18"/>
      <c r="G55" s="3"/>
      <c r="H55" s="18"/>
      <c r="I55" s="18"/>
      <c r="L55" s="4"/>
      <c r="M55" s="60"/>
      <c r="N55" s="4"/>
      <c r="O55" s="61">
        <f t="shared" si="9"/>
        <v>0</v>
      </c>
      <c r="P55" s="60">
        <f t="shared" si="7"/>
        <v>0</v>
      </c>
      <c r="R55" s="61">
        <v>5</v>
      </c>
      <c r="T55" s="4"/>
      <c r="U55" s="4"/>
      <c r="V55" s="61">
        <f t="shared" si="8"/>
        <v>0</v>
      </c>
      <c r="W55" s="4"/>
      <c r="Y55" s="15">
        <v>1</v>
      </c>
      <c r="Z55" s="61" t="s">
        <v>239</v>
      </c>
      <c r="AA55" s="60" t="str" cm="1">
        <f t="array" ref="AA55">IF(OR(Y55=0,Y55=""),"",IF(VLOOKUP(Z55,$AI$1:$AJ$58,2,FALSE)&gt;=Y55,INDEX(tblDisciplines[Name],MATCH(1,(tblDisciplines[Discipline]=Z55)*(tblDisciplines[Rank]=Y55),0)),""))</f>
        <v>Mesmerise</v>
      </c>
      <c r="AC55" s="60" t="str">
        <v>Transmutation 1</v>
      </c>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Blood Sorcery | Transmutation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v>
      </c>
      <c r="AF55" s="20" t="str">
        <f>IF(AC55="","",IFERROR(VLOOKUP(AC55,tblDisciplines[],12,FALSE),VLOOKUP(AC55,tblPacts[],5,FALSE)))</f>
        <v>Minor cosmetic changes to living subjects. Warp dead matter. Animate liquids.</v>
      </c>
      <c r="AI55" s="15" t="s">
        <v>245</v>
      </c>
      <c r="AJ55" s="61">
        <f t="shared" si="1"/>
        <v>0</v>
      </c>
      <c r="AK55" s="61">
        <f>AJ55+IFERROR(INDEX($V$26:$V$38,MATCH(AI55,$E$26:$E$38,0)),0)</f>
        <v>0</v>
      </c>
    </row>
    <row r="56" spans="1:37">
      <c r="A56" s="1" t="s">
        <v>55</v>
      </c>
      <c r="B56" t="str">
        <f ca="1">_xlfn.CONCAT(P75-L223," / ",P75)</f>
        <v>4 / 11</v>
      </c>
      <c r="D56" s="19"/>
      <c r="E56" s="15" t="s">
        <v>37</v>
      </c>
      <c r="F56" s="18"/>
      <c r="G56" s="3"/>
      <c r="H56" s="18"/>
      <c r="I56" s="18"/>
      <c r="L56" s="4"/>
      <c r="M56" s="60"/>
      <c r="N56" s="4"/>
      <c r="O56" s="61">
        <f t="shared" si="9"/>
        <v>0</v>
      </c>
      <c r="P56" s="60">
        <f t="shared" si="7"/>
        <v>0</v>
      </c>
      <c r="R56" s="61">
        <v>5</v>
      </c>
      <c r="T56" s="4"/>
      <c r="U56" s="4"/>
      <c r="V56" s="61">
        <f t="shared" si="8"/>
        <v>0</v>
      </c>
      <c r="W56" s="4"/>
      <c r="Y56" s="15">
        <v>2</v>
      </c>
      <c r="Z56" s="61" t="s">
        <v>239</v>
      </c>
      <c r="AA56" s="60" t="str" cm="1">
        <f t="array" ref="AA56">IF(OR(Y56=0,Y56=""),"",IF(VLOOKUP(Z56,$AI$1:$AJ$58,2,FALSE)&gt;=Y56,INDEX(tblDisciplines[Name],MATCH(1,(tblDisciplines[Discipline]=Z56)*(tblDisciplines[Rank]=Y56),0)),""))</f>
        <v>Iron Edict</v>
      </c>
      <c r="AC56" s="60" t="str">
        <v>Transmutation 2</v>
      </c>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Blood Sorcery | Transmutation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v>
      </c>
      <c r="AF56" s="20" t="str">
        <f>IF(AC56="","",IFERROR(VLOOKUP(AC56,tblDisciplines[],12,FALSE),VLOOKUP(AC56,tblPacts[],5,FALSE)))</f>
        <v>Disguise living/vampiric subjects. Transform dead matter completely. Animate gases and plants. Alter speech. Grant 9-again or WP/Vitae above maximum.</v>
      </c>
      <c r="AI56" s="15" t="s">
        <v>40</v>
      </c>
      <c r="AJ56" s="61">
        <f t="shared" si="1"/>
        <v>0</v>
      </c>
      <c r="AK56" s="61">
        <f>IF(AJ56=0,IF(COUNTIF($E$42:$E$49,AI56)&gt;0,-3,-1),AJ56)</f>
        <v>-1</v>
      </c>
    </row>
    <row r="57" spans="1:37">
      <c r="A57" s="1" t="s">
        <v>56</v>
      </c>
      <c r="B57" t="str">
        <f ca="1">REPT("□",P75-L223) &amp; REPT("■",20-P75+L223)</f>
        <v>□□□□■■■■■■■■■■■■■■■■</v>
      </c>
      <c r="D57" s="19"/>
      <c r="E57" s="15" t="s">
        <v>38</v>
      </c>
      <c r="F57" s="18"/>
      <c r="G57" s="3"/>
      <c r="H57" s="18"/>
      <c r="I57" s="18"/>
      <c r="L57" s="4">
        <v>2</v>
      </c>
      <c r="M57" s="60"/>
      <c r="N57" s="4"/>
      <c r="O57" s="61">
        <f t="shared" si="9"/>
        <v>0</v>
      </c>
      <c r="P57" s="60">
        <f t="shared" si="7"/>
        <v>2</v>
      </c>
      <c r="R57" s="61">
        <v>5</v>
      </c>
      <c r="T57" s="4"/>
      <c r="U57" s="4"/>
      <c r="V57" s="61">
        <f t="shared" si="8"/>
        <v>0</v>
      </c>
      <c r="W57" s="4"/>
      <c r="Y57" s="15">
        <v>3</v>
      </c>
      <c r="Z57" s="61" t="s">
        <v>239</v>
      </c>
      <c r="AA57" s="60" t="str" cm="1">
        <f t="array" ref="AA57">IF(OR(Y57=0,Y57=""),"",IF(VLOOKUP(Z57,$AI$1:$AJ$58,2,FALSE)&gt;=Y57,INDEX(tblDisciplines[Name],MATCH(1,(tblDisciplines[Discipline]=Z57)*(tblDisciplines[Rank]=Y57),0)),""))</f>
        <v>Entombed Command</v>
      </c>
      <c r="AC57" s="60" t="str">
        <v>Transmutation 3</v>
      </c>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Blood Sorcery | Transmutation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v>
      </c>
      <c r="AF57" s="20" t="str">
        <f>IF(AC57="","",IFERROR(VLOOKUP(AC57,tblDisciplines[],12,FALSE),VLOOKUP(AC57,tblPacts[],5,FALSE)))</f>
        <v>Grant physical properties of other creatures to living/vampiric subjects. Change inorganic appearances. Animate animals. Bless/curse actions (Potency modifier).</v>
      </c>
      <c r="AI57" s="15" t="s">
        <v>53</v>
      </c>
      <c r="AJ57" s="61">
        <f t="shared" si="1"/>
        <v>4</v>
      </c>
      <c r="AK57" s="61">
        <f>AJ57</f>
        <v>4</v>
      </c>
    </row>
    <row r="58" spans="1:37">
      <c r="A58" s="1" t="s">
        <v>57</v>
      </c>
      <c r="B58">
        <f ca="1">VLOOKUP(VLOOKUP("Blood Potency", INDIRECT($AH$1),2,FALSE),tblBloodPotency[#Data],3,FALSE)</f>
        <v>2</v>
      </c>
      <c r="D58" s="19"/>
      <c r="E58" s="15" t="s">
        <v>39</v>
      </c>
      <c r="F58" s="18"/>
      <c r="G58" s="3"/>
      <c r="H58" s="18"/>
      <c r="I58" s="18"/>
      <c r="L58" s="4"/>
      <c r="M58" s="60"/>
      <c r="N58" s="4"/>
      <c r="O58" s="61">
        <f t="shared" si="9"/>
        <v>0</v>
      </c>
      <c r="P58" s="60">
        <f t="shared" si="7"/>
        <v>0</v>
      </c>
      <c r="R58" s="61">
        <v>5</v>
      </c>
      <c r="T58" s="4"/>
      <c r="U58" s="4"/>
      <c r="V58" s="61">
        <f t="shared" si="8"/>
        <v>0</v>
      </c>
      <c r="W58" s="4"/>
      <c r="Y58" s="15">
        <v>4</v>
      </c>
      <c r="Z58" s="61" t="s">
        <v>239</v>
      </c>
      <c r="AA58" s="60" t="str" cm="1">
        <f t="array" ref="AA58">IF(OR(Y58=0,Y58=""),"",IF(VLOOKUP(Z58,$AI$1:$AJ$58,2,FALSE)&gt;=Y58,INDEX(tblDisciplines[Name],MATCH(1,(tblDisciplines[Discipline]=Z58)*(tblDisciplines[Rank]=Y58),0)),""))</f>
        <v>The Lying Mind</v>
      </c>
      <c r="AC58" s="60" t="str">
        <v>Transmutation 4</v>
      </c>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Blood Sorcery | Transmutation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v>
      </c>
      <c r="AF58" s="20" t="str">
        <f>IF(AC58="","",IFERROR(VLOOKUP(AC58,tblDisciplines[],12,FALSE),VLOOKUP(AC58,tblPacts[],5,FALSE)))</f>
        <v>Transform one living thing into another. Animate the dead (zombies). Force physical actions on sentient subjects. Grant material properties between objects. Neutralise blood.</v>
      </c>
      <c r="AI58" s="15" t="s">
        <v>17</v>
      </c>
      <c r="AJ58" s="61">
        <f t="shared" si="1"/>
        <v>2</v>
      </c>
      <c r="AK58" s="61">
        <f>AJ58+IFERROR(INDEX($V$26:$V$38,MATCH(AI58,$E$26:$E$38,0)),0)</f>
        <v>2</v>
      </c>
    </row>
    <row r="59" spans="1:37">
      <c r="A59" s="1" t="s">
        <v>58</v>
      </c>
      <c r="B59" t="str">
        <f ca="1">VLOOKUP(VLOOKUP("Blood Potency", INDIRECT($AH$1),2,FALSE),tblBloodPotency[#Data],4,FALSE)</f>
        <v>Animals</v>
      </c>
      <c r="D59" s="19"/>
      <c r="E59" s="15" t="s">
        <v>40</v>
      </c>
      <c r="F59" s="18"/>
      <c r="G59" s="3"/>
      <c r="H59" s="18"/>
      <c r="I59" s="18"/>
      <c r="L59" s="4"/>
      <c r="M59" s="60"/>
      <c r="N59" s="4"/>
      <c r="O59" s="61">
        <f t="shared" si="9"/>
        <v>0</v>
      </c>
      <c r="P59" s="60">
        <f t="shared" si="7"/>
        <v>0</v>
      </c>
      <c r="R59" s="61">
        <v>5</v>
      </c>
      <c r="T59" s="4"/>
      <c r="U59" s="4"/>
      <c r="V59" s="61">
        <f t="shared" si="8"/>
        <v>0</v>
      </c>
      <c r="W59" s="4"/>
      <c r="Y59" s="15">
        <v>5</v>
      </c>
      <c r="Z59" s="61" t="s">
        <v>239</v>
      </c>
      <c r="AA59" s="60" t="str" cm="1">
        <f t="array" ref="AA59">IF(OR(Y59=0,Y59=""),"",IF(VLOOKUP(Z59,$AI$1:$AJ$58,2,FALSE)&gt;=Y59,INDEX(tblDisciplines[Name],MATCH(1,(tblDisciplines[Discipline]=Z59)*(tblDisciplines[Rank]=Y59),0)),""))</f>
        <v/>
      </c>
      <c r="AC59" s="60" t="str">
        <v>Mantle of Amorous Fire</v>
      </c>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Cruac ● | Mantle of Amorous Fire</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Cost: 1 V 1 Successes  •  Pool: 11  •  Ritual  •  Scene</v>
      </c>
      <c r="AF59" s="20" t="str">
        <f>IF(AC59="","",IFERROR(VLOOKUP(AC59,tblDisciplines[],12,FALSE),VLOOKUP(AC59,tblPacts[],5,FALSE)))</f>
        <v>Dance to exhaustion. Add Cruac as a Presence bonus for the night.</v>
      </c>
    </row>
    <row r="60" spans="1:37">
      <c r="A60" s="1" t="s">
        <v>59</v>
      </c>
      <c r="B60" t="str">
        <f t="shared" ref="B60:B83" si="10">IFERROR(IF(VLOOKUP(SUBSTITUTE(A60," Spec",""),$E$42:$G$69,3,FALSE)=0,"",VLOOKUP(SUBSTITUTE(A60," Spec",""),$E$42:$G$69,3,FALSE)),"")</f>
        <v/>
      </c>
      <c r="Y60" s="15">
        <v>1</v>
      </c>
      <c r="Z60" s="61" t="s">
        <v>240</v>
      </c>
      <c r="AA60" s="60" t="str" cm="1">
        <f t="array" ref="AA60">IF(OR(Y60=0,Y60=""),"",IF(VLOOKUP(Z60,$AI$1:$AJ$58,2,FALSE)&gt;=Y60,INDEX(tblDisciplines[Name],MATCH(1,(tblDisciplines[Discipline]=Z60)*(tblDisciplines[Rank]=Y60),0)),""))</f>
        <v/>
      </c>
      <c r="AC60" s="60" t="str">
        <v>Wisdom of the Soul</v>
      </c>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Cruac ●● | Wisdom of the Soul</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Cost: 1 V 2 Successes  •  Pool: 11  •  Ritual  •  Instant</v>
      </c>
      <c r="AF60" s="20" t="str">
        <f>IF(AC60="","",IFERROR(VLOOKUP(AC60,tblDisciplines[],12,FALSE),VLOOKUP(AC60,tblPacts[],5,FALSE)))</f>
        <v>Reveal if mortal/vampire/ghoul; Humanity rating; diablerie</v>
      </c>
    </row>
    <row r="61" spans="1:37">
      <c r="A61" s="1" t="s">
        <v>60</v>
      </c>
      <c r="B61" t="str">
        <f t="shared" si="10"/>
        <v/>
      </c>
      <c r="D61" s="16" t="s">
        <v>1459</v>
      </c>
      <c r="E61" s="17"/>
      <c r="F61" s="17"/>
      <c r="G61" s="17" t="s">
        <v>1467</v>
      </c>
      <c r="H61" s="16" t="s">
        <v>1446</v>
      </c>
      <c r="I61" s="3" t="s">
        <v>1565</v>
      </c>
      <c r="L61" s="60">
        <f>IF(I61="",0,VLOOKUP(I61,tblPriority[#Data],3,FALSE))-SUM(L62:L69)</f>
        <v>0</v>
      </c>
      <c r="Y61" s="15">
        <v>2</v>
      </c>
      <c r="Z61" s="61" t="s">
        <v>240</v>
      </c>
      <c r="AA61" s="60" t="str" cm="1">
        <f t="array" ref="AA61">IF(OR(Y61=0,Y61=""),"",IF(VLOOKUP(Z61,$AI$1:$AJ$58,2,FALSE)&gt;=Y61,INDEX(tblDisciplines[Name],MATCH(1,(tblDisciplines[Discipline]=Z61)*(tblDisciplines[Rank]=Y61),0)),""))</f>
        <v/>
      </c>
      <c r="AC61" s="60" t="str">
        <v>Deflection of Wooden Doom</v>
      </c>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Cruac ● | Deflection of Wooden Doom</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Cost: 1 V 1 Successes  •  Pool: 11  •  Ritual  •  Scene</v>
      </c>
      <c r="AF61" s="20" t="str">
        <f>IF(AC61="","",IFERROR(VLOOKUP(AC61,tblDisciplines[],12,FALSE),VLOOKUP(AC61,tblPacts[],5,FALSE)))</f>
        <v>Caster becomes immune to staking for one night.</v>
      </c>
    </row>
    <row r="62" spans="1:37">
      <c r="A62" s="1" t="s">
        <v>61</v>
      </c>
      <c r="B62" t="str">
        <f t="shared" si="10"/>
        <v/>
      </c>
      <c r="D62" s="18"/>
      <c r="E62" s="15" t="s">
        <v>41</v>
      </c>
      <c r="F62" s="18"/>
      <c r="G62" s="3"/>
      <c r="H62" s="18"/>
      <c r="I62" s="18"/>
      <c r="L62" s="4"/>
      <c r="M62" s="60"/>
      <c r="N62" s="4"/>
      <c r="O62" s="61">
        <f>ROUNDDOWN(N62/2,0)</f>
        <v>0</v>
      </c>
      <c r="P62" s="60">
        <f t="shared" ref="P62:P69" si="11">MIN(SUM(L62,M62,O62),R62)</f>
        <v>0</v>
      </c>
      <c r="R62" s="61">
        <v>5</v>
      </c>
      <c r="T62" s="4"/>
      <c r="U62" s="4"/>
      <c r="V62" s="61">
        <f t="shared" ref="V62:V69" si="12">U62</f>
        <v>0</v>
      </c>
      <c r="W62" s="4"/>
      <c r="Y62" s="15">
        <v>3</v>
      </c>
      <c r="Z62" s="61" t="s">
        <v>240</v>
      </c>
      <c r="AA62" s="60" t="str" cm="1">
        <f t="array" ref="AA62">IF(OR(Y62=0,Y62=""),"",IF(VLOOKUP(Z62,$AI$1:$AJ$58,2,FALSE)&gt;=Y62,INDEX(tblDisciplines[Name],MATCH(1,(tblDisciplines[Discipline]=Z62)*(tblDisciplines[Rank]=Y62),0)),""))</f>
        <v/>
      </c>
      <c r="AC62" s="60" t="str">
        <v>Willful Vitae</v>
      </c>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Cruac ●●●● | Willful Vitae</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Cost: 2 V 4 Successes  •  Pool: 11  •  Ritual  •  Until used</v>
      </c>
      <c r="AF62" s="20" t="str">
        <f>IF(AC62="","",IFERROR(VLOOKUP(AC62,tblDisciplines[],12,FALSE),VLOOKUP(AC62,tblPacts[],5,FALSE)))</f>
        <v>Prevent the onset of blood addiction or the Vinculum for the night.</v>
      </c>
    </row>
    <row r="63" spans="1:37">
      <c r="A63" s="1" t="s">
        <v>62</v>
      </c>
      <c r="B63" t="str">
        <f t="shared" si="10"/>
        <v/>
      </c>
      <c r="D63" s="19"/>
      <c r="E63" s="15" t="s">
        <v>42</v>
      </c>
      <c r="F63" s="18"/>
      <c r="G63" s="3" t="s">
        <v>1076</v>
      </c>
      <c r="H63" s="18"/>
      <c r="I63" s="18"/>
      <c r="L63" s="4">
        <v>3</v>
      </c>
      <c r="M63" s="60"/>
      <c r="N63" s="4"/>
      <c r="O63" s="61">
        <f t="shared" ref="O63:O69" si="13">ROUNDDOWN(N63/2,0)</f>
        <v>0</v>
      </c>
      <c r="P63" s="60">
        <f t="shared" si="11"/>
        <v>3</v>
      </c>
      <c r="R63" s="61">
        <v>5</v>
      </c>
      <c r="T63" s="4">
        <v>1</v>
      </c>
      <c r="U63" s="4"/>
      <c r="V63" s="61">
        <f t="shared" si="12"/>
        <v>0</v>
      </c>
      <c r="W63" s="4"/>
      <c r="Y63" s="15">
        <v>4</v>
      </c>
      <c r="Z63" s="61" t="s">
        <v>240</v>
      </c>
      <c r="AA63" s="60" t="str" cm="1">
        <f t="array" ref="AA63">IF(OR(Y63=0,Y63=""),"",IF(VLOOKUP(Z63,$AI$1:$AJ$58,2,FALSE)&gt;=Y63,INDEX(tblDisciplines[Name],MATCH(1,(tblDisciplines[Discipline]=Z63)*(tblDisciplines[Rank]=Y63),0)),""))</f>
        <v/>
      </c>
      <c r="AC63" s="60" t="str">
        <v>Oath of the Safe Word</v>
      </c>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Oath of the Safe Word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v>
      </c>
      <c r="AF63" s="20" t="str">
        <f>IF(AC63="","",IFERROR(VLOOKUP(AC63,tblDisciplines[],12,FALSE),VLOOKUP(AC63,tblPacts[],5,FALSE)))</f>
        <v>Share Willpower and one Social Merit with oath partner. Either can end to briefly paralyse the other.</v>
      </c>
    </row>
    <row r="64" spans="1:37">
      <c r="A64" s="1" t="s">
        <v>63</v>
      </c>
      <c r="B64" t="str">
        <f t="shared" si="10"/>
        <v/>
      </c>
      <c r="D64" s="19"/>
      <c r="E64" s="15" t="s">
        <v>43</v>
      </c>
      <c r="F64" s="18"/>
      <c r="G64" s="3" t="s">
        <v>1077</v>
      </c>
      <c r="H64" s="18"/>
      <c r="I64" s="18"/>
      <c r="L64" s="4">
        <v>4</v>
      </c>
      <c r="M64" s="60"/>
      <c r="N64" s="4"/>
      <c r="O64" s="61">
        <f t="shared" si="13"/>
        <v>0</v>
      </c>
      <c r="P64" s="60">
        <f t="shared" si="11"/>
        <v>4</v>
      </c>
      <c r="R64" s="61">
        <v>5</v>
      </c>
      <c r="T64" s="4">
        <v>1</v>
      </c>
      <c r="U64" s="4"/>
      <c r="V64" s="61">
        <f t="shared" si="12"/>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0"/>
        <v/>
      </c>
      <c r="D65" s="19"/>
      <c r="E65" s="15" t="s">
        <v>44</v>
      </c>
      <c r="F65" s="18"/>
      <c r="G65" s="3"/>
      <c r="H65" s="18"/>
      <c r="I65" s="18"/>
      <c r="L65" s="4">
        <v>1</v>
      </c>
      <c r="M65" s="60"/>
      <c r="N65" s="4"/>
      <c r="O65" s="61">
        <f t="shared" si="13"/>
        <v>0</v>
      </c>
      <c r="P65" s="60">
        <f t="shared" si="11"/>
        <v>1</v>
      </c>
      <c r="R65" s="61">
        <v>5</v>
      </c>
      <c r="T65" s="4"/>
      <c r="U65" s="4"/>
      <c r="V65" s="61">
        <f t="shared" si="12"/>
        <v>0</v>
      </c>
      <c r="W65" s="4"/>
      <c r="Y65" s="15">
        <v>1</v>
      </c>
      <c r="Z65" s="61" t="s">
        <v>241</v>
      </c>
      <c r="AA65" s="60" t="str" cm="1">
        <f t="array" ref="AA65">IF(OR(Y65=0,Y65=""),"",IF(VLOOKUP(Z65,$AI$1:$AJ$58,2,FALSE)&gt;=Y65,INDEX(tblDisciplines[Name],MATCH(1,(tblDisciplines[Discipline]=Z65)*(tblDisciplines[Rank]=Y65),0)),""))</f>
        <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0"/>
        <v/>
      </c>
      <c r="D66" s="19"/>
      <c r="E66" s="15" t="s">
        <v>45</v>
      </c>
      <c r="F66" s="18"/>
      <c r="G66" s="3"/>
      <c r="H66" s="18"/>
      <c r="I66" s="18"/>
      <c r="L66" s="4"/>
      <c r="M66" s="60"/>
      <c r="N66" s="4"/>
      <c r="O66" s="61">
        <f t="shared" si="13"/>
        <v>0</v>
      </c>
      <c r="P66" s="60">
        <f t="shared" si="11"/>
        <v>0</v>
      </c>
      <c r="R66" s="61">
        <v>5</v>
      </c>
      <c r="T66" s="4"/>
      <c r="U66" s="4"/>
      <c r="V66" s="61">
        <f t="shared" si="12"/>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0"/>
        <v/>
      </c>
      <c r="D67" s="19"/>
      <c r="E67" s="15" t="s">
        <v>46</v>
      </c>
      <c r="F67" s="18"/>
      <c r="G67" s="3"/>
      <c r="H67" s="18"/>
      <c r="I67" s="18"/>
      <c r="L67" s="4">
        <v>1</v>
      </c>
      <c r="M67" s="60"/>
      <c r="N67" s="4"/>
      <c r="O67" s="61">
        <f t="shared" si="13"/>
        <v>0</v>
      </c>
      <c r="P67" s="60">
        <f t="shared" si="11"/>
        <v>1</v>
      </c>
      <c r="R67" s="61">
        <v>5</v>
      </c>
      <c r="T67" s="4"/>
      <c r="U67" s="4"/>
      <c r="V67" s="61">
        <f t="shared" si="12"/>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0"/>
        <v>Archery</v>
      </c>
      <c r="D68" s="18"/>
      <c r="E68" s="15" t="s">
        <v>47</v>
      </c>
      <c r="F68" s="18"/>
      <c r="G68" s="3"/>
      <c r="H68" s="18"/>
      <c r="I68" s="18"/>
      <c r="L68" s="4"/>
      <c r="M68" s="60"/>
      <c r="N68" s="4"/>
      <c r="O68" s="61">
        <f t="shared" si="13"/>
        <v>0</v>
      </c>
      <c r="P68" s="60">
        <f t="shared" si="11"/>
        <v>0</v>
      </c>
      <c r="R68" s="61">
        <v>5</v>
      </c>
      <c r="T68" s="4"/>
      <c r="U68" s="4"/>
      <c r="V68" s="61">
        <f t="shared" si="12"/>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0"/>
        <v/>
      </c>
      <c r="D69" s="18"/>
      <c r="E69" s="15" t="s">
        <v>48</v>
      </c>
      <c r="F69" s="18"/>
      <c r="G69" s="3"/>
      <c r="H69" s="18"/>
      <c r="I69" s="18"/>
      <c r="L69" s="4">
        <v>2</v>
      </c>
      <c r="M69" s="60"/>
      <c r="N69" s="4"/>
      <c r="O69" s="61">
        <f t="shared" si="13"/>
        <v>0</v>
      </c>
      <c r="P69" s="60">
        <f t="shared" si="11"/>
        <v>2</v>
      </c>
      <c r="R69" s="61">
        <v>5</v>
      </c>
      <c r="T69" s="4"/>
      <c r="U69" s="4"/>
      <c r="V69" s="61">
        <f t="shared" si="12"/>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0"/>
        <v/>
      </c>
      <c r="Y70" s="15">
        <v>1</v>
      </c>
      <c r="Z70" s="61" t="s">
        <v>242</v>
      </c>
      <c r="AA70" s="60" t="str" cm="1">
        <f t="array" ref="AA70">IF(OR(Y70=0,Y70=""),"",IF(VLOOKUP(Z70,$AI$1:$AJ$58,2,FALSE)&gt;=Y70,INDEX(tblDisciplines[Name],MATCH(1,(tblDisciplines[Discipline]=Z70)*(tblDisciplines[Rank]=Y70),0)),""))</f>
        <v>Face in the Crowd</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0"/>
        <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0"/>
        <v/>
      </c>
      <c r="D72" s="19"/>
      <c r="E72" s="15" t="s">
        <v>49</v>
      </c>
      <c r="F72" s="19"/>
      <c r="G72" s="19"/>
      <c r="H72" s="19"/>
      <c r="I72" s="19"/>
      <c r="K72" s="4"/>
      <c r="L72" s="4">
        <v>5</v>
      </c>
      <c r="M72" s="60">
        <v>1</v>
      </c>
      <c r="N72" s="4"/>
      <c r="O72" s="61">
        <f>ROUNDDOWN(N72/5,0)</f>
        <v>0</v>
      </c>
      <c r="P72" s="60">
        <f>MIN(SUM(K72*-1,ROUNDDOWN(L72/5,0),M72,O72),R72)</f>
        <v>2</v>
      </c>
      <c r="R72" s="61">
        <v>2</v>
      </c>
      <c r="Y72" s="15">
        <v>3</v>
      </c>
      <c r="Z72" s="61" t="s">
        <v>242</v>
      </c>
      <c r="AA72" s="60" t="str" cm="1">
        <f t="array" ref="AA72">IF(OR(Y72=0,Y72=""),"",IF(VLOOKUP(Z72,$AI$1:$AJ$58,2,FALSE)&gt;=Y72,INDEX(tblDisciplines[Name],MATCH(1,(tblDisciplines[Discipline]=Z72)*(tblDisciplines[Rank]=Y72),0)),""))</f>
        <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0"/>
        <v/>
      </c>
      <c r="D73" s="19"/>
      <c r="E73" s="15" t="s">
        <v>1448</v>
      </c>
      <c r="F73" s="19"/>
      <c r="G73" s="19"/>
      <c r="H73" s="19"/>
      <c r="I73" s="19"/>
      <c r="K73" s="4">
        <v>4</v>
      </c>
      <c r="M73" s="60">
        <v>7</v>
      </c>
      <c r="N73" s="4"/>
      <c r="O73" s="61">
        <f>ROUNDDOWN(N73/2,0)</f>
        <v>0</v>
      </c>
      <c r="P73" s="60">
        <f>MIN(SUM(K73*-1,M73,O73),R73)</f>
        <v>3</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0"/>
        <v/>
      </c>
      <c r="D74" s="19"/>
      <c r="E74" s="15" t="s">
        <v>53</v>
      </c>
      <c r="F74" s="19"/>
      <c r="G74" s="19"/>
      <c r="H74" s="19"/>
      <c r="I74" s="19"/>
      <c r="K74" s="4"/>
      <c r="M74" s="60">
        <v>4</v>
      </c>
      <c r="N74" s="4"/>
      <c r="O74" s="61">
        <f>N74</f>
        <v>0</v>
      </c>
      <c r="P74" s="60">
        <f>MIN(SUM(K74*-1,M74,O74),R74)</f>
        <v>4</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0"/>
        <v/>
      </c>
      <c r="D75" s="19"/>
      <c r="E75" s="15" t="s">
        <v>55</v>
      </c>
      <c r="F75" s="19"/>
      <c r="G75" s="19"/>
      <c r="H75" s="19"/>
      <c r="I75" s="19"/>
      <c r="P75" s="60">
        <f ca="1">VLOOKUP(VLOOKUP("Blood Potency",INDIRECT($AH$1),2,FALSE),tblBloodPotency[],2,FALSE)</f>
        <v>11</v>
      </c>
      <c r="Y75" s="15">
        <v>1</v>
      </c>
      <c r="Z75" s="61" t="s">
        <v>243</v>
      </c>
      <c r="AA75" s="60" t="str" cm="1">
        <f t="array" ref="AA75">IF(OR(Y75=0,Y75=""),"",IF(VLOOKUP(Z75,$AI$1:$AJ$58,2,FALSE)&gt;=Y75,INDEX(tblDisciplines[Name],MATCH(1,(tblDisciplines[Discipline]=Z75)*(tblDisciplines[Rank]=Y75),0)),""))</f>
        <v/>
      </c>
    </row>
    <row r="76" spans="1:32">
      <c r="A76" s="1" t="s">
        <v>75</v>
      </c>
      <c r="B76" t="str">
        <f t="shared" si="10"/>
        <v/>
      </c>
      <c r="Y76" s="15">
        <v>2</v>
      </c>
      <c r="Z76" s="61" t="s">
        <v>243</v>
      </c>
      <c r="AA76" s="60" t="str" cm="1">
        <f t="array" ref="AA76">IF(OR(Y76=0,Y76=""),"",IF(VLOOKUP(Z76,$AI$1:$AJ$58,2,FALSE)&gt;=Y76,INDEX(tblDisciplines[Name],MATCH(1,(tblDisciplines[Discipline]=Z76)*(tblDisciplines[Rank]=Y76),0)),""))</f>
        <v/>
      </c>
    </row>
    <row r="77" spans="1:32" ht="15.75" thickBot="1">
      <c r="A77" s="1" t="s">
        <v>76</v>
      </c>
      <c r="B77" t="str">
        <f t="shared" si="10"/>
        <v>Sin-Eater</v>
      </c>
      <c r="D77" s="14" t="s">
        <v>1470</v>
      </c>
      <c r="E77" s="14"/>
      <c r="F77" s="14"/>
      <c r="G77" s="14"/>
      <c r="H77" s="14"/>
      <c r="I77" s="14"/>
      <c r="N77" s="60">
        <f>SUM(N79:N98,N101:N120,N206:N215,N132:N135,N138:N157,N160:N161)</f>
        <v>7</v>
      </c>
      <c r="Y77" s="15">
        <v>3</v>
      </c>
      <c r="Z77" s="61" t="s">
        <v>243</v>
      </c>
      <c r="AA77" s="60" t="str" cm="1">
        <f t="array" ref="AA77">IF(OR(Y77=0,Y77=""),"",IF(VLOOKUP(Z77,$AI$1:$AJ$58,2,FALSE)&gt;=Y77,INDEX(tblDisciplines[Name],MATCH(1,(tblDisciplines[Discipline]=Z77)*(tblDisciplines[Rank]=Y77),0)),""))</f>
        <v/>
      </c>
    </row>
    <row r="78" spans="1:32">
      <c r="A78" s="1" t="s">
        <v>77</v>
      </c>
      <c r="B78" t="str">
        <f t="shared" si="10"/>
        <v>Mesmerise</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0"/>
        <v/>
      </c>
      <c r="D79" s="61" t="s">
        <v>1628</v>
      </c>
      <c r="E79" s="15" t="s">
        <v>114</v>
      </c>
      <c r="F79" s="3" t="s">
        <v>1601</v>
      </c>
      <c r="G79" s="3"/>
      <c r="H79" s="67" t="str">
        <f>_xlfn.IFNA(IF(VLOOKUP(F79,tblMerits[],6,FALSE)=0,"None",VLOOKUP(F79,tblMerits[],6,FALSE)),"None")</f>
        <v>None</v>
      </c>
      <c r="I79" s="67"/>
      <c r="L79" s="4"/>
      <c r="M79" s="4">
        <v>1</v>
      </c>
      <c r="N79" s="4"/>
      <c r="O79" s="61">
        <f>N79</f>
        <v>0</v>
      </c>
      <c r="P79" s="60">
        <f t="shared" ref="P79:P98" si="14">MIN(SUM(L79,M79,O79),R79)</f>
        <v>1</v>
      </c>
      <c r="Q79" s="61">
        <f>_xlfn.IFNA(VLOOKUP($F79,tblMerits[],3,FALSE),"")</f>
        <v>1</v>
      </c>
      <c r="R79" s="61">
        <f>_xlfn.IFNA(VLOOKUP($F79,tblMerits[],4,FALSE),"")</f>
        <v>1</v>
      </c>
      <c r="Y79" s="15">
        <v>5</v>
      </c>
      <c r="Z79" s="61" t="s">
        <v>243</v>
      </c>
      <c r="AA79" s="60" t="str" cm="1">
        <f t="array" ref="AA79">IF(OR(Y79=0,Y79=""),"",IF(VLOOKUP(Z79,$AI$1:$AJ$58,2,FALSE)&gt;=Y79,INDEX(tblDisciplines[Name],MATCH(1,(tblDisciplines[Discipline]=Z79)*(tblDisciplines[Rank]=Y79),0)),""))</f>
        <v/>
      </c>
    </row>
    <row r="80" spans="1:32">
      <c r="A80" s="1" t="s">
        <v>79</v>
      </c>
      <c r="B80" t="str">
        <f t="shared" si="10"/>
        <v/>
      </c>
      <c r="D80" s="61" t="s">
        <v>1652</v>
      </c>
      <c r="E80" s="15" t="s">
        <v>115</v>
      </c>
      <c r="F80" s="3" t="s">
        <v>1589</v>
      </c>
      <c r="G80" s="3"/>
      <c r="H80" s="67" t="str">
        <f>_xlfn.IFNA(IF(VLOOKUP(F80,tblMerits[],6,FALSE)=0,"None",VLOOKUP(F80,tblMerits[],6,FALSE)),"None")</f>
        <v>Composure 3, Manipulation 3, Wits 3</v>
      </c>
      <c r="I80" s="67"/>
      <c r="L80" s="4"/>
      <c r="M80" s="4">
        <v>1</v>
      </c>
      <c r="N80" s="4"/>
      <c r="O80" s="61">
        <f t="shared" ref="O80:O98" si="15">N80</f>
        <v>0</v>
      </c>
      <c r="P80" s="60">
        <f t="shared" si="14"/>
        <v>1</v>
      </c>
      <c r="Q80" s="61">
        <f>_xlfn.IFNA(VLOOKUP($F80,tblMerits[],3,FALSE),"")</f>
        <v>1</v>
      </c>
      <c r="R80" s="61">
        <f>_xlfn.IFNA(VLOOKUP($F80,tblMerits[],4,FALSE),"")</f>
        <v>1</v>
      </c>
      <c r="Y80" s="15">
        <f>P173</f>
        <v>0</v>
      </c>
      <c r="Z80" s="61" t="s">
        <v>244</v>
      </c>
      <c r="AA80" s="60" t="str" cm="1">
        <f t="array" ref="AA80">IF(OR(Y80=0,Y80=""),"",IF(VLOOKUP(Z80,$AI$1:$AJ$58,2,FALSE)&gt;=Y80,INDEX(tblDisciplines[Name],MATCH(1,(tblDisciplines[Discipline]=Z80)*(tblDisciplines[Rank]=Y80),0)),""))</f>
        <v/>
      </c>
    </row>
    <row r="81" spans="1:27">
      <c r="A81" s="1" t="s">
        <v>80</v>
      </c>
      <c r="B81" t="str">
        <f t="shared" si="10"/>
        <v/>
      </c>
      <c r="D81" s="61" t="s">
        <v>1631</v>
      </c>
      <c r="E81" s="15" t="s">
        <v>116</v>
      </c>
      <c r="F81" s="3" t="s">
        <v>1590</v>
      </c>
      <c r="G81" s="3"/>
      <c r="H81" s="67" t="str">
        <f>_xlfn.IFNA(IF(VLOOKUP(F81,tblMerits[],6,FALSE)=0,"None",VLOOKUP(F81,tblMerits[],6,FALSE)),"None")</f>
        <v>Resolve 3</v>
      </c>
      <c r="I81" s="67"/>
      <c r="L81" s="4"/>
      <c r="M81" s="4">
        <v>2</v>
      </c>
      <c r="N81" s="4"/>
      <c r="O81" s="61">
        <f t="shared" si="15"/>
        <v>0</v>
      </c>
      <c r="P81" s="60">
        <f t="shared" si="14"/>
        <v>2</v>
      </c>
      <c r="Q81" s="61">
        <f>_xlfn.IFNA(VLOOKUP($F81,tblMerits[],3,FALSE),"")</f>
        <v>2</v>
      </c>
      <c r="R81" s="61">
        <f>_xlfn.IFNA(VLOOKUP($F81,tblMerits[],4,FALSE),"")</f>
        <v>2</v>
      </c>
      <c r="Y81" s="15">
        <f>P174</f>
        <v>0</v>
      </c>
      <c r="Z81" s="61" t="s">
        <v>245</v>
      </c>
      <c r="AA81" s="60" t="str" cm="1">
        <f t="array" ref="AA81">IF(OR(Y81=0,Y81=""),"",IF(VLOOKUP(Z81,$AI$1:$AJ$58,2,FALSE)&gt;=Y81,INDEX(tblDisciplines[Name],MATCH(1,(tblDisciplines[Discipline]=Z81)*(tblDisciplines[Rank]=Y81),0)),""))</f>
        <v/>
      </c>
    </row>
    <row r="82" spans="1:27">
      <c r="A82" s="1" t="s">
        <v>81</v>
      </c>
      <c r="B82" t="str">
        <f t="shared" si="10"/>
        <v/>
      </c>
      <c r="D82" s="61" t="s">
        <v>1747</v>
      </c>
      <c r="E82" s="15" t="s">
        <v>117</v>
      </c>
      <c r="F82" s="3" t="s">
        <v>1756</v>
      </c>
      <c r="G82" s="3"/>
      <c r="H82" s="67" t="str">
        <f>_xlfn.IFNA(IF(VLOOKUP(F82,tblMerits[],6,FALSE)=0,"None",VLOOKUP(F82,tblMerits[],6,FALSE)),"None")</f>
        <v>Wits 3, Empathy 3</v>
      </c>
      <c r="I82" s="67"/>
      <c r="L82" s="4"/>
      <c r="M82" s="4">
        <v>3</v>
      </c>
      <c r="N82" s="4"/>
      <c r="O82" s="61">
        <f t="shared" si="15"/>
        <v>0</v>
      </c>
      <c r="P82" s="60">
        <f t="shared" si="14"/>
        <v>3</v>
      </c>
      <c r="Q82" s="61">
        <f>_xlfn.IFNA(VLOOKUP($F82,tblMerits[],3,FALSE),"")</f>
        <v>2</v>
      </c>
      <c r="R82" s="61">
        <f>_xlfn.IFNA(VLOOKUP($F82,tblMerits[],4,FALSE),"")</f>
        <v>3</v>
      </c>
      <c r="Y82" s="61" t="s">
        <v>1472</v>
      </c>
      <c r="Z82" s="19"/>
      <c r="AA82" s="60" t="str">
        <f>IF(P177="","",F177)</f>
        <v>The Taste of Things Lived</v>
      </c>
    </row>
    <row r="83" spans="1:27">
      <c r="A83" s="1" t="s">
        <v>82</v>
      </c>
      <c r="B83" t="str">
        <f t="shared" si="10"/>
        <v/>
      </c>
      <c r="D83" s="61" t="s">
        <v>1757</v>
      </c>
      <c r="E83" s="15" t="s">
        <v>118</v>
      </c>
      <c r="F83" s="3" t="s">
        <v>1618</v>
      </c>
      <c r="G83" s="3"/>
      <c r="H83" s="67" t="str">
        <f>_xlfn.IFNA(IF(VLOOKUP(F83,tblMerits[],6,FALSE)=0,"None",VLOOKUP(F83,tblMerits[],6,FALSE)),"None")</f>
        <v>Manipulation 3, Resolve 3</v>
      </c>
      <c r="I83" s="67"/>
      <c r="L83" s="4"/>
      <c r="M83" s="4">
        <v>3</v>
      </c>
      <c r="N83" s="4"/>
      <c r="O83" s="61">
        <f t="shared" si="15"/>
        <v>0</v>
      </c>
      <c r="P83" s="60">
        <f t="shared" si="14"/>
        <v>3</v>
      </c>
      <c r="Q83" s="61">
        <f>_xlfn.IFNA(VLOOKUP($F83,tblMerits[],3,FALSE),"")</f>
        <v>1</v>
      </c>
      <c r="R83" s="61">
        <f>_xlfn.IFNA(VLOOKUP($F83,tblMerits[],4,FALSE),"")</f>
        <v>5</v>
      </c>
      <c r="Y83" s="61" t="s">
        <v>1472</v>
      </c>
      <c r="Z83" s="19"/>
      <c r="AA83" s="60" t="str">
        <f>IF(P178="","",F178)</f>
        <v>The Exchange of Things Past</v>
      </c>
    </row>
    <row r="84" spans="1:27">
      <c r="A84" s="1" t="s">
        <v>83</v>
      </c>
      <c r="B84">
        <f>P124</f>
        <v>1</v>
      </c>
      <c r="D84" s="19"/>
      <c r="E84" s="15" t="s">
        <v>119</v>
      </c>
      <c r="F84" s="3" t="s">
        <v>1758</v>
      </c>
      <c r="G84" s="3"/>
      <c r="H84" s="67" t="str">
        <f>_xlfn.IFNA(IF(VLOOKUP(F84,tblMerits[],6,FALSE)=0,"None",VLOOKUP(F84,tblMerits[],6,FALSE)),"None")</f>
        <v>Empathy 2</v>
      </c>
      <c r="I84" s="67"/>
      <c r="L84" s="4"/>
      <c r="M84" s="4"/>
      <c r="N84" s="4">
        <v>2</v>
      </c>
      <c r="O84" s="61">
        <f t="shared" si="15"/>
        <v>2</v>
      </c>
      <c r="P84" s="60">
        <f t="shared" si="14"/>
        <v>2</v>
      </c>
      <c r="Q84" s="61">
        <f>_xlfn.IFNA(VLOOKUP($F84,tblMerits[],3,FALSE),"")</f>
        <v>2</v>
      </c>
      <c r="R84" s="61">
        <f>_xlfn.IFNA(VLOOKUP($F84,tblMerits[],4,FALSE),"")</f>
        <v>2</v>
      </c>
      <c r="Y84" s="61" t="s">
        <v>1472</v>
      </c>
      <c r="Z84" s="19"/>
      <c r="AA84" s="60" t="str">
        <f>IF(P179="","",F179)</f>
        <v/>
      </c>
    </row>
    <row r="85" spans="1:27">
      <c r="A85" s="1" t="s">
        <v>84</v>
      </c>
      <c r="B85">
        <f>P125</f>
        <v>3</v>
      </c>
      <c r="D85" s="19"/>
      <c r="E85" s="15" t="s">
        <v>120</v>
      </c>
      <c r="F85" s="3" t="s">
        <v>1569</v>
      </c>
      <c r="G85" s="3"/>
      <c r="H85" s="67" t="str">
        <f>_xlfn.IFNA(IF(VLOOKUP(F85,tblMerits[],6,FALSE)=0,"None",VLOOKUP(F85,tblMerits[],6,FALSE)),"None")</f>
        <v>Crone Status 2 or Invictus Status 2</v>
      </c>
      <c r="I85" s="67"/>
      <c r="L85" s="4"/>
      <c r="M85" s="4"/>
      <c r="N85" s="4">
        <v>1</v>
      </c>
      <c r="O85" s="61">
        <f t="shared" si="15"/>
        <v>1</v>
      </c>
      <c r="P85" s="60">
        <f t="shared" si="14"/>
        <v>1</v>
      </c>
      <c r="Q85" s="61">
        <f>_xlfn.IFNA(VLOOKUP($F85,tblMerits[],3,FALSE),"")</f>
        <v>1</v>
      </c>
      <c r="R85" s="61">
        <f>_xlfn.IFNA(VLOOKUP($F85,tblMerits[],4,FALSE),"")</f>
        <v>1</v>
      </c>
      <c r="Y85" s="61" t="s">
        <v>1472</v>
      </c>
      <c r="Z85" s="19"/>
      <c r="AA85" s="60" t="str">
        <f>IF(P180="","",F180)</f>
        <v/>
      </c>
    </row>
    <row r="86" spans="1:27">
      <c r="A86" s="1" t="s">
        <v>85</v>
      </c>
      <c r="B86">
        <f>P126</f>
        <v>3</v>
      </c>
      <c r="D86" s="19"/>
      <c r="E86" s="15" t="s">
        <v>121</v>
      </c>
      <c r="F86" s="3" t="s">
        <v>1716</v>
      </c>
      <c r="G86" s="3" t="s">
        <v>1759</v>
      </c>
      <c r="H86" s="67" t="str">
        <f>_xlfn.IFNA(IF(VLOOKUP(F86,tblMerits[],6,FALSE)=0,"None",VLOOKUP(F86,tblMerits[],6,FALSE)),"None")</f>
        <v>Safe Place (same level), Cruac 1</v>
      </c>
      <c r="I86" s="67"/>
      <c r="L86" s="4"/>
      <c r="M86" s="4">
        <v>2</v>
      </c>
      <c r="N86" s="4">
        <v>1</v>
      </c>
      <c r="O86" s="61">
        <f t="shared" si="15"/>
        <v>1</v>
      </c>
      <c r="P86" s="60">
        <f t="shared" si="14"/>
        <v>3</v>
      </c>
      <c r="Q86" s="61">
        <f>_xlfn.IFNA(VLOOKUP($F86,tblMerits[],3,FALSE),"")</f>
        <v>1</v>
      </c>
      <c r="R86" s="61">
        <f>_xlfn.IFNA(VLOOKUP($F86,tblMerits[],4,FALSE),"")</f>
        <v>5</v>
      </c>
      <c r="Y86" s="61" t="s">
        <v>1472</v>
      </c>
      <c r="Z86" s="19"/>
      <c r="AA86" s="60" t="str">
        <f>IF(P181="","",F181)</f>
        <v/>
      </c>
    </row>
    <row r="87" spans="1:27">
      <c r="A87" s="1" t="s">
        <v>86</v>
      </c>
      <c r="B87" t="str">
        <f>IF(F126="","¬",F126)</f>
        <v>Crone</v>
      </c>
      <c r="D87" s="19"/>
      <c r="E87" s="15" t="s">
        <v>122</v>
      </c>
      <c r="F87" s="3"/>
      <c r="G87" s="3"/>
      <c r="H87" s="67" t="str">
        <f>_xlfn.IFNA(IF(VLOOKUP(F87,tblMerits[],6,FALSE)=0,"None",VLOOKUP(F87,tblMerits[],6,FALSE)),"None")</f>
        <v>None</v>
      </c>
      <c r="I87" s="67"/>
      <c r="L87" s="4"/>
      <c r="M87" s="4"/>
      <c r="N87" s="4"/>
      <c r="O87" s="61">
        <f t="shared" si="15"/>
        <v>0</v>
      </c>
      <c r="P87" s="60">
        <f t="shared" si="14"/>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Creation 1</v>
      </c>
    </row>
    <row r="88" spans="1:27">
      <c r="A88" s="1" t="s">
        <v>87</v>
      </c>
      <c r="B88" t="str">
        <f>REPT("●",P126)</f>
        <v>●●●</v>
      </c>
      <c r="D88" s="19"/>
      <c r="E88" s="15" t="s">
        <v>123</v>
      </c>
      <c r="F88" s="3"/>
      <c r="G88" s="3"/>
      <c r="H88" s="67" t="str">
        <f>_xlfn.IFNA(IF(VLOOKUP(F88,tblMerits[],6,FALSE)=0,"None",VLOOKUP(F88,tblMerits[],6,FALSE)),"None")</f>
        <v>None</v>
      </c>
      <c r="I88" s="67"/>
      <c r="L88" s="4"/>
      <c r="M88" s="4"/>
      <c r="N88" s="4"/>
      <c r="O88" s="61">
        <f t="shared" si="15"/>
        <v>0</v>
      </c>
      <c r="P88" s="60">
        <f t="shared" si="14"/>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Carthian</v>
      </c>
      <c r="D89" s="19"/>
      <c r="E89" s="15" t="s">
        <v>124</v>
      </c>
      <c r="F89" s="3"/>
      <c r="G89" s="3"/>
      <c r="H89" s="67" t="str">
        <f>_xlfn.IFNA(IF(VLOOKUP(F89,tblMerits[],6,FALSE)=0,"None",VLOOKUP(F89,tblMerits[],6,FALSE)),"None")</f>
        <v>None</v>
      </c>
      <c r="I89" s="67"/>
      <c r="L89" s="4"/>
      <c r="M89" s="4"/>
      <c r="N89" s="4"/>
      <c r="O89" s="61">
        <f t="shared" si="15"/>
        <v>0</v>
      </c>
      <c r="P89" s="60">
        <f t="shared" si="14"/>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_xlfn.IFNA(IF(VLOOKUP(F90,tblMerits[],6,FALSE)=0,"None",VLOOKUP(F90,tblMerits[],6,FALSE)),"None")</f>
        <v>None</v>
      </c>
      <c r="I90" s="67"/>
      <c r="L90" s="4"/>
      <c r="M90" s="4"/>
      <c r="N90" s="4"/>
      <c r="O90" s="61">
        <f t="shared" si="15"/>
        <v>0</v>
      </c>
      <c r="P90" s="60">
        <f t="shared" si="14"/>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Invictus</v>
      </c>
      <c r="D91" s="19"/>
      <c r="E91" s="15" t="s">
        <v>126</v>
      </c>
      <c r="F91" s="3"/>
      <c r="G91" s="3"/>
      <c r="H91" s="67" t="str">
        <f>_xlfn.IFNA(IF(VLOOKUP(F91,tblMerits[],6,FALSE)=0,"None",VLOOKUP(F91,tblMerits[],6,FALSE)),"None")</f>
        <v>None</v>
      </c>
      <c r="I91" s="67"/>
      <c r="L91" s="4"/>
      <c r="M91" s="4"/>
      <c r="N91" s="4"/>
      <c r="O91" s="61">
        <f t="shared" si="15"/>
        <v>0</v>
      </c>
      <c r="P91" s="60">
        <f t="shared" si="14"/>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5"/>
        <v>0</v>
      </c>
      <c r="P92" s="60">
        <f t="shared" si="14"/>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Lance</v>
      </c>
      <c r="D93" s="19"/>
      <c r="E93" s="15" t="s">
        <v>128</v>
      </c>
      <c r="F93" s="3"/>
      <c r="G93" s="3"/>
      <c r="H93" s="67" t="str">
        <f>_xlfn.IFNA(IF(VLOOKUP(F93,tblMerits[],6,FALSE)=0,"None",VLOOKUP(F93,tblMerits[],6,FALSE)),"None")</f>
        <v>None</v>
      </c>
      <c r="I93" s="67"/>
      <c r="L93" s="4"/>
      <c r="M93" s="4"/>
      <c r="N93" s="4"/>
      <c r="O93" s="61">
        <f t="shared" si="15"/>
        <v>0</v>
      </c>
      <c r="P93" s="60">
        <f t="shared" si="14"/>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5"/>
        <v>0</v>
      </c>
      <c r="P94" s="60">
        <f t="shared" si="14"/>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5"/>
        <v>0</v>
      </c>
      <c r="P95" s="60">
        <f t="shared" si="14"/>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5"/>
        <v>0</v>
      </c>
      <c r="P96" s="60">
        <f t="shared" si="14"/>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5"/>
        <v>0</v>
      </c>
      <c r="P97" s="60">
        <f t="shared" si="14"/>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5"/>
        <v>0</v>
      </c>
      <c r="P98" s="60">
        <f t="shared" si="14"/>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The Remembrance of the Lidles Eye</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c r="G101" s="60" t="str">
        <f>IFERROR(VLOOKUP(F101,tblManoeuvre[],2,FALSE)&amp;" "&amp;VLOOKUP(F101,tblManoeuvre[],3,FALSE),"")</f>
        <v/>
      </c>
      <c r="H101" s="67" t="str">
        <f>IFERROR(IF(VLOOKUP(F101,tblManoeuvre[],8,FALSE)=0,"None",VLOOKUP(F101,tblManoeuvre[],8,FALSE)),"None")</f>
        <v>None</v>
      </c>
      <c r="I101" s="67"/>
      <c r="L101" s="4"/>
      <c r="M101" s="4"/>
      <c r="N101" s="4"/>
      <c r="O101" s="61">
        <f t="shared" ref="O101:O120" si="16">N101</f>
        <v>0</v>
      </c>
      <c r="P101" s="60">
        <f t="shared" ref="P101:P120" si="17">MIN(SUM(L101,M101,O101),R101)</f>
        <v>0</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
      </c>
      <c r="D102" s="19"/>
      <c r="E102" s="15" t="s">
        <v>1441</v>
      </c>
      <c r="F102" s="3"/>
      <c r="G102" s="60" t="str">
        <f>IFERROR(VLOOKUP(F102,tblManoeuvre[],2,FALSE)&amp;" "&amp;VLOOKUP(F102,tblManoeuvre[],3,FALSE),"")</f>
        <v/>
      </c>
      <c r="H102" s="67" t="str">
        <f>IFERROR(IF(VLOOKUP(F102,tblManoeuvre[],8,FALSE)=0,"None",VLOOKUP(F102,tblManoeuvre[],8,FALSE)),"None")</f>
        <v>None</v>
      </c>
      <c r="I102" s="67"/>
      <c r="L102" s="4"/>
      <c r="M102" s="4"/>
      <c r="N102" s="4"/>
      <c r="O102" s="61">
        <f t="shared" si="16"/>
        <v>0</v>
      </c>
      <c r="P102" s="60">
        <f t="shared" si="17"/>
        <v>0</v>
      </c>
      <c r="Q102" s="61">
        <v>1</v>
      </c>
      <c r="R102" s="61">
        <v>1</v>
      </c>
      <c r="Y102" s="15">
        <v>1</v>
      </c>
      <c r="Z102" s="61" t="s">
        <v>251</v>
      </c>
      <c r="AA102" s="60" t="str" cm="1">
        <f t="array" ref="AA102">IF(VLOOKUP(Z102,$AI$1:$AJ$58,2,FALSE)&gt;=Y102,INDEX(tblDisciplines[Name],MATCH(1,(tblDisciplines[Discipline]=Z102)*(tblDisciplines[Rank]=Y102),0)),"")</f>
        <v>Protection 1</v>
      </c>
    </row>
    <row r="103" spans="1:27">
      <c r="A103" s="1" t="s">
        <v>102</v>
      </c>
      <c r="B103">
        <f>P73</f>
        <v>3</v>
      </c>
      <c r="D103" s="19"/>
      <c r="E103" s="15" t="s">
        <v>1443</v>
      </c>
      <c r="F103" s="3"/>
      <c r="G103" s="60" t="str">
        <f>IFERROR(VLOOKUP(F103,tblManoeuvre[],2,FALSE)&amp;" "&amp;VLOOKUP(F103,tblManoeuvre[],3,FALSE),"")</f>
        <v/>
      </c>
      <c r="H103" s="67" t="str">
        <f>IFERROR(IF(VLOOKUP(F103,tblManoeuvre[],8,FALSE)=0,"None",VLOOKUP(F103,tblManoeuvre[],8,FALSE)),"None")</f>
        <v>None</v>
      </c>
      <c r="I103" s="67"/>
      <c r="L103" s="4"/>
      <c r="M103" s="4"/>
      <c r="N103" s="4"/>
      <c r="O103" s="61">
        <f t="shared" si="16"/>
        <v>0</v>
      </c>
      <c r="P103" s="60">
        <f t="shared" si="17"/>
        <v>0</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c r="G104" s="60" t="str">
        <f>IFERROR(VLOOKUP(F104,tblManoeuvre[],2,FALSE)&amp;" "&amp;VLOOKUP(F104,tblManoeuvre[],3,FALSE),"")</f>
        <v/>
      </c>
      <c r="H104" s="67" t="str">
        <f>IFERROR(IF(VLOOKUP(F104,tblManoeuvre[],8,FALSE)=0,"None",VLOOKUP(F104,tblManoeuvre[],8,FALSE)),"None")</f>
        <v>None</v>
      </c>
      <c r="I104" s="67"/>
      <c r="L104" s="4"/>
      <c r="M104" s="4"/>
      <c r="N104" s="4"/>
      <c r="O104" s="61">
        <f t="shared" si="16"/>
        <v>0</v>
      </c>
      <c r="P104" s="60">
        <f t="shared" si="17"/>
        <v>0</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c r="G105" s="60" t="str">
        <f>IFERROR(VLOOKUP(F105,tblManoeuvre[],2,FALSE)&amp;" "&amp;VLOOKUP(F105,tblManoeuvre[],3,FALSE),"")</f>
        <v/>
      </c>
      <c r="H105" s="67" t="str">
        <f>IFERROR(IF(VLOOKUP(F105,tblManoeuvre[],8,FALSE)=0,"None",VLOOKUP(F105,tblManoeuvre[],8,FALSE)),"None")</f>
        <v>None</v>
      </c>
      <c r="I105" s="67"/>
      <c r="L105" s="4"/>
      <c r="M105" s="4"/>
      <c r="N105" s="4"/>
      <c r="O105" s="61">
        <f t="shared" si="16"/>
        <v>0</v>
      </c>
      <c r="P105" s="60">
        <f t="shared" si="17"/>
        <v>0</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IFERROR(VLOOKUP(F106,tblManoeuvre[],2,FALSE)&amp;" "&amp;VLOOKUP(F106,tblManoeuvre[],3,FALSE),"")</f>
        <v/>
      </c>
      <c r="H106" s="67" t="str">
        <f>IFERROR(IF(VLOOKUP(F106,tblManoeuvre[],8,FALSE)=0,"None",VLOOKUP(F106,tblManoeuvre[],8,FALSE)),"None")</f>
        <v>None</v>
      </c>
      <c r="I106" s="67"/>
      <c r="L106" s="4"/>
      <c r="M106" s="4"/>
      <c r="N106" s="4"/>
      <c r="O106" s="61">
        <f t="shared" si="16"/>
        <v>0</v>
      </c>
      <c r="P106" s="60">
        <f t="shared" si="17"/>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IFERROR(VLOOKUP(F107,tblManoeuvre[],2,FALSE)&amp;" "&amp;VLOOKUP(F107,tblManoeuvre[],3,FALSE),"")</f>
        <v/>
      </c>
      <c r="H107" s="67" t="str">
        <f>IFERROR(IF(VLOOKUP(F107,tblManoeuvre[],8,FALSE)=0,"None",VLOOKUP(F107,tblManoeuvre[],8,FALSE)),"None")</f>
        <v>None</v>
      </c>
      <c r="I107" s="67"/>
      <c r="L107" s="4"/>
      <c r="M107" s="4"/>
      <c r="N107" s="4"/>
      <c r="O107" s="61">
        <f t="shared" si="16"/>
        <v>0</v>
      </c>
      <c r="P107" s="60">
        <f t="shared" si="17"/>
        <v>0</v>
      </c>
      <c r="Q107" s="61">
        <v>1</v>
      </c>
      <c r="R107" s="61">
        <v>1</v>
      </c>
      <c r="Y107" s="15">
        <v>1</v>
      </c>
      <c r="Z107" s="61" t="s">
        <v>252</v>
      </c>
      <c r="AA107" s="60" t="str" cm="1">
        <f t="array" ref="AA107">IF(VLOOKUP(Z107,$AI$1:$AJ$58,2,FALSE)&gt;=Y107,INDEX(tblDisciplines[Name],MATCH(1,(tblDisciplines[Discipline]=Z107)*(tblDisciplines[Rank]=Y107),0)),"")</f>
        <v>Transmutation 1</v>
      </c>
    </row>
    <row r="108" spans="1:27">
      <c r="A108" s="1" t="s">
        <v>107</v>
      </c>
      <c r="B108" t="str">
        <f>IF($P$73&gt;=7,"●","○") &amp; IF(F226&lt;&gt;""," (" &amp; F226 &amp; ")","")</f>
        <v>○</v>
      </c>
      <c r="D108" s="19"/>
      <c r="E108" s="15" t="s">
        <v>1452</v>
      </c>
      <c r="F108" s="3"/>
      <c r="G108" s="60" t="str">
        <f>IFERROR(VLOOKUP(F108,tblManoeuvre[],2,FALSE)&amp;" "&amp;VLOOKUP(F108,tblManoeuvre[],3,FALSE),"")</f>
        <v/>
      </c>
      <c r="H108" s="67" t="str">
        <f>IFERROR(IF(VLOOKUP(F108,tblManoeuvre[],8,FALSE)=0,"None",VLOOKUP(F108,tblManoeuvre[],8,FALSE)),"None")</f>
        <v>None</v>
      </c>
      <c r="I108" s="67"/>
      <c r="L108" s="4"/>
      <c r="M108" s="4"/>
      <c r="N108" s="4"/>
      <c r="O108" s="61">
        <f t="shared" si="16"/>
        <v>0</v>
      </c>
      <c r="P108" s="60">
        <f t="shared" si="17"/>
        <v>0</v>
      </c>
      <c r="Q108" s="61">
        <v>1</v>
      </c>
      <c r="R108" s="61">
        <v>1</v>
      </c>
      <c r="Y108" s="15">
        <v>2</v>
      </c>
      <c r="Z108" s="61" t="s">
        <v>252</v>
      </c>
      <c r="AA108" s="60" t="str" cm="1">
        <f t="array" ref="AA108">IF(VLOOKUP(Z108,$AI$1:$AJ$58,2,FALSE)&gt;=Y108,INDEX(tblDisciplines[Name],MATCH(1,(tblDisciplines[Discipline]=Z108)*(tblDisciplines[Rank]=Y108),0)),"")</f>
        <v>Transmutation 2</v>
      </c>
    </row>
    <row r="109" spans="1:27">
      <c r="A109" s="1" t="s">
        <v>108</v>
      </c>
      <c r="B109" t="str">
        <f>IF($P$73&gt;=6,"●","○") &amp; IF(F227&lt;&gt;""," (" &amp; F227 &amp; ")","")</f>
        <v>○ (Odeliese (Dead Wife))</v>
      </c>
      <c r="D109" s="19"/>
      <c r="E109" s="15" t="s">
        <v>1454</v>
      </c>
      <c r="F109" s="3"/>
      <c r="G109" s="60" t="str">
        <f>IFERROR(VLOOKUP(F109,tblManoeuvre[],2,FALSE)&amp;" "&amp;VLOOKUP(F109,tblManoeuvre[],3,FALSE),"")</f>
        <v/>
      </c>
      <c r="H109" s="67" t="str">
        <f>IFERROR(IF(VLOOKUP(F109,tblManoeuvre[],8,FALSE)=0,"None",VLOOKUP(F109,tblManoeuvre[],8,FALSE)),"None")</f>
        <v>None</v>
      </c>
      <c r="I109" s="67"/>
      <c r="L109" s="4"/>
      <c r="M109" s="4"/>
      <c r="N109" s="4"/>
      <c r="O109" s="61">
        <f t="shared" si="16"/>
        <v>0</v>
      </c>
      <c r="P109" s="60">
        <f t="shared" si="17"/>
        <v>0</v>
      </c>
      <c r="Q109" s="61">
        <v>1</v>
      </c>
      <c r="R109" s="61">
        <v>1</v>
      </c>
      <c r="Y109" s="15">
        <v>3</v>
      </c>
      <c r="Z109" s="61" t="s">
        <v>252</v>
      </c>
      <c r="AA109" s="60" t="str" cm="1">
        <f t="array" ref="AA109">IF(VLOOKUP(Z109,$AI$1:$AJ$58,2,FALSE)&gt;=Y109,INDEX(tblDisciplines[Name],MATCH(1,(tblDisciplines[Discipline]=Z109)*(tblDisciplines[Rank]=Y109),0)),"")</f>
        <v>Transmutation 3</v>
      </c>
    </row>
    <row r="110" spans="1:27">
      <c r="A110" s="1" t="s">
        <v>109</v>
      </c>
      <c r="B110" t="str">
        <f>IF($P$73&gt;=5,"●","○") &amp; IF(F228&lt;&gt;""," (" &amp; F228 &amp; ")","")</f>
        <v>○</v>
      </c>
      <c r="D110" s="19"/>
      <c r="E110" s="15" t="s">
        <v>1455</v>
      </c>
      <c r="F110" s="3"/>
      <c r="G110" s="60" t="str">
        <f>IFERROR(VLOOKUP(F110,tblManoeuvre[],2,FALSE)&amp;" "&amp;VLOOKUP(F110,tblManoeuvre[],3,FALSE),"")</f>
        <v/>
      </c>
      <c r="H110" s="67" t="str">
        <f>IFERROR(IF(VLOOKUP(F110,tblManoeuvre[],8,FALSE)=0,"None",VLOOKUP(F110,tblManoeuvre[],8,FALSE)),"None")</f>
        <v>None</v>
      </c>
      <c r="I110" s="67"/>
      <c r="L110" s="4"/>
      <c r="M110" s="4"/>
      <c r="N110" s="4"/>
      <c r="O110" s="61">
        <f t="shared" si="16"/>
        <v>0</v>
      </c>
      <c r="P110" s="60">
        <f t="shared" si="17"/>
        <v>0</v>
      </c>
      <c r="Q110" s="61">
        <v>1</v>
      </c>
      <c r="R110" s="61">
        <v>1</v>
      </c>
      <c r="Y110" s="15">
        <v>4</v>
      </c>
      <c r="Z110" s="61" t="s">
        <v>252</v>
      </c>
      <c r="AA110" s="60" t="str" cm="1">
        <f t="array" ref="AA110">IF(VLOOKUP(Z110,$AI$1:$AJ$58,2,FALSE)&gt;=Y110,INDEX(tblDisciplines[Name],MATCH(1,(tblDisciplines[Discipline]=Z110)*(tblDisciplines[Rank]=Y110),0)),"")</f>
        <v>Transmutation 4</v>
      </c>
    </row>
    <row r="111" spans="1:27">
      <c r="A111" s="1" t="s">
        <v>110</v>
      </c>
      <c r="B111" t="str">
        <f>IF($P$73&gt;=4,"●","○") &amp; IF(F229&lt;&gt;""," (" &amp; F229 &amp; ")","")</f>
        <v>○</v>
      </c>
      <c r="D111" s="19"/>
      <c r="E111" s="15" t="s">
        <v>1456</v>
      </c>
      <c r="F111" s="3"/>
      <c r="G111" s="60" t="str">
        <f>IFERROR(VLOOKUP(F111,tblManoeuvre[],2,FALSE)&amp;" "&amp;VLOOKUP(F111,tblManoeuvre[],3,FALSE),"")</f>
        <v/>
      </c>
      <c r="H111" s="67" t="str">
        <f>IFERROR(IF(VLOOKUP(F111,tblManoeuvre[],8,FALSE)=0,"None",VLOOKUP(F111,tblManoeuvre[],8,FALSE)),"None")</f>
        <v>None</v>
      </c>
      <c r="I111" s="67"/>
      <c r="L111" s="4"/>
      <c r="M111" s="4"/>
      <c r="N111" s="4"/>
      <c r="O111" s="61">
        <f t="shared" si="16"/>
        <v>0</v>
      </c>
      <c r="P111" s="60">
        <f t="shared" si="17"/>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t="str">
        <f>IFERROR(VLOOKUP(F112,tblManoeuvre[],2,FALSE)&amp;" "&amp;VLOOKUP(F112,tblManoeuvre[],3,FALSE),"")</f>
        <v/>
      </c>
      <c r="H112" s="67" t="str">
        <f>IFERROR(IF(VLOOKUP(F112,tblManoeuvre[],8,FALSE)=0,"None",VLOOKUP(F112,tblManoeuvre[],8,FALSE)),"None")</f>
        <v>None</v>
      </c>
      <c r="I112" s="67"/>
      <c r="L112" s="4"/>
      <c r="M112" s="4"/>
      <c r="N112" s="4"/>
      <c r="O112" s="61">
        <f t="shared" si="16"/>
        <v>0</v>
      </c>
      <c r="P112" s="60">
        <f t="shared" si="17"/>
        <v>0</v>
      </c>
      <c r="Q112" s="61">
        <v>1</v>
      </c>
      <c r="R112" s="61">
        <v>1</v>
      </c>
      <c r="Y112" s="61" t="s">
        <v>1474</v>
      </c>
      <c r="Z112" s="61" t="str">
        <f t="shared" ref="Z112:Z121" si="18">G194</f>
        <v>Cruac</v>
      </c>
      <c r="AA112" s="60" t="str">
        <f t="shared" ref="AA112:AA121" si="19">IF(P194="","",F194)</f>
        <v>Mantle of Amorous Fire</v>
      </c>
    </row>
    <row r="113" spans="1:27">
      <c r="A113" s="1" t="s">
        <v>112</v>
      </c>
      <c r="B113" t="str">
        <f>IF($P$73&gt;=2,"●","○") &amp; IF(F231&lt;&gt;""," (" &amp; F231 &amp; ")","")</f>
        <v>●</v>
      </c>
      <c r="D113" s="19"/>
      <c r="E113" s="15" t="s">
        <v>1458</v>
      </c>
      <c r="F113" s="3"/>
      <c r="G113" s="60" t="str">
        <f>IFERROR(VLOOKUP(F113,tblManoeuvre[],2,FALSE)&amp;" "&amp;VLOOKUP(F113,tblManoeuvre[],3,FALSE),"")</f>
        <v/>
      </c>
      <c r="H113" s="67" t="str">
        <f>IFERROR(IF(VLOOKUP(F113,tblManoeuvre[],8,FALSE)=0,"None",VLOOKUP(F113,tblManoeuvre[],8,FALSE)),"None")</f>
        <v>None</v>
      </c>
      <c r="I113" s="67"/>
      <c r="L113" s="4"/>
      <c r="M113" s="4"/>
      <c r="N113" s="4"/>
      <c r="O113" s="61">
        <f t="shared" si="16"/>
        <v>0</v>
      </c>
      <c r="P113" s="60">
        <f t="shared" si="17"/>
        <v>0</v>
      </c>
      <c r="Q113" s="61">
        <v>1</v>
      </c>
      <c r="R113" s="61">
        <v>1</v>
      </c>
      <c r="Y113" s="61" t="s">
        <v>1474</v>
      </c>
      <c r="Z113" s="61" t="str">
        <f t="shared" si="18"/>
        <v>Cruac</v>
      </c>
      <c r="AA113" s="60" t="str">
        <f t="shared" si="19"/>
        <v>Wisdom of the Soul</v>
      </c>
    </row>
    <row r="114" spans="1:27">
      <c r="A114" s="1" t="s">
        <v>113</v>
      </c>
      <c r="B114" t="str">
        <f>IF($P$73&gt;=1,"●","○") &amp; IF(F232&lt;&gt;""," (" &amp; F232 &amp; ")","")</f>
        <v>●</v>
      </c>
      <c r="D114" s="19"/>
      <c r="E114" s="15" t="s">
        <v>1460</v>
      </c>
      <c r="F114" s="3"/>
      <c r="G114" s="60" t="str">
        <f>IFERROR(VLOOKUP(F114,tblManoeuvre[],2,FALSE)&amp;" "&amp;VLOOKUP(F114,tblManoeuvre[],3,FALSE),"")</f>
        <v/>
      </c>
      <c r="H114" s="67" t="str">
        <f>IFERROR(IF(VLOOKUP(F114,tblManoeuvre[],8,FALSE)=0,"None",VLOOKUP(F114,tblManoeuvre[],8,FALSE)),"None")</f>
        <v>None</v>
      </c>
      <c r="I114" s="67"/>
      <c r="L114" s="4"/>
      <c r="M114" s="4"/>
      <c r="N114" s="4"/>
      <c r="O114" s="61">
        <f t="shared" si="16"/>
        <v>0</v>
      </c>
      <c r="P114" s="60">
        <f t="shared" si="17"/>
        <v>0</v>
      </c>
      <c r="Q114" s="61">
        <v>1</v>
      </c>
      <c r="R114" s="61">
        <v>1</v>
      </c>
      <c r="Y114" s="61" t="s">
        <v>1474</v>
      </c>
      <c r="Z114" s="61" t="str">
        <f t="shared" si="18"/>
        <v>Cruac</v>
      </c>
      <c r="AA114" s="60" t="str">
        <f t="shared" si="19"/>
        <v>Deflection of Wooden Doom</v>
      </c>
    </row>
    <row r="115" spans="1:27">
      <c r="A115" s="1" t="s">
        <v>114</v>
      </c>
      <c r="B115" t="str">
        <f t="shared" ref="B115:B144" si="20">IF(AD2="","¬",AD2)</f>
        <v>Closed Book ●●●</v>
      </c>
      <c r="D115" s="19"/>
      <c r="E115" s="15" t="s">
        <v>1461</v>
      </c>
      <c r="F115" s="3"/>
      <c r="G115" s="60" t="str">
        <f>IFERROR(VLOOKUP(F115,tblManoeuvre[],2,FALSE)&amp;" "&amp;VLOOKUP(F115,tblManoeuvre[],3,FALSE),"")</f>
        <v/>
      </c>
      <c r="H115" s="67" t="str">
        <f>IFERROR(IF(VLOOKUP(F115,tblManoeuvre[],8,FALSE)=0,"None",VLOOKUP(F115,tblManoeuvre[],8,FALSE)),"None")</f>
        <v>None</v>
      </c>
      <c r="I115" s="67"/>
      <c r="L115" s="4"/>
      <c r="M115" s="4"/>
      <c r="N115" s="4"/>
      <c r="O115" s="61">
        <f t="shared" si="16"/>
        <v>0</v>
      </c>
      <c r="P115" s="60">
        <f t="shared" si="17"/>
        <v>0</v>
      </c>
      <c r="Q115" s="61">
        <v>1</v>
      </c>
      <c r="R115" s="61">
        <v>1</v>
      </c>
      <c r="Y115" s="61" t="s">
        <v>1474</v>
      </c>
      <c r="Z115" s="61" t="str">
        <f t="shared" si="18"/>
        <v>Cruac</v>
      </c>
      <c r="AA115" s="60" t="str">
        <f t="shared" si="19"/>
        <v>Willful Vitae</v>
      </c>
    </row>
    <row r="116" spans="1:27">
      <c r="A116" s="1" t="s">
        <v>115</v>
      </c>
      <c r="B116" t="str">
        <f t="shared" si="20"/>
        <v>Eidetic Memory ●</v>
      </c>
      <c r="D116" s="19"/>
      <c r="E116" s="15" t="s">
        <v>1462</v>
      </c>
      <c r="F116" s="3"/>
      <c r="G116" s="60" t="str">
        <f>IFERROR(VLOOKUP(F116,tblManoeuvre[],2,FALSE)&amp;" "&amp;VLOOKUP(F116,tblManoeuvre[],3,FALSE),"")</f>
        <v/>
      </c>
      <c r="H116" s="67" t="str">
        <f>IFERROR(IF(VLOOKUP(F116,tblManoeuvre[],8,FALSE)=0,"None",VLOOKUP(F116,tblManoeuvre[],8,FALSE)),"None")</f>
        <v>None</v>
      </c>
      <c r="I116" s="67"/>
      <c r="L116" s="4"/>
      <c r="M116" s="4"/>
      <c r="N116" s="4"/>
      <c r="O116" s="61">
        <f t="shared" si="16"/>
        <v>0</v>
      </c>
      <c r="P116" s="60">
        <f t="shared" si="17"/>
        <v>0</v>
      </c>
      <c r="Q116" s="61">
        <v>1</v>
      </c>
      <c r="R116" s="61">
        <v>1</v>
      </c>
      <c r="Y116" s="61" t="s">
        <v>1474</v>
      </c>
      <c r="Z116" s="61" t="str">
        <f t="shared" si="18"/>
        <v/>
      </c>
      <c r="AA116" s="60" t="str">
        <f t="shared" si="19"/>
        <v/>
      </c>
    </row>
    <row r="117" spans="1:27">
      <c r="A117" s="1" t="s">
        <v>116</v>
      </c>
      <c r="B117" t="str">
        <f t="shared" si="20"/>
        <v>Empath ●●</v>
      </c>
      <c r="D117" s="19"/>
      <c r="E117" s="15" t="s">
        <v>1463</v>
      </c>
      <c r="F117" s="3"/>
      <c r="G117" s="60" t="str">
        <f>IFERROR(VLOOKUP(F117,tblManoeuvre[],2,FALSE)&amp;" "&amp;VLOOKUP(F117,tblManoeuvre[],3,FALSE),"")</f>
        <v/>
      </c>
      <c r="H117" s="67" t="str">
        <f>IFERROR(IF(VLOOKUP(F117,tblManoeuvre[],8,FALSE)=0,"None",VLOOKUP(F117,tblManoeuvre[],8,FALSE)),"None")</f>
        <v>None</v>
      </c>
      <c r="I117" s="67"/>
      <c r="L117" s="4"/>
      <c r="M117" s="4"/>
      <c r="N117" s="4"/>
      <c r="O117" s="61">
        <f t="shared" si="16"/>
        <v>0</v>
      </c>
      <c r="P117" s="60">
        <f t="shared" si="17"/>
        <v>0</v>
      </c>
      <c r="Q117" s="61">
        <v>1</v>
      </c>
      <c r="R117" s="61">
        <v>1</v>
      </c>
      <c r="Y117" s="61" t="s">
        <v>1474</v>
      </c>
      <c r="Z117" s="61" t="str">
        <f t="shared" si="18"/>
        <v/>
      </c>
      <c r="AA117" s="60" t="str">
        <f t="shared" si="19"/>
        <v/>
      </c>
    </row>
    <row r="118" spans="1:27">
      <c r="A118" s="1" t="s">
        <v>117</v>
      </c>
      <c r="B118" t="str">
        <f t="shared" si="20"/>
        <v>Indomitable ●●</v>
      </c>
      <c r="D118" s="19"/>
      <c r="E118" s="15" t="s">
        <v>1464</v>
      </c>
      <c r="F118" s="3"/>
      <c r="G118" s="60" t="str">
        <f>IFERROR(VLOOKUP(F118,tblManoeuvre[],2,FALSE)&amp;" "&amp;VLOOKUP(F118,tblManoeuvre[],3,FALSE),"")</f>
        <v/>
      </c>
      <c r="H118" s="67" t="str">
        <f>IFERROR(IF(VLOOKUP(F118,tblManoeuvre[],8,FALSE)=0,"None",VLOOKUP(F118,tblManoeuvre[],8,FALSE)),"None")</f>
        <v>None</v>
      </c>
      <c r="I118" s="67"/>
      <c r="L118" s="4"/>
      <c r="M118" s="4"/>
      <c r="N118" s="4"/>
      <c r="O118" s="61">
        <f t="shared" si="16"/>
        <v>0</v>
      </c>
      <c r="P118" s="60">
        <f t="shared" si="17"/>
        <v>0</v>
      </c>
      <c r="Q118" s="61">
        <v>1</v>
      </c>
      <c r="R118" s="61">
        <v>1</v>
      </c>
      <c r="Y118" s="61" t="s">
        <v>1474</v>
      </c>
      <c r="Z118" s="61" t="str">
        <f t="shared" si="18"/>
        <v/>
      </c>
      <c r="AA118" s="60" t="str">
        <f t="shared" si="19"/>
        <v/>
      </c>
    </row>
    <row r="119" spans="1:27">
      <c r="A119" s="1" t="s">
        <v>118</v>
      </c>
      <c r="B119" t="str">
        <f t="shared" si="20"/>
        <v>Mandragora Garden (Shared (Ivana)) ●●●</v>
      </c>
      <c r="D119" s="19"/>
      <c r="E119" s="15" t="s">
        <v>1466</v>
      </c>
      <c r="F119" s="3"/>
      <c r="G119" s="60" t="str">
        <f>IFERROR(VLOOKUP(F119,tblManoeuvre[],2,FALSE)&amp;" "&amp;VLOOKUP(F119,tblManoeuvre[],3,FALSE),"")</f>
        <v/>
      </c>
      <c r="H119" s="67" t="str">
        <f>IFERROR(IF(VLOOKUP(F119,tblManoeuvre[],8,FALSE)=0,"None",VLOOKUP(F119,tblManoeuvre[],8,FALSE)),"None")</f>
        <v>None</v>
      </c>
      <c r="I119" s="67"/>
      <c r="L119" s="4"/>
      <c r="M119" s="4"/>
      <c r="N119" s="4"/>
      <c r="O119" s="61">
        <f t="shared" si="16"/>
        <v>0</v>
      </c>
      <c r="P119" s="60">
        <f t="shared" si="17"/>
        <v>0</v>
      </c>
      <c r="Q119" s="61">
        <v>1</v>
      </c>
      <c r="R119" s="61">
        <v>1</v>
      </c>
      <c r="Y119" s="61" t="s">
        <v>1474</v>
      </c>
      <c r="Z119" s="61" t="str">
        <f t="shared" si="18"/>
        <v/>
      </c>
      <c r="AA119" s="60" t="str">
        <f t="shared" si="19"/>
        <v/>
      </c>
    </row>
    <row r="120" spans="1:27">
      <c r="A120" s="1" t="s">
        <v>119</v>
      </c>
      <c r="B120" t="str">
        <f t="shared" si="20"/>
        <v>Peacemaker ●●●</v>
      </c>
      <c r="D120" s="19"/>
      <c r="E120" s="15" t="s">
        <v>1468</v>
      </c>
      <c r="F120" s="3"/>
      <c r="G120" s="60" t="str">
        <f>IFERROR(VLOOKUP(F120,tblManoeuvre[],2,FALSE)&amp;" "&amp;VLOOKUP(F120,tblManoeuvre[],3,FALSE),"")</f>
        <v/>
      </c>
      <c r="H120" s="67" t="str">
        <f>IFERROR(IF(VLOOKUP(F120,tblManoeuvre[],8,FALSE)=0,"None",VLOOKUP(F120,tblManoeuvre[],8,FALSE)),"None")</f>
        <v>None</v>
      </c>
      <c r="I120" s="67"/>
      <c r="L120" s="4"/>
      <c r="M120" s="4"/>
      <c r="N120" s="4"/>
      <c r="O120" s="61">
        <f t="shared" si="16"/>
        <v>0</v>
      </c>
      <c r="P120" s="60">
        <f t="shared" si="17"/>
        <v>0</v>
      </c>
      <c r="Q120" s="61">
        <v>1</v>
      </c>
      <c r="R120" s="61">
        <v>1</v>
      </c>
      <c r="Y120" s="61" t="s">
        <v>1474</v>
      </c>
      <c r="Z120" s="61" t="str">
        <f t="shared" si="18"/>
        <v/>
      </c>
      <c r="AA120" s="60" t="str">
        <f t="shared" si="19"/>
        <v/>
      </c>
    </row>
    <row r="121" spans="1:27">
      <c r="A121" s="1" t="s">
        <v>120</v>
      </c>
      <c r="B121" t="str">
        <f t="shared" si="20"/>
        <v>Secret Society Junkie ●</v>
      </c>
      <c r="Y121" s="61" t="s">
        <v>1474</v>
      </c>
      <c r="Z121" s="61" t="str">
        <f t="shared" si="18"/>
        <v/>
      </c>
      <c r="AA121" s="60" t="str">
        <f t="shared" si="19"/>
        <v/>
      </c>
    </row>
    <row r="122" spans="1:27" ht="15.75" thickBot="1">
      <c r="A122" s="1" t="s">
        <v>121</v>
      </c>
      <c r="B122" t="str">
        <f t="shared" si="20"/>
        <v>Table Turner ●</v>
      </c>
      <c r="D122" s="14" t="s">
        <v>1475</v>
      </c>
      <c r="E122" s="14"/>
      <c r="F122" s="14"/>
      <c r="G122" s="14"/>
      <c r="H122" s="14"/>
      <c r="I122" s="14"/>
    </row>
    <row r="123" spans="1:27">
      <c r="A123" s="1" t="s">
        <v>122</v>
      </c>
      <c r="B123" t="str">
        <f t="shared" si="20"/>
        <v>¬</v>
      </c>
      <c r="D123" s="16" t="s">
        <v>927</v>
      </c>
      <c r="E123" s="17"/>
      <c r="F123" s="17"/>
      <c r="G123" s="17"/>
      <c r="H123" s="17"/>
      <c r="I123" s="17"/>
      <c r="Y123" s="15" t="s">
        <v>1476</v>
      </c>
      <c r="Z123" s="19"/>
      <c r="AA123" s="61" t="str">
        <f t="shared" ref="AA123:AA132" si="21">_xlfn.LET(_xlpm.name,VLOOKUP(Y123,$E$2:$F$362,2,FALSE),_xlpm.paid,_xlfn.IFNA(VLOOKUP(_xlpm.name,$F$121:$Q$215,11,FALSE)&gt;=VLOOKUP(_xlpm.name,$F$121:$Q$215,12,FALSE),FALSE),IF(AND(_xlpm.name&lt;&gt;"",_xlpm.paid),_xlpm.name,""))</f>
        <v>Oath of the Safe Word</v>
      </c>
    </row>
    <row r="124" spans="1:27">
      <c r="A124" s="1" t="s">
        <v>123</v>
      </c>
      <c r="B124" t="str">
        <f t="shared" si="20"/>
        <v>¬</v>
      </c>
      <c r="D124" s="19"/>
      <c r="E124" s="15" t="s">
        <v>83</v>
      </c>
      <c r="F124" s="19"/>
      <c r="G124" s="19"/>
      <c r="H124" s="19"/>
      <c r="I124" s="19"/>
      <c r="L124" s="4">
        <v>1</v>
      </c>
      <c r="M124" s="61">
        <f>IFERROR(VLOOKUP(G13,tblEffectiveStatus[#Data],2,FALSE),0)</f>
        <v>0</v>
      </c>
      <c r="P124" s="60">
        <f>MIN(L124+M124,R124)</f>
        <v>1</v>
      </c>
      <c r="R124" s="61">
        <v>10</v>
      </c>
      <c r="Y124" s="15" t="s">
        <v>1477</v>
      </c>
      <c r="Z124" s="19"/>
      <c r="AA124" s="61" t="str">
        <f t="shared" si="21"/>
        <v/>
      </c>
    </row>
    <row r="125" spans="1:27">
      <c r="A125" s="1" t="s">
        <v>124</v>
      </c>
      <c r="B125" t="str">
        <f t="shared" si="20"/>
        <v>¬</v>
      </c>
      <c r="D125" s="19"/>
      <c r="E125" s="15" t="str">
        <f>IF(F7="","Clan Status",F7&amp;" Status")</f>
        <v>Mekhet Status</v>
      </c>
      <c r="F125" s="19"/>
      <c r="G125" s="19"/>
      <c r="H125" s="19"/>
      <c r="I125" s="19"/>
      <c r="L125" s="4">
        <v>3</v>
      </c>
      <c r="P125" s="60">
        <f>IF(L125="",0,MIN(L125,R125))</f>
        <v>3</v>
      </c>
      <c r="R125" s="61">
        <v>5</v>
      </c>
      <c r="Y125" s="15" t="s">
        <v>1478</v>
      </c>
      <c r="Z125" s="19"/>
      <c r="AA125" s="61" t="str">
        <f t="shared" si="21"/>
        <v/>
      </c>
    </row>
    <row r="126" spans="1:27">
      <c r="A126" s="1" t="s">
        <v>125</v>
      </c>
      <c r="B126" t="str">
        <f t="shared" si="20"/>
        <v>¬</v>
      </c>
      <c r="D126" s="19"/>
      <c r="E126" s="15" t="str">
        <f>IF(F9="","",F9&amp;" Status")</f>
        <v>Circle of the Crone Status</v>
      </c>
      <c r="F126" s="19" t="str">
        <f>IF(F9="","",VLOOKUP(F9,tblCovenantShortName[#Data],2,FALSE))</f>
        <v>Crone</v>
      </c>
      <c r="G126" s="19"/>
      <c r="H126" s="19"/>
      <c r="I126" s="19"/>
      <c r="L126" s="4">
        <v>3</v>
      </c>
      <c r="P126" s="60">
        <f>L126</f>
        <v>3</v>
      </c>
      <c r="R126" s="61">
        <f>5-SUM(L127:L129)</f>
        <v>4</v>
      </c>
      <c r="Y126" s="15" t="s">
        <v>1479</v>
      </c>
      <c r="Z126" s="19"/>
      <c r="AA126" s="61" t="str">
        <f t="shared" si="21"/>
        <v/>
      </c>
    </row>
    <row r="127" spans="1:27">
      <c r="A127" s="1" t="s">
        <v>126</v>
      </c>
      <c r="B127" t="str">
        <f t="shared" si="20"/>
        <v>¬</v>
      </c>
      <c r="D127" s="19"/>
      <c r="E127" s="15" t="str" cm="1">
        <f t="array" ref="E127">IF(F9="","",IFERROR(INDEX(Lists!$F$2:$F$5,SMALL(IF(Lists!$F$2:$F$5&lt;&gt;$F$9,ROW(Lists!$F$2:$F$5)-ROW(Lists!$F$2)+1),1))&amp;" Status",""))</f>
        <v>Carthian Movement Status</v>
      </c>
      <c r="F127" s="19" t="str" cm="1">
        <f t="array" ref="F127">IF(F9="","",IFERROR(VLOOKUP(INDEX(Lists!$F$2:$F$5,SMALL(IF(Lists!$F$2:$F$5&lt;&gt;$F$9,ROW(Lists!$F$2:$F$5)-ROW(Lists!$F$2)+1),1)),tblCovenantShortName[],2,FALSE),""))</f>
        <v>Carthian</v>
      </c>
      <c r="G127" s="19"/>
      <c r="H127" s="19"/>
      <c r="I127" s="19"/>
      <c r="L127" s="4"/>
      <c r="P127" s="60">
        <f>L127</f>
        <v>0</v>
      </c>
      <c r="R127" s="61">
        <f>MAX(0,MIN(P126-1,5-L126-L128-L129))</f>
        <v>1</v>
      </c>
      <c r="Y127" s="15" t="s">
        <v>1480</v>
      </c>
      <c r="Z127" s="19"/>
      <c r="AA127" s="61" t="str">
        <f t="shared" si="21"/>
        <v/>
      </c>
    </row>
    <row r="128" spans="1:27">
      <c r="A128" s="1" t="s">
        <v>127</v>
      </c>
      <c r="B128" t="str">
        <f t="shared" si="20"/>
        <v>¬</v>
      </c>
      <c r="D128" s="19"/>
      <c r="E128" s="15" t="str" cm="1">
        <f t="array" ref="E128">IF(F9="","",IFERROR(INDEX(Lists!$F$2:$F$5,SMALL(IF(Lists!$F$2:$F$5&lt;&gt;$F$9,ROW(Lists!$F$2:$F$5)-ROW(Lists!$F$2)+1),2))&amp;" Status",""))</f>
        <v>Invictus Status</v>
      </c>
      <c r="F128" s="19" t="str" cm="1">
        <f t="array" ref="F128">IF(F9="","",IFERROR(VLOOKUP(INDEX(Lists!$F$2:$F$5,SMALL(IF(Lists!$F$2:$F$5&lt;&gt;$F$9,ROW(Lists!$F$2:$F$5)-ROW(Lists!$F$2)+1),2)),tblCovenantShortName[],2,FALSE),""))</f>
        <v>Invictus</v>
      </c>
      <c r="G128" s="19"/>
      <c r="H128" s="19"/>
      <c r="I128" s="19"/>
      <c r="L128" s="4">
        <v>1</v>
      </c>
      <c r="P128" s="60">
        <f>L128</f>
        <v>1</v>
      </c>
      <c r="R128" s="61">
        <f>MAX(0,MIN(P126-1,5-L126-L127-L129))</f>
        <v>2</v>
      </c>
      <c r="Y128" s="15" t="s">
        <v>1481</v>
      </c>
      <c r="Z128" s="19"/>
      <c r="AA128" s="61" t="str">
        <f t="shared" si="21"/>
        <v/>
      </c>
    </row>
    <row r="129" spans="1:32">
      <c r="A129" s="1" t="s">
        <v>128</v>
      </c>
      <c r="B129" t="str">
        <f t="shared" si="20"/>
        <v>¬</v>
      </c>
      <c r="D129" s="19"/>
      <c r="E129" s="15" t="str" cm="1">
        <f t="array" ref="E129">IF(F9="","",IFERROR(INDEX(Lists!$F$2:$F$5,SMALL(IF(Lists!$F$2:$F$5&lt;&gt;$F$9,ROW(Lists!$F$2:$F$5)-ROW(Lists!$F$2)+1),3))&amp;" Status",""))</f>
        <v>Lancea et Sanctum Status</v>
      </c>
      <c r="F129" s="19" t="str" cm="1">
        <f t="array" ref="F129">IF(F9="","",IFERROR(VLOOKUP(INDEX(Lists!$F$2:$F$5,SMALL(IF(Lists!$F$2:$F$5&lt;&gt;$F$9,ROW(Lists!$F$2:$F$5)-ROW(Lists!$F$2)+1),3)),tblCovenantShortName[],2,FALSE),""))</f>
        <v>Lance</v>
      </c>
      <c r="G129" s="19"/>
      <c r="H129" s="19"/>
      <c r="I129" s="19"/>
      <c r="L129" s="4"/>
      <c r="P129" s="60">
        <f>L129</f>
        <v>0</v>
      </c>
      <c r="R129" s="61">
        <f>MAX(0,MIN(P126-1,5-L126-L127-L128))</f>
        <v>1</v>
      </c>
      <c r="Y129" s="15" t="s">
        <v>1482</v>
      </c>
      <c r="Z129" s="19"/>
      <c r="AA129" s="61" t="str">
        <f t="shared" si="21"/>
        <v/>
      </c>
    </row>
    <row r="130" spans="1:32">
      <c r="A130" s="1" t="s">
        <v>129</v>
      </c>
      <c r="B130" t="str">
        <f t="shared" si="20"/>
        <v>¬</v>
      </c>
      <c r="Y130" s="15" t="s">
        <v>1483</v>
      </c>
      <c r="Z130" s="19"/>
      <c r="AA130" s="61" t="str">
        <f t="shared" si="21"/>
        <v/>
      </c>
    </row>
    <row r="131" spans="1:32">
      <c r="A131" s="1" t="s">
        <v>130</v>
      </c>
      <c r="B131" t="str">
        <f t="shared" si="20"/>
        <v>¬</v>
      </c>
      <c r="D131" s="16" t="s">
        <v>1475</v>
      </c>
      <c r="E131" s="17"/>
      <c r="F131" s="16" t="s">
        <v>1446</v>
      </c>
      <c r="G131" s="17"/>
      <c r="H131" s="17"/>
      <c r="I131" s="17"/>
      <c r="Y131" s="15" t="s">
        <v>1484</v>
      </c>
      <c r="Z131" s="19"/>
      <c r="AA131" s="61" t="str">
        <f t="shared" si="21"/>
        <v/>
      </c>
    </row>
    <row r="132" spans="1:32">
      <c r="A132" s="1" t="s">
        <v>131</v>
      </c>
      <c r="B132" t="str">
        <f t="shared" si="20"/>
        <v>¬</v>
      </c>
      <c r="D132" s="61"/>
      <c r="E132" s="15" t="s">
        <v>94</v>
      </c>
      <c r="F132" s="3" t="s">
        <v>1760</v>
      </c>
      <c r="G132" s="19"/>
      <c r="H132" s="19"/>
      <c r="I132" s="19"/>
      <c r="L132" s="4"/>
      <c r="M132" s="4">
        <v>2</v>
      </c>
      <c r="N132" s="4">
        <v>1</v>
      </c>
      <c r="O132" s="61">
        <f>N132</f>
        <v>1</v>
      </c>
      <c r="P132" s="60">
        <f>MIN(SUM(L132,M132,O132),R132)</f>
        <v>3</v>
      </c>
      <c r="Q132" s="61">
        <f>_xlfn.IFNA(VLOOKUP($E132,tblDomain[],3,FALSE),"")</f>
        <v>1</v>
      </c>
      <c r="R132" s="61">
        <f>_xlfn.IFNA(VLOOKUP($E132,tblDomain[],4,FALSE),"")</f>
        <v>5</v>
      </c>
      <c r="Y132" s="15" t="s">
        <v>1485</v>
      </c>
      <c r="Z132" s="19"/>
      <c r="AA132" s="61" t="str">
        <f t="shared" si="21"/>
        <v/>
      </c>
    </row>
    <row r="133" spans="1:32">
      <c r="A133" s="1" t="s">
        <v>132</v>
      </c>
      <c r="B133" t="str">
        <f t="shared" si="20"/>
        <v>¬</v>
      </c>
      <c r="D133" s="61"/>
      <c r="E133" s="15" t="s">
        <v>95</v>
      </c>
      <c r="F133" s="3" t="s">
        <v>1760</v>
      </c>
      <c r="G133" s="19"/>
      <c r="H133" s="19"/>
      <c r="I133" s="19"/>
      <c r="L133" s="4"/>
      <c r="M133" s="4">
        <v>2</v>
      </c>
      <c r="N133" s="4"/>
      <c r="O133" s="61">
        <f>N133</f>
        <v>0</v>
      </c>
      <c r="P133" s="60">
        <f>MIN(SUM(L133,M133,O133),R133)</f>
        <v>2</v>
      </c>
      <c r="Q133" s="61">
        <f>_xlfn.IFNA(VLOOKUP($E133,tblDomain[],3,FALSE),"")</f>
        <v>1</v>
      </c>
      <c r="R133" s="61">
        <f>_xlfn.IFNA(VLOOKUP($E133,tblDomain[],4,FALSE),"")</f>
        <v>5</v>
      </c>
    </row>
    <row r="134" spans="1:32">
      <c r="A134" s="1" t="s">
        <v>133</v>
      </c>
      <c r="B134" t="str">
        <f t="shared" si="20"/>
        <v>¬</v>
      </c>
      <c r="D134" s="61"/>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2">_xlfn.LET(_xlpm.name,VLOOKUP(Y134,$E$2:$F$362,2,FALSE),_xlpm.note,VLOOKUP(Y134,$E$2:$G$362,3,FALSE),_xlpm.row,MATCH(Y134,$E$138:$E$157,0),_xlpm.dots,INDEX($P$138:$P$157,_xlpm.row),_xlpm.max,INDEX($Q$138:$Q$157,_xlpm.row),_xlpm.paid,_xlfn.IFNA(_xlpm.dots&gt;=_xlpm.max,FALSE),IF(AND(_xlpm.name&lt;&gt;"",_xlpm.paid),IF(_xlpm.note="",_xlpm.name,_xlpm.name&amp;" ("&amp;_xlpm.note&amp;")"),""))</f>
        <v>Resources</v>
      </c>
      <c r="AC134" s="60" t="str" cm="1">
        <f t="array" ref="AC134">_xlfn.LET(_xlpm.raw,IFERROR(_xlfn.VSTACK(IFERROR(_xlfn._xlws.SORT(_xlfn._xlws.FILTER(AA134:AA211,AA134:AA211&lt;&gt;"")),""),IFERROR(_xlfn._xlws.SORT(_xlfn._xlws.FILTER(AA213:AA222,AA213:AA222&lt;&gt;"")),"")),""),_xlpm.sorted,IFERROR(_xlfn._xlws.FILTER(_xlpm.raw,_xlpm.raw&lt;&gt;""),""),IFERROR(LEFT(_xlpm.sorted,FIND(" (",_xlpm.sorted)-1),_xlpm.sorted))</f>
        <v>Resources</v>
      </c>
      <c r="AD134" s="20" t="str" cm="1">
        <f t="array" ref="AD134">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
      </c>
      <c r="AE134" s="20">
        <f t="shared" ref="AE134:AE153" si="23">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2</v>
      </c>
      <c r="AF134" s="61" cm="1">
        <f t="array" ref="AF134">IF(AC134="","",SUMPRODUCT(($F$138:$F$157=AC134)*($G$138:$G$157=IF(AD134="","",AD134))*$P$138:$P$157))</f>
        <v>5</v>
      </c>
    </row>
    <row r="135" spans="1:32">
      <c r="A135" s="1" t="s">
        <v>134</v>
      </c>
      <c r="B135" t="str">
        <f t="shared" si="20"/>
        <v>¬</v>
      </c>
      <c r="D135" s="61" t="s">
        <v>1575</v>
      </c>
      <c r="E135" s="15" t="s">
        <v>97</v>
      </c>
      <c r="F135" s="19"/>
      <c r="G135" s="19"/>
      <c r="H135" s="19"/>
      <c r="I135" s="19"/>
      <c r="L135" s="4"/>
      <c r="M135" s="4">
        <v>5</v>
      </c>
      <c r="N135" s="4"/>
      <c r="O135" s="61">
        <f>N135</f>
        <v>0</v>
      </c>
      <c r="P135" s="60">
        <f>MIN(SUM(L135,M135,O135),R135)</f>
        <v>5</v>
      </c>
      <c r="Q135" s="61">
        <f>_xlfn.IFNA(VLOOKUP($E135,tblDomain[],3,FALSE),"")</f>
        <v>1</v>
      </c>
      <c r="R135" s="61">
        <f>_xlfn.IFNA(VLOOKUP($E135,tblDomain[],4,FALSE),"")</f>
        <v>5</v>
      </c>
      <c r="Y135" s="15" t="s">
        <v>177</v>
      </c>
      <c r="Z135" s="19"/>
      <c r="AA135" s="61" t="str">
        <f t="shared" si="22"/>
        <v/>
      </c>
      <c r="AC135" s="60"/>
      <c r="AD135" s="20"/>
      <c r="AE135" s="20" t="str">
        <f t="shared" si="23"/>
        <v/>
      </c>
      <c r="AF135" s="61" t="str" cm="1">
        <f t="array" ref="AF135">IF(AC135="","",SUMPRODUCT(($F$138:$F$157=AC135)*($G$138:$G$157=IF(AD135="","",AD135))*$P$138:$P$157))</f>
        <v/>
      </c>
    </row>
    <row r="136" spans="1:32">
      <c r="A136" s="1" t="s">
        <v>135</v>
      </c>
      <c r="B136" t="str">
        <f t="shared" si="20"/>
        <v>¬</v>
      </c>
      <c r="Y136" s="15" t="s">
        <v>178</v>
      </c>
      <c r="Z136" s="19"/>
      <c r="AA136" s="61" t="str">
        <f t="shared" si="22"/>
        <v/>
      </c>
      <c r="AC136" s="60"/>
      <c r="AD136" s="20"/>
      <c r="AE136" s="20" t="str">
        <f t="shared" si="23"/>
        <v/>
      </c>
      <c r="AF136" s="61" t="str" cm="1">
        <f t="array" ref="AF136">IF(AC136="","",SUMPRODUCT(($F$138:$F$157=AC136)*($G$138:$G$157=IF(AD136="","",AD136))*$P$138:$P$157))</f>
        <v/>
      </c>
    </row>
    <row r="137" spans="1:32">
      <c r="A137" s="1" t="s">
        <v>136</v>
      </c>
      <c r="B137" t="str">
        <f t="shared" si="20"/>
        <v>¬</v>
      </c>
      <c r="D137" s="16" t="s">
        <v>174</v>
      </c>
      <c r="E137" s="17"/>
      <c r="F137" s="17"/>
      <c r="G137" s="17"/>
      <c r="H137" s="61">
        <f>L225</f>
        <v>0</v>
      </c>
      <c r="I137" s="61">
        <f>SUM(AE134:AE155)+SUM(P125:P129)</f>
        <v>10</v>
      </c>
      <c r="Y137" s="15" t="s">
        <v>179</v>
      </c>
      <c r="Z137" s="19"/>
      <c r="AA137" s="61" t="str">
        <f t="shared" si="22"/>
        <v/>
      </c>
      <c r="AC137" s="60"/>
      <c r="AD137" s="20"/>
      <c r="AE137" s="20" t="str">
        <f t="shared" si="23"/>
        <v/>
      </c>
      <c r="AF137" s="61" t="str" cm="1">
        <f t="array" ref="AF137">IF(AC137="","",SUMPRODUCT(($F$138:$F$157=AC137)*($G$138:$G$157=IF(AD137="","",AD137))*$P$138:$P$157))</f>
        <v/>
      </c>
    </row>
    <row r="138" spans="1:32">
      <c r="A138" s="1" t="s">
        <v>137</v>
      </c>
      <c r="B138" t="str">
        <f t="shared" si="20"/>
        <v>¬</v>
      </c>
      <c r="D138" s="61" t="s">
        <v>1635</v>
      </c>
      <c r="E138" s="15" t="s">
        <v>176</v>
      </c>
      <c r="F138" s="3" t="s">
        <v>525</v>
      </c>
      <c r="G138" s="3"/>
      <c r="H138" s="67" t="str">
        <f>IFERROR(IF(VLOOKUP(F138,tblManoeuvre[],8,FALSE)=0,"None",VLOOKUP(F138,tblManoeuvre[],8,FALSE)),"None")</f>
        <v>None</v>
      </c>
      <c r="I138" s="67"/>
      <c r="L138" s="4"/>
      <c r="M138" s="4">
        <v>5</v>
      </c>
      <c r="N138" s="4"/>
      <c r="O138" s="61">
        <f t="shared" ref="O138:O157" si="24">N138</f>
        <v>0</v>
      </c>
      <c r="P138" s="60">
        <f t="shared" ref="P138:P157" si="25">MIN(SUM(L138,M138,O138),R138)</f>
        <v>5</v>
      </c>
      <c r="Q138" s="61">
        <f>_xlfn.IFNA(VLOOKUP($F138,tblInfluence[],3,FALSE),"")</f>
        <v>1</v>
      </c>
      <c r="R138" s="61">
        <f>_xlfn.IFNA(VLOOKUP($F138,tblInfluence[],4,FALSE),"")</f>
        <v>5</v>
      </c>
      <c r="Y138" s="15" t="s">
        <v>180</v>
      </c>
      <c r="Z138" s="19"/>
      <c r="AA138" s="61" t="str">
        <f t="shared" si="22"/>
        <v/>
      </c>
      <c r="AC138" s="60"/>
      <c r="AD138" s="20"/>
      <c r="AE138" s="20" t="str">
        <f t="shared" si="23"/>
        <v/>
      </c>
      <c r="AF138" s="61" t="str" cm="1">
        <f t="array" ref="AF138">IF(AC138="","",SUMPRODUCT(($F$138:$F$157=AC138)*($G$138:$G$157=IF(AD138="","",AD138))*$P$138:$P$157))</f>
        <v/>
      </c>
    </row>
    <row r="139" spans="1:32">
      <c r="A139" s="1" t="s">
        <v>138</v>
      </c>
      <c r="B139" t="str">
        <f t="shared" si="20"/>
        <v>¬</v>
      </c>
      <c r="D139" s="19"/>
      <c r="E139" s="15" t="s">
        <v>177</v>
      </c>
      <c r="F139" s="3"/>
      <c r="G139" s="3"/>
      <c r="H139" s="67" t="str">
        <f>IFERROR(IF(VLOOKUP(F139,tblManoeuvre[],8,FALSE)=0,"None",VLOOKUP(F139,tblManoeuvre[],8,FALSE)),"None")</f>
        <v>None</v>
      </c>
      <c r="I139" s="67"/>
      <c r="L139" s="4"/>
      <c r="M139" s="4"/>
      <c r="N139" s="4"/>
      <c r="O139" s="61">
        <f t="shared" si="24"/>
        <v>0</v>
      </c>
      <c r="P139" s="60">
        <f t="shared" si="25"/>
        <v>0</v>
      </c>
      <c r="Q139" s="61" t="str">
        <f>_xlfn.IFNA(VLOOKUP($F139,tblInfluence[],3,FALSE),"")</f>
        <v/>
      </c>
      <c r="R139" s="61" t="str">
        <f>_xlfn.IFNA(VLOOKUP($F139,tblInfluence[],4,FALSE),"")</f>
        <v/>
      </c>
      <c r="Y139" s="15" t="s">
        <v>181</v>
      </c>
      <c r="Z139" s="19"/>
      <c r="AA139" s="61" t="str">
        <f t="shared" si="22"/>
        <v/>
      </c>
      <c r="AC139" s="60"/>
      <c r="AD139" s="20"/>
      <c r="AE139" s="20" t="str">
        <f t="shared" si="23"/>
        <v/>
      </c>
      <c r="AF139" s="61" t="str" cm="1">
        <f t="array" ref="AF139">IF(AC139="","",SUMPRODUCT(($F$138:$F$157=AC139)*($G$138:$G$157=IF(AD139="","",AD139))*$P$138:$P$157))</f>
        <v/>
      </c>
    </row>
    <row r="140" spans="1:32">
      <c r="A140" s="1" t="s">
        <v>139</v>
      </c>
      <c r="B140" t="str">
        <f t="shared" si="20"/>
        <v>¬</v>
      </c>
      <c r="D140" s="19"/>
      <c r="E140" s="15" t="s">
        <v>178</v>
      </c>
      <c r="F140" s="3"/>
      <c r="G140" s="3"/>
      <c r="H140" s="67" t="str">
        <f>IFERROR(IF(VLOOKUP(F140,tblManoeuvre[],8,FALSE)=0,"None",VLOOKUP(F140,tblManoeuvre[],8,FALSE)),"None")</f>
        <v>None</v>
      </c>
      <c r="I140" s="67"/>
      <c r="L140" s="4"/>
      <c r="M140" s="4"/>
      <c r="N140" s="4"/>
      <c r="O140" s="61">
        <f t="shared" si="24"/>
        <v>0</v>
      </c>
      <c r="P140" s="60">
        <f t="shared" si="25"/>
        <v>0</v>
      </c>
      <c r="Q140" s="61" t="str">
        <f>_xlfn.IFNA(VLOOKUP($F140,tblInfluence[],3,FALSE),"")</f>
        <v/>
      </c>
      <c r="R140" s="61" t="str">
        <f>_xlfn.IFNA(VLOOKUP($F140,tblInfluence[],4,FALSE),"")</f>
        <v/>
      </c>
      <c r="Y140" s="15" t="s">
        <v>182</v>
      </c>
      <c r="Z140" s="19"/>
      <c r="AA140" s="61" t="str">
        <f t="shared" si="22"/>
        <v/>
      </c>
      <c r="AC140" s="60"/>
      <c r="AD140" s="20"/>
      <c r="AE140" s="20" t="str">
        <f t="shared" si="23"/>
        <v/>
      </c>
      <c r="AF140" s="61" t="str" cm="1">
        <f t="array" ref="AF140">IF(AC140="","",SUMPRODUCT(($F$138:$F$157=AC140)*($G$138:$G$157=IF(AD140="","",AD140))*$P$138:$P$157))</f>
        <v/>
      </c>
    </row>
    <row r="141" spans="1:32">
      <c r="A141" s="1" t="s">
        <v>140</v>
      </c>
      <c r="B141" t="str">
        <f t="shared" si="20"/>
        <v>¬</v>
      </c>
      <c r="D141" s="19"/>
      <c r="E141" s="15" t="s">
        <v>179</v>
      </c>
      <c r="F141" s="3"/>
      <c r="G141" s="3"/>
      <c r="H141" s="67" t="str">
        <f>IFERROR(IF(VLOOKUP(F141,tblManoeuvre[],8,FALSE)=0,"None",VLOOKUP(F141,tblManoeuvre[],8,FALSE)),"None")</f>
        <v>None</v>
      </c>
      <c r="I141" s="67"/>
      <c r="L141" s="4"/>
      <c r="M141" s="4"/>
      <c r="N141" s="4"/>
      <c r="O141" s="61">
        <f t="shared" si="24"/>
        <v>0</v>
      </c>
      <c r="P141" s="60">
        <f t="shared" si="25"/>
        <v>0</v>
      </c>
      <c r="Q141" s="61" t="str">
        <f>_xlfn.IFNA(VLOOKUP($F141,tblInfluence[],3,FALSE),"")</f>
        <v/>
      </c>
      <c r="R141" s="61" t="str">
        <f>_xlfn.IFNA(VLOOKUP($F141,tblInfluence[],4,FALSE),"")</f>
        <v/>
      </c>
      <c r="Y141" s="15" t="s">
        <v>183</v>
      </c>
      <c r="Z141" s="19"/>
      <c r="AA141" s="61" t="str">
        <f t="shared" si="22"/>
        <v/>
      </c>
      <c r="AC141" s="60"/>
      <c r="AD141" s="20"/>
      <c r="AE141" s="20" t="str">
        <f t="shared" si="23"/>
        <v/>
      </c>
      <c r="AF141" s="61" t="str" cm="1">
        <f t="array" ref="AF141">IF(AC141="","",SUMPRODUCT(($F$138:$F$157=AC141)*($G$138:$G$157=IF(AD141="","",AD141))*$P$138:$P$157))</f>
        <v/>
      </c>
    </row>
    <row r="142" spans="1:32">
      <c r="A142" s="1" t="s">
        <v>141</v>
      </c>
      <c r="B142" t="str">
        <f t="shared" si="20"/>
        <v>¬</v>
      </c>
      <c r="D142" s="19"/>
      <c r="E142" s="15" t="s">
        <v>180</v>
      </c>
      <c r="F142" s="3"/>
      <c r="G142" s="3"/>
      <c r="H142" s="67" t="str">
        <f>IFERROR(IF(VLOOKUP(F142,tblManoeuvre[],8,FALSE)=0,"None",VLOOKUP(F142,tblManoeuvre[],8,FALSE)),"None")</f>
        <v>None</v>
      </c>
      <c r="I142" s="67"/>
      <c r="L142" s="4"/>
      <c r="M142" s="4"/>
      <c r="N142" s="4"/>
      <c r="O142" s="61">
        <f t="shared" si="24"/>
        <v>0</v>
      </c>
      <c r="P142" s="60">
        <f t="shared" si="25"/>
        <v>0</v>
      </c>
      <c r="Q142" s="61" t="str">
        <f>_xlfn.IFNA(VLOOKUP($F142,tblInfluence[],3,FALSE),"")</f>
        <v/>
      </c>
      <c r="R142" s="61" t="str">
        <f>_xlfn.IFNA(VLOOKUP($F142,tblInfluence[],4,FALSE),"")</f>
        <v/>
      </c>
      <c r="Y142" s="15" t="s">
        <v>184</v>
      </c>
      <c r="Z142" s="19"/>
      <c r="AA142" s="61" t="str">
        <f t="shared" si="22"/>
        <v/>
      </c>
      <c r="AC142" s="60"/>
      <c r="AD142" s="20"/>
      <c r="AE142" s="20" t="str">
        <f t="shared" si="23"/>
        <v/>
      </c>
      <c r="AF142" s="61" t="str" cm="1">
        <f t="array" ref="AF142">IF(AC142="","",SUMPRODUCT(($F$138:$F$157=AC142)*($G$138:$G$157=IF(AD142="","",AD142))*$P$138:$P$157))</f>
        <v/>
      </c>
    </row>
    <row r="143" spans="1:32">
      <c r="A143" s="1" t="s">
        <v>142</v>
      </c>
      <c r="B143" t="str">
        <f t="shared" si="20"/>
        <v>¬</v>
      </c>
      <c r="D143" s="19"/>
      <c r="E143" s="15" t="s">
        <v>181</v>
      </c>
      <c r="F143" s="3"/>
      <c r="G143" s="3" t="str">
        <f>IFERROR(VLOOKUP(F143,tblManoeuvre[],2,FALSE)&amp;" "&amp;VLOOKUP(F143,tblManoeuvre[],3,FALSE),"")</f>
        <v/>
      </c>
      <c r="H143" s="67" t="str">
        <f>IFERROR(IF(VLOOKUP(F143,tblManoeuvre[],8,FALSE)=0,"None",VLOOKUP(F143,tblManoeuvre[],8,FALSE)),"None")</f>
        <v>None</v>
      </c>
      <c r="I143" s="67"/>
      <c r="L143" s="4"/>
      <c r="M143" s="4"/>
      <c r="N143" s="4"/>
      <c r="O143" s="61">
        <f t="shared" si="24"/>
        <v>0</v>
      </c>
      <c r="P143" s="60">
        <f t="shared" si="25"/>
        <v>0</v>
      </c>
      <c r="Q143" s="61" t="str">
        <f>_xlfn.IFNA(VLOOKUP($F143,tblInfluence[],3,FALSE),"")</f>
        <v/>
      </c>
      <c r="R143" s="61" t="str">
        <f>_xlfn.IFNA(VLOOKUP($F143,tblInfluence[],4,FALSE),"")</f>
        <v/>
      </c>
      <c r="Y143" s="15" t="s">
        <v>185</v>
      </c>
      <c r="Z143" s="19"/>
      <c r="AA143" s="61" t="str">
        <f t="shared" si="22"/>
        <v/>
      </c>
      <c r="AC143" s="60"/>
      <c r="AD143" s="20"/>
      <c r="AE143" s="20" t="str">
        <f t="shared" si="23"/>
        <v/>
      </c>
      <c r="AF143" s="61" t="str" cm="1">
        <f t="array" ref="AF143">IF(AC143="","",SUMPRODUCT(($F$138:$F$157=AC143)*($G$138:$G$157=IF(AD143="","",AD143))*$P$138:$P$157))</f>
        <v/>
      </c>
    </row>
    <row r="144" spans="1:32">
      <c r="A144" s="1" t="s">
        <v>143</v>
      </c>
      <c r="B144" t="str">
        <f t="shared" si="20"/>
        <v>¬</v>
      </c>
      <c r="D144" s="19"/>
      <c r="E144" s="15" t="s">
        <v>182</v>
      </c>
      <c r="F144" s="3"/>
      <c r="G144" s="3"/>
      <c r="H144" s="67" t="str">
        <f>IFERROR(IF(VLOOKUP(F144,tblManoeuvre[],8,FALSE)=0,"None",VLOOKUP(F144,tblManoeuvre[],8,FALSE)),"None")</f>
        <v>None</v>
      </c>
      <c r="I144" s="67"/>
      <c r="L144" s="4"/>
      <c r="M144" s="4"/>
      <c r="N144" s="4"/>
      <c r="O144" s="61">
        <f t="shared" si="24"/>
        <v>0</v>
      </c>
      <c r="P144" s="60">
        <f t="shared" si="25"/>
        <v>0</v>
      </c>
      <c r="Q144" s="61" t="str">
        <f>_xlfn.IFNA(VLOOKUP($F144,tblInfluence[],3,FALSE),"")</f>
        <v/>
      </c>
      <c r="R144" s="61" t="str">
        <f>_xlfn.IFNA(VLOOKUP($F144,tblInfluence[],4,FALSE),"")</f>
        <v/>
      </c>
      <c r="Y144" s="15" t="s">
        <v>186</v>
      </c>
      <c r="Z144" s="19"/>
      <c r="AA144" s="61" t="str">
        <f t="shared" si="22"/>
        <v/>
      </c>
      <c r="AC144" s="60"/>
      <c r="AD144" s="20"/>
      <c r="AE144" s="20" t="str">
        <f t="shared" si="23"/>
        <v/>
      </c>
      <c r="AF144" s="61" t="str" cm="1">
        <f t="array" ref="AF144">IF(AC144="","",SUMPRODUCT(($F$138:$F$157=AC144)*($G$138:$G$157=IF(AD144="","",AD144))*$P$138:$P$157))</f>
        <v/>
      </c>
    </row>
    <row r="145" spans="1:32">
      <c r="A145" s="1" t="s">
        <v>144</v>
      </c>
      <c r="B145" t="str">
        <f t="shared" ref="B145:B174" si="26">IF(AF2="","¬",AF2)</f>
        <v>Add dots to Doors and as bonus to contest Social assessments.</v>
      </c>
      <c r="D145" s="19"/>
      <c r="E145" s="15" t="s">
        <v>183</v>
      </c>
      <c r="F145" s="3"/>
      <c r="G145" s="3" t="str">
        <f>IFERROR(VLOOKUP(F145,tblManoeuvre[],2,FALSE)&amp;" "&amp;VLOOKUP(F145,tblManoeuvre[],3,FALSE),"")</f>
        <v/>
      </c>
      <c r="H145" s="67" t="str">
        <f>IFERROR(IF(VLOOKUP(F145,tblManoeuvre[],8,FALSE)=0,"None",VLOOKUP(F145,tblManoeuvre[],8,FALSE)),"None")</f>
        <v>None</v>
      </c>
      <c r="I145" s="67"/>
      <c r="L145" s="4"/>
      <c r="M145" s="4"/>
      <c r="N145" s="4"/>
      <c r="O145" s="61">
        <f t="shared" si="24"/>
        <v>0</v>
      </c>
      <c r="P145" s="60">
        <f t="shared" si="25"/>
        <v>0</v>
      </c>
      <c r="Q145" s="61" t="str">
        <f>_xlfn.IFNA(VLOOKUP($F145,tblInfluence[],3,FALSE),"")</f>
        <v/>
      </c>
      <c r="R145" s="61" t="str">
        <f>_xlfn.IFNA(VLOOKUP($F145,tblInfluence[],4,FALSE),"")</f>
        <v/>
      </c>
      <c r="Y145" s="15" t="s">
        <v>187</v>
      </c>
      <c r="Z145" s="19"/>
      <c r="AA145" s="61" t="str">
        <f t="shared" si="22"/>
        <v/>
      </c>
      <c r="AC145" s="60"/>
      <c r="AD145" s="20"/>
      <c r="AE145" s="20" t="str">
        <f t="shared" si="23"/>
        <v/>
      </c>
      <c r="AF145" s="61" t="str" cm="1">
        <f t="array" ref="AF145">IF(AC145="","",SUMPRODUCT(($F$138:$F$157=AC145)*($G$138:$G$157=IF(AD145="","",AD145))*$P$138:$P$157))</f>
        <v/>
      </c>
    </row>
    <row r="146" spans="1:32">
      <c r="A146" s="1" t="s">
        <v>145</v>
      </c>
      <c r="B146" t="str">
        <f t="shared" si="26"/>
        <v>No rolls for recall. +2 to recall minute facts.</v>
      </c>
      <c r="D146" s="19"/>
      <c r="E146" s="15" t="s">
        <v>184</v>
      </c>
      <c r="F146" s="3"/>
      <c r="G146" s="3" t="str">
        <f>IFERROR(VLOOKUP(F146,tblManoeuvre[],2,FALSE)&amp;" "&amp;VLOOKUP(F146,tblManoeuvre[],3,FALSE),"")</f>
        <v/>
      </c>
      <c r="H146" s="67" t="str">
        <f>IFERROR(IF(VLOOKUP(F146,tblManoeuvre[],8,FALSE)=0,"None",VLOOKUP(F146,tblManoeuvre[],8,FALSE)),"None")</f>
        <v>None</v>
      </c>
      <c r="I146" s="67"/>
      <c r="L146" s="4"/>
      <c r="M146" s="4"/>
      <c r="N146" s="4"/>
      <c r="O146" s="61">
        <f t="shared" si="24"/>
        <v>0</v>
      </c>
      <c r="P146" s="60">
        <f t="shared" si="25"/>
        <v>0</v>
      </c>
      <c r="Q146" s="61" t="str">
        <f>_xlfn.IFNA(VLOOKUP($F146,tblInfluence[],3,FALSE),"")</f>
        <v/>
      </c>
      <c r="R146" s="61" t="str">
        <f>_xlfn.IFNA(VLOOKUP($F146,tblInfluence[],4,FALSE),"")</f>
        <v/>
      </c>
      <c r="Y146" s="15" t="s">
        <v>188</v>
      </c>
      <c r="Z146" s="19"/>
      <c r="AA146" s="61" t="str">
        <f t="shared" si="22"/>
        <v/>
      </c>
      <c r="AC146" s="60"/>
      <c r="AD146" s="20"/>
      <c r="AE146" s="20" t="str">
        <f t="shared" si="23"/>
        <v/>
      </c>
      <c r="AF146" s="61" t="str" cm="1">
        <f t="array" ref="AF146">IF(AC146="","",SUMPRODUCT(($F$138:$F$157=AC146)*($G$138:$G$157=IF(AD146="","",AD146))*$P$138:$P$157))</f>
        <v/>
      </c>
    </row>
    <row r="147" spans="1:32">
      <c r="A147" s="1" t="s">
        <v>146</v>
      </c>
      <c r="B147" t="str">
        <f t="shared" si="26"/>
        <v>Wits + Empathy vs Manipulation + Subterfuge for mental state insight; can open Doors or ease breaking points.</v>
      </c>
      <c r="D147" s="19"/>
      <c r="E147" s="15" t="s">
        <v>185</v>
      </c>
      <c r="F147" s="3"/>
      <c r="G147" s="3" t="str">
        <f>IFERROR(VLOOKUP(F147,tblManoeuvre[],2,FALSE)&amp;" "&amp;VLOOKUP(F147,tblManoeuvre[],3,FALSE),"")</f>
        <v/>
      </c>
      <c r="H147" s="67" t="str">
        <f>IFERROR(IF(VLOOKUP(F147,tblManoeuvre[],8,FALSE)=0,"None",VLOOKUP(F147,tblManoeuvre[],8,FALSE)),"None")</f>
        <v>None</v>
      </c>
      <c r="I147" s="67"/>
      <c r="L147" s="4"/>
      <c r="M147" s="4"/>
      <c r="N147" s="4"/>
      <c r="O147" s="61">
        <f t="shared" si="24"/>
        <v>0</v>
      </c>
      <c r="P147" s="60">
        <f t="shared" si="25"/>
        <v>0</v>
      </c>
      <c r="Q147" s="61" t="str">
        <f>_xlfn.IFNA(VLOOKUP($F147,tblInfluence[],3,FALSE),"")</f>
        <v/>
      </c>
      <c r="R147" s="61" t="str">
        <f>_xlfn.IFNA(VLOOKUP($F147,tblInfluence[],4,FALSE),"")</f>
        <v/>
      </c>
      <c r="Y147" s="15" t="s">
        <v>189</v>
      </c>
      <c r="Z147" s="19"/>
      <c r="AA147" s="61" t="str">
        <f t="shared" si="22"/>
        <v/>
      </c>
      <c r="AC147" s="60"/>
      <c r="AD147" s="20"/>
      <c r="AE147" s="20" t="str">
        <f t="shared" si="23"/>
        <v/>
      </c>
      <c r="AF147" s="61" t="str" cm="1">
        <f t="array" ref="AF147">IF(AC147="","",SUMPRODUCT(($F$138:$F$157=AC147)*($G$138:$G$157=IF(AD147="","",AD147))*$P$138:$P$157))</f>
        <v/>
      </c>
    </row>
    <row r="148" spans="1:32">
      <c r="A148" s="1" t="s">
        <v>147</v>
      </c>
      <c r="B148" t="str">
        <f t="shared" si="26"/>
        <v>+2 to contest or resist supernatural mental influence.</v>
      </c>
      <c r="D148" s="19"/>
      <c r="E148" s="15" t="s">
        <v>186</v>
      </c>
      <c r="F148" s="3"/>
      <c r="G148" s="3" t="str">
        <f>IFERROR(VLOOKUP(F148,tblManoeuvre[],2,FALSE)&amp;" "&amp;VLOOKUP(F148,tblManoeuvre[],3,FALSE),"")</f>
        <v/>
      </c>
      <c r="H148" s="67" t="str">
        <f>IFERROR(IF(VLOOKUP(F148,tblManoeuvre[],8,FALSE)=0,"None",VLOOKUP(F148,tblManoeuvre[],8,FALSE)),"None")</f>
        <v>None</v>
      </c>
      <c r="I148" s="67"/>
      <c r="L148" s="4"/>
      <c r="M148" s="4"/>
      <c r="N148" s="4"/>
      <c r="O148" s="61">
        <f t="shared" si="24"/>
        <v>0</v>
      </c>
      <c r="P148" s="60">
        <f t="shared" si="25"/>
        <v>0</v>
      </c>
      <c r="Q148" s="61" t="str">
        <f>_xlfn.IFNA(VLOOKUP($F148,tblInfluence[],3,FALSE),"")</f>
        <v/>
      </c>
      <c r="R148" s="61" t="str">
        <f>_xlfn.IFNA(VLOOKUP($F148,tblInfluence[],4,FALSE),"")</f>
        <v/>
      </c>
      <c r="Y148" s="15" t="s">
        <v>190</v>
      </c>
      <c r="Z148" s="19"/>
      <c r="AA148" s="61" t="str">
        <f t="shared" si="22"/>
        <v/>
      </c>
      <c r="AC148" s="60"/>
      <c r="AD148" s="20"/>
      <c r="AE148" s="20" t="str">
        <f t="shared" si="23"/>
        <v/>
      </c>
      <c r="AF148" s="61" t="str" cm="1">
        <f t="array" ref="AF148">IF(AC148="","",SUMPRODUCT(($F$138:$F$157=AC148)*($G$138:$G$157=IF(AD148="","",AD148))*$P$138:$P$157))</f>
        <v/>
      </c>
    </row>
    <row r="149" spans="1:32">
      <c r="A149" s="1" t="s">
        <v>148</v>
      </c>
      <c r="B149" t="str">
        <f t="shared" si="26"/>
        <v>Remote Crúac into Safe Place. Add dots to Crúac rolls in garden. Sustain Merit dots in rituals indefinitely (don't count toward Sorcery Tolerance); reduce base cost of Merit dots in rituals by rating. Feed dots in Vitae monthly; produces double in animal blood (costume at game). Attacks provoke frenzy. Can share but not increase yields.</v>
      </c>
      <c r="D149" s="19"/>
      <c r="E149" s="15" t="s">
        <v>187</v>
      </c>
      <c r="F149" s="3"/>
      <c r="G149" s="3" t="str">
        <f>IFERROR(VLOOKUP(F149,tblManoeuvre[],2,FALSE)&amp;" "&amp;VLOOKUP(F149,tblManoeuvre[],3,FALSE),"")</f>
        <v/>
      </c>
      <c r="H149" s="67" t="str">
        <f>IFERROR(IF(VLOOKUP(F149,tblManoeuvre[],8,FALSE)=0,"None",VLOOKUP(F149,tblManoeuvre[],8,FALSE)),"None")</f>
        <v>None</v>
      </c>
      <c r="I149" s="67"/>
      <c r="L149" s="4"/>
      <c r="M149" s="4"/>
      <c r="N149" s="4"/>
      <c r="O149" s="61">
        <f t="shared" si="24"/>
        <v>0</v>
      </c>
      <c r="P149" s="60">
        <f t="shared" si="25"/>
        <v>0</v>
      </c>
      <c r="Q149" s="61" t="str">
        <f>_xlfn.IFNA(VLOOKUP($F149,tblInfluence[],3,FALSE),"")</f>
        <v/>
      </c>
      <c r="R149" s="61" t="str">
        <f>_xlfn.IFNA(VLOOKUP($F149,tblInfluence[],4,FALSE),"")</f>
        <v/>
      </c>
      <c r="Y149" s="15" t="s">
        <v>191</v>
      </c>
      <c r="Z149" s="19"/>
      <c r="AA149" s="61" t="str">
        <f t="shared" si="22"/>
        <v/>
      </c>
      <c r="AC149" s="60"/>
      <c r="AD149" s="20"/>
      <c r="AE149" s="20" t="str">
        <f t="shared" si="23"/>
        <v/>
      </c>
      <c r="AF149" s="61" t="str" cm="1">
        <f t="array" ref="AF149">IF(AC149="","",SUMPRODUCT(($F$138:$F$157=AC149)*($G$138:$G$157=IF(AD149="","",AD149))*$P$138:$P$157))</f>
        <v/>
      </c>
    </row>
    <row r="150" spans="1:32">
      <c r="A150" s="1" t="s">
        <v>149</v>
      </c>
      <c r="B150" t="str">
        <f t="shared" si="26"/>
        <v>Spend Willpower to negotiate peace via Social Manoeuvring. (•••) can talk down supernatural rages.</v>
      </c>
      <c r="D150" s="19"/>
      <c r="E150" s="15" t="s">
        <v>188</v>
      </c>
      <c r="F150" s="3"/>
      <c r="G150" s="3" t="str">
        <f>IFERROR(VLOOKUP(F150,tblManoeuvre[],2,FALSE)&amp;" "&amp;VLOOKUP(F150,tblManoeuvre[],3,FALSE),"")</f>
        <v/>
      </c>
      <c r="H150" s="67" t="str">
        <f>IFERROR(IF(VLOOKUP(F150,tblManoeuvre[],8,FALSE)=0,"None",VLOOKUP(F150,tblManoeuvre[],8,FALSE)),"None")</f>
        <v>None</v>
      </c>
      <c r="I150" s="67"/>
      <c r="L150" s="4"/>
      <c r="M150" s="4"/>
      <c r="N150" s="4"/>
      <c r="O150" s="61">
        <f t="shared" si="24"/>
        <v>0</v>
      </c>
      <c r="P150" s="60">
        <f t="shared" si="25"/>
        <v>0</v>
      </c>
      <c r="Q150" s="61" t="str">
        <f>_xlfn.IFNA(VLOOKUP($F150,tblInfluence[],3,FALSE),"")</f>
        <v/>
      </c>
      <c r="R150" s="61" t="str">
        <f>_xlfn.IFNA(VLOOKUP($F150,tblInfluence[],4,FALSE),"")</f>
        <v/>
      </c>
      <c r="Y150" s="15" t="s">
        <v>192</v>
      </c>
      <c r="Z150" s="19"/>
      <c r="AA150" s="61" t="str">
        <f t="shared" si="22"/>
        <v/>
      </c>
      <c r="AC150" s="60"/>
      <c r="AD150" s="20"/>
      <c r="AE150" s="20" t="str">
        <f t="shared" si="23"/>
        <v/>
      </c>
      <c r="AF150" s="61" t="str" cm="1">
        <f t="array" ref="AF150">IF(AC150="","",SUMPRODUCT(($F$138:$F$157=AC150)*($G$138:$G$157=IF(AD150="","",AD150))*$P$138:$P$157))</f>
        <v/>
      </c>
    </row>
    <row r="151" spans="1:32">
      <c r="A151" s="1" t="s">
        <v>150</v>
      </c>
      <c r="B151" t="str">
        <f t="shared" si="26"/>
        <v>Dots in Status or Mystery Cult Initiation representing human secret societies also count as dots of Herd.</v>
      </c>
      <c r="D151" s="19"/>
      <c r="E151" s="15" t="s">
        <v>189</v>
      </c>
      <c r="F151" s="3"/>
      <c r="G151" s="3" t="str">
        <f>IFERROR(VLOOKUP(F151,tblManoeuvre[],2,FALSE)&amp;" "&amp;VLOOKUP(F151,tblManoeuvre[],3,FALSE),"")</f>
        <v/>
      </c>
      <c r="H151" s="67" t="str">
        <f>IFERROR(IF(VLOOKUP(F151,tblManoeuvre[],8,FALSE)=0,"None",VLOOKUP(F151,tblManoeuvre[],8,FALSE)),"None")</f>
        <v>None</v>
      </c>
      <c r="I151" s="67"/>
      <c r="L151" s="4"/>
      <c r="M151" s="4"/>
      <c r="N151" s="4"/>
      <c r="O151" s="61">
        <f t="shared" si="24"/>
        <v>0</v>
      </c>
      <c r="P151" s="60">
        <f t="shared" si="25"/>
        <v>0</v>
      </c>
      <c r="Q151" s="61" t="str">
        <f>_xlfn.IFNA(VLOOKUP($F151,tblInfluence[],3,FALSE),"")</f>
        <v/>
      </c>
      <c r="R151" s="61" t="str">
        <f>_xlfn.IFNA(VLOOKUP($F151,tblInfluence[],4,FALSE),"")</f>
        <v/>
      </c>
      <c r="Y151" s="15" t="s">
        <v>193</v>
      </c>
      <c r="Z151" s="19"/>
      <c r="AA151" s="61" t="str">
        <f t="shared" si="22"/>
        <v/>
      </c>
      <c r="AC151" s="60"/>
      <c r="AD151" s="20"/>
      <c r="AE151" s="20" t="str">
        <f t="shared" si="23"/>
        <v/>
      </c>
      <c r="AF151" s="61" t="str" cm="1">
        <f t="array" ref="AF151">IF(AC151="","",SUMPRODUCT(($F$138:$F$157=AC151)*($G$138:$G$157=IF(AD151="","",AD151))*$P$138:$P$157))</f>
        <v/>
      </c>
    </row>
    <row r="152" spans="1:32">
      <c r="A152" s="1" t="s">
        <v>151</v>
      </c>
      <c r="B152" t="str">
        <f t="shared" si="26"/>
        <v>Spend Willpower to preempt Social Manoeuvring with your own Social action.</v>
      </c>
      <c r="D152" s="19"/>
      <c r="E152" s="15" t="s">
        <v>190</v>
      </c>
      <c r="F152" s="3"/>
      <c r="G152" s="3" t="str">
        <f>IFERROR(VLOOKUP(F152,tblManoeuvre[],2,FALSE)&amp;" "&amp;VLOOKUP(F152,tblManoeuvre[],3,FALSE),"")</f>
        <v/>
      </c>
      <c r="H152" s="67" t="str">
        <f>IFERROR(IF(VLOOKUP(F152,tblManoeuvre[],8,FALSE)=0,"None",VLOOKUP(F152,tblManoeuvre[],8,FALSE)),"None")</f>
        <v>None</v>
      </c>
      <c r="I152" s="67"/>
      <c r="L152" s="4"/>
      <c r="M152" s="4"/>
      <c r="N152" s="4"/>
      <c r="O152" s="61">
        <f t="shared" si="24"/>
        <v>0</v>
      </c>
      <c r="P152" s="60">
        <f t="shared" si="25"/>
        <v>0</v>
      </c>
      <c r="Q152" s="61" t="str">
        <f>_xlfn.IFNA(VLOOKUP($F152,tblInfluence[],3,FALSE),"")</f>
        <v/>
      </c>
      <c r="R152" s="61" t="str">
        <f>_xlfn.IFNA(VLOOKUP($F152,tblInfluence[],4,FALSE),"")</f>
        <v/>
      </c>
      <c r="Y152" s="15" t="s">
        <v>194</v>
      </c>
      <c r="Z152" s="19"/>
      <c r="AA152" s="61" t="str">
        <f t="shared" si="22"/>
        <v/>
      </c>
      <c r="AC152" s="60"/>
      <c r="AD152" s="20"/>
      <c r="AE152" s="20" t="str">
        <f t="shared" si="23"/>
        <v/>
      </c>
      <c r="AF152" s="61" t="str" cm="1">
        <f t="array" ref="AF152">IF(AC152="","",SUMPRODUCT(($F$138:$F$157=AC152)*($G$138:$G$157=IF(AD152="","",AD152))*$P$138:$P$157))</f>
        <v/>
      </c>
    </row>
    <row r="153" spans="1:32">
      <c r="A153" s="1" t="s">
        <v>152</v>
      </c>
      <c r="B153" t="str">
        <f t="shared" si="26"/>
        <v>¬</v>
      </c>
      <c r="D153" s="19"/>
      <c r="E153" s="15" t="s">
        <v>191</v>
      </c>
      <c r="F153" s="3"/>
      <c r="G153" s="3" t="str">
        <f>IFERROR(VLOOKUP(F153,tblManoeuvre[],2,FALSE)&amp;" "&amp;VLOOKUP(F153,tblManoeuvre[],3,FALSE),"")</f>
        <v/>
      </c>
      <c r="H153" s="67" t="str">
        <f>IFERROR(IF(VLOOKUP(F153,tblManoeuvre[],8,FALSE)=0,"None",VLOOKUP(F153,tblManoeuvre[],8,FALSE)),"None")</f>
        <v>None</v>
      </c>
      <c r="I153" s="67"/>
      <c r="L153" s="4"/>
      <c r="M153" s="4"/>
      <c r="N153" s="4"/>
      <c r="O153" s="61">
        <f t="shared" si="24"/>
        <v>0</v>
      </c>
      <c r="P153" s="60">
        <f t="shared" si="25"/>
        <v>0</v>
      </c>
      <c r="Q153" s="61" t="str">
        <f>_xlfn.IFNA(VLOOKUP($F153,tblInfluence[],3,FALSE),"")</f>
        <v/>
      </c>
      <c r="R153" s="61" t="str">
        <f>_xlfn.IFNA(VLOOKUP($F153,tblInfluence[],4,FALSE),"")</f>
        <v/>
      </c>
      <c r="Y153" s="15" t="s">
        <v>195</v>
      </c>
      <c r="Z153" s="19"/>
      <c r="AA153" s="61" t="str">
        <f t="shared" si="22"/>
        <v/>
      </c>
      <c r="AC153" s="60"/>
      <c r="AD153" s="20"/>
      <c r="AE153" s="20" t="str">
        <f t="shared" si="23"/>
        <v/>
      </c>
      <c r="AF153" s="61" t="str" cm="1">
        <f t="array" ref="AF153">IF(AC153="","",SUMPRODUCT(($F$138:$F$157=AC153)*($G$138:$G$157=IF(AD153="","",AD153))*$P$138:$P$157))</f>
        <v/>
      </c>
    </row>
    <row r="154" spans="1:32">
      <c r="A154" s="1" t="s">
        <v>153</v>
      </c>
      <c r="B154" t="str">
        <f t="shared" si="26"/>
        <v>¬</v>
      </c>
      <c r="D154" s="19"/>
      <c r="E154" s="15" t="s">
        <v>192</v>
      </c>
      <c r="F154" s="3"/>
      <c r="G154" s="3" t="str">
        <f>IFERROR(VLOOKUP(F154,tblManoeuvre[],2,FALSE)&amp;" "&amp;VLOOKUP(F154,tblManoeuvre[],3,FALSE),"")</f>
        <v/>
      </c>
      <c r="H154" s="67" t="str">
        <f>IFERROR(IF(VLOOKUP(F154,tblManoeuvre[],8,FALSE)=0,"None",VLOOKUP(F154,tblManoeuvre[],8,FALSE)),"None")</f>
        <v>None</v>
      </c>
      <c r="I154" s="67"/>
      <c r="L154" s="4"/>
      <c r="M154" s="4"/>
      <c r="N154" s="4"/>
      <c r="O154" s="61">
        <f t="shared" si="24"/>
        <v>0</v>
      </c>
      <c r="P154" s="60">
        <f t="shared" si="25"/>
        <v>0</v>
      </c>
      <c r="Q154" s="61" t="str">
        <f>_xlfn.IFNA(VLOOKUP($F154,tblInfluence[],3,FALSE),"")</f>
        <v/>
      </c>
      <c r="R154" s="61" t="str">
        <f>_xlfn.IFNA(VLOOKUP($F154,tblInfluence[],4,FALSE),"")</f>
        <v/>
      </c>
    </row>
    <row r="155" spans="1:32">
      <c r="A155" s="1" t="s">
        <v>154</v>
      </c>
      <c r="B155" t="str">
        <f t="shared" si="26"/>
        <v>¬</v>
      </c>
      <c r="D155" s="19"/>
      <c r="E155" s="15" t="s">
        <v>193</v>
      </c>
      <c r="F155" s="3"/>
      <c r="G155" s="3" t="str">
        <f>IFERROR(VLOOKUP(F155,tblManoeuvre[],2,FALSE)&amp;" "&amp;VLOOKUP(F155,tblManoeuvre[],3,FALSE),"")</f>
        <v/>
      </c>
      <c r="H155" s="67" t="str">
        <f>IFERROR(IF(VLOOKUP(F155,tblManoeuvre[],8,FALSE)=0,"None",VLOOKUP(F155,tblManoeuvre[],8,FALSE)),"None")</f>
        <v>None</v>
      </c>
      <c r="I155" s="67"/>
      <c r="L155" s="4"/>
      <c r="M155" s="4"/>
      <c r="N155" s="4"/>
      <c r="O155" s="61">
        <f t="shared" si="24"/>
        <v>0</v>
      </c>
      <c r="P155" s="60">
        <f t="shared" si="25"/>
        <v>0</v>
      </c>
      <c r="Q155" s="61" t="str">
        <f>_xlfn.IFNA(VLOOKUP($F155,tblInfluence[],3,FALSE),"")</f>
        <v/>
      </c>
      <c r="R155" s="61" t="str">
        <f>_xlfn.IFNA(VLOOKUP($F155,tblInfluence[],4,FALSE),"")</f>
        <v/>
      </c>
      <c r="AE155" s="61">
        <f>IF(P160=5,1,0)</f>
        <v>1</v>
      </c>
    </row>
    <row r="156" spans="1:32">
      <c r="A156" s="1" t="s">
        <v>155</v>
      </c>
      <c r="B156" t="str">
        <f t="shared" si="26"/>
        <v>¬</v>
      </c>
      <c r="D156" s="19"/>
      <c r="E156" s="15" t="s">
        <v>194</v>
      </c>
      <c r="F156" s="3"/>
      <c r="G156" s="3" t="str">
        <f>IFERROR(VLOOKUP(F156,tblManoeuvre[],2,FALSE)&amp;" "&amp;VLOOKUP(F156,tblManoeuvre[],3,FALSE),"")</f>
        <v/>
      </c>
      <c r="H156" s="67" t="str">
        <f>IFERROR(IF(VLOOKUP(F156,tblManoeuvre[],8,FALSE)=0,"None",VLOOKUP(F156,tblManoeuvre[],8,FALSE)),"None")</f>
        <v>None</v>
      </c>
      <c r="I156" s="67"/>
      <c r="L156" s="4"/>
      <c r="M156" s="4"/>
      <c r="N156" s="4"/>
      <c r="O156" s="61">
        <f t="shared" si="24"/>
        <v>0</v>
      </c>
      <c r="P156" s="60">
        <f t="shared" si="25"/>
        <v>0</v>
      </c>
      <c r="Q156" s="61" t="str">
        <f>_xlfn.IFNA(VLOOKUP($F156,tblInfluence[],3,FALSE),"")</f>
        <v/>
      </c>
      <c r="R156" s="61" t="str">
        <f>_xlfn.IFNA(VLOOKUP($F156,tblInfluence[],4,FALSE),"")</f>
        <v/>
      </c>
      <c r="AE156" s="61" t="b">
        <f>COUNTIF(AA2:AA21,"*Honey With Vinegar*")&gt;0</f>
        <v>0</v>
      </c>
    </row>
    <row r="157" spans="1:32">
      <c r="A157" s="1" t="s">
        <v>156</v>
      </c>
      <c r="B157" t="str">
        <f t="shared" si="26"/>
        <v>¬</v>
      </c>
      <c r="D157" s="19"/>
      <c r="E157" s="15" t="s">
        <v>195</v>
      </c>
      <c r="F157" s="3"/>
      <c r="G157" s="3" t="str">
        <f>IFERROR(VLOOKUP(F157,tblManoeuvre[],2,FALSE)&amp;" "&amp;VLOOKUP(F157,tblManoeuvre[],3,FALSE),"")</f>
        <v/>
      </c>
      <c r="H157" s="67" t="str">
        <f>IFERROR(IF(VLOOKUP(F157,tblManoeuvre[],8,FALSE)=0,"None",VLOOKUP(F157,tblManoeuvre[],8,FALSE)),"None")</f>
        <v>None</v>
      </c>
      <c r="I157" s="67"/>
      <c r="L157" s="4"/>
      <c r="M157" s="4"/>
      <c r="N157" s="4"/>
      <c r="O157" s="61">
        <f t="shared" si="24"/>
        <v>0</v>
      </c>
      <c r="P157" s="60">
        <f t="shared" si="25"/>
        <v>0</v>
      </c>
      <c r="Q157" s="61" t="str">
        <f>_xlfn.IFNA(VLOOKUP($F157,tblInfluence[],3,FALSE),"")</f>
        <v/>
      </c>
      <c r="R157" s="61" t="str">
        <f>_xlfn.IFNA(VLOOKUP($F157,tblInfluence[],4,FALSE),"")</f>
        <v/>
      </c>
    </row>
    <row r="158" spans="1:32">
      <c r="A158" s="1" t="s">
        <v>157</v>
      </c>
      <c r="B158" t="str">
        <f t="shared" si="26"/>
        <v>¬</v>
      </c>
    </row>
    <row r="159" spans="1:32">
      <c r="A159" s="1" t="s">
        <v>158</v>
      </c>
      <c r="B159" t="str">
        <f t="shared" si="26"/>
        <v>¬</v>
      </c>
      <c r="D159" s="16" t="s">
        <v>1486</v>
      </c>
      <c r="E159" s="17"/>
      <c r="F159" s="17" t="s">
        <v>1487</v>
      </c>
      <c r="G159" s="17"/>
      <c r="H159" s="17"/>
      <c r="I159" s="17"/>
    </row>
    <row r="160" spans="1:32" ht="30">
      <c r="A160" s="1" t="s">
        <v>159</v>
      </c>
      <c r="B160" t="str">
        <f t="shared" si="26"/>
        <v>¬</v>
      </c>
      <c r="D160" s="19"/>
      <c r="E160" s="15" t="s">
        <v>98</v>
      </c>
      <c r="F160" s="56" t="s">
        <v>1078</v>
      </c>
      <c r="G160" s="60"/>
      <c r="H160" s="60"/>
      <c r="I160" s="60"/>
      <c r="L160" s="4">
        <v>5</v>
      </c>
      <c r="M160" s="4"/>
      <c r="N160" s="4"/>
      <c r="O160" s="61">
        <f>N160</f>
        <v>0</v>
      </c>
      <c r="P160" s="60">
        <f>MIN(SUM(L160,M160,O160),R160)</f>
        <v>5</v>
      </c>
      <c r="Q160" s="61">
        <v>1</v>
      </c>
      <c r="R160" s="61">
        <v>5</v>
      </c>
    </row>
    <row r="161" spans="1:18">
      <c r="A161" s="1" t="s">
        <v>160</v>
      </c>
      <c r="B161" t="str">
        <f t="shared" si="26"/>
        <v>¬</v>
      </c>
      <c r="D161" s="19"/>
      <c r="E161" s="15" t="s">
        <v>100</v>
      </c>
      <c r="F161" s="3"/>
      <c r="G161" s="60"/>
      <c r="H161" s="60"/>
      <c r="I161" s="60"/>
      <c r="L161" s="4"/>
      <c r="M161" s="4"/>
      <c r="N161" s="4"/>
      <c r="O161" s="61">
        <f>N161</f>
        <v>0</v>
      </c>
      <c r="P161" s="60">
        <f>MIN(SUM(L161,M161,O161),R161)</f>
        <v>0</v>
      </c>
      <c r="Q161" s="61">
        <v>1</v>
      </c>
      <c r="R161" s="61">
        <v>5</v>
      </c>
    </row>
    <row r="162" spans="1:18">
      <c r="A162" s="1" t="s">
        <v>161</v>
      </c>
      <c r="B162" t="str">
        <f t="shared" si="26"/>
        <v>¬</v>
      </c>
    </row>
    <row r="163" spans="1:18" ht="15.75" thickBot="1">
      <c r="A163" s="1" t="s">
        <v>162</v>
      </c>
      <c r="B163" t="str">
        <f t="shared" si="26"/>
        <v>¬</v>
      </c>
      <c r="D163" s="14" t="s">
        <v>1488</v>
      </c>
      <c r="E163" s="14"/>
      <c r="F163" s="14"/>
      <c r="G163" s="14"/>
      <c r="H163" s="14"/>
      <c r="I163" s="14"/>
      <c r="N163" s="60">
        <f>SUM(N165:N174)+SUM(N177:N181)+SUM(N184:N185)+SUM(N187:N191)+SUM(N194:N203)</f>
        <v>28</v>
      </c>
    </row>
    <row r="164" spans="1:18">
      <c r="A164" s="1" t="s">
        <v>163</v>
      </c>
      <c r="B164" t="str">
        <f t="shared" si="26"/>
        <v>¬</v>
      </c>
      <c r="D164" s="16" t="s">
        <v>1489</v>
      </c>
      <c r="E164" s="15" t="s">
        <v>1490</v>
      </c>
      <c r="F164" s="61" t="str">
        <f>IFERROR(IF($F$8="",VLOOKUP($F$7,tblClans[],5,FALSE),VLOOKUP($F$8,tblBloodlines[],5,FALSE)),"")</f>
        <v>Auspex</v>
      </c>
      <c r="G164" s="61" t="str">
        <f>IFERROR(IF($F$8="",VLOOKUP($F$7,tblClans[],6,FALSE),VLOOKUP($F$8,tblBloodlines[],6,FALSE)),"")</f>
        <v>Celerity</v>
      </c>
      <c r="H164" s="61" t="str">
        <f>IFERROR(IF($F$8="",VLOOKUP($F$7,tblClans[],7,FALSE),VLOOKUP($F$8,tblBloodlines[],7,FALSE)),"")</f>
        <v>Obfuscate</v>
      </c>
      <c r="I164" s="61" t="str">
        <f>IFERROR(IF($F$8="",VLOOKUP($F$7,tblClans[],8,FALSE),VLOOKUP($F$8,tblBloodlines[],8,FALSE)),"")</f>
        <v>Dominate</v>
      </c>
      <c r="L164" s="60">
        <f>3-SUM(L165:L174)-SUM(L184:L185)</f>
        <v>0</v>
      </c>
    </row>
    <row r="165" spans="1:18">
      <c r="A165" s="1" t="s">
        <v>164</v>
      </c>
      <c r="B165" t="str">
        <f t="shared" si="26"/>
        <v>¬</v>
      </c>
      <c r="D165" s="19"/>
      <c r="E165" s="15" t="s">
        <v>236</v>
      </c>
      <c r="F165" s="19"/>
      <c r="G165" s="19"/>
      <c r="H165" s="19"/>
      <c r="I165" s="19"/>
      <c r="L165" s="4"/>
      <c r="N165" s="4"/>
      <c r="O165" s="61">
        <f t="shared" ref="O165:O174" si="27">ROUNDDOWN(IF(COUNTIF($F$164:$I$164,$E165)&gt;0,N165/3,N165/4),0)</f>
        <v>0</v>
      </c>
      <c r="P165" s="60">
        <f>MIN(SUM(L165,O165),R165)</f>
        <v>0</v>
      </c>
      <c r="Q165" s="61">
        <v>0</v>
      </c>
      <c r="R165" s="61">
        <v>5</v>
      </c>
    </row>
    <row r="166" spans="1:18">
      <c r="A166" s="1" t="s">
        <v>165</v>
      </c>
      <c r="B166" t="str">
        <f t="shared" si="26"/>
        <v>¬</v>
      </c>
      <c r="D166" s="19"/>
      <c r="E166" s="15" t="s">
        <v>237</v>
      </c>
      <c r="F166" s="19"/>
      <c r="G166" s="19"/>
      <c r="H166" s="19"/>
      <c r="I166" s="19"/>
      <c r="L166" s="4"/>
      <c r="N166" s="4">
        <v>3</v>
      </c>
      <c r="O166" s="61">
        <f t="shared" si="27"/>
        <v>1</v>
      </c>
      <c r="P166" s="60">
        <f t="shared" ref="P166:P174" si="28">MIN(SUM(L166,O166),R166)</f>
        <v>1</v>
      </c>
      <c r="Q166" s="61">
        <v>0</v>
      </c>
      <c r="R166" s="61">
        <v>5</v>
      </c>
    </row>
    <row r="167" spans="1:18">
      <c r="A167" s="1" t="s">
        <v>166</v>
      </c>
      <c r="B167" t="str">
        <f t="shared" si="26"/>
        <v>¬</v>
      </c>
      <c r="D167" s="19"/>
      <c r="E167" s="15" t="s">
        <v>238</v>
      </c>
      <c r="F167" s="19"/>
      <c r="G167" s="19"/>
      <c r="H167" s="19"/>
      <c r="I167" s="19"/>
      <c r="L167" s="4"/>
      <c r="N167" s="4">
        <v>3</v>
      </c>
      <c r="O167" s="61">
        <f t="shared" si="27"/>
        <v>1</v>
      </c>
      <c r="P167" s="60">
        <f t="shared" si="28"/>
        <v>1</v>
      </c>
      <c r="Q167" s="61">
        <v>0</v>
      </c>
      <c r="R167" s="61">
        <v>5</v>
      </c>
    </row>
    <row r="168" spans="1:18">
      <c r="A168" s="1" t="s">
        <v>167</v>
      </c>
      <c r="B168" t="str">
        <f t="shared" si="26"/>
        <v>¬</v>
      </c>
      <c r="D168" s="19"/>
      <c r="E168" s="15" t="s">
        <v>239</v>
      </c>
      <c r="F168" s="19"/>
      <c r="G168" s="19"/>
      <c r="H168" s="19"/>
      <c r="I168" s="19"/>
      <c r="L168" s="4">
        <v>2</v>
      </c>
      <c r="N168" s="4">
        <v>6</v>
      </c>
      <c r="O168" s="61">
        <f t="shared" si="27"/>
        <v>2</v>
      </c>
      <c r="P168" s="60">
        <f t="shared" si="28"/>
        <v>4</v>
      </c>
      <c r="Q168" s="61">
        <v>0</v>
      </c>
      <c r="R168" s="61">
        <v>5</v>
      </c>
    </row>
    <row r="169" spans="1:18">
      <c r="A169" s="1" t="s">
        <v>168</v>
      </c>
      <c r="B169" t="str">
        <f t="shared" si="26"/>
        <v>¬</v>
      </c>
      <c r="D169" s="19"/>
      <c r="E169" s="15" t="s">
        <v>240</v>
      </c>
      <c r="F169" s="19"/>
      <c r="G169" s="19"/>
      <c r="H169" s="19"/>
      <c r="I169" s="19"/>
      <c r="L169" s="4"/>
      <c r="N169" s="4"/>
      <c r="O169" s="61">
        <f t="shared" si="27"/>
        <v>0</v>
      </c>
      <c r="P169" s="60">
        <f t="shared" si="28"/>
        <v>0</v>
      </c>
      <c r="Q169" s="61">
        <v>0</v>
      </c>
      <c r="R169" s="61">
        <v>5</v>
      </c>
    </row>
    <row r="170" spans="1:18">
      <c r="A170" s="1" t="s">
        <v>169</v>
      </c>
      <c r="B170" t="str">
        <f t="shared" si="26"/>
        <v>¬</v>
      </c>
      <c r="D170" s="19"/>
      <c r="E170" s="15" t="s">
        <v>241</v>
      </c>
      <c r="F170" s="19"/>
      <c r="G170" s="19"/>
      <c r="H170" s="19"/>
      <c r="I170" s="19"/>
      <c r="L170" s="4"/>
      <c r="N170" s="4"/>
      <c r="O170" s="61">
        <f t="shared" si="27"/>
        <v>0</v>
      </c>
      <c r="P170" s="60">
        <f t="shared" si="28"/>
        <v>0</v>
      </c>
      <c r="Q170" s="61">
        <v>0</v>
      </c>
      <c r="R170" s="61">
        <v>5</v>
      </c>
    </row>
    <row r="171" spans="1:18">
      <c r="A171" s="1" t="s">
        <v>170</v>
      </c>
      <c r="B171" t="str">
        <f t="shared" si="26"/>
        <v>¬</v>
      </c>
      <c r="D171" s="19"/>
      <c r="E171" s="15" t="s">
        <v>242</v>
      </c>
      <c r="F171" s="19"/>
      <c r="G171" s="19"/>
      <c r="H171" s="19"/>
      <c r="I171" s="19"/>
      <c r="L171" s="4"/>
      <c r="N171" s="4">
        <v>3</v>
      </c>
      <c r="O171" s="61">
        <f t="shared" si="27"/>
        <v>1</v>
      </c>
      <c r="P171" s="60">
        <f t="shared" si="28"/>
        <v>1</v>
      </c>
      <c r="Q171" s="61">
        <v>0</v>
      </c>
      <c r="R171" s="61">
        <v>5</v>
      </c>
    </row>
    <row r="172" spans="1:18">
      <c r="A172" s="1" t="s">
        <v>171</v>
      </c>
      <c r="B172" t="str">
        <f t="shared" si="26"/>
        <v>¬</v>
      </c>
      <c r="D172" s="19"/>
      <c r="E172" s="15" t="s">
        <v>243</v>
      </c>
      <c r="F172" s="19"/>
      <c r="G172" s="19"/>
      <c r="H172" s="19"/>
      <c r="I172" s="19"/>
      <c r="L172" s="4"/>
      <c r="N172" s="4"/>
      <c r="O172" s="61">
        <f t="shared" si="27"/>
        <v>0</v>
      </c>
      <c r="P172" s="60">
        <f t="shared" si="28"/>
        <v>0</v>
      </c>
      <c r="Q172" s="61">
        <v>0</v>
      </c>
      <c r="R172" s="61">
        <v>5</v>
      </c>
    </row>
    <row r="173" spans="1:18">
      <c r="A173" s="1" t="s">
        <v>172</v>
      </c>
      <c r="B173" t="str">
        <f t="shared" si="26"/>
        <v>¬</v>
      </c>
      <c r="D173" s="19"/>
      <c r="E173" s="15" t="s">
        <v>244</v>
      </c>
      <c r="F173" s="19"/>
      <c r="G173" s="19"/>
      <c r="H173" s="19"/>
      <c r="I173" s="19"/>
      <c r="L173" s="4"/>
      <c r="N173" s="4"/>
      <c r="O173" s="61">
        <f t="shared" si="27"/>
        <v>0</v>
      </c>
      <c r="P173" s="60">
        <f t="shared" si="28"/>
        <v>0</v>
      </c>
      <c r="Q173" s="61">
        <v>0</v>
      </c>
      <c r="R173" s="61">
        <v>5</v>
      </c>
    </row>
    <row r="174" spans="1:18">
      <c r="A174" s="1" t="s">
        <v>173</v>
      </c>
      <c r="B174" t="str">
        <f t="shared" si="26"/>
        <v>¬</v>
      </c>
      <c r="D174" s="19"/>
      <c r="E174" s="15" t="s">
        <v>245</v>
      </c>
      <c r="F174" s="19"/>
      <c r="G174" s="19"/>
      <c r="H174" s="19"/>
      <c r="I174" s="19"/>
      <c r="L174" s="4"/>
      <c r="N174" s="4"/>
      <c r="O174" s="61">
        <f t="shared" si="27"/>
        <v>0</v>
      </c>
      <c r="P174" s="60">
        <f t="shared" si="28"/>
        <v>0</v>
      </c>
      <c r="Q174" s="61">
        <v>0</v>
      </c>
      <c r="R174" s="61">
        <v>5</v>
      </c>
    </row>
    <row r="175" spans="1:18">
      <c r="A175" s="1" t="s">
        <v>174</v>
      </c>
      <c r="B175" t="str">
        <f>_xlfn.CONCAT(I137-H137," / ",I137)</f>
        <v>10 / 10</v>
      </c>
    </row>
    <row r="176" spans="1:18">
      <c r="A176" s="1" t="s">
        <v>175</v>
      </c>
      <c r="B176" t="str">
        <f>REPT("□",I137-H137) &amp; REPT("■",H137)</f>
        <v>□□□□□□□□□□</v>
      </c>
      <c r="D176" s="16" t="s">
        <v>1491</v>
      </c>
      <c r="E176" s="16"/>
      <c r="F176" s="16"/>
      <c r="G176" s="16"/>
      <c r="H176" s="16"/>
      <c r="I176" s="16"/>
    </row>
    <row r="177" spans="1:18">
      <c r="A177" s="1" t="s">
        <v>176</v>
      </c>
      <c r="B177" t="str">
        <f t="shared" ref="B177:B196" si="29">IF(AC134="","¬",AC134)</f>
        <v>Resources</v>
      </c>
      <c r="D177" s="19"/>
      <c r="E177" s="15" t="s">
        <v>1492</v>
      </c>
      <c r="F177" s="3" t="s">
        <v>1761</v>
      </c>
      <c r="G177" s="19"/>
      <c r="H177" s="72" t="str">
        <f>IFERROR(IF(VLOOKUP(F177,tblDisciplines[],14,FALSE)=0,"None",VLOOKUP(F177,tblDisciplines[],14,FALSE)),"None")</f>
        <v>Ausp 1, Domn 1, Celr 1</v>
      </c>
      <c r="I177" s="73"/>
      <c r="N177" s="4">
        <v>1</v>
      </c>
      <c r="O177" s="61">
        <f>N177</f>
        <v>1</v>
      </c>
      <c r="P177" s="60">
        <f>IF(O177=R177,O177,"")</f>
        <v>1</v>
      </c>
      <c r="R177" s="61">
        <f>_xlfn.IFNA(VLOOKUP(F177,tblDisciplines[],15,FALSE),"")</f>
        <v>1</v>
      </c>
    </row>
    <row r="178" spans="1:18">
      <c r="A178" s="1" t="s">
        <v>177</v>
      </c>
      <c r="B178" t="str">
        <f t="shared" si="29"/>
        <v>¬</v>
      </c>
      <c r="D178" s="19"/>
      <c r="E178" s="15" t="s">
        <v>1493</v>
      </c>
      <c r="F178" s="3" t="s">
        <v>1762</v>
      </c>
      <c r="G178" s="19"/>
      <c r="H178" s="72" t="str">
        <f>IFERROR(IF(VLOOKUP(F178,tblDisciplines[],14,FALSE)=0,"None",VLOOKUP(F178,tblDisciplines[],14,FALSE)),"None")</f>
        <v>Domn 4</v>
      </c>
      <c r="I178" s="73"/>
      <c r="N178" s="4">
        <v>0</v>
      </c>
      <c r="O178" s="61">
        <f>N178</f>
        <v>0</v>
      </c>
      <c r="P178" s="60">
        <f>IF(O178=R178,O178,"")</f>
        <v>0</v>
      </c>
      <c r="R178" s="61">
        <f>_xlfn.IFNA(VLOOKUP(F178,tblDisciplines[],15,FALSE),"")</f>
        <v>0</v>
      </c>
    </row>
    <row r="179" spans="1:18">
      <c r="A179" s="1" t="s">
        <v>178</v>
      </c>
      <c r="B179" t="str">
        <f t="shared" si="29"/>
        <v>¬</v>
      </c>
      <c r="D179" s="19"/>
      <c r="E179" s="15" t="s">
        <v>1494</v>
      </c>
      <c r="F179" s="3"/>
      <c r="G179" s="19"/>
      <c r="H179" s="72" t="str">
        <f>IFERROR(IF(VLOOKUP(F179,tblDisciplines[],14,FALSE)=0,"None",VLOOKUP(F179,tblDisciplines[],14,FALSE)),"None")</f>
        <v>None</v>
      </c>
      <c r="I179" s="73"/>
      <c r="N179" s="4"/>
      <c r="O179" s="61">
        <f>N179</f>
        <v>0</v>
      </c>
      <c r="P179" s="60" t="str">
        <f>IF(O179=R179,O179,"")</f>
        <v/>
      </c>
      <c r="R179" s="61" t="str">
        <f>_xlfn.IFNA(VLOOKUP(F179,tblDisciplines[],15,FALSE),"")</f>
        <v/>
      </c>
    </row>
    <row r="180" spans="1:18">
      <c r="A180" s="1" t="s">
        <v>179</v>
      </c>
      <c r="B180" t="str">
        <f t="shared" si="29"/>
        <v>¬</v>
      </c>
      <c r="D180" s="19"/>
      <c r="E180" s="15" t="s">
        <v>1495</v>
      </c>
      <c r="F180" s="3"/>
      <c r="G180" s="19"/>
      <c r="H180" s="72" t="str">
        <f>IFERROR(IF(VLOOKUP(F180,tblDisciplines[],14,FALSE)=0,"None",VLOOKUP(F180,tblDisciplines[],14,FALSE)),"None")</f>
        <v>None</v>
      </c>
      <c r="I180" s="73"/>
      <c r="N180" s="4"/>
      <c r="O180" s="61">
        <f>N180</f>
        <v>0</v>
      </c>
      <c r="P180" s="60" t="str">
        <f>IF(O180=R180,O180,"")</f>
        <v/>
      </c>
      <c r="R180" s="61" t="str">
        <f>_xlfn.IFNA(VLOOKUP(F180,tblDisciplines[],15,FALSE),"")</f>
        <v/>
      </c>
    </row>
    <row r="181" spans="1:18">
      <c r="A181" s="1" t="s">
        <v>180</v>
      </c>
      <c r="B181" t="str">
        <f t="shared" si="29"/>
        <v>¬</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29"/>
        <v>¬</v>
      </c>
    </row>
    <row r="183" spans="1:18">
      <c r="A183" s="1" t="s">
        <v>182</v>
      </c>
      <c r="B183" t="str">
        <f t="shared" si="29"/>
        <v>¬</v>
      </c>
      <c r="D183" s="16" t="s">
        <v>1497</v>
      </c>
      <c r="E183" s="16"/>
      <c r="F183" s="16"/>
      <c r="G183" s="16"/>
      <c r="H183" s="16"/>
      <c r="I183" s="16"/>
    </row>
    <row r="184" spans="1:18">
      <c r="A184" s="1" t="s">
        <v>183</v>
      </c>
      <c r="B184" t="str">
        <f t="shared" si="29"/>
        <v>¬</v>
      </c>
      <c r="D184" s="19"/>
      <c r="E184" s="15" t="s">
        <v>246</v>
      </c>
      <c r="F184" s="19"/>
      <c r="G184" s="19"/>
      <c r="H184" s="19"/>
      <c r="I184" s="60" t="b">
        <f>IF(OR(F$9="Circle of the Crone",COUNTIF(F$79:F$93,"Chorister")&gt;0),TRUE,FALSE)</f>
        <v>1</v>
      </c>
      <c r="L184" s="4">
        <v>1</v>
      </c>
      <c r="N184" s="4">
        <v>12</v>
      </c>
      <c r="O184" s="61">
        <f>ROUNDDOWN(N184/4,0)</f>
        <v>3</v>
      </c>
      <c r="P184" s="60">
        <f>SUM(L184,O184)</f>
        <v>4</v>
      </c>
      <c r="Q184" s="61">
        <v>0</v>
      </c>
      <c r="R184" s="61">
        <v>5</v>
      </c>
    </row>
    <row r="185" spans="1:18">
      <c r="A185" s="1" t="s">
        <v>184</v>
      </c>
      <c r="B185" t="str">
        <f t="shared" si="29"/>
        <v>¬</v>
      </c>
      <c r="D185" s="19"/>
      <c r="E185" s="15" t="s">
        <v>247</v>
      </c>
      <c r="F185" s="19"/>
      <c r="G185" s="19"/>
      <c r="H185" s="19"/>
      <c r="I185" s="60" t="b">
        <f>IF(OR(F$9="Lancea et Sanctum",COUNTIF(F$79:F$93,"Laity")&gt;0),TRUE,FALSE)</f>
        <v>0</v>
      </c>
      <c r="L185" s="4"/>
      <c r="N185" s="4"/>
      <c r="O185" s="61">
        <f>ROUNDDOWN(N185/4,0)</f>
        <v>0</v>
      </c>
      <c r="P185" s="60">
        <f>SUM(L185,O185)</f>
        <v>0</v>
      </c>
      <c r="Q185" s="61">
        <v>0</v>
      </c>
      <c r="R185" s="61">
        <v>5</v>
      </c>
    </row>
    <row r="186" spans="1:18">
      <c r="A186" s="1" t="s">
        <v>185</v>
      </c>
      <c r="B186" t="str">
        <f t="shared" si="29"/>
        <v>¬</v>
      </c>
      <c r="D186" s="19"/>
      <c r="E186" s="19"/>
      <c r="F186" s="19"/>
      <c r="G186" s="19"/>
      <c r="H186" s="19"/>
      <c r="I186" s="19"/>
      <c r="L186" s="60">
        <f>SUM(P184:P185)-SUM(L187:L191)</f>
        <v>0</v>
      </c>
    </row>
    <row r="187" spans="1:18">
      <c r="A187" s="1" t="s">
        <v>186</v>
      </c>
      <c r="B187" t="str">
        <f t="shared" si="29"/>
        <v>¬</v>
      </c>
      <c r="D187" s="19"/>
      <c r="E187" s="15" t="s">
        <v>248</v>
      </c>
      <c r="F187" s="19"/>
      <c r="G187" s="19"/>
      <c r="H187" s="19"/>
      <c r="I187" s="19"/>
      <c r="L187" s="4"/>
      <c r="M187" s="61">
        <f>IF(AND(I184,L184&gt;=1),1,0)</f>
        <v>1</v>
      </c>
      <c r="N187" s="4"/>
      <c r="O187" s="61">
        <f>ROUNDDOWN(N187/2,0)</f>
        <v>0</v>
      </c>
      <c r="P187" s="60">
        <f>MIN(SUM(L187,M187,O187),R187)</f>
        <v>1</v>
      </c>
      <c r="Q187" s="61">
        <v>0</v>
      </c>
      <c r="R187" s="61">
        <f>MAX(P$184,P$185)</f>
        <v>4</v>
      </c>
    </row>
    <row r="188" spans="1:18">
      <c r="A188" s="1" t="s">
        <v>187</v>
      </c>
      <c r="B188" t="str">
        <f t="shared" si="29"/>
        <v>¬</v>
      </c>
      <c r="D188" s="19"/>
      <c r="E188" s="15" t="s">
        <v>249</v>
      </c>
      <c r="F188" s="19"/>
      <c r="G188" s="19"/>
      <c r="H188" s="19"/>
      <c r="I188" s="19"/>
      <c r="L188" s="4"/>
      <c r="M188" s="61"/>
      <c r="N188" s="4"/>
      <c r="O188" s="61">
        <f>ROUNDDOWN(N188/2,0)</f>
        <v>0</v>
      </c>
      <c r="P188" s="60">
        <f>MIN(SUM(L188,M188,O188),R188)</f>
        <v>0</v>
      </c>
      <c r="Q188" s="61">
        <v>0</v>
      </c>
      <c r="R188" s="61">
        <f>MAX(P$184,P$185)</f>
        <v>4</v>
      </c>
    </row>
    <row r="189" spans="1:18">
      <c r="A189" s="1" t="s">
        <v>188</v>
      </c>
      <c r="B189" t="str">
        <f t="shared" si="29"/>
        <v>¬</v>
      </c>
      <c r="D189" s="19"/>
      <c r="E189" s="15" t="s">
        <v>250</v>
      </c>
      <c r="F189" s="19"/>
      <c r="G189" s="19"/>
      <c r="H189" s="19"/>
      <c r="I189" s="19"/>
      <c r="L189" s="4"/>
      <c r="M189" s="61">
        <f>IF(AND(I185,L185&gt;=1),1,0)</f>
        <v>0</v>
      </c>
      <c r="N189" s="4"/>
      <c r="O189" s="61">
        <f>ROUNDDOWN(N189/2,0)</f>
        <v>0</v>
      </c>
      <c r="P189" s="60">
        <f>MIN(SUM(L189,M189,O189),R189)</f>
        <v>0</v>
      </c>
      <c r="Q189" s="61">
        <v>0</v>
      </c>
      <c r="R189" s="61">
        <f>MAX(P$184,P$185)</f>
        <v>4</v>
      </c>
    </row>
    <row r="190" spans="1:18">
      <c r="A190" s="1" t="s">
        <v>189</v>
      </c>
      <c r="B190" t="str">
        <f t="shared" si="29"/>
        <v>¬</v>
      </c>
      <c r="D190" s="19"/>
      <c r="E190" s="15" t="s">
        <v>251</v>
      </c>
      <c r="F190" s="19"/>
      <c r="G190" s="19"/>
      <c r="H190" s="19"/>
      <c r="I190" s="19"/>
      <c r="L190" s="4"/>
      <c r="M190" s="61">
        <f>IF(AND(I184,L184&gt;=1),1,0)</f>
        <v>1</v>
      </c>
      <c r="N190" s="4"/>
      <c r="O190" s="61">
        <f>ROUNDDOWN(N190/2,0)</f>
        <v>0</v>
      </c>
      <c r="P190" s="60">
        <f>MIN(SUM(L190,M190,O190),R190)</f>
        <v>1</v>
      </c>
      <c r="Q190" s="61">
        <v>0</v>
      </c>
      <c r="R190" s="61">
        <f>MAX(P$184,P$185)</f>
        <v>4</v>
      </c>
    </row>
    <row r="191" spans="1:18">
      <c r="A191" s="1" t="s">
        <v>190</v>
      </c>
      <c r="B191" t="str">
        <f t="shared" si="29"/>
        <v>¬</v>
      </c>
      <c r="D191" s="19"/>
      <c r="E191" s="15" t="s">
        <v>252</v>
      </c>
      <c r="F191" s="19"/>
      <c r="G191" s="19"/>
      <c r="H191" s="19"/>
      <c r="I191" s="19"/>
      <c r="L191" s="4">
        <v>4</v>
      </c>
      <c r="M191" s="61">
        <f>IF(AND(I185,L185&gt;=1),1,0)</f>
        <v>0</v>
      </c>
      <c r="N191" s="4"/>
      <c r="O191" s="61">
        <f>ROUNDDOWN(N191/2,0)</f>
        <v>0</v>
      </c>
      <c r="P191" s="60">
        <f>MIN(SUM(L191,M191,O191),R191)</f>
        <v>4</v>
      </c>
      <c r="Q191" s="61">
        <v>0</v>
      </c>
      <c r="R191" s="61">
        <f>MAX(P$184,P$185)</f>
        <v>4</v>
      </c>
    </row>
    <row r="192" spans="1:18">
      <c r="A192" s="1" t="s">
        <v>191</v>
      </c>
      <c r="B192" t="str">
        <f t="shared" si="29"/>
        <v>¬</v>
      </c>
    </row>
    <row r="193" spans="1:18">
      <c r="A193" s="1" t="s">
        <v>192</v>
      </c>
      <c r="B193" t="str">
        <f t="shared" si="29"/>
        <v>¬</v>
      </c>
      <c r="D193" s="16" t="s">
        <v>1474</v>
      </c>
      <c r="E193" s="16"/>
      <c r="F193" s="16"/>
      <c r="G193" s="16"/>
      <c r="H193" s="16"/>
      <c r="I193" s="16"/>
      <c r="L193" s="60">
        <f>SUM(P184:P185)+SUM(O187:O191)-SUM(L194:L203)</f>
        <v>0</v>
      </c>
    </row>
    <row r="194" spans="1:18">
      <c r="A194" s="1" t="s">
        <v>193</v>
      </c>
      <c r="B194" t="str">
        <f t="shared" si="29"/>
        <v>¬</v>
      </c>
      <c r="D194" s="19"/>
      <c r="E194" s="15" t="s">
        <v>1498</v>
      </c>
      <c r="F194" s="3" t="s">
        <v>1597</v>
      </c>
      <c r="G194" s="61" t="str">
        <f>_xlfn.IFNA(VLOOKUP(F194,tblDisciplines[],2,FALSE),"")</f>
        <v>Cruac</v>
      </c>
      <c r="H194" s="19"/>
      <c r="I194" s="19"/>
      <c r="L194" s="4">
        <v>1</v>
      </c>
      <c r="N194" s="4"/>
      <c r="O194" s="61">
        <f>N194</f>
        <v>0</v>
      </c>
      <c r="P194" s="60">
        <f>IF(OR(L194=R194,O194=R194),R194,MIN(SUM(L194,O194),R194))</f>
        <v>1</v>
      </c>
      <c r="R194" s="61">
        <f>_xlfn.IFNA(VLOOKUP(F194,tblDisciplines[],3,FALSE),"")</f>
        <v>1</v>
      </c>
    </row>
    <row r="195" spans="1:18">
      <c r="A195" s="1" t="s">
        <v>194</v>
      </c>
      <c r="B195" t="str">
        <f t="shared" si="29"/>
        <v>¬</v>
      </c>
      <c r="D195" s="19"/>
      <c r="E195" s="15" t="s">
        <v>1499</v>
      </c>
      <c r="F195" s="3" t="s">
        <v>1621</v>
      </c>
      <c r="G195" s="61" t="str">
        <f>_xlfn.IFNA(VLOOKUP(F195,tblDisciplines[],2,FALSE),"")</f>
        <v>Cruac</v>
      </c>
      <c r="H195" s="19"/>
      <c r="I195" s="19"/>
      <c r="L195" s="4">
        <v>1</v>
      </c>
      <c r="N195" s="4"/>
      <c r="O195" s="61">
        <f t="shared" ref="O195:O203" si="30">N195</f>
        <v>0</v>
      </c>
      <c r="P195" s="60">
        <f t="shared" ref="P195:P203" si="31">IF(OR(L195=R195,O195=R195),R195,MIN(SUM(L195,O195),R195))</f>
        <v>1</v>
      </c>
      <c r="R195" s="61">
        <f>_xlfn.IFNA(VLOOKUP(F195,tblDisciplines[],3,FALSE),"")</f>
        <v>2</v>
      </c>
    </row>
    <row r="196" spans="1:18">
      <c r="A196" s="1" t="s">
        <v>195</v>
      </c>
      <c r="B196" t="str">
        <f t="shared" si="29"/>
        <v>¬</v>
      </c>
      <c r="D196" s="19"/>
      <c r="E196" s="15" t="s">
        <v>1500</v>
      </c>
      <c r="F196" s="3" t="s">
        <v>1763</v>
      </c>
      <c r="G196" s="61" t="str">
        <f>_xlfn.IFNA(VLOOKUP(F196,tblDisciplines[],2,FALSE),"")</f>
        <v>Cruac</v>
      </c>
      <c r="H196" s="19"/>
      <c r="I196" s="19"/>
      <c r="L196" s="4">
        <v>1</v>
      </c>
      <c r="N196" s="4"/>
      <c r="O196" s="61">
        <f t="shared" si="30"/>
        <v>0</v>
      </c>
      <c r="P196" s="60">
        <f t="shared" si="31"/>
        <v>1</v>
      </c>
      <c r="R196" s="61">
        <f>_xlfn.IFNA(VLOOKUP(F196,tblDisciplines[],3,FALSE),"")</f>
        <v>1</v>
      </c>
    </row>
    <row r="197" spans="1:18">
      <c r="A197" s="1" t="s">
        <v>196</v>
      </c>
      <c r="B197" t="str">
        <f>IF(AD134="","¬",AD134)</f>
        <v>¬</v>
      </c>
      <c r="D197" s="19"/>
      <c r="E197" s="15" t="s">
        <v>1501</v>
      </c>
      <c r="F197" s="3" t="s">
        <v>1764</v>
      </c>
      <c r="G197" s="61" t="str">
        <f>_xlfn.IFNA(VLOOKUP(F197,tblDisciplines[],2,FALSE),"")</f>
        <v>Cruac</v>
      </c>
      <c r="H197" s="19"/>
      <c r="I197" s="19"/>
      <c r="L197" s="4">
        <v>1</v>
      </c>
      <c r="N197" s="4"/>
      <c r="O197" s="61">
        <f t="shared" si="30"/>
        <v>0</v>
      </c>
      <c r="P197" s="60">
        <f t="shared" si="31"/>
        <v>1</v>
      </c>
      <c r="R197" s="61">
        <f>_xlfn.IFNA(VLOOKUP(F197,tblDisciplines[],3,FALSE),"")</f>
        <v>4</v>
      </c>
    </row>
    <row r="198" spans="1:18">
      <c r="A198" s="1" t="s">
        <v>197</v>
      </c>
      <c r="B198" t="str">
        <f t="shared" ref="B198:B216" si="32">IF(AD135="","¬",AD135)</f>
        <v>¬</v>
      </c>
      <c r="D198" s="19"/>
      <c r="E198" s="15" t="s">
        <v>1502</v>
      </c>
      <c r="F198" s="3"/>
      <c r="G198" s="61" t="str">
        <f>_xlfn.IFNA(VLOOKUP(F198,tblDisciplines[],2,FALSE),"")</f>
        <v/>
      </c>
      <c r="H198" s="19"/>
      <c r="I198" s="19"/>
      <c r="L198" s="4"/>
      <c r="N198" s="4"/>
      <c r="O198" s="61">
        <f t="shared" si="30"/>
        <v>0</v>
      </c>
      <c r="P198" s="60" t="str">
        <f t="shared" si="31"/>
        <v/>
      </c>
      <c r="R198" s="61" t="str">
        <f>_xlfn.IFNA(VLOOKUP(F198,tblDisciplines[],3,FALSE),"")</f>
        <v/>
      </c>
    </row>
    <row r="199" spans="1:18">
      <c r="A199" s="1" t="s">
        <v>198</v>
      </c>
      <c r="B199" t="str">
        <f t="shared" si="32"/>
        <v>¬</v>
      </c>
      <c r="D199" s="19"/>
      <c r="E199" s="15" t="s">
        <v>1503</v>
      </c>
      <c r="F199" s="3"/>
      <c r="G199" s="61" t="str">
        <f>_xlfn.IFNA(VLOOKUP(F199,tblDisciplines[],2,FALSE),"")</f>
        <v/>
      </c>
      <c r="H199" s="19"/>
      <c r="I199" s="19"/>
      <c r="L199" s="4"/>
      <c r="N199" s="4"/>
      <c r="O199" s="61">
        <f t="shared" si="30"/>
        <v>0</v>
      </c>
      <c r="P199" s="60" t="str">
        <f t="shared" si="31"/>
        <v/>
      </c>
      <c r="R199" s="61" t="str">
        <f>_xlfn.IFNA(VLOOKUP(F199,tblDisciplines[],3,FALSE),"")</f>
        <v/>
      </c>
    </row>
    <row r="200" spans="1:18">
      <c r="A200" s="1" t="s">
        <v>199</v>
      </c>
      <c r="B200" t="str">
        <f t="shared" si="32"/>
        <v>¬</v>
      </c>
      <c r="D200" s="19"/>
      <c r="E200" s="15" t="s">
        <v>1504</v>
      </c>
      <c r="F200" s="3"/>
      <c r="G200" s="61" t="str">
        <f>_xlfn.IFNA(VLOOKUP(F200,tblDisciplines[],2,FALSE),"")</f>
        <v/>
      </c>
      <c r="H200" s="19"/>
      <c r="I200" s="19"/>
      <c r="L200" s="4"/>
      <c r="N200" s="4"/>
      <c r="O200" s="61">
        <f t="shared" si="30"/>
        <v>0</v>
      </c>
      <c r="P200" s="60" t="str">
        <f t="shared" si="31"/>
        <v/>
      </c>
      <c r="R200" s="61" t="str">
        <f>_xlfn.IFNA(VLOOKUP(F200,tblDisciplines[],3,FALSE),"")</f>
        <v/>
      </c>
    </row>
    <row r="201" spans="1:18">
      <c r="A201" s="1" t="s">
        <v>200</v>
      </c>
      <c r="B201" t="str">
        <f t="shared" si="32"/>
        <v>¬</v>
      </c>
      <c r="D201" s="19"/>
      <c r="E201" s="15" t="s">
        <v>1505</v>
      </c>
      <c r="F201" s="3"/>
      <c r="G201" s="61" t="str">
        <f>_xlfn.IFNA(VLOOKUP(F201,tblDisciplines[],2,FALSE),"")</f>
        <v/>
      </c>
      <c r="H201" s="19"/>
      <c r="I201" s="19"/>
      <c r="L201" s="4"/>
      <c r="N201" s="4"/>
      <c r="O201" s="61">
        <f t="shared" si="30"/>
        <v>0</v>
      </c>
      <c r="P201" s="60" t="str">
        <f t="shared" si="31"/>
        <v/>
      </c>
      <c r="R201" s="61" t="str">
        <f>_xlfn.IFNA(VLOOKUP(F201,tblDisciplines[],3,FALSE),"")</f>
        <v/>
      </c>
    </row>
    <row r="202" spans="1:18">
      <c r="A202" s="1" t="s">
        <v>201</v>
      </c>
      <c r="B202" t="str">
        <f t="shared" si="32"/>
        <v>¬</v>
      </c>
      <c r="D202" s="19"/>
      <c r="E202" s="15" t="s">
        <v>1506</v>
      </c>
      <c r="F202" s="3"/>
      <c r="G202" s="61" t="str">
        <f>_xlfn.IFNA(VLOOKUP(F202,tblDisciplines[],2,FALSE),"")</f>
        <v/>
      </c>
      <c r="H202" s="19"/>
      <c r="I202" s="19"/>
      <c r="L202" s="4"/>
      <c r="N202" s="4"/>
      <c r="O202" s="61">
        <f t="shared" si="30"/>
        <v>0</v>
      </c>
      <c r="P202" s="60" t="str">
        <f t="shared" si="31"/>
        <v/>
      </c>
      <c r="R202" s="61" t="str">
        <f>_xlfn.IFNA(VLOOKUP(F202,tblDisciplines[],3,FALSE),"")</f>
        <v/>
      </c>
    </row>
    <row r="203" spans="1:18">
      <c r="A203" s="1" t="s">
        <v>202</v>
      </c>
      <c r="B203" t="str">
        <f t="shared" si="32"/>
        <v>¬</v>
      </c>
      <c r="D203" s="19"/>
      <c r="E203" s="15" t="s">
        <v>1507</v>
      </c>
      <c r="F203" s="3"/>
      <c r="G203" s="61" t="str">
        <f>_xlfn.IFNA(VLOOKUP(F203,tblDisciplines[],2,FALSE),"")</f>
        <v/>
      </c>
      <c r="H203" s="19"/>
      <c r="I203" s="19"/>
      <c r="L203" s="4"/>
      <c r="N203" s="4"/>
      <c r="O203" s="61">
        <f t="shared" si="30"/>
        <v>0</v>
      </c>
      <c r="P203" s="60" t="str">
        <f t="shared" si="31"/>
        <v/>
      </c>
      <c r="R203" s="61" t="str">
        <f>_xlfn.IFNA(VLOOKUP(F203,tblDisciplines[],3,FALSE),"")</f>
        <v/>
      </c>
    </row>
    <row r="204" spans="1:18">
      <c r="A204" s="1" t="s">
        <v>203</v>
      </c>
      <c r="B204" t="str">
        <f t="shared" si="32"/>
        <v>¬</v>
      </c>
    </row>
    <row r="205" spans="1:18">
      <c r="A205" s="1" t="s">
        <v>204</v>
      </c>
      <c r="B205" t="str">
        <f t="shared" si="32"/>
        <v>¬</v>
      </c>
      <c r="D205" s="16" t="s">
        <v>1508</v>
      </c>
      <c r="E205" s="17"/>
      <c r="F205" s="17"/>
      <c r="G205" s="17"/>
      <c r="H205" s="17"/>
      <c r="I205" s="17"/>
    </row>
    <row r="206" spans="1:18">
      <c r="A206" s="1" t="s">
        <v>205</v>
      </c>
      <c r="B206" t="str">
        <f t="shared" si="32"/>
        <v>¬</v>
      </c>
      <c r="D206" s="19"/>
      <c r="E206" s="15" t="s">
        <v>1476</v>
      </c>
      <c r="F206" s="3" t="s">
        <v>1659</v>
      </c>
      <c r="G206" s="19" t="str">
        <f>IFERROR(VLOOKUP(F206,tblManoeuvre[],2,FALSE)&amp;" "&amp;VLOOKUP(F206,tblManoeuvre[],3,FALSE),"")</f>
        <v/>
      </c>
      <c r="H206" s="68" t="str">
        <f>_xlfn.IFNA(IF(VLOOKUP(F206,tblMerits[],6,FALSE)=0,"None",VLOOKUP(F206,tblMerits[],6,FALSE)),"None")</f>
        <v>None</v>
      </c>
      <c r="I206" s="69"/>
      <c r="L206" s="4"/>
      <c r="M206" s="4"/>
      <c r="N206" s="4">
        <v>2</v>
      </c>
      <c r="O206" s="61">
        <f t="shared" ref="O206:O215" si="33">N206</f>
        <v>2</v>
      </c>
      <c r="P206" s="60">
        <f t="shared" ref="P206:P215" si="34">MIN(SUM(L206,M206,O206),R206)</f>
        <v>2</v>
      </c>
      <c r="Q206" s="61">
        <f>_xlfn.IFNA(VLOOKUP($F206,tblPacts[],3,FALSE),"")</f>
        <v>2</v>
      </c>
      <c r="R206" s="61">
        <f>_xlfn.IFNA(VLOOKUP($F206,tblPacts[],4,FALSE),"")</f>
        <v>2</v>
      </c>
    </row>
    <row r="207" spans="1:18">
      <c r="A207" s="1" t="s">
        <v>206</v>
      </c>
      <c r="B207" t="str">
        <f t="shared" si="32"/>
        <v>¬</v>
      </c>
      <c r="D207" s="19"/>
      <c r="E207" s="15" t="s">
        <v>1477</v>
      </c>
      <c r="F207" s="3"/>
      <c r="G207" s="19" t="str">
        <f>IFERROR(VLOOKUP(F207,tblManoeuvre[],2,FALSE)&amp;" "&amp;VLOOKUP(F207,tblManoeuvre[],3,FALSE),"")</f>
        <v/>
      </c>
      <c r="H207" s="68" t="str">
        <f>_xlfn.IFNA(IF(VLOOKUP(F207,tblMerits[],6,FALSE)=0,"None",VLOOKUP(F207,tblMerits[],6,FALSE)),"None")</f>
        <v>None</v>
      </c>
      <c r="I207" s="69"/>
      <c r="L207" s="4"/>
      <c r="M207" s="4"/>
      <c r="N207" s="4"/>
      <c r="O207" s="61">
        <f t="shared" si="33"/>
        <v>0</v>
      </c>
      <c r="P207" s="60">
        <f t="shared" si="34"/>
        <v>0</v>
      </c>
      <c r="Q207" s="61" t="str">
        <f>_xlfn.IFNA(VLOOKUP($F207,tblPacts[],3,FALSE),"")</f>
        <v/>
      </c>
      <c r="R207" s="61" t="str">
        <f>_xlfn.IFNA(VLOOKUP($F207,tblPacts[],4,FALSE),"")</f>
        <v/>
      </c>
    </row>
    <row r="208" spans="1:18">
      <c r="A208" s="1" t="s">
        <v>207</v>
      </c>
      <c r="B208" t="str">
        <f t="shared" si="32"/>
        <v>¬</v>
      </c>
      <c r="D208" s="19"/>
      <c r="E208" s="15" t="s">
        <v>1478</v>
      </c>
      <c r="F208" s="3"/>
      <c r="G208" s="19" t="str">
        <f>IFERROR(VLOOKUP(F208,tblManoeuvre[],2,FALSE)&amp;" "&amp;VLOOKUP(F208,tblManoeuvre[],3,FALSE),"")</f>
        <v/>
      </c>
      <c r="H208" s="68" t="str">
        <f>_xlfn.IFNA(IF(VLOOKUP(F208,tblMerits[],6,FALSE)=0,"None",VLOOKUP(F208,tblMerits[],6,FALSE)),"None")</f>
        <v>None</v>
      </c>
      <c r="I208" s="69"/>
      <c r="L208" s="4"/>
      <c r="M208" s="4"/>
      <c r="N208" s="4"/>
      <c r="O208" s="61">
        <f t="shared" si="33"/>
        <v>0</v>
      </c>
      <c r="P208" s="60">
        <f t="shared" si="34"/>
        <v>0</v>
      </c>
      <c r="Q208" s="61" t="str">
        <f>_xlfn.IFNA(VLOOKUP($F208,tblPacts[],3,FALSE),"")</f>
        <v/>
      </c>
      <c r="R208" s="61" t="str">
        <f>_xlfn.IFNA(VLOOKUP($F208,tblPacts[],4,FALSE),"")</f>
        <v/>
      </c>
    </row>
    <row r="209" spans="1:18">
      <c r="A209" s="1" t="s">
        <v>208</v>
      </c>
      <c r="B209" t="str">
        <f t="shared" si="32"/>
        <v>¬</v>
      </c>
      <c r="D209" s="19"/>
      <c r="E209" s="15" t="s">
        <v>1479</v>
      </c>
      <c r="F209" s="3"/>
      <c r="G209" s="19" t="str">
        <f>IFERROR(VLOOKUP(F209,tblManoeuvre[],2,FALSE)&amp;" "&amp;VLOOKUP(F209,tblManoeuvre[],3,FALSE),"")</f>
        <v/>
      </c>
      <c r="H209" s="68" t="str">
        <f>_xlfn.IFNA(IF(VLOOKUP(F209,tblMerits[],6,FALSE)=0,"None",VLOOKUP(F209,tblMerits[],6,FALSE)),"None")</f>
        <v>None</v>
      </c>
      <c r="I209" s="69"/>
      <c r="L209" s="4"/>
      <c r="M209" s="4"/>
      <c r="N209" s="4"/>
      <c r="O209" s="61">
        <f t="shared" si="33"/>
        <v>0</v>
      </c>
      <c r="P209" s="60">
        <f t="shared" si="34"/>
        <v>0</v>
      </c>
      <c r="Q209" s="61" t="str">
        <f>_xlfn.IFNA(VLOOKUP($F209,tblPacts[],3,FALSE),"")</f>
        <v/>
      </c>
      <c r="R209" s="61" t="str">
        <f>_xlfn.IFNA(VLOOKUP($F209,tblPacts[],4,FALSE),"")</f>
        <v/>
      </c>
    </row>
    <row r="210" spans="1:18">
      <c r="A210" s="1" t="s">
        <v>209</v>
      </c>
      <c r="B210" t="str">
        <f t="shared" si="32"/>
        <v>¬</v>
      </c>
      <c r="D210" s="19"/>
      <c r="E210" s="15" t="s">
        <v>1480</v>
      </c>
      <c r="F210" s="3"/>
      <c r="G210" s="19" t="str">
        <f>IFERROR(VLOOKUP(F210,tblManoeuvre[],2,FALSE)&amp;" "&amp;VLOOKUP(F210,tblManoeuvre[],3,FALSE),"")</f>
        <v/>
      </c>
      <c r="H210" s="68" t="str">
        <f>_xlfn.IFNA(IF(VLOOKUP(F210,tblMerits[],6,FALSE)=0,"None",VLOOKUP(F210,tblMerits[],6,FALSE)),"None")</f>
        <v>None</v>
      </c>
      <c r="I210" s="69"/>
      <c r="L210" s="4"/>
      <c r="M210" s="4"/>
      <c r="N210" s="4"/>
      <c r="O210" s="61">
        <f t="shared" si="33"/>
        <v>0</v>
      </c>
      <c r="P210" s="60">
        <f t="shared" si="34"/>
        <v>0</v>
      </c>
      <c r="Q210" s="61" t="str">
        <f>_xlfn.IFNA(VLOOKUP($F210,tblPacts[],3,FALSE),"")</f>
        <v/>
      </c>
      <c r="R210" s="61" t="str">
        <f>_xlfn.IFNA(VLOOKUP($F210,tblPacts[],4,FALSE),"")</f>
        <v/>
      </c>
    </row>
    <row r="211" spans="1:18">
      <c r="A211" s="1" t="s">
        <v>210</v>
      </c>
      <c r="B211" t="str">
        <f t="shared" si="32"/>
        <v>¬</v>
      </c>
      <c r="D211" s="19"/>
      <c r="E211" s="15" t="s">
        <v>1481</v>
      </c>
      <c r="F211" s="3"/>
      <c r="G211" s="19" t="str">
        <f>IFERROR(VLOOKUP(F211,tblManoeuvre[],2,FALSE)&amp;" "&amp;VLOOKUP(F211,tblManoeuvre[],3,FALSE),"")</f>
        <v/>
      </c>
      <c r="H211" s="68" t="str">
        <f>_xlfn.IFNA(IF(VLOOKUP(F211,tblMerits[],6,FALSE)=0,"None",VLOOKUP(F211,tblMerits[],6,FALSE)),"None")</f>
        <v>None</v>
      </c>
      <c r="I211" s="69"/>
      <c r="L211" s="4"/>
      <c r="M211" s="4"/>
      <c r="N211" s="4"/>
      <c r="O211" s="61">
        <f t="shared" si="33"/>
        <v>0</v>
      </c>
      <c r="P211" s="60">
        <f t="shared" si="34"/>
        <v>0</v>
      </c>
      <c r="Q211" s="61" t="str">
        <f>_xlfn.IFNA(VLOOKUP($F211,tblPacts[],3,FALSE),"")</f>
        <v/>
      </c>
      <c r="R211" s="61" t="str">
        <f>_xlfn.IFNA(VLOOKUP($F211,tblPacts[],4,FALSE),"")</f>
        <v/>
      </c>
    </row>
    <row r="212" spans="1:18">
      <c r="A212" s="1" t="s">
        <v>211</v>
      </c>
      <c r="B212" t="str">
        <f t="shared" si="32"/>
        <v>¬</v>
      </c>
      <c r="D212" s="19"/>
      <c r="E212" s="15" t="s">
        <v>1482</v>
      </c>
      <c r="F212" s="3"/>
      <c r="G212" s="19" t="str">
        <f>IFERROR(VLOOKUP(F212,tblManoeuvre[],2,FALSE)&amp;" "&amp;VLOOKUP(F212,tblManoeuvre[],3,FALSE),"")</f>
        <v/>
      </c>
      <c r="H212" s="68" t="str">
        <f>_xlfn.IFNA(IF(VLOOKUP(F212,tblMerits[],6,FALSE)=0,"None",VLOOKUP(F212,tblMerits[],6,FALSE)),"None")</f>
        <v>None</v>
      </c>
      <c r="I212" s="69"/>
      <c r="L212" s="4"/>
      <c r="M212" s="4"/>
      <c r="N212" s="4"/>
      <c r="O212" s="61">
        <f t="shared" si="33"/>
        <v>0</v>
      </c>
      <c r="P212" s="60">
        <f t="shared" si="34"/>
        <v>0</v>
      </c>
      <c r="Q212" s="61" t="str">
        <f>_xlfn.IFNA(VLOOKUP($F212,tblPacts[],3,FALSE),"")</f>
        <v/>
      </c>
      <c r="R212" s="61" t="str">
        <f>_xlfn.IFNA(VLOOKUP($F212,tblPacts[],4,FALSE),"")</f>
        <v/>
      </c>
    </row>
    <row r="213" spans="1:18">
      <c r="A213" s="1" t="s">
        <v>212</v>
      </c>
      <c r="B213" t="str">
        <f t="shared" si="32"/>
        <v>¬</v>
      </c>
      <c r="D213" s="19"/>
      <c r="E213" s="15" t="s">
        <v>1483</v>
      </c>
      <c r="F213" s="3"/>
      <c r="G213" s="19" t="str">
        <f>IFERROR(VLOOKUP(F213,tblManoeuvre[],2,FALSE)&amp;" "&amp;VLOOKUP(F213,tblManoeuvre[],3,FALSE),"")</f>
        <v/>
      </c>
      <c r="H213" s="68" t="str">
        <f>_xlfn.IFNA(IF(VLOOKUP(F213,tblMerits[],6,FALSE)=0,"None",VLOOKUP(F213,tblMerits[],6,FALSE)),"None")</f>
        <v>None</v>
      </c>
      <c r="I213" s="69"/>
      <c r="L213" s="4"/>
      <c r="M213" s="4"/>
      <c r="N213" s="4"/>
      <c r="O213" s="61">
        <f t="shared" si="33"/>
        <v>0</v>
      </c>
      <c r="P213" s="60">
        <f t="shared" si="34"/>
        <v>0</v>
      </c>
      <c r="Q213" s="61" t="str">
        <f>_xlfn.IFNA(VLOOKUP($F213,tblPacts[],3,FALSE),"")</f>
        <v/>
      </c>
      <c r="R213" s="61" t="str">
        <f>_xlfn.IFNA(VLOOKUP($F213,tblPacts[],4,FALSE),"")</f>
        <v/>
      </c>
    </row>
    <row r="214" spans="1:18">
      <c r="A214" s="1" t="s">
        <v>213</v>
      </c>
      <c r="B214" t="str">
        <f t="shared" si="32"/>
        <v>¬</v>
      </c>
      <c r="D214" s="19"/>
      <c r="E214" s="15" t="s">
        <v>1484</v>
      </c>
      <c r="F214" s="3"/>
      <c r="G214" s="19" t="str">
        <f>IFERROR(VLOOKUP(F214,tblManoeuvre[],2,FALSE)&amp;" "&amp;VLOOKUP(F214,tblManoeuvre[],3,FALSE),"")</f>
        <v/>
      </c>
      <c r="H214" s="68" t="str">
        <f>_xlfn.IFNA(IF(VLOOKUP(F214,tblMerits[],6,FALSE)=0,"None",VLOOKUP(F214,tblMerits[],6,FALSE)),"None")</f>
        <v>None</v>
      </c>
      <c r="I214" s="69"/>
      <c r="L214" s="4"/>
      <c r="M214" s="4"/>
      <c r="N214" s="4"/>
      <c r="O214" s="61">
        <f t="shared" si="33"/>
        <v>0</v>
      </c>
      <c r="P214" s="60">
        <f t="shared" si="34"/>
        <v>0</v>
      </c>
      <c r="Q214" s="61" t="str">
        <f>_xlfn.IFNA(VLOOKUP($F214,tblPacts[],3,FALSE),"")</f>
        <v/>
      </c>
      <c r="R214" s="61" t="str">
        <f>_xlfn.IFNA(VLOOKUP($F214,tblPacts[],4,FALSE),"")</f>
        <v/>
      </c>
    </row>
    <row r="215" spans="1:18">
      <c r="A215" s="1" t="s">
        <v>214</v>
      </c>
      <c r="B215" t="str">
        <f t="shared" si="32"/>
        <v>¬</v>
      </c>
      <c r="D215" s="19"/>
      <c r="E215" s="15" t="s">
        <v>1485</v>
      </c>
      <c r="F215" s="3"/>
      <c r="G215" s="19" t="str">
        <f>IFERROR(VLOOKUP(F215,tblManoeuvre[],2,FALSE)&amp;" "&amp;VLOOKUP(F215,tblManoeuvre[],3,FALSE),"")</f>
        <v/>
      </c>
      <c r="H215" s="68" t="str">
        <f>_xlfn.IFNA(IF(VLOOKUP(F215,tblMerits[],6,FALSE)=0,"None",VLOOKUP(F215,tblMerits[],6,FALSE)),"None")</f>
        <v>None</v>
      </c>
      <c r="I215" s="69"/>
      <c r="L215" s="4"/>
      <c r="M215" s="4"/>
      <c r="N215" s="4"/>
      <c r="O215" s="61">
        <f t="shared" si="33"/>
        <v>0</v>
      </c>
      <c r="P215" s="60">
        <f t="shared" si="34"/>
        <v>0</v>
      </c>
      <c r="Q215" s="61" t="str">
        <f>_xlfn.IFNA(VLOOKUP($F215,tblPacts[],3,FALSE),"")</f>
        <v/>
      </c>
      <c r="R215" s="61" t="str">
        <f>_xlfn.IFNA(VLOOKUP($F215,tblPacts[],4,FALSE),"")</f>
        <v/>
      </c>
    </row>
    <row r="216" spans="1:18">
      <c r="A216" s="1" t="s">
        <v>215</v>
      </c>
      <c r="B216" t="str">
        <f t="shared" si="32"/>
        <v>¬</v>
      </c>
    </row>
    <row r="217" spans="1:18">
      <c r="A217" s="1" t="s">
        <v>216</v>
      </c>
      <c r="B217" t="str">
        <f>IF(OR(AF134=0,AF134=""),"",REPT("●",AF134))</f>
        <v>●●●●●</v>
      </c>
      <c r="D217" s="16" t="s">
        <v>1509</v>
      </c>
      <c r="E217" s="16"/>
      <c r="F217" s="16"/>
      <c r="G217" s="16"/>
      <c r="H217" s="16"/>
      <c r="I217" s="16"/>
    </row>
    <row r="218" spans="1:18">
      <c r="A218" s="1" t="s">
        <v>217</v>
      </c>
      <c r="B218" t="str">
        <f t="shared" ref="B218:B236" si="35">IF(OR(AF135=0,AF135=""),"",REPT("●",AF135))</f>
        <v/>
      </c>
      <c r="D218" s="19"/>
      <c r="E218" s="15" t="s">
        <v>353</v>
      </c>
      <c r="F218" s="19"/>
      <c r="G218" s="19"/>
      <c r="H218" s="19"/>
      <c r="I218" s="19"/>
      <c r="M218" s="61">
        <f>IF(COUNTIF(F79:F93,"Giant")&gt;0,1,0)+IF(COUNTIF(F79:F93,"Small-Framed")&gt;0,-1,0)</f>
        <v>0</v>
      </c>
      <c r="P218" s="60">
        <f>5+M218</f>
        <v>5</v>
      </c>
    </row>
    <row r="219" spans="1:18">
      <c r="A219" s="1" t="s">
        <v>218</v>
      </c>
      <c r="B219" t="str">
        <f t="shared" si="35"/>
        <v/>
      </c>
      <c r="D219" s="19"/>
      <c r="E219" s="15" t="s">
        <v>354</v>
      </c>
      <c r="F219" s="19"/>
      <c r="G219" s="19"/>
      <c r="H219" s="19"/>
      <c r="I219" s="19"/>
      <c r="P219" s="60">
        <f ca="1">VLOOKUP("Size",INDIRECT($AH$1),2,FALSE)+VLOOKUP("Strength",INDIRECT($AH$1),2,FALSE)+VLOOKUP("Dexterity",INDIRECT($AH$1),2,FALSE)+VLOOKUP("Vigour",INDIRECT($AH$1),2,FALSE)</f>
        <v>9</v>
      </c>
    </row>
    <row r="220" spans="1:18">
      <c r="A220" s="1" t="s">
        <v>219</v>
      </c>
      <c r="B220" t="str">
        <f t="shared" si="35"/>
        <v/>
      </c>
      <c r="D220" s="19"/>
      <c r="E220" s="15" t="s">
        <v>355</v>
      </c>
      <c r="F220" s="19"/>
      <c r="G220" s="19"/>
      <c r="H220" s="19"/>
      <c r="I220" s="19"/>
      <c r="P220" s="60">
        <f ca="1">MIN(VLOOKUP("Dexterity",INDIRECT($AH$1),2,FALSE),VLOOKUP("Wits",INDIRECT($AH$1),2,FALSE))+VLOOKUP("Athletics",INDIRECT($AH$1),2,FALSE)</f>
        <v>7</v>
      </c>
    </row>
    <row r="221" spans="1:18">
      <c r="A221" s="1" t="s">
        <v>220</v>
      </c>
      <c r="B221" t="str">
        <f t="shared" si="35"/>
        <v/>
      </c>
      <c r="D221" s="19"/>
      <c r="E221" s="15" t="s">
        <v>52</v>
      </c>
      <c r="F221" s="19"/>
      <c r="G221" s="19"/>
      <c r="H221" s="19"/>
      <c r="I221" s="19"/>
      <c r="P221" s="60">
        <f ca="1">VLOOKUP("Size",INDIRECT($AH$1),2,FALSE)+VLOOKUP("Stamina",INDIRECT($AH$1),2,FALSE)+VLOOKUP("Resilience",INDIRECT($AH$1),2,FALSE)</f>
        <v>7</v>
      </c>
    </row>
    <row r="222" spans="1:18">
      <c r="A222" s="1" t="s">
        <v>221</v>
      </c>
      <c r="B222" t="str">
        <f t="shared" si="35"/>
        <v/>
      </c>
      <c r="D222" s="19"/>
      <c r="E222" s="19"/>
      <c r="F222" s="19"/>
      <c r="G222" s="19"/>
      <c r="H222" s="15" t="s">
        <v>1510</v>
      </c>
      <c r="I222" s="19"/>
      <c r="L222" s="4"/>
    </row>
    <row r="223" spans="1:18">
      <c r="A223" s="1" t="s">
        <v>222</v>
      </c>
      <c r="B223" t="str">
        <f t="shared" si="35"/>
        <v/>
      </c>
      <c r="D223" s="19"/>
      <c r="E223" s="15" t="s">
        <v>1511</v>
      </c>
      <c r="F223" s="7"/>
      <c r="G223" s="19"/>
      <c r="H223" s="15" t="s">
        <v>1512</v>
      </c>
      <c r="I223" s="19"/>
      <c r="L223" s="4">
        <v>7</v>
      </c>
    </row>
    <row r="224" spans="1:18">
      <c r="A224" s="1" t="s">
        <v>223</v>
      </c>
      <c r="B224" t="str">
        <f t="shared" si="35"/>
        <v/>
      </c>
      <c r="D224" s="19"/>
      <c r="E224" s="15" t="s">
        <v>1513</v>
      </c>
      <c r="F224" s="7"/>
      <c r="G224" s="19"/>
      <c r="H224" s="15" t="s">
        <v>1514</v>
      </c>
      <c r="I224" s="19"/>
      <c r="L224" s="4"/>
    </row>
    <row r="225" spans="1:12">
      <c r="A225" s="1" t="s">
        <v>224</v>
      </c>
      <c r="B225" t="str">
        <f t="shared" si="35"/>
        <v/>
      </c>
      <c r="D225" s="19"/>
      <c r="E225" s="15" t="s">
        <v>1515</v>
      </c>
      <c r="F225" s="7"/>
      <c r="G225" s="19"/>
      <c r="H225" s="15" t="s">
        <v>1516</v>
      </c>
      <c r="I225" s="19"/>
      <c r="L225" s="4"/>
    </row>
    <row r="226" spans="1:12">
      <c r="A226" s="1" t="s">
        <v>225</v>
      </c>
      <c r="B226" t="str">
        <f t="shared" si="35"/>
        <v/>
      </c>
      <c r="D226" s="19"/>
      <c r="E226" s="15" t="s">
        <v>1517</v>
      </c>
      <c r="F226" s="7"/>
      <c r="G226" s="19"/>
      <c r="H226" s="19"/>
      <c r="I226" s="19"/>
    </row>
    <row r="227" spans="1:12">
      <c r="A227" s="1" t="s">
        <v>226</v>
      </c>
      <c r="B227" t="str">
        <f t="shared" si="35"/>
        <v/>
      </c>
      <c r="D227" s="19"/>
      <c r="E227" s="15" t="s">
        <v>1518</v>
      </c>
      <c r="F227" s="7" t="s">
        <v>1765</v>
      </c>
      <c r="G227" s="19"/>
      <c r="H227" s="19"/>
      <c r="I227" s="19"/>
    </row>
    <row r="228" spans="1:12">
      <c r="A228" s="1" t="s">
        <v>227</v>
      </c>
      <c r="B228" t="str">
        <f t="shared" si="35"/>
        <v/>
      </c>
      <c r="D228" s="19"/>
      <c r="E228" s="15" t="s">
        <v>1519</v>
      </c>
      <c r="F228" s="7"/>
      <c r="G228" s="19"/>
      <c r="H228" s="19"/>
      <c r="I228" s="19"/>
    </row>
    <row r="229" spans="1:12">
      <c r="A229" s="1" t="s">
        <v>228</v>
      </c>
      <c r="B229" t="str">
        <f t="shared" si="35"/>
        <v/>
      </c>
      <c r="D229" s="19"/>
      <c r="E229" s="15" t="s">
        <v>1520</v>
      </c>
      <c r="F229" s="7"/>
      <c r="G229" s="19"/>
      <c r="H229" s="19"/>
      <c r="I229" s="19"/>
    </row>
    <row r="230" spans="1:12">
      <c r="A230" s="1" t="s">
        <v>229</v>
      </c>
      <c r="B230" t="str">
        <f t="shared" si="35"/>
        <v/>
      </c>
      <c r="D230" s="19"/>
      <c r="E230" s="15" t="s">
        <v>1521</v>
      </c>
      <c r="F230" s="7"/>
      <c r="G230" s="19"/>
      <c r="H230" s="19"/>
      <c r="I230" s="19"/>
    </row>
    <row r="231" spans="1:12">
      <c r="A231" s="1" t="s">
        <v>230</v>
      </c>
      <c r="B231" t="str">
        <f t="shared" si="35"/>
        <v/>
      </c>
      <c r="D231" s="19"/>
      <c r="E231" s="15" t="s">
        <v>1522</v>
      </c>
      <c r="F231" s="7"/>
      <c r="G231" s="19"/>
      <c r="H231" s="19"/>
      <c r="I231" s="19"/>
    </row>
    <row r="232" spans="1:12">
      <c r="A232" s="1" t="s">
        <v>231</v>
      </c>
      <c r="B232" t="str">
        <f t="shared" si="35"/>
        <v/>
      </c>
      <c r="D232" s="19"/>
      <c r="E232" s="15" t="s">
        <v>1523</v>
      </c>
      <c r="F232" s="7"/>
      <c r="G232" s="19"/>
      <c r="H232" s="19"/>
      <c r="I232" s="19"/>
    </row>
    <row r="233" spans="1:12">
      <c r="A233" s="1" t="s">
        <v>232</v>
      </c>
      <c r="B233" t="str">
        <f t="shared" si="35"/>
        <v/>
      </c>
      <c r="D233" s="19"/>
      <c r="E233" s="19"/>
      <c r="F233" s="19"/>
      <c r="G233" s="19"/>
      <c r="H233" s="19"/>
      <c r="I233" s="19"/>
    </row>
    <row r="234" spans="1:12">
      <c r="A234" s="1" t="s">
        <v>233</v>
      </c>
      <c r="B234" t="str">
        <f t="shared" si="35"/>
        <v/>
      </c>
      <c r="D234" s="19"/>
      <c r="E234" s="15" t="s">
        <v>343</v>
      </c>
      <c r="F234" s="61" t="str">
        <f>_xlfn.IFNA(VLOOKUP(F7,tblClans[],4,FALSE),"")</f>
        <v>Tenebrous Curse</v>
      </c>
      <c r="G234" s="19"/>
      <c r="H234" s="74" t="str">
        <f>_xlfn.IFNA(VLOOKUP(F234,tblBanes[],2,FALSE),"")</f>
        <v>Gain an extra bane at Humanity 6 (doesn't count towards cap); Humanity counts –1 for all Humanity-based banes.</v>
      </c>
      <c r="I234" s="74"/>
    </row>
    <row r="235" spans="1:12">
      <c r="A235" s="1" t="s">
        <v>234</v>
      </c>
      <c r="B235" t="str">
        <f t="shared" si="35"/>
        <v/>
      </c>
      <c r="D235" s="19"/>
      <c r="E235" s="15" t="s">
        <v>344</v>
      </c>
      <c r="F235" s="19"/>
      <c r="G235" s="19"/>
      <c r="H235" s="19"/>
      <c r="I235" s="19"/>
    </row>
    <row r="236" spans="1:12">
      <c r="A236" s="1" t="s">
        <v>235</v>
      </c>
      <c r="B236" t="str">
        <f t="shared" si="35"/>
        <v/>
      </c>
      <c r="D236" s="19"/>
      <c r="E236" s="15" t="s">
        <v>345</v>
      </c>
      <c r="F236" s="3" t="s">
        <v>1106</v>
      </c>
      <c r="G236" s="7" t="s">
        <v>1766</v>
      </c>
      <c r="H236" s="70" t="str">
        <f>_xlfn.IFNA(VLOOKUP(F236,tblBanes[],2,FALSE),"")</f>
        <v>Animals react violently; Animal Ken/Animalism suffer (10 – Humanity) penalty.</v>
      </c>
      <c r="I236" s="71"/>
    </row>
    <row r="237" spans="1:12">
      <c r="A237" s="1" t="s">
        <v>236</v>
      </c>
      <c r="B237" t="str">
        <f ca="1">_xlfn.LET(_xlpm.v,VLOOKUP(tblCharDataKeeper[[#This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_xlfn.LET(_xlpm.v,VLOOKUP(tblCharDataKeeper[[#This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_xlfn.LET(_xlpm.v,VLOOKUP(tblCharDataKeeper[[#This Row],[Field]],INDIRECT($AH$1),2,FALSE),IF(OR(_xlpm.v=0,_xlpm.v=""),"-",REPT("●",_xlpm.v)))</f>
        <v>●</v>
      </c>
      <c r="D239" s="19"/>
      <c r="E239" s="19"/>
      <c r="F239" s="19"/>
      <c r="G239" s="19"/>
      <c r="H239" s="19"/>
      <c r="I239" s="19"/>
    </row>
    <row r="240" spans="1:12">
      <c r="A240" s="1" t="s">
        <v>239</v>
      </c>
      <c r="B240" t="str">
        <f ca="1">_xlfn.LET(_xlpm.v,VLOOKUP(tblCharDataKeeper[[#This Row],[Field]],INDIRECT($AH$1),2,FALSE),IF(OR(_xlpm.v=0,_xlpm.v=""),"-",REPT("●",_xlpm.v)))</f>
        <v>●●●●</v>
      </c>
      <c r="D240" s="19"/>
      <c r="E240" s="15" t="s">
        <v>360</v>
      </c>
      <c r="F240" s="62" t="s">
        <v>1110</v>
      </c>
      <c r="G240" s="63"/>
      <c r="H240" s="63"/>
      <c r="I240" s="64"/>
    </row>
    <row r="241" spans="1:9">
      <c r="A241" s="1" t="s">
        <v>240</v>
      </c>
      <c r="B241" t="str">
        <f ca="1">_xlfn.LET(_xlpm.v,VLOOKUP(tblCharDataKeeper[[#This Row],[Field]],INDIRECT($AH$1),2,FALSE),IF(OR(_xlpm.v=0,_xlpm.v=""),"-",REPT("●",_xlpm.v)))</f>
        <v>-</v>
      </c>
      <c r="D241" s="19"/>
      <c r="E241" s="15" t="s">
        <v>361</v>
      </c>
      <c r="F241" s="62" t="s">
        <v>1111</v>
      </c>
      <c r="G241" s="63"/>
      <c r="H241" s="63"/>
      <c r="I241" s="64"/>
    </row>
    <row r="242" spans="1:9">
      <c r="A242" s="1" t="s">
        <v>241</v>
      </c>
      <c r="B242" t="str">
        <f ca="1">_xlfn.LET(_xlpm.v,VLOOKUP(tblCharDataKeeper[[#This Row],[Field]],INDIRECT($AH$1),2,FALSE),IF(OR(_xlpm.v=0,_xlpm.v=""),"-",REPT("●",_xlpm.v)))</f>
        <v>-</v>
      </c>
      <c r="D242" s="19"/>
      <c r="E242" s="15" t="s">
        <v>362</v>
      </c>
      <c r="F242" s="62" t="s">
        <v>1112</v>
      </c>
      <c r="G242" s="63"/>
      <c r="H242" s="63"/>
      <c r="I242" s="64"/>
    </row>
    <row r="243" spans="1:9">
      <c r="A243" s="1" t="s">
        <v>242</v>
      </c>
      <c r="B243" t="str">
        <f ca="1">_xlfn.LET(_xlpm.v,VLOOKUP(tblCharDataKeeper[[#This Row],[Field]],INDIRECT($AH$1),2,FALSE),IF(OR(_xlpm.v=0,_xlpm.v=""),"-",REPT("●",_xlpm.v)))</f>
        <v>●</v>
      </c>
      <c r="D243" s="19"/>
      <c r="E243" s="19"/>
      <c r="F243" s="19"/>
      <c r="G243" s="19"/>
      <c r="H243" s="19"/>
      <c r="I243" s="19"/>
    </row>
    <row r="244" spans="1:9">
      <c r="A244" s="1" t="s">
        <v>243</v>
      </c>
      <c r="B244" t="str">
        <f ca="1">_xlfn.LET(_xlpm.v,VLOOKUP(tblCharDataKeeper[[#This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_xlfn.LET(_xlpm.v,VLOOKUP(tblCharDataKeeper[[#This Row],[Field]],INDIRECT($AH$1),2,FALSE),IF(OR(_xlpm.v=0,_xlpm.v=""),"-",REPT("●",_xlpm.v)))</f>
        <v>-</v>
      </c>
      <c r="D245" s="19"/>
      <c r="E245" s="15" t="s">
        <v>1524</v>
      </c>
      <c r="F245" s="62" t="s">
        <v>1114</v>
      </c>
      <c r="G245" s="63"/>
      <c r="H245" s="63"/>
      <c r="I245" s="64"/>
    </row>
    <row r="246" spans="1:9">
      <c r="A246" s="1" t="s">
        <v>245</v>
      </c>
      <c r="B246" t="str">
        <f ca="1">_xlfn.LET(_xlpm.v,VLOOKUP(tblCharDataKeeper[[#This Row],[Field]],INDIRECT($AH$1),2,FALSE),IF(OR(_xlpm.v=0,_xlpm.v=""),"-",REPT("●",_xlpm.v)))</f>
        <v>-</v>
      </c>
    </row>
    <row r="247" spans="1:9">
      <c r="A247" s="1" t="s">
        <v>246</v>
      </c>
      <c r="B247" t="str">
        <f ca="1">_xlfn.LET(_xlpm.v,VLOOKUP(tblCharDataKeeper[[#This Row],[Field]],INDIRECT($AH$1),2,FALSE),IF(OR(_xlpm.v=0,_xlpm.v=""),"-",REPT("●",_xlpm.v)))</f>
        <v>●●●●</v>
      </c>
      <c r="D247" s="16" t="s">
        <v>1525</v>
      </c>
      <c r="E247" s="16"/>
      <c r="F247" s="16" t="s">
        <v>1526</v>
      </c>
      <c r="G247" s="16" t="s">
        <v>1527</v>
      </c>
      <c r="H247" s="16"/>
      <c r="I247" s="16"/>
    </row>
    <row r="248" spans="1:9">
      <c r="A248" s="1" t="s">
        <v>247</v>
      </c>
      <c r="B248" t="str">
        <f ca="1">_xlfn.LET(_xlpm.v,VLOOKUP(tblCharDataKeeper[[#This Row],[Field]],INDIRECT($AH$1),2,FALSE),IF(OR(_xlpm.v=0,_xlpm.v=""),"-",REPT("●",_xlpm.v)))</f>
        <v>-</v>
      </c>
      <c r="D248" s="19"/>
      <c r="E248" s="15" t="s">
        <v>1528</v>
      </c>
      <c r="F248" s="7"/>
      <c r="G248" s="7"/>
      <c r="H248" s="19"/>
      <c r="I248" s="19" t="s">
        <v>1529</v>
      </c>
    </row>
    <row r="249" spans="1:9">
      <c r="A249" s="1" t="s">
        <v>248</v>
      </c>
      <c r="B249" t="str">
        <f ca="1">_xlfn.LET(_xlpm.v,VLOOKUP(tblCharDataKeeper[[#This Row],[Field]],INDIRECT($AH$1),2,FALSE),IF(OR(_xlpm.v=0,_xlpm.v=""),"-",REPT("●",_xlpm.v)))</f>
        <v>●</v>
      </c>
      <c r="D249" s="19"/>
      <c r="E249" s="15" t="s">
        <v>1530</v>
      </c>
      <c r="F249" s="7"/>
      <c r="G249" s="7"/>
      <c r="H249" s="19"/>
      <c r="I249" s="19" t="s">
        <v>1531</v>
      </c>
    </row>
    <row r="250" spans="1:9">
      <c r="A250" s="1" t="s">
        <v>249</v>
      </c>
      <c r="B250" t="str">
        <f ca="1">_xlfn.LET(_xlpm.v,VLOOKUP(tblCharDataKeeper[[#This Row],[Field]],INDIRECT($AH$1),2,FALSE),IF(OR(_xlpm.v=0,_xlpm.v=""),"-",REPT("●",_xlpm.v)))</f>
        <v>-</v>
      </c>
      <c r="D250" s="19" t="s">
        <v>1532</v>
      </c>
      <c r="E250" s="15" t="s">
        <v>1533</v>
      </c>
      <c r="F250" s="7"/>
      <c r="G250" s="7"/>
      <c r="H250" s="19"/>
      <c r="I250" s="19"/>
    </row>
    <row r="251" spans="1:9">
      <c r="A251" s="1" t="s">
        <v>250</v>
      </c>
      <c r="B251" t="str">
        <f ca="1">_xlfn.LET(_xlpm.v,VLOOKUP(tblCharDataKeeper[[#This Row],[Field]],INDIRECT($AH$1),2,FALSE),IF(OR(_xlpm.v=0,_xlpm.v=""),"-",REPT("●",_xlpm.v)))</f>
        <v>-</v>
      </c>
      <c r="D251" s="19" t="s">
        <v>1532</v>
      </c>
      <c r="E251" s="15" t="s">
        <v>1534</v>
      </c>
      <c r="F251" s="7"/>
      <c r="G251" s="7"/>
      <c r="H251" s="19"/>
      <c r="I251" s="19"/>
    </row>
    <row r="252" spans="1:9">
      <c r="A252" s="1" t="s">
        <v>251</v>
      </c>
      <c r="B252" t="str">
        <f ca="1">_xlfn.LET(_xlpm.v,VLOOKUP(tblCharDataKeeper[[#This Row],[Field]],INDIRECT($AH$1),2,FALSE),IF(OR(_xlpm.v=0,_xlpm.v=""),"-",REPT("●",_xlpm.v)))</f>
        <v>●</v>
      </c>
      <c r="D252" s="19" t="s">
        <v>1532</v>
      </c>
      <c r="E252" s="15" t="s">
        <v>1535</v>
      </c>
      <c r="F252" s="7"/>
      <c r="G252" s="7"/>
      <c r="H252" s="19"/>
      <c r="I252" s="19"/>
    </row>
    <row r="253" spans="1:9">
      <c r="A253" s="1" t="s">
        <v>252</v>
      </c>
      <c r="B253" t="str">
        <f ca="1">_xlfn.LET(_xlpm.v,VLOOKUP(tblCharDataKeeper[[#This Row],[Field]],INDIRECT($AH$1),2,FALSE),IF(OR(_xlpm.v=0,_xlpm.v=""),"-",REPT("●",_xlpm.v)))</f>
        <v>●●●●</v>
      </c>
      <c r="D253" s="19" t="s">
        <v>1532</v>
      </c>
      <c r="E253" s="15" t="s">
        <v>1536</v>
      </c>
      <c r="F253" s="7"/>
      <c r="G253" s="7"/>
      <c r="H253" s="19"/>
      <c r="I253" s="19"/>
    </row>
    <row r="254" spans="1:9">
      <c r="A254" s="1" t="s">
        <v>253</v>
      </c>
      <c r="B254" t="str">
        <f t="shared" ref="B254:B283" si="36">IF(AD44="","¬",AD44)</f>
        <v>Auspex ● | Beast's Hackles</v>
      </c>
      <c r="D254" s="19" t="s">
        <v>1532</v>
      </c>
      <c r="E254" s="15" t="s">
        <v>1537</v>
      </c>
      <c r="F254" s="7"/>
      <c r="G254" s="7"/>
      <c r="H254" s="19"/>
      <c r="I254" s="19"/>
    </row>
    <row r="255" spans="1:9">
      <c r="A255" s="1" t="s">
        <v>254</v>
      </c>
      <c r="B255" t="str">
        <f t="shared" si="36"/>
        <v>Celerity ●</v>
      </c>
      <c r="D255" s="19" t="s">
        <v>1532</v>
      </c>
      <c r="E255" s="15" t="s">
        <v>1538</v>
      </c>
      <c r="F255" s="7"/>
      <c r="G255" s="7"/>
      <c r="H255" s="19"/>
      <c r="I255" s="19"/>
    </row>
    <row r="256" spans="1:9">
      <c r="A256" s="1" t="s">
        <v>255</v>
      </c>
      <c r="B256" t="str">
        <f t="shared" si="36"/>
        <v>Dominate ● | Mesmerise</v>
      </c>
      <c r="D256" s="19" t="s">
        <v>1532</v>
      </c>
      <c r="E256" s="15" t="s">
        <v>1539</v>
      </c>
      <c r="F256" s="7"/>
      <c r="G256" s="7"/>
      <c r="H256" s="19"/>
      <c r="I256" s="19"/>
    </row>
    <row r="257" spans="1:9">
      <c r="A257" s="1" t="s">
        <v>256</v>
      </c>
      <c r="B257" t="str">
        <f t="shared" si="36"/>
        <v>Dominate ●● | Iron Edict</v>
      </c>
      <c r="D257" s="19" t="s">
        <v>1532</v>
      </c>
      <c r="E257" s="15" t="s">
        <v>1540</v>
      </c>
      <c r="F257" s="7"/>
      <c r="G257" s="7"/>
      <c r="H257" s="19"/>
      <c r="I257" s="19"/>
    </row>
    <row r="258" spans="1:9">
      <c r="A258" s="1" t="s">
        <v>257</v>
      </c>
      <c r="B258" t="str">
        <f t="shared" si="36"/>
        <v>Dominate ●●● | Entombed Command</v>
      </c>
      <c r="D258" s="19" t="s">
        <v>1532</v>
      </c>
      <c r="E258" s="15" t="s">
        <v>1541</v>
      </c>
      <c r="F258" s="7"/>
      <c r="G258" s="7"/>
      <c r="H258" s="19"/>
      <c r="I258" s="19"/>
    </row>
    <row r="259" spans="1:9">
      <c r="A259" s="1" t="s">
        <v>258</v>
      </c>
      <c r="B259" t="str">
        <f t="shared" si="36"/>
        <v>Dominate ●●●● | The Lying Mind</v>
      </c>
      <c r="D259" s="19" t="s">
        <v>1532</v>
      </c>
      <c r="E259" s="15" t="s">
        <v>1542</v>
      </c>
      <c r="F259" s="7"/>
      <c r="G259" s="7"/>
      <c r="H259" s="19"/>
      <c r="I259" s="19"/>
    </row>
    <row r="260" spans="1:9">
      <c r="A260" s="1" t="s">
        <v>259</v>
      </c>
      <c r="B260" t="str">
        <f t="shared" si="36"/>
        <v>Obfuscate ● | Face in the Crowd</v>
      </c>
      <c r="D260" s="19" t="s">
        <v>1532</v>
      </c>
      <c r="E260" s="15" t="s">
        <v>1543</v>
      </c>
      <c r="F260" s="7"/>
      <c r="G260" s="7"/>
      <c r="H260" s="19"/>
      <c r="I260" s="19"/>
    </row>
    <row r="261" spans="1:9">
      <c r="A261" s="1" t="s">
        <v>260</v>
      </c>
      <c r="B261" t="str">
        <f t="shared" si="36"/>
        <v>Devotion  | The Taste of Things Lived</v>
      </c>
      <c r="D261" s="19" t="s">
        <v>1532</v>
      </c>
      <c r="E261" s="15" t="s">
        <v>1544</v>
      </c>
      <c r="F261" s="7"/>
      <c r="G261" s="7"/>
      <c r="H261" s="19"/>
      <c r="I261" s="19"/>
    </row>
    <row r="262" spans="1:9">
      <c r="A262" s="1" t="s">
        <v>261</v>
      </c>
      <c r="B262" t="str">
        <f t="shared" si="36"/>
        <v>Devotion  | The Exchange of Things Past</v>
      </c>
      <c r="D262" s="19" t="s">
        <v>1532</v>
      </c>
      <c r="E262" s="15" t="s">
        <v>1545</v>
      </c>
      <c r="F262" s="7"/>
      <c r="G262" s="7"/>
      <c r="H262" s="19"/>
      <c r="I262" s="19"/>
    </row>
    <row r="263" spans="1:9">
      <c r="A263" s="1" t="s">
        <v>262</v>
      </c>
      <c r="B263" t="str">
        <f t="shared" si="36"/>
        <v>Blood Sorcery | Creation ●</v>
      </c>
      <c r="D263" s="19" t="s">
        <v>1532</v>
      </c>
      <c r="E263" s="15" t="s">
        <v>1546</v>
      </c>
      <c r="F263" s="7"/>
      <c r="G263" s="7"/>
      <c r="H263" s="19"/>
      <c r="I263" s="19"/>
    </row>
    <row r="264" spans="1:9">
      <c r="A264" s="1" t="s">
        <v>263</v>
      </c>
      <c r="B264" t="str">
        <f t="shared" si="36"/>
        <v>Blood Sorcery | Protection ●</v>
      </c>
      <c r="D264" s="19" t="s">
        <v>1532</v>
      </c>
      <c r="E264" s="15" t="s">
        <v>1547</v>
      </c>
      <c r="F264" s="7"/>
      <c r="G264" s="7"/>
      <c r="H264" s="19"/>
      <c r="I264" s="19"/>
    </row>
    <row r="265" spans="1:9">
      <c r="A265" s="1" t="s">
        <v>264</v>
      </c>
      <c r="B265" t="str">
        <f t="shared" si="36"/>
        <v>Blood Sorcery | Transmutation ●</v>
      </c>
      <c r="D265" s="19" t="s">
        <v>1532</v>
      </c>
      <c r="E265" s="15" t="s">
        <v>1548</v>
      </c>
      <c r="F265" s="7"/>
      <c r="G265" s="7"/>
      <c r="H265" s="19"/>
      <c r="I265" s="19"/>
    </row>
    <row r="266" spans="1:9">
      <c r="A266" s="1" t="s">
        <v>265</v>
      </c>
      <c r="B266" t="str">
        <f t="shared" si="36"/>
        <v>Blood Sorcery | Transmutation ●●</v>
      </c>
      <c r="D266" s="19" t="s">
        <v>1532</v>
      </c>
      <c r="E266" s="15" t="s">
        <v>1549</v>
      </c>
      <c r="F266" s="7"/>
      <c r="G266" s="7"/>
      <c r="H266" s="19"/>
      <c r="I266" s="19"/>
    </row>
    <row r="267" spans="1:9">
      <c r="A267" s="1" t="s">
        <v>266</v>
      </c>
      <c r="B267" t="str">
        <f t="shared" si="36"/>
        <v>Blood Sorcery | Transmutation ●●●</v>
      </c>
      <c r="D267" s="19" t="s">
        <v>1532</v>
      </c>
      <c r="E267" s="15" t="s">
        <v>1550</v>
      </c>
      <c r="F267" s="7"/>
      <c r="G267" s="7"/>
      <c r="H267" s="19"/>
      <c r="I267" s="19"/>
    </row>
    <row r="268" spans="1:9">
      <c r="A268" s="1" t="s">
        <v>267</v>
      </c>
      <c r="B268" t="str">
        <f t="shared" si="36"/>
        <v>Blood Sorcery | Transmutation ●●●●</v>
      </c>
      <c r="D268" s="19" t="s">
        <v>1532</v>
      </c>
      <c r="E268" s="15" t="s">
        <v>1551</v>
      </c>
      <c r="F268" s="7"/>
      <c r="G268" s="7"/>
      <c r="H268" s="19"/>
      <c r="I268" s="19"/>
    </row>
    <row r="269" spans="1:9">
      <c r="A269" s="1" t="s">
        <v>268</v>
      </c>
      <c r="B269" t="str">
        <f t="shared" si="36"/>
        <v>Cruac ● | Mantle of Amorous Fire</v>
      </c>
      <c r="D269" s="19" t="s">
        <v>1532</v>
      </c>
      <c r="E269" s="15" t="s">
        <v>1552</v>
      </c>
      <c r="F269" s="7"/>
      <c r="G269" s="7"/>
      <c r="H269" s="19"/>
      <c r="I269" s="19"/>
    </row>
    <row r="270" spans="1:9">
      <c r="A270" s="1" t="s">
        <v>269</v>
      </c>
      <c r="B270" t="str">
        <f t="shared" si="36"/>
        <v>Cruac ●● | Wisdom of the Soul</v>
      </c>
      <c r="D270" s="19" t="s">
        <v>1532</v>
      </c>
      <c r="E270" s="15" t="s">
        <v>1553</v>
      </c>
      <c r="F270" s="7"/>
      <c r="G270" s="7"/>
      <c r="H270" s="19"/>
      <c r="I270" s="19"/>
    </row>
    <row r="271" spans="1:9">
      <c r="A271" s="1" t="s">
        <v>270</v>
      </c>
      <c r="B271" t="str">
        <f t="shared" si="36"/>
        <v>Cruac ● | Deflection of Wooden Doom</v>
      </c>
      <c r="D271" s="19" t="s">
        <v>1532</v>
      </c>
      <c r="E271" s="15" t="s">
        <v>1554</v>
      </c>
      <c r="F271" s="7"/>
      <c r="G271" s="7"/>
      <c r="H271" s="19"/>
      <c r="I271" s="19"/>
    </row>
    <row r="272" spans="1:9">
      <c r="A272" s="1" t="s">
        <v>271</v>
      </c>
      <c r="B272" t="str">
        <f t="shared" si="36"/>
        <v>Cruac ●●●● | Willful Vitae</v>
      </c>
      <c r="D272" s="19" t="s">
        <v>1532</v>
      </c>
      <c r="E272" s="15" t="s">
        <v>1555</v>
      </c>
      <c r="F272" s="7"/>
      <c r="G272" s="7"/>
      <c r="H272" s="19"/>
      <c r="I272" s="19"/>
    </row>
    <row r="273" spans="1:14">
      <c r="A273" s="1" t="s">
        <v>272</v>
      </c>
      <c r="B273" t="str">
        <f t="shared" si="36"/>
        <v>Oath of the Safe Word ●●</v>
      </c>
      <c r="D273" s="19" t="s">
        <v>1532</v>
      </c>
      <c r="E273" s="15" t="s">
        <v>1556</v>
      </c>
      <c r="F273" s="7"/>
      <c r="G273" s="7"/>
      <c r="H273" s="19"/>
      <c r="I273" s="19"/>
    </row>
    <row r="274" spans="1:14">
      <c r="A274" s="1" t="s">
        <v>273</v>
      </c>
      <c r="B274" t="str">
        <f t="shared" si="36"/>
        <v>¬</v>
      </c>
      <c r="D274" s="19" t="s">
        <v>1532</v>
      </c>
      <c r="E274" s="15" t="s">
        <v>1557</v>
      </c>
      <c r="F274" s="7"/>
      <c r="G274" s="7"/>
      <c r="H274" s="19"/>
      <c r="I274" s="19"/>
    </row>
    <row r="275" spans="1:14">
      <c r="A275" s="1" t="s">
        <v>274</v>
      </c>
      <c r="B275" t="str">
        <f t="shared" si="36"/>
        <v>¬</v>
      </c>
      <c r="D275" s="19" t="s">
        <v>1532</v>
      </c>
      <c r="E275" s="15" t="s">
        <v>1558</v>
      </c>
      <c r="F275" s="7"/>
      <c r="G275" s="7"/>
      <c r="H275" s="19"/>
      <c r="I275" s="19"/>
    </row>
    <row r="276" spans="1:14">
      <c r="A276" s="1" t="s">
        <v>275</v>
      </c>
      <c r="B276" t="str">
        <f t="shared" si="36"/>
        <v>¬</v>
      </c>
      <c r="D276" s="19" t="s">
        <v>1532</v>
      </c>
      <c r="E276" s="15" t="s">
        <v>1559</v>
      </c>
      <c r="F276" s="7"/>
      <c r="G276" s="7"/>
      <c r="H276" s="19"/>
      <c r="I276" s="19"/>
    </row>
    <row r="277" spans="1:14">
      <c r="A277" s="1" t="s">
        <v>276</v>
      </c>
      <c r="B277" t="str">
        <f t="shared" si="36"/>
        <v>¬</v>
      </c>
      <c r="D277" s="19" t="s">
        <v>1532</v>
      </c>
      <c r="E277" s="15" t="s">
        <v>1560</v>
      </c>
      <c r="F277" s="7"/>
      <c r="G277" s="7"/>
      <c r="H277" s="19"/>
      <c r="I277" s="19"/>
    </row>
    <row r="278" spans="1:14">
      <c r="A278" s="1" t="s">
        <v>277</v>
      </c>
      <c r="B278" t="str">
        <f t="shared" si="36"/>
        <v>¬</v>
      </c>
    </row>
    <row r="279" spans="1:14">
      <c r="A279" s="1" t="s">
        <v>278</v>
      </c>
      <c r="B279" t="str">
        <f t="shared" si="36"/>
        <v>¬</v>
      </c>
      <c r="D279" s="16" t="s">
        <v>1561</v>
      </c>
      <c r="E279" s="16"/>
      <c r="F279" s="16" t="s">
        <v>1347</v>
      </c>
      <c r="G279" s="16" t="s">
        <v>1348</v>
      </c>
      <c r="H279" s="16" t="s">
        <v>1349</v>
      </c>
      <c r="I279" s="16" t="s">
        <v>1350</v>
      </c>
      <c r="N279" s="60">
        <f ca="1">SUM(N280:N282)</f>
        <v>3</v>
      </c>
    </row>
    <row r="280" spans="1:14">
      <c r="A280" s="1" t="s">
        <v>279</v>
      </c>
      <c r="B280" t="str">
        <f t="shared" si="36"/>
        <v>¬</v>
      </c>
      <c r="D280" s="61" t="str" cm="1">
        <f t="array" aca="1" ref="D280" ca="1">INDEX(Attendance!$C$14:$GP$44,
       MATCH($F$4, Attendance!$C$14:$C$44, 0),
       MATCH(1, (Attendance!$C$12:$GP$12=$E280) * (Attendance!$C$13:$GP$13="Paid"), 0)
)</f>
        <v>Cash</v>
      </c>
      <c r="E280" s="41">
        <v>46054</v>
      </c>
      <c r="F280" s="61" cm="1">
        <f t="array" aca="1" ref="F280" ca="1">N(INDEX(Attendance!$C$14:$GP$104,
       MATCH($F$4, Attendance!$C$14:$C$104, 0),
       MATCH(1, (Attendance!$C$12:$GP$12=$E280) * (Attendance!$C$13:$GP$13=$F$279), 0)
))</f>
        <v>3</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0</v>
      </c>
      <c r="I280" s="61" t="str" cm="1">
        <f t="array" aca="1" ref="I280" ca="1">INDEX(Attendance!$C$14:$GP$44,
       MATCH($F$4, Attendance!$C$14:$C$44, 0),
       MATCH(1, (Attendance!$C$12:$GP$12=$E280) * (Attendance!$C$13:$GP$13=$I$279), 0)
)</f>
        <v>Quiet</v>
      </c>
      <c r="K280" s="18"/>
      <c r="L280" s="18"/>
      <c r="M280" s="18" t="s">
        <v>1562</v>
      </c>
      <c r="N280" s="61">
        <f ca="1">SUM(F$280:F$316)</f>
        <v>3</v>
      </c>
    </row>
    <row r="281" spans="1:14">
      <c r="A281" s="1" t="s">
        <v>280</v>
      </c>
      <c r="B281" t="str">
        <f t="shared" si="36"/>
        <v>¬</v>
      </c>
      <c r="D281" s="61" t="str" cm="1">
        <f t="array" aca="1" ref="D281" ca="1">INDEX(Attendance!$C$14:$GP$44,
       MATCH($F$4, Attendance!$C$14:$C$44, 0),
       MATCH(1, (Attendance!$C$12:$GP$12=$E281) * (Attendance!$C$13:$GP$13="Paid"), 0)
)</f>
        <v> </v>
      </c>
      <c r="E281" s="42">
        <f t="shared" ref="E281:E316" si="37">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6"/>
        <v>¬</v>
      </c>
      <c r="D282" s="61" t="str" cm="1">
        <f t="array" aca="1" ref="D282" ca="1">INDEX(Attendance!$C$14:$GP$44,
       MATCH($F$4, Attendance!$C$14:$C$44, 0),
       MATCH(1, (Attendance!$C$12:$GP$12=$E282) * (Attendance!$C$13:$GP$13="Paid"), 0)
)</f>
        <v> </v>
      </c>
      <c r="E282" s="42">
        <f t="shared" si="37"/>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0</v>
      </c>
    </row>
    <row r="283" spans="1:14">
      <c r="A283" s="1" t="s">
        <v>282</v>
      </c>
      <c r="B283" t="str">
        <f t="shared" si="36"/>
        <v>¬</v>
      </c>
      <c r="D283" s="61" t="str" cm="1">
        <f t="array" aca="1" ref="D283" ca="1">INDEX(Attendance!$C$14:$GP$44,
       MATCH($F$4, Attendance!$C$14:$C$44, 0),
       MATCH(1, (Attendance!$C$12:$GP$12=$E283) * (Attendance!$C$13:$GP$13="Paid"), 0)
)</f>
        <v> </v>
      </c>
      <c r="E283" s="42">
        <f t="shared" si="37"/>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8">IF(AE44="","¬",AE44)</f>
        <v>Cost: Free (1 V for Insight)  •  Pool: - - Composure &amp; Closed Book  •  Instant  •  Scene</v>
      </c>
      <c r="D284" s="61" t="str" cm="1">
        <f t="array" aca="1" ref="D284" ca="1">INDEX(Attendance!$C$14:$GP$44,
       MATCH($F$4, Attendance!$C$14:$C$44, 0),
       MATCH(1, (Attendance!$C$12:$GP$12=$E284) * (Attendance!$C$13:$GP$13="Paid"), 0)
)</f>
        <v> </v>
      </c>
      <c r="E284" s="42">
        <f t="shared" si="37"/>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8"/>
        <v>Cost: 1 V per effect  •  Pool: -  •  Reflexive  •  1 turn</v>
      </c>
      <c r="D285" s="61" t="str" cm="1">
        <f t="array" aca="1" ref="D285" ca="1">INDEX(Attendance!$C$14:$GP$44,
       MATCH($F$4, Attendance!$C$14:$C$44, 0),
       MATCH(1, (Attendance!$C$12:$GP$12=$E285) * (Attendance!$C$13:$GP$13="Paid"), 0)
)</f>
        <v> </v>
      </c>
      <c r="E285" s="42">
        <f t="shared" si="37"/>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8"/>
        <v>Cost: - -3 in combat unless Blinded  •  Pool: 12  v Resolve + BP  •  Instant  •  Instant</v>
      </c>
      <c r="D286" s="61" t="str" cm="1">
        <f t="array" aca="1" ref="D286" ca="1">INDEX(Attendance!$C$14:$GP$44,
       MATCH($F$4, Attendance!$C$14:$C$44, 0),
       MATCH(1, (Attendance!$C$12:$GP$12=$E286) * (Attendance!$C$13:$GP$13="Paid"), 0)
)</f>
        <v> </v>
      </c>
      <c r="E286" s="42">
        <f t="shared" si="37"/>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8"/>
        <v>Cost: 1 V (0 in bond) (req: Mesmerised); -3 in combat unless Blinded  •  Pool: -  •  Instant  •  Instant</v>
      </c>
      <c r="D287" s="61" t="str" cm="1">
        <f t="array" aca="1" ref="D287" ca="1">INDEX(Attendance!$C$14:$GP$44,
       MATCH($F$4, Attendance!$C$14:$C$44, 0),
       MATCH(1, (Attendance!$C$12:$GP$12=$E287) * (Attendance!$C$13:$GP$13="Paid"), 0)
)</f>
        <v> </v>
      </c>
      <c r="E287" s="42">
        <f t="shared" si="37"/>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8"/>
        <v>Cost: - (req: Mesmerised)   •  Pool: 10  - Resolve  •  Instant  •  1 week/success (1 month bonded)</v>
      </c>
      <c r="D288" s="61" t="str" cm="1">
        <f t="array" aca="1" ref="D288" ca="1">INDEX(Attendance!$C$14:$GP$44,
       MATCH($F$4, Attendance!$C$14:$C$44, 0),
       MATCH(1, (Attendance!$C$12:$GP$12=$E288) * (Attendance!$C$13:$GP$13="Paid"), 0)
)</f>
        <v> </v>
      </c>
      <c r="E288" s="42">
        <f t="shared" si="37"/>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8"/>
        <v>Cost: 2 V (req: Mesmerised)   •  Pool: -  •  Instant  •  Permanent</v>
      </c>
      <c r="D289" s="61" t="str" cm="1">
        <f t="array" aca="1" ref="D289" ca="1">INDEX(Attendance!$C$14:$GP$44,
       MATCH($F$4, Attendance!$C$14:$C$44, 0),
       MATCH(1, (Attendance!$C$12:$GP$12=$E289) * (Attendance!$C$13:$GP$13="Paid"), 0)
)</f>
        <v> </v>
      </c>
      <c r="E289" s="42">
        <f t="shared" si="37"/>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8"/>
        <v>Cost: -  •  Pool: -  •  Instant  •  Scene</v>
      </c>
      <c r="D290" s="61" t="str" cm="1">
        <f t="array" aca="1" ref="D290" ca="1">INDEX(Attendance!$C$14:$GP$44,
       MATCH($F$4, Attendance!$C$14:$C$44, 0),
       MATCH(1, (Attendance!$C$12:$GP$12=$E290) * (Attendance!$C$13:$GP$13="Paid"), 0)
)</f>
        <v> </v>
      </c>
      <c r="E290" s="42">
        <f t="shared" si="37"/>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8"/>
        <v>Cost: 1 V (reflexive for insight) (Mnemosyne Only)  •  Pool: 7  •  Reflexive  •  Scene</v>
      </c>
      <c r="D291" s="61" t="str" cm="1">
        <f t="array" aca="1" ref="D291" ca="1">INDEX(Attendance!$C$14:$GP$44,
       MATCH($F$4, Attendance!$C$14:$C$44, 0),
       MATCH(1, (Attendance!$C$12:$GP$12=$E291) * (Attendance!$C$13:$GP$13="Paid"), 0)
)</f>
        <v> </v>
      </c>
      <c r="E291" s="42">
        <f t="shared" si="37"/>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8"/>
        <v>Cost: 1 V (Mnemosyne Only); blood tie to target; replaces The Lying Mind  •  Pool: 12  v Resolve + BP  •  Contested  •  Scene / Permanent (elective)</v>
      </c>
      <c r="D292" s="61" t="str" cm="1">
        <f t="array" aca="1" ref="D292" ca="1">INDEX(Attendance!$C$14:$GP$44,
       MATCH($F$4, Attendance!$C$14:$C$44, 0),
       MATCH(1, (Attendance!$C$12:$GP$12=$E292) * (Attendance!$C$13:$GP$13="Paid"), 0)
)</f>
        <v> </v>
      </c>
      <c r="E292" s="42">
        <f t="shared" si="37"/>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8"/>
        <v>¬</v>
      </c>
      <c r="D293" s="61" t="str" cm="1">
        <f t="array" aca="1" ref="D293" ca="1">INDEX(Attendance!$C$14:$GP$44,
       MATCH($F$4, Attendance!$C$14:$C$44, 0),
       MATCH(1, (Attendance!$C$12:$GP$12=$E293) * (Attendance!$C$13:$GP$13="Paid"), 0)
)</f>
        <v> </v>
      </c>
      <c r="E293" s="42">
        <f t="shared" si="37"/>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8"/>
        <v>¬</v>
      </c>
      <c r="D294" s="61" t="str" cm="1">
        <f t="array" aca="1" ref="D294" ca="1">INDEX(Attendance!$C$14:$GP$44,
       MATCH($F$4, Attendance!$C$14:$C$44, 0),
       MATCH(1, (Attendance!$C$12:$GP$12=$E294) * (Attendance!$C$13:$GP$13="Paid"), 0)
)</f>
        <v> </v>
      </c>
      <c r="E294" s="42">
        <f t="shared" si="37"/>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8"/>
        <v>¬</v>
      </c>
      <c r="D295" s="61" t="str" cm="1">
        <f t="array" aca="1" ref="D295" ca="1">INDEX(Attendance!$C$14:$GP$44,
       MATCH($F$4, Attendance!$C$14:$C$44, 0),
       MATCH(1, (Attendance!$C$12:$GP$12=$E295) * (Attendance!$C$13:$GP$13="Paid"), 0)
)</f>
        <v> </v>
      </c>
      <c r="E295" s="42">
        <f t="shared" si="37"/>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8"/>
        <v>¬</v>
      </c>
      <c r="D296" s="61" t="str" cm="1">
        <f t="array" aca="1" ref="D296" ca="1">INDEX(Attendance!$C$14:$GP$44,
       MATCH($F$4, Attendance!$C$14:$C$44, 0),
       MATCH(1, (Attendance!$C$12:$GP$12=$E296) * (Attendance!$C$13:$GP$13="Paid"), 0)
)</f>
        <v> </v>
      </c>
      <c r="E296" s="42">
        <f t="shared" si="37"/>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8"/>
        <v>¬</v>
      </c>
      <c r="D297" s="61" t="str" cm="1">
        <f t="array" aca="1" ref="D297" ca="1">INDEX(Attendance!$C$14:$GP$44,
       MATCH($F$4, Attendance!$C$14:$C$44, 0),
       MATCH(1, (Attendance!$C$12:$GP$12=$E297) * (Attendance!$C$13:$GP$13="Paid"), 0)
)</f>
        <v> </v>
      </c>
      <c r="E297" s="42">
        <f t="shared" si="37"/>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8"/>
        <v>¬</v>
      </c>
      <c r="D298" s="61" t="str" cm="1">
        <f t="array" aca="1" ref="D298" ca="1">INDEX(Attendance!$C$14:$GP$44,
       MATCH($F$4, Attendance!$C$14:$C$44, 0),
       MATCH(1, (Attendance!$C$12:$GP$12=$E298) * (Attendance!$C$13:$GP$13="Paid"), 0)
)</f>
        <v> </v>
      </c>
      <c r="E298" s="42">
        <f t="shared" si="37"/>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8"/>
        <v>Cost: 1 V 1 Successes  •  Pool: 11  •  Ritual  •  Scene</v>
      </c>
      <c r="D299" s="61" t="str" cm="1">
        <f t="array" aca="1" ref="D299" ca="1">INDEX(Attendance!$C$14:$GP$44,
       MATCH($F$4, Attendance!$C$14:$C$44, 0),
       MATCH(1, (Attendance!$C$12:$GP$12=$E299) * (Attendance!$C$13:$GP$13="Paid"), 0)
)</f>
        <v> </v>
      </c>
      <c r="E299" s="42">
        <f t="shared" si="37"/>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8"/>
        <v>Cost: 1 V 2 Successes  •  Pool: 11  •  Ritual  •  Instant</v>
      </c>
      <c r="D300" s="61" t="str" cm="1">
        <f t="array" aca="1" ref="D300" ca="1">INDEX(Attendance!$C$14:$GP$44,
       MATCH($F$4, Attendance!$C$14:$C$44, 0),
       MATCH(1, (Attendance!$C$12:$GP$12=$E300) * (Attendance!$C$13:$GP$13="Paid"), 0)
)</f>
        <v> </v>
      </c>
      <c r="E300" s="42">
        <f t="shared" si="37"/>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8"/>
        <v>Cost: 1 V 1 Successes  •  Pool: 11  •  Ritual  •  Scene</v>
      </c>
      <c r="D301" s="61" t="str" cm="1">
        <f t="array" aca="1" ref="D301" ca="1">INDEX(Attendance!$C$14:$GP$44,
       MATCH($F$4, Attendance!$C$14:$C$44, 0),
       MATCH(1, (Attendance!$C$12:$GP$12=$E301) * (Attendance!$C$13:$GP$13="Paid"), 0)
)</f>
        <v> </v>
      </c>
      <c r="E301" s="42">
        <f t="shared" si="37"/>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8"/>
        <v>Cost: 2 V 4 Successes  •  Pool: 11  •  Ritual  •  Until used</v>
      </c>
      <c r="D302" s="61" t="str" cm="1">
        <f t="array" aca="1" ref="D302" ca="1">INDEX(Attendance!$C$14:$GP$44,
       MATCH($F$4, Attendance!$C$14:$C$44, 0),
       MATCH(1, (Attendance!$C$12:$GP$12=$E302) * (Attendance!$C$13:$GP$13="Paid"), 0)
)</f>
        <v> </v>
      </c>
      <c r="E302" s="42">
        <f t="shared" si="37"/>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8"/>
        <v>¬</v>
      </c>
      <c r="D303" s="61" t="str" cm="1">
        <f t="array" aca="1" ref="D303" ca="1">INDEX(Attendance!$C$14:$GP$44,
       MATCH($F$4, Attendance!$C$14:$C$44, 0),
       MATCH(1, (Attendance!$C$12:$GP$12=$E303) * (Attendance!$C$13:$GP$13="Paid"), 0)
)</f>
        <v> </v>
      </c>
      <c r="E303" s="42">
        <f t="shared" si="37"/>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8"/>
        <v>¬</v>
      </c>
      <c r="D304" s="61" t="str" cm="1">
        <f t="array" aca="1" ref="D304" ca="1">INDEX(Attendance!$C$14:$GP$44,
       MATCH($F$4, Attendance!$C$14:$C$44, 0),
       MATCH(1, (Attendance!$C$12:$GP$12=$E304) * (Attendance!$C$13:$GP$13="Paid"), 0)
)</f>
        <v> </v>
      </c>
      <c r="E304" s="42">
        <f t="shared" si="37"/>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8"/>
        <v>¬</v>
      </c>
      <c r="D305" s="61" t="str" cm="1">
        <f t="array" aca="1" ref="D305" ca="1">INDEX(Attendance!$C$14:$GP$44,
       MATCH($F$4, Attendance!$C$14:$C$44, 0),
       MATCH(1, (Attendance!$C$12:$GP$12=$E305) * (Attendance!$C$13:$GP$13="Paid"), 0)
)</f>
        <v> </v>
      </c>
      <c r="E305" s="42">
        <f t="shared" si="37"/>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8"/>
        <v>¬</v>
      </c>
      <c r="D306" s="61" t="str" cm="1">
        <f t="array" aca="1" ref="D306" ca="1">INDEX(Attendance!$C$14:$GP$44,
       MATCH($F$4, Attendance!$C$14:$C$44, 0),
       MATCH(1, (Attendance!$C$12:$GP$12=$E306) * (Attendance!$C$13:$GP$13="Paid"), 0)
)</f>
        <v> </v>
      </c>
      <c r="E306" s="42">
        <f t="shared" si="37"/>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8"/>
        <v>¬</v>
      </c>
      <c r="D307" s="61" t="str" cm="1">
        <f t="array" aca="1" ref="D307" ca="1">INDEX(Attendance!$C$14:$GP$44,
       MATCH($F$4, Attendance!$C$14:$C$44, 0),
       MATCH(1, (Attendance!$C$12:$GP$12=$E307) * (Attendance!$C$13:$GP$13="Paid"), 0)
)</f>
        <v> </v>
      </c>
      <c r="E307" s="42">
        <f t="shared" si="37"/>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8"/>
        <v>¬</v>
      </c>
      <c r="D308" s="61" t="str" cm="1">
        <f t="array" aca="1" ref="D308" ca="1">INDEX(Attendance!$C$14:$GP$44,
       MATCH($F$4, Attendance!$C$14:$C$44, 0),
       MATCH(1, (Attendance!$C$12:$GP$12=$E308) * (Attendance!$C$13:$GP$13="Paid"), 0)
)</f>
        <v> </v>
      </c>
      <c r="E308" s="42">
        <f t="shared" si="37"/>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8"/>
        <v>¬</v>
      </c>
      <c r="D309" s="61" t="str" cm="1">
        <f t="array" aca="1" ref="D309" ca="1">INDEX(Attendance!$C$14:$GP$44,
       MATCH($F$4, Attendance!$C$14:$C$44, 0),
       MATCH(1, (Attendance!$C$12:$GP$12=$E309) * (Attendance!$C$13:$GP$13="Paid"), 0)
)</f>
        <v> </v>
      </c>
      <c r="E309" s="42">
        <f t="shared" si="37"/>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8"/>
        <v>¬</v>
      </c>
      <c r="D310" s="61" t="str" cm="1">
        <f t="array" aca="1" ref="D310" ca="1">INDEX(Attendance!$C$14:$GP$44,
       MATCH($F$4, Attendance!$C$14:$C$44, 0),
       MATCH(1, (Attendance!$C$12:$GP$12=$E310) * (Attendance!$C$13:$GP$13="Paid"), 0)
)</f>
        <v> </v>
      </c>
      <c r="E310" s="42">
        <f t="shared" si="37"/>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8"/>
        <v>¬</v>
      </c>
      <c r="D311" s="61" t="str" cm="1">
        <f t="array" aca="1" ref="D311" ca="1">INDEX(Attendance!$C$14:$GP$44,
       MATCH($F$4, Attendance!$C$14:$C$44, 0),
       MATCH(1, (Attendance!$C$12:$GP$12=$E311) * (Attendance!$C$13:$GP$13="Paid"), 0)
)</f>
        <v> </v>
      </c>
      <c r="E311" s="42">
        <f t="shared" si="37"/>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8"/>
        <v>¬</v>
      </c>
      <c r="D312" s="61" t="str" cm="1">
        <f t="array" aca="1" ref="D312" ca="1">INDEX(Attendance!$C$14:$GP$44,
       MATCH($F$4, Attendance!$C$14:$C$44, 0),
       MATCH(1, (Attendance!$C$12:$GP$12=$E312) * (Attendance!$C$13:$GP$13="Paid"), 0)
)</f>
        <v> </v>
      </c>
      <c r="E312" s="42">
        <f t="shared" si="37"/>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8"/>
        <v>¬</v>
      </c>
      <c r="D313" s="61" t="str" cm="1">
        <f t="array" aca="1" ref="D313" ca="1">INDEX(Attendance!$C$14:$GP$44,
       MATCH($F$4, Attendance!$C$14:$C$44, 0),
       MATCH(1, (Attendance!$C$12:$GP$12=$E313) * (Attendance!$C$13:$GP$13="Paid"), 0)
)</f>
        <v> </v>
      </c>
      <c r="E313" s="42">
        <f t="shared" si="37"/>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39">IF(AF44="","¬",AF44)</f>
        <v>Add Auspex dots to any rolls to resist surprise. Access to Tier 1 Auspex Insight questions.</v>
      </c>
      <c r="D314" s="61" t="str" cm="1">
        <f t="array" aca="1" ref="D314" ca="1">INDEX(Attendance!$C$14:$GP$44,
       MATCH($F$4, Attendance!$C$14:$C$44, 0),
       MATCH(1, (Attendance!$C$12:$GP$12=$E314) * (Attendance!$C$13:$GP$13="Paid"), 0)
)</f>
        <v> </v>
      </c>
      <c r="E314" s="42">
        <f t="shared" si="37"/>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39"/>
        <v>Persistent improved Defence or Dodge. Activate for supernatural speed benefits. Unnatural Grace: add Celerity dots as bonus dice to non-combat speed-based pools.</v>
      </c>
      <c r="D315" s="61" t="str" cm="1">
        <f t="array" aca="1" ref="D315" ca="1">INDEX(Attendance!$C$14:$GP$44,
       MATCH($F$4, Attendance!$C$14:$C$44, 0),
       MATCH(1, (Attendance!$C$12:$GP$12=$E315) * (Attendance!$C$13:$GP$13="Paid"), 0)
)</f>
        <v> </v>
      </c>
      <c r="E315" s="42">
        <f t="shared" si="37"/>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39"/>
        <v>Impose Mesmerised Condition. Control with short commands.</v>
      </c>
      <c r="D316" s="61" t="str" cm="1">
        <f t="array" aca="1" ref="D316" ca="1">INDEX(Attendance!$C$14:$GP$44,
       MATCH($F$4, Attendance!$C$14:$C$44, 0),
       MATCH(1, (Attendance!$C$12:$GP$12=$E316) * (Attendance!$C$13:$GP$13="Paid"), 0)
)</f>
        <v> </v>
      </c>
      <c r="E316" s="42">
        <f t="shared" si="37"/>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39"/>
        <v>Impose Dominated Condition. Give long, detailed commands.</v>
      </c>
    </row>
    <row r="318" spans="1:9">
      <c r="A318" s="1" t="s">
        <v>317</v>
      </c>
      <c r="B318" t="str">
        <f t="shared" si="39"/>
        <v>Establish triggers for other Dominate powers.</v>
      </c>
    </row>
    <row r="319" spans="1:9">
      <c r="A319" s="1" t="s">
        <v>318</v>
      </c>
      <c r="B319" t="str">
        <f t="shared" si="39"/>
        <v>Impose Amnesia or False Memories Condition.</v>
      </c>
    </row>
    <row r="320" spans="1:9">
      <c r="A320" s="1" t="s">
        <v>319</v>
      </c>
      <c r="B320" t="str">
        <f t="shared" si="39"/>
        <v>Blend into surroundings, visible but unnoticeable. Predatory aura fully on or off. Leaving combat: Wits + Composure - Obfuscate to notice; auto Clash of Wills vs Auspex.</v>
      </c>
    </row>
    <row r="321" spans="1:2">
      <c r="A321" s="1" t="s">
        <v>320</v>
      </c>
      <c r="B321" t="str">
        <f t="shared" si="39"/>
        <v>Feeding creates artificial blood ties (+2 Social vs target; Twice Removed for Blood Sympathy). Sever for 1 WP. Can effect blood ties with Touch of Shadow. Spend 1 V: +1 Mental per applicable human/vampire within 100 metres.</v>
      </c>
    </row>
    <row r="322" spans="1:2">
      <c r="A322" s="1" t="s">
        <v>321</v>
      </c>
      <c r="B322" t="str">
        <f t="shared" si="39"/>
        <v>Exchange memories with target. For each memory taken, must give one of equal length. Both gain False Memories condition. After scene, own memories return but exchanged memories remain, or elect to make permanent. Traumatic memories: vampire rolls Fear Frenzy, mortal Resolve + Composure or Shaken.</v>
      </c>
    </row>
    <row r="323" spans="1:2">
      <c r="A323" s="1" t="s">
        <v>322</v>
      </c>
      <c r="B323" t="str">
        <f t="shared" si="39"/>
        <v>Summon liquids, dead organic matter, sensory phenomena. Bonus/penalty = Potency.</v>
      </c>
    </row>
    <row r="324" spans="1:2">
      <c r="A324" s="1" t="s">
        <v>323</v>
      </c>
      <c r="B324" t="str">
        <f t="shared" si="39"/>
        <v>Subtract Potency from ritual rolls targeting subject. Heal bashing in vampires. Protect from the Kiss (add Potency to resistance).</v>
      </c>
    </row>
    <row r="325" spans="1:2">
      <c r="A325" s="1" t="s">
        <v>324</v>
      </c>
      <c r="B325" t="str">
        <f t="shared" si="39"/>
        <v>Minor cosmetic changes to living subjects. Warp dead matter. Animate liquids.</v>
      </c>
    </row>
    <row r="326" spans="1:2">
      <c r="A326" s="1" t="s">
        <v>325</v>
      </c>
      <c r="B326" t="str">
        <f t="shared" si="39"/>
        <v>Disguise living/vampiric subjects. Transform dead matter completely. Animate gases and plants. Alter speech. Grant 9-again or WP/Vitae above maximum.</v>
      </c>
    </row>
    <row r="327" spans="1:2">
      <c r="A327" s="1" t="s">
        <v>326</v>
      </c>
      <c r="B327" t="str">
        <f t="shared" si="39"/>
        <v>Grant physical properties of other creatures to living/vampiric subjects. Change inorganic appearances. Animate animals. Bless/curse actions (Potency modifier).</v>
      </c>
    </row>
    <row r="328" spans="1:2">
      <c r="A328" s="1" t="s">
        <v>327</v>
      </c>
      <c r="B328" t="str">
        <f t="shared" si="39"/>
        <v>Transform one living thing into another. Animate the dead (zombies). Force physical actions on sentient subjects. Grant material properties between objects. Neutralise blood.</v>
      </c>
    </row>
    <row r="329" spans="1:2">
      <c r="A329" s="1" t="s">
        <v>328</v>
      </c>
      <c r="B329" t="str">
        <f t="shared" si="39"/>
        <v>Dance to exhaustion. Add Cruac as a Presence bonus for the night.</v>
      </c>
    </row>
    <row r="330" spans="1:2">
      <c r="A330" s="1" t="s">
        <v>329</v>
      </c>
      <c r="B330" t="str">
        <f t="shared" si="39"/>
        <v>Reveal if mortal/vampire/ghoul; Humanity rating; diablerie</v>
      </c>
    </row>
    <row r="331" spans="1:2">
      <c r="A331" s="1" t="s">
        <v>330</v>
      </c>
      <c r="B331" t="str">
        <f t="shared" si="39"/>
        <v>Caster becomes immune to staking for one night.</v>
      </c>
    </row>
    <row r="332" spans="1:2">
      <c r="A332" s="1" t="s">
        <v>331</v>
      </c>
      <c r="B332" t="str">
        <f t="shared" si="39"/>
        <v>Prevent the onset of blood addiction or the Vinculum for the night.</v>
      </c>
    </row>
    <row r="333" spans="1:2">
      <c r="A333" s="1" t="s">
        <v>332</v>
      </c>
      <c r="B333" t="str">
        <f t="shared" si="39"/>
        <v>Share Willpower and one Social Merit with oath partner. Either can end to briefly paralyse the other.</v>
      </c>
    </row>
    <row r="334" spans="1:2">
      <c r="A334" s="1" t="s">
        <v>333</v>
      </c>
      <c r="B334" t="str">
        <f t="shared" si="39"/>
        <v>¬</v>
      </c>
    </row>
    <row r="335" spans="1:2">
      <c r="A335" s="1" t="s">
        <v>334</v>
      </c>
      <c r="B335" t="str">
        <f t="shared" si="39"/>
        <v>¬</v>
      </c>
    </row>
    <row r="336" spans="1:2">
      <c r="A336" s="1" t="s">
        <v>335</v>
      </c>
      <c r="B336" t="str">
        <f t="shared" si="39"/>
        <v>¬</v>
      </c>
    </row>
    <row r="337" spans="1:2">
      <c r="A337" s="1" t="s">
        <v>336</v>
      </c>
      <c r="B337" t="str">
        <f t="shared" si="39"/>
        <v>¬</v>
      </c>
    </row>
    <row r="338" spans="1:2">
      <c r="A338" s="1" t="s">
        <v>337</v>
      </c>
      <c r="B338" t="str">
        <f t="shared" si="39"/>
        <v>¬</v>
      </c>
    </row>
    <row r="339" spans="1:2">
      <c r="A339" s="1" t="s">
        <v>338</v>
      </c>
      <c r="B339" t="str">
        <f t="shared" si="39"/>
        <v>¬</v>
      </c>
    </row>
    <row r="340" spans="1:2">
      <c r="A340" s="1" t="s">
        <v>339</v>
      </c>
      <c r="B340" t="str">
        <f t="shared" si="39"/>
        <v>¬</v>
      </c>
    </row>
    <row r="341" spans="1:2">
      <c r="A341" s="1" t="s">
        <v>340</v>
      </c>
      <c r="B341" t="str">
        <f t="shared" si="39"/>
        <v>¬</v>
      </c>
    </row>
    <row r="342" spans="1:2">
      <c r="A342" s="1" t="s">
        <v>341</v>
      </c>
      <c r="B342" t="str">
        <f t="shared" si="39"/>
        <v>¬</v>
      </c>
    </row>
    <row r="343" spans="1:2">
      <c r="A343" s="1" t="s">
        <v>342</v>
      </c>
      <c r="B343" t="str">
        <f t="shared" si="39"/>
        <v>¬</v>
      </c>
    </row>
    <row r="344" spans="1:2">
      <c r="A344" s="1" t="s">
        <v>343</v>
      </c>
      <c r="B344" s="8" t="str">
        <f>IF(VLOOKUP(tblCharDataKeeper[[#This Row],[Field]],$E$2:$F$361,2,FALSE)="","¬",VLOOKUP(tblCharDataKeeper[[#This Row],[Field]],$E$2:$F$361,2,FALSE))</f>
        <v>Tenebrous Curse</v>
      </c>
    </row>
    <row r="345" spans="1:2">
      <c r="A345" s="1" t="s">
        <v>344</v>
      </c>
      <c r="B345" s="8" t="str">
        <f>IF(VLOOKUP(tblCharDataKeeper[[#This Row],[Field]],$E$2:$F$361,2,FALSE)="","¬",VLOOKUP(tblCharDataKeeper[[#This Row],[Field]],$E$2:$F$361,2,FALSE))</f>
        <v>¬</v>
      </c>
    </row>
    <row r="346" spans="1:2">
      <c r="A346" s="1" t="s">
        <v>345</v>
      </c>
      <c r="B346" s="8" t="str">
        <f>IF(VLOOKUP(tblCharDataKeeper[[#This Row],[Field]],$E$2:$F$361,2,FALSE)="","¬",VLOOKUP(tblCharDataKeeper[[#This Row],[Field]],$E$2:$F$361,2,FALSE))</f>
        <v>Hated by Beasts</v>
      </c>
    </row>
    <row r="347" spans="1:2">
      <c r="A347" s="1" t="s">
        <v>346</v>
      </c>
      <c r="B347" s="8" t="str">
        <f>IF(VLOOKUP(tblCharDataKeeper[[#This Row],[Field]],$E$2:$F$361,2,FALSE)="","¬",VLOOKUP(tblCharDataKeeper[[#This Row],[Field]],$E$2:$F$361,2,FALSE))</f>
        <v>¬</v>
      </c>
    </row>
    <row r="348" spans="1:2">
      <c r="A348" s="1" t="s">
        <v>347</v>
      </c>
      <c r="B348" s="8" t="str">
        <f>IF(VLOOKUP(tblCharDataKeeper[[#This Row],[Field]],$E$2:$F$361,2,FALSE)="","¬",VLOOKUP(tblCharDataKeeper[[#This Row],[Field]],$E$2:$F$361,2,FALSE))</f>
        <v>¬</v>
      </c>
    </row>
    <row r="349" spans="1:2">
      <c r="A349" s="1" t="s">
        <v>348</v>
      </c>
      <c r="B349" t="str">
        <f>_xlfn.IFNA(VLOOKUP(B344,$F$234:$I$238,3,FALSE),"")</f>
        <v>Gain an extra bane at Humanity 6 (doesn't count towards cap); Humanity counts –1 for all Humanity-based banes.</v>
      </c>
    </row>
    <row r="350" spans="1:2">
      <c r="A350" s="1" t="s">
        <v>349</v>
      </c>
      <c r="B350" t="str">
        <f>_xlfn.IFNA(VLOOKUP(B345,$F$234:$I$238,3,FALSE),"¬")</f>
        <v>¬</v>
      </c>
    </row>
    <row r="351" spans="1:2">
      <c r="A351" s="1" t="s">
        <v>350</v>
      </c>
      <c r="B351" t="str">
        <f>_xlfn.IFNA(VLOOKUP(B346,$F$234:$I$238,3,FALSE),"")</f>
        <v>Animals react violently; Animal Ken/Animalism suffer (10 – Humanity) penalty.</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9</v>
      </c>
    </row>
    <row r="356" spans="1:2">
      <c r="A356" s="1" t="s">
        <v>355</v>
      </c>
      <c r="B356">
        <f ca="1">P220</f>
        <v>7</v>
      </c>
    </row>
    <row r="357" spans="1:2">
      <c r="A357" s="1" t="s">
        <v>356</v>
      </c>
      <c r="B357" t="str">
        <f>IF(F10="","¬",VLOOKUP(F10,tblAnchors[],2,FALSE))</f>
        <v>Ignore a problem or responsibility in favour of immediate gratification.</v>
      </c>
    </row>
    <row r="358" spans="1:2">
      <c r="A358" s="1" t="s">
        <v>357</v>
      </c>
      <c r="B358" t="str">
        <f>IF(F10="","¬",VLOOKUP(F10,tblAnchors[],3,FALSE))</f>
        <v>Abandon an important relationship over your pursuit of pleasure.</v>
      </c>
    </row>
    <row r="359" spans="1:2">
      <c r="A359" s="1" t="s">
        <v>358</v>
      </c>
      <c r="B359" t="str">
        <f>IF(F11="","¬",VLOOKUP(F11,tblAnchors[],2,FALSE))</f>
        <v>Find and experience a new source of hurt.</v>
      </c>
    </row>
    <row r="360" spans="1:2">
      <c r="A360" s="1" t="s">
        <v>359</v>
      </c>
      <c r="B360" t="str">
        <f>IF(F11="","¬",VLOOKUP(F11,tblAnchors[],3,FALSE))</f>
        <v>Willingly explore pain beyond the point of safety and reason.</v>
      </c>
    </row>
    <row r="361" spans="1:2">
      <c r="A361" s="1" t="s">
        <v>360</v>
      </c>
      <c r="B361" t="str">
        <f>IF(F240="","¬",F240)</f>
        <v>Proliferate Blood-Ties</v>
      </c>
    </row>
    <row r="362" spans="1:2">
      <c r="A362" s="1" t="s">
        <v>361</v>
      </c>
      <c r="B362" t="str">
        <f>IF(F241="","¬",F241)</f>
        <v>Collect Memories</v>
      </c>
    </row>
    <row r="363" spans="1:2">
      <c r="A363" s="1" t="s">
        <v>362</v>
      </c>
      <c r="B363" t="str">
        <f>IF(F242="","¬",F242)</f>
        <v>Become desiered in society again</v>
      </c>
    </row>
    <row r="364" spans="1:2">
      <c r="A364" s="1" t="s">
        <v>363</v>
      </c>
      <c r="B364" t="str">
        <f>IF(G14="","",G14)</f>
        <v>Late 40s</v>
      </c>
    </row>
    <row r="365" spans="1:2">
      <c r="A365" s="1" t="s">
        <v>364</v>
      </c>
      <c r="B365" t="str">
        <f>_xlfn.LET(_xlpm.a,IF(F244="","",F244),_xlpm.b,IF(F245="","",F245),IF(AND(_xlpm.a&lt;&gt;"",_xlpm.b&lt;&gt;""),_xlpm.a&amp;", "&amp;_xlpm.b,IF(_xlpm.a&lt;&gt;"",_xlpm.a,IF(_xlpm.b&lt;&gt;"",_xlpm.b,""))))</f>
        <v>Inhumanly high presence</v>
      </c>
    </row>
  </sheetData>
  <mergeCells count="89">
    <mergeCell ref="H85:I85"/>
    <mergeCell ref="O8:P8"/>
    <mergeCell ref="O9:P9"/>
    <mergeCell ref="O10:P10"/>
    <mergeCell ref="O11:P11"/>
    <mergeCell ref="O12:P12"/>
    <mergeCell ref="H79:I79"/>
    <mergeCell ref="H80:I80"/>
    <mergeCell ref="H81:I81"/>
    <mergeCell ref="H82:I82"/>
    <mergeCell ref="H83:I83"/>
    <mergeCell ref="H84:I84"/>
    <mergeCell ref="H97:I97"/>
    <mergeCell ref="H86:I86"/>
    <mergeCell ref="H87:I87"/>
    <mergeCell ref="H88:I88"/>
    <mergeCell ref="H89:I89"/>
    <mergeCell ref="H90:I90"/>
    <mergeCell ref="H91:I91"/>
    <mergeCell ref="H92:I92"/>
    <mergeCell ref="H93:I93"/>
    <mergeCell ref="H94:I94"/>
    <mergeCell ref="H95:I95"/>
    <mergeCell ref="H96:I96"/>
    <mergeCell ref="H111:I111"/>
    <mergeCell ref="H98:I98"/>
    <mergeCell ref="H101:I101"/>
    <mergeCell ref="H102:I102"/>
    <mergeCell ref="H103:I103"/>
    <mergeCell ref="H104:I104"/>
    <mergeCell ref="H105:I105"/>
    <mergeCell ref="H106:I106"/>
    <mergeCell ref="H107:I107"/>
    <mergeCell ref="H108:I108"/>
    <mergeCell ref="H109:I109"/>
    <mergeCell ref="H110:I110"/>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52:I152"/>
    <mergeCell ref="H141:I141"/>
    <mergeCell ref="H142:I142"/>
    <mergeCell ref="H143:I143"/>
    <mergeCell ref="H144:I144"/>
    <mergeCell ref="H145:I145"/>
    <mergeCell ref="H146:I146"/>
    <mergeCell ref="H147:I147"/>
    <mergeCell ref="H148:I148"/>
    <mergeCell ref="H149:I149"/>
    <mergeCell ref="H150:I150"/>
    <mergeCell ref="H151:I151"/>
    <mergeCell ref="H207:I207"/>
    <mergeCell ref="H153:I153"/>
    <mergeCell ref="H154:I154"/>
    <mergeCell ref="H155:I155"/>
    <mergeCell ref="H156:I156"/>
    <mergeCell ref="H157:I157"/>
    <mergeCell ref="H177:I177"/>
    <mergeCell ref="H178:I178"/>
    <mergeCell ref="H179:I179"/>
    <mergeCell ref="H180:I180"/>
    <mergeCell ref="H181:I181"/>
    <mergeCell ref="H206:I206"/>
    <mergeCell ref="H238:I238"/>
    <mergeCell ref="H208:I208"/>
    <mergeCell ref="H209:I209"/>
    <mergeCell ref="H210:I210"/>
    <mergeCell ref="H211:I211"/>
    <mergeCell ref="H212:I212"/>
    <mergeCell ref="H213:I213"/>
    <mergeCell ref="H214:I214"/>
    <mergeCell ref="H215:I215"/>
    <mergeCell ref="H234:I234"/>
    <mergeCell ref="H236:I236"/>
    <mergeCell ref="H237:I237"/>
    <mergeCell ref="F240:I240"/>
    <mergeCell ref="F241:I241"/>
    <mergeCell ref="F242:I242"/>
    <mergeCell ref="F244:I244"/>
    <mergeCell ref="F245:I245"/>
  </mergeCells>
  <dataValidations count="15">
    <dataValidation type="list" allowBlank="1" showInputMessage="1" showErrorMessage="1" sqref="G248:G277" xr:uid="{95D868C5-1CB6-4EA3-8B35-DEDFC8DA80AE}">
      <formula1>$I$248:$I$249</formula1>
    </dataValidation>
    <dataValidation type="list" allowBlank="1" showInputMessage="1" showErrorMessage="1" sqref="F101:F120" xr:uid="{B65217E6-F3D1-48B0-86E4-8F7EAFCEFA6C}">
      <formula1>lstManoeuvres</formula1>
    </dataValidation>
    <dataValidation type="list" allowBlank="1" showInputMessage="1" showErrorMessage="1" sqref="F79:F98" xr:uid="{EE01D63F-6D64-472D-943D-DAB25ED1401F}">
      <formula1>lstMerits</formula1>
    </dataValidation>
    <dataValidation type="list" allowBlank="1" showInputMessage="1" showErrorMessage="1" sqref="F236:F238" xr:uid="{07CC3B9C-D561-4410-A5C6-181757430B97}">
      <formula1>lstBanes</formula1>
    </dataValidation>
    <dataValidation type="list" allowBlank="1" showInputMessage="1" showErrorMessage="1" sqref="F206:F215" xr:uid="{40F7F41B-13C3-46B4-94D3-80B0371B300B}">
      <formula1>lstPacts</formula1>
    </dataValidation>
    <dataValidation type="list" allowBlank="1" showInputMessage="1" showErrorMessage="1" sqref="G12:G13" xr:uid="{AFEB86AC-A00C-4107-A21D-2AE9BC475716}">
      <formula1>lstStatus</formula1>
    </dataValidation>
    <dataValidation type="list" allowBlank="1" showInputMessage="1" showErrorMessage="1" sqref="F207:F215 F194:F205" xr:uid="{6638A1A3-C95D-4F39-B201-E55833029CB6}">
      <formula1>lstRites</formula1>
    </dataValidation>
    <dataValidation type="list" allowBlank="1" showInputMessage="1" showErrorMessage="1" sqref="F177:F181" xr:uid="{AD913E9A-F9D5-4154-8E43-A4A380EA3A6F}">
      <formula1>lstDevotions</formula1>
    </dataValidation>
    <dataValidation type="list" allowBlank="1" showInputMessage="1" showErrorMessage="1" sqref="F17:F21" xr:uid="{A7FA1EDA-7909-4108-9C79-8A945980FF99}">
      <formula1>"TRUE,FALSE"</formula1>
    </dataValidation>
    <dataValidation type="list" allowBlank="1" showInputMessage="1" showErrorMessage="1" sqref="F24" xr:uid="{14A00680-5B66-498D-ACF1-E90A8B10ECD2}">
      <formula1>$D$7:$D$8</formula1>
    </dataValidation>
    <dataValidation type="list" allowBlank="1" showInputMessage="1" showErrorMessage="1" sqref="I25 I30 I35 I41 I51 I61" xr:uid="{125FC62D-0A94-4E4C-B2FF-8EAB83C99562}">
      <formula1>lstPriority</formula1>
    </dataValidation>
    <dataValidation type="list" allowBlank="1" showInputMessage="1" showErrorMessage="1" sqref="F10:F11" xr:uid="{4855813E-94E5-4951-B107-3E563BA3AC1F}">
      <formula1>lstNature</formula1>
    </dataValidation>
    <dataValidation type="list" allowBlank="1" showInputMessage="1" showErrorMessage="1" sqref="F8" xr:uid="{CACF986E-63D9-441F-AA76-8BF87495429E}">
      <formula1>lstBloodlines</formula1>
    </dataValidation>
    <dataValidation type="list" allowBlank="1" showInputMessage="1" showErrorMessage="1" sqref="F9" xr:uid="{DDC230E0-CAC0-4F74-988A-9A538B0E7237}">
      <formula1>lstCovenant</formula1>
    </dataValidation>
    <dataValidation type="list" allowBlank="1" showInputMessage="1" showErrorMessage="1" sqref="F7" xr:uid="{B47CE41C-023A-4FFB-87A2-0FB5D71E2993}">
      <formula1>lstClan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A6DC6D6-0662-43EC-B8BB-C5B00533560F}">
          <x14:formula1>
            <xm:f>'Lookup-Domain'!$A$2:$A$8</xm:f>
          </x14:formula1>
          <xm:sqref>F161 F139:F157</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5F117-D8AB-4FB6-81FE-8F3AF791569A}">
  <dimension ref="A1:AK365"/>
  <sheetViews>
    <sheetView zoomScale="70" zoomScaleNormal="70" workbookViewId="0">
      <pane ySplit="1" topLeftCell="A26" activePane="bottomLeft" state="frozen"/>
      <selection pane="bottomLeft" activeCell="M26" sqref="M26:M38"/>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Sorcerous Eunuch</v>
      </c>
      <c r="AC2" s="60" t="str" cm="1">
        <f t="array" ref="AC2:AC6">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Sorcerous Eunuch</v>
      </c>
      <c r="AD2" s="20" t="str">
        <f>IF(AC2="","¬",_xlfn.LET(_xlpm.base,IFERROR(LEFT(AC2,FIND(" (",AC2)-1),AC2),IFERROR(VLOOKUP(_xlpm.base,tblManoeuvre[],2,FALSE) &amp; " " &amp; REPT("●",VLOOKUP(_xlpm.base,tblManoeuvre[],3,FALSE)) &amp; " | " &amp; AC2,AC2 &amp; " " &amp; REPT("●",VLOOKUP(_xlpm.base,$F$79:$P$120,11,FALSE)))))</f>
        <v>Sorcerous Eunuch ●</v>
      </c>
      <c r="AE2" s="20"/>
      <c r="AF2" s="20" t="str">
        <f>IF(LEN(AC2)=0,"¬",_xlfn.LET(_xlpm.base,IFERROR(LEFT(AC2,FIND(" (",AC2)-1),AC2),IFERROR(VLOOKUP(_xlpm.base,tblMerits[],5,FALSE),IFERROR(VLOOKUP(_xlpm.base,tblManoeuvre[],9,FALSE),"¬"))))</f>
        <v>Penalise sorcery against you by Resolve. Can't learn blood sorcery.</v>
      </c>
      <c r="AI2" s="15" t="s">
        <v>25</v>
      </c>
      <c r="AJ2" s="61">
        <f t="shared" ref="AJ2:AJ58" si="1">VLOOKUP(AI2,$E$3:$P$221,12,FALSE)</f>
        <v>0</v>
      </c>
      <c r="AK2" s="61">
        <f>IF(AJ2=0,IF(COUNTIF($E$42:$E$49,AI2)&gt;0,-3,-1),AJ2)</f>
        <v>-3</v>
      </c>
    </row>
    <row r="3" spans="1:37">
      <c r="A3" s="1" t="s">
        <v>2</v>
      </c>
      <c r="B3">
        <f ca="1">N3</f>
        <v>10</v>
      </c>
      <c r="D3" s="19"/>
      <c r="E3" s="15" t="s">
        <v>4</v>
      </c>
      <c r="F3" s="3" t="s">
        <v>1116</v>
      </c>
      <c r="G3" s="18"/>
      <c r="H3" s="18"/>
      <c r="I3" s="18" t="s">
        <v>1425</v>
      </c>
      <c r="N3" s="60">
        <f ca="1">10+SUM(N4:N6)-SUM(N7)</f>
        <v>10</v>
      </c>
      <c r="Y3" s="15" t="s">
        <v>115</v>
      </c>
      <c r="Z3" s="19"/>
      <c r="AA3" s="61" t="str">
        <f t="shared" si="0"/>
        <v/>
      </c>
      <c r="AC3" s="60" t="str">
        <v>Shield Against Sorcery</v>
      </c>
      <c r="AD3" s="20" t="str">
        <f>IF(AC3="","¬",_xlfn.LET(_xlpm.base,IFERROR(LEFT(AC3,FIND(" (",AC3)-1),AC3),IFERROR(VLOOKUP(_xlpm.base,tblManoeuvre[],2,FALSE) &amp; " " &amp; REPT("●",VLOOKUP(_xlpm.base,tblManoeuvre[],3,FALSE)) &amp; " | " &amp; AC3,AC3 &amp; " " &amp; REPT("●",VLOOKUP(_xlpm.base,$F$79:$P$120,11,FALSE)))))</f>
        <v>Crusade ● | Shield Against Sorcery</v>
      </c>
      <c r="AE3" s="20"/>
      <c r="AF3" s="20" t="str">
        <f>IF(LEN(AC3)=0,"¬",_xlfn.LET(_xlpm.base,IFERROR(LEFT(AC3,FIND(" (",AC3)-1),AC3),IFERROR(VLOOKUP(_xlpm.base,tblMerits[],5,FALSE),IFERROR(VLOOKUP(_xlpm.base,tblManoeuvre[],9,FALSE),"¬"))))</f>
        <v>While your Defence is fully available, penalise the use of sorcery around you by your Crusade dots.</v>
      </c>
      <c r="AI3" s="15" t="s">
        <v>41</v>
      </c>
      <c r="AJ3" s="61">
        <f t="shared" si="1"/>
        <v>2</v>
      </c>
      <c r="AK3" s="61">
        <f>IF(AJ3=0,IF(COUNTIF($E$42:$E$49,AI3)&gt;0,-3,-1),AJ3)</f>
        <v>2</v>
      </c>
    </row>
    <row r="4" spans="1:37">
      <c r="A4" s="1" t="s">
        <v>3</v>
      </c>
      <c r="B4">
        <f ca="1">SUM(N3:N9)</f>
        <v>53</v>
      </c>
      <c r="D4" s="19"/>
      <c r="E4" s="15" t="s">
        <v>5</v>
      </c>
      <c r="F4" s="3" t="s">
        <v>1117</v>
      </c>
      <c r="G4" s="18"/>
      <c r="H4" s="18"/>
      <c r="I4" s="18" t="s">
        <v>1426</v>
      </c>
      <c r="N4" s="61">
        <f>K73*2</f>
        <v>4</v>
      </c>
      <c r="Y4" s="15" t="s">
        <v>116</v>
      </c>
      <c r="Z4" s="19"/>
      <c r="AA4" s="61" t="str">
        <f t="shared" si="0"/>
        <v/>
      </c>
      <c r="AC4" s="60" t="str">
        <v>Silence</v>
      </c>
      <c r="AD4" s="20" t="str">
        <f>IF(AC4="","¬",_xlfn.LET(_xlpm.base,IFERROR(LEFT(AC4,FIND(" (",AC4)-1),AC4),IFERROR(VLOOKUP(_xlpm.base,tblManoeuvre[],2,FALSE) &amp; " " &amp; REPT("●",VLOOKUP(_xlpm.base,tblManoeuvre[],3,FALSE)) &amp; " | " &amp; AC4,AC4 &amp; " " &amp; REPT("●",VLOOKUP(_xlpm.base,$F$79:$P$120,11,FALSE)))))</f>
        <v>Crusade ●● | Silence</v>
      </c>
      <c r="AE4" s="20"/>
      <c r="AF4" s="20" t="str">
        <f>IF(LEN(AC4)=0,"¬",_xlfn.LET(_xlpm.base,IFERROR(LEFT(AC4,FIND(" (",AC4)-1),AC4),IFERROR(VLOOKUP(_xlpm.base,tblMerits[],5,FALSE),IFERROR(VLOOKUP(_xlpm.base,tblManoeuvre[],9,FALSE),"¬"))))</f>
        <v>Make called shots to the throat at no penalty to mute someone.</v>
      </c>
      <c r="AI4" s="15" t="s">
        <v>236</v>
      </c>
      <c r="AJ4" s="61">
        <f t="shared" si="1"/>
        <v>1</v>
      </c>
      <c r="AK4" s="61">
        <f>AJ4</f>
        <v>1</v>
      </c>
    </row>
    <row r="5" spans="1:37">
      <c r="A5" s="1" t="s">
        <v>4</v>
      </c>
      <c r="B5" t="str">
        <f>IF(VLOOKUP(tblCharDataKirk[[#This Row],[Field]],$E$2:$F$362,2,FALSE)="","¬",VLOOKUP(tblCharDataKirk[[#This Row],[Field]],$E$2:$F$362,2,FALSE))</f>
        <v>Phillip G</v>
      </c>
      <c r="D5" s="19"/>
      <c r="E5" s="15" t="s">
        <v>6</v>
      </c>
      <c r="F5" s="3" t="s">
        <v>1118</v>
      </c>
      <c r="G5" s="18"/>
      <c r="H5" s="18"/>
      <c r="I5" s="18" t="s">
        <v>1427</v>
      </c>
      <c r="N5" s="61">
        <f>N16</f>
        <v>9</v>
      </c>
      <c r="Y5" s="15" t="s">
        <v>117</v>
      </c>
      <c r="Z5" s="19"/>
      <c r="AA5" s="61" t="str">
        <f t="shared" si="0"/>
        <v/>
      </c>
      <c r="AC5" s="60" t="str">
        <v>Hamstring</v>
      </c>
      <c r="AD5" s="20" t="str">
        <f>IF(AC5="","¬",_xlfn.LET(_xlpm.base,IFERROR(LEFT(AC5,FIND(" (",AC5)-1),AC5),IFERROR(VLOOKUP(_xlpm.base,tblManoeuvre[],2,FALSE) &amp; " " &amp; REPT("●",VLOOKUP(_xlpm.base,tblManoeuvre[],3,FALSE)) &amp; " | " &amp; AC5,AC5 &amp; " " &amp; REPT("●",VLOOKUP(_xlpm.base,$F$79:$P$120,11,FALSE)))))</f>
        <v>Kindred Dueling ● | Hamstring</v>
      </c>
      <c r="AE5" s="20"/>
      <c r="AF5" s="20" t="str">
        <f>IF(LEN(AC5)=0,"¬",_xlfn.LET(_xlpm.base,IFERROR(LEFT(AC5,FIND(" (",AC5)-1),AC5),IFERROR(VLOOKUP(_xlpm.base,tblMerits[],5,FALSE),IFERROR(VLOOKUP(_xlpm.base,tblManoeuvre[],9,FALSE),"¬"))))</f>
        <v>You can use a called shot to deny a vampire's limb the benefits of Physical Intensity.</v>
      </c>
      <c r="AI5" s="15" t="s">
        <v>33</v>
      </c>
      <c r="AJ5" s="61">
        <f t="shared" si="1"/>
        <v>1</v>
      </c>
      <c r="AK5" s="61">
        <f>IF(AJ5=0,IF(COUNTIF($E$42:$E$49,AI5)&gt;0,-3,-1),AJ5)</f>
        <v>1</v>
      </c>
    </row>
    <row r="6" spans="1:37">
      <c r="A6" s="1" t="s">
        <v>5</v>
      </c>
      <c r="B6" t="str">
        <f>IF(VLOOKUP(tblCharDataKirk[[#This Row],[Field]],$E$2:$F$362,2,FALSE)="","¬",VLOOKUP(tblCharDataKirk[[#This Row],[Field]],$E$2:$F$362,2,FALSE))</f>
        <v>Kirk Grimm</v>
      </c>
      <c r="D6" s="19"/>
      <c r="E6" s="15" t="s">
        <v>7</v>
      </c>
      <c r="F6" s="3" t="s">
        <v>552</v>
      </c>
      <c r="G6" s="18"/>
      <c r="H6" s="18"/>
      <c r="I6" s="18" t="s">
        <v>1347</v>
      </c>
      <c r="N6" s="61">
        <f ca="1">N279</f>
        <v>4</v>
      </c>
      <c r="Y6" s="15" t="s">
        <v>118</v>
      </c>
      <c r="Z6" s="19"/>
      <c r="AA6" s="61" t="str">
        <f t="shared" si="0"/>
        <v/>
      </c>
      <c r="AC6" s="60" t="str">
        <v>Taunt</v>
      </c>
      <c r="AD6" s="20" t="str">
        <f>IF(AC6="","¬",_xlfn.LET(_xlpm.base,IFERROR(LEFT(AC6,FIND(" (",AC6)-1),AC6),IFERROR(VLOOKUP(_xlpm.base,tblManoeuvre[],2,FALSE) &amp; " " &amp; REPT("●",VLOOKUP(_xlpm.base,tblManoeuvre[],3,FALSE)) &amp; " | " &amp; AC6,AC6 &amp; " " &amp; REPT("●",VLOOKUP(_xlpm.base,$F$79:$P$120,11,FALSE)))))</f>
        <v>Kindred Dueling ●● | Taunt</v>
      </c>
      <c r="AE6" s="20"/>
      <c r="AF6" s="20" t="str">
        <f>IF(LEN(AC6)=0,"¬",_xlfn.LET(_xlpm.base,IFERROR(LEFT(AC6,FIND(" (",AC6)-1),AC6),IFERROR(VLOOKUP(_xlpm.base,tblMerits[],5,FALSE),IFERROR(VLOOKUP(_xlpm.base,tblManoeuvre[],9,FALSE),"¬"))))</f>
        <v>Exchange up to your Weaponry in attack dice to provoke, on hit, a frenzy roll penalised by your exchanged dice.</v>
      </c>
      <c r="AI6" s="15" t="s">
        <v>237</v>
      </c>
      <c r="AJ6" s="61">
        <f t="shared" si="1"/>
        <v>0</v>
      </c>
      <c r="AK6" s="61">
        <f>AJ6</f>
        <v>0</v>
      </c>
    </row>
    <row r="7" spans="1:37">
      <c r="A7" s="1" t="s">
        <v>6</v>
      </c>
      <c r="B7" t="str">
        <f>IF(VLOOKUP(tblCharDataKirk[[#This Row],[Field]],$E$2:$F$362,2,FALSE)="","¬",VLOOKUP(tblCharDataKirk[[#This Row],[Field]],$E$2:$F$362,2,FALSE))</f>
        <v>Church Grim</v>
      </c>
      <c r="D7" s="19" t="str">
        <f>VLOOKUP(F7,tblClans[],3,FALSE)</f>
        <v>Stamina</v>
      </c>
      <c r="E7" s="15" t="s">
        <v>8</v>
      </c>
      <c r="F7" s="3" t="s">
        <v>491</v>
      </c>
      <c r="G7" s="18"/>
      <c r="H7" s="18"/>
      <c r="I7" s="18"/>
      <c r="N7" s="60">
        <f>SUM(N8:N12)</f>
        <v>17</v>
      </c>
      <c r="Y7" s="15" t="s">
        <v>119</v>
      </c>
      <c r="Z7" s="19"/>
      <c r="AA7" s="61" t="str">
        <f t="shared" si="0"/>
        <v/>
      </c>
      <c r="AC7" s="60"/>
      <c r="AD7" s="20" t="str">
        <f>IF(AC7="","¬",_xlfn.LET(_xlpm.base,IFERROR(LEFT(AC7,FIND(" (",AC7)-1),AC7),IFERROR(VLOOKUP(_xlpm.base,tblManoeuvre[],2,FALSE) &amp; " " &amp; REPT("●",VLOOKUP(_xlpm.base,tblManoeuvre[],3,FALSE)) &amp; " | " &amp; AC7,AC7 &amp; " " &amp; REPT("●",VLOOKUP(_xlpm.base,$F$79:$P$120,11,FALSE)))))</f>
        <v>¬</v>
      </c>
      <c r="AE7" s="20"/>
      <c r="AF7" s="20" t="str">
        <f>IF(LEN(AC7)=0,"¬",_xlfn.LET(_xlpm.base,IFERROR(LEFT(AC7,FIND(" (",AC7)-1),AC7),IFERROR(VLOOKUP(_xlpm.base,tblMerits[],5,FALSE),IFERROR(VLOOKUP(_xlpm.base,tblManoeuvre[],9,FALSE),"¬"))))</f>
        <v>¬</v>
      </c>
      <c r="AI7" s="15" t="s">
        <v>49</v>
      </c>
      <c r="AJ7" s="61">
        <f t="shared" si="1"/>
        <v>2</v>
      </c>
      <c r="AK7" s="61">
        <f>AJ7</f>
        <v>2</v>
      </c>
    </row>
    <row r="8" spans="1:37">
      <c r="A8" s="1" t="s">
        <v>7</v>
      </c>
      <c r="B8" t="str">
        <f>IF(VLOOKUP(tblCharDataKirk[[#This Row],[Field]],$E$2:$F$362,2,FALSE)="","¬",LOWER(VLOOKUP(tblCharDataKirk[[#This Row],[Field]],$E$2:$F$362,2,FALSE)))</f>
        <v>he/him</v>
      </c>
      <c r="D8" s="19" t="str">
        <f>VLOOKUP(F7,tblClans[],2,FALSE)</f>
        <v>Composure</v>
      </c>
      <c r="E8" s="15" t="s">
        <v>10</v>
      </c>
      <c r="F8" s="3" t="s">
        <v>382</v>
      </c>
      <c r="G8" s="61" t="str">
        <f>IFERROR(IF(OR(AND(VLOOKUP(F8,tblBloodlines[],2,FALSE)="",VLOOKUP(F8,tblBloodlines[],3,FALSE)="",VLOOKUP(F8,tblBloodlines[],4,FALSE)=""),AND(VLOOKUP(F8,tblBloodlines[],2,FALSE)="",VLOOKUP(F8,tblBloodlines[],3,FALSE)="",F9=VLOOKUP(F8,tblBloodlines[],4,FALSE)),F7=VLOOKUP(F8,tblBloodlines[],2,FALSE),F7=VLOOKUP(F8,tblBloodlines[],3,FALSE)),TRUE,FALSE),"")</f>
        <v/>
      </c>
      <c r="H8" s="18"/>
      <c r="I8" s="18" t="s">
        <v>1428</v>
      </c>
      <c r="N8" s="61">
        <f>N23</f>
        <v>5</v>
      </c>
      <c r="O8" s="65">
        <f>N8/SUM(N$7:N$12)</f>
        <v>0.14705882352941177</v>
      </c>
      <c r="P8" s="66"/>
      <c r="Y8" s="15" t="s">
        <v>120</v>
      </c>
      <c r="Z8" s="19"/>
      <c r="AA8" s="61" t="str">
        <f t="shared" si="0"/>
        <v/>
      </c>
      <c r="AC8" s="60"/>
      <c r="AD8" s="20" t="str">
        <f>IF(AC8="","¬",_xlfn.LET(_xlpm.base,IFERROR(LEFT(AC8,FIND(" (",AC8)-1),AC8),IFERROR(VLOOKUP(_xlpm.base,tblManoeuvre[],2,FALSE) &amp; " " &amp; REPT("●",VLOOKUP(_xlpm.base,tblManoeuvre[],3,FALSE)) &amp; " | " &amp; AC8,AC8 &amp; " " &amp; REPT("●",VLOOKUP(_xlpm.base,$F$79:$P$120,11,FALSE)))))</f>
        <v>¬</v>
      </c>
      <c r="AE8" s="20"/>
      <c r="AF8" s="20" t="str">
        <f>IF(LEN(AC8)=0,"¬",_xlfn.LET(_xlpm.base,IFERROR(LEFT(AC8,FIND(" (",AC8)-1),AC8),IFERROR(VLOOKUP(_xlpm.base,tblMerits[],5,FALSE),IFERROR(VLOOKUP(_xlpm.base,tblManoeuvre[],9,FALSE),"¬"))))</f>
        <v>¬</v>
      </c>
      <c r="AI8" s="15" t="s">
        <v>34</v>
      </c>
      <c r="AJ8" s="61">
        <f t="shared" si="1"/>
        <v>2</v>
      </c>
      <c r="AK8" s="61">
        <f>IF(AJ8=0,IF(COUNTIF($E$42:$E$49,AI8)&gt;0,-3,-1),AJ8)</f>
        <v>2</v>
      </c>
    </row>
    <row r="9" spans="1:37">
      <c r="A9" s="1" t="s">
        <v>8</v>
      </c>
      <c r="B9" t="str">
        <f>IF(VLOOKUP(tblCharDataKirk[[#This Row],[Field]],$E$2:$F$362,2,FALSE)="","¬",VLOOKUP(tblCharDataKirk[[#This Row],[Field]],$E$2:$F$362,2,FALSE))</f>
        <v>Gangrel</v>
      </c>
      <c r="D9" s="19"/>
      <c r="E9" s="15" t="s">
        <v>11</v>
      </c>
      <c r="F9" s="3" t="s">
        <v>556</v>
      </c>
      <c r="G9" s="18"/>
      <c r="H9" s="18"/>
      <c r="I9" s="18" t="s">
        <v>1429</v>
      </c>
      <c r="N9" s="61">
        <f>N40+T40</f>
        <v>4</v>
      </c>
      <c r="O9" s="65">
        <f>N9/SUM(N$7:N$12)</f>
        <v>0.11764705882352941</v>
      </c>
      <c r="P9" s="66"/>
      <c r="Y9" s="15" t="s">
        <v>121</v>
      </c>
      <c r="Z9" s="19"/>
      <c r="AA9" s="61" t="str">
        <f t="shared" si="0"/>
        <v/>
      </c>
      <c r="AC9" s="60"/>
      <c r="AD9" s="20" t="str">
        <f>IF(AC9="","¬",_xlfn.LET(_xlpm.base,IFERROR(LEFT(AC9,FIND(" (",AC9)-1),AC9),IFERROR(VLOOKUP(_xlpm.base,tblManoeuvre[],2,FALSE) &amp; " " &amp; REPT("●",VLOOKUP(_xlpm.base,tblManoeuvre[],3,FALSE)) &amp; " | " &amp; AC9,AC9 &amp; " " &amp; REPT("●",VLOOKUP(_xlpm.base,$F$79:$P$120,11,FALSE)))))</f>
        <v>¬</v>
      </c>
      <c r="AE9" s="20"/>
      <c r="AF9" s="20" t="str">
        <f>IF(LEN(AC9)=0,"¬",_xlfn.LET(_xlpm.base,IFERROR(LEFT(AC9,FIND(" (",AC9)-1),AC9),IFERROR(VLOOKUP(_xlpm.base,tblMerits[],5,FALSE),IFERROR(VLOOKUP(_xlpm.base,tblManoeuvre[],9,FALSE),"¬"))))</f>
        <v>¬</v>
      </c>
      <c r="AI9" s="15" t="s">
        <v>238</v>
      </c>
      <c r="AJ9" s="61">
        <f t="shared" si="1"/>
        <v>0</v>
      </c>
      <c r="AK9" s="61">
        <f>AJ9</f>
        <v>0</v>
      </c>
    </row>
    <row r="10" spans="1:37">
      <c r="A10" s="1" t="s">
        <v>9</v>
      </c>
      <c r="B10" t="str">
        <f>CONCATENATE(Elements,B9," icon.svg")</f>
        <v>D:\Terra Mortis\Character Sheets\Sheet Elements\Gangrel icon.svg</v>
      </c>
      <c r="D10" s="19"/>
      <c r="E10" s="15" t="s">
        <v>13</v>
      </c>
      <c r="F10" s="3" t="s">
        <v>936</v>
      </c>
      <c r="G10" s="18"/>
      <c r="H10" s="18"/>
      <c r="I10" s="18" t="s">
        <v>1430</v>
      </c>
      <c r="N10" s="61">
        <f>N77</f>
        <v>3</v>
      </c>
      <c r="O10" s="65">
        <f>N10/SUM(N$7:N$12)</f>
        <v>8.8235294117647065E-2</v>
      </c>
      <c r="P10" s="66"/>
      <c r="Y10" s="15" t="s">
        <v>122</v>
      </c>
      <c r="Z10" s="19"/>
      <c r="AA10" s="61" t="str">
        <f t="shared" si="0"/>
        <v/>
      </c>
      <c r="AC10" s="60"/>
      <c r="AD10" s="20" t="str">
        <f>IF(AC10="","¬",_xlfn.LET(_xlpm.base,IFERROR(LEFT(AC10,FIND(" (",AC10)-1),AC10),IFERROR(VLOOKUP(_xlpm.base,tblManoeuvre[],2,FALSE) &amp; " " &amp; REPT("●",VLOOKUP(_xlpm.base,tblManoeuvre[],3,FALSE)) &amp; " | " &amp; AC10,AC10 &amp; " " &amp; REPT("●",VLOOKUP(_xlpm.base,$F$79:$P$120,11,FALSE)))))</f>
        <v>¬</v>
      </c>
      <c r="AE10" s="20"/>
      <c r="AF10" s="20" t="str">
        <f>IF(LEN(AC10)=0,"¬",_xlfn.LET(_xlpm.base,IFERROR(LEFT(AC10,FIND(" (",AC10)-1),AC10),IFERROR(VLOOKUP(_xlpm.base,tblMerits[],5,FALSE),IFERROR(VLOOKUP(_xlpm.base,tblManoeuvre[],9,FALSE),"¬"))))</f>
        <v>¬</v>
      </c>
      <c r="AI10" s="15" t="s">
        <v>24</v>
      </c>
      <c r="AJ10" s="61">
        <f t="shared" si="1"/>
        <v>3</v>
      </c>
      <c r="AK10" s="61">
        <f>AJ10+IFERROR(INDEX($V$26:$V$38,MATCH(AI10,$E$26:$E$38,0)),0)</f>
        <v>3</v>
      </c>
    </row>
    <row r="11" spans="1:37">
      <c r="A11" s="1" t="s">
        <v>10</v>
      </c>
      <c r="B11" t="str">
        <f>IF(VLOOKUP(tblCharDataKirk[[#This Row],[Field]],$E$2:$F$362,2,FALSE)="","¬",VLOOKUP(tblCharDataKirk[[#This Row],[Field]],$E$2:$F$362,2,FALSE))</f>
        <v>¬</v>
      </c>
      <c r="D11" s="19"/>
      <c r="E11" s="15" t="s">
        <v>14</v>
      </c>
      <c r="F11" s="3" t="s">
        <v>954</v>
      </c>
      <c r="G11" s="18"/>
      <c r="H11" s="18"/>
      <c r="I11" s="18" t="s">
        <v>1431</v>
      </c>
      <c r="N11" s="61">
        <f>N163</f>
        <v>3</v>
      </c>
      <c r="O11" s="65">
        <f>N11/SUM(N$7:N$12)</f>
        <v>8.8235294117647065E-2</v>
      </c>
      <c r="P11" s="66"/>
      <c r="Y11" s="15" t="s">
        <v>123</v>
      </c>
      <c r="Z11" s="19"/>
      <c r="AA11" s="61" t="str">
        <f t="shared" si="0"/>
        <v/>
      </c>
      <c r="AC11" s="60"/>
      <c r="AD11" s="20" t="str">
        <f>IF(AC11="","¬",_xlfn.LET(_xlpm.base,IFERROR(LEFT(AC11,FIND(" (",AC11)-1),AC11),IFERROR(VLOOKUP(_xlpm.base,tblManoeuvre[],2,FALSE) &amp; " " &amp; REPT("●",VLOOKUP(_xlpm.base,tblManoeuvre[],3,FALSE)) &amp; " | " &amp; AC11,AC11 &amp; " " &amp; REPT("●",VLOOKUP(_xlpm.base,$F$79:$P$120,11,FALSE)))))</f>
        <v>¬</v>
      </c>
      <c r="AE11" s="20"/>
      <c r="AF11" s="20" t="str">
        <f>IF(LEN(AC11)=0,"¬",_xlfn.LET(_xlpm.base,IFERROR(LEFT(AC11,FIND(" (",AC11)-1),AC11),IFERROR(VLOOKUP(_xlpm.base,tblMerits[],5,FALSE),IFERROR(VLOOKUP(_xlpm.base,tblManoeuvre[],9,FALSE),"¬"))))</f>
        <v>¬</v>
      </c>
      <c r="AI11" s="15" t="s">
        <v>26</v>
      </c>
      <c r="AJ11" s="61">
        <f t="shared" si="1"/>
        <v>1</v>
      </c>
      <c r="AK11" s="61">
        <f>IF(AJ11=0,IF(COUNTIF($E$42:$E$49,AI11)&gt;0,-3,-1),AJ11)</f>
        <v>1</v>
      </c>
    </row>
    <row r="12" spans="1:37">
      <c r="A12" s="1" t="s">
        <v>11</v>
      </c>
      <c r="B12" t="str">
        <f>IF(VLOOKUP(tblCharDataKirk[[#This Row],[Field]],$E$2:$F$362,2,FALSE)="","¬",VLOOKUP(tblCharDataKirk[[#This Row],[Field]],$E$2:$F$362,2,FALSE))</f>
        <v>Lancea et Sanctum</v>
      </c>
      <c r="D12" s="19"/>
      <c r="E12" s="15" t="s">
        <v>15</v>
      </c>
      <c r="F12" s="3"/>
      <c r="G12" s="3"/>
      <c r="H12" s="18"/>
      <c r="I12" s="18" t="s">
        <v>1432</v>
      </c>
      <c r="N12" s="61">
        <f>N71</f>
        <v>2</v>
      </c>
      <c r="O12" s="65">
        <f>N12/SUM(N$7:N$12)</f>
        <v>5.8823529411764705E-2</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1</v>
      </c>
      <c r="AK12" s="61">
        <f>IF(AJ12=0,IF(COUNTIF($E$42:$E$49,AI12)&gt;0,-3,-1),AJ12)</f>
        <v>1</v>
      </c>
    </row>
    <row r="13" spans="1:37">
      <c r="A13" s="1" t="s">
        <v>12</v>
      </c>
      <c r="B13" t="str">
        <f>_xlfn.IFNA(CONCATENATE(Elements,VLOOKUP(B12,tblCovenantShortName[#Data],2,FALSE)," icon.svg"),"")</f>
        <v>D:\Terra Mortis\Character Sheets\Sheet Elements\Lance icon.svg</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0</v>
      </c>
      <c r="AK13" s="61">
        <f t="shared" ref="AK13:AK19" si="2">AJ13</f>
        <v>0</v>
      </c>
    </row>
    <row r="14" spans="1:37">
      <c r="A14" s="1" t="s">
        <v>13</v>
      </c>
      <c r="B14" t="str">
        <f>IF(VLOOKUP(tblCharDataKirk[[#This Row],[Field]],$E$2:$F$362,2,FALSE)="","¬",VLOOKUP(tblCharDataKirk[[#This Row],[Field]],$E$2:$F$362,2,FALSE))</f>
        <v>Idealist</v>
      </c>
      <c r="D14" s="19"/>
      <c r="E14" s="15" t="s">
        <v>1433</v>
      </c>
      <c r="F14" s="28"/>
      <c r="G14" s="3"/>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0</v>
      </c>
      <c r="AK14" s="61">
        <f t="shared" si="2"/>
        <v>0</v>
      </c>
    </row>
    <row r="15" spans="1:37">
      <c r="A15" s="1" t="s">
        <v>14</v>
      </c>
      <c r="B15" t="str">
        <f>IF(VLOOKUP(tblCharDataKirk[[#This Row],[Field]],$E$2:$F$362,2,FALSE)="","¬",VLOOKUP(tblCharDataKirk[[#This Row],[Field]],$E$2:$F$362,2,FALSE))</f>
        <v>Penitent</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3</v>
      </c>
      <c r="AK15" s="61">
        <f t="shared" ca="1" si="2"/>
        <v>3</v>
      </c>
    </row>
    <row r="16" spans="1:37" ht="15.75" thickBot="1">
      <c r="A16" s="1" t="s">
        <v>15</v>
      </c>
      <c r="B16" t="str">
        <f ca="1">_xlfn.LET(_xlpm.a,VLOOKUP(tblCharDataKirk[[#This Row],[Field]],$E$2:$F$362,2,FALSE),_xlpm.b,VLOOKUP(OFFSET(tblCharDataKirk[[#This Row],[Field]],1,0),$E$2:$F$362,2,FALSE),IF(AND(_xlpm.a&lt;&gt;"",_xlpm.b&lt;&gt;""),_xlpm.a&amp;" &amp; "&amp;_xlpm.b,IF(_xlpm.a&lt;&gt;"",_xlpm.a,IF(_xlpm.b&lt;&gt;"",_xlpm.b,"¬"))))</f>
        <v>¬</v>
      </c>
      <c r="D16" s="14" t="s">
        <v>1427</v>
      </c>
      <c r="E16" s="14"/>
      <c r="F16" s="14"/>
      <c r="G16" s="14"/>
      <c r="H16" s="14"/>
      <c r="I16" s="14"/>
      <c r="N16" s="60">
        <f>SUM(N17:N21)</f>
        <v>9</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REPT("●",IFERROR(INDEX($P$26:$P$38,MATCH(tblCharDataKirk[[#This Row],[Field]],$E$26:$E$38,0)),0))&amp;REPT("○",IFERROR(INDEX($V$26:$V$38,MATCH(tblCharDataKirk[[#This Row],[Field]],$E$26:$E$38,0)),0))</f>
        <v>●●</v>
      </c>
      <c r="D17" s="19"/>
      <c r="E17" s="15" t="s">
        <v>1435</v>
      </c>
      <c r="F17" s="3" t="b">
        <v>1</v>
      </c>
      <c r="G17" s="19"/>
      <c r="H17" s="19"/>
      <c r="I17" s="19"/>
      <c r="N17" s="61">
        <f>IF(F17=TRUE,3,0)</f>
        <v>3</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2</v>
      </c>
      <c r="AK17" s="61">
        <f>AJ17+IFERROR(INDEX($V$26:$V$38,MATCH(AI17,$E$26:$E$38,0)),0)</f>
        <v>2</v>
      </c>
    </row>
    <row r="18" spans="1:37">
      <c r="A18" s="1" t="s">
        <v>17</v>
      </c>
      <c r="B18" t="str">
        <f>REPT("●",IFERROR(INDEX($P$26:$P$38,MATCH(tblCharDataKirk[[#This Row],[Field]],$E$26:$E$38,0)),0))&amp;REPT("○",IFERROR(INDEX($V$26:$V$38,MATCH(tblCharDataKirk[[#This Row],[Field]],$E$26:$E$38,0)),0))</f>
        <v>●●</v>
      </c>
      <c r="D18" s="19"/>
      <c r="E18" s="15" t="s">
        <v>1436</v>
      </c>
      <c r="F18" s="3" t="b">
        <v>1</v>
      </c>
      <c r="G18" s="19"/>
      <c r="H18" s="19"/>
      <c r="I18" s="19"/>
      <c r="N18" s="61">
        <f>IF(F18=TRUE,3,0)</f>
        <v>3</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0</v>
      </c>
      <c r="AK18" s="61">
        <f t="shared" si="2"/>
        <v>0</v>
      </c>
    </row>
    <row r="19" spans="1:37">
      <c r="A19" s="1" t="s">
        <v>18</v>
      </c>
      <c r="B19" t="str">
        <f>REPT("●",IFERROR(INDEX($P$26:$P$38,MATCH(tblCharDataKirk[[#This Row],[Field]],$E$26:$E$38,0)),0))&amp;REPT("○",IFERROR(INDEX($V$26:$V$38,MATCH(tblCharDataKirk[[#This Row],[Field]],$E$26:$E$38,0)),0))</f>
        <v>●●●</v>
      </c>
      <c r="D19" s="19"/>
      <c r="E19" s="15" t="s">
        <v>1437</v>
      </c>
      <c r="F19" s="3"/>
      <c r="G19" s="19"/>
      <c r="H19" s="19"/>
      <c r="I19" s="19"/>
      <c r="N19" s="61">
        <f>IF(F19=TRUE,3,0)</f>
        <v>0</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0</v>
      </c>
      <c r="AK19" s="61">
        <f t="shared" si="2"/>
        <v>0</v>
      </c>
    </row>
    <row r="20" spans="1:37">
      <c r="A20" s="1" t="s">
        <v>19</v>
      </c>
      <c r="B20" t="str">
        <f>REPT("●",IFERROR(INDEX($P$26:$P$38,MATCH(tblCharDataKirk[[#This Row],[Field]],$E$26:$E$38,0)),0))&amp;REPT("○",IFERROR(INDEX($V$26:$V$38,MATCH(tblCharDataKirk[[#This Row],[Field]],$E$26:$E$38,0)),0))</f>
        <v>●●●</v>
      </c>
      <c r="D20" s="19"/>
      <c r="E20" s="15" t="s">
        <v>1438</v>
      </c>
      <c r="F20" s="3"/>
      <c r="G20" s="19"/>
      <c r="H20" s="19"/>
      <c r="I20" s="19"/>
      <c r="N20" s="61">
        <f>IF(F20=TRUE,3,0)</f>
        <v>0</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REPT("●",IFERROR(INDEX($P$26:$P$38,MATCH(tblCharDataKirk[[#This Row],[Field]],$E$26:$E$38,0)),0))&amp;REPT("○",IFERROR(INDEX($V$26:$V$38,MATCH(tblCharDataKirk[[#This Row],[Field]],$E$26:$E$38,0)),0))</f>
        <v>●●</v>
      </c>
      <c r="D21" s="19"/>
      <c r="E21" s="15" t="s">
        <v>11</v>
      </c>
      <c r="F21" s="3" t="b">
        <v>1</v>
      </c>
      <c r="G21" s="19"/>
      <c r="H21" s="19"/>
      <c r="I21" s="19"/>
      <c r="N21" s="61">
        <f>IF(F21=TRUE,3,0)</f>
        <v>3</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1</v>
      </c>
      <c r="AK21" s="61">
        <f>IF(AJ21=0,IF(COUNTIF($E$42:$E$49,AI21)&gt;0,-3,-1),AJ21)</f>
        <v>1</v>
      </c>
    </row>
    <row r="22" spans="1:37">
      <c r="A22" s="1" t="s">
        <v>21</v>
      </c>
      <c r="B22" t="str">
        <f>REPT("●",IFERROR(INDEX($P$26:$P$38,MATCH(tblCharDataKirk[[#This Row],[Field]],$E$26:$E$38,0)),0))&amp;REPT("○",IFERROR(INDEX($V$26:$V$38,MATCH(tblCharDataKirk[[#This Row],[Field]],$E$26:$E$38,0)),0))</f>
        <v>●●●●○○</v>
      </c>
      <c r="Y22" s="15" t="s">
        <v>1439</v>
      </c>
      <c r="Z22" s="61" t="str">
        <f>IFERROR(VLOOKUP(AA22,tblManoeuvre[],2,FALSE),"")</f>
        <v>Crusade</v>
      </c>
      <c r="AA22" s="61" t="str">
        <f t="shared" ref="AA22:AA41" si="3">_xlfn.LET(_xlpm.name,VLOOKUP(Y22,$E$2:$F$362,2,FALSE),_xlpm.paid,_xlfn.IFNA(VLOOKUP(_xlpm.name,$F$79:$Q$120,11,FALSE)&gt;=VLOOKUP(_xlpm.name,$F$79:$Q$120,12,FALSE),FALSE),IF(AND(_xlpm.name&lt;&gt;"",_xlpm.paid),_xlpm.name,""))</f>
        <v>Shield Against Sorcery</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0</v>
      </c>
      <c r="AK22" s="61">
        <f>IF(AJ22=0,IF(COUNTIF($E$42:$E$49,AI22)&gt;0,-3,-1),AJ22)</f>
        <v>-1</v>
      </c>
    </row>
    <row r="23" spans="1:37" ht="15.75" thickBot="1">
      <c r="A23" s="1" t="s">
        <v>22</v>
      </c>
      <c r="B23" t="str">
        <f>REPT("●",IFERROR(INDEX($P$26:$P$38,MATCH(tblCharDataKirk[[#This Row],[Field]],$E$26:$E$38,0)),0))&amp;REPT("○",IFERROR(INDEX($V$26:$V$38,MATCH(tblCharDataKirk[[#This Row],[Field]],$E$26:$E$38,0)),0))</f>
        <v>●●●</v>
      </c>
      <c r="D23" s="14" t="s">
        <v>1440</v>
      </c>
      <c r="E23" s="14"/>
      <c r="F23" s="14"/>
      <c r="G23" s="14"/>
      <c r="H23" s="14"/>
      <c r="I23" s="14"/>
      <c r="N23" s="60">
        <f>SUM(N26:N28,N31:N33,N36:N38)</f>
        <v>5</v>
      </c>
      <c r="Y23" s="15" t="s">
        <v>1441</v>
      </c>
      <c r="Z23" s="61" t="str">
        <f>IFERROR(VLOOKUP(AA23,tblManoeuvre[],2,FALSE),"")</f>
        <v>Crusade</v>
      </c>
      <c r="AA23" s="61" t="str">
        <f t="shared" si="3"/>
        <v>Silence</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1</v>
      </c>
      <c r="AK23" s="61">
        <f>IF(AJ23=0,VLOOKUP(AI23,$E$42:$Q$69,13,FALSE),AJ23)</f>
        <v>1</v>
      </c>
    </row>
    <row r="24" spans="1:37">
      <c r="A24" s="1" t="s">
        <v>23</v>
      </c>
      <c r="B24" t="str">
        <f>REPT("●",IFERROR(INDEX($P$26:$P$38,MATCH(tblCharDataKirk[[#This Row],[Field]],$E$26:$E$38,0)),0))&amp;REPT("○",IFERROR(INDEX($V$26:$V$38,MATCH(tblCharDataKirk[[#This Row],[Field]],$E$26:$E$38,0)),0))</f>
        <v>●</v>
      </c>
      <c r="E24" s="15" t="s">
        <v>1442</v>
      </c>
      <c r="F24" s="3" t="s">
        <v>21</v>
      </c>
      <c r="Y24" s="15" t="s">
        <v>1443</v>
      </c>
      <c r="Z24" s="61" t="str">
        <f>IFERROR(VLOOKUP(AA24,tblManoeuvre[],2,FALSE),"")</f>
        <v>Kindred Dueling</v>
      </c>
      <c r="AA24" s="61" t="str">
        <f t="shared" si="3"/>
        <v>Hamstring</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11</v>
      </c>
      <c r="AK24" s="61">
        <f ca="1">AJ24</f>
        <v>11</v>
      </c>
    </row>
    <row r="25" spans="1:37">
      <c r="A25" s="1" t="s">
        <v>24</v>
      </c>
      <c r="B25" t="str">
        <f>REPT("●",IFERROR(INDEX($P$26:$P$38,MATCH(tblCharDataKirk[[#This Row],[Field]],$E$26:$E$38,0)),0))&amp;REPT("○",IFERROR(INDEX($V$26:$V$38,MATCH(tblCharDataKirk[[#This Row],[Field]],$E$26:$E$38,0)),0))</f>
        <v>●●●</v>
      </c>
      <c r="D25" s="16" t="s">
        <v>1444</v>
      </c>
      <c r="E25" s="17"/>
      <c r="F25" s="17"/>
      <c r="G25" s="17" t="s">
        <v>1445</v>
      </c>
      <c r="H25" s="16" t="s">
        <v>1446</v>
      </c>
      <c r="I25" s="3" t="s">
        <v>1566</v>
      </c>
      <c r="L25" s="60">
        <f>IF(I25="",0,VLOOKUP(I25,tblPriority[#Data],2,FALSE))-SUM(L26:L28)</f>
        <v>0</v>
      </c>
      <c r="Y25" s="15" t="s">
        <v>1447</v>
      </c>
      <c r="Z25" s="61" t="str">
        <f>IFERROR(VLOOKUP(AA25,tblManoeuvre[],2,FALSE),"")</f>
        <v>Kindred Dueling</v>
      </c>
      <c r="AA25" s="61" t="str">
        <f t="shared" si="3"/>
        <v>Taunt</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6</v>
      </c>
      <c r="AK25" s="61">
        <f>AJ25</f>
        <v>6</v>
      </c>
    </row>
    <row r="26" spans="1:37">
      <c r="A26" s="1" t="s">
        <v>25</v>
      </c>
      <c r="B26" t="str">
        <f>REPT("●",IFERROR(INDEX($P$42:$P$69,MATCH(tblCharDataKirk[[#This Row],[Field]],$E$42:$E$69,0)),0))&amp;REPT("○",IFERROR(INDEX($V$42:$V$69,MATCH(tblCharDataKirk[[#This Row],[Field]],$E$42:$E$69,0)),0))&amp;IF(IFERROR(INDEX($W$42:$W$69,MATCH(tblCharDataKirk[[#This Row],[Field]],$E$42:$E$69,0)),0)=1,"†","")</f>
        <v/>
      </c>
      <c r="D26" s="18"/>
      <c r="E26" s="15" t="s">
        <v>16</v>
      </c>
      <c r="F26" s="18"/>
      <c r="G26" s="3"/>
      <c r="H26" s="18"/>
      <c r="I26" s="18"/>
      <c r="L26" s="3"/>
      <c r="M26" s="60">
        <f>IF(E26=$F$24,2,1)</f>
        <v>1</v>
      </c>
      <c r="N26" s="3">
        <v>5</v>
      </c>
      <c r="O26" s="61">
        <f>ROUNDDOWN(N26/4,0)</f>
        <v>1</v>
      </c>
      <c r="P26" s="60">
        <f>MIN(SUM(L26,M26,O26),R26)</f>
        <v>2</v>
      </c>
      <c r="R26" s="61">
        <v>5</v>
      </c>
      <c r="U26" s="4"/>
      <c r="V26" s="61">
        <f>U26</f>
        <v>0</v>
      </c>
      <c r="Y26" s="15" t="s">
        <v>1449</v>
      </c>
      <c r="Z26" s="61" t="str">
        <f>IFERROR(VLOOKUP(AA26,tblManoeuvre[],2,FALSE),"")</f>
        <v/>
      </c>
      <c r="AA26" s="61" t="str">
        <f t="shared" si="3"/>
        <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2</v>
      </c>
      <c r="AK26" s="61">
        <f>AJ26+IFERROR(INDEX($V$26:$V$38,MATCH(AI26,$E$26:$E$38,0)),0)</f>
        <v>2</v>
      </c>
    </row>
    <row r="27" spans="1:37">
      <c r="A27" s="1" t="s">
        <v>26</v>
      </c>
      <c r="B27" t="str">
        <f>REPT("●",IFERROR(INDEX($P$42:$P$69,MATCH(tblCharDataKirk[[#This Row],[Field]],$E$42:$E$69,0)),0))&amp;REPT("○",IFERROR(INDEX($V$42:$V$69,MATCH(tblCharDataKirk[[#This Row],[Field]],$E$42:$E$69,0)),0))&amp;IF(IFERROR(INDEX($W$42:$W$69,MATCH(tblCharDataKirk[[#This Row],[Field]],$E$42:$E$69,0)),0)=1,"†","")</f>
        <v>●</v>
      </c>
      <c r="D27" s="18"/>
      <c r="E27" s="15" t="s">
        <v>17</v>
      </c>
      <c r="F27" s="18"/>
      <c r="G27" s="3"/>
      <c r="H27" s="18"/>
      <c r="I27" s="18"/>
      <c r="L27" s="3">
        <v>1</v>
      </c>
      <c r="M27" s="60">
        <f>IF(E27=$F$24,2,1)</f>
        <v>1</v>
      </c>
      <c r="N27" s="3"/>
      <c r="O27" s="61">
        <f>ROUNDDOWN(N27/4,0)</f>
        <v>0</v>
      </c>
      <c r="P27" s="60">
        <f>MIN(SUM(L27,M27,O27),R27)</f>
        <v>2</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2</v>
      </c>
      <c r="AK27" s="61">
        <f>IF(AJ27=0,IF(COUNTIF($E$42:$E$49,AI27)&gt;0,-3,-1),AJ27)</f>
        <v>2</v>
      </c>
    </row>
    <row r="28" spans="1:37">
      <c r="A28" s="1" t="s">
        <v>27</v>
      </c>
      <c r="B28" t="str">
        <f>REPT("●",IFERROR(INDEX($P$42:$P$69,MATCH(tblCharDataKirk[[#This Row],[Field]],$E$42:$E$69,0)),0))&amp;REPT("○",IFERROR(INDEX($V$42:$V$69,MATCH(tblCharDataKirk[[#This Row],[Field]],$E$42:$E$69,0)),0))&amp;IF(IFERROR(INDEX($W$42:$W$69,MATCH(tblCharDataKirk[[#This Row],[Field]],$E$42:$E$69,0)),0)=1,"†","")</f>
        <v>●</v>
      </c>
      <c r="D28" s="18"/>
      <c r="E28" s="15" t="s">
        <v>18</v>
      </c>
      <c r="F28" s="18"/>
      <c r="G28" s="3"/>
      <c r="H28" s="18"/>
      <c r="I28" s="18"/>
      <c r="L28" s="3">
        <v>2</v>
      </c>
      <c r="M28" s="60">
        <f>IF(E28=$F$24,2,1)</f>
        <v>1</v>
      </c>
      <c r="N28" s="3"/>
      <c r="O28" s="61">
        <f>ROUNDDOWN(N28/4,0)</f>
        <v>0</v>
      </c>
      <c r="P28" s="60">
        <f>MIN(SUM(L28,M28,O28),R28)</f>
        <v>3</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0</v>
      </c>
      <c r="AK28" s="61">
        <f>IF(AJ28=0,IF(COUNTIF($E$42:$E$49,AI28)&gt;0,-3,-1),AJ28)</f>
        <v>-3</v>
      </c>
    </row>
    <row r="29" spans="1:37">
      <c r="A29" s="1" t="s">
        <v>28</v>
      </c>
      <c r="B29" t="str">
        <f>REPT("●",IFERROR(INDEX($P$42:$P$69,MATCH(tblCharDataKirk[[#This Row],[Field]],$E$42:$E$69,0)),0))&amp;REPT("○",IFERROR(INDEX($V$42:$V$69,MATCH(tblCharDataKirk[[#This Row],[Field]],$E$42:$E$69,0)),0))&amp;IF(IFERROR(INDEX($W$42:$W$69,MATCH(tblCharDataKirk[[#This Row],[Field]],$E$42:$E$69,0)),0)=1,"†","")</f>
        <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0</v>
      </c>
      <c r="AK29" s="61">
        <f>IF(AJ29=0,IF(COUNTIF($E$42:$E$49,AI29)&gt;0,-3,-1),AJ29)</f>
        <v>-1</v>
      </c>
    </row>
    <row r="30" spans="1:37">
      <c r="A30" s="1" t="s">
        <v>29</v>
      </c>
      <c r="B30" t="str">
        <f>REPT("●",IFERROR(INDEX($P$42:$P$69,MATCH(tblCharDataKirk[[#This Row],[Field]],$E$42:$E$69,0)),0))&amp;REPT("○",IFERROR(INDEX($V$42:$V$69,MATCH(tblCharDataKirk[[#This Row],[Field]],$E$42:$E$69,0)),0))&amp;IF(IFERROR(INDEX($W$42:$W$69,MATCH(tblCharDataKirk[[#This Row],[Field]],$E$42:$E$69,0)),0)=1,"†","")</f>
        <v>●</v>
      </c>
      <c r="D30" s="16" t="s">
        <v>1453</v>
      </c>
      <c r="E30" s="17"/>
      <c r="F30" s="17"/>
      <c r="G30" s="17" t="s">
        <v>1445</v>
      </c>
      <c r="H30" s="16" t="s">
        <v>1446</v>
      </c>
      <c r="I30" s="3" t="s">
        <v>1565</v>
      </c>
      <c r="L30" s="60">
        <f>IF(I30="",0,VLOOKUP(I30,tblPriority[#Data],2,FALSE))-SUM(L31:L33)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0</v>
      </c>
      <c r="AK30" s="61">
        <f>AJ30</f>
        <v>0</v>
      </c>
    </row>
    <row r="31" spans="1:37">
      <c r="A31" s="1" t="s">
        <v>30</v>
      </c>
      <c r="B31" t="str">
        <f>REPT("●",IFERROR(INDEX($P$42:$P$69,MATCH(tblCharDataKirk[[#This Row],[Field]],$E$42:$E$69,0)),0))&amp;REPT("○",IFERROR(INDEX($V$42:$V$69,MATCH(tblCharDataKirk[[#This Row],[Field]],$E$42:$E$69,0)),0))&amp;IF(IFERROR(INDEX($W$42:$W$69,MATCH(tblCharDataKirk[[#This Row],[Field]],$E$42:$E$69,0)),0)=1,"†","")</f>
        <v>●●</v>
      </c>
      <c r="D31" s="18"/>
      <c r="E31" s="15" t="s">
        <v>19</v>
      </c>
      <c r="F31" s="18"/>
      <c r="G31" s="3"/>
      <c r="H31" s="18"/>
      <c r="I31" s="18"/>
      <c r="L31" s="3">
        <v>2</v>
      </c>
      <c r="M31" s="60">
        <f>IF(E31=$F$24,2,1)</f>
        <v>1</v>
      </c>
      <c r="N31" s="3"/>
      <c r="O31" s="61">
        <f>ROUNDDOWN(N31/4,0)</f>
        <v>0</v>
      </c>
      <c r="P31" s="60">
        <f>MIN(SUM(L31,M31,O31),R31)</f>
        <v>3</v>
      </c>
      <c r="R31" s="61">
        <v>5</v>
      </c>
      <c r="U31" s="4"/>
      <c r="V31" s="61">
        <f>$P$174+U31</f>
        <v>0</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1</v>
      </c>
      <c r="AK31" s="61">
        <f>AJ31+IFERROR(INDEX($V$26:$V$38,MATCH(AI31,$E$26:$E$38,0)),0)</f>
        <v>1</v>
      </c>
    </row>
    <row r="32" spans="1:37">
      <c r="A32" s="1" t="s">
        <v>31</v>
      </c>
      <c r="B32" t="str">
        <f>REPT("●",IFERROR(INDEX($P$42:$P$69,MATCH(tblCharDataKirk[[#This Row],[Field]],$E$42:$E$69,0)),0))&amp;REPT("○",IFERROR(INDEX($V$42:$V$69,MATCH(tblCharDataKirk[[#This Row],[Field]],$E$42:$E$69,0)),0))&amp;IF(IFERROR(INDEX($W$42:$W$69,MATCH(tblCharDataKirk[[#This Row],[Field]],$E$42:$E$69,0)),0)=1,"†","")</f>
        <v>●</v>
      </c>
      <c r="D32" s="18"/>
      <c r="E32" s="15" t="s">
        <v>20</v>
      </c>
      <c r="F32" s="18"/>
      <c r="G32" s="3"/>
      <c r="H32" s="18"/>
      <c r="I32" s="18"/>
      <c r="L32" s="3">
        <v>1</v>
      </c>
      <c r="M32" s="60">
        <f>IF(E32=$F$24,2,1)</f>
        <v>1</v>
      </c>
      <c r="N32" s="3"/>
      <c r="O32" s="61">
        <f>ROUNDDOWN(N32/4,0)</f>
        <v>0</v>
      </c>
      <c r="P32" s="60">
        <f>MIN(SUM(L32,M32,O32),R32)</f>
        <v>2</v>
      </c>
      <c r="R32" s="61">
        <v>5</v>
      </c>
      <c r="U32" s="4"/>
      <c r="V32" s="61">
        <f>U32</f>
        <v>0</v>
      </c>
      <c r="Y32" s="15" t="s">
        <v>1456</v>
      </c>
      <c r="Z32" s="61" t="str">
        <f>IFERROR(VLOOKUP(AA32,tblManoeuvre[],2,FALSE),"")</f>
        <v/>
      </c>
      <c r="AA32" s="61" t="str">
        <f t="shared" si="3"/>
        <v/>
      </c>
      <c r="AI32" s="15" t="s">
        <v>29</v>
      </c>
      <c r="AJ32" s="61">
        <f t="shared" si="1"/>
        <v>1</v>
      </c>
      <c r="AK32" s="61">
        <f>IF(AJ32=0,VLOOKUP(AI32,$E$42:$Q$69,13,FALSE),AJ32)</f>
        <v>1</v>
      </c>
    </row>
    <row r="33" spans="1:37">
      <c r="A33" s="1" t="s">
        <v>32</v>
      </c>
      <c r="B33" t="str">
        <f>REPT("●",IFERROR(INDEX($P$42:$P$69,MATCH(tblCharDataKirk[[#This Row],[Field]],$E$42:$E$69,0)),0))&amp;REPT("○",IFERROR(INDEX($V$42:$V$69,MATCH(tblCharDataKirk[[#This Row],[Field]],$E$42:$E$69,0)),0))&amp;IF(IFERROR(INDEX($W$42:$W$69,MATCH(tblCharDataKirk[[#This Row],[Field]],$E$42:$E$69,0)),0)=1,"†","")</f>
        <v/>
      </c>
      <c r="D33" s="18"/>
      <c r="E33" s="15" t="s">
        <v>21</v>
      </c>
      <c r="F33" s="18"/>
      <c r="G33" s="3"/>
      <c r="H33" s="18"/>
      <c r="I33" s="18"/>
      <c r="L33" s="3">
        <v>2</v>
      </c>
      <c r="M33" s="60">
        <f>IF(E33=$F$24,2,1)</f>
        <v>2</v>
      </c>
      <c r="N33" s="3"/>
      <c r="O33" s="61">
        <f>ROUNDDOWN(N33/4,0)</f>
        <v>0</v>
      </c>
      <c r="P33" s="60">
        <f>MIN(SUM(L33,M33,O33),R33)</f>
        <v>4</v>
      </c>
      <c r="R33" s="61">
        <v>5</v>
      </c>
      <c r="U33" s="4"/>
      <c r="V33" s="61">
        <f>$P$173+U33</f>
        <v>2</v>
      </c>
      <c r="Y33" s="15" t="s">
        <v>1457</v>
      </c>
      <c r="Z33" s="61" t="str">
        <f>IFERROR(VLOOKUP(AA33,tblManoeuvre[],2,FALSE),"")</f>
        <v/>
      </c>
      <c r="AA33" s="61" t="str">
        <f t="shared" si="3"/>
        <v/>
      </c>
      <c r="AI33" s="15" t="s">
        <v>241</v>
      </c>
      <c r="AJ33" s="61">
        <f t="shared" si="1"/>
        <v>0</v>
      </c>
      <c r="AK33" s="61">
        <f>AJ33</f>
        <v>0</v>
      </c>
    </row>
    <row r="34" spans="1:37">
      <c r="A34" s="1" t="s">
        <v>33</v>
      </c>
      <c r="B34" t="str">
        <f>REPT("●",IFERROR(INDEX($P$42:$P$69,MATCH(tblCharDataKirk[[#This Row],[Field]],$E$42:$E$69,0)),0))&amp;REPT("○",IFERROR(INDEX($V$42:$V$69,MATCH(tblCharDataKirk[[#This Row],[Field]],$E$42:$E$69,0)),0))&amp;IF(IFERROR(INDEX($W$42:$W$69,MATCH(tblCharDataKirk[[#This Row],[Field]],$E$42:$E$69,0)),0)=1,"†","")</f>
        <v>●</v>
      </c>
      <c r="Y34" s="15" t="s">
        <v>1458</v>
      </c>
      <c r="Z34" s="61" t="str">
        <f>IFERROR(VLOOKUP(AA34,tblManoeuvre[],2,FALSE),"")</f>
        <v/>
      </c>
      <c r="AA34" s="61" t="str">
        <f t="shared" si="3"/>
        <v/>
      </c>
      <c r="AI34" s="15" t="s">
        <v>242</v>
      </c>
      <c r="AJ34" s="61">
        <f t="shared" si="1"/>
        <v>0</v>
      </c>
      <c r="AK34" s="61">
        <f>AJ34</f>
        <v>0</v>
      </c>
    </row>
    <row r="35" spans="1:37">
      <c r="A35" s="1" t="s">
        <v>34</v>
      </c>
      <c r="B35" t="str">
        <f>REPT("●",IFERROR(INDEX($P$42:$P$69,MATCH(tblCharDataKirk[[#This Row],[Field]],$E$42:$E$69,0)),0))&amp;REPT("○",IFERROR(INDEX($V$42:$V$69,MATCH(tblCharDataKirk[[#This Row],[Field]],$E$42:$E$69,0)),0))&amp;IF(IFERROR(INDEX($W$42:$W$69,MATCH(tblCharDataKirk[[#This Row],[Field]],$E$42:$E$69,0)),0)=1,"†","")</f>
        <v>●●</v>
      </c>
      <c r="D35" s="16" t="s">
        <v>1459</v>
      </c>
      <c r="E35" s="17"/>
      <c r="F35" s="17"/>
      <c r="G35" s="17" t="s">
        <v>1445</v>
      </c>
      <c r="H35" s="16" t="s">
        <v>1446</v>
      </c>
      <c r="I35" s="3" t="s">
        <v>1567</v>
      </c>
      <c r="L35" s="60">
        <f>IF(I35="",0,VLOOKUP(I35,tblPriority[#Data],2,FALSE))-SUM(L36:L38)</f>
        <v>0</v>
      </c>
      <c r="Y35" s="15" t="s">
        <v>1460</v>
      </c>
      <c r="Z35" s="61" t="str">
        <f>IFERROR(VLOOKUP(AA35,tblManoeuvre[],2,FALSE),"")</f>
        <v/>
      </c>
      <c r="AA35" s="61" t="str">
        <f t="shared" si="3"/>
        <v/>
      </c>
      <c r="AI35" s="15" t="s">
        <v>30</v>
      </c>
      <c r="AJ35" s="61">
        <f t="shared" si="1"/>
        <v>2</v>
      </c>
      <c r="AK35" s="61">
        <f>IF(AJ35=0,IF(COUNTIF($E$42:$E$49,AI35)&gt;0,-3,-1),AJ35)</f>
        <v>2</v>
      </c>
    </row>
    <row r="36" spans="1:37">
      <c r="A36" s="1" t="s">
        <v>35</v>
      </c>
      <c r="B36" t="str">
        <f>REPT("●",IFERROR(INDEX($P$42:$P$69,MATCH(tblCharDataKirk[[#This Row],[Field]],$E$42:$E$69,0)),0))&amp;REPT("○",IFERROR(INDEX($V$42:$V$69,MATCH(tblCharDataKirk[[#This Row],[Field]],$E$42:$E$69,0)),0))&amp;IF(IFERROR(INDEX($W$42:$W$69,MATCH(tblCharDataKirk[[#This Row],[Field]],$E$42:$E$69,0)),0)=1,"†","")</f>
        <v/>
      </c>
      <c r="D36" s="18"/>
      <c r="E36" s="15" t="s">
        <v>22</v>
      </c>
      <c r="F36" s="18"/>
      <c r="G36" s="3"/>
      <c r="H36" s="18"/>
      <c r="I36" s="18"/>
      <c r="L36" s="3">
        <v>2</v>
      </c>
      <c r="M36" s="60">
        <f>IF(E36=$F$24,2,1)</f>
        <v>1</v>
      </c>
      <c r="N36" s="3"/>
      <c r="O36" s="61">
        <f>ROUNDDOWN(N36/4,0)</f>
        <v>0</v>
      </c>
      <c r="P36" s="60">
        <f>MIN(SUM(L36,M36,O36),R36)</f>
        <v>3</v>
      </c>
      <c r="R36" s="61">
        <v>5</v>
      </c>
      <c r="U36" s="4"/>
      <c r="V36" s="61">
        <f>U36</f>
        <v>0</v>
      </c>
      <c r="Y36" s="15" t="s">
        <v>1461</v>
      </c>
      <c r="Z36" s="61" t="str">
        <f>IFERROR(VLOOKUP(AA36,tblManoeuvre[],2,FALSE),"")</f>
        <v/>
      </c>
      <c r="AA36" s="61" t="str">
        <f t="shared" si="3"/>
        <v/>
      </c>
      <c r="AI36" s="15" t="s">
        <v>45</v>
      </c>
      <c r="AJ36" s="61">
        <f t="shared" si="1"/>
        <v>0</v>
      </c>
      <c r="AK36" s="61">
        <f>IF(AJ36=0,IF(COUNTIF($E$42:$E$49,AI36)&gt;0,-3,-1),AJ36)</f>
        <v>-1</v>
      </c>
    </row>
    <row r="37" spans="1:37">
      <c r="A37" s="1" t="s">
        <v>36</v>
      </c>
      <c r="B37" t="str">
        <f>REPT("●",IFERROR(INDEX($P$42:$P$69,MATCH(tblCharDataKirk[[#This Row],[Field]],$E$42:$E$69,0)),0))&amp;REPT("○",IFERROR(INDEX($V$42:$V$69,MATCH(tblCharDataKirk[[#This Row],[Field]],$E$42:$E$69,0)),0))&amp;IF(IFERROR(INDEX($W$42:$W$69,MATCH(tblCharDataKirk[[#This Row],[Field]],$E$42:$E$69,0)),0)=1,"†","")</f>
        <v>●</v>
      </c>
      <c r="D37" s="18"/>
      <c r="E37" s="15" t="s">
        <v>23</v>
      </c>
      <c r="F37" s="18"/>
      <c r="G37" s="3"/>
      <c r="H37" s="18"/>
      <c r="I37" s="18"/>
      <c r="L37" s="3"/>
      <c r="M37" s="60">
        <f>IF(E37=$F$24,2,1)</f>
        <v>1</v>
      </c>
      <c r="N37" s="3"/>
      <c r="O37" s="61">
        <f>ROUNDDOWN(N37/4,0)</f>
        <v>0</v>
      </c>
      <c r="P37" s="60">
        <f>MIN(SUM(L37,M37,O37),R37)</f>
        <v>1</v>
      </c>
      <c r="R37" s="61">
        <v>5</v>
      </c>
      <c r="U37" s="4"/>
      <c r="V37" s="61">
        <f>U37</f>
        <v>0</v>
      </c>
      <c r="Y37" s="15" t="s">
        <v>1462</v>
      </c>
      <c r="Z37" s="61" t="str">
        <f>IFERROR(VLOOKUP(AA37,tblManoeuvre[],2,FALSE),"")</f>
        <v/>
      </c>
      <c r="AA37" s="61" t="str">
        <f t="shared" si="3"/>
        <v/>
      </c>
      <c r="AI37" s="15" t="s">
        <v>31</v>
      </c>
      <c r="AJ37" s="61">
        <f t="shared" si="1"/>
        <v>1</v>
      </c>
      <c r="AK37" s="61">
        <f>IF(AJ37=0,IF(COUNTIF($E$42:$E$49,AI37)&gt;0,-3,-1),AJ37)</f>
        <v>1</v>
      </c>
    </row>
    <row r="38" spans="1:37">
      <c r="A38" s="1" t="s">
        <v>37</v>
      </c>
      <c r="B38" t="str">
        <f>REPT("●",IFERROR(INDEX($P$42:$P$69,MATCH(tblCharDataKirk[[#This Row],[Field]],$E$42:$E$69,0)),0))&amp;REPT("○",IFERROR(INDEX($V$42:$V$69,MATCH(tblCharDataKirk[[#This Row],[Field]],$E$42:$E$69,0)),0))&amp;IF(IFERROR(INDEX($W$42:$W$69,MATCH(tblCharDataKirk[[#This Row],[Field]],$E$42:$E$69,0)),0)=1,"†","")</f>
        <v/>
      </c>
      <c r="D38" s="18"/>
      <c r="E38" s="15" t="s">
        <v>24</v>
      </c>
      <c r="F38" s="18"/>
      <c r="G38" s="3"/>
      <c r="H38" s="18"/>
      <c r="I38" s="18"/>
      <c r="L38" s="3">
        <v>2</v>
      </c>
      <c r="M38" s="60">
        <f>IF(E38=$F$24,2,1)</f>
        <v>1</v>
      </c>
      <c r="N38" s="3"/>
      <c r="O38" s="61">
        <f>ROUNDDOWN(N38/4,0)</f>
        <v>0</v>
      </c>
      <c r="P38" s="60">
        <f>MIN(SUM(L38,M38,O38),R38)</f>
        <v>3</v>
      </c>
      <c r="R38" s="61">
        <v>5</v>
      </c>
      <c r="U38" s="4"/>
      <c r="V38" s="61">
        <f>U38</f>
        <v>0</v>
      </c>
      <c r="Y38" s="15" t="s">
        <v>1463</v>
      </c>
      <c r="Z38" s="61" t="str">
        <f>IFERROR(VLOOKUP(AA38,tblManoeuvre[],2,FALSE),"")</f>
        <v/>
      </c>
      <c r="AA38" s="61" t="str">
        <f t="shared" si="3"/>
        <v/>
      </c>
      <c r="AI38" s="15" t="s">
        <v>22</v>
      </c>
      <c r="AJ38" s="61">
        <f t="shared" si="1"/>
        <v>3</v>
      </c>
      <c r="AK38" s="61">
        <f>AJ38+IFERROR(INDEX($V$26:$V$38,MATCH(AI38,$E$26:$E$38,0)),0)</f>
        <v>3</v>
      </c>
    </row>
    <row r="39" spans="1:37">
      <c r="A39" s="1" t="s">
        <v>38</v>
      </c>
      <c r="B39" t="str">
        <f>REPT("●",IFERROR(INDEX($P$42:$P$69,MATCH(tblCharDataKirk[[#This Row],[Field]],$E$42:$E$69,0)),0))&amp;REPT("○",IFERROR(INDEX($V$42:$V$69,MATCH(tblCharDataKirk[[#This Row],[Field]],$E$42:$E$69,0)),0))&amp;IF(IFERROR(INDEX($W$42:$W$69,MATCH(tblCharDataKirk[[#This Row],[Field]],$E$42:$E$69,0)),0)=1,"†","")</f>
        <v>●</v>
      </c>
      <c r="Y39" s="15" t="s">
        <v>1464</v>
      </c>
      <c r="Z39" s="61" t="str">
        <f>IFERROR(VLOOKUP(AA39,tblManoeuvre[],2,FALSE),"")</f>
        <v/>
      </c>
      <c r="AA39" s="61" t="str">
        <f t="shared" si="3"/>
        <v/>
      </c>
      <c r="AI39" s="15" t="s">
        <v>243</v>
      </c>
      <c r="AJ39" s="61">
        <f t="shared" si="1"/>
        <v>1</v>
      </c>
      <c r="AK39" s="61">
        <f>AJ39</f>
        <v>1</v>
      </c>
    </row>
    <row r="40" spans="1:37" ht="15.75" thickBot="1">
      <c r="A40" s="1" t="s">
        <v>39</v>
      </c>
      <c r="B40" t="str">
        <f>REPT("●",IFERROR(INDEX($P$42:$P$69,MATCH(tblCharDataKirk[[#This Row],[Field]],$E$42:$E$69,0)),0))&amp;REPT("○",IFERROR(INDEX($V$42:$V$69,MATCH(tblCharDataKirk[[#This Row],[Field]],$E$42:$E$69,0)),0))&amp;IF(IFERROR(INDEX($W$42:$W$69,MATCH(tblCharDataKirk[[#This Row],[Field]],$E$42:$E$69,0)),0)=1,"†","")</f>
        <v>●</v>
      </c>
      <c r="D40" s="14" t="s">
        <v>1465</v>
      </c>
      <c r="E40" s="14"/>
      <c r="F40" s="14"/>
      <c r="G40" s="14"/>
      <c r="H40" s="14"/>
      <c r="I40" s="14"/>
      <c r="N40" s="60">
        <f>SUM(N42:N49,N52:N59,N62:N69)</f>
        <v>4</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1"/>
        <v>0</v>
      </c>
      <c r="AK40" s="61">
        <f>AJ40</f>
        <v>0</v>
      </c>
    </row>
    <row r="41" spans="1:37">
      <c r="A41" s="1" t="s">
        <v>40</v>
      </c>
      <c r="B41" t="str">
        <f>REPT("●",IFERROR(INDEX($P$42:$P$69,MATCH(tblCharDataKirk[[#This Row],[Field]],$E$42:$E$69,0)),0))&amp;REPT("○",IFERROR(INDEX($V$42:$V$69,MATCH(tblCharDataKirk[[#This Row],[Field]],$E$42:$E$69,0)),0))&amp;IF(IFERROR(INDEX($W$42:$W$69,MATCH(tblCharDataKirk[[#This Row],[Field]],$E$42:$E$69,0)),0)=1,"†","")</f>
        <v>●●●●●</v>
      </c>
      <c r="D41" s="16" t="s">
        <v>1444</v>
      </c>
      <c r="E41" s="17"/>
      <c r="F41" s="17"/>
      <c r="G41" s="17" t="s">
        <v>1467</v>
      </c>
      <c r="H41" s="16" t="s">
        <v>1446</v>
      </c>
      <c r="I41" s="3" t="s">
        <v>1566</v>
      </c>
      <c r="L41" s="60">
        <f>IF(I41="",0,VLOOKUP(I41,tblPriority[#Data],3,FALSE))-SUM(L42:L49)</f>
        <v>0</v>
      </c>
      <c r="T41" s="60">
        <f>3+IF(P161&gt;=3,2,0)-SUM(T42:T49,T52:T59,T62:T69)</f>
        <v>0</v>
      </c>
      <c r="Y41" s="15" t="s">
        <v>1468</v>
      </c>
      <c r="Z41" s="61" t="str">
        <f>IFERROR(VLOOKUP(AA41,tblManoeuvre[],2,FALSE),"")</f>
        <v/>
      </c>
      <c r="AA41" s="61" t="str">
        <f t="shared" si="3"/>
        <v/>
      </c>
      <c r="AI41" s="15" t="s">
        <v>244</v>
      </c>
      <c r="AJ41" s="61">
        <f t="shared" si="1"/>
        <v>2</v>
      </c>
      <c r="AK41" s="61">
        <f>AJ41</f>
        <v>2</v>
      </c>
    </row>
    <row r="42" spans="1:37">
      <c r="A42" s="1" t="s">
        <v>41</v>
      </c>
      <c r="B42" t="str">
        <f>REPT("●",IFERROR(INDEX($P$42:$P$69,MATCH(tblCharDataKirk[[#This Row],[Field]],$E$42:$E$69,0)),0))&amp;REPT("○",IFERROR(INDEX($V$42:$V$69,MATCH(tblCharDataKirk[[#This Row],[Field]],$E$42:$E$69,0)),0))&amp;IF(IFERROR(INDEX($W$42:$W$69,MATCH(tblCharDataKirk[[#This Row],[Field]],$E$42:$E$69,0)),0)=1,"†","")</f>
        <v>●●</v>
      </c>
      <c r="D42" s="18"/>
      <c r="E42" s="15" t="s">
        <v>25</v>
      </c>
      <c r="F42" s="18"/>
      <c r="G42" s="3"/>
      <c r="H42" s="18"/>
      <c r="I42" s="18"/>
      <c r="L42" s="4"/>
      <c r="M42" s="60"/>
      <c r="N42" s="4"/>
      <c r="O42" s="61">
        <f>ROUNDDOWN(N42/2,0)</f>
        <v>0</v>
      </c>
      <c r="P42" s="60">
        <f t="shared" ref="P42:P49" si="4">MIN(SUM(L42,M42,O42),R42)</f>
        <v>0</v>
      </c>
      <c r="R42" s="61">
        <v>5</v>
      </c>
      <c r="T42" s="4"/>
      <c r="U42" s="4"/>
      <c r="V42" s="61">
        <f t="shared" ref="V42:V49" si="5">U42</f>
        <v>0</v>
      </c>
      <c r="W42" s="4"/>
      <c r="AI42" s="15" t="s">
        <v>18</v>
      </c>
      <c r="AJ42" s="61">
        <f t="shared" si="1"/>
        <v>3</v>
      </c>
      <c r="AK42" s="61">
        <f>AJ42+IFERROR(INDEX($V$26:$V$38,MATCH(AI42,$E$26:$E$38,0)),0)</f>
        <v>3</v>
      </c>
    </row>
    <row r="43" spans="1:37">
      <c r="A43" s="1" t="s">
        <v>42</v>
      </c>
      <c r="B43" t="str">
        <f>REPT("●",IFERROR(INDEX($P$42:$P$69,MATCH(tblCharDataKirk[[#This Row],[Field]],$E$42:$E$69,0)),0))&amp;REPT("○",IFERROR(INDEX($V$42:$V$69,MATCH(tblCharDataKirk[[#This Row],[Field]],$E$42:$E$69,0)),0))&amp;IF(IFERROR(INDEX($W$42:$W$69,MATCH(tblCharDataKirk[[#This Row],[Field]],$E$42:$E$69,0)),0)=1,"†","")</f>
        <v>●</v>
      </c>
      <c r="D43" s="18"/>
      <c r="E43" s="15" t="s">
        <v>26</v>
      </c>
      <c r="F43" s="18"/>
      <c r="G43" s="3"/>
      <c r="H43" s="18"/>
      <c r="I43" s="18"/>
      <c r="L43" s="4">
        <v>1</v>
      </c>
      <c r="M43" s="60"/>
      <c r="N43" s="4"/>
      <c r="O43" s="61">
        <f t="shared" ref="O43:O49" si="6">ROUNDDOWN(N43/2,0)</f>
        <v>0</v>
      </c>
      <c r="P43" s="60">
        <f t="shared" si="4"/>
        <v>1</v>
      </c>
      <c r="R43" s="61">
        <v>5</v>
      </c>
      <c r="T43" s="4"/>
      <c r="U43" s="4"/>
      <c r="V43" s="61">
        <f t="shared" si="5"/>
        <v>0</v>
      </c>
      <c r="W43" s="4"/>
      <c r="AI43" s="15" t="s">
        <v>32</v>
      </c>
      <c r="AJ43" s="61">
        <f t="shared" si="1"/>
        <v>0</v>
      </c>
      <c r="AK43" s="61">
        <f>IF(AJ43=0,IF(COUNTIF($E$42:$E$49,AI43)&gt;0,-3,-1),AJ43)</f>
        <v>-3</v>
      </c>
    </row>
    <row r="44" spans="1:37">
      <c r="A44" s="1" t="s">
        <v>43</v>
      </c>
      <c r="B44" t="str">
        <f>REPT("●",IFERROR(INDEX($P$42:$P$69,MATCH(tblCharDataKirk[[#This Row],[Field]],$E$42:$E$69,0)),0))&amp;REPT("○",IFERROR(INDEX($V$42:$V$69,MATCH(tblCharDataKirk[[#This Row],[Field]],$E$42:$E$69,0)),0))&amp;IF(IFERROR(INDEX($W$42:$W$69,MATCH(tblCharDataKirk[[#This Row],[Field]],$E$42:$E$69,0)),0)=1,"†","")</f>
        <v/>
      </c>
      <c r="D44" s="18"/>
      <c r="E44" s="15" t="s">
        <v>27</v>
      </c>
      <c r="F44" s="18"/>
      <c r="G44" s="3" t="s">
        <v>1121</v>
      </c>
      <c r="H44" s="18"/>
      <c r="I44" s="18"/>
      <c r="L44" s="4"/>
      <c r="M44" s="60"/>
      <c r="N44" s="4">
        <v>2</v>
      </c>
      <c r="O44" s="61">
        <f t="shared" si="6"/>
        <v>1</v>
      </c>
      <c r="P44" s="60">
        <f t="shared" si="4"/>
        <v>1</v>
      </c>
      <c r="R44" s="61">
        <v>5</v>
      </c>
      <c r="T44" s="4">
        <v>1</v>
      </c>
      <c r="U44" s="4"/>
      <c r="V44" s="61">
        <f t="shared" si="5"/>
        <v>0</v>
      </c>
      <c r="W44" s="4"/>
      <c r="Y44" s="15">
        <v>1</v>
      </c>
      <c r="Z44" s="61" t="s">
        <v>236</v>
      </c>
      <c r="AA44" s="60" t="str" cm="1">
        <f t="array" ref="AA44">IF(OR(Y44=0,Y44=""),"",IF(VLOOKUP(Z44,$AI$1:$AJ$58,2,FALSE)&gt;=Y44,INDEX(tblDisciplines[Name],MATCH(1,(tblDisciplines[Discipline]=Z44)*(tblDisciplines[Rank]=Y44),0)),""))</f>
        <v>Feral Whispers</v>
      </c>
      <c r="AC44" s="60" t="str" cm="1">
        <f t="array" ref="AC44:AC47">IFERROR(_xlfn.VSTACK(IFERROR(_xlfn._xlws.FILTER(AA44:AA121,AA44:AA121&lt;&gt;""),""),IFERROR(_xlfn._xlws.SORT(_xlfn._xlws.FILTER(AA123:AA132,AA123:AA132&lt;&gt;"")),"")),"")</f>
        <v>Feral Whispers</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Animalism ● | Feral Whispers</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  •  Pool: 4  •  Instant  •  Scene (may persist)</v>
      </c>
      <c r="AF44" s="20" t="str">
        <f>IF(AC44="","",IFERROR(VLOOKUP(AC44,tblDisciplines[],12,FALSE),VLOOKUP(AC44,tblPacts[],5,FALSE)))</f>
        <v>Speak with and command animals.</v>
      </c>
      <c r="AI44" s="15" t="s">
        <v>353</v>
      </c>
      <c r="AJ44" s="61">
        <f t="shared" si="1"/>
        <v>5</v>
      </c>
      <c r="AK44" s="61">
        <f>AJ44</f>
        <v>5</v>
      </c>
    </row>
    <row r="45" spans="1:37">
      <c r="A45" s="1" t="s">
        <v>44</v>
      </c>
      <c r="B45" t="str">
        <f>REPT("●",IFERROR(INDEX($P$42:$P$69,MATCH(tblCharDataKirk[[#This Row],[Field]],$E$42:$E$69,0)),0))&amp;REPT("○",IFERROR(INDEX($V$42:$V$69,MATCH(tblCharDataKirk[[#This Row],[Field]],$E$42:$E$69,0)),0))&amp;IF(IFERROR(INDEX($W$42:$W$69,MATCH(tblCharDataKirk[[#This Row],[Field]],$E$42:$E$69,0)),0)=1,"†","")</f>
        <v>●●</v>
      </c>
      <c r="D45" s="18"/>
      <c r="E45" s="15" t="s">
        <v>28</v>
      </c>
      <c r="F45" s="18"/>
      <c r="G45" s="3"/>
      <c r="H45" s="18"/>
      <c r="I45" s="18"/>
      <c r="L45" s="4"/>
      <c r="M45" s="60"/>
      <c r="N45" s="4"/>
      <c r="O45" s="61">
        <f t="shared" si="6"/>
        <v>0</v>
      </c>
      <c r="P45" s="60">
        <f t="shared" si="4"/>
        <v>0</v>
      </c>
      <c r="R45" s="61">
        <v>5</v>
      </c>
      <c r="T45" s="4"/>
      <c r="U45" s="4"/>
      <c r="V45" s="61">
        <f t="shared" si="5"/>
        <v>0</v>
      </c>
      <c r="W45" s="4"/>
      <c r="Y45" s="15">
        <v>2</v>
      </c>
      <c r="Z45" s="61" t="s">
        <v>236</v>
      </c>
      <c r="AA45" s="60" t="str" cm="1">
        <f t="array" ref="AA45">IF(OR(Y45=0,Y45=""),"",IF(VLOOKUP(Z45,$AI$1:$AJ$58,2,FALSE)&gt;=Y45,INDEX(tblDisciplines[Name],MATCH(1,(tblDisciplines[Discipline]=Z45)*(tblDisciplines[Rank]=Y45),0)),""))</f>
        <v/>
      </c>
      <c r="AC45" s="60" t="str">
        <v>Unmarked Grave</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Protean ● | Unmarked Grave</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Varies  •  Pool: -  •  Instant  •  Indefinite</v>
      </c>
      <c r="AF45" s="20" t="str">
        <f>IF(AC45="","",IFERROR(VLOOKUP(AC45,tblDisciplines[],12,FALSE),VLOOKUP(AC45,tblPacts[],5,FALSE)))</f>
        <v>Merge with soil.</v>
      </c>
      <c r="AI45" s="15" t="s">
        <v>46</v>
      </c>
      <c r="AJ45" s="61">
        <f t="shared" si="1"/>
        <v>0</v>
      </c>
      <c r="AK45" s="61">
        <f>IF(AJ45=0,IF(COUNTIF($E$42:$E$49,AI45)&gt;0,-3,-1),AJ45)</f>
        <v>-1</v>
      </c>
    </row>
    <row r="46" spans="1:37">
      <c r="A46" s="1" t="s">
        <v>45</v>
      </c>
      <c r="B46" t="str">
        <f>REPT("●",IFERROR(INDEX($P$42:$P$69,MATCH(tblCharDataKirk[[#This Row],[Field]],$E$42:$E$69,0)),0))&amp;REPT("○",IFERROR(INDEX($V$42:$V$69,MATCH(tblCharDataKirk[[#This Row],[Field]],$E$42:$E$69,0)),0))&amp;IF(IFERROR(INDEX($W$42:$W$69,MATCH(tblCharDataKirk[[#This Row],[Field]],$E$42:$E$69,0)),0)=1,"†","")</f>
        <v/>
      </c>
      <c r="D46" s="18"/>
      <c r="E46" s="15" t="s">
        <v>29</v>
      </c>
      <c r="F46" s="18"/>
      <c r="G46" s="3"/>
      <c r="H46" s="18"/>
      <c r="I46" s="18"/>
      <c r="L46" s="4">
        <v>1</v>
      </c>
      <c r="M46" s="60"/>
      <c r="N46" s="4"/>
      <c r="O46" s="61">
        <f t="shared" si="6"/>
        <v>0</v>
      </c>
      <c r="P46" s="60">
        <f t="shared" si="4"/>
        <v>1</v>
      </c>
      <c r="R46" s="61">
        <v>5</v>
      </c>
      <c r="T46" s="4"/>
      <c r="U46" s="4"/>
      <c r="V46" s="61">
        <f t="shared" si="5"/>
        <v>0</v>
      </c>
      <c r="W46" s="4"/>
      <c r="Y46" s="15">
        <v>3</v>
      </c>
      <c r="Z46" s="61" t="s">
        <v>236</v>
      </c>
      <c r="AA46" s="60" t="str" cm="1">
        <f t="array" ref="AA46">IF(OR(Y46=0,Y46=""),"",IF(VLOOKUP(Z46,$AI$1:$AJ$58,2,FALSE)&gt;=Y46,INDEX(tblDisciplines[Name],MATCH(1,(tblDisciplines[Discipline]=Z46)*(tblDisciplines[Rank]=Y46),0)),""))</f>
        <v/>
      </c>
      <c r="AC46" s="60" t="str">
        <v>Resilience 2</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Resilience ●●</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1 V per effect  •  Pool: -  •  Reflexive  •  1 turn</v>
      </c>
      <c r="AF46" s="20" t="str">
        <f>IF(AC46="","",IFERROR(VLOOKUP(AC46,tblDisciplines[],12,FALSE),VLOOKUP(AC46,tblPacts[],5,FALSE)))</f>
        <v>Downgrade damage and increase Stamina. Improve Armour and Defences. Unnatural Fortitude: add Resilience dots as bonus dice to non-combat Stamina pools.</v>
      </c>
      <c r="AI46" s="15" t="s">
        <v>354</v>
      </c>
      <c r="AJ46" s="61">
        <f t="shared" ca="1" si="1"/>
        <v>10</v>
      </c>
      <c r="AK46" s="61">
        <f ca="1">AJ46</f>
        <v>10</v>
      </c>
    </row>
    <row r="47" spans="1:37">
      <c r="A47" s="1" t="s">
        <v>46</v>
      </c>
      <c r="B47" t="str">
        <f>REPT("●",IFERROR(INDEX($P$42:$P$69,MATCH(tblCharDataKirk[[#This Row],[Field]],$E$42:$E$69,0)),0))&amp;REPT("○",IFERROR(INDEX($V$42:$V$69,MATCH(tblCharDataKirk[[#This Row],[Field]],$E$42:$E$69,0)),0))&amp;IF(IFERROR(INDEX($W$42:$W$69,MATCH(tblCharDataKirk[[#This Row],[Field]],$E$42:$E$69,0)),0)=1,"†","")</f>
        <v/>
      </c>
      <c r="D47" s="18"/>
      <c r="E47" s="15" t="s">
        <v>30</v>
      </c>
      <c r="F47" s="18"/>
      <c r="G47" s="3"/>
      <c r="H47" s="18"/>
      <c r="I47" s="18"/>
      <c r="L47" s="4">
        <v>2</v>
      </c>
      <c r="M47" s="60"/>
      <c r="N47" s="4"/>
      <c r="O47" s="61">
        <f t="shared" si="6"/>
        <v>0</v>
      </c>
      <c r="P47" s="60">
        <f t="shared" si="4"/>
        <v>2</v>
      </c>
      <c r="R47" s="61">
        <v>5</v>
      </c>
      <c r="T47" s="4"/>
      <c r="U47" s="4"/>
      <c r="V47" s="61">
        <f t="shared" si="5"/>
        <v>0</v>
      </c>
      <c r="W47" s="4"/>
      <c r="Y47" s="15">
        <v>4</v>
      </c>
      <c r="Z47" s="61" t="s">
        <v>236</v>
      </c>
      <c r="AA47" s="60" t="str" cm="1">
        <f t="array" ref="AA47">IF(OR(Y47=0,Y47=""),"",IF(VLOOKUP(Z47,$AI$1:$AJ$58,2,FALSE)&gt;=Y47,INDEX(tblDisciplines[Name],MATCH(1,(tblDisciplines[Discipline]=Z47)*(tblDisciplines[Rank]=Y47),0)),""))</f>
        <v/>
      </c>
      <c r="AC47" s="60" t="str">
        <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
      </c>
      <c r="AF47" s="20" t="str">
        <f>IF(AC47="","",IFERROR(VLOOKUP(AC47,tblDisciplines[],12,FALSE),VLOOKUP(AC47,tblPacts[],5,FALSE)))</f>
        <v/>
      </c>
      <c r="AI47" s="15" t="s">
        <v>21</v>
      </c>
      <c r="AJ47" s="61">
        <f t="shared" si="1"/>
        <v>4</v>
      </c>
      <c r="AK47" s="61">
        <f>AJ47+IFERROR(INDEX($V$26:$V$38,MATCH(AI47,$E$26:$E$38,0)),0)</f>
        <v>6</v>
      </c>
    </row>
    <row r="48" spans="1:37">
      <c r="A48" s="1" t="s">
        <v>47</v>
      </c>
      <c r="B48" t="str">
        <f>REPT("●",IFERROR(INDEX($P$42:$P$69,MATCH(tblCharDataKirk[[#This Row],[Field]],$E$42:$E$69,0)),0))&amp;REPT("○",IFERROR(INDEX($V$42:$V$69,MATCH(tblCharDataKirk[[#This Row],[Field]],$E$42:$E$69,0)),0))&amp;IF(IFERROR(INDEX($W$42:$W$69,MATCH(tblCharDataKirk[[#This Row],[Field]],$E$42:$E$69,0)),0)=1,"†","")</f>
        <v>●</v>
      </c>
      <c r="D48" s="18"/>
      <c r="E48" s="15" t="s">
        <v>31</v>
      </c>
      <c r="F48" s="18"/>
      <c r="G48" s="3"/>
      <c r="H48" s="18"/>
      <c r="I48" s="18"/>
      <c r="L48" s="4"/>
      <c r="M48" s="60"/>
      <c r="N48" s="4">
        <v>2</v>
      </c>
      <c r="O48" s="61">
        <f t="shared" si="6"/>
        <v>1</v>
      </c>
      <c r="P48" s="60">
        <f t="shared" si="4"/>
        <v>1</v>
      </c>
      <c r="R48" s="61">
        <v>5</v>
      </c>
      <c r="T48" s="4"/>
      <c r="U48" s="4"/>
      <c r="V48" s="61">
        <f t="shared" si="5"/>
        <v>0</v>
      </c>
      <c r="W48" s="4"/>
      <c r="Y48" s="15">
        <v>5</v>
      </c>
      <c r="Z48" s="61" t="s">
        <v>236</v>
      </c>
      <c r="AA48" s="60" t="str" cm="1">
        <f t="array" ref="AA48">IF(OR(Y48=0,Y48=""),"",IF(VLOOKUP(Z48,$AI$1:$AJ$58,2,FALSE)&gt;=Y48,INDEX(tblDisciplines[Name],MATCH(1,(tblDisciplines[Discipline]=Z48)*(tblDisciplines[Rank]=Y48),0)),""))</f>
        <v/>
      </c>
      <c r="AC48" s="60"/>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
      </c>
      <c r="AF48" s="20" t="str">
        <f>IF(AC48="","",IFERROR(VLOOKUP(AC48,tblDisciplines[],12,FALSE),VLOOKUP(AC48,tblPacts[],5,FALSE)))</f>
        <v/>
      </c>
      <c r="AI48" s="15" t="s">
        <v>38</v>
      </c>
      <c r="AJ48" s="61">
        <f t="shared" si="1"/>
        <v>1</v>
      </c>
      <c r="AK48" s="61">
        <f>IF(AJ48=0,IF(COUNTIF($E$42:$E$49,AI48)&gt;0,-3,-1),AJ48)</f>
        <v>1</v>
      </c>
    </row>
    <row r="49" spans="1:37">
      <c r="A49" s="1" t="s">
        <v>48</v>
      </c>
      <c r="B49" t="str">
        <f>REPT("●",IFERROR(INDEX($P$42:$P$69,MATCH(tblCharDataKirk[[#This Row],[Field]],$E$42:$E$69,0)),0))&amp;REPT("○",IFERROR(INDEX($V$42:$V$69,MATCH(tblCharDataKirk[[#This Row],[Field]],$E$42:$E$69,0)),0))&amp;IF(IFERROR(INDEX($W$42:$W$69,MATCH(tblCharDataKirk[[#This Row],[Field]],$E$42:$E$69,0)),0)=1,"†","")</f>
        <v>●</v>
      </c>
      <c r="D49" s="18"/>
      <c r="E49" s="15" t="s">
        <v>32</v>
      </c>
      <c r="F49" s="18"/>
      <c r="G49" s="3"/>
      <c r="H49" s="18"/>
      <c r="I49" s="18"/>
      <c r="L49" s="4"/>
      <c r="M49" s="60"/>
      <c r="N49" s="4"/>
      <c r="O49" s="61">
        <f t="shared" si="6"/>
        <v>0</v>
      </c>
      <c r="P49" s="60">
        <f t="shared" si="4"/>
        <v>0</v>
      </c>
      <c r="R49" s="61">
        <v>5</v>
      </c>
      <c r="T49" s="4"/>
      <c r="U49" s="4"/>
      <c r="V49" s="61">
        <f t="shared" si="5"/>
        <v>0</v>
      </c>
      <c r="W49" s="4"/>
      <c r="Y49" s="15">
        <v>1</v>
      </c>
      <c r="Z49" s="61" t="s">
        <v>237</v>
      </c>
      <c r="AA49" s="60" t="str" cm="1">
        <f t="array" ref="AA49">IF(OR(Y49=0,Y49=""),"",IF(VLOOKUP(Z49,$AI$1:$AJ$58,2,FALSE)&gt;=Y49,INDEX(tblDisciplines[Name],MATCH(1,(tblDisciplines[Discipline]=Z49)*(tblDisciplines[Rank]=Y49),0)),""))</f>
        <v/>
      </c>
      <c r="AC49" s="60"/>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
      </c>
      <c r="AF49" s="20" t="str">
        <f>IF(AC49="","",IFERROR(VLOOKUP(AC49,tblDisciplines[],12,FALSE),VLOOKUP(AC49,tblPacts[],5,FALSE)))</f>
        <v/>
      </c>
      <c r="AI49" s="15" t="s">
        <v>47</v>
      </c>
      <c r="AJ49" s="61">
        <f t="shared" si="1"/>
        <v>1</v>
      </c>
      <c r="AK49" s="61">
        <f>IF(AJ49=0,IF(COUNTIF($E$42:$E$49,AI49)&gt;0,-3,-1),AJ49)</f>
        <v>1</v>
      </c>
    </row>
    <row r="50" spans="1:37">
      <c r="A50" s="1" t="s">
        <v>49</v>
      </c>
      <c r="B50" t="str">
        <f ca="1">REPT("●",VLOOKUP(tblCharDataKirk[[#This Row],[Field]],INDIRECT($AH$1),2,FALSE)) &amp; REPT("○",10-VLOOKUP(tblCharDataKirk[[#This Row],[Field]],INDIRECT($AH$1),2,FALSE)) &amp; REPT("○",10-VLOOKUP(tblCharDataKirk[[#This Row],[Field]],INDIRECT($AH$1),2,FALSE))</f>
        <v>●●○○○○○○○○○○○○○○○○</v>
      </c>
      <c r="Y50" s="15">
        <v>2</v>
      </c>
      <c r="Z50" s="61" t="s">
        <v>237</v>
      </c>
      <c r="AA50" s="60" t="str" cm="1">
        <f t="array" ref="AA50">IF(OR(Y50=0,Y50=""),"",IF(VLOOKUP(Z50,$AI$1:$AJ$58,2,FALSE)&gt;=Y50,INDEX(tblDisciplines[Name],MATCH(1,(tblDisciplines[Discipline]=Z50)*(tblDisciplines[Rank]=Y50),0)),""))</f>
        <v/>
      </c>
      <c r="AC50" s="60"/>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
      </c>
      <c r="AF50" s="20" t="str">
        <f>IF(AC50="","",IFERROR(VLOOKUP(AC50,tblDisciplines[],12,FALSE),VLOOKUP(AC50,tblPacts[],5,FALSE)))</f>
        <v/>
      </c>
      <c r="AI50" s="15" t="s">
        <v>19</v>
      </c>
      <c r="AJ50" s="61">
        <f t="shared" si="1"/>
        <v>3</v>
      </c>
      <c r="AK50" s="61">
        <f>AJ50+IFERROR(INDEX($V$26:$V$38,MATCH(AI50,$E$26:$E$38,0)),0)</f>
        <v>3</v>
      </c>
    </row>
    <row r="51" spans="1:37">
      <c r="A51" s="1" t="s">
        <v>50</v>
      </c>
      <c r="B51">
        <f>P72</f>
        <v>2</v>
      </c>
      <c r="D51" s="16" t="s">
        <v>1453</v>
      </c>
      <c r="E51" s="17"/>
      <c r="F51" s="17"/>
      <c r="G51" s="17" t="s">
        <v>1467</v>
      </c>
      <c r="H51" s="16" t="s">
        <v>1446</v>
      </c>
      <c r="I51" s="3" t="s">
        <v>1565</v>
      </c>
      <c r="L51" s="60">
        <f>IF(I51="",0,VLOOKUP(I51,tblPriority[#Data],3,FALSE))-SUM(L52:L59)</f>
        <v>0</v>
      </c>
      <c r="Y51" s="15">
        <v>3</v>
      </c>
      <c r="Z51" s="61" t="s">
        <v>237</v>
      </c>
      <c r="AA51" s="60" t="str" cm="1">
        <f t="array" ref="AA51">IF(OR(Y51=0,Y51=""),"",IF(VLOOKUP(Z51,$AI$1:$AJ$58,2,FALSE)&gt;=Y51,INDEX(tblDisciplines[Name],MATCH(1,(tblDisciplines[Discipline]=Z51)*(tblDisciplines[Rank]=Y51),0)),""))</f>
        <v/>
      </c>
      <c r="AC51" s="60"/>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
      </c>
      <c r="AF51" s="20" t="str">
        <f>IF(AC51="","",IFERROR(VLOOKUP(AC51,tblDisciplines[],12,FALSE),VLOOKUP(AC51,tblPacts[],5,FALSE)))</f>
        <v/>
      </c>
      <c r="AI51" s="15" t="s">
        <v>48</v>
      </c>
      <c r="AJ51" s="61">
        <f t="shared" si="1"/>
        <v>1</v>
      </c>
      <c r="AK51" s="61">
        <f>IF(AJ51=0,IF(COUNTIF($E$42:$E$49,AI51)&gt;0,-3,-1),AJ51)</f>
        <v>1</v>
      </c>
    </row>
    <row r="52" spans="1:37">
      <c r="A52" s="1" t="s">
        <v>51</v>
      </c>
      <c r="B52" t="str">
        <f>_xlfn.IFNA(VLOOKUP(P72,tblBloodPotency[#Data],5,FALSE),"")</f>
        <v>†</v>
      </c>
      <c r="D52" s="18"/>
      <c r="E52" s="15" t="s">
        <v>33</v>
      </c>
      <c r="F52" s="18"/>
      <c r="G52" s="3"/>
      <c r="H52" s="18"/>
      <c r="I52" s="18"/>
      <c r="L52" s="4">
        <v>1</v>
      </c>
      <c r="M52" s="60"/>
      <c r="N52" s="4"/>
      <c r="O52" s="61">
        <f>ROUNDDOWN(N52/2,0)</f>
        <v>0</v>
      </c>
      <c r="P52" s="60">
        <f t="shared" ref="P52:P59" si="7">MIN(SUM(L52,M52,O52),R52)</f>
        <v>1</v>
      </c>
      <c r="R52" s="61">
        <v>5</v>
      </c>
      <c r="T52" s="4"/>
      <c r="U52" s="4"/>
      <c r="V52" s="61">
        <f t="shared" ref="V52:V59" si="8">U52</f>
        <v>0</v>
      </c>
      <c r="W52" s="4"/>
      <c r="Y52" s="15">
        <v>4</v>
      </c>
      <c r="Z52" s="61" t="s">
        <v>237</v>
      </c>
      <c r="AA52" s="60" t="str" cm="1">
        <f t="array" ref="AA52">IF(OR(Y52=0,Y52=""),"",IF(VLOOKUP(Z52,$AI$1:$AJ$58,2,FALSE)&gt;=Y52,INDEX(tblDisciplines[Name],MATCH(1,(tblDisciplines[Discipline]=Z52)*(tblDisciplines[Rank]=Y52),0)),""))</f>
        <v/>
      </c>
      <c r="AC52" s="60"/>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
      </c>
      <c r="AF52" s="20" t="str">
        <f>IF(AC52="","",IFERROR(VLOOKUP(AC52,tblDisciplines[],12,FALSE),VLOOKUP(AC52,tblPacts[],5,FALSE)))</f>
        <v/>
      </c>
      <c r="AI52" s="15" t="s">
        <v>39</v>
      </c>
      <c r="AJ52" s="61">
        <f t="shared" si="1"/>
        <v>1</v>
      </c>
      <c r="AK52" s="61">
        <f>IF(AJ52=0,IF(COUNTIF($E$42:$E$49,AI52)&gt;0,-3,-1),AJ52)</f>
        <v>1</v>
      </c>
    </row>
    <row r="53" spans="1:37">
      <c r="A53" s="1" t="s">
        <v>52</v>
      </c>
      <c r="B53" t="str">
        <f ca="1">REPT("□",P221) &amp; REPT("■",15-P221)</f>
        <v>□□□□□□□□□□□■■■■</v>
      </c>
      <c r="D53" s="18"/>
      <c r="E53" s="15" t="s">
        <v>34</v>
      </c>
      <c r="F53" s="18"/>
      <c r="G53" s="3"/>
      <c r="H53" s="18"/>
      <c r="I53" s="18"/>
      <c r="L53" s="4">
        <v>2</v>
      </c>
      <c r="M53" s="60"/>
      <c r="N53" s="4"/>
      <c r="O53" s="61">
        <f t="shared" ref="O53:O59" si="9">ROUNDDOWN(N53/2,0)</f>
        <v>0</v>
      </c>
      <c r="P53" s="60">
        <f t="shared" si="7"/>
        <v>2</v>
      </c>
      <c r="R53" s="61">
        <v>5</v>
      </c>
      <c r="T53" s="4"/>
      <c r="U53" s="4"/>
      <c r="V53" s="61">
        <f t="shared" si="8"/>
        <v>0</v>
      </c>
      <c r="W53" s="4"/>
      <c r="Y53" s="15">
        <v>5</v>
      </c>
      <c r="Z53" s="61" t="s">
        <v>237</v>
      </c>
      <c r="AA53" s="60" t="str" cm="1">
        <f t="array" ref="AA53">IF(OR(Y53=0,Y53=""),"",IF(VLOOKUP(Z53,$AI$1:$AJ$58,2,FALSE)&gt;=Y53,INDEX(tblDisciplines[Name],MATCH(1,(tblDisciplines[Discipline]=Z53)*(tblDisciplines[Rank]=Y53),0)),""))</f>
        <v/>
      </c>
      <c r="AC53" s="60"/>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
      </c>
      <c r="AF53" s="20" t="str">
        <f>IF(AC53="","",IFERROR(VLOOKUP(AC53,tblDisciplines[],12,FALSE),VLOOKUP(AC53,tblPacts[],5,FALSE)))</f>
        <v/>
      </c>
      <c r="AI53" s="15" t="s">
        <v>247</v>
      </c>
      <c r="AJ53" s="61">
        <f t="shared" si="1"/>
        <v>0</v>
      </c>
      <c r="AK53" s="61">
        <f>AJ53</f>
        <v>0</v>
      </c>
    </row>
    <row r="54" spans="1:37">
      <c r="A54" s="1" t="s">
        <v>53</v>
      </c>
      <c r="B54" t="str">
        <f>_xlfn.CONCAT(P74-L224," / ",P74)</f>
        <v>6 / 6</v>
      </c>
      <c r="D54" s="18"/>
      <c r="E54" s="15" t="s">
        <v>35</v>
      </c>
      <c r="F54" s="18"/>
      <c r="G54" s="3"/>
      <c r="H54" s="18"/>
      <c r="I54" s="18"/>
      <c r="L54" s="4"/>
      <c r="M54" s="60"/>
      <c r="N54" s="4"/>
      <c r="O54" s="61">
        <f t="shared" si="9"/>
        <v>0</v>
      </c>
      <c r="P54" s="60">
        <f t="shared" si="7"/>
        <v>0</v>
      </c>
      <c r="R54" s="61">
        <v>5</v>
      </c>
      <c r="T54" s="4"/>
      <c r="U54" s="4"/>
      <c r="V54" s="61">
        <f t="shared" si="8"/>
        <v>0</v>
      </c>
      <c r="W54" s="4"/>
      <c r="Y54" s="15">
        <f>P167</f>
        <v>0</v>
      </c>
      <c r="Z54" s="61" t="s">
        <v>238</v>
      </c>
      <c r="AA54" s="60" t="str" cm="1">
        <f t="array" ref="AA54">IF(OR(Y54=0,Y54=""),"",IF(VLOOKUP(Z54,$AI$1:$AJ$58,2,FALSE)&gt;=Y54,INDEX(tblDisciplines[Name],MATCH(1,(tblDisciplines[Discipline]=Z54)*(tblDisciplines[Rank]=Y54),0)),""))</f>
        <v/>
      </c>
      <c r="AC54" s="60"/>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
      </c>
      <c r="AF54" s="20" t="str">
        <f>IF(AC54="","",IFERROR(VLOOKUP(AC54,tblDisciplines[],12,FALSE),VLOOKUP(AC54,tblPacts[],5,FALSE)))</f>
        <v/>
      </c>
      <c r="AI54" s="15" t="s">
        <v>252</v>
      </c>
      <c r="AJ54" s="61">
        <f t="shared" si="1"/>
        <v>0</v>
      </c>
      <c r="AK54" s="61">
        <f>AJ54</f>
        <v>0</v>
      </c>
    </row>
    <row r="55" spans="1:37">
      <c r="A55" s="1" t="s">
        <v>54</v>
      </c>
      <c r="B55" t="str">
        <f>REPT("□",P74) &amp; REPT("■",10-P74)</f>
        <v>□□□□□□■■■■</v>
      </c>
      <c r="D55" s="18"/>
      <c r="E55" s="15" t="s">
        <v>36</v>
      </c>
      <c r="F55" s="18"/>
      <c r="G55" s="3"/>
      <c r="H55" s="18"/>
      <c r="I55" s="18"/>
      <c r="L55" s="4">
        <v>1</v>
      </c>
      <c r="M55" s="60"/>
      <c r="N55" s="4"/>
      <c r="O55" s="61">
        <f t="shared" si="9"/>
        <v>0</v>
      </c>
      <c r="P55" s="60">
        <f t="shared" si="7"/>
        <v>1</v>
      </c>
      <c r="R55" s="61">
        <v>5</v>
      </c>
      <c r="T55" s="4"/>
      <c r="U55" s="4"/>
      <c r="V55" s="61">
        <f t="shared" si="8"/>
        <v>0</v>
      </c>
      <c r="W55" s="4"/>
      <c r="Y55" s="15">
        <v>1</v>
      </c>
      <c r="Z55" s="61" t="s">
        <v>239</v>
      </c>
      <c r="AA55" s="60" t="str" cm="1">
        <f t="array" ref="AA55">IF(OR(Y55=0,Y55=""),"",IF(VLOOKUP(Z55,$AI$1:$AJ$58,2,FALSE)&gt;=Y55,INDEX(tblDisciplines[Name],MATCH(1,(tblDisciplines[Discipline]=Z55)*(tblDisciplines[Rank]=Y55),0)),""))</f>
        <v/>
      </c>
      <c r="AC55" s="60"/>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
      </c>
      <c r="AF55" s="20" t="str">
        <f>IF(AC55="","",IFERROR(VLOOKUP(AC55,tblDisciplines[],12,FALSE),VLOOKUP(AC55,tblPacts[],5,FALSE)))</f>
        <v/>
      </c>
      <c r="AI55" s="15" t="s">
        <v>245</v>
      </c>
      <c r="AJ55" s="61">
        <f t="shared" si="1"/>
        <v>0</v>
      </c>
      <c r="AK55" s="61">
        <f>AJ55+IFERROR(INDEX($V$26:$V$38,MATCH(AI55,$E$26:$E$38,0)),0)</f>
        <v>0</v>
      </c>
    </row>
    <row r="56" spans="1:37">
      <c r="A56" s="1" t="s">
        <v>55</v>
      </c>
      <c r="B56" t="str">
        <f ca="1">_xlfn.CONCAT(P75-L223," / ",P75)</f>
        <v>11 / 11</v>
      </c>
      <c r="D56" s="19"/>
      <c r="E56" s="15" t="s">
        <v>37</v>
      </c>
      <c r="F56" s="18"/>
      <c r="G56" s="3"/>
      <c r="H56" s="18"/>
      <c r="I56" s="18"/>
      <c r="L56" s="4"/>
      <c r="M56" s="60"/>
      <c r="N56" s="4"/>
      <c r="O56" s="61">
        <f t="shared" si="9"/>
        <v>0</v>
      </c>
      <c r="P56" s="60">
        <f t="shared" si="7"/>
        <v>0</v>
      </c>
      <c r="R56" s="61">
        <v>5</v>
      </c>
      <c r="T56" s="4"/>
      <c r="U56" s="4"/>
      <c r="V56" s="61">
        <f t="shared" si="8"/>
        <v>0</v>
      </c>
      <c r="W56" s="4"/>
      <c r="Y56" s="15">
        <v>2</v>
      </c>
      <c r="Z56" s="61" t="s">
        <v>239</v>
      </c>
      <c r="AA56" s="60" t="str" cm="1">
        <f t="array" ref="AA56">IF(OR(Y56=0,Y56=""),"",IF(VLOOKUP(Z56,$AI$1:$AJ$58,2,FALSE)&gt;=Y56,INDEX(tblDisciplines[Name],MATCH(1,(tblDisciplines[Discipline]=Z56)*(tblDisciplines[Rank]=Y56),0)),""))</f>
        <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1"/>
        <v>5</v>
      </c>
      <c r="AK56" s="61">
        <f>IF(AJ56=0,IF(COUNTIF($E$42:$E$49,AI56)&gt;0,-3,-1),AJ56)</f>
        <v>5</v>
      </c>
    </row>
    <row r="57" spans="1:37">
      <c r="A57" s="1" t="s">
        <v>56</v>
      </c>
      <c r="B57" t="str">
        <f ca="1">REPT("□",P75-L223) &amp; REPT("■",20-P75+L223)</f>
        <v>□□□□□□□□□□□■■■■■■■■■</v>
      </c>
      <c r="D57" s="19"/>
      <c r="E57" s="15" t="s">
        <v>38</v>
      </c>
      <c r="F57" s="18"/>
      <c r="G57" s="3"/>
      <c r="H57" s="18"/>
      <c r="I57" s="18"/>
      <c r="L57" s="4">
        <v>1</v>
      </c>
      <c r="M57" s="60"/>
      <c r="N57" s="4"/>
      <c r="O57" s="61">
        <f t="shared" si="9"/>
        <v>0</v>
      </c>
      <c r="P57" s="60">
        <f t="shared" si="7"/>
        <v>1</v>
      </c>
      <c r="R57" s="61">
        <v>5</v>
      </c>
      <c r="T57" s="4"/>
      <c r="U57" s="4"/>
      <c r="V57" s="61">
        <f t="shared" si="8"/>
        <v>0</v>
      </c>
      <c r="W57" s="4"/>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1"/>
        <v>6</v>
      </c>
      <c r="AK57" s="61">
        <f>AJ57</f>
        <v>6</v>
      </c>
    </row>
    <row r="58" spans="1:37">
      <c r="A58" s="1" t="s">
        <v>57</v>
      </c>
      <c r="B58">
        <f ca="1">VLOOKUP(VLOOKUP("Blood Potency", INDIRECT($AH$1),2,FALSE),tblBloodPotency[#Data],3,FALSE)</f>
        <v>2</v>
      </c>
      <c r="D58" s="19"/>
      <c r="E58" s="15" t="s">
        <v>39</v>
      </c>
      <c r="F58" s="18"/>
      <c r="G58" s="3"/>
      <c r="H58" s="18"/>
      <c r="I58" s="18"/>
      <c r="L58" s="4">
        <v>1</v>
      </c>
      <c r="M58" s="60"/>
      <c r="N58" s="4"/>
      <c r="O58" s="61">
        <f t="shared" si="9"/>
        <v>0</v>
      </c>
      <c r="P58" s="60">
        <f t="shared" si="7"/>
        <v>1</v>
      </c>
      <c r="R58" s="61">
        <v>5</v>
      </c>
      <c r="T58" s="4"/>
      <c r="U58" s="4"/>
      <c r="V58" s="61">
        <f t="shared" si="8"/>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1"/>
        <v>2</v>
      </c>
      <c r="AK58" s="61">
        <f>AJ58+IFERROR(INDEX($V$26:$V$38,MATCH(AI58,$E$26:$E$38,0)),0)</f>
        <v>2</v>
      </c>
    </row>
    <row r="59" spans="1:37">
      <c r="A59" s="1" t="s">
        <v>58</v>
      </c>
      <c r="B59" t="str">
        <f ca="1">VLOOKUP(VLOOKUP("Blood Potency", INDIRECT($AH$1),2,FALSE),tblBloodPotency[#Data],4,FALSE)</f>
        <v>Animals</v>
      </c>
      <c r="D59" s="19"/>
      <c r="E59" s="15" t="s">
        <v>40</v>
      </c>
      <c r="F59" s="18"/>
      <c r="G59" s="3"/>
      <c r="H59" s="18"/>
      <c r="I59" s="18"/>
      <c r="L59" s="4">
        <v>5</v>
      </c>
      <c r="M59" s="60"/>
      <c r="N59" s="4"/>
      <c r="O59" s="61">
        <f t="shared" si="9"/>
        <v>0</v>
      </c>
      <c r="P59" s="60">
        <f t="shared" si="7"/>
        <v>5</v>
      </c>
      <c r="R59" s="61">
        <v>5</v>
      </c>
      <c r="T59" s="4"/>
      <c r="U59" s="4"/>
      <c r="V59" s="61">
        <f t="shared" si="8"/>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0">IFERROR(IF(VLOOKUP(SUBSTITUTE(A60," Spec",""),$E$42:$G$69,3,FALSE)=0,"",VLOOKUP(SUBSTITUTE(A60," Spec",""),$E$42:$G$69,3,FALSE)),"")</f>
        <v/>
      </c>
      <c r="Y60" s="15">
        <v>1</v>
      </c>
      <c r="Z60" s="61" t="s">
        <v>240</v>
      </c>
      <c r="AA60" s="60" t="str" cm="1">
        <f t="array" ref="AA60">IF(OR(Y60=0,Y60=""),"",IF(VLOOKUP(Z60,$AI$1:$AJ$58,2,FALSE)&gt;=Y60,INDEX(tblDisciplines[Name],MATCH(1,(tblDisciplines[Discipline]=Z60)*(tblDisciplines[Rank]=Y60),0)),""))</f>
        <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0"/>
        <v/>
      </c>
      <c r="D61" s="16" t="s">
        <v>1459</v>
      </c>
      <c r="E61" s="17"/>
      <c r="F61" s="17"/>
      <c r="G61" s="17" t="s">
        <v>1467</v>
      </c>
      <c r="H61" s="16" t="s">
        <v>1446</v>
      </c>
      <c r="I61" s="3" t="s">
        <v>1567</v>
      </c>
      <c r="L61" s="60">
        <f>IF(I61="",0,VLOOKUP(I61,tblPriority[#Data],3,FALSE))-SUM(L62:L69)</f>
        <v>0</v>
      </c>
      <c r="Y61" s="15">
        <v>2</v>
      </c>
      <c r="Z61" s="61" t="s">
        <v>240</v>
      </c>
      <c r="AA61" s="60" t="str" cm="1">
        <f t="array" ref="AA61">IF(OR(Y61=0,Y61=""),"",IF(VLOOKUP(Z61,$AI$1:$AJ$58,2,FALSE)&gt;=Y61,INDEX(tblDisciplines[Name],MATCH(1,(tblDisciplines[Discipline]=Z61)*(tblDisciplines[Rank]=Y61),0)),""))</f>
        <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0"/>
        <v>carpentry</v>
      </c>
      <c r="D62" s="18"/>
      <c r="E62" s="15" t="s">
        <v>41</v>
      </c>
      <c r="F62" s="18"/>
      <c r="G62" s="3" t="s">
        <v>1122</v>
      </c>
      <c r="H62" s="18"/>
      <c r="I62" s="18"/>
      <c r="L62" s="4">
        <v>2</v>
      </c>
      <c r="M62" s="60"/>
      <c r="N62" s="4"/>
      <c r="O62" s="61">
        <f>ROUNDDOWN(N62/2,0)</f>
        <v>0</v>
      </c>
      <c r="P62" s="60">
        <f t="shared" ref="P62:P69" si="11">MIN(SUM(L62,M62,O62),R62)</f>
        <v>2</v>
      </c>
      <c r="R62" s="61">
        <v>5</v>
      </c>
      <c r="T62" s="4">
        <v>1</v>
      </c>
      <c r="U62" s="4"/>
      <c r="V62" s="61">
        <f t="shared" ref="V62:V69" si="12">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0"/>
        <v/>
      </c>
      <c r="D63" s="19"/>
      <c r="E63" s="15" t="s">
        <v>42</v>
      </c>
      <c r="F63" s="18"/>
      <c r="G63" s="3"/>
      <c r="H63" s="18"/>
      <c r="I63" s="18"/>
      <c r="L63" s="4">
        <v>1</v>
      </c>
      <c r="M63" s="60"/>
      <c r="N63" s="4"/>
      <c r="O63" s="61">
        <f t="shared" ref="O63:O69" si="13">ROUNDDOWN(N63/2,0)</f>
        <v>0</v>
      </c>
      <c r="P63" s="60">
        <f t="shared" si="11"/>
        <v>1</v>
      </c>
      <c r="R63" s="61">
        <v>5</v>
      </c>
      <c r="T63" s="4"/>
      <c r="U63" s="4"/>
      <c r="V63" s="61">
        <f t="shared" si="12"/>
        <v>0</v>
      </c>
      <c r="W63" s="4"/>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0"/>
        <v/>
      </c>
      <c r="D64" s="19"/>
      <c r="E64" s="15" t="s">
        <v>43</v>
      </c>
      <c r="F64" s="18"/>
      <c r="G64" s="3"/>
      <c r="H64" s="18"/>
      <c r="I64" s="18"/>
      <c r="L64" s="4"/>
      <c r="M64" s="60"/>
      <c r="N64" s="4"/>
      <c r="O64" s="61">
        <f t="shared" si="13"/>
        <v>0</v>
      </c>
      <c r="P64" s="60">
        <f t="shared" si="11"/>
        <v>0</v>
      </c>
      <c r="R64" s="61">
        <v>5</v>
      </c>
      <c r="T64" s="4"/>
      <c r="U64" s="4"/>
      <c r="V64" s="61">
        <f t="shared" si="12"/>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0"/>
        <v/>
      </c>
      <c r="D65" s="19"/>
      <c r="E65" s="15" t="s">
        <v>44</v>
      </c>
      <c r="F65" s="18"/>
      <c r="G65" s="3"/>
      <c r="H65" s="18"/>
      <c r="I65" s="18"/>
      <c r="L65" s="4">
        <v>2</v>
      </c>
      <c r="M65" s="60"/>
      <c r="N65" s="4"/>
      <c r="O65" s="61">
        <f t="shared" si="13"/>
        <v>0</v>
      </c>
      <c r="P65" s="60">
        <f t="shared" si="11"/>
        <v>2</v>
      </c>
      <c r="R65" s="61">
        <v>5</v>
      </c>
      <c r="T65" s="4"/>
      <c r="U65" s="4"/>
      <c r="V65" s="61">
        <f t="shared" si="12"/>
        <v>0</v>
      </c>
      <c r="W65" s="4"/>
      <c r="Y65" s="15">
        <v>1</v>
      </c>
      <c r="Z65" s="61" t="s">
        <v>241</v>
      </c>
      <c r="AA65" s="60" t="str" cm="1">
        <f t="array" ref="AA65">IF(OR(Y65=0,Y65=""),"",IF(VLOOKUP(Z65,$AI$1:$AJ$58,2,FALSE)&gt;=Y65,INDEX(tblDisciplines[Name],MATCH(1,(tblDisciplines[Discipline]=Z65)*(tblDisciplines[Rank]=Y65),0)),""))</f>
        <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0"/>
        <v/>
      </c>
      <c r="D66" s="19"/>
      <c r="E66" s="15" t="s">
        <v>45</v>
      </c>
      <c r="F66" s="18"/>
      <c r="G66" s="3"/>
      <c r="H66" s="18"/>
      <c r="I66" s="18"/>
      <c r="L66" s="4"/>
      <c r="M66" s="60"/>
      <c r="N66" s="4"/>
      <c r="O66" s="61">
        <f t="shared" si="13"/>
        <v>0</v>
      </c>
      <c r="P66" s="60">
        <f t="shared" si="11"/>
        <v>0</v>
      </c>
      <c r="R66" s="61">
        <v>5</v>
      </c>
      <c r="T66" s="4"/>
      <c r="U66" s="4"/>
      <c r="V66" s="61">
        <f t="shared" si="12"/>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0"/>
        <v/>
      </c>
      <c r="D67" s="19"/>
      <c r="E67" s="15" t="s">
        <v>46</v>
      </c>
      <c r="F67" s="18"/>
      <c r="G67" s="3"/>
      <c r="H67" s="18"/>
      <c r="I67" s="18"/>
      <c r="L67" s="4"/>
      <c r="M67" s="60"/>
      <c r="N67" s="4"/>
      <c r="O67" s="61">
        <f t="shared" si="13"/>
        <v>0</v>
      </c>
      <c r="P67" s="60">
        <f t="shared" si="11"/>
        <v>0</v>
      </c>
      <c r="R67" s="61">
        <v>5</v>
      </c>
      <c r="T67" s="4"/>
      <c r="U67" s="4"/>
      <c r="V67" s="61">
        <f t="shared" si="12"/>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0"/>
        <v/>
      </c>
      <c r="D68" s="18"/>
      <c r="E68" s="15" t="s">
        <v>47</v>
      </c>
      <c r="F68" s="18"/>
      <c r="G68" s="3" t="s">
        <v>1123</v>
      </c>
      <c r="H68" s="18"/>
      <c r="I68" s="18"/>
      <c r="L68" s="4">
        <v>1</v>
      </c>
      <c r="M68" s="60"/>
      <c r="N68" s="4"/>
      <c r="O68" s="61">
        <f t="shared" si="13"/>
        <v>0</v>
      </c>
      <c r="P68" s="60">
        <f t="shared" si="11"/>
        <v>1</v>
      </c>
      <c r="R68" s="61">
        <v>5</v>
      </c>
      <c r="T68" s="4">
        <v>1</v>
      </c>
      <c r="U68" s="4"/>
      <c r="V68" s="61">
        <f t="shared" si="12"/>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0"/>
        <v/>
      </c>
      <c r="D69" s="18"/>
      <c r="E69" s="15" t="s">
        <v>48</v>
      </c>
      <c r="F69" s="18"/>
      <c r="G69" s="3"/>
      <c r="H69" s="18"/>
      <c r="I69" s="18"/>
      <c r="L69" s="4">
        <v>1</v>
      </c>
      <c r="M69" s="60"/>
      <c r="N69" s="4"/>
      <c r="O69" s="61">
        <f t="shared" si="13"/>
        <v>0</v>
      </c>
      <c r="P69" s="60">
        <f t="shared" si="11"/>
        <v>1</v>
      </c>
      <c r="R69" s="61">
        <v>5</v>
      </c>
      <c r="T69" s="4"/>
      <c r="U69" s="4"/>
      <c r="V69" s="61">
        <f t="shared" si="12"/>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0"/>
        <v/>
      </c>
      <c r="Y70" s="15">
        <v>1</v>
      </c>
      <c r="Z70" s="61" t="s">
        <v>242</v>
      </c>
      <c r="AA70" s="60" t="str" cm="1">
        <f t="array" ref="AA70">IF(OR(Y70=0,Y70=""),"",IF(VLOOKUP(Z70,$AI$1:$AJ$58,2,FALSE)&gt;=Y70,INDEX(tblDisciplines[Name],MATCH(1,(tblDisciplines[Discipline]=Z70)*(tblDisciplines[Rank]=Y70),0)),""))</f>
        <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0"/>
        <v/>
      </c>
      <c r="D71" s="14" t="s">
        <v>1469</v>
      </c>
      <c r="E71" s="14"/>
      <c r="F71" s="14"/>
      <c r="G71" s="14"/>
      <c r="H71" s="14"/>
      <c r="I71" s="14"/>
      <c r="N71" s="60">
        <f>SUM(N72:N74)</f>
        <v>2</v>
      </c>
      <c r="Y71" s="15">
        <v>2</v>
      </c>
      <c r="Z71" s="61" t="s">
        <v>242</v>
      </c>
      <c r="AA71" s="60" t="str" cm="1">
        <f t="array" ref="AA71">IF(OR(Y71=0,Y71=""),"",IF(VLOOKUP(Z71,$AI$1:$AJ$58,2,FALSE)&gt;=Y71,INDEX(tblDisciplines[Name],MATCH(1,(tblDisciplines[Discipline]=Z71)*(tblDisciplines[Rank]=Y71),0)),""))</f>
        <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0"/>
        <v/>
      </c>
      <c r="D72" s="19"/>
      <c r="E72" s="15" t="s">
        <v>49</v>
      </c>
      <c r="F72" s="19"/>
      <c r="G72" s="19"/>
      <c r="H72" s="19"/>
      <c r="I72" s="19"/>
      <c r="K72" s="4"/>
      <c r="L72" s="4">
        <v>5</v>
      </c>
      <c r="M72" s="60">
        <v>1</v>
      </c>
      <c r="N72" s="4"/>
      <c r="O72" s="61">
        <f>ROUNDDOWN(N72/5,0)</f>
        <v>0</v>
      </c>
      <c r="P72" s="60">
        <f>MIN(SUM(K72*-1,ROUNDDOWN(L72/5,0),M72,O72),R72)</f>
        <v>2</v>
      </c>
      <c r="R72" s="61">
        <v>2</v>
      </c>
      <c r="Y72" s="15">
        <v>3</v>
      </c>
      <c r="Z72" s="61" t="s">
        <v>242</v>
      </c>
      <c r="AA72" s="60" t="str" cm="1">
        <f t="array" ref="AA72">IF(OR(Y72=0,Y72=""),"",IF(VLOOKUP(Z72,$AI$1:$AJ$58,2,FALSE)&gt;=Y72,INDEX(tblDisciplines[Name],MATCH(1,(tblDisciplines[Discipline]=Z72)*(tblDisciplines[Rank]=Y72),0)),""))</f>
        <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0"/>
        <v/>
      </c>
      <c r="D73" s="19"/>
      <c r="E73" s="15" t="s">
        <v>1448</v>
      </c>
      <c r="F73" s="19"/>
      <c r="G73" s="19"/>
      <c r="H73" s="19"/>
      <c r="I73" s="19"/>
      <c r="K73" s="4">
        <v>2</v>
      </c>
      <c r="M73" s="60">
        <v>7</v>
      </c>
      <c r="N73" s="4">
        <v>2</v>
      </c>
      <c r="O73" s="61">
        <f>ROUNDDOWN(N73/2,0)</f>
        <v>1</v>
      </c>
      <c r="P73" s="60">
        <f>MIN(SUM(K73*-1,M73,O73),R73)</f>
        <v>6</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0"/>
        <v/>
      </c>
      <c r="D74" s="19"/>
      <c r="E74" s="15" t="s">
        <v>53</v>
      </c>
      <c r="F74" s="19"/>
      <c r="G74" s="19"/>
      <c r="H74" s="19"/>
      <c r="I74" s="19"/>
      <c r="K74" s="4"/>
      <c r="M74" s="60">
        <f>P28+P38</f>
        <v>6</v>
      </c>
      <c r="N74" s="4"/>
      <c r="O74" s="61">
        <f>N74</f>
        <v>0</v>
      </c>
      <c r="P74" s="60">
        <f>MIN(SUM(K74*-1,M74,O74),R74)</f>
        <v>6</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0"/>
        <v/>
      </c>
      <c r="D75" s="19"/>
      <c r="E75" s="15" t="s">
        <v>55</v>
      </c>
      <c r="F75" s="19"/>
      <c r="G75" s="19"/>
      <c r="H75" s="19"/>
      <c r="I75" s="19"/>
      <c r="P75" s="60">
        <f ca="1">VLOOKUP(VLOOKUP("Blood Potency",INDIRECT($AH$1),2,FALSE),tblBloodPotency[],2,FALSE)</f>
        <v>11</v>
      </c>
      <c r="Y75" s="15">
        <v>1</v>
      </c>
      <c r="Z75" s="61" t="s">
        <v>243</v>
      </c>
      <c r="AA75" s="60" t="str" cm="1">
        <f t="array" ref="AA75">IF(OR(Y75=0,Y75=""),"",IF(VLOOKUP(Z75,$AI$1:$AJ$58,2,FALSE)&gt;=Y75,INDEX(tblDisciplines[Name],MATCH(1,(tblDisciplines[Discipline]=Z75)*(tblDisciplines[Rank]=Y75),0)),""))</f>
        <v>Unmarked Grave</v>
      </c>
    </row>
    <row r="76" spans="1:32">
      <c r="A76" s="1" t="s">
        <v>75</v>
      </c>
      <c r="B76" t="str">
        <f t="shared" si="10"/>
        <v>canine</v>
      </c>
      <c r="Y76" s="15">
        <v>2</v>
      </c>
      <c r="Z76" s="61" t="s">
        <v>243</v>
      </c>
      <c r="AA76" s="60" t="str" cm="1">
        <f t="array" ref="AA76">IF(OR(Y76=0,Y76=""),"",IF(VLOOKUP(Z76,$AI$1:$AJ$58,2,FALSE)&gt;=Y76,INDEX(tblDisciplines[Name],MATCH(1,(tblDisciplines[Discipline]=Z76)*(tblDisciplines[Rank]=Y76),0)),""))</f>
        <v/>
      </c>
    </row>
    <row r="77" spans="1:32" ht="15.75" thickBot="1">
      <c r="A77" s="1" t="s">
        <v>76</v>
      </c>
      <c r="B77" t="str">
        <f t="shared" si="10"/>
        <v/>
      </c>
      <c r="D77" s="14" t="s">
        <v>1470</v>
      </c>
      <c r="E77" s="14"/>
      <c r="F77" s="14"/>
      <c r="G77" s="14"/>
      <c r="H77" s="14"/>
      <c r="I77" s="14"/>
      <c r="N77" s="60">
        <f>SUM(N79:N98,N101:N120,N206:N215,N132:N135,N138:N157,N160:N161)</f>
        <v>3</v>
      </c>
      <c r="Y77" s="15">
        <v>3</v>
      </c>
      <c r="Z77" s="61" t="s">
        <v>243</v>
      </c>
      <c r="AA77" s="60" t="str" cm="1">
        <f t="array" ref="AA77">IF(OR(Y77=0,Y77=""),"",IF(VLOOKUP(Z77,$AI$1:$AJ$58,2,FALSE)&gt;=Y77,INDEX(tblDisciplines[Name],MATCH(1,(tblDisciplines[Discipline]=Z77)*(tblDisciplines[Rank]=Y77),0)),""))</f>
        <v/>
      </c>
    </row>
    <row r="78" spans="1:32">
      <c r="A78" s="1" t="s">
        <v>77</v>
      </c>
      <c r="B78" t="str">
        <f t="shared" si="10"/>
        <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0"/>
        <v/>
      </c>
      <c r="D79" s="19"/>
      <c r="E79" s="15" t="s">
        <v>114</v>
      </c>
      <c r="F79" s="3" t="s">
        <v>1767</v>
      </c>
      <c r="G79" s="3"/>
      <c r="H79" s="67" t="str">
        <f>_xlfn.IFNA(IF(VLOOKUP(F79,tblMerits[],6,FALSE)=0,"None",VLOOKUP(F79,tblMerits[],6,FALSE)),"None")</f>
        <v>Resolve 3</v>
      </c>
      <c r="I79" s="67"/>
      <c r="L79" s="4"/>
      <c r="M79" s="4"/>
      <c r="N79" s="4">
        <v>1</v>
      </c>
      <c r="O79" s="61">
        <f>N79</f>
        <v>1</v>
      </c>
      <c r="P79" s="60">
        <f t="shared" ref="P79:P98" si="14">MIN(SUM(L79,M79,O79),R79)</f>
        <v>1</v>
      </c>
      <c r="Q79" s="61">
        <f>_xlfn.IFNA(VLOOKUP($F79,tblMerits[],3,FALSE),"")</f>
        <v>1</v>
      </c>
      <c r="R79" s="61">
        <f>_xlfn.IFNA(VLOOKUP($F79,tblMerits[],4,FALSE),"")</f>
        <v>1</v>
      </c>
      <c r="Y79" s="15">
        <v>5</v>
      </c>
      <c r="Z79" s="61" t="s">
        <v>243</v>
      </c>
      <c r="AA79" s="60" t="str" cm="1">
        <f t="array" ref="AA79">IF(OR(Y79=0,Y79=""),"",IF(VLOOKUP(Z79,$AI$1:$AJ$58,2,FALSE)&gt;=Y79,INDEX(tblDisciplines[Name],MATCH(1,(tblDisciplines[Discipline]=Z79)*(tblDisciplines[Rank]=Y79),0)),""))</f>
        <v/>
      </c>
    </row>
    <row r="80" spans="1:32">
      <c r="A80" s="1" t="s">
        <v>79</v>
      </c>
      <c r="B80" t="str">
        <f t="shared" si="10"/>
        <v/>
      </c>
      <c r="D80" s="19"/>
      <c r="E80" s="15" t="s">
        <v>115</v>
      </c>
      <c r="F80" s="3"/>
      <c r="G80" s="3"/>
      <c r="H80" s="67" t="str">
        <f>_xlfn.IFNA(IF(VLOOKUP(F80,tblMerits[],6,FALSE)=0,"None",VLOOKUP(F80,tblMerits[],6,FALSE)),"None")</f>
        <v>None</v>
      </c>
      <c r="I80" s="67"/>
      <c r="L80" s="4"/>
      <c r="M80" s="4"/>
      <c r="N80" s="4"/>
      <c r="O80" s="61">
        <f t="shared" ref="O80:O98" si="15">N80</f>
        <v>0</v>
      </c>
      <c r="P80" s="60">
        <f t="shared" si="14"/>
        <v>0</v>
      </c>
      <c r="Q80" s="61" t="str">
        <f>_xlfn.IFNA(VLOOKUP($F80,tblMerits[],3,FALSE),"")</f>
        <v/>
      </c>
      <c r="R80" s="61" t="str">
        <f>_xlfn.IFNA(VLOOKUP($F80,tblMerits[],4,FALSE),"")</f>
        <v/>
      </c>
      <c r="Y80" s="15">
        <f>P173</f>
        <v>2</v>
      </c>
      <c r="Z80" s="61" t="s">
        <v>244</v>
      </c>
      <c r="AA80" s="60" t="str" cm="1">
        <f t="array" ref="AA80">IF(OR(Y80=0,Y80=""),"",IF(VLOOKUP(Z80,$AI$1:$AJ$58,2,FALSE)&gt;=Y80,INDEX(tblDisciplines[Name],MATCH(1,(tblDisciplines[Discipline]=Z80)*(tblDisciplines[Rank]=Y80),0)),""))</f>
        <v>Resilience 2</v>
      </c>
    </row>
    <row r="81" spans="1:27">
      <c r="A81" s="1" t="s">
        <v>80</v>
      </c>
      <c r="B81" t="str">
        <f t="shared" si="10"/>
        <v/>
      </c>
      <c r="D81" s="19"/>
      <c r="E81" s="15" t="s">
        <v>116</v>
      </c>
      <c r="F81" s="3"/>
      <c r="G81" s="3"/>
      <c r="H81" s="67" t="str">
        <f>_xlfn.IFNA(IF(VLOOKUP(F81,tblMerits[],6,FALSE)=0,"None",VLOOKUP(F81,tblMerits[],6,FALSE)),"None")</f>
        <v>None</v>
      </c>
      <c r="I81" s="67"/>
      <c r="L81" s="4"/>
      <c r="M81" s="4"/>
      <c r="N81" s="4"/>
      <c r="O81" s="61">
        <f t="shared" si="15"/>
        <v>0</v>
      </c>
      <c r="P81" s="60">
        <f t="shared" si="14"/>
        <v>0</v>
      </c>
      <c r="Q81" s="61" t="str">
        <f>_xlfn.IFNA(VLOOKUP($F81,tblMerits[],3,FALSE),"")</f>
        <v/>
      </c>
      <c r="R81" s="61" t="str">
        <f>_xlfn.IFNA(VLOOKUP($F81,tblMerits[],4,FALSE),"")</f>
        <v/>
      </c>
      <c r="Y81" s="15">
        <f>P174</f>
        <v>0</v>
      </c>
      <c r="Z81" s="61" t="s">
        <v>245</v>
      </c>
      <c r="AA81" s="60" t="str" cm="1">
        <f t="array" ref="AA81">IF(OR(Y81=0,Y81=""),"",IF(VLOOKUP(Z81,$AI$1:$AJ$58,2,FALSE)&gt;=Y81,INDEX(tblDisciplines[Name],MATCH(1,(tblDisciplines[Discipline]=Z81)*(tblDisciplines[Rank]=Y81),0)),""))</f>
        <v/>
      </c>
    </row>
    <row r="82" spans="1:27">
      <c r="A82" s="1" t="s">
        <v>81</v>
      </c>
      <c r="B82" t="str">
        <f t="shared" si="10"/>
        <v>gangs</v>
      </c>
      <c r="D82" s="19"/>
      <c r="E82" s="15" t="s">
        <v>117</v>
      </c>
      <c r="F82" s="3"/>
      <c r="G82" s="3"/>
      <c r="H82" s="67" t="str">
        <f>_xlfn.IFNA(IF(VLOOKUP(F82,tblMerits[],6,FALSE)=0,"None",VLOOKUP(F82,tblMerits[],6,FALSE)),"None")</f>
        <v>None</v>
      </c>
      <c r="I82" s="67"/>
      <c r="L82" s="4"/>
      <c r="M82" s="4"/>
      <c r="N82" s="4"/>
      <c r="O82" s="61">
        <f t="shared" si="15"/>
        <v>0</v>
      </c>
      <c r="P82" s="60">
        <f t="shared" si="14"/>
        <v>0</v>
      </c>
      <c r="Q82" s="61" t="str">
        <f>_xlfn.IFNA(VLOOKUP($F82,tblMerits[],3,FALSE),"")</f>
        <v/>
      </c>
      <c r="R82" s="61" t="str">
        <f>_xlfn.IFNA(VLOOKUP($F82,tblMerits[],4,FALSE),"")</f>
        <v/>
      </c>
      <c r="Y82" s="61" t="s">
        <v>1472</v>
      </c>
      <c r="Z82" s="19"/>
      <c r="AA82" s="60" t="str">
        <f>IF(P177="","",F177)</f>
        <v/>
      </c>
    </row>
    <row r="83" spans="1:27">
      <c r="A83" s="1" t="s">
        <v>82</v>
      </c>
      <c r="B83" t="str">
        <f t="shared" si="10"/>
        <v/>
      </c>
      <c r="D83" s="19"/>
      <c r="E83" s="15" t="s">
        <v>118</v>
      </c>
      <c r="F83" s="3"/>
      <c r="G83" s="3"/>
      <c r="H83" s="67" t="str">
        <f>_xlfn.IFNA(IF(VLOOKUP(F83,tblMerits[],6,FALSE)=0,"None",VLOOKUP(F83,tblMerits[],6,FALSE)),"None")</f>
        <v>None</v>
      </c>
      <c r="I83" s="67"/>
      <c r="L83" s="4"/>
      <c r="M83" s="4"/>
      <c r="N83" s="4"/>
      <c r="O83" s="61">
        <f t="shared" si="15"/>
        <v>0</v>
      </c>
      <c r="P83" s="60">
        <f t="shared" si="14"/>
        <v>0</v>
      </c>
      <c r="Q83" s="61" t="str">
        <f>_xlfn.IFNA(VLOOKUP($F83,tblMerits[],3,FALSE),"")</f>
        <v/>
      </c>
      <c r="R83" s="61" t="str">
        <f>_xlfn.IFNA(VLOOKUP($F83,tblMerits[],4,FALSE),"")</f>
        <v/>
      </c>
      <c r="Y83" s="61" t="s">
        <v>1472</v>
      </c>
      <c r="Z83" s="19"/>
      <c r="AA83" s="60" t="str">
        <f>IF(P178="","",F178)</f>
        <v/>
      </c>
    </row>
    <row r="84" spans="1:27">
      <c r="A84" s="1" t="s">
        <v>83</v>
      </c>
      <c r="B84">
        <f>P124</f>
        <v>1</v>
      </c>
      <c r="D84" s="19"/>
      <c r="E84" s="15" t="s">
        <v>119</v>
      </c>
      <c r="F84" s="3"/>
      <c r="G84" s="3"/>
      <c r="H84" s="67" t="str">
        <f>_xlfn.IFNA(IF(VLOOKUP(F84,tblMerits[],6,FALSE)=0,"None",VLOOKUP(F84,tblMerits[],6,FALSE)),"None")</f>
        <v>None</v>
      </c>
      <c r="I84" s="67"/>
      <c r="L84" s="4"/>
      <c r="M84" s="4"/>
      <c r="N84" s="4"/>
      <c r="O84" s="61">
        <f t="shared" si="15"/>
        <v>0</v>
      </c>
      <c r="P84" s="60">
        <f t="shared" si="14"/>
        <v>0</v>
      </c>
      <c r="Q84" s="61" t="str">
        <f>_xlfn.IFNA(VLOOKUP($F84,tblMerits[],3,FALSE),"")</f>
        <v/>
      </c>
      <c r="R84" s="61" t="str">
        <f>_xlfn.IFNA(VLOOKUP($F84,tblMerits[],4,FALSE),"")</f>
        <v/>
      </c>
      <c r="Y84" s="61" t="s">
        <v>1472</v>
      </c>
      <c r="Z84" s="19"/>
      <c r="AA84" s="60" t="str">
        <f>IF(P179="","",F179)</f>
        <v/>
      </c>
    </row>
    <row r="85" spans="1:27">
      <c r="A85" s="1" t="s">
        <v>84</v>
      </c>
      <c r="B85">
        <f>P125</f>
        <v>3</v>
      </c>
      <c r="D85" s="19"/>
      <c r="E85" s="15" t="s">
        <v>120</v>
      </c>
      <c r="F85" s="3"/>
      <c r="G85" s="3"/>
      <c r="H85" s="67" t="str">
        <f>_xlfn.IFNA(IF(VLOOKUP(F85,tblMerits[],6,FALSE)=0,"None",VLOOKUP(F85,tblMerits[],6,FALSE)),"None")</f>
        <v>None</v>
      </c>
      <c r="I85" s="67"/>
      <c r="L85" s="4"/>
      <c r="M85" s="4"/>
      <c r="N85" s="4"/>
      <c r="O85" s="61">
        <f t="shared" si="15"/>
        <v>0</v>
      </c>
      <c r="P85" s="60">
        <f t="shared" si="14"/>
        <v>0</v>
      </c>
      <c r="Q85" s="61" t="str">
        <f>_xlfn.IFNA(VLOOKUP($F85,tblMerits[],3,FALSE),"")</f>
        <v/>
      </c>
      <c r="R85" s="61" t="str">
        <f>_xlfn.IFNA(VLOOKUP($F85,tblMerits[],4,FALSE),"")</f>
        <v/>
      </c>
      <c r="Y85" s="61" t="s">
        <v>1472</v>
      </c>
      <c r="Z85" s="19"/>
      <c r="AA85" s="60" t="str">
        <f>IF(P180="","",F180)</f>
        <v/>
      </c>
    </row>
    <row r="86" spans="1:27">
      <c r="A86" s="1" t="s">
        <v>85</v>
      </c>
      <c r="B86">
        <f>P126</f>
        <v>2</v>
      </c>
      <c r="D86" s="19"/>
      <c r="E86" s="15" t="s">
        <v>121</v>
      </c>
      <c r="F86" s="3"/>
      <c r="G86" s="3"/>
      <c r="H86" s="67" t="str">
        <f>_xlfn.IFNA(IF(VLOOKUP(F86,tblMerits[],6,FALSE)=0,"None",VLOOKUP(F86,tblMerits[],6,FALSE)),"None")</f>
        <v>None</v>
      </c>
      <c r="I86" s="67"/>
      <c r="L86" s="4"/>
      <c r="M86" s="4"/>
      <c r="N86" s="4"/>
      <c r="O86" s="61">
        <f t="shared" si="15"/>
        <v>0</v>
      </c>
      <c r="P86" s="60">
        <f t="shared" si="14"/>
        <v>0</v>
      </c>
      <c r="Q86" s="61" t="str">
        <f>_xlfn.IFNA(VLOOKUP($F86,tblMerits[],3,FALSE),"")</f>
        <v/>
      </c>
      <c r="R86" s="61" t="str">
        <f>_xlfn.IFNA(VLOOKUP($F86,tblMerits[],4,FALSE),"")</f>
        <v/>
      </c>
      <c r="Y86" s="61" t="s">
        <v>1472</v>
      </c>
      <c r="Z86" s="19"/>
      <c r="AA86" s="60" t="str">
        <f>IF(P181="","",F181)</f>
        <v/>
      </c>
    </row>
    <row r="87" spans="1:27">
      <c r="A87" s="1" t="s">
        <v>86</v>
      </c>
      <c r="B87" t="str">
        <f>IF(F126="","¬",F126)</f>
        <v>Lance</v>
      </c>
      <c r="D87" s="19"/>
      <c r="E87" s="15" t="s">
        <v>122</v>
      </c>
      <c r="F87" s="3"/>
      <c r="G87" s="3"/>
      <c r="H87" s="67" t="str">
        <f>_xlfn.IFNA(IF(VLOOKUP(F87,tblMerits[],6,FALSE)=0,"None",VLOOKUP(F87,tblMerits[],6,FALSE)),"None")</f>
        <v>None</v>
      </c>
      <c r="I87" s="67"/>
      <c r="L87" s="4"/>
      <c r="M87" s="4"/>
      <c r="N87" s="4"/>
      <c r="O87" s="61">
        <f t="shared" si="15"/>
        <v>0</v>
      </c>
      <c r="P87" s="60">
        <f t="shared" si="14"/>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
      </c>
    </row>
    <row r="88" spans="1:27">
      <c r="A88" s="1" t="s">
        <v>87</v>
      </c>
      <c r="B88" t="str">
        <f>REPT("●",P126)</f>
        <v>●●</v>
      </c>
      <c r="D88" s="19"/>
      <c r="E88" s="15" t="s">
        <v>123</v>
      </c>
      <c r="F88" s="3"/>
      <c r="G88" s="3"/>
      <c r="H88" s="67" t="str">
        <f>_xlfn.IFNA(IF(VLOOKUP(F88,tblMerits[],6,FALSE)=0,"None",VLOOKUP(F88,tblMerits[],6,FALSE)),"None")</f>
        <v>None</v>
      </c>
      <c r="I88" s="67"/>
      <c r="L88" s="4"/>
      <c r="M88" s="4"/>
      <c r="N88" s="4"/>
      <c r="O88" s="61">
        <f t="shared" si="15"/>
        <v>0</v>
      </c>
      <c r="P88" s="60">
        <f t="shared" si="14"/>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Carthian</v>
      </c>
      <c r="D89" s="19"/>
      <c r="E89" s="15" t="s">
        <v>124</v>
      </c>
      <c r="F89" s="3"/>
      <c r="G89" s="3"/>
      <c r="H89" s="67" t="str">
        <f>_xlfn.IFNA(IF(VLOOKUP(F89,tblMerits[],6,FALSE)=0,"None",VLOOKUP(F89,tblMerits[],6,FALSE)),"None")</f>
        <v>None</v>
      </c>
      <c r="I89" s="67"/>
      <c r="L89" s="4"/>
      <c r="M89" s="4"/>
      <c r="N89" s="4"/>
      <c r="O89" s="61">
        <f t="shared" si="15"/>
        <v>0</v>
      </c>
      <c r="P89" s="60">
        <f t="shared" si="14"/>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_xlfn.IFNA(IF(VLOOKUP(F90,tblMerits[],6,FALSE)=0,"None",VLOOKUP(F90,tblMerits[],6,FALSE)),"None")</f>
        <v>None</v>
      </c>
      <c r="I90" s="67"/>
      <c r="L90" s="4"/>
      <c r="M90" s="4"/>
      <c r="N90" s="4"/>
      <c r="O90" s="61">
        <f t="shared" si="15"/>
        <v>0</v>
      </c>
      <c r="P90" s="60">
        <f t="shared" si="14"/>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Crone</v>
      </c>
      <c r="D91" s="19"/>
      <c r="E91" s="15" t="s">
        <v>126</v>
      </c>
      <c r="F91" s="3"/>
      <c r="G91" s="3"/>
      <c r="H91" s="67" t="str">
        <f>_xlfn.IFNA(IF(VLOOKUP(F91,tblMerits[],6,FALSE)=0,"None",VLOOKUP(F91,tblMerits[],6,FALSE)),"None")</f>
        <v>None</v>
      </c>
      <c r="I91" s="67"/>
      <c r="L91" s="4"/>
      <c r="M91" s="4"/>
      <c r="N91" s="4"/>
      <c r="O91" s="61">
        <f t="shared" si="15"/>
        <v>0</v>
      </c>
      <c r="P91" s="60">
        <f t="shared" si="14"/>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5"/>
        <v>0</v>
      </c>
      <c r="P92" s="60">
        <f t="shared" si="14"/>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Invictus</v>
      </c>
      <c r="D93" s="19"/>
      <c r="E93" s="15" t="s">
        <v>128</v>
      </c>
      <c r="F93" s="3"/>
      <c r="G93" s="3"/>
      <c r="H93" s="67" t="str">
        <f>_xlfn.IFNA(IF(VLOOKUP(F93,tblMerits[],6,FALSE)=0,"None",VLOOKUP(F93,tblMerits[],6,FALSE)),"None")</f>
        <v>None</v>
      </c>
      <c r="I93" s="67"/>
      <c r="L93" s="4"/>
      <c r="M93" s="4"/>
      <c r="N93" s="4"/>
      <c r="O93" s="61">
        <f t="shared" si="15"/>
        <v>0</v>
      </c>
      <c r="P93" s="60">
        <f t="shared" si="14"/>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5"/>
        <v>0</v>
      </c>
      <c r="P94" s="60">
        <f t="shared" si="14"/>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5"/>
        <v>0</v>
      </c>
      <c r="P95" s="60">
        <f t="shared" si="14"/>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5"/>
        <v>0</v>
      </c>
      <c r="P96" s="60">
        <f t="shared" si="14"/>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5"/>
        <v>0</v>
      </c>
      <c r="P97" s="60">
        <f t="shared" si="14"/>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5"/>
        <v>0</v>
      </c>
      <c r="P98" s="60">
        <f t="shared" si="14"/>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t="s">
        <v>1768</v>
      </c>
      <c r="G101" s="60" t="str">
        <f>IFERROR(VLOOKUP(F101,tblManoeuvre[],2,FALSE)&amp;" "&amp;VLOOKUP(F101,tblManoeuvre[],3,FALSE),"")</f>
        <v>Crusade 1</v>
      </c>
      <c r="H101" s="67" t="str">
        <f>IFERROR(IF(VLOOKUP(F101,tblManoeuvre[],8,FALSE)=0,"None",VLOOKUP(F101,tblManoeuvre[],8,FALSE)),"None")</f>
        <v>Occult 2, Resolve 3, Weaponry 2, Theban Sorcery 2 or Sorcerous Eunuch, Sanctum Status 1</v>
      </c>
      <c r="I101" s="67"/>
      <c r="L101" s="4">
        <v>1</v>
      </c>
      <c r="M101" s="4"/>
      <c r="N101" s="4"/>
      <c r="O101" s="61">
        <f t="shared" ref="O101:O120" si="16">N101</f>
        <v>0</v>
      </c>
      <c r="P101" s="60">
        <f t="shared" ref="P101:P120" si="17">MIN(SUM(L101,M101,O101),R101)</f>
        <v>1</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
      </c>
      <c r="D102" s="19"/>
      <c r="E102" s="15" t="s">
        <v>1441</v>
      </c>
      <c r="F102" s="3" t="s">
        <v>1769</v>
      </c>
      <c r="G102" s="60" t="str">
        <f>IFERROR(VLOOKUP(F102,tblManoeuvre[],2,FALSE)&amp;" "&amp;VLOOKUP(F102,tblManoeuvre[],3,FALSE),"")</f>
        <v>Crusade 2</v>
      </c>
      <c r="H102" s="67" t="str">
        <f>IFERROR(IF(VLOOKUP(F102,tblManoeuvre[],8,FALSE)=0,"None",VLOOKUP(F102,tblManoeuvre[],8,FALSE)),"None")</f>
        <v>Occult 2, Resolve 3, Weaponry 2, Theban Sorcery 2 or Sorcerous Eunuch, Sanctum Status 1</v>
      </c>
      <c r="I102" s="67"/>
      <c r="L102" s="4">
        <v>1</v>
      </c>
      <c r="M102" s="4"/>
      <c r="N102" s="4"/>
      <c r="O102" s="61">
        <f t="shared" si="16"/>
        <v>0</v>
      </c>
      <c r="P102" s="60">
        <f t="shared" si="17"/>
        <v>1</v>
      </c>
      <c r="Q102" s="61">
        <v>1</v>
      </c>
      <c r="R102" s="61">
        <v>1</v>
      </c>
      <c r="Y102" s="15">
        <v>1</v>
      </c>
      <c r="Z102" s="61" t="s">
        <v>251</v>
      </c>
      <c r="AA102" s="60" t="str" cm="1">
        <f t="array" ref="AA102">IF(VLOOKUP(Z102,$AI$1:$AJ$58,2,FALSE)&gt;=Y102,INDEX(tblDisciplines[Name],MATCH(1,(tblDisciplines[Discipline]=Z102)*(tblDisciplines[Rank]=Y102),0)),"")</f>
        <v/>
      </c>
    </row>
    <row r="103" spans="1:27">
      <c r="A103" s="1" t="s">
        <v>102</v>
      </c>
      <c r="B103">
        <f>P73</f>
        <v>6</v>
      </c>
      <c r="D103" s="19"/>
      <c r="E103" s="15" t="s">
        <v>1443</v>
      </c>
      <c r="F103" s="3" t="s">
        <v>1706</v>
      </c>
      <c r="G103" s="60" t="str">
        <f>IFERROR(VLOOKUP(F103,tblManoeuvre[],2,FALSE)&amp;" "&amp;VLOOKUP(F103,tblManoeuvre[],3,FALSE),"")</f>
        <v>Kindred Dueling 1</v>
      </c>
      <c r="H103" s="67" t="str">
        <f>IFERROR(IF(VLOOKUP(F103,tblManoeuvre[],8,FALSE)=0,"None",VLOOKUP(F103,tblManoeuvre[],8,FALSE)),"None")</f>
        <v>Composure 3, Weaponry 2</v>
      </c>
      <c r="I103" s="67"/>
      <c r="L103" s="4">
        <v>1</v>
      </c>
      <c r="M103" s="4"/>
      <c r="N103" s="4"/>
      <c r="O103" s="61">
        <f t="shared" si="16"/>
        <v>0</v>
      </c>
      <c r="P103" s="60">
        <f t="shared" si="17"/>
        <v>1</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t="s">
        <v>1707</v>
      </c>
      <c r="G104" s="60" t="str">
        <f>IFERROR(VLOOKUP(F104,tblManoeuvre[],2,FALSE)&amp;" "&amp;VLOOKUP(F104,tblManoeuvre[],3,FALSE),"")</f>
        <v>Kindred Dueling 2</v>
      </c>
      <c r="H104" s="67" t="str">
        <f>IFERROR(IF(VLOOKUP(F104,tblManoeuvre[],8,FALSE)=0,"None",VLOOKUP(F104,tblManoeuvre[],8,FALSE)),"None")</f>
        <v>Composure 3, Weaponry 2</v>
      </c>
      <c r="I104" s="67"/>
      <c r="L104" s="4">
        <v>1</v>
      </c>
      <c r="M104" s="4"/>
      <c r="N104" s="4"/>
      <c r="O104" s="61">
        <f t="shared" si="16"/>
        <v>0</v>
      </c>
      <c r="P104" s="60">
        <f t="shared" si="17"/>
        <v>1</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c r="G105" s="60" t="str">
        <f>IFERROR(VLOOKUP(F105,tblManoeuvre[],2,FALSE)&amp;" "&amp;VLOOKUP(F105,tblManoeuvre[],3,FALSE),"")</f>
        <v/>
      </c>
      <c r="H105" s="67" t="str">
        <f>IFERROR(IF(VLOOKUP(F105,tblManoeuvre[],8,FALSE)=0,"None",VLOOKUP(F105,tblManoeuvre[],8,FALSE)),"None")</f>
        <v>None</v>
      </c>
      <c r="I105" s="67"/>
      <c r="L105" s="4"/>
      <c r="M105" s="4"/>
      <c r="N105" s="4"/>
      <c r="O105" s="61">
        <f t="shared" si="16"/>
        <v>0</v>
      </c>
      <c r="P105" s="60">
        <f t="shared" si="17"/>
        <v>0</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IFERROR(VLOOKUP(F106,tblManoeuvre[],2,FALSE)&amp;" "&amp;VLOOKUP(F106,tblManoeuvre[],3,FALSE),"")</f>
        <v/>
      </c>
      <c r="H106" s="67" t="str">
        <f>IFERROR(IF(VLOOKUP(F106,tblManoeuvre[],8,FALSE)=0,"None",VLOOKUP(F106,tblManoeuvre[],8,FALSE)),"None")</f>
        <v>None</v>
      </c>
      <c r="I106" s="67"/>
      <c r="L106" s="4"/>
      <c r="M106" s="4"/>
      <c r="N106" s="4"/>
      <c r="O106" s="61">
        <f t="shared" si="16"/>
        <v>0</v>
      </c>
      <c r="P106" s="60">
        <f t="shared" si="17"/>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IFERROR(VLOOKUP(F107,tblManoeuvre[],2,FALSE)&amp;" "&amp;VLOOKUP(F107,tblManoeuvre[],3,FALSE),"")</f>
        <v/>
      </c>
      <c r="H107" s="67" t="str">
        <f>IFERROR(IF(VLOOKUP(F107,tblManoeuvre[],8,FALSE)=0,"None",VLOOKUP(F107,tblManoeuvre[],8,FALSE)),"None")</f>
        <v>None</v>
      </c>
      <c r="I107" s="67"/>
      <c r="L107" s="4"/>
      <c r="M107" s="4"/>
      <c r="N107" s="4"/>
      <c r="O107" s="61">
        <f t="shared" si="16"/>
        <v>0</v>
      </c>
      <c r="P107" s="60">
        <f t="shared" si="17"/>
        <v>0</v>
      </c>
      <c r="Q107" s="61">
        <v>1</v>
      </c>
      <c r="R107" s="61">
        <v>1</v>
      </c>
      <c r="Y107" s="15">
        <v>1</v>
      </c>
      <c r="Z107" s="61" t="s">
        <v>252</v>
      </c>
      <c r="AA107" s="60" t="str" cm="1">
        <f t="array" ref="AA107">IF(VLOOKUP(Z107,$AI$1:$AJ$58,2,FALSE)&gt;=Y107,INDEX(tblDisciplines[Name],MATCH(1,(tblDisciplines[Discipline]=Z107)*(tblDisciplines[Rank]=Y107),0)),"")</f>
        <v/>
      </c>
    </row>
    <row r="108" spans="1:27">
      <c r="A108" s="1" t="s">
        <v>107</v>
      </c>
      <c r="B108" t="str">
        <f>IF($P$73&gt;=7,"●","○") &amp; IF(F226&lt;&gt;""," (" &amp; F226 &amp; ")","")</f>
        <v>○</v>
      </c>
      <c r="D108" s="19"/>
      <c r="E108" s="15" t="s">
        <v>1452</v>
      </c>
      <c r="F108" s="3"/>
      <c r="G108" s="60" t="str">
        <f>IFERROR(VLOOKUP(F108,tblManoeuvre[],2,FALSE)&amp;" "&amp;VLOOKUP(F108,tblManoeuvre[],3,FALSE),"")</f>
        <v/>
      </c>
      <c r="H108" s="67" t="str">
        <f>IFERROR(IF(VLOOKUP(F108,tblManoeuvre[],8,FALSE)=0,"None",VLOOKUP(F108,tblManoeuvre[],8,FALSE)),"None")</f>
        <v>None</v>
      </c>
      <c r="I108" s="67"/>
      <c r="L108" s="4"/>
      <c r="M108" s="4"/>
      <c r="N108" s="4"/>
      <c r="O108" s="61">
        <f t="shared" si="16"/>
        <v>0</v>
      </c>
      <c r="P108" s="60">
        <f t="shared" si="17"/>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 (Unnamed Dockworker)</v>
      </c>
      <c r="D109" s="19"/>
      <c r="E109" s="15" t="s">
        <v>1454</v>
      </c>
      <c r="F109" s="3"/>
      <c r="G109" s="60" t="str">
        <f>IFERROR(VLOOKUP(F109,tblManoeuvre[],2,FALSE)&amp;" "&amp;VLOOKUP(F109,tblManoeuvre[],3,FALSE),"")</f>
        <v/>
      </c>
      <c r="H109" s="67" t="str">
        <f>IFERROR(IF(VLOOKUP(F109,tblManoeuvre[],8,FALSE)=0,"None",VLOOKUP(F109,tblManoeuvre[],8,FALSE)),"None")</f>
        <v>None</v>
      </c>
      <c r="I109" s="67"/>
      <c r="L109" s="4"/>
      <c r="M109" s="4"/>
      <c r="N109" s="4"/>
      <c r="O109" s="61">
        <f t="shared" si="16"/>
        <v>0</v>
      </c>
      <c r="P109" s="60">
        <f t="shared" si="17"/>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 (Bastard sword (object))</v>
      </c>
      <c r="D110" s="19"/>
      <c r="E110" s="15" t="s">
        <v>1455</v>
      </c>
      <c r="F110" s="3"/>
      <c r="G110" s="60" t="str">
        <f>IFERROR(VLOOKUP(F110,tblManoeuvre[],2,FALSE)&amp;" "&amp;VLOOKUP(F110,tblManoeuvre[],3,FALSE),"")</f>
        <v/>
      </c>
      <c r="H110" s="67" t="str">
        <f>IFERROR(IF(VLOOKUP(F110,tblManoeuvre[],8,FALSE)=0,"None",VLOOKUP(F110,tblManoeuvre[],8,FALSE)),"None")</f>
        <v>None</v>
      </c>
      <c r="I110" s="67"/>
      <c r="L110" s="4"/>
      <c r="M110" s="4"/>
      <c r="N110" s="4"/>
      <c r="O110" s="61">
        <f t="shared" si="16"/>
        <v>0</v>
      </c>
      <c r="P110" s="60">
        <f t="shared" si="17"/>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 (Star of David pendant (object))</v>
      </c>
      <c r="D111" s="19"/>
      <c r="E111" s="15" t="s">
        <v>1456</v>
      </c>
      <c r="F111" s="3"/>
      <c r="G111" s="60" t="str">
        <f>IFERROR(VLOOKUP(F111,tblManoeuvre[],2,FALSE)&amp;" "&amp;VLOOKUP(F111,tblManoeuvre[],3,FALSE),"")</f>
        <v/>
      </c>
      <c r="H111" s="67" t="str">
        <f>IFERROR(IF(VLOOKUP(F111,tblManoeuvre[],8,FALSE)=0,"None",VLOOKUP(F111,tblManoeuvre[],8,FALSE)),"None")</f>
        <v>None</v>
      </c>
      <c r="I111" s="67"/>
      <c r="L111" s="4"/>
      <c r="M111" s="4"/>
      <c r="N111" s="4"/>
      <c r="O111" s="61">
        <f t="shared" si="16"/>
        <v>0</v>
      </c>
      <c r="P111" s="60">
        <f t="shared" si="17"/>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t="str">
        <f>IFERROR(VLOOKUP(F112,tblManoeuvre[],2,FALSE)&amp;" "&amp;VLOOKUP(F112,tblManoeuvre[],3,FALSE),"")</f>
        <v/>
      </c>
      <c r="H112" s="67" t="str">
        <f>IFERROR(IF(VLOOKUP(F112,tblManoeuvre[],8,FALSE)=0,"None",VLOOKUP(F112,tblManoeuvre[],8,FALSE)),"None")</f>
        <v>None</v>
      </c>
      <c r="I112" s="67"/>
      <c r="L112" s="4"/>
      <c r="M112" s="4"/>
      <c r="N112" s="4"/>
      <c r="O112" s="61">
        <f t="shared" si="16"/>
        <v>0</v>
      </c>
      <c r="P112" s="60">
        <f t="shared" si="17"/>
        <v>0</v>
      </c>
      <c r="Q112" s="61">
        <v>1</v>
      </c>
      <c r="R112" s="61">
        <v>1</v>
      </c>
      <c r="Y112" s="61" t="s">
        <v>1474</v>
      </c>
      <c r="Z112" s="61" t="str">
        <f t="shared" ref="Z112:Z121" si="18">G194</f>
        <v/>
      </c>
      <c r="AA112" s="60" t="str">
        <f t="shared" ref="AA112:AA121" si="19">IF(P194="","",F194)</f>
        <v/>
      </c>
    </row>
    <row r="113" spans="1:27">
      <c r="A113" s="1" t="s">
        <v>112</v>
      </c>
      <c r="B113" t="str">
        <f>IF($P$73&gt;=2,"●","○") &amp; IF(F231&lt;&gt;""," (" &amp; F231 &amp; ")","")</f>
        <v>●</v>
      </c>
      <c r="D113" s="19"/>
      <c r="E113" s="15" t="s">
        <v>1458</v>
      </c>
      <c r="F113" s="3"/>
      <c r="G113" s="60" t="str">
        <f>IFERROR(VLOOKUP(F113,tblManoeuvre[],2,FALSE)&amp;" "&amp;VLOOKUP(F113,tblManoeuvre[],3,FALSE),"")</f>
        <v/>
      </c>
      <c r="H113" s="67" t="str">
        <f>IFERROR(IF(VLOOKUP(F113,tblManoeuvre[],8,FALSE)=0,"None",VLOOKUP(F113,tblManoeuvre[],8,FALSE)),"None")</f>
        <v>None</v>
      </c>
      <c r="I113" s="67"/>
      <c r="L113" s="4"/>
      <c r="M113" s="4"/>
      <c r="N113" s="4"/>
      <c r="O113" s="61">
        <f t="shared" si="16"/>
        <v>0</v>
      </c>
      <c r="P113" s="60">
        <f t="shared" si="17"/>
        <v>0</v>
      </c>
      <c r="Q113" s="61">
        <v>1</v>
      </c>
      <c r="R113" s="61">
        <v>1</v>
      </c>
      <c r="Y113" s="61" t="s">
        <v>1474</v>
      </c>
      <c r="Z113" s="61" t="str">
        <f t="shared" si="18"/>
        <v/>
      </c>
      <c r="AA113" s="60" t="str">
        <f t="shared" si="19"/>
        <v/>
      </c>
    </row>
    <row r="114" spans="1:27">
      <c r="A114" s="1" t="s">
        <v>113</v>
      </c>
      <c r="B114" t="str">
        <f>IF($P$73&gt;=1,"●","○") &amp; IF(F232&lt;&gt;""," (" &amp; F232 &amp; ")","")</f>
        <v>●</v>
      </c>
      <c r="D114" s="19"/>
      <c r="E114" s="15" t="s">
        <v>1460</v>
      </c>
      <c r="F114" s="3"/>
      <c r="G114" s="60" t="str">
        <f>IFERROR(VLOOKUP(F114,tblManoeuvre[],2,FALSE)&amp;" "&amp;VLOOKUP(F114,tblManoeuvre[],3,FALSE),"")</f>
        <v/>
      </c>
      <c r="H114" s="67" t="str">
        <f>IFERROR(IF(VLOOKUP(F114,tblManoeuvre[],8,FALSE)=0,"None",VLOOKUP(F114,tblManoeuvre[],8,FALSE)),"None")</f>
        <v>None</v>
      </c>
      <c r="I114" s="67"/>
      <c r="L114" s="4"/>
      <c r="M114" s="4"/>
      <c r="N114" s="4"/>
      <c r="O114" s="61">
        <f t="shared" si="16"/>
        <v>0</v>
      </c>
      <c r="P114" s="60">
        <f t="shared" si="17"/>
        <v>0</v>
      </c>
      <c r="Q114" s="61">
        <v>1</v>
      </c>
      <c r="R114" s="61">
        <v>1</v>
      </c>
      <c r="Y114" s="61" t="s">
        <v>1474</v>
      </c>
      <c r="Z114" s="61" t="str">
        <f t="shared" si="18"/>
        <v/>
      </c>
      <c r="AA114" s="60" t="str">
        <f t="shared" si="19"/>
        <v/>
      </c>
    </row>
    <row r="115" spans="1:27">
      <c r="A115" s="1" t="s">
        <v>114</v>
      </c>
      <c r="B115" t="str">
        <f t="shared" ref="B115:B144" si="20">IF(AD2="","¬",AD2)</f>
        <v>Sorcerous Eunuch ●</v>
      </c>
      <c r="D115" s="19"/>
      <c r="E115" s="15" t="s">
        <v>1461</v>
      </c>
      <c r="F115" s="3"/>
      <c r="G115" s="60" t="str">
        <f>IFERROR(VLOOKUP(F115,tblManoeuvre[],2,FALSE)&amp;" "&amp;VLOOKUP(F115,tblManoeuvre[],3,FALSE),"")</f>
        <v/>
      </c>
      <c r="H115" s="67" t="str">
        <f>IFERROR(IF(VLOOKUP(F115,tblManoeuvre[],8,FALSE)=0,"None",VLOOKUP(F115,tblManoeuvre[],8,FALSE)),"None")</f>
        <v>None</v>
      </c>
      <c r="I115" s="67"/>
      <c r="L115" s="4"/>
      <c r="M115" s="4"/>
      <c r="N115" s="4"/>
      <c r="O115" s="61">
        <f t="shared" si="16"/>
        <v>0</v>
      </c>
      <c r="P115" s="60">
        <f t="shared" si="17"/>
        <v>0</v>
      </c>
      <c r="Q115" s="61">
        <v>1</v>
      </c>
      <c r="R115" s="61">
        <v>1</v>
      </c>
      <c r="Y115" s="61" t="s">
        <v>1474</v>
      </c>
      <c r="Z115" s="61" t="str">
        <f t="shared" si="18"/>
        <v/>
      </c>
      <c r="AA115" s="60" t="str">
        <f t="shared" si="19"/>
        <v/>
      </c>
    </row>
    <row r="116" spans="1:27">
      <c r="A116" s="1" t="s">
        <v>115</v>
      </c>
      <c r="B116" t="str">
        <f t="shared" si="20"/>
        <v>Crusade ● | Shield Against Sorcery</v>
      </c>
      <c r="D116" s="19"/>
      <c r="E116" s="15" t="s">
        <v>1462</v>
      </c>
      <c r="F116" s="3"/>
      <c r="G116" s="60" t="str">
        <f>IFERROR(VLOOKUP(F116,tblManoeuvre[],2,FALSE)&amp;" "&amp;VLOOKUP(F116,tblManoeuvre[],3,FALSE),"")</f>
        <v/>
      </c>
      <c r="H116" s="67" t="str">
        <f>IFERROR(IF(VLOOKUP(F116,tblManoeuvre[],8,FALSE)=0,"None",VLOOKUP(F116,tblManoeuvre[],8,FALSE)),"None")</f>
        <v>None</v>
      </c>
      <c r="I116" s="67"/>
      <c r="L116" s="4"/>
      <c r="M116" s="4"/>
      <c r="N116" s="4"/>
      <c r="O116" s="61">
        <f t="shared" si="16"/>
        <v>0</v>
      </c>
      <c r="P116" s="60">
        <f t="shared" si="17"/>
        <v>0</v>
      </c>
      <c r="Q116" s="61">
        <v>1</v>
      </c>
      <c r="R116" s="61">
        <v>1</v>
      </c>
      <c r="Y116" s="61" t="s">
        <v>1474</v>
      </c>
      <c r="Z116" s="61" t="str">
        <f t="shared" si="18"/>
        <v/>
      </c>
      <c r="AA116" s="60" t="str">
        <f t="shared" si="19"/>
        <v/>
      </c>
    </row>
    <row r="117" spans="1:27">
      <c r="A117" s="1" t="s">
        <v>116</v>
      </c>
      <c r="B117" t="str">
        <f t="shared" si="20"/>
        <v>Crusade ●● | Silence</v>
      </c>
      <c r="D117" s="19"/>
      <c r="E117" s="15" t="s">
        <v>1463</v>
      </c>
      <c r="F117" s="3"/>
      <c r="G117" s="60" t="str">
        <f>IFERROR(VLOOKUP(F117,tblManoeuvre[],2,FALSE)&amp;" "&amp;VLOOKUP(F117,tblManoeuvre[],3,FALSE),"")</f>
        <v/>
      </c>
      <c r="H117" s="67" t="str">
        <f>IFERROR(IF(VLOOKUP(F117,tblManoeuvre[],8,FALSE)=0,"None",VLOOKUP(F117,tblManoeuvre[],8,FALSE)),"None")</f>
        <v>None</v>
      </c>
      <c r="I117" s="67"/>
      <c r="L117" s="4"/>
      <c r="M117" s="4"/>
      <c r="N117" s="4"/>
      <c r="O117" s="61">
        <f t="shared" si="16"/>
        <v>0</v>
      </c>
      <c r="P117" s="60">
        <f t="shared" si="17"/>
        <v>0</v>
      </c>
      <c r="Q117" s="61">
        <v>1</v>
      </c>
      <c r="R117" s="61">
        <v>1</v>
      </c>
      <c r="Y117" s="61" t="s">
        <v>1474</v>
      </c>
      <c r="Z117" s="61" t="str">
        <f t="shared" si="18"/>
        <v/>
      </c>
      <c r="AA117" s="60" t="str">
        <f t="shared" si="19"/>
        <v/>
      </c>
    </row>
    <row r="118" spans="1:27">
      <c r="A118" s="1" t="s">
        <v>117</v>
      </c>
      <c r="B118" t="str">
        <f t="shared" si="20"/>
        <v>Kindred Dueling ● | Hamstring</v>
      </c>
      <c r="D118" s="19"/>
      <c r="E118" s="15" t="s">
        <v>1464</v>
      </c>
      <c r="F118" s="3"/>
      <c r="G118" s="60" t="str">
        <f>IFERROR(VLOOKUP(F118,tblManoeuvre[],2,FALSE)&amp;" "&amp;VLOOKUP(F118,tblManoeuvre[],3,FALSE),"")</f>
        <v/>
      </c>
      <c r="H118" s="67" t="str">
        <f>IFERROR(IF(VLOOKUP(F118,tblManoeuvre[],8,FALSE)=0,"None",VLOOKUP(F118,tblManoeuvre[],8,FALSE)),"None")</f>
        <v>None</v>
      </c>
      <c r="I118" s="67"/>
      <c r="L118" s="4"/>
      <c r="M118" s="4"/>
      <c r="N118" s="4"/>
      <c r="O118" s="61">
        <f t="shared" si="16"/>
        <v>0</v>
      </c>
      <c r="P118" s="60">
        <f t="shared" si="17"/>
        <v>0</v>
      </c>
      <c r="Q118" s="61">
        <v>1</v>
      </c>
      <c r="R118" s="61">
        <v>1</v>
      </c>
      <c r="Y118" s="61" t="s">
        <v>1474</v>
      </c>
      <c r="Z118" s="61" t="str">
        <f t="shared" si="18"/>
        <v/>
      </c>
      <c r="AA118" s="60" t="str">
        <f t="shared" si="19"/>
        <v/>
      </c>
    </row>
    <row r="119" spans="1:27">
      <c r="A119" s="1" t="s">
        <v>118</v>
      </c>
      <c r="B119" t="str">
        <f t="shared" si="20"/>
        <v>Kindred Dueling ●● | Taunt</v>
      </c>
      <c r="D119" s="19"/>
      <c r="E119" s="15" t="s">
        <v>1466</v>
      </c>
      <c r="F119" s="3"/>
      <c r="G119" s="60" t="str">
        <f>IFERROR(VLOOKUP(F119,tblManoeuvre[],2,FALSE)&amp;" "&amp;VLOOKUP(F119,tblManoeuvre[],3,FALSE),"")</f>
        <v/>
      </c>
      <c r="H119" s="67" t="str">
        <f>IFERROR(IF(VLOOKUP(F119,tblManoeuvre[],8,FALSE)=0,"None",VLOOKUP(F119,tblManoeuvre[],8,FALSE)),"None")</f>
        <v>None</v>
      </c>
      <c r="I119" s="67"/>
      <c r="L119" s="4"/>
      <c r="M119" s="4"/>
      <c r="N119" s="4"/>
      <c r="O119" s="61">
        <f t="shared" si="16"/>
        <v>0</v>
      </c>
      <c r="P119" s="60">
        <f t="shared" si="17"/>
        <v>0</v>
      </c>
      <c r="Q119" s="61">
        <v>1</v>
      </c>
      <c r="R119" s="61">
        <v>1</v>
      </c>
      <c r="Y119" s="61" t="s">
        <v>1474</v>
      </c>
      <c r="Z119" s="61" t="str">
        <f t="shared" si="18"/>
        <v/>
      </c>
      <c r="AA119" s="60" t="str">
        <f t="shared" si="19"/>
        <v/>
      </c>
    </row>
    <row r="120" spans="1:27">
      <c r="A120" s="1" t="s">
        <v>119</v>
      </c>
      <c r="B120" t="str">
        <f t="shared" si="20"/>
        <v>¬</v>
      </c>
      <c r="D120" s="19"/>
      <c r="E120" s="15" t="s">
        <v>1468</v>
      </c>
      <c r="F120" s="3"/>
      <c r="G120" s="60" t="str">
        <f>IFERROR(VLOOKUP(F120,tblManoeuvre[],2,FALSE)&amp;" "&amp;VLOOKUP(F120,tblManoeuvre[],3,FALSE),"")</f>
        <v/>
      </c>
      <c r="H120" s="67" t="str">
        <f>IFERROR(IF(VLOOKUP(F120,tblManoeuvre[],8,FALSE)=0,"None",VLOOKUP(F120,tblManoeuvre[],8,FALSE)),"None")</f>
        <v>None</v>
      </c>
      <c r="I120" s="67"/>
      <c r="L120" s="4"/>
      <c r="M120" s="4"/>
      <c r="N120" s="4"/>
      <c r="O120" s="61">
        <f t="shared" si="16"/>
        <v>0</v>
      </c>
      <c r="P120" s="60">
        <f t="shared" si="17"/>
        <v>0</v>
      </c>
      <c r="Q120" s="61">
        <v>1</v>
      </c>
      <c r="R120" s="61">
        <v>1</v>
      </c>
      <c r="Y120" s="61" t="s">
        <v>1474</v>
      </c>
      <c r="Z120" s="61" t="str">
        <f t="shared" si="18"/>
        <v/>
      </c>
      <c r="AA120" s="60" t="str">
        <f t="shared" si="19"/>
        <v/>
      </c>
    </row>
    <row r="121" spans="1:27">
      <c r="A121" s="1" t="s">
        <v>120</v>
      </c>
      <c r="B121" t="str">
        <f t="shared" si="20"/>
        <v>¬</v>
      </c>
      <c r="Y121" s="61" t="s">
        <v>1474</v>
      </c>
      <c r="Z121" s="61" t="str">
        <f t="shared" si="18"/>
        <v/>
      </c>
      <c r="AA121" s="60" t="str">
        <f t="shared" si="19"/>
        <v/>
      </c>
    </row>
    <row r="122" spans="1:27" ht="15.75" thickBot="1">
      <c r="A122" s="1" t="s">
        <v>121</v>
      </c>
      <c r="B122" t="str">
        <f t="shared" si="20"/>
        <v>¬</v>
      </c>
      <c r="D122" s="14" t="s">
        <v>1475</v>
      </c>
      <c r="E122" s="14"/>
      <c r="F122" s="14"/>
      <c r="G122" s="14"/>
      <c r="H122" s="14"/>
      <c r="I122" s="14"/>
    </row>
    <row r="123" spans="1:27">
      <c r="A123" s="1" t="s">
        <v>122</v>
      </c>
      <c r="B123" t="str">
        <f t="shared" si="20"/>
        <v>¬</v>
      </c>
      <c r="D123" s="16" t="s">
        <v>927</v>
      </c>
      <c r="E123" s="17"/>
      <c r="F123" s="17"/>
      <c r="G123" s="17"/>
      <c r="H123" s="17"/>
      <c r="I123" s="17"/>
      <c r="Y123" s="15" t="s">
        <v>1476</v>
      </c>
      <c r="Z123" s="19"/>
      <c r="AA123" s="61" t="str">
        <f t="shared" ref="AA123:AA132" si="21">_xlfn.LET(_xlpm.name,VLOOKUP(Y123,$E$2:$F$362,2,FALSE),_xlpm.paid,_xlfn.IFNA(VLOOKUP(_xlpm.name,$F$121:$Q$215,11,FALSE)&gt;=VLOOKUP(_xlpm.name,$F$121:$Q$215,12,FALSE),FALSE),IF(AND(_xlpm.name&lt;&gt;"",_xlpm.paid),_xlpm.name,""))</f>
        <v/>
      </c>
    </row>
    <row r="124" spans="1:27">
      <c r="A124" s="1" t="s">
        <v>123</v>
      </c>
      <c r="B124" t="str">
        <f t="shared" si="20"/>
        <v>¬</v>
      </c>
      <c r="D124" s="19"/>
      <c r="E124" s="15" t="s">
        <v>83</v>
      </c>
      <c r="F124" s="19"/>
      <c r="G124" s="19"/>
      <c r="H124" s="19"/>
      <c r="I124" s="19"/>
      <c r="L124" s="4">
        <v>1</v>
      </c>
      <c r="M124" s="61">
        <f>IFERROR(VLOOKUP(G13,tblEffectiveStatus[#Data],2,FALSE),0)</f>
        <v>0</v>
      </c>
      <c r="P124" s="60">
        <f>MIN(L124+M124,R124)</f>
        <v>1</v>
      </c>
      <c r="R124" s="61">
        <v>10</v>
      </c>
      <c r="Y124" s="15" t="s">
        <v>1477</v>
      </c>
      <c r="Z124" s="19"/>
      <c r="AA124" s="61" t="str">
        <f t="shared" si="21"/>
        <v/>
      </c>
    </row>
    <row r="125" spans="1:27">
      <c r="A125" s="1" t="s">
        <v>124</v>
      </c>
      <c r="B125" t="str">
        <f t="shared" si="20"/>
        <v>¬</v>
      </c>
      <c r="D125" s="19"/>
      <c r="E125" s="15" t="str">
        <f>IF(F7="","Clan Status",F7&amp;" Status")</f>
        <v>Gangrel Status</v>
      </c>
      <c r="F125" s="19"/>
      <c r="G125" s="19"/>
      <c r="H125" s="19"/>
      <c r="I125" s="19"/>
      <c r="L125" s="4">
        <v>3</v>
      </c>
      <c r="P125" s="60">
        <f>IF(L125="",0,MIN(L125,R125))</f>
        <v>3</v>
      </c>
      <c r="R125" s="61">
        <v>5</v>
      </c>
      <c r="Y125" s="15" t="s">
        <v>1478</v>
      </c>
      <c r="Z125" s="19"/>
      <c r="AA125" s="61" t="str">
        <f t="shared" si="21"/>
        <v/>
      </c>
    </row>
    <row r="126" spans="1:27">
      <c r="A126" s="1" t="s">
        <v>125</v>
      </c>
      <c r="B126" t="str">
        <f t="shared" si="20"/>
        <v>¬</v>
      </c>
      <c r="D126" s="19"/>
      <c r="E126" s="15" t="str">
        <f>IF(F9="","",F9&amp;" Status")</f>
        <v>Lancea et Sanctum Status</v>
      </c>
      <c r="F126" s="19" t="str">
        <f>IF(F9="","",VLOOKUP(F9,tblCovenantShortName[#Data],2,FALSE))</f>
        <v>Lance</v>
      </c>
      <c r="G126" s="19"/>
      <c r="H126" s="19"/>
      <c r="I126" s="19"/>
      <c r="L126" s="4">
        <v>2</v>
      </c>
      <c r="P126" s="60">
        <f>L126</f>
        <v>2</v>
      </c>
      <c r="R126" s="61">
        <f>5-SUM(L127:L129)</f>
        <v>5</v>
      </c>
      <c r="Y126" s="15" t="s">
        <v>1479</v>
      </c>
      <c r="Z126" s="19"/>
      <c r="AA126" s="61" t="str">
        <f t="shared" si="21"/>
        <v/>
      </c>
    </row>
    <row r="127" spans="1:27">
      <c r="A127" s="1" t="s">
        <v>126</v>
      </c>
      <c r="B127" t="str">
        <f t="shared" si="20"/>
        <v>¬</v>
      </c>
      <c r="D127" s="19"/>
      <c r="E127" s="15" t="str" cm="1">
        <f t="array" ref="E127">IF(F9="","",IFERROR(INDEX(Lists!$F$2:$F$5,SMALL(IF(Lists!$F$2:$F$5&lt;&gt;$F$9,ROW(Lists!$F$2:$F$5)-ROW(Lists!$F$2)+1),1))&amp;" Status",""))</f>
        <v>Carthian Movement Status</v>
      </c>
      <c r="F127" s="19" t="str" cm="1">
        <f t="array" ref="F127">IF(F9="","",IFERROR(VLOOKUP(INDEX(Lists!$F$2:$F$5,SMALL(IF(Lists!$F$2:$F$5&lt;&gt;$F$9,ROW(Lists!$F$2:$F$5)-ROW(Lists!$F$2)+1),1)),tblCovenantShortName[],2,FALSE),""))</f>
        <v>Carthian</v>
      </c>
      <c r="G127" s="19"/>
      <c r="H127" s="19"/>
      <c r="I127" s="19"/>
      <c r="L127" s="4"/>
      <c r="P127" s="60">
        <f>L127</f>
        <v>0</v>
      </c>
      <c r="R127" s="61">
        <f>MAX(0,MIN(P126-1,5-L126-L128-L129))</f>
        <v>1</v>
      </c>
      <c r="Y127" s="15" t="s">
        <v>1480</v>
      </c>
      <c r="Z127" s="19"/>
      <c r="AA127" s="61" t="str">
        <f t="shared" si="21"/>
        <v/>
      </c>
    </row>
    <row r="128" spans="1:27">
      <c r="A128" s="1" t="s">
        <v>127</v>
      </c>
      <c r="B128" t="str">
        <f t="shared" si="20"/>
        <v>¬</v>
      </c>
      <c r="D128" s="19"/>
      <c r="E128" s="15" t="str" cm="1">
        <f t="array" ref="E128">IF(F9="","",IFERROR(INDEX(Lists!$F$2:$F$5,SMALL(IF(Lists!$F$2:$F$5&lt;&gt;$F$9,ROW(Lists!$F$2:$F$5)-ROW(Lists!$F$2)+1),2))&amp;" Status",""))</f>
        <v>Circle of the Crone Status</v>
      </c>
      <c r="F128" s="19" t="str" cm="1">
        <f t="array" ref="F128">IF(F9="","",IFERROR(VLOOKUP(INDEX(Lists!$F$2:$F$5,SMALL(IF(Lists!$F$2:$F$5&lt;&gt;$F$9,ROW(Lists!$F$2:$F$5)-ROW(Lists!$F$2)+1),2)),tblCovenantShortName[],2,FALSE),""))</f>
        <v>Crone</v>
      </c>
      <c r="G128" s="19"/>
      <c r="H128" s="19"/>
      <c r="I128" s="19"/>
      <c r="L128" s="4"/>
      <c r="P128" s="60">
        <f>L128</f>
        <v>0</v>
      </c>
      <c r="R128" s="61">
        <f>MAX(0,MIN(P126-1,5-L126-L127-L129))</f>
        <v>1</v>
      </c>
      <c r="Y128" s="15" t="s">
        <v>1481</v>
      </c>
      <c r="Z128" s="19"/>
      <c r="AA128" s="61" t="str">
        <f t="shared" si="21"/>
        <v/>
      </c>
    </row>
    <row r="129" spans="1:32">
      <c r="A129" s="1" t="s">
        <v>128</v>
      </c>
      <c r="B129" t="str">
        <f t="shared" si="20"/>
        <v>¬</v>
      </c>
      <c r="D129" s="19"/>
      <c r="E129" s="15" t="str" cm="1">
        <f t="array" ref="E129">IF(F9="","",IFERROR(INDEX(Lists!$F$2:$F$5,SMALL(IF(Lists!$F$2:$F$5&lt;&gt;$F$9,ROW(Lists!$F$2:$F$5)-ROW(Lists!$F$2)+1),3))&amp;" Status",""))</f>
        <v>Invictus Status</v>
      </c>
      <c r="F129" s="19" t="str" cm="1">
        <f t="array" ref="F129">IF(F9="","",IFERROR(VLOOKUP(INDEX(Lists!$F$2:$F$5,SMALL(IF(Lists!$F$2:$F$5&lt;&gt;$F$9,ROW(Lists!$F$2:$F$5)-ROW(Lists!$F$2)+1),3)),tblCovenantShortName[],2,FALSE),""))</f>
        <v>Invictus</v>
      </c>
      <c r="G129" s="19"/>
      <c r="H129" s="19"/>
      <c r="I129" s="19"/>
      <c r="L129" s="4"/>
      <c r="P129" s="60">
        <f>L129</f>
        <v>0</v>
      </c>
      <c r="R129" s="61">
        <f>MAX(0,MIN(P126-1,5-L126-L127-L128))</f>
        <v>1</v>
      </c>
      <c r="Y129" s="15" t="s">
        <v>1482</v>
      </c>
      <c r="Z129" s="19"/>
      <c r="AA129" s="61" t="str">
        <f t="shared" si="21"/>
        <v/>
      </c>
    </row>
    <row r="130" spans="1:32">
      <c r="A130" s="1" t="s">
        <v>129</v>
      </c>
      <c r="B130" t="str">
        <f t="shared" si="20"/>
        <v>¬</v>
      </c>
      <c r="Y130" s="15" t="s">
        <v>1483</v>
      </c>
      <c r="Z130" s="19"/>
      <c r="AA130" s="61" t="str">
        <f t="shared" si="21"/>
        <v/>
      </c>
    </row>
    <row r="131" spans="1:32">
      <c r="A131" s="1" t="s">
        <v>130</v>
      </c>
      <c r="B131" t="str">
        <f t="shared" si="20"/>
        <v>¬</v>
      </c>
      <c r="D131" s="16" t="s">
        <v>1475</v>
      </c>
      <c r="E131" s="17"/>
      <c r="F131" s="16" t="s">
        <v>1446</v>
      </c>
      <c r="G131" s="17"/>
      <c r="H131" s="17"/>
      <c r="I131" s="17"/>
      <c r="Y131" s="15" t="s">
        <v>1484</v>
      </c>
      <c r="Z131" s="19"/>
      <c r="AA131" s="61" t="str">
        <f t="shared" si="21"/>
        <v/>
      </c>
    </row>
    <row r="132" spans="1:32">
      <c r="A132" s="1" t="s">
        <v>131</v>
      </c>
      <c r="B132" t="str">
        <f t="shared" si="20"/>
        <v>¬</v>
      </c>
      <c r="D132" s="19"/>
      <c r="E132" s="15" t="s">
        <v>94</v>
      </c>
      <c r="F132" s="3"/>
      <c r="G132" s="19"/>
      <c r="H132" s="19"/>
      <c r="I132" s="19"/>
      <c r="L132" s="4">
        <v>1</v>
      </c>
      <c r="M132" s="4"/>
      <c r="N132" s="4"/>
      <c r="O132" s="61">
        <f>N132</f>
        <v>0</v>
      </c>
      <c r="P132" s="60">
        <f>MIN(SUM(L132,M132,O132),R132)</f>
        <v>1</v>
      </c>
      <c r="Q132" s="61">
        <f>_xlfn.IFNA(VLOOKUP($E132,tblDomain[],3,FALSE),"")</f>
        <v>1</v>
      </c>
      <c r="R132" s="61">
        <f>_xlfn.IFNA(VLOOKUP($E132,tblDomain[],4,FALSE),"")</f>
        <v>5</v>
      </c>
      <c r="Y132" s="15" t="s">
        <v>1485</v>
      </c>
      <c r="Z132" s="19"/>
      <c r="AA132" s="61" t="str">
        <f t="shared" si="21"/>
        <v/>
      </c>
    </row>
    <row r="133" spans="1:32">
      <c r="A133" s="1" t="s">
        <v>132</v>
      </c>
      <c r="B133" t="str">
        <f t="shared" si="20"/>
        <v>¬</v>
      </c>
      <c r="D133" s="19"/>
      <c r="E133" s="15" t="s">
        <v>95</v>
      </c>
      <c r="F133" s="3"/>
      <c r="G133" s="19"/>
      <c r="H133" s="19"/>
      <c r="I133" s="19"/>
      <c r="L133" s="4"/>
      <c r="M133" s="4"/>
      <c r="N133" s="4"/>
      <c r="O133" s="61">
        <f>N133</f>
        <v>0</v>
      </c>
      <c r="P133" s="60">
        <f>MIN(SUM(L133,M133,O133),R133)</f>
        <v>0</v>
      </c>
      <c r="Q133" s="61">
        <f>_xlfn.IFNA(VLOOKUP($E133,tblDomain[],3,FALSE),"")</f>
        <v>1</v>
      </c>
      <c r="R133" s="61">
        <f>_xlfn.IFNA(VLOOKUP($E133,tblDomain[],4,FALSE),"")</f>
        <v>5</v>
      </c>
    </row>
    <row r="134" spans="1:32">
      <c r="A134" s="1" t="s">
        <v>133</v>
      </c>
      <c r="B134" t="str">
        <f t="shared" si="20"/>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2">_xlfn.LET(_xlpm.name,VLOOKUP(Y134,$E$2:$F$362,2,FALSE),_xlpm.note,VLOOKUP(Y134,$E$2:$G$362,3,FALSE),_xlpm.row,MATCH(Y134,$E$138:$E$157,0),_xlpm.dots,INDEX($P$138:$P$157,_xlpm.row),_xlpm.max,INDEX($Q$138:$Q$157,_xlpm.row),_xlpm.paid,_xlfn.IFNA(_xlpm.dots&gt;=_xlpm.max,FALSE),IF(AND(_xlpm.name&lt;&gt;"",_xlpm.paid),IF(_xlpm.note="",_xlpm.name,_xlpm.name&amp;" ("&amp;_xlpm.note&amp;")"),""))</f>
        <v/>
      </c>
      <c r="AC134" s="60" t="str" cm="1">
        <f t="array" ref="AC134">_xlfn.LET(_xlpm.raw,IFERROR(_xlfn.VSTACK(IFERROR(_xlfn._xlws.SORT(_xlfn._xlws.FILTER(AA134:AA211,AA134:AA211&lt;&gt;"")),""),IFERROR(_xlfn._xlws.SORT(_xlfn._xlws.FILTER(AA213:AA222,AA213:AA222&lt;&gt;"")),"")),""),_xlpm.sorted,IFERROR(_xlfn._xlws.FILTER(_xlpm.raw,_xlpm.raw&lt;&gt;""),""),IFERROR(LEFT(_xlpm.sorted,FIND(" (",_xlpm.sorted)-1),_xlpm.sorted))</f>
        <v/>
      </c>
      <c r="AD134" s="20" t="str" cm="1">
        <f t="array" ref="AD134">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
      </c>
      <c r="AE134" s="20" t="str">
        <f t="shared" ref="AE134:AE153" si="23">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
      </c>
      <c r="AF134" s="61" t="str" cm="1">
        <f t="array" ref="AF134">IF(AC134="","",SUMPRODUCT(($F$138:$F$157=AC134)*($G$138:$G$157=IF(AD134="","",AD134))*$P$138:$P$157))</f>
        <v/>
      </c>
    </row>
    <row r="135" spans="1:32">
      <c r="A135" s="1" t="s">
        <v>134</v>
      </c>
      <c r="B135" t="str">
        <f t="shared" si="20"/>
        <v>¬</v>
      </c>
      <c r="D135" s="19"/>
      <c r="E135" s="15" t="s">
        <v>97</v>
      </c>
      <c r="F135" s="19"/>
      <c r="G135" s="19"/>
      <c r="H135" s="19"/>
      <c r="I135" s="19"/>
      <c r="L135" s="4"/>
      <c r="M135" s="4"/>
      <c r="N135" s="4">
        <v>2</v>
      </c>
      <c r="O135" s="61">
        <f>N135</f>
        <v>2</v>
      </c>
      <c r="P135" s="60">
        <f>MIN(SUM(L135,M135,O135),R135)</f>
        <v>2</v>
      </c>
      <c r="Q135" s="61">
        <f>_xlfn.IFNA(VLOOKUP($E135,tblDomain[],3,FALSE),"")</f>
        <v>1</v>
      </c>
      <c r="R135" s="61">
        <f>_xlfn.IFNA(VLOOKUP($E135,tblDomain[],4,FALSE),"")</f>
        <v>5</v>
      </c>
      <c r="Y135" s="15" t="s">
        <v>177</v>
      </c>
      <c r="Z135" s="19"/>
      <c r="AA135" s="61" t="str">
        <f t="shared" si="22"/>
        <v/>
      </c>
      <c r="AC135" s="60"/>
      <c r="AD135" s="20"/>
      <c r="AE135" s="20" t="str">
        <f t="shared" si="23"/>
        <v/>
      </c>
      <c r="AF135" s="61" t="str" cm="1">
        <f t="array" ref="AF135">IF(AC135="","",SUMPRODUCT(($F$138:$F$157=AC135)*($G$138:$G$157=IF(AD135="","",AD135))*$P$138:$P$157))</f>
        <v/>
      </c>
    </row>
    <row r="136" spans="1:32">
      <c r="A136" s="1" t="s">
        <v>135</v>
      </c>
      <c r="B136" t="str">
        <f t="shared" si="20"/>
        <v>¬</v>
      </c>
      <c r="Y136" s="15" t="s">
        <v>178</v>
      </c>
      <c r="Z136" s="19"/>
      <c r="AA136" s="61" t="str">
        <f t="shared" si="22"/>
        <v/>
      </c>
      <c r="AC136" s="60"/>
      <c r="AD136" s="20"/>
      <c r="AE136" s="20" t="str">
        <f t="shared" si="23"/>
        <v/>
      </c>
      <c r="AF136" s="61" t="str" cm="1">
        <f t="array" ref="AF136">IF(AC136="","",SUMPRODUCT(($F$138:$F$157=AC136)*($G$138:$G$157=IF(AD136="","",AD136))*$P$138:$P$157))</f>
        <v/>
      </c>
    </row>
    <row r="137" spans="1:32">
      <c r="A137" s="1" t="s">
        <v>136</v>
      </c>
      <c r="B137" t="str">
        <f t="shared" si="20"/>
        <v>¬</v>
      </c>
      <c r="D137" s="16" t="s">
        <v>174</v>
      </c>
      <c r="E137" s="17"/>
      <c r="F137" s="17"/>
      <c r="G137" s="17"/>
      <c r="H137" s="61">
        <f>L225</f>
        <v>5</v>
      </c>
      <c r="I137" s="61">
        <f>SUM(AE134:AE155)+SUM(P125:P129)</f>
        <v>5</v>
      </c>
      <c r="Y137" s="15" t="s">
        <v>179</v>
      </c>
      <c r="Z137" s="19"/>
      <c r="AA137" s="61" t="str">
        <f t="shared" si="22"/>
        <v/>
      </c>
      <c r="AC137" s="60"/>
      <c r="AD137" s="20"/>
      <c r="AE137" s="20" t="str">
        <f t="shared" si="23"/>
        <v/>
      </c>
      <c r="AF137" s="61" t="str" cm="1">
        <f t="array" ref="AF137">IF(AC137="","",SUMPRODUCT(($F$138:$F$157=AC137)*($G$138:$G$157=IF(AD137="","",AD137))*$P$138:$P$157))</f>
        <v/>
      </c>
    </row>
    <row r="138" spans="1:32">
      <c r="A138" s="1" t="s">
        <v>137</v>
      </c>
      <c r="B138" t="str">
        <f t="shared" si="20"/>
        <v>¬</v>
      </c>
      <c r="D138" s="19"/>
      <c r="E138" s="15" t="s">
        <v>176</v>
      </c>
      <c r="F138" s="3"/>
      <c r="G138" s="3"/>
      <c r="H138" s="67" t="str">
        <f>IFERROR(IF(VLOOKUP(F138,tblManoeuvre[],8,FALSE)=0,"None",VLOOKUP(F138,tblManoeuvre[],8,FALSE)),"None")</f>
        <v>None</v>
      </c>
      <c r="I138" s="67"/>
      <c r="L138" s="4"/>
      <c r="M138" s="4"/>
      <c r="N138" s="4"/>
      <c r="O138" s="61">
        <f t="shared" ref="O138:O157" si="24">N138</f>
        <v>0</v>
      </c>
      <c r="P138" s="60">
        <f t="shared" ref="P138:P157" si="25">MIN(SUM(L138,M138,O138),R138)</f>
        <v>0</v>
      </c>
      <c r="Q138" s="61" t="str">
        <f>_xlfn.IFNA(VLOOKUP($F138,tblInfluence[],3,FALSE),"")</f>
        <v/>
      </c>
      <c r="R138" s="61" t="str">
        <f>_xlfn.IFNA(VLOOKUP($F138,tblInfluence[],4,FALSE),"")</f>
        <v/>
      </c>
      <c r="Y138" s="15" t="s">
        <v>180</v>
      </c>
      <c r="Z138" s="19"/>
      <c r="AA138" s="61" t="str">
        <f t="shared" si="22"/>
        <v/>
      </c>
      <c r="AC138" s="60"/>
      <c r="AD138" s="20"/>
      <c r="AE138" s="20" t="str">
        <f t="shared" si="23"/>
        <v/>
      </c>
      <c r="AF138" s="61" t="str" cm="1">
        <f t="array" ref="AF138">IF(AC138="","",SUMPRODUCT(($F$138:$F$157=AC138)*($G$138:$G$157=IF(AD138="","",AD138))*$P$138:$P$157))</f>
        <v/>
      </c>
    </row>
    <row r="139" spans="1:32">
      <c r="A139" s="1" t="s">
        <v>138</v>
      </c>
      <c r="B139" t="str">
        <f t="shared" si="20"/>
        <v>¬</v>
      </c>
      <c r="D139" s="19"/>
      <c r="E139" s="15" t="s">
        <v>177</v>
      </c>
      <c r="F139" s="3"/>
      <c r="G139" s="3"/>
      <c r="H139" s="67" t="str">
        <f>IFERROR(IF(VLOOKUP(F139,tblManoeuvre[],8,FALSE)=0,"None",VLOOKUP(F139,tblManoeuvre[],8,FALSE)),"None")</f>
        <v>None</v>
      </c>
      <c r="I139" s="67"/>
      <c r="L139" s="4"/>
      <c r="M139" s="4"/>
      <c r="N139" s="4"/>
      <c r="O139" s="61">
        <f t="shared" si="24"/>
        <v>0</v>
      </c>
      <c r="P139" s="60">
        <f t="shared" si="25"/>
        <v>0</v>
      </c>
      <c r="Q139" s="61" t="str">
        <f>_xlfn.IFNA(VLOOKUP($F139,tblInfluence[],3,FALSE),"")</f>
        <v/>
      </c>
      <c r="R139" s="61" t="str">
        <f>_xlfn.IFNA(VLOOKUP($F139,tblInfluence[],4,FALSE),"")</f>
        <v/>
      </c>
      <c r="Y139" s="15" t="s">
        <v>181</v>
      </c>
      <c r="Z139" s="19"/>
      <c r="AA139" s="61" t="str">
        <f t="shared" si="22"/>
        <v/>
      </c>
      <c r="AC139" s="60"/>
      <c r="AD139" s="20"/>
      <c r="AE139" s="20" t="str">
        <f t="shared" si="23"/>
        <v/>
      </c>
      <c r="AF139" s="61" t="str" cm="1">
        <f t="array" ref="AF139">IF(AC139="","",SUMPRODUCT(($F$138:$F$157=AC139)*($G$138:$G$157=IF(AD139="","",AD139))*$P$138:$P$157))</f>
        <v/>
      </c>
    </row>
    <row r="140" spans="1:32">
      <c r="A140" s="1" t="s">
        <v>139</v>
      </c>
      <c r="B140" t="str">
        <f t="shared" si="20"/>
        <v>¬</v>
      </c>
      <c r="D140" s="19"/>
      <c r="E140" s="15" t="s">
        <v>178</v>
      </c>
      <c r="F140" s="3"/>
      <c r="G140" s="3"/>
      <c r="H140" s="67" t="str">
        <f>IFERROR(IF(VLOOKUP(F140,tblManoeuvre[],8,FALSE)=0,"None",VLOOKUP(F140,tblManoeuvre[],8,FALSE)),"None")</f>
        <v>None</v>
      </c>
      <c r="I140" s="67"/>
      <c r="L140" s="4"/>
      <c r="M140" s="4"/>
      <c r="N140" s="4"/>
      <c r="O140" s="61">
        <f t="shared" si="24"/>
        <v>0</v>
      </c>
      <c r="P140" s="60">
        <f t="shared" si="25"/>
        <v>0</v>
      </c>
      <c r="Q140" s="61" t="str">
        <f>_xlfn.IFNA(VLOOKUP($F140,tblInfluence[],3,FALSE),"")</f>
        <v/>
      </c>
      <c r="R140" s="61" t="str">
        <f>_xlfn.IFNA(VLOOKUP($F140,tblInfluence[],4,FALSE),"")</f>
        <v/>
      </c>
      <c r="Y140" s="15" t="s">
        <v>182</v>
      </c>
      <c r="Z140" s="19"/>
      <c r="AA140" s="61" t="str">
        <f t="shared" si="22"/>
        <v/>
      </c>
      <c r="AC140" s="60"/>
      <c r="AD140" s="20"/>
      <c r="AE140" s="20" t="str">
        <f t="shared" si="23"/>
        <v/>
      </c>
      <c r="AF140" s="61" t="str" cm="1">
        <f t="array" ref="AF140">IF(AC140="","",SUMPRODUCT(($F$138:$F$157=AC140)*($G$138:$G$157=IF(AD140="","",AD140))*$P$138:$P$157))</f>
        <v/>
      </c>
    </row>
    <row r="141" spans="1:32">
      <c r="A141" s="1" t="s">
        <v>140</v>
      </c>
      <c r="B141" t="str">
        <f t="shared" si="20"/>
        <v>¬</v>
      </c>
      <c r="D141" s="19"/>
      <c r="E141" s="15" t="s">
        <v>179</v>
      </c>
      <c r="F141" s="3"/>
      <c r="G141" s="3"/>
      <c r="H141" s="67" t="str">
        <f>IFERROR(IF(VLOOKUP(F141,tblManoeuvre[],8,FALSE)=0,"None",VLOOKUP(F141,tblManoeuvre[],8,FALSE)),"None")</f>
        <v>None</v>
      </c>
      <c r="I141" s="67"/>
      <c r="L141" s="4"/>
      <c r="M141" s="4"/>
      <c r="N141" s="4"/>
      <c r="O141" s="61">
        <f t="shared" si="24"/>
        <v>0</v>
      </c>
      <c r="P141" s="60">
        <f t="shared" si="25"/>
        <v>0</v>
      </c>
      <c r="Q141" s="61" t="str">
        <f>_xlfn.IFNA(VLOOKUP($F141,tblInfluence[],3,FALSE),"")</f>
        <v/>
      </c>
      <c r="R141" s="61" t="str">
        <f>_xlfn.IFNA(VLOOKUP($F141,tblInfluence[],4,FALSE),"")</f>
        <v/>
      </c>
      <c r="Y141" s="15" t="s">
        <v>183</v>
      </c>
      <c r="Z141" s="19"/>
      <c r="AA141" s="61" t="str">
        <f t="shared" si="22"/>
        <v/>
      </c>
      <c r="AC141" s="60"/>
      <c r="AD141" s="20"/>
      <c r="AE141" s="20" t="str">
        <f t="shared" si="23"/>
        <v/>
      </c>
      <c r="AF141" s="61" t="str" cm="1">
        <f t="array" ref="AF141">IF(AC141="","",SUMPRODUCT(($F$138:$F$157=AC141)*($G$138:$G$157=IF(AD141="","",AD141))*$P$138:$P$157))</f>
        <v/>
      </c>
    </row>
    <row r="142" spans="1:32">
      <c r="A142" s="1" t="s">
        <v>141</v>
      </c>
      <c r="B142" t="str">
        <f t="shared" si="20"/>
        <v>¬</v>
      </c>
      <c r="D142" s="19"/>
      <c r="E142" s="15" t="s">
        <v>180</v>
      </c>
      <c r="F142" s="3"/>
      <c r="G142" s="3"/>
      <c r="H142" s="67" t="str">
        <f>IFERROR(IF(VLOOKUP(F142,tblManoeuvre[],8,FALSE)=0,"None",VLOOKUP(F142,tblManoeuvre[],8,FALSE)),"None")</f>
        <v>None</v>
      </c>
      <c r="I142" s="67"/>
      <c r="L142" s="4"/>
      <c r="M142" s="4"/>
      <c r="N142" s="4"/>
      <c r="O142" s="61">
        <f t="shared" si="24"/>
        <v>0</v>
      </c>
      <c r="P142" s="60">
        <f t="shared" si="25"/>
        <v>0</v>
      </c>
      <c r="Q142" s="61" t="str">
        <f>_xlfn.IFNA(VLOOKUP($F142,tblInfluence[],3,FALSE),"")</f>
        <v/>
      </c>
      <c r="R142" s="61" t="str">
        <f>_xlfn.IFNA(VLOOKUP($F142,tblInfluence[],4,FALSE),"")</f>
        <v/>
      </c>
      <c r="Y142" s="15" t="s">
        <v>184</v>
      </c>
      <c r="Z142" s="19"/>
      <c r="AA142" s="61" t="str">
        <f t="shared" si="22"/>
        <v/>
      </c>
      <c r="AC142" s="60"/>
      <c r="AD142" s="20"/>
      <c r="AE142" s="20" t="str">
        <f t="shared" si="23"/>
        <v/>
      </c>
      <c r="AF142" s="61" t="str" cm="1">
        <f t="array" ref="AF142">IF(AC142="","",SUMPRODUCT(($F$138:$F$157=AC142)*($G$138:$G$157=IF(AD142="","",AD142))*$P$138:$P$157))</f>
        <v/>
      </c>
    </row>
    <row r="143" spans="1:32">
      <c r="A143" s="1" t="s">
        <v>142</v>
      </c>
      <c r="B143" t="str">
        <f t="shared" si="20"/>
        <v>¬</v>
      </c>
      <c r="D143" s="19"/>
      <c r="E143" s="15" t="s">
        <v>181</v>
      </c>
      <c r="F143" s="3"/>
      <c r="G143" s="3" t="str">
        <f>IFERROR(VLOOKUP(F143,tblManoeuvre[],2,FALSE)&amp;" "&amp;VLOOKUP(F143,tblManoeuvre[],3,FALSE),"")</f>
        <v/>
      </c>
      <c r="H143" s="67" t="str">
        <f>IFERROR(IF(VLOOKUP(F143,tblManoeuvre[],8,FALSE)=0,"None",VLOOKUP(F143,tblManoeuvre[],8,FALSE)),"None")</f>
        <v>None</v>
      </c>
      <c r="I143" s="67"/>
      <c r="L143" s="4"/>
      <c r="M143" s="4"/>
      <c r="N143" s="4"/>
      <c r="O143" s="61">
        <f t="shared" si="24"/>
        <v>0</v>
      </c>
      <c r="P143" s="60">
        <f t="shared" si="25"/>
        <v>0</v>
      </c>
      <c r="Q143" s="61" t="str">
        <f>_xlfn.IFNA(VLOOKUP($F143,tblInfluence[],3,FALSE),"")</f>
        <v/>
      </c>
      <c r="R143" s="61" t="str">
        <f>_xlfn.IFNA(VLOOKUP($F143,tblInfluence[],4,FALSE),"")</f>
        <v/>
      </c>
      <c r="Y143" s="15" t="s">
        <v>185</v>
      </c>
      <c r="Z143" s="19"/>
      <c r="AA143" s="61" t="str">
        <f t="shared" si="22"/>
        <v/>
      </c>
      <c r="AC143" s="60"/>
      <c r="AD143" s="20"/>
      <c r="AE143" s="20" t="str">
        <f t="shared" si="23"/>
        <v/>
      </c>
      <c r="AF143" s="61" t="str" cm="1">
        <f t="array" ref="AF143">IF(AC143="","",SUMPRODUCT(($F$138:$F$157=AC143)*($G$138:$G$157=IF(AD143="","",AD143))*$P$138:$P$157))</f>
        <v/>
      </c>
    </row>
    <row r="144" spans="1:32">
      <c r="A144" s="1" t="s">
        <v>143</v>
      </c>
      <c r="B144" t="str">
        <f t="shared" si="20"/>
        <v>¬</v>
      </c>
      <c r="D144" s="19"/>
      <c r="E144" s="15" t="s">
        <v>182</v>
      </c>
      <c r="F144" s="3"/>
      <c r="G144" s="3"/>
      <c r="H144" s="67" t="str">
        <f>IFERROR(IF(VLOOKUP(F144,tblManoeuvre[],8,FALSE)=0,"None",VLOOKUP(F144,tblManoeuvre[],8,FALSE)),"None")</f>
        <v>None</v>
      </c>
      <c r="I144" s="67"/>
      <c r="L144" s="4"/>
      <c r="M144" s="4"/>
      <c r="N144" s="4"/>
      <c r="O144" s="61">
        <f t="shared" si="24"/>
        <v>0</v>
      </c>
      <c r="P144" s="60">
        <f t="shared" si="25"/>
        <v>0</v>
      </c>
      <c r="Q144" s="61" t="str">
        <f>_xlfn.IFNA(VLOOKUP($F144,tblInfluence[],3,FALSE),"")</f>
        <v/>
      </c>
      <c r="R144" s="61" t="str">
        <f>_xlfn.IFNA(VLOOKUP($F144,tblInfluence[],4,FALSE),"")</f>
        <v/>
      </c>
      <c r="Y144" s="15" t="s">
        <v>186</v>
      </c>
      <c r="Z144" s="19"/>
      <c r="AA144" s="61" t="str">
        <f t="shared" si="22"/>
        <v/>
      </c>
      <c r="AC144" s="60"/>
      <c r="AD144" s="20"/>
      <c r="AE144" s="20" t="str">
        <f t="shared" si="23"/>
        <v/>
      </c>
      <c r="AF144" s="61" t="str" cm="1">
        <f t="array" ref="AF144">IF(AC144="","",SUMPRODUCT(($F$138:$F$157=AC144)*($G$138:$G$157=IF(AD144="","",AD144))*$P$138:$P$157))</f>
        <v/>
      </c>
    </row>
    <row r="145" spans="1:32">
      <c r="A145" s="1" t="s">
        <v>144</v>
      </c>
      <c r="B145" t="str">
        <f t="shared" ref="B145:B174" si="26">IF(AF2="","¬",AF2)</f>
        <v>Penalise sorcery against you by Resolve. Can't learn blood sorcery.</v>
      </c>
      <c r="D145" s="19"/>
      <c r="E145" s="15" t="s">
        <v>183</v>
      </c>
      <c r="F145" s="3"/>
      <c r="G145" s="3" t="str">
        <f>IFERROR(VLOOKUP(F145,tblManoeuvre[],2,FALSE)&amp;" "&amp;VLOOKUP(F145,tblManoeuvre[],3,FALSE),"")</f>
        <v/>
      </c>
      <c r="H145" s="67" t="str">
        <f>IFERROR(IF(VLOOKUP(F145,tblManoeuvre[],8,FALSE)=0,"None",VLOOKUP(F145,tblManoeuvre[],8,FALSE)),"None")</f>
        <v>None</v>
      </c>
      <c r="I145" s="67"/>
      <c r="L145" s="4"/>
      <c r="M145" s="4"/>
      <c r="N145" s="4"/>
      <c r="O145" s="61">
        <f t="shared" si="24"/>
        <v>0</v>
      </c>
      <c r="P145" s="60">
        <f t="shared" si="25"/>
        <v>0</v>
      </c>
      <c r="Q145" s="61" t="str">
        <f>_xlfn.IFNA(VLOOKUP($F145,tblInfluence[],3,FALSE),"")</f>
        <v/>
      </c>
      <c r="R145" s="61" t="str">
        <f>_xlfn.IFNA(VLOOKUP($F145,tblInfluence[],4,FALSE),"")</f>
        <v/>
      </c>
      <c r="Y145" s="15" t="s">
        <v>187</v>
      </c>
      <c r="Z145" s="19"/>
      <c r="AA145" s="61" t="str">
        <f t="shared" si="22"/>
        <v/>
      </c>
      <c r="AC145" s="60"/>
      <c r="AD145" s="20"/>
      <c r="AE145" s="20" t="str">
        <f t="shared" si="23"/>
        <v/>
      </c>
      <c r="AF145" s="61" t="str" cm="1">
        <f t="array" ref="AF145">IF(AC145="","",SUMPRODUCT(($F$138:$F$157=AC145)*($G$138:$G$157=IF(AD145="","",AD145))*$P$138:$P$157))</f>
        <v/>
      </c>
    </row>
    <row r="146" spans="1:32">
      <c r="A146" s="1" t="s">
        <v>145</v>
      </c>
      <c r="B146" t="str">
        <f t="shared" si="26"/>
        <v>While your Defence is fully available, penalise the use of sorcery around you by your Crusade dots.</v>
      </c>
      <c r="D146" s="19"/>
      <c r="E146" s="15" t="s">
        <v>184</v>
      </c>
      <c r="F146" s="3"/>
      <c r="G146" s="3" t="str">
        <f>IFERROR(VLOOKUP(F146,tblManoeuvre[],2,FALSE)&amp;" "&amp;VLOOKUP(F146,tblManoeuvre[],3,FALSE),"")</f>
        <v/>
      </c>
      <c r="H146" s="67" t="str">
        <f>IFERROR(IF(VLOOKUP(F146,tblManoeuvre[],8,FALSE)=0,"None",VLOOKUP(F146,tblManoeuvre[],8,FALSE)),"None")</f>
        <v>None</v>
      </c>
      <c r="I146" s="67"/>
      <c r="L146" s="4"/>
      <c r="M146" s="4"/>
      <c r="N146" s="4"/>
      <c r="O146" s="61">
        <f t="shared" si="24"/>
        <v>0</v>
      </c>
      <c r="P146" s="60">
        <f t="shared" si="25"/>
        <v>0</v>
      </c>
      <c r="Q146" s="61" t="str">
        <f>_xlfn.IFNA(VLOOKUP($F146,tblInfluence[],3,FALSE),"")</f>
        <v/>
      </c>
      <c r="R146" s="61" t="str">
        <f>_xlfn.IFNA(VLOOKUP($F146,tblInfluence[],4,FALSE),"")</f>
        <v/>
      </c>
      <c r="Y146" s="15" t="s">
        <v>188</v>
      </c>
      <c r="Z146" s="19"/>
      <c r="AA146" s="61" t="str">
        <f t="shared" si="22"/>
        <v/>
      </c>
      <c r="AC146" s="60"/>
      <c r="AD146" s="20"/>
      <c r="AE146" s="20" t="str">
        <f t="shared" si="23"/>
        <v/>
      </c>
      <c r="AF146" s="61" t="str" cm="1">
        <f t="array" ref="AF146">IF(AC146="","",SUMPRODUCT(($F$138:$F$157=AC146)*($G$138:$G$157=IF(AD146="","",AD146))*$P$138:$P$157))</f>
        <v/>
      </c>
    </row>
    <row r="147" spans="1:32">
      <c r="A147" s="1" t="s">
        <v>146</v>
      </c>
      <c r="B147" t="str">
        <f t="shared" si="26"/>
        <v>Make called shots to the throat at no penalty to mute someone.</v>
      </c>
      <c r="D147" s="19"/>
      <c r="E147" s="15" t="s">
        <v>185</v>
      </c>
      <c r="F147" s="3"/>
      <c r="G147" s="3" t="str">
        <f>IFERROR(VLOOKUP(F147,tblManoeuvre[],2,FALSE)&amp;" "&amp;VLOOKUP(F147,tblManoeuvre[],3,FALSE),"")</f>
        <v/>
      </c>
      <c r="H147" s="67" t="str">
        <f>IFERROR(IF(VLOOKUP(F147,tblManoeuvre[],8,FALSE)=0,"None",VLOOKUP(F147,tblManoeuvre[],8,FALSE)),"None")</f>
        <v>None</v>
      </c>
      <c r="I147" s="67"/>
      <c r="L147" s="4"/>
      <c r="M147" s="4"/>
      <c r="N147" s="4"/>
      <c r="O147" s="61">
        <f t="shared" si="24"/>
        <v>0</v>
      </c>
      <c r="P147" s="60">
        <f t="shared" si="25"/>
        <v>0</v>
      </c>
      <c r="Q147" s="61" t="str">
        <f>_xlfn.IFNA(VLOOKUP($F147,tblInfluence[],3,FALSE),"")</f>
        <v/>
      </c>
      <c r="R147" s="61" t="str">
        <f>_xlfn.IFNA(VLOOKUP($F147,tblInfluence[],4,FALSE),"")</f>
        <v/>
      </c>
      <c r="Y147" s="15" t="s">
        <v>189</v>
      </c>
      <c r="Z147" s="19"/>
      <c r="AA147" s="61" t="str">
        <f t="shared" si="22"/>
        <v/>
      </c>
      <c r="AC147" s="60"/>
      <c r="AD147" s="20"/>
      <c r="AE147" s="20" t="str">
        <f t="shared" si="23"/>
        <v/>
      </c>
      <c r="AF147" s="61" t="str" cm="1">
        <f t="array" ref="AF147">IF(AC147="","",SUMPRODUCT(($F$138:$F$157=AC147)*($G$138:$G$157=IF(AD147="","",AD147))*$P$138:$P$157))</f>
        <v/>
      </c>
    </row>
    <row r="148" spans="1:32">
      <c r="A148" s="1" t="s">
        <v>147</v>
      </c>
      <c r="B148" t="str">
        <f t="shared" si="26"/>
        <v>You can use a called shot to deny a vampire's limb the benefits of Physical Intensity.</v>
      </c>
      <c r="D148" s="19"/>
      <c r="E148" s="15" t="s">
        <v>186</v>
      </c>
      <c r="F148" s="3"/>
      <c r="G148" s="3" t="str">
        <f>IFERROR(VLOOKUP(F148,tblManoeuvre[],2,FALSE)&amp;" "&amp;VLOOKUP(F148,tblManoeuvre[],3,FALSE),"")</f>
        <v/>
      </c>
      <c r="H148" s="67" t="str">
        <f>IFERROR(IF(VLOOKUP(F148,tblManoeuvre[],8,FALSE)=0,"None",VLOOKUP(F148,tblManoeuvre[],8,FALSE)),"None")</f>
        <v>None</v>
      </c>
      <c r="I148" s="67"/>
      <c r="L148" s="4"/>
      <c r="M148" s="4"/>
      <c r="N148" s="4"/>
      <c r="O148" s="61">
        <f t="shared" si="24"/>
        <v>0</v>
      </c>
      <c r="P148" s="60">
        <f t="shared" si="25"/>
        <v>0</v>
      </c>
      <c r="Q148" s="61" t="str">
        <f>_xlfn.IFNA(VLOOKUP($F148,tblInfluence[],3,FALSE),"")</f>
        <v/>
      </c>
      <c r="R148" s="61" t="str">
        <f>_xlfn.IFNA(VLOOKUP($F148,tblInfluence[],4,FALSE),"")</f>
        <v/>
      </c>
      <c r="Y148" s="15" t="s">
        <v>190</v>
      </c>
      <c r="Z148" s="19"/>
      <c r="AA148" s="61" t="str">
        <f t="shared" si="22"/>
        <v/>
      </c>
      <c r="AC148" s="60"/>
      <c r="AD148" s="20"/>
      <c r="AE148" s="20" t="str">
        <f t="shared" si="23"/>
        <v/>
      </c>
      <c r="AF148" s="61" t="str" cm="1">
        <f t="array" ref="AF148">IF(AC148="","",SUMPRODUCT(($F$138:$F$157=AC148)*($G$138:$G$157=IF(AD148="","",AD148))*$P$138:$P$157))</f>
        <v/>
      </c>
    </row>
    <row r="149" spans="1:32">
      <c r="A149" s="1" t="s">
        <v>148</v>
      </c>
      <c r="B149" t="str">
        <f t="shared" si="26"/>
        <v>Exchange up to your Weaponry in attack dice to provoke, on hit, a frenzy roll penalised by your exchanged dice.</v>
      </c>
      <c r="D149" s="19"/>
      <c r="E149" s="15" t="s">
        <v>187</v>
      </c>
      <c r="F149" s="3"/>
      <c r="G149" s="3" t="str">
        <f>IFERROR(VLOOKUP(F149,tblManoeuvre[],2,FALSE)&amp;" "&amp;VLOOKUP(F149,tblManoeuvre[],3,FALSE),"")</f>
        <v/>
      </c>
      <c r="H149" s="67" t="str">
        <f>IFERROR(IF(VLOOKUP(F149,tblManoeuvre[],8,FALSE)=0,"None",VLOOKUP(F149,tblManoeuvre[],8,FALSE)),"None")</f>
        <v>None</v>
      </c>
      <c r="I149" s="67"/>
      <c r="L149" s="4"/>
      <c r="M149" s="4"/>
      <c r="N149" s="4"/>
      <c r="O149" s="61">
        <f t="shared" si="24"/>
        <v>0</v>
      </c>
      <c r="P149" s="60">
        <f t="shared" si="25"/>
        <v>0</v>
      </c>
      <c r="Q149" s="61" t="str">
        <f>_xlfn.IFNA(VLOOKUP($F149,tblInfluence[],3,FALSE),"")</f>
        <v/>
      </c>
      <c r="R149" s="61" t="str">
        <f>_xlfn.IFNA(VLOOKUP($F149,tblInfluence[],4,FALSE),"")</f>
        <v/>
      </c>
      <c r="Y149" s="15" t="s">
        <v>191</v>
      </c>
      <c r="Z149" s="19"/>
      <c r="AA149" s="61" t="str">
        <f t="shared" si="22"/>
        <v/>
      </c>
      <c r="AC149" s="60"/>
      <c r="AD149" s="20"/>
      <c r="AE149" s="20" t="str">
        <f t="shared" si="23"/>
        <v/>
      </c>
      <c r="AF149" s="61" t="str" cm="1">
        <f t="array" ref="AF149">IF(AC149="","",SUMPRODUCT(($F$138:$F$157=AC149)*($G$138:$G$157=IF(AD149="","",AD149))*$P$138:$P$157))</f>
        <v/>
      </c>
    </row>
    <row r="150" spans="1:32">
      <c r="A150" s="1" t="s">
        <v>149</v>
      </c>
      <c r="B150" t="str">
        <f t="shared" si="26"/>
        <v>¬</v>
      </c>
      <c r="D150" s="19"/>
      <c r="E150" s="15" t="s">
        <v>188</v>
      </c>
      <c r="F150" s="3"/>
      <c r="G150" s="3" t="str">
        <f>IFERROR(VLOOKUP(F150,tblManoeuvre[],2,FALSE)&amp;" "&amp;VLOOKUP(F150,tblManoeuvre[],3,FALSE),"")</f>
        <v/>
      </c>
      <c r="H150" s="67" t="str">
        <f>IFERROR(IF(VLOOKUP(F150,tblManoeuvre[],8,FALSE)=0,"None",VLOOKUP(F150,tblManoeuvre[],8,FALSE)),"None")</f>
        <v>None</v>
      </c>
      <c r="I150" s="67"/>
      <c r="L150" s="4"/>
      <c r="M150" s="4"/>
      <c r="N150" s="4"/>
      <c r="O150" s="61">
        <f t="shared" si="24"/>
        <v>0</v>
      </c>
      <c r="P150" s="60">
        <f t="shared" si="25"/>
        <v>0</v>
      </c>
      <c r="Q150" s="61" t="str">
        <f>_xlfn.IFNA(VLOOKUP($F150,tblInfluence[],3,FALSE),"")</f>
        <v/>
      </c>
      <c r="R150" s="61" t="str">
        <f>_xlfn.IFNA(VLOOKUP($F150,tblInfluence[],4,FALSE),"")</f>
        <v/>
      </c>
      <c r="Y150" s="15" t="s">
        <v>192</v>
      </c>
      <c r="Z150" s="19"/>
      <c r="AA150" s="61" t="str">
        <f t="shared" si="22"/>
        <v/>
      </c>
      <c r="AC150" s="60"/>
      <c r="AD150" s="20"/>
      <c r="AE150" s="20" t="str">
        <f t="shared" si="23"/>
        <v/>
      </c>
      <c r="AF150" s="61" t="str" cm="1">
        <f t="array" ref="AF150">IF(AC150="","",SUMPRODUCT(($F$138:$F$157=AC150)*($G$138:$G$157=IF(AD150="","",AD150))*$P$138:$P$157))</f>
        <v/>
      </c>
    </row>
    <row r="151" spans="1:32">
      <c r="A151" s="1" t="s">
        <v>150</v>
      </c>
      <c r="B151" t="str">
        <f t="shared" si="26"/>
        <v>¬</v>
      </c>
      <c r="D151" s="19"/>
      <c r="E151" s="15" t="s">
        <v>189</v>
      </c>
      <c r="F151" s="3"/>
      <c r="G151" s="3" t="str">
        <f>IFERROR(VLOOKUP(F151,tblManoeuvre[],2,FALSE)&amp;" "&amp;VLOOKUP(F151,tblManoeuvre[],3,FALSE),"")</f>
        <v/>
      </c>
      <c r="H151" s="67" t="str">
        <f>IFERROR(IF(VLOOKUP(F151,tblManoeuvre[],8,FALSE)=0,"None",VLOOKUP(F151,tblManoeuvre[],8,FALSE)),"None")</f>
        <v>None</v>
      </c>
      <c r="I151" s="67"/>
      <c r="L151" s="4"/>
      <c r="M151" s="4"/>
      <c r="N151" s="4"/>
      <c r="O151" s="61">
        <f t="shared" si="24"/>
        <v>0</v>
      </c>
      <c r="P151" s="60">
        <f t="shared" si="25"/>
        <v>0</v>
      </c>
      <c r="Q151" s="61" t="str">
        <f>_xlfn.IFNA(VLOOKUP($F151,tblInfluence[],3,FALSE),"")</f>
        <v/>
      </c>
      <c r="R151" s="61" t="str">
        <f>_xlfn.IFNA(VLOOKUP($F151,tblInfluence[],4,FALSE),"")</f>
        <v/>
      </c>
      <c r="Y151" s="15" t="s">
        <v>193</v>
      </c>
      <c r="Z151" s="19"/>
      <c r="AA151" s="61" t="str">
        <f t="shared" si="22"/>
        <v/>
      </c>
      <c r="AC151" s="60"/>
      <c r="AD151" s="20"/>
      <c r="AE151" s="20" t="str">
        <f t="shared" si="23"/>
        <v/>
      </c>
      <c r="AF151" s="61" t="str" cm="1">
        <f t="array" ref="AF151">IF(AC151="","",SUMPRODUCT(($F$138:$F$157=AC151)*($G$138:$G$157=IF(AD151="","",AD151))*$P$138:$P$157))</f>
        <v/>
      </c>
    </row>
    <row r="152" spans="1:32">
      <c r="A152" s="1" t="s">
        <v>151</v>
      </c>
      <c r="B152" t="str">
        <f t="shared" si="26"/>
        <v>¬</v>
      </c>
      <c r="D152" s="19"/>
      <c r="E152" s="15" t="s">
        <v>190</v>
      </c>
      <c r="F152" s="3"/>
      <c r="G152" s="3" t="str">
        <f>IFERROR(VLOOKUP(F152,tblManoeuvre[],2,FALSE)&amp;" "&amp;VLOOKUP(F152,tblManoeuvre[],3,FALSE),"")</f>
        <v/>
      </c>
      <c r="H152" s="67" t="str">
        <f>IFERROR(IF(VLOOKUP(F152,tblManoeuvre[],8,FALSE)=0,"None",VLOOKUP(F152,tblManoeuvre[],8,FALSE)),"None")</f>
        <v>None</v>
      </c>
      <c r="I152" s="67"/>
      <c r="L152" s="4"/>
      <c r="M152" s="4"/>
      <c r="N152" s="4"/>
      <c r="O152" s="61">
        <f t="shared" si="24"/>
        <v>0</v>
      </c>
      <c r="P152" s="60">
        <f t="shared" si="25"/>
        <v>0</v>
      </c>
      <c r="Q152" s="61" t="str">
        <f>_xlfn.IFNA(VLOOKUP($F152,tblInfluence[],3,FALSE),"")</f>
        <v/>
      </c>
      <c r="R152" s="61" t="str">
        <f>_xlfn.IFNA(VLOOKUP($F152,tblInfluence[],4,FALSE),"")</f>
        <v/>
      </c>
      <c r="Y152" s="15" t="s">
        <v>194</v>
      </c>
      <c r="Z152" s="19"/>
      <c r="AA152" s="61" t="str">
        <f t="shared" si="22"/>
        <v/>
      </c>
      <c r="AC152" s="60"/>
      <c r="AD152" s="20"/>
      <c r="AE152" s="20" t="str">
        <f t="shared" si="23"/>
        <v/>
      </c>
      <c r="AF152" s="61" t="str" cm="1">
        <f t="array" ref="AF152">IF(AC152="","",SUMPRODUCT(($F$138:$F$157=AC152)*($G$138:$G$157=IF(AD152="","",AD152))*$P$138:$P$157))</f>
        <v/>
      </c>
    </row>
    <row r="153" spans="1:32">
      <c r="A153" s="1" t="s">
        <v>152</v>
      </c>
      <c r="B153" t="str">
        <f t="shared" si="26"/>
        <v>¬</v>
      </c>
      <c r="D153" s="19"/>
      <c r="E153" s="15" t="s">
        <v>191</v>
      </c>
      <c r="F153" s="3"/>
      <c r="G153" s="3" t="str">
        <f>IFERROR(VLOOKUP(F153,tblManoeuvre[],2,FALSE)&amp;" "&amp;VLOOKUP(F153,tblManoeuvre[],3,FALSE),"")</f>
        <v/>
      </c>
      <c r="H153" s="67" t="str">
        <f>IFERROR(IF(VLOOKUP(F153,tblManoeuvre[],8,FALSE)=0,"None",VLOOKUP(F153,tblManoeuvre[],8,FALSE)),"None")</f>
        <v>None</v>
      </c>
      <c r="I153" s="67"/>
      <c r="L153" s="4"/>
      <c r="M153" s="4"/>
      <c r="N153" s="4"/>
      <c r="O153" s="61">
        <f t="shared" si="24"/>
        <v>0</v>
      </c>
      <c r="P153" s="60">
        <f t="shared" si="25"/>
        <v>0</v>
      </c>
      <c r="Q153" s="61" t="str">
        <f>_xlfn.IFNA(VLOOKUP($F153,tblInfluence[],3,FALSE),"")</f>
        <v/>
      </c>
      <c r="R153" s="61" t="str">
        <f>_xlfn.IFNA(VLOOKUP($F153,tblInfluence[],4,FALSE),"")</f>
        <v/>
      </c>
      <c r="Y153" s="15" t="s">
        <v>195</v>
      </c>
      <c r="Z153" s="19"/>
      <c r="AA153" s="61" t="str">
        <f t="shared" si="22"/>
        <v/>
      </c>
      <c r="AC153" s="60"/>
      <c r="AD153" s="20"/>
      <c r="AE153" s="20" t="str">
        <f t="shared" si="23"/>
        <v/>
      </c>
      <c r="AF153" s="61" t="str" cm="1">
        <f t="array" ref="AF153">IF(AC153="","",SUMPRODUCT(($F$138:$F$157=AC153)*($G$138:$G$157=IF(AD153="","",AD153))*$P$138:$P$157))</f>
        <v/>
      </c>
    </row>
    <row r="154" spans="1:32">
      <c r="A154" s="1" t="s">
        <v>153</v>
      </c>
      <c r="B154" t="str">
        <f t="shared" si="26"/>
        <v>¬</v>
      </c>
      <c r="D154" s="19"/>
      <c r="E154" s="15" t="s">
        <v>192</v>
      </c>
      <c r="F154" s="3"/>
      <c r="G154" s="3" t="str">
        <f>IFERROR(VLOOKUP(F154,tblManoeuvre[],2,FALSE)&amp;" "&amp;VLOOKUP(F154,tblManoeuvre[],3,FALSE),"")</f>
        <v/>
      </c>
      <c r="H154" s="67" t="str">
        <f>IFERROR(IF(VLOOKUP(F154,tblManoeuvre[],8,FALSE)=0,"None",VLOOKUP(F154,tblManoeuvre[],8,FALSE)),"None")</f>
        <v>None</v>
      </c>
      <c r="I154" s="67"/>
      <c r="L154" s="4"/>
      <c r="M154" s="4"/>
      <c r="N154" s="4"/>
      <c r="O154" s="61">
        <f t="shared" si="24"/>
        <v>0</v>
      </c>
      <c r="P154" s="60">
        <f t="shared" si="25"/>
        <v>0</v>
      </c>
      <c r="Q154" s="61" t="str">
        <f>_xlfn.IFNA(VLOOKUP($F154,tblInfluence[],3,FALSE),"")</f>
        <v/>
      </c>
      <c r="R154" s="61" t="str">
        <f>_xlfn.IFNA(VLOOKUP($F154,tblInfluence[],4,FALSE),"")</f>
        <v/>
      </c>
    </row>
    <row r="155" spans="1:32">
      <c r="A155" s="1" t="s">
        <v>154</v>
      </c>
      <c r="B155" t="str">
        <f t="shared" si="26"/>
        <v>¬</v>
      </c>
      <c r="D155" s="19"/>
      <c r="E155" s="15" t="s">
        <v>193</v>
      </c>
      <c r="F155" s="3"/>
      <c r="G155" s="3" t="str">
        <f>IFERROR(VLOOKUP(F155,tblManoeuvre[],2,FALSE)&amp;" "&amp;VLOOKUP(F155,tblManoeuvre[],3,FALSE),"")</f>
        <v/>
      </c>
      <c r="H155" s="67" t="str">
        <f>IFERROR(IF(VLOOKUP(F155,tblManoeuvre[],8,FALSE)=0,"None",VLOOKUP(F155,tblManoeuvre[],8,FALSE)),"None")</f>
        <v>None</v>
      </c>
      <c r="I155" s="67"/>
      <c r="L155" s="4"/>
      <c r="M155" s="4"/>
      <c r="N155" s="4"/>
      <c r="O155" s="61">
        <f t="shared" si="24"/>
        <v>0</v>
      </c>
      <c r="P155" s="60">
        <f t="shared" si="25"/>
        <v>0</v>
      </c>
      <c r="Q155" s="61" t="str">
        <f>_xlfn.IFNA(VLOOKUP($F155,tblInfluence[],3,FALSE),"")</f>
        <v/>
      </c>
      <c r="R155" s="61" t="str">
        <f>_xlfn.IFNA(VLOOKUP($F155,tblInfluence[],4,FALSE),"")</f>
        <v/>
      </c>
      <c r="AE155" s="61">
        <f>IF(P160=5,1,0)</f>
        <v>0</v>
      </c>
    </row>
    <row r="156" spans="1:32">
      <c r="A156" s="1" t="s">
        <v>155</v>
      </c>
      <c r="B156" t="str">
        <f t="shared" si="26"/>
        <v>¬</v>
      </c>
      <c r="D156" s="19"/>
      <c r="E156" s="15" t="s">
        <v>194</v>
      </c>
      <c r="F156" s="3"/>
      <c r="G156" s="3" t="str">
        <f>IFERROR(VLOOKUP(F156,tblManoeuvre[],2,FALSE)&amp;" "&amp;VLOOKUP(F156,tblManoeuvre[],3,FALSE),"")</f>
        <v/>
      </c>
      <c r="H156" s="67" t="str">
        <f>IFERROR(IF(VLOOKUP(F156,tblManoeuvre[],8,FALSE)=0,"None",VLOOKUP(F156,tblManoeuvre[],8,FALSE)),"None")</f>
        <v>None</v>
      </c>
      <c r="I156" s="67"/>
      <c r="L156" s="4"/>
      <c r="M156" s="4"/>
      <c r="N156" s="4"/>
      <c r="O156" s="61">
        <f t="shared" si="24"/>
        <v>0</v>
      </c>
      <c r="P156" s="60">
        <f t="shared" si="25"/>
        <v>0</v>
      </c>
      <c r="Q156" s="61" t="str">
        <f>_xlfn.IFNA(VLOOKUP($F156,tblInfluence[],3,FALSE),"")</f>
        <v/>
      </c>
      <c r="R156" s="61" t="str">
        <f>_xlfn.IFNA(VLOOKUP($F156,tblInfluence[],4,FALSE),"")</f>
        <v/>
      </c>
      <c r="AE156" s="61" t="b">
        <f>COUNTIF(AA2:AA21,"*Honey With Vinegar*")&gt;0</f>
        <v>0</v>
      </c>
    </row>
    <row r="157" spans="1:32">
      <c r="A157" s="1" t="s">
        <v>156</v>
      </c>
      <c r="B157" t="str">
        <f t="shared" si="26"/>
        <v>¬</v>
      </c>
      <c r="D157" s="19"/>
      <c r="E157" s="15" t="s">
        <v>195</v>
      </c>
      <c r="F157" s="3"/>
      <c r="G157" s="3" t="str">
        <f>IFERROR(VLOOKUP(F157,tblManoeuvre[],2,FALSE)&amp;" "&amp;VLOOKUP(F157,tblManoeuvre[],3,FALSE),"")</f>
        <v/>
      </c>
      <c r="H157" s="67" t="str">
        <f>IFERROR(IF(VLOOKUP(F157,tblManoeuvre[],8,FALSE)=0,"None",VLOOKUP(F157,tblManoeuvre[],8,FALSE)),"None")</f>
        <v>None</v>
      </c>
      <c r="I157" s="67"/>
      <c r="L157" s="4"/>
      <c r="M157" s="4"/>
      <c r="N157" s="4"/>
      <c r="O157" s="61">
        <f t="shared" si="24"/>
        <v>0</v>
      </c>
      <c r="P157" s="60">
        <f t="shared" si="25"/>
        <v>0</v>
      </c>
      <c r="Q157" s="61" t="str">
        <f>_xlfn.IFNA(VLOOKUP($F157,tblInfluence[],3,FALSE),"")</f>
        <v/>
      </c>
      <c r="R157" s="61" t="str">
        <f>_xlfn.IFNA(VLOOKUP($F157,tblInfluence[],4,FALSE),"")</f>
        <v/>
      </c>
    </row>
    <row r="158" spans="1:32">
      <c r="A158" s="1" t="s">
        <v>157</v>
      </c>
      <c r="B158" t="str">
        <f t="shared" si="26"/>
        <v>¬</v>
      </c>
    </row>
    <row r="159" spans="1:32">
      <c r="A159" s="1" t="s">
        <v>158</v>
      </c>
      <c r="B159" t="str">
        <f t="shared" si="26"/>
        <v>¬</v>
      </c>
      <c r="D159" s="16" t="s">
        <v>1486</v>
      </c>
      <c r="E159" s="17"/>
      <c r="F159" s="17" t="s">
        <v>1487</v>
      </c>
      <c r="G159" s="17"/>
      <c r="H159" s="17"/>
      <c r="I159" s="17"/>
    </row>
    <row r="160" spans="1:32">
      <c r="A160" s="1" t="s">
        <v>159</v>
      </c>
      <c r="B160" t="str">
        <f t="shared" si="26"/>
        <v>¬</v>
      </c>
      <c r="D160" s="19"/>
      <c r="E160" s="15" t="s">
        <v>98</v>
      </c>
      <c r="F160" s="3"/>
      <c r="G160" s="60"/>
      <c r="H160" s="60"/>
      <c r="I160" s="60"/>
      <c r="L160" s="4"/>
      <c r="M160" s="4"/>
      <c r="N160" s="4"/>
      <c r="O160" s="61">
        <f>N160</f>
        <v>0</v>
      </c>
      <c r="P160" s="60">
        <f>MIN(SUM(L160,M160,O160),R160)</f>
        <v>0</v>
      </c>
      <c r="Q160" s="61">
        <v>1</v>
      </c>
      <c r="R160" s="61">
        <v>5</v>
      </c>
    </row>
    <row r="161" spans="1:18">
      <c r="A161" s="1" t="s">
        <v>160</v>
      </c>
      <c r="B161" t="str">
        <f t="shared" si="26"/>
        <v>¬</v>
      </c>
      <c r="D161" s="19"/>
      <c r="E161" s="15" t="s">
        <v>100</v>
      </c>
      <c r="F161" s="3"/>
      <c r="G161" s="60"/>
      <c r="H161" s="60"/>
      <c r="I161" s="60"/>
      <c r="L161" s="4"/>
      <c r="M161" s="4"/>
      <c r="N161" s="4"/>
      <c r="O161" s="61">
        <f>N161</f>
        <v>0</v>
      </c>
      <c r="P161" s="60">
        <f>MIN(SUM(L161,M161,O161),R161)</f>
        <v>0</v>
      </c>
      <c r="Q161" s="61">
        <v>1</v>
      </c>
      <c r="R161" s="61">
        <v>5</v>
      </c>
    </row>
    <row r="162" spans="1:18">
      <c r="A162" s="1" t="s">
        <v>161</v>
      </c>
      <c r="B162" t="str">
        <f t="shared" si="26"/>
        <v>¬</v>
      </c>
    </row>
    <row r="163" spans="1:18" ht="15.75" thickBot="1">
      <c r="A163" s="1" t="s">
        <v>162</v>
      </c>
      <c r="B163" t="str">
        <f t="shared" si="26"/>
        <v>¬</v>
      </c>
      <c r="D163" s="14" t="s">
        <v>1488</v>
      </c>
      <c r="E163" s="14"/>
      <c r="F163" s="14"/>
      <c r="G163" s="14"/>
      <c r="H163" s="14"/>
      <c r="I163" s="14"/>
      <c r="N163" s="60">
        <f>SUM(N165:N174)+SUM(N177:N181)+SUM(N184:N185)+SUM(N187:N191)+SUM(N194:N203)</f>
        <v>3</v>
      </c>
    </row>
    <row r="164" spans="1:18">
      <c r="A164" s="1" t="s">
        <v>163</v>
      </c>
      <c r="B164" t="str">
        <f t="shared" si="26"/>
        <v>¬</v>
      </c>
      <c r="D164" s="16" t="s">
        <v>1489</v>
      </c>
      <c r="E164" s="15" t="s">
        <v>1490</v>
      </c>
      <c r="F164" s="61" t="str">
        <f>IFERROR(IF($F$8="",VLOOKUP($F$7,tblClans[],5,FALSE),VLOOKUP($F$8,tblBloodlines[],5,FALSE)),"")</f>
        <v>Animalism</v>
      </c>
      <c r="G164" s="61" t="str">
        <f>IFERROR(IF($F$8="",VLOOKUP($F$7,tblClans[],6,FALSE),VLOOKUP($F$8,tblBloodlines[],6,FALSE)),"")</f>
        <v>Protean</v>
      </c>
      <c r="H164" s="61" t="str">
        <f>IFERROR(IF($F$8="",VLOOKUP($F$7,tblClans[],7,FALSE),VLOOKUP($F$8,tblBloodlines[],7,FALSE)),"")</f>
        <v>Resilience</v>
      </c>
      <c r="I164" s="61" t="str">
        <f>IFERROR(IF($F$8="",VLOOKUP($F$7,tblClans[],8,FALSE),VLOOKUP($F$8,tblBloodlines[],8,FALSE)),"")</f>
        <v/>
      </c>
      <c r="L164" s="60">
        <f>3-SUM(L165:L174)-SUM(L184:L185)</f>
        <v>0</v>
      </c>
    </row>
    <row r="165" spans="1:18">
      <c r="A165" s="1" t="s">
        <v>164</v>
      </c>
      <c r="B165" t="str">
        <f t="shared" si="26"/>
        <v>¬</v>
      </c>
      <c r="D165" s="19"/>
      <c r="E165" s="15" t="s">
        <v>236</v>
      </c>
      <c r="F165" s="19"/>
      <c r="G165" s="19"/>
      <c r="H165" s="19"/>
      <c r="I165" s="19"/>
      <c r="L165" s="4"/>
      <c r="N165" s="4">
        <v>3</v>
      </c>
      <c r="O165" s="61">
        <f t="shared" ref="O165:O174" si="27">ROUNDDOWN(IF(COUNTIF($F$164:$I$164,$E165)&gt;0,N165/3,N165/4),0)</f>
        <v>1</v>
      </c>
      <c r="P165" s="60">
        <f>MIN(SUM(L165,O165),R165)</f>
        <v>1</v>
      </c>
      <c r="Q165" s="61">
        <v>0</v>
      </c>
      <c r="R165" s="61">
        <v>5</v>
      </c>
    </row>
    <row r="166" spans="1:18">
      <c r="A166" s="1" t="s">
        <v>165</v>
      </c>
      <c r="B166" t="str">
        <f t="shared" si="26"/>
        <v>¬</v>
      </c>
      <c r="D166" s="19"/>
      <c r="E166" s="15" t="s">
        <v>237</v>
      </c>
      <c r="F166" s="19"/>
      <c r="G166" s="19"/>
      <c r="H166" s="19"/>
      <c r="I166" s="19"/>
      <c r="L166" s="4"/>
      <c r="N166" s="4"/>
      <c r="O166" s="61">
        <f t="shared" si="27"/>
        <v>0</v>
      </c>
      <c r="P166" s="60">
        <f t="shared" ref="P166:P174" si="28">MIN(SUM(L166,O166),R166)</f>
        <v>0</v>
      </c>
      <c r="Q166" s="61">
        <v>0</v>
      </c>
      <c r="R166" s="61">
        <v>5</v>
      </c>
    </row>
    <row r="167" spans="1:18">
      <c r="A167" s="1" t="s">
        <v>166</v>
      </c>
      <c r="B167" t="str">
        <f t="shared" si="26"/>
        <v>¬</v>
      </c>
      <c r="D167" s="19"/>
      <c r="E167" s="15" t="s">
        <v>238</v>
      </c>
      <c r="F167" s="19"/>
      <c r="G167" s="19"/>
      <c r="H167" s="19"/>
      <c r="I167" s="19"/>
      <c r="L167" s="4"/>
      <c r="N167" s="4"/>
      <c r="O167" s="61">
        <f t="shared" si="27"/>
        <v>0</v>
      </c>
      <c r="P167" s="60">
        <f t="shared" si="28"/>
        <v>0</v>
      </c>
      <c r="Q167" s="61">
        <v>0</v>
      </c>
      <c r="R167" s="61">
        <v>5</v>
      </c>
    </row>
    <row r="168" spans="1:18">
      <c r="A168" s="1" t="s">
        <v>167</v>
      </c>
      <c r="B168" t="str">
        <f t="shared" si="26"/>
        <v>¬</v>
      </c>
      <c r="D168" s="19"/>
      <c r="E168" s="15" t="s">
        <v>239</v>
      </c>
      <c r="F168" s="19"/>
      <c r="G168" s="19"/>
      <c r="H168" s="19"/>
      <c r="I168" s="19"/>
      <c r="L168" s="4"/>
      <c r="N168" s="4"/>
      <c r="O168" s="61">
        <f t="shared" si="27"/>
        <v>0</v>
      </c>
      <c r="P168" s="60">
        <f t="shared" si="28"/>
        <v>0</v>
      </c>
      <c r="Q168" s="61">
        <v>0</v>
      </c>
      <c r="R168" s="61">
        <v>5</v>
      </c>
    </row>
    <row r="169" spans="1:18">
      <c r="A169" s="1" t="s">
        <v>168</v>
      </c>
      <c r="B169" t="str">
        <f t="shared" si="26"/>
        <v>¬</v>
      </c>
      <c r="D169" s="19"/>
      <c r="E169" s="15" t="s">
        <v>240</v>
      </c>
      <c r="F169" s="19"/>
      <c r="G169" s="19"/>
      <c r="H169" s="19"/>
      <c r="I169" s="19"/>
      <c r="L169" s="4"/>
      <c r="N169" s="4"/>
      <c r="O169" s="61">
        <f t="shared" si="27"/>
        <v>0</v>
      </c>
      <c r="P169" s="60">
        <f t="shared" si="28"/>
        <v>0</v>
      </c>
      <c r="Q169" s="61">
        <v>0</v>
      </c>
      <c r="R169" s="61">
        <v>5</v>
      </c>
    </row>
    <row r="170" spans="1:18">
      <c r="A170" s="1" t="s">
        <v>169</v>
      </c>
      <c r="B170" t="str">
        <f t="shared" si="26"/>
        <v>¬</v>
      </c>
      <c r="D170" s="19"/>
      <c r="E170" s="15" t="s">
        <v>241</v>
      </c>
      <c r="F170" s="19"/>
      <c r="G170" s="19"/>
      <c r="H170" s="19"/>
      <c r="I170" s="19"/>
      <c r="L170" s="4"/>
      <c r="N170" s="4"/>
      <c r="O170" s="61">
        <f t="shared" si="27"/>
        <v>0</v>
      </c>
      <c r="P170" s="60">
        <f t="shared" si="28"/>
        <v>0</v>
      </c>
      <c r="Q170" s="61">
        <v>0</v>
      </c>
      <c r="R170" s="61">
        <v>5</v>
      </c>
    </row>
    <row r="171" spans="1:18">
      <c r="A171" s="1" t="s">
        <v>170</v>
      </c>
      <c r="B171" t="str">
        <f t="shared" si="26"/>
        <v>¬</v>
      </c>
      <c r="D171" s="19"/>
      <c r="E171" s="15" t="s">
        <v>242</v>
      </c>
      <c r="F171" s="19"/>
      <c r="G171" s="19"/>
      <c r="H171" s="19"/>
      <c r="I171" s="19"/>
      <c r="L171" s="4"/>
      <c r="N171" s="4"/>
      <c r="O171" s="61">
        <f t="shared" si="27"/>
        <v>0</v>
      </c>
      <c r="P171" s="60">
        <f t="shared" si="28"/>
        <v>0</v>
      </c>
      <c r="Q171" s="61">
        <v>0</v>
      </c>
      <c r="R171" s="61">
        <v>5</v>
      </c>
    </row>
    <row r="172" spans="1:18">
      <c r="A172" s="1" t="s">
        <v>171</v>
      </c>
      <c r="B172" t="str">
        <f t="shared" si="26"/>
        <v>¬</v>
      </c>
      <c r="D172" s="19"/>
      <c r="E172" s="15" t="s">
        <v>243</v>
      </c>
      <c r="F172" s="19"/>
      <c r="G172" s="19"/>
      <c r="H172" s="19"/>
      <c r="I172" s="19"/>
      <c r="L172" s="4">
        <v>1</v>
      </c>
      <c r="N172" s="4"/>
      <c r="O172" s="61">
        <f t="shared" si="27"/>
        <v>0</v>
      </c>
      <c r="P172" s="60">
        <f t="shared" si="28"/>
        <v>1</v>
      </c>
      <c r="Q172" s="61">
        <v>0</v>
      </c>
      <c r="R172" s="61">
        <v>5</v>
      </c>
    </row>
    <row r="173" spans="1:18">
      <c r="A173" s="1" t="s">
        <v>172</v>
      </c>
      <c r="B173" t="str">
        <f t="shared" si="26"/>
        <v>¬</v>
      </c>
      <c r="D173" s="19"/>
      <c r="E173" s="15" t="s">
        <v>244</v>
      </c>
      <c r="F173" s="19"/>
      <c r="G173" s="19"/>
      <c r="H173" s="19"/>
      <c r="I173" s="19"/>
      <c r="L173" s="4">
        <v>2</v>
      </c>
      <c r="N173" s="4"/>
      <c r="O173" s="61">
        <f t="shared" si="27"/>
        <v>0</v>
      </c>
      <c r="P173" s="60">
        <f t="shared" si="28"/>
        <v>2</v>
      </c>
      <c r="Q173" s="61">
        <v>0</v>
      </c>
      <c r="R173" s="61">
        <v>5</v>
      </c>
    </row>
    <row r="174" spans="1:18">
      <c r="A174" s="1" t="s">
        <v>173</v>
      </c>
      <c r="B174" t="str">
        <f t="shared" si="26"/>
        <v>¬</v>
      </c>
      <c r="D174" s="19"/>
      <c r="E174" s="15" t="s">
        <v>245</v>
      </c>
      <c r="F174" s="19"/>
      <c r="G174" s="19"/>
      <c r="H174" s="19"/>
      <c r="I174" s="19"/>
      <c r="L174" s="4"/>
      <c r="N174" s="4"/>
      <c r="O174" s="61">
        <f t="shared" si="27"/>
        <v>0</v>
      </c>
      <c r="P174" s="60">
        <f t="shared" si="28"/>
        <v>0</v>
      </c>
      <c r="Q174" s="61">
        <v>0</v>
      </c>
      <c r="R174" s="61">
        <v>5</v>
      </c>
    </row>
    <row r="175" spans="1:18">
      <c r="A175" s="1" t="s">
        <v>174</v>
      </c>
      <c r="B175" t="str">
        <f>_xlfn.CONCAT(I137-H137," / ",I137)</f>
        <v>0 / 5</v>
      </c>
    </row>
    <row r="176" spans="1:18">
      <c r="A176" s="1" t="s">
        <v>175</v>
      </c>
      <c r="B176" t="str">
        <f>REPT("□",I137-H137) &amp; REPT("■",H137)</f>
        <v>■■■■■</v>
      </c>
      <c r="D176" s="16" t="s">
        <v>1491</v>
      </c>
      <c r="E176" s="16"/>
      <c r="F176" s="16"/>
      <c r="G176" s="16"/>
      <c r="H176" s="16"/>
      <c r="I176" s="16"/>
    </row>
    <row r="177" spans="1:18">
      <c r="A177" s="1" t="s">
        <v>176</v>
      </c>
      <c r="B177" t="str">
        <f t="shared" ref="B177:B196" si="29">IF(AC134="","¬",AC134)</f>
        <v>¬</v>
      </c>
      <c r="D177" s="19"/>
      <c r="E177" s="15" t="s">
        <v>1492</v>
      </c>
      <c r="F177" s="3"/>
      <c r="G177" s="19"/>
      <c r="H177" s="72" t="str">
        <f>IFERROR(IF(VLOOKUP(F177,tblDisciplines[],14,FALSE)=0,"None",VLOOKUP(F177,tblDisciplines[],14,FALSE)),"None")</f>
        <v>None</v>
      </c>
      <c r="I177" s="73"/>
      <c r="N177" s="4"/>
      <c r="O177" s="61">
        <f>N177</f>
        <v>0</v>
      </c>
      <c r="P177" s="60" t="str">
        <f>IF(O177=R177,O177,"")</f>
        <v/>
      </c>
      <c r="R177" s="61" t="str">
        <f>_xlfn.IFNA(VLOOKUP(F177,tblDisciplines[],15,FALSE),"")</f>
        <v/>
      </c>
    </row>
    <row r="178" spans="1:18">
      <c r="A178" s="1" t="s">
        <v>177</v>
      </c>
      <c r="B178" t="str">
        <f t="shared" si="29"/>
        <v>¬</v>
      </c>
      <c r="D178" s="19"/>
      <c r="E178" s="15" t="s">
        <v>1493</v>
      </c>
      <c r="F178" s="3"/>
      <c r="G178" s="19"/>
      <c r="H178" s="72" t="str">
        <f>IFERROR(IF(VLOOKUP(F178,tblDisciplines[],14,FALSE)=0,"None",VLOOKUP(F178,tblDisciplines[],14,FALSE)),"None")</f>
        <v>None</v>
      </c>
      <c r="I178" s="73"/>
      <c r="N178" s="4"/>
      <c r="O178" s="61">
        <f>N178</f>
        <v>0</v>
      </c>
      <c r="P178" s="60" t="str">
        <f>IF(O178=R178,O178,"")</f>
        <v/>
      </c>
      <c r="R178" s="61" t="str">
        <f>_xlfn.IFNA(VLOOKUP(F178,tblDisciplines[],15,FALSE),"")</f>
        <v/>
      </c>
    </row>
    <row r="179" spans="1:18">
      <c r="A179" s="1" t="s">
        <v>178</v>
      </c>
      <c r="B179" t="str">
        <f t="shared" si="29"/>
        <v>¬</v>
      </c>
      <c r="D179" s="19"/>
      <c r="E179" s="15" t="s">
        <v>1494</v>
      </c>
      <c r="F179" s="3"/>
      <c r="G179" s="19"/>
      <c r="H179" s="72" t="str">
        <f>IFERROR(IF(VLOOKUP(F179,tblDisciplines[],14,FALSE)=0,"None",VLOOKUP(F179,tblDisciplines[],14,FALSE)),"None")</f>
        <v>None</v>
      </c>
      <c r="I179" s="73"/>
      <c r="N179" s="4"/>
      <c r="O179" s="61">
        <f>N179</f>
        <v>0</v>
      </c>
      <c r="P179" s="60" t="str">
        <f>IF(O179=R179,O179,"")</f>
        <v/>
      </c>
      <c r="R179" s="61" t="str">
        <f>_xlfn.IFNA(VLOOKUP(F179,tblDisciplines[],15,FALSE),"")</f>
        <v/>
      </c>
    </row>
    <row r="180" spans="1:18">
      <c r="A180" s="1" t="s">
        <v>179</v>
      </c>
      <c r="B180" t="str">
        <f t="shared" si="29"/>
        <v>¬</v>
      </c>
      <c r="D180" s="19"/>
      <c r="E180" s="15" t="s">
        <v>1495</v>
      </c>
      <c r="F180" s="3"/>
      <c r="G180" s="19"/>
      <c r="H180" s="72" t="str">
        <f>IFERROR(IF(VLOOKUP(F180,tblDisciplines[],14,FALSE)=0,"None",VLOOKUP(F180,tblDisciplines[],14,FALSE)),"None")</f>
        <v>None</v>
      </c>
      <c r="I180" s="73"/>
      <c r="N180" s="4"/>
      <c r="O180" s="61">
        <f>N180</f>
        <v>0</v>
      </c>
      <c r="P180" s="60" t="str">
        <f>IF(O180=R180,O180,"")</f>
        <v/>
      </c>
      <c r="R180" s="61" t="str">
        <f>_xlfn.IFNA(VLOOKUP(F180,tblDisciplines[],15,FALSE),"")</f>
        <v/>
      </c>
    </row>
    <row r="181" spans="1:18">
      <c r="A181" s="1" t="s">
        <v>180</v>
      </c>
      <c r="B181" t="str">
        <f t="shared" si="29"/>
        <v>¬</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29"/>
        <v>¬</v>
      </c>
    </row>
    <row r="183" spans="1:18">
      <c r="A183" s="1" t="s">
        <v>182</v>
      </c>
      <c r="B183" t="str">
        <f t="shared" si="29"/>
        <v>¬</v>
      </c>
      <c r="D183" s="16" t="s">
        <v>1497</v>
      </c>
      <c r="E183" s="16"/>
      <c r="F183" s="16"/>
      <c r="G183" s="16"/>
      <c r="H183" s="16"/>
      <c r="I183" s="16"/>
    </row>
    <row r="184" spans="1:18">
      <c r="A184" s="1" t="s">
        <v>183</v>
      </c>
      <c r="B184" t="str">
        <f t="shared" si="29"/>
        <v>¬</v>
      </c>
      <c r="D184" s="19"/>
      <c r="E184" s="15" t="s">
        <v>246</v>
      </c>
      <c r="F184" s="19"/>
      <c r="G184" s="19"/>
      <c r="H184" s="19"/>
      <c r="I184" s="60" t="b">
        <f>IF(OR(F$9="Circle of the Crone",COUNTIF(F$79:F$93,"Chorister")&gt;0),TRUE,FALSE)</f>
        <v>0</v>
      </c>
      <c r="L184" s="4"/>
      <c r="N184" s="4"/>
      <c r="O184" s="61">
        <f>ROUNDDOWN(N184/4,0)</f>
        <v>0</v>
      </c>
      <c r="P184" s="60">
        <f>SUM(L184,O184)</f>
        <v>0</v>
      </c>
      <c r="Q184" s="61">
        <v>0</v>
      </c>
      <c r="R184" s="61">
        <v>5</v>
      </c>
    </row>
    <row r="185" spans="1:18">
      <c r="A185" s="1" t="s">
        <v>184</v>
      </c>
      <c r="B185" t="str">
        <f t="shared" si="29"/>
        <v>¬</v>
      </c>
      <c r="D185" s="19"/>
      <c r="E185" s="15" t="s">
        <v>247</v>
      </c>
      <c r="F185" s="19"/>
      <c r="G185" s="19"/>
      <c r="H185" s="19"/>
      <c r="I185" s="60" t="b">
        <f>IF(OR(F$9="Lancea et Sanctum",COUNTIF(F$79:F$93,"Laity")&gt;0),TRUE,FALSE)</f>
        <v>1</v>
      </c>
      <c r="L185" s="4"/>
      <c r="N185" s="4"/>
      <c r="O185" s="61">
        <f>ROUNDDOWN(N185/4,0)</f>
        <v>0</v>
      </c>
      <c r="P185" s="60">
        <f>SUM(L185,O185)</f>
        <v>0</v>
      </c>
      <c r="Q185" s="61">
        <v>0</v>
      </c>
      <c r="R185" s="61">
        <v>5</v>
      </c>
    </row>
    <row r="186" spans="1:18">
      <c r="A186" s="1" t="s">
        <v>185</v>
      </c>
      <c r="B186" t="str">
        <f t="shared" si="29"/>
        <v>¬</v>
      </c>
      <c r="D186" s="19"/>
      <c r="E186" s="19"/>
      <c r="F186" s="19"/>
      <c r="G186" s="19"/>
      <c r="H186" s="19"/>
      <c r="I186" s="19"/>
      <c r="L186" s="60">
        <f>SUM(P184:P185)-SUM(L187:L191)</f>
        <v>0</v>
      </c>
    </row>
    <row r="187" spans="1:18">
      <c r="A187" s="1" t="s">
        <v>186</v>
      </c>
      <c r="B187" t="str">
        <f t="shared" si="29"/>
        <v>¬</v>
      </c>
      <c r="D187" s="19"/>
      <c r="E187" s="15" t="s">
        <v>248</v>
      </c>
      <c r="F187" s="19"/>
      <c r="G187" s="19"/>
      <c r="H187" s="19"/>
      <c r="I187" s="19"/>
      <c r="L187" s="4"/>
      <c r="M187" s="61">
        <f>IF(AND(I184,L184&gt;=1),1,0)</f>
        <v>0</v>
      </c>
      <c r="N187" s="4"/>
      <c r="O187" s="61">
        <f>ROUNDDOWN(N187/2,0)</f>
        <v>0</v>
      </c>
      <c r="P187" s="60">
        <f>MIN(SUM(L187,M187,O187),R187)</f>
        <v>0</v>
      </c>
      <c r="Q187" s="61">
        <v>0</v>
      </c>
      <c r="R187" s="61">
        <f>MAX(P$184,P$185)</f>
        <v>0</v>
      </c>
    </row>
    <row r="188" spans="1:18">
      <c r="A188" s="1" t="s">
        <v>187</v>
      </c>
      <c r="B188" t="str">
        <f t="shared" si="29"/>
        <v>¬</v>
      </c>
      <c r="D188" s="19"/>
      <c r="E188" s="15" t="s">
        <v>249</v>
      </c>
      <c r="F188" s="19"/>
      <c r="G188" s="19"/>
      <c r="H188" s="19"/>
      <c r="I188" s="19"/>
      <c r="L188" s="4"/>
      <c r="M188" s="61"/>
      <c r="N188" s="4"/>
      <c r="O188" s="61">
        <f>ROUNDDOWN(N188/2,0)</f>
        <v>0</v>
      </c>
      <c r="P188" s="60">
        <f>MIN(SUM(L188,M188,O188),R188)</f>
        <v>0</v>
      </c>
      <c r="Q188" s="61">
        <v>0</v>
      </c>
      <c r="R188" s="61">
        <f>MAX(P$184,P$185)</f>
        <v>0</v>
      </c>
    </row>
    <row r="189" spans="1:18">
      <c r="A189" s="1" t="s">
        <v>188</v>
      </c>
      <c r="B189" t="str">
        <f t="shared" si="29"/>
        <v>¬</v>
      </c>
      <c r="D189" s="19"/>
      <c r="E189" s="15" t="s">
        <v>250</v>
      </c>
      <c r="F189" s="19"/>
      <c r="G189" s="19"/>
      <c r="H189" s="19"/>
      <c r="I189" s="19"/>
      <c r="L189" s="4"/>
      <c r="M189" s="61">
        <f>IF(AND(I185,L185&gt;=1),1,0)</f>
        <v>0</v>
      </c>
      <c r="N189" s="4"/>
      <c r="O189" s="61">
        <f>ROUNDDOWN(N189/2,0)</f>
        <v>0</v>
      </c>
      <c r="P189" s="60">
        <f>MIN(SUM(L189,M189,O189),R189)</f>
        <v>0</v>
      </c>
      <c r="Q189" s="61">
        <v>0</v>
      </c>
      <c r="R189" s="61">
        <f>MAX(P$184,P$185)</f>
        <v>0</v>
      </c>
    </row>
    <row r="190" spans="1:18">
      <c r="A190" s="1" t="s">
        <v>189</v>
      </c>
      <c r="B190" t="str">
        <f t="shared" si="29"/>
        <v>¬</v>
      </c>
      <c r="D190" s="19"/>
      <c r="E190" s="15" t="s">
        <v>251</v>
      </c>
      <c r="F190" s="19"/>
      <c r="G190" s="19"/>
      <c r="H190" s="19"/>
      <c r="I190" s="19"/>
      <c r="L190" s="4"/>
      <c r="M190" s="61">
        <f>IF(AND(I184,L184&gt;=1),1,0)</f>
        <v>0</v>
      </c>
      <c r="N190" s="4"/>
      <c r="O190" s="61">
        <f>ROUNDDOWN(N190/2,0)</f>
        <v>0</v>
      </c>
      <c r="P190" s="60">
        <f>MIN(SUM(L190,M190,O190),R190)</f>
        <v>0</v>
      </c>
      <c r="Q190" s="61">
        <v>0</v>
      </c>
      <c r="R190" s="61">
        <f>MAX(P$184,P$185)</f>
        <v>0</v>
      </c>
    </row>
    <row r="191" spans="1:18">
      <c r="A191" s="1" t="s">
        <v>190</v>
      </c>
      <c r="B191" t="str">
        <f t="shared" si="29"/>
        <v>¬</v>
      </c>
      <c r="D191" s="19"/>
      <c r="E191" s="15" t="s">
        <v>252</v>
      </c>
      <c r="F191" s="19"/>
      <c r="G191" s="19"/>
      <c r="H191" s="19"/>
      <c r="I191" s="19"/>
      <c r="L191" s="4"/>
      <c r="M191" s="61">
        <f>IF(AND(I185,L185&gt;=1),1,0)</f>
        <v>0</v>
      </c>
      <c r="N191" s="4"/>
      <c r="O191" s="61">
        <f>ROUNDDOWN(N191/2,0)</f>
        <v>0</v>
      </c>
      <c r="P191" s="60">
        <f>MIN(SUM(L191,M191,O191),R191)</f>
        <v>0</v>
      </c>
      <c r="Q191" s="61">
        <v>0</v>
      </c>
      <c r="R191" s="61">
        <f>MAX(P$184,P$185)</f>
        <v>0</v>
      </c>
    </row>
    <row r="192" spans="1:18">
      <c r="A192" s="1" t="s">
        <v>191</v>
      </c>
      <c r="B192" t="str">
        <f t="shared" si="29"/>
        <v>¬</v>
      </c>
    </row>
    <row r="193" spans="1:18">
      <c r="A193" s="1" t="s">
        <v>192</v>
      </c>
      <c r="B193" t="str">
        <f t="shared" si="29"/>
        <v>¬</v>
      </c>
      <c r="D193" s="16" t="s">
        <v>1474</v>
      </c>
      <c r="E193" s="16"/>
      <c r="F193" s="16"/>
      <c r="G193" s="16"/>
      <c r="H193" s="16"/>
      <c r="I193" s="16"/>
      <c r="L193" s="60">
        <f>SUM(P184:P185)+SUM(O187:O191)-SUM(L194:L203)</f>
        <v>0</v>
      </c>
    </row>
    <row r="194" spans="1:18">
      <c r="A194" s="1" t="s">
        <v>193</v>
      </c>
      <c r="B194" t="str">
        <f t="shared" si="29"/>
        <v>¬</v>
      </c>
      <c r="D194" s="19"/>
      <c r="E194" s="15" t="s">
        <v>1498</v>
      </c>
      <c r="F194" s="3"/>
      <c r="G194" s="61" t="str">
        <f>_xlfn.IFNA(VLOOKUP(F194,tblDisciplines[],2,FALSE),"")</f>
        <v/>
      </c>
      <c r="H194" s="19"/>
      <c r="I194" s="19"/>
      <c r="L194" s="4"/>
      <c r="N194" s="4"/>
      <c r="O194" s="61">
        <f>N194</f>
        <v>0</v>
      </c>
      <c r="P194" s="60" t="str">
        <f>IF(OR(L194=R194,O194=R194),R194,MIN(SUM(L194,O194),R194))</f>
        <v/>
      </c>
      <c r="R194" s="61" t="str">
        <f>_xlfn.IFNA(VLOOKUP(F194,tblDisciplines[],3,FALSE),"")</f>
        <v/>
      </c>
    </row>
    <row r="195" spans="1:18">
      <c r="A195" s="1" t="s">
        <v>194</v>
      </c>
      <c r="B195" t="str">
        <f t="shared" si="29"/>
        <v>¬</v>
      </c>
      <c r="D195" s="19"/>
      <c r="E195" s="15" t="s">
        <v>1499</v>
      </c>
      <c r="F195" s="3"/>
      <c r="G195" s="61" t="str">
        <f>_xlfn.IFNA(VLOOKUP(F195,tblDisciplines[],2,FALSE),"")</f>
        <v/>
      </c>
      <c r="H195" s="19"/>
      <c r="I195" s="19"/>
      <c r="L195" s="4"/>
      <c r="N195" s="4"/>
      <c r="O195" s="61">
        <f t="shared" ref="O195:O203" si="30">N195</f>
        <v>0</v>
      </c>
      <c r="P195" s="60" t="str">
        <f t="shared" ref="P195:P203" si="31">IF(OR(L195=R195,O195=R195),R195,MIN(SUM(L195,O195),R195))</f>
        <v/>
      </c>
      <c r="R195" s="61" t="str">
        <f>_xlfn.IFNA(VLOOKUP(F195,tblDisciplines[],3,FALSE),"")</f>
        <v/>
      </c>
    </row>
    <row r="196" spans="1:18">
      <c r="A196" s="1" t="s">
        <v>195</v>
      </c>
      <c r="B196" t="str">
        <f t="shared" si="29"/>
        <v>¬</v>
      </c>
      <c r="D196" s="19"/>
      <c r="E196" s="15" t="s">
        <v>1500</v>
      </c>
      <c r="F196" s="3"/>
      <c r="G196" s="61" t="str">
        <f>_xlfn.IFNA(VLOOKUP(F196,tblDisciplines[],2,FALSE),"")</f>
        <v/>
      </c>
      <c r="H196" s="19"/>
      <c r="I196" s="19"/>
      <c r="L196" s="4"/>
      <c r="N196" s="4"/>
      <c r="O196" s="61">
        <f t="shared" si="30"/>
        <v>0</v>
      </c>
      <c r="P196" s="60" t="str">
        <f t="shared" si="31"/>
        <v/>
      </c>
      <c r="R196" s="61" t="str">
        <f>_xlfn.IFNA(VLOOKUP(F196,tblDisciplines[],3,FALSE),"")</f>
        <v/>
      </c>
    </row>
    <row r="197" spans="1:18">
      <c r="A197" s="1" t="s">
        <v>196</v>
      </c>
      <c r="B197" t="str">
        <f>IF(AD134="","¬",AD134)</f>
        <v>¬</v>
      </c>
      <c r="D197" s="19"/>
      <c r="E197" s="15" t="s">
        <v>1501</v>
      </c>
      <c r="F197" s="3"/>
      <c r="G197" s="61" t="str">
        <f>_xlfn.IFNA(VLOOKUP(F197,tblDisciplines[],2,FALSE),"")</f>
        <v/>
      </c>
      <c r="H197" s="19"/>
      <c r="I197" s="19"/>
      <c r="L197" s="4"/>
      <c r="N197" s="4"/>
      <c r="O197" s="61">
        <f t="shared" si="30"/>
        <v>0</v>
      </c>
      <c r="P197" s="60" t="str">
        <f t="shared" si="31"/>
        <v/>
      </c>
      <c r="R197" s="61" t="str">
        <f>_xlfn.IFNA(VLOOKUP(F197,tblDisciplines[],3,FALSE),"")</f>
        <v/>
      </c>
    </row>
    <row r="198" spans="1:18">
      <c r="A198" s="1" t="s">
        <v>197</v>
      </c>
      <c r="B198" t="str">
        <f t="shared" ref="B198:B216" si="32">IF(AD135="","¬",AD135)</f>
        <v>¬</v>
      </c>
      <c r="D198" s="19"/>
      <c r="E198" s="15" t="s">
        <v>1502</v>
      </c>
      <c r="F198" s="3"/>
      <c r="G198" s="61" t="str">
        <f>_xlfn.IFNA(VLOOKUP(F198,tblDisciplines[],2,FALSE),"")</f>
        <v/>
      </c>
      <c r="H198" s="19"/>
      <c r="I198" s="19"/>
      <c r="L198" s="4"/>
      <c r="N198" s="4"/>
      <c r="O198" s="61">
        <f t="shared" si="30"/>
        <v>0</v>
      </c>
      <c r="P198" s="60" t="str">
        <f t="shared" si="31"/>
        <v/>
      </c>
      <c r="R198" s="61" t="str">
        <f>_xlfn.IFNA(VLOOKUP(F198,tblDisciplines[],3,FALSE),"")</f>
        <v/>
      </c>
    </row>
    <row r="199" spans="1:18">
      <c r="A199" s="1" t="s">
        <v>198</v>
      </c>
      <c r="B199" t="str">
        <f t="shared" si="32"/>
        <v>¬</v>
      </c>
      <c r="D199" s="19"/>
      <c r="E199" s="15" t="s">
        <v>1503</v>
      </c>
      <c r="F199" s="3"/>
      <c r="G199" s="61" t="str">
        <f>_xlfn.IFNA(VLOOKUP(F199,tblDisciplines[],2,FALSE),"")</f>
        <v/>
      </c>
      <c r="H199" s="19"/>
      <c r="I199" s="19"/>
      <c r="L199" s="4"/>
      <c r="N199" s="4"/>
      <c r="O199" s="61">
        <f t="shared" si="30"/>
        <v>0</v>
      </c>
      <c r="P199" s="60" t="str">
        <f t="shared" si="31"/>
        <v/>
      </c>
      <c r="R199" s="61" t="str">
        <f>_xlfn.IFNA(VLOOKUP(F199,tblDisciplines[],3,FALSE),"")</f>
        <v/>
      </c>
    </row>
    <row r="200" spans="1:18">
      <c r="A200" s="1" t="s">
        <v>199</v>
      </c>
      <c r="B200" t="str">
        <f t="shared" si="32"/>
        <v>¬</v>
      </c>
      <c r="D200" s="19"/>
      <c r="E200" s="15" t="s">
        <v>1504</v>
      </c>
      <c r="F200" s="3"/>
      <c r="G200" s="61" t="str">
        <f>_xlfn.IFNA(VLOOKUP(F200,tblDisciplines[],2,FALSE),"")</f>
        <v/>
      </c>
      <c r="H200" s="19"/>
      <c r="I200" s="19"/>
      <c r="L200" s="4"/>
      <c r="N200" s="4"/>
      <c r="O200" s="61">
        <f t="shared" si="30"/>
        <v>0</v>
      </c>
      <c r="P200" s="60" t="str">
        <f t="shared" si="31"/>
        <v/>
      </c>
      <c r="R200" s="61" t="str">
        <f>_xlfn.IFNA(VLOOKUP(F200,tblDisciplines[],3,FALSE),"")</f>
        <v/>
      </c>
    </row>
    <row r="201" spans="1:18">
      <c r="A201" s="1" t="s">
        <v>200</v>
      </c>
      <c r="B201" t="str">
        <f t="shared" si="32"/>
        <v>¬</v>
      </c>
      <c r="D201" s="19"/>
      <c r="E201" s="15" t="s">
        <v>1505</v>
      </c>
      <c r="F201" s="3"/>
      <c r="G201" s="61" t="str">
        <f>_xlfn.IFNA(VLOOKUP(F201,tblDisciplines[],2,FALSE),"")</f>
        <v/>
      </c>
      <c r="H201" s="19"/>
      <c r="I201" s="19"/>
      <c r="L201" s="4"/>
      <c r="N201" s="4"/>
      <c r="O201" s="61">
        <f t="shared" si="30"/>
        <v>0</v>
      </c>
      <c r="P201" s="60" t="str">
        <f t="shared" si="31"/>
        <v/>
      </c>
      <c r="R201" s="61" t="str">
        <f>_xlfn.IFNA(VLOOKUP(F201,tblDisciplines[],3,FALSE),"")</f>
        <v/>
      </c>
    </row>
    <row r="202" spans="1:18">
      <c r="A202" s="1" t="s">
        <v>201</v>
      </c>
      <c r="B202" t="str">
        <f t="shared" si="32"/>
        <v>¬</v>
      </c>
      <c r="D202" s="19"/>
      <c r="E202" s="15" t="s">
        <v>1506</v>
      </c>
      <c r="F202" s="3"/>
      <c r="G202" s="61" t="str">
        <f>_xlfn.IFNA(VLOOKUP(F202,tblDisciplines[],2,FALSE),"")</f>
        <v/>
      </c>
      <c r="H202" s="19"/>
      <c r="I202" s="19"/>
      <c r="L202" s="4"/>
      <c r="N202" s="4"/>
      <c r="O202" s="61">
        <f t="shared" si="30"/>
        <v>0</v>
      </c>
      <c r="P202" s="60" t="str">
        <f t="shared" si="31"/>
        <v/>
      </c>
      <c r="R202" s="61" t="str">
        <f>_xlfn.IFNA(VLOOKUP(F202,tblDisciplines[],3,FALSE),"")</f>
        <v/>
      </c>
    </row>
    <row r="203" spans="1:18">
      <c r="A203" s="1" t="s">
        <v>202</v>
      </c>
      <c r="B203" t="str">
        <f t="shared" si="32"/>
        <v>¬</v>
      </c>
      <c r="D203" s="19"/>
      <c r="E203" s="15" t="s">
        <v>1507</v>
      </c>
      <c r="F203" s="3"/>
      <c r="G203" s="61" t="str">
        <f>_xlfn.IFNA(VLOOKUP(F203,tblDisciplines[],2,FALSE),"")</f>
        <v/>
      </c>
      <c r="H203" s="19"/>
      <c r="I203" s="19"/>
      <c r="L203" s="4"/>
      <c r="N203" s="4"/>
      <c r="O203" s="61">
        <f t="shared" si="30"/>
        <v>0</v>
      </c>
      <c r="P203" s="60" t="str">
        <f t="shared" si="31"/>
        <v/>
      </c>
      <c r="R203" s="61" t="str">
        <f>_xlfn.IFNA(VLOOKUP(F203,tblDisciplines[],3,FALSE),"")</f>
        <v/>
      </c>
    </row>
    <row r="204" spans="1:18">
      <c r="A204" s="1" t="s">
        <v>203</v>
      </c>
      <c r="B204" t="str">
        <f t="shared" si="32"/>
        <v>¬</v>
      </c>
    </row>
    <row r="205" spans="1:18">
      <c r="A205" s="1" t="s">
        <v>204</v>
      </c>
      <c r="B205" t="str">
        <f t="shared" si="32"/>
        <v>¬</v>
      </c>
      <c r="D205" s="16" t="s">
        <v>1508</v>
      </c>
      <c r="E205" s="17"/>
      <c r="F205" s="17"/>
      <c r="G205" s="17"/>
      <c r="H205" s="17"/>
      <c r="I205" s="17"/>
    </row>
    <row r="206" spans="1:18">
      <c r="A206" s="1" t="s">
        <v>205</v>
      </c>
      <c r="B206" t="str">
        <f t="shared" si="32"/>
        <v>¬</v>
      </c>
      <c r="D206" s="19"/>
      <c r="E206" s="15" t="s">
        <v>1476</v>
      </c>
      <c r="F206" s="3"/>
      <c r="G206" s="19" t="str">
        <f>IFERROR(VLOOKUP(F206,tblManoeuvre[],2,FALSE)&amp;" "&amp;VLOOKUP(F206,tblManoeuvre[],3,FALSE),"")</f>
        <v/>
      </c>
      <c r="H206" s="68" t="str">
        <f>_xlfn.IFNA(IF(VLOOKUP(F206,tblMerits[],6,FALSE)=0,"None",VLOOKUP(F206,tblMerits[],6,FALSE)),"None")</f>
        <v>None</v>
      </c>
      <c r="I206" s="69"/>
      <c r="L206" s="4"/>
      <c r="M206" s="4"/>
      <c r="N206" s="4"/>
      <c r="O206" s="61">
        <f t="shared" ref="O206:O215" si="33">N206</f>
        <v>0</v>
      </c>
      <c r="P206" s="60">
        <f t="shared" ref="P206:P215" si="34">MIN(SUM(L206,M206,O206),R206)</f>
        <v>0</v>
      </c>
      <c r="Q206" s="61" t="str">
        <f>_xlfn.IFNA(VLOOKUP($F206,tblPacts[],3,FALSE),"")</f>
        <v/>
      </c>
      <c r="R206" s="61" t="str">
        <f>_xlfn.IFNA(VLOOKUP($F206,tblPacts[],4,FALSE),"")</f>
        <v/>
      </c>
    </row>
    <row r="207" spans="1:18">
      <c r="A207" s="1" t="s">
        <v>206</v>
      </c>
      <c r="B207" t="str">
        <f t="shared" si="32"/>
        <v>¬</v>
      </c>
      <c r="D207" s="19"/>
      <c r="E207" s="15" t="s">
        <v>1477</v>
      </c>
      <c r="F207" s="3"/>
      <c r="G207" s="19" t="str">
        <f>IFERROR(VLOOKUP(F207,tblManoeuvre[],2,FALSE)&amp;" "&amp;VLOOKUP(F207,tblManoeuvre[],3,FALSE),"")</f>
        <v/>
      </c>
      <c r="H207" s="68" t="str">
        <f>_xlfn.IFNA(IF(VLOOKUP(F207,tblMerits[],6,FALSE)=0,"None",VLOOKUP(F207,tblMerits[],6,FALSE)),"None")</f>
        <v>None</v>
      </c>
      <c r="I207" s="69"/>
      <c r="L207" s="4"/>
      <c r="M207" s="4"/>
      <c r="N207" s="4"/>
      <c r="O207" s="61">
        <f t="shared" si="33"/>
        <v>0</v>
      </c>
      <c r="P207" s="60">
        <f t="shared" si="34"/>
        <v>0</v>
      </c>
      <c r="Q207" s="61" t="str">
        <f>_xlfn.IFNA(VLOOKUP($F207,tblPacts[],3,FALSE),"")</f>
        <v/>
      </c>
      <c r="R207" s="61" t="str">
        <f>_xlfn.IFNA(VLOOKUP($F207,tblPacts[],4,FALSE),"")</f>
        <v/>
      </c>
    </row>
    <row r="208" spans="1:18">
      <c r="A208" s="1" t="s">
        <v>207</v>
      </c>
      <c r="B208" t="str">
        <f t="shared" si="32"/>
        <v>¬</v>
      </c>
      <c r="D208" s="19"/>
      <c r="E208" s="15" t="s">
        <v>1478</v>
      </c>
      <c r="F208" s="3"/>
      <c r="G208" s="19" t="str">
        <f>IFERROR(VLOOKUP(F208,tblManoeuvre[],2,FALSE)&amp;" "&amp;VLOOKUP(F208,tblManoeuvre[],3,FALSE),"")</f>
        <v/>
      </c>
      <c r="H208" s="68" t="str">
        <f>_xlfn.IFNA(IF(VLOOKUP(F208,tblMerits[],6,FALSE)=0,"None",VLOOKUP(F208,tblMerits[],6,FALSE)),"None")</f>
        <v>None</v>
      </c>
      <c r="I208" s="69"/>
      <c r="L208" s="4"/>
      <c r="M208" s="4"/>
      <c r="N208" s="4"/>
      <c r="O208" s="61">
        <f t="shared" si="33"/>
        <v>0</v>
      </c>
      <c r="P208" s="60">
        <f t="shared" si="34"/>
        <v>0</v>
      </c>
      <c r="Q208" s="61" t="str">
        <f>_xlfn.IFNA(VLOOKUP($F208,tblPacts[],3,FALSE),"")</f>
        <v/>
      </c>
      <c r="R208" s="61" t="str">
        <f>_xlfn.IFNA(VLOOKUP($F208,tblPacts[],4,FALSE),"")</f>
        <v/>
      </c>
    </row>
    <row r="209" spans="1:18">
      <c r="A209" s="1" t="s">
        <v>208</v>
      </c>
      <c r="B209" t="str">
        <f t="shared" si="32"/>
        <v>¬</v>
      </c>
      <c r="D209" s="19"/>
      <c r="E209" s="15" t="s">
        <v>1479</v>
      </c>
      <c r="F209" s="3"/>
      <c r="G209" s="19" t="str">
        <f>IFERROR(VLOOKUP(F209,tblManoeuvre[],2,FALSE)&amp;" "&amp;VLOOKUP(F209,tblManoeuvre[],3,FALSE),"")</f>
        <v/>
      </c>
      <c r="H209" s="68" t="str">
        <f>_xlfn.IFNA(IF(VLOOKUP(F209,tblMerits[],6,FALSE)=0,"None",VLOOKUP(F209,tblMerits[],6,FALSE)),"None")</f>
        <v>None</v>
      </c>
      <c r="I209" s="69"/>
      <c r="L209" s="4"/>
      <c r="M209" s="4"/>
      <c r="N209" s="4"/>
      <c r="O209" s="61">
        <f t="shared" si="33"/>
        <v>0</v>
      </c>
      <c r="P209" s="60">
        <f t="shared" si="34"/>
        <v>0</v>
      </c>
      <c r="Q209" s="61" t="str">
        <f>_xlfn.IFNA(VLOOKUP($F209,tblPacts[],3,FALSE),"")</f>
        <v/>
      </c>
      <c r="R209" s="61" t="str">
        <f>_xlfn.IFNA(VLOOKUP($F209,tblPacts[],4,FALSE),"")</f>
        <v/>
      </c>
    </row>
    <row r="210" spans="1:18">
      <c r="A210" s="1" t="s">
        <v>209</v>
      </c>
      <c r="B210" t="str">
        <f t="shared" si="32"/>
        <v>¬</v>
      </c>
      <c r="D210" s="19"/>
      <c r="E210" s="15" t="s">
        <v>1480</v>
      </c>
      <c r="F210" s="3"/>
      <c r="G210" s="19" t="str">
        <f>IFERROR(VLOOKUP(F210,tblManoeuvre[],2,FALSE)&amp;" "&amp;VLOOKUP(F210,tblManoeuvre[],3,FALSE),"")</f>
        <v/>
      </c>
      <c r="H210" s="68" t="str">
        <f>_xlfn.IFNA(IF(VLOOKUP(F210,tblMerits[],6,FALSE)=0,"None",VLOOKUP(F210,tblMerits[],6,FALSE)),"None")</f>
        <v>None</v>
      </c>
      <c r="I210" s="69"/>
      <c r="L210" s="4"/>
      <c r="M210" s="4"/>
      <c r="N210" s="4"/>
      <c r="O210" s="61">
        <f t="shared" si="33"/>
        <v>0</v>
      </c>
      <c r="P210" s="60">
        <f t="shared" si="34"/>
        <v>0</v>
      </c>
      <c r="Q210" s="61" t="str">
        <f>_xlfn.IFNA(VLOOKUP($F210,tblPacts[],3,FALSE),"")</f>
        <v/>
      </c>
      <c r="R210" s="61" t="str">
        <f>_xlfn.IFNA(VLOOKUP($F210,tblPacts[],4,FALSE),"")</f>
        <v/>
      </c>
    </row>
    <row r="211" spans="1:18">
      <c r="A211" s="1" t="s">
        <v>210</v>
      </c>
      <c r="B211" t="str">
        <f t="shared" si="32"/>
        <v>¬</v>
      </c>
      <c r="D211" s="19"/>
      <c r="E211" s="15" t="s">
        <v>1481</v>
      </c>
      <c r="F211" s="3"/>
      <c r="G211" s="19" t="str">
        <f>IFERROR(VLOOKUP(F211,tblManoeuvre[],2,FALSE)&amp;" "&amp;VLOOKUP(F211,tblManoeuvre[],3,FALSE),"")</f>
        <v/>
      </c>
      <c r="H211" s="68" t="str">
        <f>_xlfn.IFNA(IF(VLOOKUP(F211,tblMerits[],6,FALSE)=0,"None",VLOOKUP(F211,tblMerits[],6,FALSE)),"None")</f>
        <v>None</v>
      </c>
      <c r="I211" s="69"/>
      <c r="L211" s="4"/>
      <c r="M211" s="4"/>
      <c r="N211" s="4"/>
      <c r="O211" s="61">
        <f t="shared" si="33"/>
        <v>0</v>
      </c>
      <c r="P211" s="60">
        <f t="shared" si="34"/>
        <v>0</v>
      </c>
      <c r="Q211" s="61" t="str">
        <f>_xlfn.IFNA(VLOOKUP($F211,tblPacts[],3,FALSE),"")</f>
        <v/>
      </c>
      <c r="R211" s="61" t="str">
        <f>_xlfn.IFNA(VLOOKUP($F211,tblPacts[],4,FALSE),"")</f>
        <v/>
      </c>
    </row>
    <row r="212" spans="1:18">
      <c r="A212" s="1" t="s">
        <v>211</v>
      </c>
      <c r="B212" t="str">
        <f t="shared" si="32"/>
        <v>¬</v>
      </c>
      <c r="D212" s="19"/>
      <c r="E212" s="15" t="s">
        <v>1482</v>
      </c>
      <c r="F212" s="3"/>
      <c r="G212" s="19" t="str">
        <f>IFERROR(VLOOKUP(F212,tblManoeuvre[],2,FALSE)&amp;" "&amp;VLOOKUP(F212,tblManoeuvre[],3,FALSE),"")</f>
        <v/>
      </c>
      <c r="H212" s="68" t="str">
        <f>_xlfn.IFNA(IF(VLOOKUP(F212,tblMerits[],6,FALSE)=0,"None",VLOOKUP(F212,tblMerits[],6,FALSE)),"None")</f>
        <v>None</v>
      </c>
      <c r="I212" s="69"/>
      <c r="L212" s="4"/>
      <c r="M212" s="4"/>
      <c r="N212" s="4"/>
      <c r="O212" s="61">
        <f t="shared" si="33"/>
        <v>0</v>
      </c>
      <c r="P212" s="60">
        <f t="shared" si="34"/>
        <v>0</v>
      </c>
      <c r="Q212" s="61" t="str">
        <f>_xlfn.IFNA(VLOOKUP($F212,tblPacts[],3,FALSE),"")</f>
        <v/>
      </c>
      <c r="R212" s="61" t="str">
        <f>_xlfn.IFNA(VLOOKUP($F212,tblPacts[],4,FALSE),"")</f>
        <v/>
      </c>
    </row>
    <row r="213" spans="1:18">
      <c r="A213" s="1" t="s">
        <v>212</v>
      </c>
      <c r="B213" t="str">
        <f t="shared" si="32"/>
        <v>¬</v>
      </c>
      <c r="D213" s="19"/>
      <c r="E213" s="15" t="s">
        <v>1483</v>
      </c>
      <c r="F213" s="3"/>
      <c r="G213" s="19" t="str">
        <f>IFERROR(VLOOKUP(F213,tblManoeuvre[],2,FALSE)&amp;" "&amp;VLOOKUP(F213,tblManoeuvre[],3,FALSE),"")</f>
        <v/>
      </c>
      <c r="H213" s="68" t="str">
        <f>_xlfn.IFNA(IF(VLOOKUP(F213,tblMerits[],6,FALSE)=0,"None",VLOOKUP(F213,tblMerits[],6,FALSE)),"None")</f>
        <v>None</v>
      </c>
      <c r="I213" s="69"/>
      <c r="L213" s="4"/>
      <c r="M213" s="4"/>
      <c r="N213" s="4"/>
      <c r="O213" s="61">
        <f t="shared" si="33"/>
        <v>0</v>
      </c>
      <c r="P213" s="60">
        <f t="shared" si="34"/>
        <v>0</v>
      </c>
      <c r="Q213" s="61" t="str">
        <f>_xlfn.IFNA(VLOOKUP($F213,tblPacts[],3,FALSE),"")</f>
        <v/>
      </c>
      <c r="R213" s="61" t="str">
        <f>_xlfn.IFNA(VLOOKUP($F213,tblPacts[],4,FALSE),"")</f>
        <v/>
      </c>
    </row>
    <row r="214" spans="1:18">
      <c r="A214" s="1" t="s">
        <v>213</v>
      </c>
      <c r="B214" t="str">
        <f t="shared" si="32"/>
        <v>¬</v>
      </c>
      <c r="D214" s="19"/>
      <c r="E214" s="15" t="s">
        <v>1484</v>
      </c>
      <c r="F214" s="3"/>
      <c r="G214" s="19" t="str">
        <f>IFERROR(VLOOKUP(F214,tblManoeuvre[],2,FALSE)&amp;" "&amp;VLOOKUP(F214,tblManoeuvre[],3,FALSE),"")</f>
        <v/>
      </c>
      <c r="H214" s="68" t="str">
        <f>_xlfn.IFNA(IF(VLOOKUP(F214,tblMerits[],6,FALSE)=0,"None",VLOOKUP(F214,tblMerits[],6,FALSE)),"None")</f>
        <v>None</v>
      </c>
      <c r="I214" s="69"/>
      <c r="L214" s="4"/>
      <c r="M214" s="4"/>
      <c r="N214" s="4"/>
      <c r="O214" s="61">
        <f t="shared" si="33"/>
        <v>0</v>
      </c>
      <c r="P214" s="60">
        <f t="shared" si="34"/>
        <v>0</v>
      </c>
      <c r="Q214" s="61" t="str">
        <f>_xlfn.IFNA(VLOOKUP($F214,tblPacts[],3,FALSE),"")</f>
        <v/>
      </c>
      <c r="R214" s="61" t="str">
        <f>_xlfn.IFNA(VLOOKUP($F214,tblPacts[],4,FALSE),"")</f>
        <v/>
      </c>
    </row>
    <row r="215" spans="1:18">
      <c r="A215" s="1" t="s">
        <v>214</v>
      </c>
      <c r="B215" t="str">
        <f t="shared" si="32"/>
        <v>¬</v>
      </c>
      <c r="D215" s="19"/>
      <c r="E215" s="15" t="s">
        <v>1485</v>
      </c>
      <c r="F215" s="3"/>
      <c r="G215" s="19" t="str">
        <f>IFERROR(VLOOKUP(F215,tblManoeuvre[],2,FALSE)&amp;" "&amp;VLOOKUP(F215,tblManoeuvre[],3,FALSE),"")</f>
        <v/>
      </c>
      <c r="H215" s="68" t="str">
        <f>_xlfn.IFNA(IF(VLOOKUP(F215,tblMerits[],6,FALSE)=0,"None",VLOOKUP(F215,tblMerits[],6,FALSE)),"None")</f>
        <v>None</v>
      </c>
      <c r="I215" s="69"/>
      <c r="L215" s="4"/>
      <c r="M215" s="4"/>
      <c r="N215" s="4"/>
      <c r="O215" s="61">
        <f t="shared" si="33"/>
        <v>0</v>
      </c>
      <c r="P215" s="60">
        <f t="shared" si="34"/>
        <v>0</v>
      </c>
      <c r="Q215" s="61" t="str">
        <f>_xlfn.IFNA(VLOOKUP($F215,tblPacts[],3,FALSE),"")</f>
        <v/>
      </c>
      <c r="R215" s="61" t="str">
        <f>_xlfn.IFNA(VLOOKUP($F215,tblPacts[],4,FALSE),"")</f>
        <v/>
      </c>
    </row>
    <row r="216" spans="1:18">
      <c r="A216" s="1" t="s">
        <v>215</v>
      </c>
      <c r="B216" t="str">
        <f t="shared" si="32"/>
        <v>¬</v>
      </c>
    </row>
    <row r="217" spans="1:18">
      <c r="A217" s="1" t="s">
        <v>216</v>
      </c>
      <c r="B217" t="str">
        <f>IF(OR(AF134=0,AF134=""),"",REPT("●",AF134))</f>
        <v/>
      </c>
      <c r="D217" s="16" t="s">
        <v>1509</v>
      </c>
      <c r="E217" s="16"/>
      <c r="F217" s="16"/>
      <c r="G217" s="16"/>
      <c r="H217" s="16"/>
      <c r="I217" s="16"/>
    </row>
    <row r="218" spans="1:18">
      <c r="A218" s="1" t="s">
        <v>217</v>
      </c>
      <c r="B218" t="str">
        <f t="shared" ref="B218:B236" si="35">IF(OR(AF135=0,AF135=""),"",REPT("●",AF135))</f>
        <v/>
      </c>
      <c r="D218" s="19"/>
      <c r="E218" s="15" t="s">
        <v>353</v>
      </c>
      <c r="F218" s="19"/>
      <c r="G218" s="19"/>
      <c r="H218" s="19"/>
      <c r="I218" s="19"/>
      <c r="M218" s="61">
        <f>IF(COUNTIF(F79:F93,"Giant")&gt;0,1,0)+IF(COUNTIF(F79:F93,"Small-Framed")&gt;0,-1,0)</f>
        <v>0</v>
      </c>
      <c r="P218" s="60">
        <f>5+M218</f>
        <v>5</v>
      </c>
    </row>
    <row r="219" spans="1:18">
      <c r="A219" s="1" t="s">
        <v>218</v>
      </c>
      <c r="B219" t="str">
        <f t="shared" si="35"/>
        <v/>
      </c>
      <c r="D219" s="19"/>
      <c r="E219" s="15" t="s">
        <v>354</v>
      </c>
      <c r="F219" s="19"/>
      <c r="G219" s="19"/>
      <c r="H219" s="19"/>
      <c r="I219" s="19"/>
      <c r="P219" s="60">
        <f ca="1">VLOOKUP("Size",INDIRECT($AH$1),2,FALSE)+VLOOKUP("Strength",INDIRECT($AH$1),2,FALSE)+VLOOKUP("Dexterity",INDIRECT($AH$1),2,FALSE)+VLOOKUP("Vigour",INDIRECT($AH$1),2,FALSE)</f>
        <v>10</v>
      </c>
    </row>
    <row r="220" spans="1:18">
      <c r="A220" s="1" t="s">
        <v>219</v>
      </c>
      <c r="B220" t="str">
        <f t="shared" si="35"/>
        <v/>
      </c>
      <c r="D220" s="19"/>
      <c r="E220" s="15" t="s">
        <v>355</v>
      </c>
      <c r="F220" s="19"/>
      <c r="G220" s="19"/>
      <c r="H220" s="19"/>
      <c r="I220" s="19"/>
      <c r="P220" s="60">
        <f ca="1">MIN(VLOOKUP("Dexterity",INDIRECT($AH$1),2,FALSE),VLOOKUP("Wits",INDIRECT($AH$1),2,FALSE))+VLOOKUP("Athletics",INDIRECT($AH$1),2,FALSE)</f>
        <v>3</v>
      </c>
    </row>
    <row r="221" spans="1:18">
      <c r="A221" s="1" t="s">
        <v>220</v>
      </c>
      <c r="B221" t="str">
        <f t="shared" si="35"/>
        <v/>
      </c>
      <c r="D221" s="19"/>
      <c r="E221" s="15" t="s">
        <v>52</v>
      </c>
      <c r="F221" s="19"/>
      <c r="G221" s="19"/>
      <c r="H221" s="19"/>
      <c r="I221" s="19"/>
      <c r="P221" s="60">
        <f ca="1">VLOOKUP("Size",INDIRECT($AH$1),2,FALSE)+VLOOKUP("Stamina",INDIRECT($AH$1),2,FALSE)+VLOOKUP("Resilience",INDIRECT($AH$1),2,FALSE)</f>
        <v>11</v>
      </c>
    </row>
    <row r="222" spans="1:18">
      <c r="A222" s="1" t="s">
        <v>221</v>
      </c>
      <c r="B222" t="str">
        <f t="shared" si="35"/>
        <v/>
      </c>
      <c r="D222" s="19"/>
      <c r="E222" s="19"/>
      <c r="F222" s="19"/>
      <c r="G222" s="19"/>
      <c r="H222" s="15" t="s">
        <v>1510</v>
      </c>
      <c r="I222" s="19"/>
      <c r="L222" s="4"/>
    </row>
    <row r="223" spans="1:18">
      <c r="A223" s="1" t="s">
        <v>222</v>
      </c>
      <c r="B223" t="str">
        <f t="shared" si="35"/>
        <v/>
      </c>
      <c r="D223" s="19"/>
      <c r="E223" s="15" t="s">
        <v>1511</v>
      </c>
      <c r="F223" s="7"/>
      <c r="G223" s="19"/>
      <c r="H223" s="15" t="s">
        <v>1512</v>
      </c>
      <c r="I223" s="19"/>
      <c r="L223" s="4"/>
    </row>
    <row r="224" spans="1:18">
      <c r="A224" s="1" t="s">
        <v>223</v>
      </c>
      <c r="B224" t="str">
        <f t="shared" si="35"/>
        <v/>
      </c>
      <c r="D224" s="19"/>
      <c r="E224" s="15" t="s">
        <v>1513</v>
      </c>
      <c r="F224" s="7"/>
      <c r="G224" s="19"/>
      <c r="H224" s="15" t="s">
        <v>1514</v>
      </c>
      <c r="I224" s="19"/>
      <c r="L224" s="4"/>
    </row>
    <row r="225" spans="1:12">
      <c r="A225" s="1" t="s">
        <v>224</v>
      </c>
      <c r="B225" t="str">
        <f t="shared" si="35"/>
        <v/>
      </c>
      <c r="D225" s="19"/>
      <c r="E225" s="15" t="s">
        <v>1515</v>
      </c>
      <c r="F225" s="7"/>
      <c r="G225" s="19"/>
      <c r="H225" s="15" t="s">
        <v>1516</v>
      </c>
      <c r="I225" s="19"/>
      <c r="L225" s="4">
        <v>5</v>
      </c>
    </row>
    <row r="226" spans="1:12">
      <c r="A226" s="1" t="s">
        <v>225</v>
      </c>
      <c r="B226" t="str">
        <f t="shared" si="35"/>
        <v/>
      </c>
      <c r="D226" s="19"/>
      <c r="E226" s="15" t="s">
        <v>1517</v>
      </c>
      <c r="F226" s="7"/>
      <c r="G226" s="19"/>
      <c r="H226" s="19"/>
      <c r="I226" s="19"/>
    </row>
    <row r="227" spans="1:12">
      <c r="A227" s="1" t="s">
        <v>226</v>
      </c>
      <c r="B227" t="str">
        <f t="shared" si="35"/>
        <v/>
      </c>
      <c r="D227" s="19"/>
      <c r="E227" s="15" t="s">
        <v>1518</v>
      </c>
      <c r="F227" s="7" t="s">
        <v>1770</v>
      </c>
      <c r="G227" s="19"/>
      <c r="H227" s="19"/>
      <c r="I227" s="19"/>
    </row>
    <row r="228" spans="1:12">
      <c r="A228" s="1" t="s">
        <v>227</v>
      </c>
      <c r="B228" t="str">
        <f t="shared" si="35"/>
        <v/>
      </c>
      <c r="D228" s="19"/>
      <c r="E228" s="15" t="s">
        <v>1519</v>
      </c>
      <c r="F228" s="7" t="s">
        <v>1771</v>
      </c>
      <c r="G228" s="19"/>
      <c r="H228" s="19"/>
      <c r="I228" s="19"/>
    </row>
    <row r="229" spans="1:12">
      <c r="A229" s="1" t="s">
        <v>228</v>
      </c>
      <c r="B229" t="str">
        <f t="shared" si="35"/>
        <v/>
      </c>
      <c r="D229" s="19"/>
      <c r="E229" s="15" t="s">
        <v>1520</v>
      </c>
      <c r="F229" s="7" t="s">
        <v>1772</v>
      </c>
      <c r="G229" s="19"/>
      <c r="H229" s="19"/>
      <c r="I229" s="19"/>
    </row>
    <row r="230" spans="1:12">
      <c r="A230" s="1" t="s">
        <v>229</v>
      </c>
      <c r="B230" t="str">
        <f t="shared" si="35"/>
        <v/>
      </c>
      <c r="D230" s="19"/>
      <c r="E230" s="15" t="s">
        <v>1521</v>
      </c>
      <c r="F230" s="7"/>
      <c r="G230" s="19"/>
      <c r="H230" s="19"/>
      <c r="I230" s="19"/>
    </row>
    <row r="231" spans="1:12">
      <c r="A231" s="1" t="s">
        <v>230</v>
      </c>
      <c r="B231" t="str">
        <f t="shared" si="35"/>
        <v/>
      </c>
      <c r="D231" s="19"/>
      <c r="E231" s="15" t="s">
        <v>1522</v>
      </c>
      <c r="F231" s="7"/>
      <c r="G231" s="19"/>
      <c r="H231" s="19"/>
      <c r="I231" s="19"/>
    </row>
    <row r="232" spans="1:12">
      <c r="A232" s="1" t="s">
        <v>231</v>
      </c>
      <c r="B232" t="str">
        <f t="shared" si="35"/>
        <v/>
      </c>
      <c r="D232" s="19"/>
      <c r="E232" s="15" t="s">
        <v>1523</v>
      </c>
      <c r="F232" s="7"/>
      <c r="G232" s="19"/>
      <c r="H232" s="19"/>
      <c r="I232" s="19"/>
    </row>
    <row r="233" spans="1:12">
      <c r="A233" s="1" t="s">
        <v>232</v>
      </c>
      <c r="B233" t="str">
        <f t="shared" si="35"/>
        <v/>
      </c>
      <c r="D233" s="19"/>
      <c r="E233" s="19"/>
      <c r="F233" s="19"/>
      <c r="G233" s="19"/>
      <c r="H233" s="19"/>
      <c r="I233" s="19"/>
    </row>
    <row r="234" spans="1:12">
      <c r="A234" s="1" t="s">
        <v>233</v>
      </c>
      <c r="B234" t="str">
        <f t="shared" si="35"/>
        <v/>
      </c>
      <c r="D234" s="19"/>
      <c r="E234" s="15" t="s">
        <v>343</v>
      </c>
      <c r="F234" s="61" t="str">
        <f>_xlfn.IFNA(VLOOKUP(F7,tblClans[],4,FALSE),"")</f>
        <v>Feral Curse</v>
      </c>
      <c r="G234" s="19"/>
      <c r="H234" s="74" t="str">
        <f>_xlfn.IFNA(VLOOKUP(F234,tblBanes[],2,FALSE),"")</f>
        <v>Frenzy resistance dice pools capped by Humanity (doesn't affect Riding the Wave).</v>
      </c>
      <c r="I234" s="74"/>
    </row>
    <row r="235" spans="1:12">
      <c r="A235" s="1" t="s">
        <v>234</v>
      </c>
      <c r="B235" t="str">
        <f t="shared" si="35"/>
        <v/>
      </c>
      <c r="D235" s="19"/>
      <c r="E235" s="15" t="s">
        <v>344</v>
      </c>
      <c r="F235" s="19"/>
      <c r="G235" s="19"/>
      <c r="H235" s="19"/>
      <c r="I235" s="19"/>
    </row>
    <row r="236" spans="1:12">
      <c r="A236" s="1" t="s">
        <v>235</v>
      </c>
      <c r="B236" t="str">
        <f t="shared" si="35"/>
        <v/>
      </c>
      <c r="D236" s="19"/>
      <c r="E236" s="15" t="s">
        <v>345</v>
      </c>
      <c r="F236" s="3"/>
      <c r="G236" s="19"/>
      <c r="H236" s="70" t="str">
        <f>_xlfn.IFNA(VLOOKUP(F236,tblBanes[],2,FALSE),"")</f>
        <v/>
      </c>
      <c r="I236" s="71"/>
    </row>
    <row r="237" spans="1:12">
      <c r="A237" s="1" t="s">
        <v>236</v>
      </c>
      <c r="B237" t="str">
        <f ca="1">_xlfn.LET(_xlpm.v,VLOOKUP(tblCharDataKirk[[#This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_xlfn.LET(_xlpm.v,VLOOKUP(tblCharDataKirk[[#This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_xlfn.LET(_xlpm.v,VLOOKUP(tblCharDataKirk[[#This Row],[Field]],INDIRECT($AH$1),2,FALSE),IF(OR(_xlpm.v=0,_xlpm.v=""),"-",REPT("●",_xlpm.v)))</f>
        <v>-</v>
      </c>
      <c r="D239" s="19"/>
      <c r="E239" s="19"/>
      <c r="F239" s="19"/>
      <c r="G239" s="19"/>
      <c r="H239" s="19"/>
      <c r="I239" s="19"/>
    </row>
    <row r="240" spans="1:12">
      <c r="A240" s="1" t="s">
        <v>239</v>
      </c>
      <c r="B240" t="str">
        <f ca="1">_xlfn.LET(_xlpm.v,VLOOKUP(tblCharDataKirk[[#This Row],[Field]],INDIRECT($AH$1),2,FALSE),IF(OR(_xlpm.v=0,_xlpm.v=""),"-",REPT("●",_xlpm.v)))</f>
        <v>-</v>
      </c>
      <c r="D240" s="19"/>
      <c r="E240" s="15" t="s">
        <v>360</v>
      </c>
      <c r="F240" s="62"/>
      <c r="G240" s="63"/>
      <c r="H240" s="63"/>
      <c r="I240" s="64"/>
    </row>
    <row r="241" spans="1:9">
      <c r="A241" s="1" t="s">
        <v>240</v>
      </c>
      <c r="B241" t="str">
        <f ca="1">_xlfn.LET(_xlpm.v,VLOOKUP(tblCharDataKirk[[#This Row],[Field]],INDIRECT($AH$1),2,FALSE),IF(OR(_xlpm.v=0,_xlpm.v=""),"-",REPT("●",_xlpm.v)))</f>
        <v>-</v>
      </c>
      <c r="D241" s="19"/>
      <c r="E241" s="15" t="s">
        <v>361</v>
      </c>
      <c r="F241" s="62"/>
      <c r="G241" s="63"/>
      <c r="H241" s="63"/>
      <c r="I241" s="64"/>
    </row>
    <row r="242" spans="1:9">
      <c r="A242" s="1" t="s">
        <v>241</v>
      </c>
      <c r="B242" t="str">
        <f ca="1">_xlfn.LET(_xlpm.v,VLOOKUP(tblCharDataKirk[[#This Row],[Field]],INDIRECT($AH$1),2,FALSE),IF(OR(_xlpm.v=0,_xlpm.v=""),"-",REPT("●",_xlpm.v)))</f>
        <v>-</v>
      </c>
      <c r="D242" s="19"/>
      <c r="E242" s="15" t="s">
        <v>362</v>
      </c>
      <c r="F242" s="62"/>
      <c r="G242" s="63"/>
      <c r="H242" s="63"/>
      <c r="I242" s="64"/>
    </row>
    <row r="243" spans="1:9">
      <c r="A243" s="1" t="s">
        <v>242</v>
      </c>
      <c r="B243" t="str">
        <f ca="1">_xlfn.LET(_xlpm.v,VLOOKUP(tblCharDataKirk[[#This Row],[Field]],INDIRECT($AH$1),2,FALSE),IF(OR(_xlpm.v=0,_xlpm.v=""),"-",REPT("●",_xlpm.v)))</f>
        <v>-</v>
      </c>
      <c r="D243" s="19"/>
      <c r="E243" s="19"/>
      <c r="F243" s="19"/>
      <c r="G243" s="19"/>
      <c r="H243" s="19"/>
      <c r="I243" s="19"/>
    </row>
    <row r="244" spans="1:9">
      <c r="A244" s="1" t="s">
        <v>243</v>
      </c>
      <c r="B244" t="str">
        <f ca="1">_xlfn.LET(_xlpm.v,VLOOKUP(tblCharDataKirk[[#This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_xlfn.LET(_xlpm.v,VLOOKUP(tblCharDataKirk[[#This Row],[Field]],INDIRECT($AH$1),2,FALSE),IF(OR(_xlpm.v=0,_xlpm.v=""),"-",REPT("●",_xlpm.v)))</f>
        <v>●●</v>
      </c>
      <c r="D245" s="19"/>
      <c r="E245" s="15" t="s">
        <v>1524</v>
      </c>
      <c r="F245" s="62"/>
      <c r="G245" s="63"/>
      <c r="H245" s="63"/>
      <c r="I245" s="64"/>
    </row>
    <row r="246" spans="1:9">
      <c r="A246" s="1" t="s">
        <v>245</v>
      </c>
      <c r="B246" t="str">
        <f ca="1">_xlfn.LET(_xlpm.v,VLOOKUP(tblCharDataKirk[[#This Row],[Field]],INDIRECT($AH$1),2,FALSE),IF(OR(_xlpm.v=0,_xlpm.v=""),"-",REPT("●",_xlpm.v)))</f>
        <v>-</v>
      </c>
    </row>
    <row r="247" spans="1:9">
      <c r="A247" s="1" t="s">
        <v>246</v>
      </c>
      <c r="B247" t="str">
        <f ca="1">_xlfn.LET(_xlpm.v,VLOOKUP(tblCharDataKirk[[#This Row],[Field]],INDIRECT($AH$1),2,FALSE),IF(OR(_xlpm.v=0,_xlpm.v=""),"-",REPT("●",_xlpm.v)))</f>
        <v>-</v>
      </c>
      <c r="D247" s="16" t="s">
        <v>1525</v>
      </c>
      <c r="E247" s="16"/>
      <c r="F247" s="16" t="s">
        <v>1526</v>
      </c>
      <c r="G247" s="16" t="s">
        <v>1527</v>
      </c>
      <c r="H247" s="16"/>
      <c r="I247" s="16"/>
    </row>
    <row r="248" spans="1:9">
      <c r="A248" s="1" t="s">
        <v>247</v>
      </c>
      <c r="B248" t="str">
        <f ca="1">_xlfn.LET(_xlpm.v,VLOOKUP(tblCharDataKirk[[#This Row],[Field]],INDIRECT($AH$1),2,FALSE),IF(OR(_xlpm.v=0,_xlpm.v=""),"-",REPT("●",_xlpm.v)))</f>
        <v>-</v>
      </c>
      <c r="D248" s="19"/>
      <c r="E248" s="15" t="s">
        <v>1528</v>
      </c>
      <c r="F248" s="7"/>
      <c r="G248" s="7"/>
      <c r="H248" s="19"/>
      <c r="I248" s="19" t="s">
        <v>1529</v>
      </c>
    </row>
    <row r="249" spans="1:9">
      <c r="A249" s="1" t="s">
        <v>248</v>
      </c>
      <c r="B249" t="str">
        <f ca="1">_xlfn.LET(_xlpm.v,VLOOKUP(tblCharDataKirk[[#This Row],[Field]],INDIRECT($AH$1),2,FALSE),IF(OR(_xlpm.v=0,_xlpm.v=""),"-",REPT("●",_xlpm.v)))</f>
        <v>-</v>
      </c>
      <c r="D249" s="19"/>
      <c r="E249" s="15" t="s">
        <v>1530</v>
      </c>
      <c r="F249" s="7"/>
      <c r="G249" s="7"/>
      <c r="H249" s="19"/>
      <c r="I249" s="19" t="s">
        <v>1531</v>
      </c>
    </row>
    <row r="250" spans="1:9">
      <c r="A250" s="1" t="s">
        <v>249</v>
      </c>
      <c r="B250" t="str">
        <f ca="1">_xlfn.LET(_xlpm.v,VLOOKUP(tblCharDataKirk[[#This Row],[Field]],INDIRECT($AH$1),2,FALSE),IF(OR(_xlpm.v=0,_xlpm.v=""),"-",REPT("●",_xlpm.v)))</f>
        <v>-</v>
      </c>
      <c r="D250" s="19" t="s">
        <v>1532</v>
      </c>
      <c r="E250" s="15" t="s">
        <v>1533</v>
      </c>
      <c r="F250" s="7"/>
      <c r="G250" s="7"/>
      <c r="H250" s="19"/>
      <c r="I250" s="19"/>
    </row>
    <row r="251" spans="1:9">
      <c r="A251" s="1" t="s">
        <v>250</v>
      </c>
      <c r="B251" t="str">
        <f ca="1">_xlfn.LET(_xlpm.v,VLOOKUP(tblCharDataKirk[[#This Row],[Field]],INDIRECT($AH$1),2,FALSE),IF(OR(_xlpm.v=0,_xlpm.v=""),"-",REPT("●",_xlpm.v)))</f>
        <v>-</v>
      </c>
      <c r="D251" s="19" t="s">
        <v>1532</v>
      </c>
      <c r="E251" s="15" t="s">
        <v>1534</v>
      </c>
      <c r="F251" s="7"/>
      <c r="G251" s="7"/>
      <c r="H251" s="19"/>
      <c r="I251" s="19"/>
    </row>
    <row r="252" spans="1:9">
      <c r="A252" s="1" t="s">
        <v>251</v>
      </c>
      <c r="B252" t="str">
        <f ca="1">_xlfn.LET(_xlpm.v,VLOOKUP(tblCharDataKirk[[#This Row],[Field]],INDIRECT($AH$1),2,FALSE),IF(OR(_xlpm.v=0,_xlpm.v=""),"-",REPT("●",_xlpm.v)))</f>
        <v>-</v>
      </c>
      <c r="D252" s="19" t="s">
        <v>1532</v>
      </c>
      <c r="E252" s="15" t="s">
        <v>1535</v>
      </c>
      <c r="F252" s="7"/>
      <c r="G252" s="7"/>
      <c r="H252" s="19"/>
      <c r="I252" s="19"/>
    </row>
    <row r="253" spans="1:9">
      <c r="A253" s="1" t="s">
        <v>252</v>
      </c>
      <c r="B253" t="str">
        <f ca="1">_xlfn.LET(_xlpm.v,VLOOKUP(tblCharDataKirk[[#This Row],[Field]],INDIRECT($AH$1),2,FALSE),IF(OR(_xlpm.v=0,_xlpm.v=""),"-",REPT("●",_xlpm.v)))</f>
        <v>-</v>
      </c>
      <c r="D253" s="19" t="s">
        <v>1532</v>
      </c>
      <c r="E253" s="15" t="s">
        <v>1536</v>
      </c>
      <c r="F253" s="7"/>
      <c r="G253" s="7"/>
      <c r="H253" s="19"/>
      <c r="I253" s="19"/>
    </row>
    <row r="254" spans="1:9">
      <c r="A254" s="1" t="s">
        <v>253</v>
      </c>
      <c r="B254" t="str">
        <f t="shared" ref="B254:B283" si="36">IF(AD44="","¬",AD44)</f>
        <v>Animalism ● | Feral Whispers</v>
      </c>
      <c r="D254" s="19" t="s">
        <v>1532</v>
      </c>
      <c r="E254" s="15" t="s">
        <v>1537</v>
      </c>
      <c r="F254" s="7"/>
      <c r="G254" s="7"/>
      <c r="H254" s="19"/>
      <c r="I254" s="19"/>
    </row>
    <row r="255" spans="1:9">
      <c r="A255" s="1" t="s">
        <v>254</v>
      </c>
      <c r="B255" t="str">
        <f t="shared" si="36"/>
        <v>Protean ● | Unmarked Grave</v>
      </c>
      <c r="D255" s="19" t="s">
        <v>1532</v>
      </c>
      <c r="E255" s="15" t="s">
        <v>1538</v>
      </c>
      <c r="F255" s="7"/>
      <c r="G255" s="7"/>
      <c r="H255" s="19"/>
      <c r="I255" s="19"/>
    </row>
    <row r="256" spans="1:9">
      <c r="A256" s="1" t="s">
        <v>255</v>
      </c>
      <c r="B256" t="str">
        <f t="shared" si="36"/>
        <v>Resilience ●●</v>
      </c>
      <c r="D256" s="19" t="s">
        <v>1532</v>
      </c>
      <c r="E256" s="15" t="s">
        <v>1539</v>
      </c>
      <c r="F256" s="7"/>
      <c r="G256" s="7"/>
      <c r="H256" s="19"/>
      <c r="I256" s="19"/>
    </row>
    <row r="257" spans="1:9">
      <c r="A257" s="1" t="s">
        <v>256</v>
      </c>
      <c r="B257" t="str">
        <f t="shared" si="36"/>
        <v>¬</v>
      </c>
      <c r="D257" s="19" t="s">
        <v>1532</v>
      </c>
      <c r="E257" s="15" t="s">
        <v>1540</v>
      </c>
      <c r="F257" s="7"/>
      <c r="G257" s="7"/>
      <c r="H257" s="19"/>
      <c r="I257" s="19"/>
    </row>
    <row r="258" spans="1:9">
      <c r="A258" s="1" t="s">
        <v>257</v>
      </c>
      <c r="B258" t="str">
        <f t="shared" si="36"/>
        <v>¬</v>
      </c>
      <c r="D258" s="19" t="s">
        <v>1532</v>
      </c>
      <c r="E258" s="15" t="s">
        <v>1541</v>
      </c>
      <c r="F258" s="7"/>
      <c r="G258" s="7"/>
      <c r="H258" s="19"/>
      <c r="I258" s="19"/>
    </row>
    <row r="259" spans="1:9">
      <c r="A259" s="1" t="s">
        <v>258</v>
      </c>
      <c r="B259" t="str">
        <f t="shared" si="36"/>
        <v>¬</v>
      </c>
      <c r="D259" s="19" t="s">
        <v>1532</v>
      </c>
      <c r="E259" s="15" t="s">
        <v>1542</v>
      </c>
      <c r="F259" s="7"/>
      <c r="G259" s="7"/>
      <c r="H259" s="19"/>
      <c r="I259" s="19"/>
    </row>
    <row r="260" spans="1:9">
      <c r="A260" s="1" t="s">
        <v>259</v>
      </c>
      <c r="B260" t="str">
        <f t="shared" si="36"/>
        <v>¬</v>
      </c>
      <c r="D260" s="19" t="s">
        <v>1532</v>
      </c>
      <c r="E260" s="15" t="s">
        <v>1543</v>
      </c>
      <c r="F260" s="7"/>
      <c r="G260" s="7"/>
      <c r="H260" s="19"/>
      <c r="I260" s="19"/>
    </row>
    <row r="261" spans="1:9">
      <c r="A261" s="1" t="s">
        <v>260</v>
      </c>
      <c r="B261" t="str">
        <f t="shared" si="36"/>
        <v>¬</v>
      </c>
      <c r="D261" s="19" t="s">
        <v>1532</v>
      </c>
      <c r="E261" s="15" t="s">
        <v>1544</v>
      </c>
      <c r="F261" s="7"/>
      <c r="G261" s="7"/>
      <c r="H261" s="19"/>
      <c r="I261" s="19"/>
    </row>
    <row r="262" spans="1:9">
      <c r="A262" s="1" t="s">
        <v>261</v>
      </c>
      <c r="B262" t="str">
        <f t="shared" si="36"/>
        <v>¬</v>
      </c>
      <c r="D262" s="19" t="s">
        <v>1532</v>
      </c>
      <c r="E262" s="15" t="s">
        <v>1545</v>
      </c>
      <c r="F262" s="7"/>
      <c r="G262" s="7"/>
      <c r="H262" s="19"/>
      <c r="I262" s="19"/>
    </row>
    <row r="263" spans="1:9">
      <c r="A263" s="1" t="s">
        <v>262</v>
      </c>
      <c r="B263" t="str">
        <f t="shared" si="36"/>
        <v>¬</v>
      </c>
      <c r="D263" s="19" t="s">
        <v>1532</v>
      </c>
      <c r="E263" s="15" t="s">
        <v>1546</v>
      </c>
      <c r="F263" s="7"/>
      <c r="G263" s="7"/>
      <c r="H263" s="19"/>
      <c r="I263" s="19"/>
    </row>
    <row r="264" spans="1:9">
      <c r="A264" s="1" t="s">
        <v>263</v>
      </c>
      <c r="B264" t="str">
        <f t="shared" si="36"/>
        <v>¬</v>
      </c>
      <c r="D264" s="19" t="s">
        <v>1532</v>
      </c>
      <c r="E264" s="15" t="s">
        <v>1547</v>
      </c>
      <c r="F264" s="7"/>
      <c r="G264" s="7"/>
      <c r="H264" s="19"/>
      <c r="I264" s="19"/>
    </row>
    <row r="265" spans="1:9">
      <c r="A265" s="1" t="s">
        <v>264</v>
      </c>
      <c r="B265" t="str">
        <f t="shared" si="36"/>
        <v>¬</v>
      </c>
      <c r="D265" s="19" t="s">
        <v>1532</v>
      </c>
      <c r="E265" s="15" t="s">
        <v>1548</v>
      </c>
      <c r="F265" s="7"/>
      <c r="G265" s="7"/>
      <c r="H265" s="19"/>
      <c r="I265" s="19"/>
    </row>
    <row r="266" spans="1:9">
      <c r="A266" s="1" t="s">
        <v>265</v>
      </c>
      <c r="B266" t="str">
        <f t="shared" si="36"/>
        <v>¬</v>
      </c>
      <c r="D266" s="19" t="s">
        <v>1532</v>
      </c>
      <c r="E266" s="15" t="s">
        <v>1549</v>
      </c>
      <c r="F266" s="7"/>
      <c r="G266" s="7"/>
      <c r="H266" s="19"/>
      <c r="I266" s="19"/>
    </row>
    <row r="267" spans="1:9">
      <c r="A267" s="1" t="s">
        <v>266</v>
      </c>
      <c r="B267" t="str">
        <f t="shared" si="36"/>
        <v>¬</v>
      </c>
      <c r="D267" s="19" t="s">
        <v>1532</v>
      </c>
      <c r="E267" s="15" t="s">
        <v>1550</v>
      </c>
      <c r="F267" s="7"/>
      <c r="G267" s="7"/>
      <c r="H267" s="19"/>
      <c r="I267" s="19"/>
    </row>
    <row r="268" spans="1:9">
      <c r="A268" s="1" t="s">
        <v>267</v>
      </c>
      <c r="B268" t="str">
        <f t="shared" si="36"/>
        <v>¬</v>
      </c>
      <c r="D268" s="19" t="s">
        <v>1532</v>
      </c>
      <c r="E268" s="15" t="s">
        <v>1551</v>
      </c>
      <c r="F268" s="7"/>
      <c r="G268" s="7"/>
      <c r="H268" s="19"/>
      <c r="I268" s="19"/>
    </row>
    <row r="269" spans="1:9">
      <c r="A269" s="1" t="s">
        <v>268</v>
      </c>
      <c r="B269" t="str">
        <f t="shared" si="36"/>
        <v>¬</v>
      </c>
      <c r="D269" s="19" t="s">
        <v>1532</v>
      </c>
      <c r="E269" s="15" t="s">
        <v>1552</v>
      </c>
      <c r="F269" s="7"/>
      <c r="G269" s="7"/>
      <c r="H269" s="19"/>
      <c r="I269" s="19"/>
    </row>
    <row r="270" spans="1:9">
      <c r="A270" s="1" t="s">
        <v>269</v>
      </c>
      <c r="B270" t="str">
        <f t="shared" si="36"/>
        <v>¬</v>
      </c>
      <c r="D270" s="19" t="s">
        <v>1532</v>
      </c>
      <c r="E270" s="15" t="s">
        <v>1553</v>
      </c>
      <c r="F270" s="7"/>
      <c r="G270" s="7"/>
      <c r="H270" s="19"/>
      <c r="I270" s="19"/>
    </row>
    <row r="271" spans="1:9">
      <c r="A271" s="1" t="s">
        <v>270</v>
      </c>
      <c r="B271" t="str">
        <f t="shared" si="36"/>
        <v>¬</v>
      </c>
      <c r="D271" s="19" t="s">
        <v>1532</v>
      </c>
      <c r="E271" s="15" t="s">
        <v>1554</v>
      </c>
      <c r="F271" s="7"/>
      <c r="G271" s="7"/>
      <c r="H271" s="19"/>
      <c r="I271" s="19"/>
    </row>
    <row r="272" spans="1:9">
      <c r="A272" s="1" t="s">
        <v>271</v>
      </c>
      <c r="B272" t="str">
        <f t="shared" si="36"/>
        <v>¬</v>
      </c>
      <c r="D272" s="19" t="s">
        <v>1532</v>
      </c>
      <c r="E272" s="15" t="s">
        <v>1555</v>
      </c>
      <c r="F272" s="7"/>
      <c r="G272" s="7"/>
      <c r="H272" s="19"/>
      <c r="I272" s="19"/>
    </row>
    <row r="273" spans="1:14">
      <c r="A273" s="1" t="s">
        <v>272</v>
      </c>
      <c r="B273" t="str">
        <f t="shared" si="36"/>
        <v>¬</v>
      </c>
      <c r="D273" s="19" t="s">
        <v>1532</v>
      </c>
      <c r="E273" s="15" t="s">
        <v>1556</v>
      </c>
      <c r="F273" s="7"/>
      <c r="G273" s="7"/>
      <c r="H273" s="19"/>
      <c r="I273" s="19"/>
    </row>
    <row r="274" spans="1:14">
      <c r="A274" s="1" t="s">
        <v>273</v>
      </c>
      <c r="B274" t="str">
        <f t="shared" si="36"/>
        <v>¬</v>
      </c>
      <c r="D274" s="19" t="s">
        <v>1532</v>
      </c>
      <c r="E274" s="15" t="s">
        <v>1557</v>
      </c>
      <c r="F274" s="7"/>
      <c r="G274" s="7"/>
      <c r="H274" s="19"/>
      <c r="I274" s="19"/>
    </row>
    <row r="275" spans="1:14">
      <c r="A275" s="1" t="s">
        <v>274</v>
      </c>
      <c r="B275" t="str">
        <f t="shared" si="36"/>
        <v>¬</v>
      </c>
      <c r="D275" s="19" t="s">
        <v>1532</v>
      </c>
      <c r="E275" s="15" t="s">
        <v>1558</v>
      </c>
      <c r="F275" s="7"/>
      <c r="G275" s="7"/>
      <c r="H275" s="19"/>
      <c r="I275" s="19"/>
    </row>
    <row r="276" spans="1:14">
      <c r="A276" s="1" t="s">
        <v>275</v>
      </c>
      <c r="B276" t="str">
        <f t="shared" si="36"/>
        <v>¬</v>
      </c>
      <c r="D276" s="19" t="s">
        <v>1532</v>
      </c>
      <c r="E276" s="15" t="s">
        <v>1559</v>
      </c>
      <c r="F276" s="7"/>
      <c r="G276" s="7"/>
      <c r="H276" s="19"/>
      <c r="I276" s="19"/>
    </row>
    <row r="277" spans="1:14">
      <c r="A277" s="1" t="s">
        <v>276</v>
      </c>
      <c r="B277" t="str">
        <f t="shared" si="36"/>
        <v>¬</v>
      </c>
      <c r="D277" s="19" t="s">
        <v>1532</v>
      </c>
      <c r="E277" s="15" t="s">
        <v>1560</v>
      </c>
      <c r="F277" s="7"/>
      <c r="G277" s="7"/>
      <c r="H277" s="19"/>
      <c r="I277" s="19"/>
    </row>
    <row r="278" spans="1:14">
      <c r="A278" s="1" t="s">
        <v>277</v>
      </c>
      <c r="B278" t="str">
        <f t="shared" si="36"/>
        <v>¬</v>
      </c>
    </row>
    <row r="279" spans="1:14">
      <c r="A279" s="1" t="s">
        <v>278</v>
      </c>
      <c r="B279" t="str">
        <f t="shared" si="36"/>
        <v>¬</v>
      </c>
      <c r="D279" s="16" t="s">
        <v>1561</v>
      </c>
      <c r="E279" s="16"/>
      <c r="F279" s="16" t="s">
        <v>1347</v>
      </c>
      <c r="G279" s="16" t="s">
        <v>1348</v>
      </c>
      <c r="H279" s="16" t="s">
        <v>1349</v>
      </c>
      <c r="I279" s="16" t="s">
        <v>1350</v>
      </c>
      <c r="N279" s="60">
        <f ca="1">SUM(N280:N282)</f>
        <v>4</v>
      </c>
    </row>
    <row r="280" spans="1:14">
      <c r="A280" s="1" t="s">
        <v>279</v>
      </c>
      <c r="B280" t="str">
        <f t="shared" si="36"/>
        <v>¬</v>
      </c>
      <c r="D280" s="61" cm="1">
        <f t="array" aca="1" ref="D280" ca="1">INDEX(Attendance!$C$14:$GP$44,
       MATCH($F$4, Attendance!$C$14:$C$44, 0),
       MATCH(1, (Attendance!$C$12:$GP$12=$E280) * (Attendance!$C$13:$GP$13="Paid"), 0)
)</f>
        <v>0</v>
      </c>
      <c r="E280" s="41">
        <v>46054</v>
      </c>
      <c r="F280" s="61" cm="1">
        <f t="array" aca="1" ref="F280" ca="1">N(INDEX(Attendance!$C$14:$GP$104,
       MATCH($F$4, Attendance!$C$14:$C$104, 0),
       MATCH(1, (Attendance!$C$12:$GP$12=$E280) * (Attendance!$C$13:$GP$13=$F$279), 0)
))</f>
        <v>3</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1</v>
      </c>
      <c r="I280" s="61" t="str" cm="1">
        <f t="array" aca="1" ref="I280" ca="1">INDEX(Attendance!$C$14:$GP$44,
       MATCH($F$4, Attendance!$C$14:$C$44, 0),
       MATCH(1, (Attendance!$C$12:$GP$12=$E280) * (Attendance!$C$13:$GP$13=$I$279), 0)
)</f>
        <v>Quiet</v>
      </c>
      <c r="K280" s="18"/>
      <c r="L280" s="18"/>
      <c r="M280" s="18" t="s">
        <v>1562</v>
      </c>
      <c r="N280" s="61">
        <f ca="1">SUM(F$280:F$316)</f>
        <v>3</v>
      </c>
    </row>
    <row r="281" spans="1:14">
      <c r="A281" s="1" t="s">
        <v>280</v>
      </c>
      <c r="B281" t="str">
        <f t="shared" si="36"/>
        <v>¬</v>
      </c>
      <c r="D281" s="61" t="str" cm="1">
        <f t="array" aca="1" ref="D281" ca="1">INDEX(Attendance!$C$14:$GP$44,
       MATCH($F$4, Attendance!$C$14:$C$44, 0),
       MATCH(1, (Attendance!$C$12:$GP$12=$E281) * (Attendance!$C$13:$GP$13="Paid"), 0)
)</f>
        <v> </v>
      </c>
      <c r="E281" s="42">
        <f t="shared" ref="E281:E316" si="37">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6"/>
        <v>¬</v>
      </c>
      <c r="D282" s="61" t="str" cm="1">
        <f t="array" aca="1" ref="D282" ca="1">INDEX(Attendance!$C$14:$GP$44,
       MATCH($F$4, Attendance!$C$14:$C$44, 0),
       MATCH(1, (Attendance!$C$12:$GP$12=$E282) * (Attendance!$C$13:$GP$13="Paid"), 0)
)</f>
        <v> </v>
      </c>
      <c r="E282" s="42">
        <f t="shared" si="37"/>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1</v>
      </c>
    </row>
    <row r="283" spans="1:14">
      <c r="A283" s="1" t="s">
        <v>282</v>
      </c>
      <c r="B283" t="str">
        <f t="shared" si="36"/>
        <v>¬</v>
      </c>
      <c r="D283" s="61" t="str" cm="1">
        <f t="array" aca="1" ref="D283" ca="1">INDEX(Attendance!$C$14:$GP$44,
       MATCH($F$4, Attendance!$C$14:$C$44, 0),
       MATCH(1, (Attendance!$C$12:$GP$12=$E283) * (Attendance!$C$13:$GP$13="Paid"), 0)
)</f>
        <v> </v>
      </c>
      <c r="E283" s="42">
        <f t="shared" si="37"/>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8">IF(AE44="","¬",AE44)</f>
        <v>Cost: -  •  Pool: 4  •  Instant  •  Scene (may persist)</v>
      </c>
      <c r="D284" s="61" t="str" cm="1">
        <f t="array" aca="1" ref="D284" ca="1">INDEX(Attendance!$C$14:$GP$44,
       MATCH($F$4, Attendance!$C$14:$C$44, 0),
       MATCH(1, (Attendance!$C$12:$GP$12=$E284) * (Attendance!$C$13:$GP$13="Paid"), 0)
)</f>
        <v> </v>
      </c>
      <c r="E284" s="42">
        <f t="shared" si="37"/>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8"/>
        <v>Cost: Varies  •  Pool: -  •  Instant  •  Indefinite</v>
      </c>
      <c r="D285" s="61" t="str" cm="1">
        <f t="array" aca="1" ref="D285" ca="1">INDEX(Attendance!$C$14:$GP$44,
       MATCH($F$4, Attendance!$C$14:$C$44, 0),
       MATCH(1, (Attendance!$C$12:$GP$12=$E285) * (Attendance!$C$13:$GP$13="Paid"), 0)
)</f>
        <v> </v>
      </c>
      <c r="E285" s="42">
        <f t="shared" si="37"/>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8"/>
        <v>Cost: 1 V per effect  •  Pool: -  •  Reflexive  •  1 turn</v>
      </c>
      <c r="D286" s="61" t="str" cm="1">
        <f t="array" aca="1" ref="D286" ca="1">INDEX(Attendance!$C$14:$GP$44,
       MATCH($F$4, Attendance!$C$14:$C$44, 0),
       MATCH(1, (Attendance!$C$12:$GP$12=$E286) * (Attendance!$C$13:$GP$13="Paid"), 0)
)</f>
        <v> </v>
      </c>
      <c r="E286" s="42">
        <f t="shared" si="37"/>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8"/>
        <v>¬</v>
      </c>
      <c r="D287" s="61" t="str" cm="1">
        <f t="array" aca="1" ref="D287" ca="1">INDEX(Attendance!$C$14:$GP$44,
       MATCH($F$4, Attendance!$C$14:$C$44, 0),
       MATCH(1, (Attendance!$C$12:$GP$12=$E287) * (Attendance!$C$13:$GP$13="Paid"), 0)
)</f>
        <v> </v>
      </c>
      <c r="E287" s="42">
        <f t="shared" si="37"/>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8"/>
        <v>¬</v>
      </c>
      <c r="D288" s="61" t="str" cm="1">
        <f t="array" aca="1" ref="D288" ca="1">INDEX(Attendance!$C$14:$GP$44,
       MATCH($F$4, Attendance!$C$14:$C$44, 0),
       MATCH(1, (Attendance!$C$12:$GP$12=$E288) * (Attendance!$C$13:$GP$13="Paid"), 0)
)</f>
        <v> </v>
      </c>
      <c r="E288" s="42">
        <f t="shared" si="37"/>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8"/>
        <v>¬</v>
      </c>
      <c r="D289" s="61" t="str" cm="1">
        <f t="array" aca="1" ref="D289" ca="1">INDEX(Attendance!$C$14:$GP$44,
       MATCH($F$4, Attendance!$C$14:$C$44, 0),
       MATCH(1, (Attendance!$C$12:$GP$12=$E289) * (Attendance!$C$13:$GP$13="Paid"), 0)
)</f>
        <v> </v>
      </c>
      <c r="E289" s="42">
        <f t="shared" si="37"/>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8"/>
        <v>¬</v>
      </c>
      <c r="D290" s="61" t="str" cm="1">
        <f t="array" aca="1" ref="D290" ca="1">INDEX(Attendance!$C$14:$GP$44,
       MATCH($F$4, Attendance!$C$14:$C$44, 0),
       MATCH(1, (Attendance!$C$12:$GP$12=$E290) * (Attendance!$C$13:$GP$13="Paid"), 0)
)</f>
        <v> </v>
      </c>
      <c r="E290" s="42">
        <f t="shared" si="37"/>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8"/>
        <v>¬</v>
      </c>
      <c r="D291" s="61" t="str" cm="1">
        <f t="array" aca="1" ref="D291" ca="1">INDEX(Attendance!$C$14:$GP$44,
       MATCH($F$4, Attendance!$C$14:$C$44, 0),
       MATCH(1, (Attendance!$C$12:$GP$12=$E291) * (Attendance!$C$13:$GP$13="Paid"), 0)
)</f>
        <v> </v>
      </c>
      <c r="E291" s="42">
        <f t="shared" si="37"/>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8"/>
        <v>¬</v>
      </c>
      <c r="D292" s="61" t="str" cm="1">
        <f t="array" aca="1" ref="D292" ca="1">INDEX(Attendance!$C$14:$GP$44,
       MATCH($F$4, Attendance!$C$14:$C$44, 0),
       MATCH(1, (Attendance!$C$12:$GP$12=$E292) * (Attendance!$C$13:$GP$13="Paid"), 0)
)</f>
        <v> </v>
      </c>
      <c r="E292" s="42">
        <f t="shared" si="37"/>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8"/>
        <v>¬</v>
      </c>
      <c r="D293" s="61" t="str" cm="1">
        <f t="array" aca="1" ref="D293" ca="1">INDEX(Attendance!$C$14:$GP$44,
       MATCH($F$4, Attendance!$C$14:$C$44, 0),
       MATCH(1, (Attendance!$C$12:$GP$12=$E293) * (Attendance!$C$13:$GP$13="Paid"), 0)
)</f>
        <v> </v>
      </c>
      <c r="E293" s="42">
        <f t="shared" si="37"/>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8"/>
        <v>¬</v>
      </c>
      <c r="D294" s="61" t="str" cm="1">
        <f t="array" aca="1" ref="D294" ca="1">INDEX(Attendance!$C$14:$GP$44,
       MATCH($F$4, Attendance!$C$14:$C$44, 0),
       MATCH(1, (Attendance!$C$12:$GP$12=$E294) * (Attendance!$C$13:$GP$13="Paid"), 0)
)</f>
        <v> </v>
      </c>
      <c r="E294" s="42">
        <f t="shared" si="37"/>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8"/>
        <v>¬</v>
      </c>
      <c r="D295" s="61" t="str" cm="1">
        <f t="array" aca="1" ref="D295" ca="1">INDEX(Attendance!$C$14:$GP$44,
       MATCH($F$4, Attendance!$C$14:$C$44, 0),
       MATCH(1, (Attendance!$C$12:$GP$12=$E295) * (Attendance!$C$13:$GP$13="Paid"), 0)
)</f>
        <v> </v>
      </c>
      <c r="E295" s="42">
        <f t="shared" si="37"/>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8"/>
        <v>¬</v>
      </c>
      <c r="D296" s="61" t="str" cm="1">
        <f t="array" aca="1" ref="D296" ca="1">INDEX(Attendance!$C$14:$GP$44,
       MATCH($F$4, Attendance!$C$14:$C$44, 0),
       MATCH(1, (Attendance!$C$12:$GP$12=$E296) * (Attendance!$C$13:$GP$13="Paid"), 0)
)</f>
        <v> </v>
      </c>
      <c r="E296" s="42">
        <f t="shared" si="37"/>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8"/>
        <v>¬</v>
      </c>
      <c r="D297" s="61" t="str" cm="1">
        <f t="array" aca="1" ref="D297" ca="1">INDEX(Attendance!$C$14:$GP$44,
       MATCH($F$4, Attendance!$C$14:$C$44, 0),
       MATCH(1, (Attendance!$C$12:$GP$12=$E297) * (Attendance!$C$13:$GP$13="Paid"), 0)
)</f>
        <v> </v>
      </c>
      <c r="E297" s="42">
        <f t="shared" si="37"/>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8"/>
        <v>¬</v>
      </c>
      <c r="D298" s="61" t="str" cm="1">
        <f t="array" aca="1" ref="D298" ca="1">INDEX(Attendance!$C$14:$GP$44,
       MATCH($F$4, Attendance!$C$14:$C$44, 0),
       MATCH(1, (Attendance!$C$12:$GP$12=$E298) * (Attendance!$C$13:$GP$13="Paid"), 0)
)</f>
        <v> </v>
      </c>
      <c r="E298" s="42">
        <f t="shared" si="37"/>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8"/>
        <v>¬</v>
      </c>
      <c r="D299" s="61" t="str" cm="1">
        <f t="array" aca="1" ref="D299" ca="1">INDEX(Attendance!$C$14:$GP$44,
       MATCH($F$4, Attendance!$C$14:$C$44, 0),
       MATCH(1, (Attendance!$C$12:$GP$12=$E299) * (Attendance!$C$13:$GP$13="Paid"), 0)
)</f>
        <v> </v>
      </c>
      <c r="E299" s="42">
        <f t="shared" si="37"/>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8"/>
        <v>¬</v>
      </c>
      <c r="D300" s="61" t="str" cm="1">
        <f t="array" aca="1" ref="D300" ca="1">INDEX(Attendance!$C$14:$GP$44,
       MATCH($F$4, Attendance!$C$14:$C$44, 0),
       MATCH(1, (Attendance!$C$12:$GP$12=$E300) * (Attendance!$C$13:$GP$13="Paid"), 0)
)</f>
        <v> </v>
      </c>
      <c r="E300" s="42">
        <f t="shared" si="37"/>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8"/>
        <v>¬</v>
      </c>
      <c r="D301" s="61" t="str" cm="1">
        <f t="array" aca="1" ref="D301" ca="1">INDEX(Attendance!$C$14:$GP$44,
       MATCH($F$4, Attendance!$C$14:$C$44, 0),
       MATCH(1, (Attendance!$C$12:$GP$12=$E301) * (Attendance!$C$13:$GP$13="Paid"), 0)
)</f>
        <v> </v>
      </c>
      <c r="E301" s="42">
        <f t="shared" si="37"/>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8"/>
        <v>¬</v>
      </c>
      <c r="D302" s="61" t="str" cm="1">
        <f t="array" aca="1" ref="D302" ca="1">INDEX(Attendance!$C$14:$GP$44,
       MATCH($F$4, Attendance!$C$14:$C$44, 0),
       MATCH(1, (Attendance!$C$12:$GP$12=$E302) * (Attendance!$C$13:$GP$13="Paid"), 0)
)</f>
        <v> </v>
      </c>
      <c r="E302" s="42">
        <f t="shared" si="37"/>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8"/>
        <v>¬</v>
      </c>
      <c r="D303" s="61" t="str" cm="1">
        <f t="array" aca="1" ref="D303" ca="1">INDEX(Attendance!$C$14:$GP$44,
       MATCH($F$4, Attendance!$C$14:$C$44, 0),
       MATCH(1, (Attendance!$C$12:$GP$12=$E303) * (Attendance!$C$13:$GP$13="Paid"), 0)
)</f>
        <v> </v>
      </c>
      <c r="E303" s="42">
        <f t="shared" si="37"/>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8"/>
        <v>¬</v>
      </c>
      <c r="D304" s="61" t="str" cm="1">
        <f t="array" aca="1" ref="D304" ca="1">INDEX(Attendance!$C$14:$GP$44,
       MATCH($F$4, Attendance!$C$14:$C$44, 0),
       MATCH(1, (Attendance!$C$12:$GP$12=$E304) * (Attendance!$C$13:$GP$13="Paid"), 0)
)</f>
        <v> </v>
      </c>
      <c r="E304" s="42">
        <f t="shared" si="37"/>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8"/>
        <v>¬</v>
      </c>
      <c r="D305" s="61" t="str" cm="1">
        <f t="array" aca="1" ref="D305" ca="1">INDEX(Attendance!$C$14:$GP$44,
       MATCH($F$4, Attendance!$C$14:$C$44, 0),
       MATCH(1, (Attendance!$C$12:$GP$12=$E305) * (Attendance!$C$13:$GP$13="Paid"), 0)
)</f>
        <v> </v>
      </c>
      <c r="E305" s="42">
        <f t="shared" si="37"/>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8"/>
        <v>¬</v>
      </c>
      <c r="D306" s="61" t="str" cm="1">
        <f t="array" aca="1" ref="D306" ca="1">INDEX(Attendance!$C$14:$GP$44,
       MATCH($F$4, Attendance!$C$14:$C$44, 0),
       MATCH(1, (Attendance!$C$12:$GP$12=$E306) * (Attendance!$C$13:$GP$13="Paid"), 0)
)</f>
        <v> </v>
      </c>
      <c r="E306" s="42">
        <f t="shared" si="37"/>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8"/>
        <v>¬</v>
      </c>
      <c r="D307" s="61" t="str" cm="1">
        <f t="array" aca="1" ref="D307" ca="1">INDEX(Attendance!$C$14:$GP$44,
       MATCH($F$4, Attendance!$C$14:$C$44, 0),
       MATCH(1, (Attendance!$C$12:$GP$12=$E307) * (Attendance!$C$13:$GP$13="Paid"), 0)
)</f>
        <v> </v>
      </c>
      <c r="E307" s="42">
        <f t="shared" si="37"/>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8"/>
        <v>¬</v>
      </c>
      <c r="D308" s="61" t="str" cm="1">
        <f t="array" aca="1" ref="D308" ca="1">INDEX(Attendance!$C$14:$GP$44,
       MATCH($F$4, Attendance!$C$14:$C$44, 0),
       MATCH(1, (Attendance!$C$12:$GP$12=$E308) * (Attendance!$C$13:$GP$13="Paid"), 0)
)</f>
        <v> </v>
      </c>
      <c r="E308" s="42">
        <f t="shared" si="37"/>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8"/>
        <v>¬</v>
      </c>
      <c r="D309" s="61" t="str" cm="1">
        <f t="array" aca="1" ref="D309" ca="1">INDEX(Attendance!$C$14:$GP$44,
       MATCH($F$4, Attendance!$C$14:$C$44, 0),
       MATCH(1, (Attendance!$C$12:$GP$12=$E309) * (Attendance!$C$13:$GP$13="Paid"), 0)
)</f>
        <v> </v>
      </c>
      <c r="E309" s="42">
        <f t="shared" si="37"/>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8"/>
        <v>¬</v>
      </c>
      <c r="D310" s="61" t="str" cm="1">
        <f t="array" aca="1" ref="D310" ca="1">INDEX(Attendance!$C$14:$GP$44,
       MATCH($F$4, Attendance!$C$14:$C$44, 0),
       MATCH(1, (Attendance!$C$12:$GP$12=$E310) * (Attendance!$C$13:$GP$13="Paid"), 0)
)</f>
        <v> </v>
      </c>
      <c r="E310" s="42">
        <f t="shared" si="37"/>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8"/>
        <v>¬</v>
      </c>
      <c r="D311" s="61" t="str" cm="1">
        <f t="array" aca="1" ref="D311" ca="1">INDEX(Attendance!$C$14:$GP$44,
       MATCH($F$4, Attendance!$C$14:$C$44, 0),
       MATCH(1, (Attendance!$C$12:$GP$12=$E311) * (Attendance!$C$13:$GP$13="Paid"), 0)
)</f>
        <v> </v>
      </c>
      <c r="E311" s="42">
        <f t="shared" si="37"/>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8"/>
        <v>¬</v>
      </c>
      <c r="D312" s="61" t="str" cm="1">
        <f t="array" aca="1" ref="D312" ca="1">INDEX(Attendance!$C$14:$GP$44,
       MATCH($F$4, Attendance!$C$14:$C$44, 0),
       MATCH(1, (Attendance!$C$12:$GP$12=$E312) * (Attendance!$C$13:$GP$13="Paid"), 0)
)</f>
        <v> </v>
      </c>
      <c r="E312" s="42">
        <f t="shared" si="37"/>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8"/>
        <v>¬</v>
      </c>
      <c r="D313" s="61" t="str" cm="1">
        <f t="array" aca="1" ref="D313" ca="1">INDEX(Attendance!$C$14:$GP$44,
       MATCH($F$4, Attendance!$C$14:$C$44, 0),
       MATCH(1, (Attendance!$C$12:$GP$12=$E313) * (Attendance!$C$13:$GP$13="Paid"), 0)
)</f>
        <v> </v>
      </c>
      <c r="E313" s="42">
        <f t="shared" si="37"/>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39">IF(AF44="","¬",AF44)</f>
        <v>Speak with and command animals.</v>
      </c>
      <c r="D314" s="61" t="str" cm="1">
        <f t="array" aca="1" ref="D314" ca="1">INDEX(Attendance!$C$14:$GP$44,
       MATCH($F$4, Attendance!$C$14:$C$44, 0),
       MATCH(1, (Attendance!$C$12:$GP$12=$E314) * (Attendance!$C$13:$GP$13="Paid"), 0)
)</f>
        <v> </v>
      </c>
      <c r="E314" s="42">
        <f t="shared" si="37"/>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39"/>
        <v>Merge with soil.</v>
      </c>
      <c r="D315" s="61" t="str" cm="1">
        <f t="array" aca="1" ref="D315" ca="1">INDEX(Attendance!$C$14:$GP$44,
       MATCH($F$4, Attendance!$C$14:$C$44, 0),
       MATCH(1, (Attendance!$C$12:$GP$12=$E315) * (Attendance!$C$13:$GP$13="Paid"), 0)
)</f>
        <v> </v>
      </c>
      <c r="E315" s="42">
        <f t="shared" si="37"/>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39"/>
        <v>Downgrade damage and increase Stamina. Improve Armour and Defences. Unnatural Fortitude: add Resilience dots as bonus dice to non-combat Stamina pools.</v>
      </c>
      <c r="D316" s="61" t="str" cm="1">
        <f t="array" aca="1" ref="D316" ca="1">INDEX(Attendance!$C$14:$GP$44,
       MATCH($F$4, Attendance!$C$14:$C$44, 0),
       MATCH(1, (Attendance!$C$12:$GP$12=$E316) * (Attendance!$C$13:$GP$13="Paid"), 0)
)</f>
        <v> </v>
      </c>
      <c r="E316" s="42">
        <f t="shared" si="37"/>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39"/>
        <v>¬</v>
      </c>
    </row>
    <row r="318" spans="1:9">
      <c r="A318" s="1" t="s">
        <v>317</v>
      </c>
      <c r="B318" t="str">
        <f t="shared" si="39"/>
        <v>¬</v>
      </c>
    </row>
    <row r="319" spans="1:9">
      <c r="A319" s="1" t="s">
        <v>318</v>
      </c>
      <c r="B319" t="str">
        <f t="shared" si="39"/>
        <v>¬</v>
      </c>
    </row>
    <row r="320" spans="1:9">
      <c r="A320" s="1" t="s">
        <v>319</v>
      </c>
      <c r="B320" t="str">
        <f t="shared" si="39"/>
        <v>¬</v>
      </c>
    </row>
    <row r="321" spans="1:2">
      <c r="A321" s="1" t="s">
        <v>320</v>
      </c>
      <c r="B321" t="str">
        <f t="shared" si="39"/>
        <v>¬</v>
      </c>
    </row>
    <row r="322" spans="1:2">
      <c r="A322" s="1" t="s">
        <v>321</v>
      </c>
      <c r="B322" t="str">
        <f t="shared" si="39"/>
        <v>¬</v>
      </c>
    </row>
    <row r="323" spans="1:2">
      <c r="A323" s="1" t="s">
        <v>322</v>
      </c>
      <c r="B323" t="str">
        <f t="shared" si="39"/>
        <v>¬</v>
      </c>
    </row>
    <row r="324" spans="1:2">
      <c r="A324" s="1" t="s">
        <v>323</v>
      </c>
      <c r="B324" t="str">
        <f t="shared" si="39"/>
        <v>¬</v>
      </c>
    </row>
    <row r="325" spans="1:2">
      <c r="A325" s="1" t="s">
        <v>324</v>
      </c>
      <c r="B325" t="str">
        <f t="shared" si="39"/>
        <v>¬</v>
      </c>
    </row>
    <row r="326" spans="1:2">
      <c r="A326" s="1" t="s">
        <v>325</v>
      </c>
      <c r="B326" t="str">
        <f t="shared" si="39"/>
        <v>¬</v>
      </c>
    </row>
    <row r="327" spans="1:2">
      <c r="A327" s="1" t="s">
        <v>326</v>
      </c>
      <c r="B327" t="str">
        <f t="shared" si="39"/>
        <v>¬</v>
      </c>
    </row>
    <row r="328" spans="1:2">
      <c r="A328" s="1" t="s">
        <v>327</v>
      </c>
      <c r="B328" t="str">
        <f t="shared" si="39"/>
        <v>¬</v>
      </c>
    </row>
    <row r="329" spans="1:2">
      <c r="A329" s="1" t="s">
        <v>328</v>
      </c>
      <c r="B329" t="str">
        <f t="shared" si="39"/>
        <v>¬</v>
      </c>
    </row>
    <row r="330" spans="1:2">
      <c r="A330" s="1" t="s">
        <v>329</v>
      </c>
      <c r="B330" t="str">
        <f t="shared" si="39"/>
        <v>¬</v>
      </c>
    </row>
    <row r="331" spans="1:2">
      <c r="A331" s="1" t="s">
        <v>330</v>
      </c>
      <c r="B331" t="str">
        <f t="shared" si="39"/>
        <v>¬</v>
      </c>
    </row>
    <row r="332" spans="1:2">
      <c r="A332" s="1" t="s">
        <v>331</v>
      </c>
      <c r="B332" t="str">
        <f t="shared" si="39"/>
        <v>¬</v>
      </c>
    </row>
    <row r="333" spans="1:2">
      <c r="A333" s="1" t="s">
        <v>332</v>
      </c>
      <c r="B333" t="str">
        <f t="shared" si="39"/>
        <v>¬</v>
      </c>
    </row>
    <row r="334" spans="1:2">
      <c r="A334" s="1" t="s">
        <v>333</v>
      </c>
      <c r="B334" t="str">
        <f t="shared" si="39"/>
        <v>¬</v>
      </c>
    </row>
    <row r="335" spans="1:2">
      <c r="A335" s="1" t="s">
        <v>334</v>
      </c>
      <c r="B335" t="str">
        <f t="shared" si="39"/>
        <v>¬</v>
      </c>
    </row>
    <row r="336" spans="1:2">
      <c r="A336" s="1" t="s">
        <v>335</v>
      </c>
      <c r="B336" t="str">
        <f t="shared" si="39"/>
        <v>¬</v>
      </c>
    </row>
    <row r="337" spans="1:2">
      <c r="A337" s="1" t="s">
        <v>336</v>
      </c>
      <c r="B337" t="str">
        <f t="shared" si="39"/>
        <v>¬</v>
      </c>
    </row>
    <row r="338" spans="1:2">
      <c r="A338" s="1" t="s">
        <v>337</v>
      </c>
      <c r="B338" t="str">
        <f t="shared" si="39"/>
        <v>¬</v>
      </c>
    </row>
    <row r="339" spans="1:2">
      <c r="A339" s="1" t="s">
        <v>338</v>
      </c>
      <c r="B339" t="str">
        <f t="shared" si="39"/>
        <v>¬</v>
      </c>
    </row>
    <row r="340" spans="1:2">
      <c r="A340" s="1" t="s">
        <v>339</v>
      </c>
      <c r="B340" t="str">
        <f t="shared" si="39"/>
        <v>¬</v>
      </c>
    </row>
    <row r="341" spans="1:2">
      <c r="A341" s="1" t="s">
        <v>340</v>
      </c>
      <c r="B341" t="str">
        <f t="shared" si="39"/>
        <v>¬</v>
      </c>
    </row>
    <row r="342" spans="1:2">
      <c r="A342" s="1" t="s">
        <v>341</v>
      </c>
      <c r="B342" t="str">
        <f t="shared" si="39"/>
        <v>¬</v>
      </c>
    </row>
    <row r="343" spans="1:2">
      <c r="A343" s="1" t="s">
        <v>342</v>
      </c>
      <c r="B343" t="str">
        <f t="shared" si="39"/>
        <v>¬</v>
      </c>
    </row>
    <row r="344" spans="1:2">
      <c r="A344" s="1" t="s">
        <v>343</v>
      </c>
      <c r="B344" s="8" t="str">
        <f>IF(VLOOKUP(tblCharDataKirk[[#This Row],[Field]],$E$2:$F$361,2,FALSE)="","¬",VLOOKUP(tblCharDataKirk[[#This Row],[Field]],$E$2:$F$361,2,FALSE))</f>
        <v>Feral Curse</v>
      </c>
    </row>
    <row r="345" spans="1:2">
      <c r="A345" s="1" t="s">
        <v>344</v>
      </c>
      <c r="B345" s="8" t="str">
        <f>IF(VLOOKUP(tblCharDataKirk[[#This Row],[Field]],$E$2:$F$361,2,FALSE)="","¬",VLOOKUP(tblCharDataKirk[[#This Row],[Field]],$E$2:$F$361,2,FALSE))</f>
        <v>¬</v>
      </c>
    </row>
    <row r="346" spans="1:2">
      <c r="A346" s="1" t="s">
        <v>345</v>
      </c>
      <c r="B346" s="8" t="str">
        <f>IF(VLOOKUP(tblCharDataKirk[[#This Row],[Field]],$E$2:$F$361,2,FALSE)="","¬",VLOOKUP(tblCharDataKirk[[#This Row],[Field]],$E$2:$F$361,2,FALSE))</f>
        <v>¬</v>
      </c>
    </row>
    <row r="347" spans="1:2">
      <c r="A347" s="1" t="s">
        <v>346</v>
      </c>
      <c r="B347" s="8" t="str">
        <f>IF(VLOOKUP(tblCharDataKirk[[#This Row],[Field]],$E$2:$F$361,2,FALSE)="","¬",VLOOKUP(tblCharDataKirk[[#This Row],[Field]],$E$2:$F$361,2,FALSE))</f>
        <v>¬</v>
      </c>
    </row>
    <row r="348" spans="1:2">
      <c r="A348" s="1" t="s">
        <v>347</v>
      </c>
      <c r="B348" s="8" t="str">
        <f>IF(VLOOKUP(tblCharDataKirk[[#This Row],[Field]],$E$2:$F$361,2,FALSE)="","¬",VLOOKUP(tblCharDataKirk[[#This Row],[Field]],$E$2:$F$361,2,FALSE))</f>
        <v>¬</v>
      </c>
    </row>
    <row r="349" spans="1:2">
      <c r="A349" s="1" t="s">
        <v>348</v>
      </c>
      <c r="B349" t="str">
        <f>_xlfn.IFNA(VLOOKUP(B344,$F$234:$I$238,3,FALSE),"")</f>
        <v>Frenzy resistance dice pools capped by Humanity (doesn't affect Riding the Wave).</v>
      </c>
    </row>
    <row r="350" spans="1:2">
      <c r="A350" s="1" t="s">
        <v>349</v>
      </c>
      <c r="B350" t="str">
        <f>_xlfn.IFNA(VLOOKUP(B345,$F$234:$I$238,3,FALSE),"¬")</f>
        <v>¬</v>
      </c>
    </row>
    <row r="351" spans="1:2">
      <c r="A351" s="1" t="s">
        <v>350</v>
      </c>
      <c r="B351" t="str">
        <f>_xlfn.IFNA(VLOOKUP(B346,$F$234:$I$238,3,FALSE),"")</f>
        <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10</v>
      </c>
    </row>
    <row r="356" spans="1:2">
      <c r="A356" s="1" t="s">
        <v>355</v>
      </c>
      <c r="B356">
        <f ca="1">P220</f>
        <v>3</v>
      </c>
    </row>
    <row r="357" spans="1:2">
      <c r="A357" s="1" t="s">
        <v>356</v>
      </c>
      <c r="B357" t="str">
        <f>IF(F10="","¬",VLOOKUP(F10,tblAnchors[],2,FALSE))</f>
        <v>Deny a compromise that would water down your ideal.</v>
      </c>
    </row>
    <row r="358" spans="1:2">
      <c r="A358" s="1" t="s">
        <v>357</v>
      </c>
      <c r="B358" t="str">
        <f>IF(F10="","¬",VLOOKUP(F10,tblAnchors[],3,FALSE))</f>
        <v>Refuse safety for fear of abandoning your ideal's purity.</v>
      </c>
    </row>
    <row r="359" spans="1:2">
      <c r="A359" s="1" t="s">
        <v>358</v>
      </c>
      <c r="B359" t="str">
        <f>IF(F11="","¬",VLOOKUP(F11,tblAnchors[],2,FALSE))</f>
        <v>Punish yourself for a mistake.</v>
      </c>
    </row>
    <row r="360" spans="1:2">
      <c r="A360" s="1" t="s">
        <v>359</v>
      </c>
      <c r="B360" t="str">
        <f>IF(F11="","¬",VLOOKUP(F11,tblAnchors[],3,FALSE))</f>
        <v>Risk death to correct an egregious error in judgement.</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
      </c>
    </row>
    <row r="365" spans="1:2">
      <c r="A365" s="1" t="s">
        <v>364</v>
      </c>
      <c r="B365" t="str">
        <f>_xlfn.LET(_xlpm.a,IF(F244="","",F244),_xlpm.b,IF(F245="","",F245),IF(AND(_xlpm.a&lt;&gt;"",_xlpm.b&lt;&gt;""),_xlpm.a&amp;", "&amp;_xlpm.b,IF(_xlpm.a&lt;&gt;"",_xlpm.a,IF(_xlpm.b&lt;&gt;"",_xlpm.b,""))))</f>
        <v/>
      </c>
    </row>
  </sheetData>
  <mergeCells count="89">
    <mergeCell ref="H85:I85"/>
    <mergeCell ref="O8:P8"/>
    <mergeCell ref="O9:P9"/>
    <mergeCell ref="O10:P10"/>
    <mergeCell ref="O11:P11"/>
    <mergeCell ref="O12:P12"/>
    <mergeCell ref="H79:I79"/>
    <mergeCell ref="H80:I80"/>
    <mergeCell ref="H81:I81"/>
    <mergeCell ref="H82:I82"/>
    <mergeCell ref="H83:I83"/>
    <mergeCell ref="H84:I84"/>
    <mergeCell ref="H97:I97"/>
    <mergeCell ref="H86:I86"/>
    <mergeCell ref="H87:I87"/>
    <mergeCell ref="H88:I88"/>
    <mergeCell ref="H89:I89"/>
    <mergeCell ref="H90:I90"/>
    <mergeCell ref="H91:I91"/>
    <mergeCell ref="H92:I92"/>
    <mergeCell ref="H93:I93"/>
    <mergeCell ref="H94:I94"/>
    <mergeCell ref="H95:I95"/>
    <mergeCell ref="H96:I96"/>
    <mergeCell ref="H111:I111"/>
    <mergeCell ref="H98:I98"/>
    <mergeCell ref="H101:I101"/>
    <mergeCell ref="H102:I102"/>
    <mergeCell ref="H103:I103"/>
    <mergeCell ref="H104:I104"/>
    <mergeCell ref="H105:I105"/>
    <mergeCell ref="H106:I106"/>
    <mergeCell ref="H107:I107"/>
    <mergeCell ref="H108:I108"/>
    <mergeCell ref="H109:I109"/>
    <mergeCell ref="H110:I110"/>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52:I152"/>
    <mergeCell ref="H141:I141"/>
    <mergeCell ref="H142:I142"/>
    <mergeCell ref="H143:I143"/>
    <mergeCell ref="H144:I144"/>
    <mergeCell ref="H145:I145"/>
    <mergeCell ref="H146:I146"/>
    <mergeCell ref="H147:I147"/>
    <mergeCell ref="H148:I148"/>
    <mergeCell ref="H149:I149"/>
    <mergeCell ref="H150:I150"/>
    <mergeCell ref="H151:I151"/>
    <mergeCell ref="H207:I207"/>
    <mergeCell ref="H153:I153"/>
    <mergeCell ref="H154:I154"/>
    <mergeCell ref="H155:I155"/>
    <mergeCell ref="H156:I156"/>
    <mergeCell ref="H157:I157"/>
    <mergeCell ref="H177:I177"/>
    <mergeCell ref="H178:I178"/>
    <mergeCell ref="H179:I179"/>
    <mergeCell ref="H180:I180"/>
    <mergeCell ref="H181:I181"/>
    <mergeCell ref="H206:I206"/>
    <mergeCell ref="H238:I238"/>
    <mergeCell ref="H208:I208"/>
    <mergeCell ref="H209:I209"/>
    <mergeCell ref="H210:I210"/>
    <mergeCell ref="H211:I211"/>
    <mergeCell ref="H212:I212"/>
    <mergeCell ref="H213:I213"/>
    <mergeCell ref="H214:I214"/>
    <mergeCell ref="H215:I215"/>
    <mergeCell ref="H234:I234"/>
    <mergeCell ref="H236:I236"/>
    <mergeCell ref="H237:I237"/>
    <mergeCell ref="F240:I240"/>
    <mergeCell ref="F241:I241"/>
    <mergeCell ref="F242:I242"/>
    <mergeCell ref="F244:I244"/>
    <mergeCell ref="F245:I245"/>
  </mergeCells>
  <dataValidations count="15">
    <dataValidation type="list" allowBlank="1" showInputMessage="1" showErrorMessage="1" sqref="G248:G277" xr:uid="{9C0AC984-3AF7-41A7-8BD7-BFFA0B2CD2BE}">
      <formula1>$I$248:$I$249</formula1>
    </dataValidation>
    <dataValidation type="list" allowBlank="1" showInputMessage="1" showErrorMessage="1" sqref="F105:F120" xr:uid="{814BD869-719D-471D-89B2-46778891324D}">
      <formula1>lstManoeuvres</formula1>
    </dataValidation>
    <dataValidation type="list" allowBlank="1" showInputMessage="1" showErrorMessage="1" sqref="F79:F98" xr:uid="{989435EF-945C-4269-8EC2-58F8E73F6060}">
      <formula1>lstMerits</formula1>
    </dataValidation>
    <dataValidation type="list" allowBlank="1" showInputMessage="1" showErrorMessage="1" sqref="F236:F238" xr:uid="{6C8905AD-4009-42B7-B716-21A62B09A6E9}">
      <formula1>lstBanes</formula1>
    </dataValidation>
    <dataValidation type="list" allowBlank="1" showInputMessage="1" showErrorMessage="1" sqref="F206:F215" xr:uid="{B35CEA69-953C-4795-A41C-E4B0FB21664A}">
      <formula1>lstPacts</formula1>
    </dataValidation>
    <dataValidation type="list" allowBlank="1" showInputMessage="1" showErrorMessage="1" sqref="G12:G13" xr:uid="{C5067648-3126-4B7A-BAA9-B07FD35FDE22}">
      <formula1>lstStatus</formula1>
    </dataValidation>
    <dataValidation type="list" allowBlank="1" showInputMessage="1" showErrorMessage="1" sqref="F194:F205 F207:F215" xr:uid="{E4C7A598-D073-4FAC-9540-406DE752C481}">
      <formula1>lstRites</formula1>
    </dataValidation>
    <dataValidation type="list" allowBlank="1" showInputMessage="1" showErrorMessage="1" sqref="F177:F181" xr:uid="{5C311D13-1194-4D3D-9328-3AA5C2D28D5F}">
      <formula1>lstDevotions</formula1>
    </dataValidation>
    <dataValidation type="list" allowBlank="1" showInputMessage="1" showErrorMessage="1" sqref="F17:F21" xr:uid="{6C946E9B-9E5A-44C8-A246-1739FDA7D152}">
      <formula1>"TRUE,FALSE"</formula1>
    </dataValidation>
    <dataValidation type="list" allowBlank="1" showInputMessage="1" showErrorMessage="1" sqref="F24" xr:uid="{2CE215FD-4411-42A6-A5BD-340BA98BF381}">
      <formula1>$D$7:$D$8</formula1>
    </dataValidation>
    <dataValidation type="list" allowBlank="1" showInputMessage="1" showErrorMessage="1" sqref="I25 I30 I35 I41 I51 I61" xr:uid="{D581863B-6F38-46D3-83F7-1CC3D937B7CE}">
      <formula1>lstPriority</formula1>
    </dataValidation>
    <dataValidation type="list" allowBlank="1" showInputMessage="1" showErrorMessage="1" sqref="F10:F11" xr:uid="{BF218EE3-2E9F-4E03-8FA7-57E9D918821B}">
      <formula1>lstNature</formula1>
    </dataValidation>
    <dataValidation type="list" allowBlank="1" showInputMessage="1" showErrorMessage="1" sqref="F8" xr:uid="{56A24A45-A789-4EEC-9B37-1573DFAFCC2C}">
      <formula1>lstBloodlines</formula1>
    </dataValidation>
    <dataValidation type="list" allowBlank="1" showInputMessage="1" showErrorMessage="1" sqref="F9" xr:uid="{A93D98A3-F616-48DE-B9C4-A51425727E8B}">
      <formula1>lstCovenant</formula1>
    </dataValidation>
    <dataValidation type="list" allowBlank="1" showInputMessage="1" showErrorMessage="1" sqref="F7" xr:uid="{2CE17739-A971-41D7-80EE-530AF581764D}">
      <formula1>lstClan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F5FD5433-71DF-43FA-8A32-F6FABD74BDB2}">
          <x14:formula1>
            <xm:f>'Lookup-Domain'!$A$2:$A$8</xm:f>
          </x14:formula1>
          <xm:sqref>F138:F157 F161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6B62D-FCEE-4034-A171-32553238EB89}">
  <dimension ref="A1:AK365"/>
  <sheetViews>
    <sheetView zoomScale="70" zoomScaleNormal="70" workbookViewId="0">
      <pane ySplit="1" topLeftCell="A116" activePane="bottomLeft" state="frozen"/>
      <selection pane="bottomLeft" activeCell="D45" sqref="D45"/>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Library (Academics)</v>
      </c>
      <c r="AC2" s="60" t="str" cm="1">
        <f t="array" ref="AC2:AC7">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Closed Book</v>
      </c>
      <c r="AD2" s="20" t="str">
        <f>IF(AC2="","¬",_xlfn.LET(_xlpm.base,IFERROR(LEFT(AC2,FIND(" (",AC2)-1),AC2),IFERROR(VLOOKUP(_xlpm.base,tblManoeuvre[],2,FALSE) &amp; " " &amp; REPT("●",VLOOKUP(_xlpm.base,tblManoeuvre[],3,FALSE)) &amp; " | " &amp; AC2,AC2 &amp; " " &amp; REPT("●",VLOOKUP(_xlpm.base,$F$79:$P$120,11,FALSE)))))</f>
        <v>Closed Book ●●</v>
      </c>
      <c r="AE2" s="20"/>
      <c r="AF2" s="20" t="str">
        <f>IF(LEN(AC2)=0,"¬",_xlfn.LET(_xlpm.base,IFERROR(LEFT(AC2,FIND(" (",AC2)-1),AC2),IFERROR(VLOOKUP(_xlpm.base,tblMerits[],5,FALSE),IFERROR(VLOOKUP(_xlpm.base,tblManoeuvre[],9,FALSE),"¬"))))</f>
        <v>Add dots to Doors and as bonus to contest Social assessments.</v>
      </c>
      <c r="AI2" s="15" t="s">
        <v>25</v>
      </c>
      <c r="AJ2" s="61">
        <f t="shared" ref="AJ2:AJ58" si="1">VLOOKUP(AI2,$E$3:$P$221,12,FALSE)</f>
        <v>4</v>
      </c>
      <c r="AK2" s="61">
        <f>IF(AJ2=0,IF(COUNTIF($E$42:$E$49,AI2)&gt;0,-3,-1),AJ2)</f>
        <v>4</v>
      </c>
    </row>
    <row r="3" spans="1:37">
      <c r="A3" s="1" t="s">
        <v>2</v>
      </c>
      <c r="B3">
        <f ca="1">N3</f>
        <v>3</v>
      </c>
      <c r="D3" s="19"/>
      <c r="E3" s="15" t="s">
        <v>4</v>
      </c>
      <c r="F3" s="3" t="s">
        <v>1137</v>
      </c>
      <c r="G3" s="18"/>
      <c r="H3" s="18"/>
      <c r="I3" s="18" t="s">
        <v>1425</v>
      </c>
      <c r="N3" s="60">
        <f ca="1">10+SUM(N4:N6)-SUM(N7)</f>
        <v>3</v>
      </c>
      <c r="Y3" s="15" t="s">
        <v>115</v>
      </c>
      <c r="Z3" s="19"/>
      <c r="AA3" s="61" t="str">
        <f t="shared" si="0"/>
        <v>Lorekeeper</v>
      </c>
      <c r="AC3" s="60" t="str">
        <v>Indomitable</v>
      </c>
      <c r="AD3" s="20" t="str">
        <f>IF(AC3="","¬",_xlfn.LET(_xlpm.base,IFERROR(LEFT(AC3,FIND(" (",AC3)-1),AC3),IFERROR(VLOOKUP(_xlpm.base,tblManoeuvre[],2,FALSE) &amp; " " &amp; REPT("●",VLOOKUP(_xlpm.base,tblManoeuvre[],3,FALSE)) &amp; " | " &amp; AC3,AC3 &amp; " " &amp; REPT("●",VLOOKUP(_xlpm.base,$F$79:$P$120,11,FALSE)))))</f>
        <v>Indomitable ●●</v>
      </c>
      <c r="AE3" s="20"/>
      <c r="AF3" s="20" t="str">
        <f>IF(LEN(AC3)=0,"¬",_xlfn.LET(_xlpm.base,IFERROR(LEFT(AC3,FIND(" (",AC3)-1),AC3),IFERROR(VLOOKUP(_xlpm.base,tblMerits[],5,FALSE),IFERROR(VLOOKUP(_xlpm.base,tblManoeuvre[],9,FALSE),"¬"))))</f>
        <v>+2 to contest or resist supernatural mental influence.</v>
      </c>
      <c r="AI3" s="15" t="s">
        <v>41</v>
      </c>
      <c r="AJ3" s="61">
        <f t="shared" si="1"/>
        <v>0</v>
      </c>
      <c r="AK3" s="61">
        <f>IF(AJ3=0,IF(COUNTIF($E$42:$E$49,AI3)&gt;0,-3,-1),AJ3)</f>
        <v>-1</v>
      </c>
    </row>
    <row r="4" spans="1:37">
      <c r="A4" s="1" t="s">
        <v>3</v>
      </c>
      <c r="B4">
        <f ca="1">SUM(N3:N9)</f>
        <v>20</v>
      </c>
      <c r="D4" s="19"/>
      <c r="E4" s="15" t="s">
        <v>5</v>
      </c>
      <c r="F4" s="3" t="s">
        <v>1138</v>
      </c>
      <c r="G4" s="18"/>
      <c r="H4" s="18"/>
      <c r="I4" s="18" t="s">
        <v>1426</v>
      </c>
      <c r="N4" s="61">
        <f>K73*2</f>
        <v>2</v>
      </c>
      <c r="Y4" s="15" t="s">
        <v>116</v>
      </c>
      <c r="Z4" s="19"/>
      <c r="AA4" s="61" t="str">
        <f t="shared" si="0"/>
        <v>Striking Looks</v>
      </c>
      <c r="AC4" s="60" t="str">
        <v>Inspiring</v>
      </c>
      <c r="AD4" s="20" t="str">
        <f>IF(AC4="","¬",_xlfn.LET(_xlpm.base,IFERROR(LEFT(AC4,FIND(" (",AC4)-1),AC4),IFERROR(VLOOKUP(_xlpm.base,tblManoeuvre[],2,FALSE) &amp; " " &amp; REPT("●",VLOOKUP(_xlpm.base,tblManoeuvre[],3,FALSE)) &amp; " | " &amp; AC4,AC4 &amp; " " &amp; REPT("●",VLOOKUP(_xlpm.base,$F$79:$P$120,11,FALSE)))))</f>
        <v>Inspiring ●●●</v>
      </c>
      <c r="AE4" s="20"/>
      <c r="AF4" s="20" t="str">
        <f>IF(LEN(AC4)=0,"¬",_xlfn.LET(_xlpm.base,IFERROR(LEFT(AC4,FIND(" (",AC4)-1),AC4),IFERROR(VLOOKUP(_xlpm.base,tblMerits[],5,FALSE),IFERROR(VLOOKUP(_xlpm.base,tblManoeuvre[],9,FALSE),"¬"))))</f>
        <v>Roll Presence + Expression to confer the Inspired Condition.</v>
      </c>
      <c r="AI4" s="15" t="s">
        <v>236</v>
      </c>
      <c r="AJ4" s="61">
        <f t="shared" si="1"/>
        <v>0</v>
      </c>
      <c r="AK4" s="61">
        <f>AJ4</f>
        <v>0</v>
      </c>
    </row>
    <row r="5" spans="1:37">
      <c r="A5" s="1" t="s">
        <v>4</v>
      </c>
      <c r="B5" t="str">
        <f>IF(VLOOKUP(tblCharDataLivia[[#This Row],[Field]],$E$2:$F$362,2,FALSE)="","¬",VLOOKUP(tblCharDataLivia[[#This Row],[Field]],$E$2:$F$362,2,FALSE))</f>
        <v>Clair H</v>
      </c>
      <c r="D5" s="19"/>
      <c r="E5" s="15" t="s">
        <v>6</v>
      </c>
      <c r="F5" s="3" t="s">
        <v>1139</v>
      </c>
      <c r="G5" s="18"/>
      <c r="H5" s="18"/>
      <c r="I5" s="18" t="s">
        <v>1427</v>
      </c>
      <c r="N5" s="61">
        <f>N16</f>
        <v>0</v>
      </c>
      <c r="Y5" s="15" t="s">
        <v>117</v>
      </c>
      <c r="Z5" s="19"/>
      <c r="AA5" s="61" t="str">
        <f t="shared" si="0"/>
        <v>Closed Book</v>
      </c>
      <c r="AC5" s="60" t="str">
        <v>Library (Academics)</v>
      </c>
      <c r="AD5" s="20" t="str">
        <f>IF(AC5="","¬",_xlfn.LET(_xlpm.base,IFERROR(LEFT(AC5,FIND(" (",AC5)-1),AC5),IFERROR(VLOOKUP(_xlpm.base,tblManoeuvre[],2,FALSE) &amp; " " &amp; REPT("●",VLOOKUP(_xlpm.base,tblManoeuvre[],3,FALSE)) &amp; " | " &amp; AC5,AC5 &amp; " " &amp; REPT("●",VLOOKUP(_xlpm.base,$F$79:$P$120,11,FALSE)))))</f>
        <v>Library (Academics) ●●●</v>
      </c>
      <c r="AE5" s="20"/>
      <c r="AF5" s="20" t="str">
        <f>IF(LEN(AC5)=0,"¬",_xlfn.LET(_xlpm.base,IFERROR(LEFT(AC5,FIND(" (",AC5)-1),AC5),IFERROR(VLOOKUP(_xlpm.base,tblMerits[],5,FALSE),IFERROR(VLOOKUP(_xlpm.base,tblManoeuvre[],9,FALSE),"¬"))))</f>
        <v>Add dots to extended rolls for a chosen Skill's subject matter.</v>
      </c>
      <c r="AI5" s="15" t="s">
        <v>33</v>
      </c>
      <c r="AJ5" s="61">
        <f t="shared" si="1"/>
        <v>3</v>
      </c>
      <c r="AK5" s="61">
        <f>IF(AJ5=0,IF(COUNTIF($E$42:$E$49,AI5)&gt;0,-3,-1),AJ5)</f>
        <v>3</v>
      </c>
    </row>
    <row r="6" spans="1:37">
      <c r="A6" s="1" t="s">
        <v>5</v>
      </c>
      <c r="B6" t="str">
        <f>IF(VLOOKUP(tblCharDataLivia[[#This Row],[Field]],$E$2:$F$362,2,FALSE)="","¬",VLOOKUP(tblCharDataLivia[[#This Row],[Field]],$E$2:$F$362,2,FALSE))</f>
        <v>Livia</v>
      </c>
      <c r="D6" s="19"/>
      <c r="E6" s="15" t="s">
        <v>7</v>
      </c>
      <c r="F6" s="3" t="s">
        <v>369</v>
      </c>
      <c r="G6" s="18"/>
      <c r="H6" s="18"/>
      <c r="I6" s="18" t="s">
        <v>1347</v>
      </c>
      <c r="N6" s="61">
        <f ca="1">N279</f>
        <v>3</v>
      </c>
      <c r="Y6" s="15" t="s">
        <v>118</v>
      </c>
      <c r="Z6" s="19"/>
      <c r="AA6" s="61" t="str">
        <f t="shared" si="0"/>
        <v>Inspiring</v>
      </c>
      <c r="AC6" s="60" t="str">
        <v>Lorekeeper</v>
      </c>
      <c r="AD6" s="20" t="str">
        <f>IF(AC6="","¬",_xlfn.LET(_xlpm.base,IFERROR(LEFT(AC6,FIND(" (",AC6)-1),AC6),IFERROR(VLOOKUP(_xlpm.base,tblManoeuvre[],2,FALSE) &amp; " " &amp; REPT("●",VLOOKUP(_xlpm.base,tblManoeuvre[],3,FALSE)) &amp; " | " &amp; AC6,AC6 &amp; " " &amp; REPT("●",VLOOKUP(_xlpm.base,$F$79:$P$120,11,FALSE)))))</f>
        <v>Lorekeeper ●</v>
      </c>
      <c r="AE6" s="20"/>
      <c r="AF6" s="20" t="str">
        <f>IF(LEN(AC6)=0,"¬",_xlfn.LET(_xlpm.base,IFERROR(LEFT(AC6,FIND(" (",AC6)-1),AC6),IFERROR(VLOOKUP(_xlpm.base,tblMerits[],5,FALSE),IFERROR(VLOOKUP(_xlpm.base,tblManoeuvre[],9,FALSE),"¬"))))</f>
        <v>Distribute Library dots among bonus Retainer and Herd.</v>
      </c>
      <c r="AI6" s="15" t="s">
        <v>237</v>
      </c>
      <c r="AJ6" s="61">
        <f t="shared" si="1"/>
        <v>0</v>
      </c>
      <c r="AK6" s="61">
        <f>AJ6</f>
        <v>0</v>
      </c>
    </row>
    <row r="7" spans="1:37">
      <c r="A7" s="1" t="s">
        <v>6</v>
      </c>
      <c r="B7" t="str">
        <f>IF(VLOOKUP(tblCharDataLivia[[#This Row],[Field]],$E$2:$F$362,2,FALSE)="","¬",VLOOKUP(tblCharDataLivia[[#This Row],[Field]],$E$2:$F$362,2,FALSE))</f>
        <v>Health Guru</v>
      </c>
      <c r="D7" s="19" t="str">
        <f>VLOOKUP(F7,tblClans[],3,FALSE)</f>
        <v>Manipulation</v>
      </c>
      <c r="E7" s="15" t="s">
        <v>8</v>
      </c>
      <c r="F7" s="3" t="s">
        <v>790</v>
      </c>
      <c r="G7" s="18"/>
      <c r="H7" s="18"/>
      <c r="I7" s="18"/>
      <c r="N7" s="60">
        <f>SUM(N8:N12)</f>
        <v>12</v>
      </c>
      <c r="Y7" s="15" t="s">
        <v>119</v>
      </c>
      <c r="Z7" s="19"/>
      <c r="AA7" s="61" t="str">
        <f t="shared" si="0"/>
        <v>Indomitable</v>
      </c>
      <c r="AC7" s="60" t="str">
        <v>Striking Looks</v>
      </c>
      <c r="AD7" s="20" t="str">
        <f>IF(AC7="","¬",_xlfn.LET(_xlpm.base,IFERROR(LEFT(AC7,FIND(" (",AC7)-1),AC7),IFERROR(VLOOKUP(_xlpm.base,tblManoeuvre[],2,FALSE) &amp; " " &amp; REPT("●",VLOOKUP(_xlpm.base,tblManoeuvre[],3,FALSE)) &amp; " | " &amp; AC7,AC7 &amp; " " &amp; REPT("●",VLOOKUP(_xlpm.base,$F$79:$P$120,11,FALSE)))))</f>
        <v>Striking Looks ●</v>
      </c>
      <c r="AE7" s="20"/>
      <c r="AF7" s="20" t="str">
        <f>IF(LEN(AC7)=0,"¬",_xlfn.LET(_xlpm.base,IFERROR(LEFT(AC7,FIND(" (",AC7)-1),AC7),IFERROR(VLOOKUP(_xlpm.base,tblMerits[],5,FALSE),IFERROR(VLOOKUP(_xlpm.base,tblManoeuvre[],9,FALSE),"¬"))))</f>
        <v>Add dots to Social rolls benefiting from appearance, and to rolls to notice/remember you.</v>
      </c>
      <c r="AI7" s="15" t="s">
        <v>49</v>
      </c>
      <c r="AJ7" s="61">
        <f t="shared" si="1"/>
        <v>1</v>
      </c>
      <c r="AK7" s="61">
        <f>AJ7</f>
        <v>1</v>
      </c>
    </row>
    <row r="8" spans="1:37">
      <c r="A8" s="1" t="s">
        <v>7</v>
      </c>
      <c r="B8" t="str">
        <f>IF(VLOOKUP(tblCharDataLivia[[#This Row],[Field]],$E$2:$F$362,2,FALSE)="","¬",LOWER(VLOOKUP(tblCharDataLivia[[#This Row],[Field]],$E$2:$F$362,2,FALSE)))</f>
        <v>she/her</v>
      </c>
      <c r="D8" s="19" t="str">
        <f>VLOOKUP(F7,tblClans[],2,FALSE)</f>
        <v>Dexterity</v>
      </c>
      <c r="E8" s="15" t="s">
        <v>10</v>
      </c>
      <c r="F8" s="3"/>
      <c r="G8" s="61" t="str">
        <f>IFERROR(IF(OR(AND(VLOOKUP(F8,tblBloodlines[],2,FALSE)="",VLOOKUP(F8,tblBloodlines[],3,FALSE)="",VLOOKUP(F8,tblBloodlines[],4,FALSE)=""),AND(VLOOKUP(F8,tblBloodlines[],2,FALSE)="",VLOOKUP(F8,tblBloodlines[],3,FALSE)="",F9=VLOOKUP(F8,tblBloodlines[],4,FALSE)),F7=VLOOKUP(F8,tblBloodlines[],2,FALSE),F7=VLOOKUP(F8,tblBloodlines[],3,FALSE)),TRUE,FALSE),"")</f>
        <v/>
      </c>
      <c r="H8" s="18"/>
      <c r="I8" s="18" t="s">
        <v>1428</v>
      </c>
      <c r="N8" s="61">
        <f>N23</f>
        <v>0</v>
      </c>
      <c r="O8" s="65">
        <f>N8/SUM(N$7:N$12)</f>
        <v>0</v>
      </c>
      <c r="P8" s="66"/>
      <c r="Y8" s="15" t="s">
        <v>120</v>
      </c>
      <c r="Z8" s="19"/>
      <c r="AA8" s="61" t="str">
        <f t="shared" si="0"/>
        <v/>
      </c>
      <c r="AC8" s="60"/>
      <c r="AD8" s="20" t="str">
        <f>IF(AC8="","¬",_xlfn.LET(_xlpm.base,IFERROR(LEFT(AC8,FIND(" (",AC8)-1),AC8),IFERROR(VLOOKUP(_xlpm.base,tblManoeuvre[],2,FALSE) &amp; " " &amp; REPT("●",VLOOKUP(_xlpm.base,tblManoeuvre[],3,FALSE)) &amp; " | " &amp; AC8,AC8 &amp; " " &amp; REPT("●",VLOOKUP(_xlpm.base,$F$79:$P$120,11,FALSE)))))</f>
        <v>¬</v>
      </c>
      <c r="AE8" s="20"/>
      <c r="AF8" s="20" t="str">
        <f>IF(LEN(AC8)=0,"¬",_xlfn.LET(_xlpm.base,IFERROR(LEFT(AC8,FIND(" (",AC8)-1),AC8),IFERROR(VLOOKUP(_xlpm.base,tblMerits[],5,FALSE),IFERROR(VLOOKUP(_xlpm.base,tblManoeuvre[],9,FALSE),"¬"))))</f>
        <v>¬</v>
      </c>
      <c r="AI8" s="15" t="s">
        <v>34</v>
      </c>
      <c r="AJ8" s="61">
        <f t="shared" si="1"/>
        <v>0</v>
      </c>
      <c r="AK8" s="61">
        <f>IF(AJ8=0,IF(COUNTIF($E$42:$E$49,AI8)&gt;0,-3,-1),AJ8)</f>
        <v>-1</v>
      </c>
    </row>
    <row r="9" spans="1:37">
      <c r="A9" s="1" t="s">
        <v>8</v>
      </c>
      <c r="B9" t="str">
        <f>IF(VLOOKUP(tblCharDataLivia[[#This Row],[Field]],$E$2:$F$362,2,FALSE)="","¬",VLOOKUP(tblCharDataLivia[[#This Row],[Field]],$E$2:$F$362,2,FALSE))</f>
        <v>Daeva</v>
      </c>
      <c r="D9" s="19"/>
      <c r="E9" s="15" t="s">
        <v>11</v>
      </c>
      <c r="F9" s="3" t="s">
        <v>556</v>
      </c>
      <c r="G9" s="18"/>
      <c r="H9" s="18"/>
      <c r="I9" s="18" t="s">
        <v>1429</v>
      </c>
      <c r="N9" s="61">
        <f>N40+T40</f>
        <v>0</v>
      </c>
      <c r="O9" s="65">
        <f>N9/SUM(N$7:N$12)</f>
        <v>0</v>
      </c>
      <c r="P9" s="66"/>
      <c r="Y9" s="15" t="s">
        <v>121</v>
      </c>
      <c r="Z9" s="19"/>
      <c r="AA9" s="61" t="str">
        <f t="shared" si="0"/>
        <v/>
      </c>
      <c r="AC9" s="60"/>
      <c r="AD9" s="20" t="str">
        <f>IF(AC9="","¬",_xlfn.LET(_xlpm.base,IFERROR(LEFT(AC9,FIND(" (",AC9)-1),AC9),IFERROR(VLOOKUP(_xlpm.base,tblManoeuvre[],2,FALSE) &amp; " " &amp; REPT("●",VLOOKUP(_xlpm.base,tblManoeuvre[],3,FALSE)) &amp; " | " &amp; AC9,AC9 &amp; " " &amp; REPT("●",VLOOKUP(_xlpm.base,$F$79:$P$120,11,FALSE)))))</f>
        <v>¬</v>
      </c>
      <c r="AE9" s="20"/>
      <c r="AF9" s="20" t="str">
        <f>IF(LEN(AC9)=0,"¬",_xlfn.LET(_xlpm.base,IFERROR(LEFT(AC9,FIND(" (",AC9)-1),AC9),IFERROR(VLOOKUP(_xlpm.base,tblMerits[],5,FALSE),IFERROR(VLOOKUP(_xlpm.base,tblManoeuvre[],9,FALSE),"¬"))))</f>
        <v>¬</v>
      </c>
      <c r="AI9" s="15" t="s">
        <v>238</v>
      </c>
      <c r="AJ9" s="61">
        <f t="shared" si="1"/>
        <v>1</v>
      </c>
      <c r="AK9" s="61">
        <f>AJ9</f>
        <v>1</v>
      </c>
    </row>
    <row r="10" spans="1:37">
      <c r="A10" s="1" t="s">
        <v>9</v>
      </c>
      <c r="B10" t="str">
        <f>CONCATENATE(Elements,B9," icon.svg")</f>
        <v>D:\Terra Mortis\Character Sheets\Sheet Elements\Daeva icon.svg</v>
      </c>
      <c r="D10" s="19"/>
      <c r="E10" s="15" t="s">
        <v>13</v>
      </c>
      <c r="F10" s="3" t="s">
        <v>1140</v>
      </c>
      <c r="G10" s="18"/>
      <c r="H10" s="18"/>
      <c r="I10" s="18" t="s">
        <v>1430</v>
      </c>
      <c r="N10" s="61">
        <f>N77</f>
        <v>2</v>
      </c>
      <c r="O10" s="65">
        <f>N10/SUM(N$7:N$12)</f>
        <v>8.3333333333333329E-2</v>
      </c>
      <c r="P10" s="66"/>
      <c r="Y10" s="15" t="s">
        <v>122</v>
      </c>
      <c r="Z10" s="19"/>
      <c r="AA10" s="61" t="str">
        <f t="shared" si="0"/>
        <v/>
      </c>
      <c r="AC10" s="60"/>
      <c r="AD10" s="20" t="str">
        <f>IF(AC10="","¬",_xlfn.LET(_xlpm.base,IFERROR(LEFT(AC10,FIND(" (",AC10)-1),AC10),IFERROR(VLOOKUP(_xlpm.base,tblManoeuvre[],2,FALSE) &amp; " " &amp; REPT("●",VLOOKUP(_xlpm.base,tblManoeuvre[],3,FALSE)) &amp; " | " &amp; AC10,AC10 &amp; " " &amp; REPT("●",VLOOKUP(_xlpm.base,$F$79:$P$120,11,FALSE)))))</f>
        <v>¬</v>
      </c>
      <c r="AE10" s="20"/>
      <c r="AF10" s="20" t="str">
        <f>IF(LEN(AC10)=0,"¬",_xlfn.LET(_xlpm.base,IFERROR(LEFT(AC10,FIND(" (",AC10)-1),AC10),IFERROR(VLOOKUP(_xlpm.base,tblMerits[],5,FALSE),IFERROR(VLOOKUP(_xlpm.base,tblManoeuvre[],9,FALSE),"¬"))))</f>
        <v>¬</v>
      </c>
      <c r="AI10" s="15" t="s">
        <v>24</v>
      </c>
      <c r="AJ10" s="61">
        <f t="shared" si="1"/>
        <v>2</v>
      </c>
      <c r="AK10" s="61">
        <f>AJ10+IFERROR(INDEX($V$26:$V$38,MATCH(AI10,$E$26:$E$38,0)),0)</f>
        <v>2</v>
      </c>
    </row>
    <row r="11" spans="1:37">
      <c r="A11" s="1" t="s">
        <v>10</v>
      </c>
      <c r="B11" t="str">
        <f>IF(VLOOKUP(tblCharDataLivia[[#This Row],[Field]],$E$2:$F$362,2,FALSE)="","¬",VLOOKUP(tblCharDataLivia[[#This Row],[Field]],$E$2:$F$362,2,FALSE))</f>
        <v>¬</v>
      </c>
      <c r="D11" s="19"/>
      <c r="E11" s="15" t="s">
        <v>14</v>
      </c>
      <c r="F11" s="3" t="s">
        <v>376</v>
      </c>
      <c r="G11" s="18"/>
      <c r="H11" s="18"/>
      <c r="I11" s="18" t="s">
        <v>1431</v>
      </c>
      <c r="N11" s="61">
        <f>N163</f>
        <v>10</v>
      </c>
      <c r="O11" s="65">
        <f>N11/SUM(N$7:N$12)</f>
        <v>0.41666666666666669</v>
      </c>
      <c r="P11" s="66"/>
      <c r="Y11" s="15" t="s">
        <v>123</v>
      </c>
      <c r="Z11" s="19"/>
      <c r="AA11" s="61" t="str">
        <f t="shared" si="0"/>
        <v/>
      </c>
      <c r="AC11" s="60"/>
      <c r="AD11" s="20" t="str">
        <f>IF(AC11="","¬",_xlfn.LET(_xlpm.base,IFERROR(LEFT(AC11,FIND(" (",AC11)-1),AC11),IFERROR(VLOOKUP(_xlpm.base,tblManoeuvre[],2,FALSE) &amp; " " &amp; REPT("●",VLOOKUP(_xlpm.base,tblManoeuvre[],3,FALSE)) &amp; " | " &amp; AC11,AC11 &amp; " " &amp; REPT("●",VLOOKUP(_xlpm.base,$F$79:$P$120,11,FALSE)))))</f>
        <v>¬</v>
      </c>
      <c r="AE11" s="20"/>
      <c r="AF11" s="20" t="str">
        <f>IF(LEN(AC11)=0,"¬",_xlfn.LET(_xlpm.base,IFERROR(LEFT(AC11,FIND(" (",AC11)-1),AC11),IFERROR(VLOOKUP(_xlpm.base,tblMerits[],5,FALSE),IFERROR(VLOOKUP(_xlpm.base,tblManoeuvre[],9,FALSE),"¬"))))</f>
        <v>¬</v>
      </c>
      <c r="AI11" s="15" t="s">
        <v>26</v>
      </c>
      <c r="AJ11" s="61">
        <f t="shared" si="1"/>
        <v>0</v>
      </c>
      <c r="AK11" s="61">
        <f>IF(AJ11=0,IF(COUNTIF($E$42:$E$49,AI11)&gt;0,-3,-1),AJ11)</f>
        <v>-3</v>
      </c>
    </row>
    <row r="12" spans="1:37">
      <c r="A12" s="1" t="s">
        <v>11</v>
      </c>
      <c r="B12" t="str">
        <f>IF(VLOOKUP(tblCharDataLivia[[#This Row],[Field]],$E$2:$F$362,2,FALSE)="","¬",VLOOKUP(tblCharDataLivia[[#This Row],[Field]],$E$2:$F$362,2,FALSE))</f>
        <v>Lancea et Sanctum</v>
      </c>
      <c r="D12" s="19"/>
      <c r="E12" s="15" t="s">
        <v>15</v>
      </c>
      <c r="F12" s="3"/>
      <c r="G12" s="3"/>
      <c r="H12" s="18"/>
      <c r="I12" s="18" t="s">
        <v>1432</v>
      </c>
      <c r="N12" s="61">
        <f>N71</f>
        <v>0</v>
      </c>
      <c r="O12" s="65">
        <f>N12/SUM(N$7:N$12)</f>
        <v>0</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0</v>
      </c>
      <c r="AK12" s="61">
        <f>IF(AJ12=0,IF(COUNTIF($E$42:$E$49,AI12)&gt;0,-3,-1),AJ12)</f>
        <v>-3</v>
      </c>
    </row>
    <row r="13" spans="1:37">
      <c r="A13" s="1" t="s">
        <v>12</v>
      </c>
      <c r="B13" t="str">
        <f>_xlfn.IFNA(CONCATENATE(Elements,VLOOKUP(B12,tblCovenantShortName[#Data],2,FALSE)," icon.svg"),"")</f>
        <v>D:\Terra Mortis\Character Sheets\Sheet Elements\Lance icon.svg</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0</v>
      </c>
      <c r="AK13" s="61">
        <f t="shared" ref="AK13:AK19" si="2">AJ13</f>
        <v>0</v>
      </c>
    </row>
    <row r="14" spans="1:37">
      <c r="A14" s="1" t="s">
        <v>13</v>
      </c>
      <c r="B14" t="str">
        <f>IF(VLOOKUP(tblCharDataLivia[[#This Row],[Field]],$E$2:$F$362,2,FALSE)="","¬",VLOOKUP(tblCharDataLivia[[#This Row],[Field]],$E$2:$F$362,2,FALSE))</f>
        <v>Guru</v>
      </c>
      <c r="D14" s="19"/>
      <c r="E14" s="15" t="s">
        <v>1433</v>
      </c>
      <c r="F14" s="28"/>
      <c r="G14" s="3"/>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0</v>
      </c>
      <c r="AK14" s="61">
        <f t="shared" si="2"/>
        <v>0</v>
      </c>
    </row>
    <row r="15" spans="1:37">
      <c r="A15" s="1" t="s">
        <v>14</v>
      </c>
      <c r="B15" t="str">
        <f>IF(VLOOKUP(tblCharDataLivia[[#This Row],[Field]],$E$2:$F$362,2,FALSE)="","¬",VLOOKUP(tblCharDataLivia[[#This Row],[Field]],$E$2:$F$362,2,FALSE))</f>
        <v>Scholar</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5</v>
      </c>
      <c r="AK15" s="61">
        <f t="shared" ca="1" si="2"/>
        <v>5</v>
      </c>
    </row>
    <row r="16" spans="1:37" ht="15.75" thickBot="1">
      <c r="A16" s="1" t="s">
        <v>15</v>
      </c>
      <c r="B16" t="str">
        <f ca="1">_xlfn.LET(_xlpm.a,VLOOKUP(tblCharDataLivia[[#This Row],[Field]],$E$2:$F$362,2,FALSE),_xlpm.b,VLOOKUP(OFFSET(tblCharDataLivia[[#This Row],[Field]],1,0),$E$2:$F$362,2,FALSE),IF(AND(_xlpm.a&lt;&gt;"",_xlpm.b&lt;&gt;""),_xlpm.a&amp;" &amp; "&amp;_xlpm.b,IF(_xlpm.a&lt;&gt;"",_xlpm.a,IF(_xlpm.b&lt;&gt;"",_xlpm.b,"¬"))))</f>
        <v>¬</v>
      </c>
      <c r="D16" s="14" t="s">
        <v>1427</v>
      </c>
      <c r="E16" s="14"/>
      <c r="F16" s="14"/>
      <c r="G16" s="14"/>
      <c r="H16" s="14"/>
      <c r="I16" s="14"/>
      <c r="N16" s="60">
        <f>SUM(N17:N21)</f>
        <v>0</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REPT("●",IFERROR(INDEX($P$26:$P$38,MATCH(tblCharDataLivia[[#This Row],[Field]],$E$26:$E$38,0)),0))&amp;REPT("○",IFERROR(INDEX($V$26:$V$38,MATCH(tblCharDataLivia[[#This Row],[Field]],$E$26:$E$38,0)),0))</f>
        <v>●●●</v>
      </c>
      <c r="D17" s="19"/>
      <c r="E17" s="15" t="s">
        <v>1435</v>
      </c>
      <c r="F17" s="3"/>
      <c r="G17" s="19"/>
      <c r="H17" s="19"/>
      <c r="I17" s="19"/>
      <c r="N17" s="61">
        <f>IF(F17=TRUE,3,0)</f>
        <v>0</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2</v>
      </c>
      <c r="AK17" s="61">
        <f>AJ17+IFERROR(INDEX($V$26:$V$38,MATCH(AI17,$E$26:$E$38,0)),0)</f>
        <v>2</v>
      </c>
    </row>
    <row r="18" spans="1:37">
      <c r="A18" s="1" t="s">
        <v>17</v>
      </c>
      <c r="B18" t="str">
        <f>REPT("●",IFERROR(INDEX($P$26:$P$38,MATCH(tblCharDataLivia[[#This Row],[Field]],$E$26:$E$38,0)),0))&amp;REPT("○",IFERROR(INDEX($V$26:$V$38,MATCH(tblCharDataLivia[[#This Row],[Field]],$E$26:$E$38,0)),0))</f>
        <v>●●</v>
      </c>
      <c r="D18" s="19"/>
      <c r="E18" s="15" t="s">
        <v>1436</v>
      </c>
      <c r="F18" s="3"/>
      <c r="G18" s="19"/>
      <c r="H18" s="19"/>
      <c r="I18" s="19"/>
      <c r="N18" s="61">
        <f>IF(F18=TRUE,3,0)</f>
        <v>0</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1</v>
      </c>
      <c r="AK18" s="61">
        <f t="shared" si="2"/>
        <v>1</v>
      </c>
    </row>
    <row r="19" spans="1:37">
      <c r="A19" s="1" t="s">
        <v>18</v>
      </c>
      <c r="B19" t="str">
        <f>REPT("●",IFERROR(INDEX($P$26:$P$38,MATCH(tblCharDataLivia[[#This Row],[Field]],$E$26:$E$38,0)),0))&amp;REPT("○",IFERROR(INDEX($V$26:$V$38,MATCH(tblCharDataLivia[[#This Row],[Field]],$E$26:$E$38,0)),0))</f>
        <v>●●●</v>
      </c>
      <c r="D19" s="19"/>
      <c r="E19" s="15" t="s">
        <v>1437</v>
      </c>
      <c r="F19" s="3"/>
      <c r="G19" s="19"/>
      <c r="H19" s="19"/>
      <c r="I19" s="19"/>
      <c r="N19" s="61">
        <f>IF(F19=TRUE,3,0)</f>
        <v>0</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0</v>
      </c>
      <c r="AK19" s="61">
        <f t="shared" si="2"/>
        <v>0</v>
      </c>
    </row>
    <row r="20" spans="1:37">
      <c r="A20" s="1" t="s">
        <v>19</v>
      </c>
      <c r="B20" t="str">
        <f>REPT("●",IFERROR(INDEX($P$26:$P$38,MATCH(tblCharDataLivia[[#This Row],[Field]],$E$26:$E$38,0)),0))&amp;REPT("○",IFERROR(INDEX($V$26:$V$38,MATCH(tblCharDataLivia[[#This Row],[Field]],$E$26:$E$38,0)),0))</f>
        <v>●●</v>
      </c>
      <c r="D20" s="19"/>
      <c r="E20" s="15" t="s">
        <v>1438</v>
      </c>
      <c r="F20" s="3"/>
      <c r="G20" s="19"/>
      <c r="H20" s="19"/>
      <c r="I20" s="19"/>
      <c r="N20" s="61">
        <f>IF(F20=TRUE,3,0)</f>
        <v>0</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REPT("●",IFERROR(INDEX($P$26:$P$38,MATCH(tblCharDataLivia[[#This Row],[Field]],$E$26:$E$38,0)),0))&amp;REPT("○",IFERROR(INDEX($V$26:$V$38,MATCH(tblCharDataLivia[[#This Row],[Field]],$E$26:$E$38,0)),0))</f>
        <v>●●</v>
      </c>
      <c r="D21" s="19"/>
      <c r="E21" s="15" t="s">
        <v>11</v>
      </c>
      <c r="F21" s="3"/>
      <c r="G21" s="19"/>
      <c r="H21" s="19"/>
      <c r="I21" s="19"/>
      <c r="N21" s="61">
        <f>IF(F21=TRUE,3,0)</f>
        <v>0</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2</v>
      </c>
      <c r="AK21" s="61">
        <f>IF(AJ21=0,IF(COUNTIF($E$42:$E$49,AI21)&gt;0,-3,-1),AJ21)</f>
        <v>2</v>
      </c>
    </row>
    <row r="22" spans="1:37">
      <c r="A22" s="1" t="s">
        <v>21</v>
      </c>
      <c r="B22" t="str">
        <f>REPT("●",IFERROR(INDEX($P$26:$P$38,MATCH(tblCharDataLivia[[#This Row],[Field]],$E$26:$E$38,0)),0))&amp;REPT("○",IFERROR(INDEX($V$26:$V$38,MATCH(tblCharDataLivia[[#This Row],[Field]],$E$26:$E$38,0)),0))</f>
        <v>●●</v>
      </c>
      <c r="Y22" s="15" t="s">
        <v>1439</v>
      </c>
      <c r="Z22" s="61" t="str">
        <f>IFERROR(VLOOKUP(AA22,tblManoeuvre[],2,FALSE),"")</f>
        <v/>
      </c>
      <c r="AA22" s="61" t="str">
        <f t="shared" ref="AA22:AA41" si="3">_xlfn.LET(_xlpm.name,VLOOKUP(Y22,$E$2:$F$362,2,FALSE),_xlpm.paid,_xlfn.IFNA(VLOOKUP(_xlpm.name,$F$79:$Q$120,11,FALSE)&gt;=VLOOKUP(_xlpm.name,$F$79:$Q$120,12,FALSE),FALSE),IF(AND(_xlpm.name&lt;&gt;"",_xlpm.paid),_xlpm.name,""))</f>
        <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0</v>
      </c>
      <c r="AK22" s="61">
        <f>IF(AJ22=0,IF(COUNTIF($E$42:$E$49,AI22)&gt;0,-3,-1),AJ22)</f>
        <v>-1</v>
      </c>
    </row>
    <row r="23" spans="1:37" ht="15.75" thickBot="1">
      <c r="A23" s="1" t="s">
        <v>22</v>
      </c>
      <c r="B23" t="str">
        <f>REPT("●",IFERROR(INDEX($P$26:$P$38,MATCH(tblCharDataLivia[[#This Row],[Field]],$E$26:$E$38,0)),0))&amp;REPT("○",IFERROR(INDEX($V$26:$V$38,MATCH(tblCharDataLivia[[#This Row],[Field]],$E$26:$E$38,0)),0))</f>
        <v>●●●</v>
      </c>
      <c r="D23" s="14" t="s">
        <v>1440</v>
      </c>
      <c r="E23" s="14"/>
      <c r="F23" s="14"/>
      <c r="G23" s="14"/>
      <c r="H23" s="14"/>
      <c r="I23" s="14"/>
      <c r="N23" s="60">
        <f>SUM(N26:N28,N31:N33,N36:N38)</f>
        <v>0</v>
      </c>
      <c r="Y23" s="15" t="s">
        <v>1441</v>
      </c>
      <c r="Z23" s="61" t="str">
        <f>IFERROR(VLOOKUP(AA23,tblManoeuvre[],2,FALSE),"")</f>
        <v/>
      </c>
      <c r="AA23" s="61" t="str">
        <f t="shared" si="3"/>
        <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0</v>
      </c>
      <c r="AK23" s="61">
        <f>IF(AJ23=0,VLOOKUP(AI23,$E$42:$Q$69,13,FALSE),AJ23)</f>
        <v>0</v>
      </c>
    </row>
    <row r="24" spans="1:37">
      <c r="A24" s="1" t="s">
        <v>23</v>
      </c>
      <c r="B24" t="str">
        <f>REPT("●",IFERROR(INDEX($P$26:$P$38,MATCH(tblCharDataLivia[[#This Row],[Field]],$E$26:$E$38,0)),0))&amp;REPT("○",IFERROR(INDEX($V$26:$V$38,MATCH(tblCharDataLivia[[#This Row],[Field]],$E$26:$E$38,0)),0))</f>
        <v>●●●</v>
      </c>
      <c r="E24" s="15" t="s">
        <v>1442</v>
      </c>
      <c r="F24" s="3" t="s">
        <v>23</v>
      </c>
      <c r="Y24" s="15" t="s">
        <v>1443</v>
      </c>
      <c r="Z24" s="61" t="str">
        <f>IFERROR(VLOOKUP(AA24,tblManoeuvre[],2,FALSE),"")</f>
        <v/>
      </c>
      <c r="AA24" s="61" t="str">
        <f t="shared" si="3"/>
        <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7</v>
      </c>
      <c r="AK24" s="61">
        <f ca="1">AJ24</f>
        <v>7</v>
      </c>
    </row>
    <row r="25" spans="1:37">
      <c r="A25" s="1" t="s">
        <v>24</v>
      </c>
      <c r="B25" t="str">
        <f>REPT("●",IFERROR(INDEX($P$26:$P$38,MATCH(tblCharDataLivia[[#This Row],[Field]],$E$26:$E$38,0)),0))&amp;REPT("○",IFERROR(INDEX($V$26:$V$38,MATCH(tblCharDataLivia[[#This Row],[Field]],$E$26:$E$38,0)),0))</f>
        <v>●●</v>
      </c>
      <c r="D25" s="16" t="s">
        <v>1444</v>
      </c>
      <c r="E25" s="17"/>
      <c r="F25" s="17"/>
      <c r="G25" s="17" t="s">
        <v>1445</v>
      </c>
      <c r="H25" s="16" t="s">
        <v>1446</v>
      </c>
      <c r="I25" s="3" t="s">
        <v>1565</v>
      </c>
      <c r="L25" s="60">
        <f>IF(I25="",0,VLOOKUP(I25,tblPriority[#Data],2,FALSE))-SUM(L26:L28)</f>
        <v>0</v>
      </c>
      <c r="Y25" s="15" t="s">
        <v>1447</v>
      </c>
      <c r="Z25" s="61" t="str">
        <f>IFERROR(VLOOKUP(AA25,tblManoeuvre[],2,FALSE),"")</f>
        <v/>
      </c>
      <c r="AA25" s="61" t="str">
        <f t="shared" si="3"/>
        <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6</v>
      </c>
      <c r="AK25" s="61">
        <f>AJ25</f>
        <v>6</v>
      </c>
    </row>
    <row r="26" spans="1:37">
      <c r="A26" s="1" t="s">
        <v>25</v>
      </c>
      <c r="B26" t="str">
        <f>REPT("●",IFERROR(INDEX($P$42:$P$69,MATCH(tblCharDataLivia[[#This Row],[Field]],$E$42:$E$69,0)),0))&amp;REPT("○",IFERROR(INDEX($V$42:$V$69,MATCH(tblCharDataLivia[[#This Row],[Field]],$E$42:$E$69,0)),0))&amp;IF(IFERROR(INDEX($W$42:$W$69,MATCH(tblCharDataLivia[[#This Row],[Field]],$E$42:$E$69,0)),0)=1,"†","")</f>
        <v>●●●●</v>
      </c>
      <c r="D26" s="18"/>
      <c r="E26" s="15" t="s">
        <v>16</v>
      </c>
      <c r="F26" s="18"/>
      <c r="G26" s="3"/>
      <c r="H26" s="18"/>
      <c r="I26" s="18"/>
      <c r="L26" s="3">
        <v>2</v>
      </c>
      <c r="M26" s="60">
        <f>IF(E26=$F$24,2,1)</f>
        <v>1</v>
      </c>
      <c r="N26" s="3"/>
      <c r="O26" s="61">
        <f>ROUNDDOWN(N26/4,0)</f>
        <v>0</v>
      </c>
      <c r="P26" s="60">
        <f>MIN(SUM(L26,M26,O26),R26)</f>
        <v>3</v>
      </c>
      <c r="R26" s="61">
        <v>5</v>
      </c>
      <c r="U26" s="4"/>
      <c r="V26" s="61">
        <f>U26</f>
        <v>0</v>
      </c>
      <c r="Y26" s="15" t="s">
        <v>1449</v>
      </c>
      <c r="Z26" s="61" t="str">
        <f>IFERROR(VLOOKUP(AA26,tblManoeuvre[],2,FALSE),"")</f>
        <v/>
      </c>
      <c r="AA26" s="61" t="str">
        <f t="shared" si="3"/>
        <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3</v>
      </c>
      <c r="AK26" s="61">
        <f>AJ26+IFERROR(INDEX($V$26:$V$38,MATCH(AI26,$E$26:$E$38,0)),0)</f>
        <v>3</v>
      </c>
    </row>
    <row r="27" spans="1:37">
      <c r="A27" s="1" t="s">
        <v>26</v>
      </c>
      <c r="B27" t="str">
        <f>REPT("●",IFERROR(INDEX($P$42:$P$69,MATCH(tblCharDataLivia[[#This Row],[Field]],$E$42:$E$69,0)),0))&amp;REPT("○",IFERROR(INDEX($V$42:$V$69,MATCH(tblCharDataLivia[[#This Row],[Field]],$E$42:$E$69,0)),0))&amp;IF(IFERROR(INDEX($W$42:$W$69,MATCH(tblCharDataLivia[[#This Row],[Field]],$E$42:$E$69,0)),0)=1,"†","")</f>
        <v/>
      </c>
      <c r="D27" s="18"/>
      <c r="E27" s="15" t="s">
        <v>17</v>
      </c>
      <c r="F27" s="18"/>
      <c r="G27" s="3"/>
      <c r="H27" s="18"/>
      <c r="I27" s="18"/>
      <c r="L27" s="3">
        <v>1</v>
      </c>
      <c r="M27" s="60">
        <f>IF(E27=$F$24,2,1)</f>
        <v>1</v>
      </c>
      <c r="N27" s="3"/>
      <c r="O27" s="61">
        <f>ROUNDDOWN(N27/4,0)</f>
        <v>0</v>
      </c>
      <c r="P27" s="60">
        <f>MIN(SUM(L27,M27,O27),R27)</f>
        <v>2</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0</v>
      </c>
      <c r="AK27" s="61">
        <f>IF(AJ27=0,IF(COUNTIF($E$42:$E$49,AI27)&gt;0,-3,-1),AJ27)</f>
        <v>-1</v>
      </c>
    </row>
    <row r="28" spans="1:37">
      <c r="A28" s="1" t="s">
        <v>27</v>
      </c>
      <c r="B28" t="str">
        <f>REPT("●",IFERROR(INDEX($P$42:$P$69,MATCH(tblCharDataLivia[[#This Row],[Field]],$E$42:$E$69,0)),0))&amp;REPT("○",IFERROR(INDEX($V$42:$V$69,MATCH(tblCharDataLivia[[#This Row],[Field]],$E$42:$E$69,0)),0))&amp;IF(IFERROR(INDEX($W$42:$W$69,MATCH(tblCharDataLivia[[#This Row],[Field]],$E$42:$E$69,0)),0)=1,"†","")</f>
        <v/>
      </c>
      <c r="D28" s="18"/>
      <c r="E28" s="15" t="s">
        <v>18</v>
      </c>
      <c r="F28" s="18"/>
      <c r="G28" s="3"/>
      <c r="H28" s="18"/>
      <c r="I28" s="18"/>
      <c r="L28" s="3">
        <v>2</v>
      </c>
      <c r="M28" s="60">
        <f>IF(E28=$F$24,2,1)</f>
        <v>1</v>
      </c>
      <c r="N28" s="3"/>
      <c r="O28" s="61">
        <f>ROUNDDOWN(N28/4,0)</f>
        <v>0</v>
      </c>
      <c r="P28" s="60">
        <f>MIN(SUM(L28,M28,O28),R28)</f>
        <v>3</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1</v>
      </c>
      <c r="AK28" s="61">
        <f>IF(AJ28=0,IF(COUNTIF($E$42:$E$49,AI28)&gt;0,-3,-1),AJ28)</f>
        <v>1</v>
      </c>
    </row>
    <row r="29" spans="1:37">
      <c r="A29" s="1" t="s">
        <v>28</v>
      </c>
      <c r="B29" t="str">
        <f>REPT("●",IFERROR(INDEX($P$42:$P$69,MATCH(tblCharDataLivia[[#This Row],[Field]],$E$42:$E$69,0)),0))&amp;REPT("○",IFERROR(INDEX($V$42:$V$69,MATCH(tblCharDataLivia[[#This Row],[Field]],$E$42:$E$69,0)),0))&amp;IF(IFERROR(INDEX($W$42:$W$69,MATCH(tblCharDataLivia[[#This Row],[Field]],$E$42:$E$69,0)),0)=1,"†","")</f>
        <v>●</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0</v>
      </c>
      <c r="AK29" s="61">
        <f>IF(AJ29=0,IF(COUNTIF($E$42:$E$49,AI29)&gt;0,-3,-1),AJ29)</f>
        <v>-1</v>
      </c>
    </row>
    <row r="30" spans="1:37">
      <c r="A30" s="1" t="s">
        <v>29</v>
      </c>
      <c r="B30" t="str">
        <f>REPT("●",IFERROR(INDEX($P$42:$P$69,MATCH(tblCharDataLivia[[#This Row],[Field]],$E$42:$E$69,0)),0))&amp;REPT("○",IFERROR(INDEX($V$42:$V$69,MATCH(tblCharDataLivia[[#This Row],[Field]],$E$42:$E$69,0)),0))&amp;IF(IFERROR(INDEX($W$42:$W$69,MATCH(tblCharDataLivia[[#This Row],[Field]],$E$42:$E$69,0)),0)=1,"†","")</f>
        <v>●●</v>
      </c>
      <c r="D30" s="16" t="s">
        <v>1453</v>
      </c>
      <c r="E30" s="17"/>
      <c r="F30" s="17"/>
      <c r="G30" s="17" t="s">
        <v>1445</v>
      </c>
      <c r="H30" s="16" t="s">
        <v>1446</v>
      </c>
      <c r="I30" s="3" t="s">
        <v>1566</v>
      </c>
      <c r="L30" s="60">
        <f>IF(I30="",0,VLOOKUP(I30,tblPriority[#Data],2,FALSE))-SUM(L31:L33)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3</v>
      </c>
      <c r="AK30" s="61">
        <f>AJ30</f>
        <v>3</v>
      </c>
    </row>
    <row r="31" spans="1:37">
      <c r="A31" s="1" t="s">
        <v>30</v>
      </c>
      <c r="B31" t="str">
        <f>REPT("●",IFERROR(INDEX($P$42:$P$69,MATCH(tblCharDataLivia[[#This Row],[Field]],$E$42:$E$69,0)),0))&amp;REPT("○",IFERROR(INDEX($V$42:$V$69,MATCH(tblCharDataLivia[[#This Row],[Field]],$E$42:$E$69,0)),0))&amp;IF(IFERROR(INDEX($W$42:$W$69,MATCH(tblCharDataLivia[[#This Row],[Field]],$E$42:$E$69,0)),0)=1,"†","")</f>
        <v>●●</v>
      </c>
      <c r="D31" s="18"/>
      <c r="E31" s="15" t="s">
        <v>19</v>
      </c>
      <c r="F31" s="18"/>
      <c r="G31" s="3"/>
      <c r="H31" s="18"/>
      <c r="I31" s="18"/>
      <c r="L31" s="3">
        <v>1</v>
      </c>
      <c r="M31" s="60">
        <f>IF(E31=$F$24,2,1)</f>
        <v>1</v>
      </c>
      <c r="N31" s="3"/>
      <c r="O31" s="61">
        <f>ROUNDDOWN(N31/4,0)</f>
        <v>0</v>
      </c>
      <c r="P31" s="60">
        <f>MIN(SUM(L31,M31,O31),R31)</f>
        <v>2</v>
      </c>
      <c r="R31" s="61">
        <v>5</v>
      </c>
      <c r="U31" s="4"/>
      <c r="V31" s="61">
        <f>$P$174+U31</f>
        <v>0</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3</v>
      </c>
      <c r="AK31" s="61">
        <f>AJ31+IFERROR(INDEX($V$26:$V$38,MATCH(AI31,$E$26:$E$38,0)),0)</f>
        <v>3</v>
      </c>
    </row>
    <row r="32" spans="1:37">
      <c r="A32" s="1" t="s">
        <v>31</v>
      </c>
      <c r="B32" t="str">
        <f>REPT("●",IFERROR(INDEX($P$42:$P$69,MATCH(tblCharDataLivia[[#This Row],[Field]],$E$42:$E$69,0)),0))&amp;REPT("○",IFERROR(INDEX($V$42:$V$69,MATCH(tblCharDataLivia[[#This Row],[Field]],$E$42:$E$69,0)),0))&amp;IF(IFERROR(INDEX($W$42:$W$69,MATCH(tblCharDataLivia[[#This Row],[Field]],$E$42:$E$69,0)),0)=1,"†","")</f>
        <v/>
      </c>
      <c r="D32" s="18"/>
      <c r="E32" s="15" t="s">
        <v>20</v>
      </c>
      <c r="F32" s="18"/>
      <c r="G32" s="3"/>
      <c r="H32" s="18"/>
      <c r="I32" s="18"/>
      <c r="L32" s="3">
        <v>1</v>
      </c>
      <c r="M32" s="60">
        <f>IF(E32=$F$24,2,1)</f>
        <v>1</v>
      </c>
      <c r="N32" s="3"/>
      <c r="O32" s="61">
        <f>ROUNDDOWN(N32/4,0)</f>
        <v>0</v>
      </c>
      <c r="P32" s="60">
        <f>MIN(SUM(L32,M32,O32),R32)</f>
        <v>2</v>
      </c>
      <c r="R32" s="61">
        <v>5</v>
      </c>
      <c r="U32" s="4"/>
      <c r="V32" s="61">
        <f>U32</f>
        <v>0</v>
      </c>
      <c r="Y32" s="15" t="s">
        <v>1456</v>
      </c>
      <c r="Z32" s="61" t="str">
        <f>IFERROR(VLOOKUP(AA32,tblManoeuvre[],2,FALSE),"")</f>
        <v/>
      </c>
      <c r="AA32" s="61" t="str">
        <f t="shared" si="3"/>
        <v/>
      </c>
      <c r="AI32" s="15" t="s">
        <v>29</v>
      </c>
      <c r="AJ32" s="61">
        <f t="shared" si="1"/>
        <v>2</v>
      </c>
      <c r="AK32" s="61">
        <f>IF(AJ32=0,VLOOKUP(AI32,$E$42:$Q$69,13,FALSE),AJ32)</f>
        <v>2</v>
      </c>
    </row>
    <row r="33" spans="1:37">
      <c r="A33" s="1" t="s">
        <v>32</v>
      </c>
      <c r="B33" t="str">
        <f>REPT("●",IFERROR(INDEX($P$42:$P$69,MATCH(tblCharDataLivia[[#This Row],[Field]],$E$42:$E$69,0)),0))&amp;REPT("○",IFERROR(INDEX($V$42:$V$69,MATCH(tblCharDataLivia[[#This Row],[Field]],$E$42:$E$69,0)),0))&amp;IF(IFERROR(INDEX($W$42:$W$69,MATCH(tblCharDataLivia[[#This Row],[Field]],$E$42:$E$69,0)),0)=1,"†","")</f>
        <v>●●</v>
      </c>
      <c r="D33" s="18"/>
      <c r="E33" s="15" t="s">
        <v>21</v>
      </c>
      <c r="F33" s="18"/>
      <c r="G33" s="3"/>
      <c r="H33" s="18"/>
      <c r="I33" s="18"/>
      <c r="L33" s="3">
        <v>1</v>
      </c>
      <c r="M33" s="60">
        <f>IF(E33=$F$24,2,1)</f>
        <v>1</v>
      </c>
      <c r="N33" s="3"/>
      <c r="O33" s="61">
        <f>ROUNDDOWN(N33/4,0)</f>
        <v>0</v>
      </c>
      <c r="P33" s="60">
        <f>MIN(SUM(L33,M33,O33),R33)</f>
        <v>2</v>
      </c>
      <c r="R33" s="61">
        <v>5</v>
      </c>
      <c r="U33" s="4"/>
      <c r="V33" s="61">
        <f>$P$173+U33</f>
        <v>0</v>
      </c>
      <c r="Y33" s="15" t="s">
        <v>1457</v>
      </c>
      <c r="Z33" s="61" t="str">
        <f>IFERROR(VLOOKUP(AA33,tblManoeuvre[],2,FALSE),"")</f>
        <v/>
      </c>
      <c r="AA33" s="61" t="str">
        <f t="shared" si="3"/>
        <v/>
      </c>
      <c r="AI33" s="15" t="s">
        <v>241</v>
      </c>
      <c r="AJ33" s="61">
        <f t="shared" si="1"/>
        <v>0</v>
      </c>
      <c r="AK33" s="61">
        <f>AJ33</f>
        <v>0</v>
      </c>
    </row>
    <row r="34" spans="1:37">
      <c r="A34" s="1" t="s">
        <v>33</v>
      </c>
      <c r="B34" t="str">
        <f>REPT("●",IFERROR(INDEX($P$42:$P$69,MATCH(tblCharDataLivia[[#This Row],[Field]],$E$42:$E$69,0)),0))&amp;REPT("○",IFERROR(INDEX($V$42:$V$69,MATCH(tblCharDataLivia[[#This Row],[Field]],$E$42:$E$69,0)),0))&amp;IF(IFERROR(INDEX($W$42:$W$69,MATCH(tblCharDataLivia[[#This Row],[Field]],$E$42:$E$69,0)),0)=1,"†","")</f>
        <v>●●●</v>
      </c>
      <c r="Y34" s="15" t="s">
        <v>1458</v>
      </c>
      <c r="Z34" s="61" t="str">
        <f>IFERROR(VLOOKUP(AA34,tblManoeuvre[],2,FALSE),"")</f>
        <v/>
      </c>
      <c r="AA34" s="61" t="str">
        <f t="shared" si="3"/>
        <v/>
      </c>
      <c r="AI34" s="15" t="s">
        <v>242</v>
      </c>
      <c r="AJ34" s="61">
        <f t="shared" si="1"/>
        <v>0</v>
      </c>
      <c r="AK34" s="61">
        <f>AJ34</f>
        <v>0</v>
      </c>
    </row>
    <row r="35" spans="1:37">
      <c r="A35" s="1" t="s">
        <v>34</v>
      </c>
      <c r="B35" t="str">
        <f>REPT("●",IFERROR(INDEX($P$42:$P$69,MATCH(tblCharDataLivia[[#This Row],[Field]],$E$42:$E$69,0)),0))&amp;REPT("○",IFERROR(INDEX($V$42:$V$69,MATCH(tblCharDataLivia[[#This Row],[Field]],$E$42:$E$69,0)),0))&amp;IF(IFERROR(INDEX($W$42:$W$69,MATCH(tblCharDataLivia[[#This Row],[Field]],$E$42:$E$69,0)),0)=1,"†","")</f>
        <v/>
      </c>
      <c r="D35" s="16" t="s">
        <v>1459</v>
      </c>
      <c r="E35" s="17"/>
      <c r="F35" s="17"/>
      <c r="G35" s="17" t="s">
        <v>1445</v>
      </c>
      <c r="H35" s="16" t="s">
        <v>1446</v>
      </c>
      <c r="I35" s="3" t="s">
        <v>1567</v>
      </c>
      <c r="L35" s="60">
        <f>IF(I35="",0,VLOOKUP(I35,tblPriority[#Data],2,FALSE))-SUM(L36:L38)</f>
        <v>0</v>
      </c>
      <c r="Y35" s="15" t="s">
        <v>1460</v>
      </c>
      <c r="Z35" s="61" t="str">
        <f>IFERROR(VLOOKUP(AA35,tblManoeuvre[],2,FALSE),"")</f>
        <v/>
      </c>
      <c r="AA35" s="61" t="str">
        <f t="shared" si="3"/>
        <v/>
      </c>
      <c r="AI35" s="15" t="s">
        <v>30</v>
      </c>
      <c r="AJ35" s="61">
        <f t="shared" si="1"/>
        <v>2</v>
      </c>
      <c r="AK35" s="61">
        <f>IF(AJ35=0,IF(COUNTIF($E$42:$E$49,AI35)&gt;0,-3,-1),AJ35)</f>
        <v>2</v>
      </c>
    </row>
    <row r="36" spans="1:37">
      <c r="A36" s="1" t="s">
        <v>35</v>
      </c>
      <c r="B36" t="str">
        <f>REPT("●",IFERROR(INDEX($P$42:$P$69,MATCH(tblCharDataLivia[[#This Row],[Field]],$E$42:$E$69,0)),0))&amp;REPT("○",IFERROR(INDEX($V$42:$V$69,MATCH(tblCharDataLivia[[#This Row],[Field]],$E$42:$E$69,0)),0))&amp;IF(IFERROR(INDEX($W$42:$W$69,MATCH(tblCharDataLivia[[#This Row],[Field]],$E$42:$E$69,0)),0)=1,"†","")</f>
        <v/>
      </c>
      <c r="D36" s="18"/>
      <c r="E36" s="15" t="s">
        <v>22</v>
      </c>
      <c r="F36" s="18"/>
      <c r="G36" s="3"/>
      <c r="H36" s="18"/>
      <c r="I36" s="18"/>
      <c r="L36" s="3">
        <v>2</v>
      </c>
      <c r="M36" s="60">
        <f>IF(E36=$F$24,2,1)</f>
        <v>1</v>
      </c>
      <c r="N36" s="3"/>
      <c r="O36" s="61">
        <f>ROUNDDOWN(N36/4,0)</f>
        <v>0</v>
      </c>
      <c r="P36" s="60">
        <f>MIN(SUM(L36,M36,O36),R36)</f>
        <v>3</v>
      </c>
      <c r="R36" s="61">
        <v>5</v>
      </c>
      <c r="U36" s="4"/>
      <c r="V36" s="61">
        <f>U36</f>
        <v>0</v>
      </c>
      <c r="Y36" s="15" t="s">
        <v>1461</v>
      </c>
      <c r="Z36" s="61" t="str">
        <f>IFERROR(VLOOKUP(AA36,tblManoeuvre[],2,FALSE),"")</f>
        <v/>
      </c>
      <c r="AA36" s="61" t="str">
        <f t="shared" si="3"/>
        <v/>
      </c>
      <c r="AI36" s="15" t="s">
        <v>45</v>
      </c>
      <c r="AJ36" s="61">
        <f t="shared" si="1"/>
        <v>3</v>
      </c>
      <c r="AK36" s="61">
        <f>IF(AJ36=0,IF(COUNTIF($E$42:$E$49,AI36)&gt;0,-3,-1),AJ36)</f>
        <v>3</v>
      </c>
    </row>
    <row r="37" spans="1:37">
      <c r="A37" s="1" t="s">
        <v>36</v>
      </c>
      <c r="B37" t="str">
        <f>REPT("●",IFERROR(INDEX($P$42:$P$69,MATCH(tblCharDataLivia[[#This Row],[Field]],$E$42:$E$69,0)),0))&amp;REPT("○",IFERROR(INDEX($V$42:$V$69,MATCH(tblCharDataLivia[[#This Row],[Field]],$E$42:$E$69,0)),0))&amp;IF(IFERROR(INDEX($W$42:$W$69,MATCH(tblCharDataLivia[[#This Row],[Field]],$E$42:$E$69,0)),0)=1,"†","")</f>
        <v/>
      </c>
      <c r="D37" s="18"/>
      <c r="E37" s="15" t="s">
        <v>23</v>
      </c>
      <c r="F37" s="18"/>
      <c r="G37" s="3"/>
      <c r="H37" s="18"/>
      <c r="I37" s="18"/>
      <c r="L37" s="3">
        <v>1</v>
      </c>
      <c r="M37" s="60">
        <f>IF(E37=$F$24,2,1)</f>
        <v>2</v>
      </c>
      <c r="N37" s="3"/>
      <c r="O37" s="61">
        <f>ROUNDDOWN(N37/4,0)</f>
        <v>0</v>
      </c>
      <c r="P37" s="60">
        <f>MIN(SUM(L37,M37,O37),R37)</f>
        <v>3</v>
      </c>
      <c r="R37" s="61">
        <v>5</v>
      </c>
      <c r="U37" s="4"/>
      <c r="V37" s="61">
        <f>U37</f>
        <v>0</v>
      </c>
      <c r="Y37" s="15" t="s">
        <v>1462</v>
      </c>
      <c r="Z37" s="61" t="str">
        <f>IFERROR(VLOOKUP(AA37,tblManoeuvre[],2,FALSE),"")</f>
        <v/>
      </c>
      <c r="AA37" s="61" t="str">
        <f t="shared" si="3"/>
        <v/>
      </c>
      <c r="AI37" s="15" t="s">
        <v>31</v>
      </c>
      <c r="AJ37" s="61">
        <f t="shared" si="1"/>
        <v>0</v>
      </c>
      <c r="AK37" s="61">
        <f>IF(AJ37=0,IF(COUNTIF($E$42:$E$49,AI37)&gt;0,-3,-1),AJ37)</f>
        <v>-3</v>
      </c>
    </row>
    <row r="38" spans="1:37">
      <c r="A38" s="1" t="s">
        <v>37</v>
      </c>
      <c r="B38" t="str">
        <f>REPT("●",IFERROR(INDEX($P$42:$P$69,MATCH(tblCharDataLivia[[#This Row],[Field]],$E$42:$E$69,0)),0))&amp;REPT("○",IFERROR(INDEX($V$42:$V$69,MATCH(tblCharDataLivia[[#This Row],[Field]],$E$42:$E$69,0)),0))&amp;IF(IFERROR(INDEX($W$42:$W$69,MATCH(tblCharDataLivia[[#This Row],[Field]],$E$42:$E$69,0)),0)=1,"†","")</f>
        <v/>
      </c>
      <c r="D38" s="18"/>
      <c r="E38" s="15" t="s">
        <v>24</v>
      </c>
      <c r="F38" s="18"/>
      <c r="G38" s="3"/>
      <c r="H38" s="18"/>
      <c r="I38" s="18"/>
      <c r="L38" s="3">
        <v>1</v>
      </c>
      <c r="M38" s="60">
        <f>IF(E38=$F$24,2,1)</f>
        <v>1</v>
      </c>
      <c r="N38" s="3"/>
      <c r="O38" s="61">
        <f>ROUNDDOWN(N38/4,0)</f>
        <v>0</v>
      </c>
      <c r="P38" s="60">
        <f>MIN(SUM(L38,M38,O38),R38)</f>
        <v>2</v>
      </c>
      <c r="R38" s="61">
        <v>5</v>
      </c>
      <c r="U38" s="4"/>
      <c r="V38" s="61">
        <f>U38</f>
        <v>0</v>
      </c>
      <c r="Y38" s="15" t="s">
        <v>1463</v>
      </c>
      <c r="Z38" s="61" t="str">
        <f>IFERROR(VLOOKUP(AA38,tblManoeuvre[],2,FALSE),"")</f>
        <v/>
      </c>
      <c r="AA38" s="61" t="str">
        <f t="shared" si="3"/>
        <v/>
      </c>
      <c r="AI38" s="15" t="s">
        <v>22</v>
      </c>
      <c r="AJ38" s="61">
        <f t="shared" si="1"/>
        <v>3</v>
      </c>
      <c r="AK38" s="61">
        <f>AJ38+IFERROR(INDEX($V$26:$V$38,MATCH(AI38,$E$26:$E$38,0)),0)</f>
        <v>3</v>
      </c>
    </row>
    <row r="39" spans="1:37">
      <c r="A39" s="1" t="s">
        <v>38</v>
      </c>
      <c r="B39" t="str">
        <f>REPT("●",IFERROR(INDEX($P$42:$P$69,MATCH(tblCharDataLivia[[#This Row],[Field]],$E$42:$E$69,0)),0))&amp;REPT("○",IFERROR(INDEX($V$42:$V$69,MATCH(tblCharDataLivia[[#This Row],[Field]],$E$42:$E$69,0)),0))&amp;IF(IFERROR(INDEX($W$42:$W$69,MATCH(tblCharDataLivia[[#This Row],[Field]],$E$42:$E$69,0)),0)=1,"†","")</f>
        <v>●</v>
      </c>
      <c r="Y39" s="15" t="s">
        <v>1464</v>
      </c>
      <c r="Z39" s="61" t="str">
        <f>IFERROR(VLOOKUP(AA39,tblManoeuvre[],2,FALSE),"")</f>
        <v/>
      </c>
      <c r="AA39" s="61" t="str">
        <f t="shared" si="3"/>
        <v/>
      </c>
      <c r="AI39" s="15" t="s">
        <v>243</v>
      </c>
      <c r="AJ39" s="61">
        <f t="shared" si="1"/>
        <v>0</v>
      </c>
      <c r="AK39" s="61">
        <f>AJ39</f>
        <v>0</v>
      </c>
    </row>
    <row r="40" spans="1:37" ht="15.75" thickBot="1">
      <c r="A40" s="1" t="s">
        <v>39</v>
      </c>
      <c r="B40" t="str">
        <f>REPT("●",IFERROR(INDEX($P$42:$P$69,MATCH(tblCharDataLivia[[#This Row],[Field]],$E$42:$E$69,0)),0))&amp;REPT("○",IFERROR(INDEX($V$42:$V$69,MATCH(tblCharDataLivia[[#This Row],[Field]],$E$42:$E$69,0)),0))&amp;IF(IFERROR(INDEX($W$42:$W$69,MATCH(tblCharDataLivia[[#This Row],[Field]],$E$42:$E$69,0)),0)=1,"†","")</f>
        <v/>
      </c>
      <c r="D40" s="14" t="s">
        <v>1465</v>
      </c>
      <c r="E40" s="14"/>
      <c r="F40" s="14"/>
      <c r="G40" s="14"/>
      <c r="H40" s="14"/>
      <c r="I40" s="14"/>
      <c r="N40" s="60">
        <f>SUM(N42:N49,N52:N59,N62:N69)</f>
        <v>0</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1"/>
        <v>0</v>
      </c>
      <c r="AK40" s="61">
        <f>AJ40</f>
        <v>0</v>
      </c>
    </row>
    <row r="41" spans="1:37">
      <c r="A41" s="1" t="s">
        <v>40</v>
      </c>
      <c r="B41" t="str">
        <f>REPT("●",IFERROR(INDEX($P$42:$P$69,MATCH(tblCharDataLivia[[#This Row],[Field]],$E$42:$E$69,0)),0))&amp;REPT("○",IFERROR(INDEX($V$42:$V$69,MATCH(tblCharDataLivia[[#This Row],[Field]],$E$42:$E$69,0)),0))&amp;IF(IFERROR(INDEX($W$42:$W$69,MATCH(tblCharDataLivia[[#This Row],[Field]],$E$42:$E$69,0)),0)=1,"†","")</f>
        <v/>
      </c>
      <c r="D41" s="16" t="s">
        <v>1444</v>
      </c>
      <c r="E41" s="17"/>
      <c r="F41" s="17"/>
      <c r="G41" s="17" t="s">
        <v>1467</v>
      </c>
      <c r="H41" s="16" t="s">
        <v>1446</v>
      </c>
      <c r="I41" s="3" t="s">
        <v>1565</v>
      </c>
      <c r="L41" s="60">
        <f>IF(I41="",0,VLOOKUP(I41,tblPriority[#Data],3,FALSE))-SUM(L42:L49)</f>
        <v>0</v>
      </c>
      <c r="T41" s="60">
        <f>3+IF(P161&gt;=3,2,0)-SUM(T42:T49,T52:T59,T62:T69)</f>
        <v>0</v>
      </c>
      <c r="Y41" s="15" t="s">
        <v>1468</v>
      </c>
      <c r="Z41" s="61" t="str">
        <f>IFERROR(VLOOKUP(AA41,tblManoeuvre[],2,FALSE),"")</f>
        <v/>
      </c>
      <c r="AA41" s="61" t="str">
        <f t="shared" si="3"/>
        <v/>
      </c>
      <c r="AI41" s="15" t="s">
        <v>244</v>
      </c>
      <c r="AJ41" s="61">
        <f t="shared" si="1"/>
        <v>0</v>
      </c>
      <c r="AK41" s="61">
        <f>AJ41</f>
        <v>0</v>
      </c>
    </row>
    <row r="42" spans="1:37">
      <c r="A42" s="1" t="s">
        <v>41</v>
      </c>
      <c r="B42" t="str">
        <f>REPT("●",IFERROR(INDEX($P$42:$P$69,MATCH(tblCharDataLivia[[#This Row],[Field]],$E$42:$E$69,0)),0))&amp;REPT("○",IFERROR(INDEX($V$42:$V$69,MATCH(tblCharDataLivia[[#This Row],[Field]],$E$42:$E$69,0)),0))&amp;IF(IFERROR(INDEX($W$42:$W$69,MATCH(tblCharDataLivia[[#This Row],[Field]],$E$42:$E$69,0)),0)=1,"†","")</f>
        <v/>
      </c>
      <c r="D42" s="18"/>
      <c r="E42" s="15" t="s">
        <v>25</v>
      </c>
      <c r="F42" s="18"/>
      <c r="G42" s="3"/>
      <c r="H42" s="18"/>
      <c r="I42" s="18"/>
      <c r="L42" s="4">
        <v>4</v>
      </c>
      <c r="M42" s="60"/>
      <c r="N42" s="4"/>
      <c r="O42" s="61">
        <f>ROUNDDOWN(N42/2,0)</f>
        <v>0</v>
      </c>
      <c r="P42" s="60">
        <f t="shared" ref="P42:P49" si="4">MIN(SUM(L42,M42,O42),R42)</f>
        <v>4</v>
      </c>
      <c r="R42" s="61">
        <v>5</v>
      </c>
      <c r="T42" s="4"/>
      <c r="U42" s="4"/>
      <c r="V42" s="61">
        <f t="shared" ref="V42:V49" si="5">U42</f>
        <v>0</v>
      </c>
      <c r="W42" s="4"/>
      <c r="AI42" s="15" t="s">
        <v>18</v>
      </c>
      <c r="AJ42" s="61">
        <f t="shared" si="1"/>
        <v>3</v>
      </c>
      <c r="AK42" s="61">
        <f>AJ42+IFERROR(INDEX($V$26:$V$38,MATCH(AI42,$E$26:$E$38,0)),0)</f>
        <v>3</v>
      </c>
    </row>
    <row r="43" spans="1:37">
      <c r="A43" s="1" t="s">
        <v>42</v>
      </c>
      <c r="B43" t="str">
        <f>REPT("●",IFERROR(INDEX($P$42:$P$69,MATCH(tblCharDataLivia[[#This Row],[Field]],$E$42:$E$69,0)),0))&amp;REPT("○",IFERROR(INDEX($V$42:$V$69,MATCH(tblCharDataLivia[[#This Row],[Field]],$E$42:$E$69,0)),0))&amp;IF(IFERROR(INDEX($W$42:$W$69,MATCH(tblCharDataLivia[[#This Row],[Field]],$E$42:$E$69,0)),0)=1,"†","")</f>
        <v>●●</v>
      </c>
      <c r="D43" s="18"/>
      <c r="E43" s="15" t="s">
        <v>26</v>
      </c>
      <c r="F43" s="18"/>
      <c r="G43" s="3"/>
      <c r="H43" s="18"/>
      <c r="I43" s="18"/>
      <c r="L43" s="4"/>
      <c r="M43" s="60"/>
      <c r="N43" s="4"/>
      <c r="O43" s="61">
        <f t="shared" ref="O43:O49" si="6">ROUNDDOWN(N43/2,0)</f>
        <v>0</v>
      </c>
      <c r="P43" s="60">
        <f t="shared" si="4"/>
        <v>0</v>
      </c>
      <c r="R43" s="61">
        <v>5</v>
      </c>
      <c r="T43" s="4"/>
      <c r="U43" s="4"/>
      <c r="V43" s="61">
        <f t="shared" si="5"/>
        <v>0</v>
      </c>
      <c r="W43" s="4"/>
      <c r="AI43" s="15" t="s">
        <v>32</v>
      </c>
      <c r="AJ43" s="61">
        <f t="shared" si="1"/>
        <v>2</v>
      </c>
      <c r="AK43" s="61">
        <f>IF(AJ43=0,IF(COUNTIF($E$42:$E$49,AI43)&gt;0,-3,-1),AJ43)</f>
        <v>2</v>
      </c>
    </row>
    <row r="44" spans="1:37">
      <c r="A44" s="1" t="s">
        <v>43</v>
      </c>
      <c r="B44" t="str">
        <f>REPT("●",IFERROR(INDEX($P$42:$P$69,MATCH(tblCharDataLivia[[#This Row],[Field]],$E$42:$E$69,0)),0))&amp;REPT("○",IFERROR(INDEX($V$42:$V$69,MATCH(tblCharDataLivia[[#This Row],[Field]],$E$42:$E$69,0)),0))&amp;IF(IFERROR(INDEX($W$42:$W$69,MATCH(tblCharDataLivia[[#This Row],[Field]],$E$42:$E$69,0)),0)=1,"†","")</f>
        <v/>
      </c>
      <c r="D44" s="18"/>
      <c r="E44" s="15" t="s">
        <v>27</v>
      </c>
      <c r="F44" s="18"/>
      <c r="G44" s="3"/>
      <c r="H44" s="18"/>
      <c r="I44" s="18"/>
      <c r="L44" s="4"/>
      <c r="M44" s="60"/>
      <c r="N44" s="4"/>
      <c r="O44" s="61">
        <f t="shared" si="6"/>
        <v>0</v>
      </c>
      <c r="P44" s="60">
        <f t="shared" si="4"/>
        <v>0</v>
      </c>
      <c r="R44" s="61">
        <v>5</v>
      </c>
      <c r="T44" s="4"/>
      <c r="U44" s="4"/>
      <c r="V44" s="61">
        <f t="shared" si="5"/>
        <v>0</v>
      </c>
      <c r="W44" s="4"/>
      <c r="Y44" s="15">
        <v>1</v>
      </c>
      <c r="Z44" s="61" t="s">
        <v>236</v>
      </c>
      <c r="AA44" s="60" t="str" cm="1">
        <f t="array" ref="AA44">IF(OR(Y44=0,Y44=""),"",IF(VLOOKUP(Z44,$AI$1:$AJ$58,2,FALSE)&gt;=Y44,INDEX(tblDisciplines[Name],MATCH(1,(tblDisciplines[Discipline]=Z44)*(tblDisciplines[Rank]=Y44),0)),""))</f>
        <v/>
      </c>
      <c r="AC44" s="60" t="str" cm="1">
        <f t="array" ref="AC44:AC52">IFERROR(_xlfn.VSTACK(IFERROR(_xlfn._xlws.FILTER(AA44:AA121,AA44:AA121&lt;&gt;""),""),IFERROR(_xlfn._xlws.SORT(_xlfn._xlws.FILTER(AA123:AA132,AA123:AA132&lt;&gt;"")),"")),"")</f>
        <v>Celerity 1</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Celerity ●</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1 V per effect  •  Pool: -  •  Reflexive  •  1 turn</v>
      </c>
      <c r="AF44" s="20" t="str">
        <f>IF(AC44="","",IFERROR(VLOOKUP(AC44,tblDisciplines[],12,FALSE),VLOOKUP(AC44,tblPacts[],5,FALSE)))</f>
        <v>Persistent improved Defence or Dodge. Activate for supernatural speed benefits. Unnatural Grace: add Celerity dots as bonus dice to non-combat speed-based pools.</v>
      </c>
      <c r="AI44" s="15" t="s">
        <v>353</v>
      </c>
      <c r="AJ44" s="61">
        <f t="shared" si="1"/>
        <v>5</v>
      </c>
      <c r="AK44" s="61">
        <f>AJ44</f>
        <v>5</v>
      </c>
    </row>
    <row r="45" spans="1:37">
      <c r="A45" s="1" t="s">
        <v>44</v>
      </c>
      <c r="B45" t="str">
        <f>REPT("●",IFERROR(INDEX($P$42:$P$69,MATCH(tblCharDataLivia[[#This Row],[Field]],$E$42:$E$69,0)),0))&amp;REPT("○",IFERROR(INDEX($V$42:$V$69,MATCH(tblCharDataLivia[[#This Row],[Field]],$E$42:$E$69,0)),0))&amp;IF(IFERROR(INDEX($W$42:$W$69,MATCH(tblCharDataLivia[[#This Row],[Field]],$E$42:$E$69,0)),0)=1,"†","")</f>
        <v/>
      </c>
      <c r="D45" s="18"/>
      <c r="E45" s="15" t="s">
        <v>28</v>
      </c>
      <c r="F45" s="18"/>
      <c r="G45" s="3"/>
      <c r="H45" s="18"/>
      <c r="I45" s="18"/>
      <c r="L45" s="4">
        <v>1</v>
      </c>
      <c r="M45" s="60"/>
      <c r="N45" s="4"/>
      <c r="O45" s="61">
        <f t="shared" si="6"/>
        <v>0</v>
      </c>
      <c r="P45" s="60">
        <f t="shared" si="4"/>
        <v>1</v>
      </c>
      <c r="R45" s="61">
        <v>5</v>
      </c>
      <c r="T45" s="4"/>
      <c r="U45" s="4"/>
      <c r="V45" s="61">
        <f t="shared" si="5"/>
        <v>0</v>
      </c>
      <c r="W45" s="4"/>
      <c r="Y45" s="15">
        <v>2</v>
      </c>
      <c r="Z45" s="61" t="s">
        <v>236</v>
      </c>
      <c r="AA45" s="60" t="str" cm="1">
        <f t="array" ref="AA45">IF(OR(Y45=0,Y45=""),"",IF(VLOOKUP(Z45,$AI$1:$AJ$58,2,FALSE)&gt;=Y45,INDEX(tblDisciplines[Name],MATCH(1,(tblDisciplines[Discipline]=Z45)*(tblDisciplines[Rank]=Y45),0)),""))</f>
        <v/>
      </c>
      <c r="AC45" s="60" t="str">
        <v>Awe</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Majesty ● | Awe</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  •  Pool: -  •  Instant  •  Scene</v>
      </c>
      <c r="AF45" s="20" t="str">
        <f>IF(AC45="","",IFERROR(VLOOKUP(AC45,tblDisciplines[],12,FALSE),VLOOKUP(AC45,tblPacts[],5,FALSE)))</f>
        <v>Become centre of attention. Subjects become Awed.</v>
      </c>
      <c r="AI45" s="15" t="s">
        <v>46</v>
      </c>
      <c r="AJ45" s="61">
        <f t="shared" si="1"/>
        <v>0</v>
      </c>
      <c r="AK45" s="61">
        <f>IF(AJ45=0,IF(COUNTIF($E$42:$E$49,AI45)&gt;0,-3,-1),AJ45)</f>
        <v>-1</v>
      </c>
    </row>
    <row r="46" spans="1:37">
      <c r="A46" s="1" t="s">
        <v>45</v>
      </c>
      <c r="B46" t="str">
        <f>REPT("●",IFERROR(INDEX($P$42:$P$69,MATCH(tblCharDataLivia[[#This Row],[Field]],$E$42:$E$69,0)),0))&amp;REPT("○",IFERROR(INDEX($V$42:$V$69,MATCH(tblCharDataLivia[[#This Row],[Field]],$E$42:$E$69,0)),0))&amp;IF(IFERROR(INDEX($W$42:$W$69,MATCH(tblCharDataLivia[[#This Row],[Field]],$E$42:$E$69,0)),0)=1,"†","")</f>
        <v>●●●</v>
      </c>
      <c r="D46" s="61" t="s">
        <v>1773</v>
      </c>
      <c r="E46" s="15" t="s">
        <v>29</v>
      </c>
      <c r="F46" s="18"/>
      <c r="G46" s="3" t="s">
        <v>1141</v>
      </c>
      <c r="H46" s="18"/>
      <c r="I46" s="18"/>
      <c r="L46" s="4">
        <v>2</v>
      </c>
      <c r="M46" s="60"/>
      <c r="N46" s="4"/>
      <c r="O46" s="61">
        <f t="shared" si="6"/>
        <v>0</v>
      </c>
      <c r="P46" s="60">
        <f t="shared" si="4"/>
        <v>2</v>
      </c>
      <c r="R46" s="61">
        <v>5</v>
      </c>
      <c r="T46" s="4"/>
      <c r="U46" s="4"/>
      <c r="V46" s="61">
        <f t="shared" si="5"/>
        <v>0</v>
      </c>
      <c r="W46" s="4"/>
      <c r="Y46" s="15">
        <v>3</v>
      </c>
      <c r="Z46" s="61" t="s">
        <v>236</v>
      </c>
      <c r="AA46" s="60" t="str" cm="1">
        <f t="array" ref="AA46">IF(OR(Y46=0,Y46=""),"",IF(VLOOKUP(Z46,$AI$1:$AJ$58,2,FALSE)&gt;=Y46,INDEX(tblDisciplines[Name],MATCH(1,(tblDisciplines[Discipline]=Z46)*(tblDisciplines[Rank]=Y46),0)),""))</f>
        <v/>
      </c>
      <c r="AC46" s="60" t="str">
        <v>Confidant</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Majesty ●● | Confidant</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 (req: Awed)   •  Pool: 8  v Resolve + BP  •  Contested</v>
      </c>
      <c r="AF46" s="20" t="str">
        <f>IF(AC46="","",IFERROR(VLOOKUP(AC46,tblDisciplines[],12,FALSE),VLOOKUP(AC46,tblPacts[],5,FALSE)))</f>
        <v>Impose Charmed Condition.</v>
      </c>
      <c r="AI46" s="15" t="s">
        <v>354</v>
      </c>
      <c r="AJ46" s="61">
        <f t="shared" ca="1" si="1"/>
        <v>9</v>
      </c>
      <c r="AK46" s="61">
        <f ca="1">AJ46</f>
        <v>9</v>
      </c>
    </row>
    <row r="47" spans="1:37">
      <c r="A47" s="1" t="s">
        <v>46</v>
      </c>
      <c r="B47" t="str">
        <f>REPT("●",IFERROR(INDEX($P$42:$P$69,MATCH(tblCharDataLivia[[#This Row],[Field]],$E$42:$E$69,0)),0))&amp;REPT("○",IFERROR(INDEX($V$42:$V$69,MATCH(tblCharDataLivia[[#This Row],[Field]],$E$42:$E$69,0)),0))&amp;IF(IFERROR(INDEX($W$42:$W$69,MATCH(tblCharDataLivia[[#This Row],[Field]],$E$42:$E$69,0)),0)=1,"†","")</f>
        <v/>
      </c>
      <c r="D47" s="18"/>
      <c r="E47" s="15" t="s">
        <v>30</v>
      </c>
      <c r="F47" s="18"/>
      <c r="G47" s="3"/>
      <c r="H47" s="18"/>
      <c r="I47" s="18"/>
      <c r="L47" s="4">
        <v>2</v>
      </c>
      <c r="M47" s="60"/>
      <c r="N47" s="4"/>
      <c r="O47" s="61">
        <f t="shared" si="6"/>
        <v>0</v>
      </c>
      <c r="P47" s="60">
        <f t="shared" si="4"/>
        <v>2</v>
      </c>
      <c r="R47" s="61">
        <v>5</v>
      </c>
      <c r="T47" s="4">
        <v>1</v>
      </c>
      <c r="U47" s="4"/>
      <c r="V47" s="61">
        <f t="shared" si="5"/>
        <v>0</v>
      </c>
      <c r="W47" s="4"/>
      <c r="Y47" s="15">
        <v>4</v>
      </c>
      <c r="Z47" s="61" t="s">
        <v>236</v>
      </c>
      <c r="AA47" s="60" t="str" cm="1">
        <f t="array" ref="AA47">IF(OR(Y47=0,Y47=""),"",IF(VLOOKUP(Z47,$AI$1:$AJ$58,2,FALSE)&gt;=Y47,INDEX(tblDisciplines[Name],MATCH(1,(tblDisciplines[Discipline]=Z47)*(tblDisciplines[Rank]=Y47),0)),""))</f>
        <v/>
      </c>
      <c r="AC47" s="60" t="str">
        <v>Green Eyes</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Majesty ●●● | Green Eyes</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Cost: 1 V (req: Charmed / Enthralled)   •  Pool: -  •  Instant  •  Scene</v>
      </c>
      <c r="AF47" s="20" t="str">
        <f>IF(AC47="","",IFERROR(VLOOKUP(AC47,tblDisciplines[],12,FALSE),VLOOKUP(AC47,tblPacts[],5,FALSE)))</f>
        <v>Shift emotions (1 V, any number of Charmed/Enthralled targets); rage/fear causes frenzy with no resist roll (Ride the Wave normal). Requests: 1 V per target, must be spoken and heard.</v>
      </c>
      <c r="AI47" s="15" t="s">
        <v>21</v>
      </c>
      <c r="AJ47" s="61">
        <f t="shared" si="1"/>
        <v>2</v>
      </c>
      <c r="AK47" s="61">
        <f>AJ47+IFERROR(INDEX($V$26:$V$38,MATCH(AI47,$E$26:$E$38,0)),0)</f>
        <v>2</v>
      </c>
    </row>
    <row r="48" spans="1:37">
      <c r="A48" s="1" t="s">
        <v>47</v>
      </c>
      <c r="B48" t="str">
        <f>REPT("●",IFERROR(INDEX($P$42:$P$69,MATCH(tblCharDataLivia[[#This Row],[Field]],$E$42:$E$69,0)),0))&amp;REPT("○",IFERROR(INDEX($V$42:$V$69,MATCH(tblCharDataLivia[[#This Row],[Field]],$E$42:$E$69,0)),0))&amp;IF(IFERROR(INDEX($W$42:$W$69,MATCH(tblCharDataLivia[[#This Row],[Field]],$E$42:$E$69,0)),0)=1,"†","")</f>
        <v/>
      </c>
      <c r="D48" s="18"/>
      <c r="E48" s="15" t="s">
        <v>31</v>
      </c>
      <c r="F48" s="18"/>
      <c r="G48" s="3"/>
      <c r="H48" s="18"/>
      <c r="I48" s="18"/>
      <c r="L48" s="4"/>
      <c r="M48" s="60"/>
      <c r="N48" s="4"/>
      <c r="O48" s="61">
        <f t="shared" si="6"/>
        <v>0</v>
      </c>
      <c r="P48" s="60">
        <f t="shared" si="4"/>
        <v>0</v>
      </c>
      <c r="R48" s="61">
        <v>5</v>
      </c>
      <c r="T48" s="4"/>
      <c r="U48" s="4"/>
      <c r="V48" s="61">
        <f t="shared" si="5"/>
        <v>0</v>
      </c>
      <c r="W48" s="4"/>
      <c r="Y48" s="15">
        <v>5</v>
      </c>
      <c r="Z48" s="61" t="s">
        <v>236</v>
      </c>
      <c r="AA48" s="60" t="str" cm="1">
        <f t="array" ref="AA48">IF(OR(Y48=0,Y48=""),"",IF(VLOOKUP(Z48,$AI$1:$AJ$58,2,FALSE)&gt;=Y48,INDEX(tblDisciplines[Name],MATCH(1,(tblDisciplines[Discipline]=Z48)*(tblDisciplines[Rank]=Y48),0)),""))</f>
        <v/>
      </c>
      <c r="AC48" s="60" t="str">
        <v>Divination 1</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Blood Sorcery | Divination ●</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v>
      </c>
      <c r="AF48" s="20" t="str">
        <f>IF(AC48="","",IFERROR(VLOOKUP(AC48,tblDisciplines[],12,FALSE),VLOOKUP(AC48,tblPacts[],5,FALSE)))</f>
        <v>Glimpse fragmented details about intended actions. Learn basic info about a target.</v>
      </c>
      <c r="AI48" s="15" t="s">
        <v>38</v>
      </c>
      <c r="AJ48" s="61">
        <f t="shared" si="1"/>
        <v>1</v>
      </c>
      <c r="AK48" s="61">
        <f>IF(AJ48=0,IF(COUNTIF($E$42:$E$49,AI48)&gt;0,-3,-1),AJ48)</f>
        <v>1</v>
      </c>
    </row>
    <row r="49" spans="1:37">
      <c r="A49" s="1" t="s">
        <v>48</v>
      </c>
      <c r="B49" t="str">
        <f>REPT("●",IFERROR(INDEX($P$42:$P$69,MATCH(tblCharDataLivia[[#This Row],[Field]],$E$42:$E$69,0)),0))&amp;REPT("○",IFERROR(INDEX($V$42:$V$69,MATCH(tblCharDataLivia[[#This Row],[Field]],$E$42:$E$69,0)),0))&amp;IF(IFERROR(INDEX($W$42:$W$69,MATCH(tblCharDataLivia[[#This Row],[Field]],$E$42:$E$69,0)),0)=1,"†","")</f>
        <v>●●</v>
      </c>
      <c r="D49" s="18"/>
      <c r="E49" s="15" t="s">
        <v>32</v>
      </c>
      <c r="F49" s="18"/>
      <c r="G49" s="3" t="s">
        <v>1142</v>
      </c>
      <c r="H49" s="18"/>
      <c r="I49" s="18"/>
      <c r="L49" s="4">
        <v>2</v>
      </c>
      <c r="M49" s="60"/>
      <c r="N49" s="4"/>
      <c r="O49" s="61">
        <f t="shared" si="6"/>
        <v>0</v>
      </c>
      <c r="P49" s="60">
        <f t="shared" si="4"/>
        <v>2</v>
      </c>
      <c r="R49" s="61">
        <v>5</v>
      </c>
      <c r="T49" s="4"/>
      <c r="U49" s="4"/>
      <c r="V49" s="61">
        <f t="shared" si="5"/>
        <v>0</v>
      </c>
      <c r="W49" s="4"/>
      <c r="Y49" s="15">
        <v>1</v>
      </c>
      <c r="Z49" s="61" t="s">
        <v>237</v>
      </c>
      <c r="AA49" s="60" t="str" cm="1">
        <f t="array" ref="AA49">IF(OR(Y49=0,Y49=""),"",IF(VLOOKUP(Z49,$AI$1:$AJ$58,2,FALSE)&gt;=Y49,INDEX(tblDisciplines[Name],MATCH(1,(tblDisciplines[Discipline]=Z49)*(tblDisciplines[Rank]=Y49),0)),""))</f>
        <v/>
      </c>
      <c r="AC49" s="60" t="str">
        <v>Transmutation 1</v>
      </c>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Blood Sorcery | Transmutation ●</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v>
      </c>
      <c r="AF49" s="20" t="str">
        <f>IF(AC49="","",IFERROR(VLOOKUP(AC49,tblDisciplines[],12,FALSE),VLOOKUP(AC49,tblPacts[],5,FALSE)))</f>
        <v>Minor cosmetic changes to living subjects. Warp dead matter. Animate liquids.</v>
      </c>
      <c r="AI49" s="15" t="s">
        <v>47</v>
      </c>
      <c r="AJ49" s="61">
        <f t="shared" si="1"/>
        <v>0</v>
      </c>
      <c r="AK49" s="61">
        <f>IF(AJ49=0,IF(COUNTIF($E$42:$E$49,AI49)&gt;0,-3,-1),AJ49)</f>
        <v>-1</v>
      </c>
    </row>
    <row r="50" spans="1:37">
      <c r="A50" s="1" t="s">
        <v>49</v>
      </c>
      <c r="B50" t="str">
        <f ca="1">REPT("●",VLOOKUP(tblCharDataLivia[[#This Row],[Field]],INDIRECT($AH$1),2,FALSE)) &amp; REPT("○",10-VLOOKUP(tblCharDataLivia[[#This Row],[Field]],INDIRECT($AH$1),2,FALSE)) &amp; REPT("○",10-VLOOKUP(tblCharDataLivia[[#This Row],[Field]],INDIRECT($AH$1),2,FALSE))</f>
        <v>●○○○○○○○○○○○○○○○○○○</v>
      </c>
      <c r="Y50" s="15">
        <v>2</v>
      </c>
      <c r="Z50" s="61" t="s">
        <v>237</v>
      </c>
      <c r="AA50" s="60" t="str" cm="1">
        <f t="array" ref="AA50">IF(OR(Y50=0,Y50=""),"",IF(VLOOKUP(Z50,$AI$1:$AJ$58,2,FALSE)&gt;=Y50,INDEX(tblDisciplines[Name],MATCH(1,(tblDisciplines[Discipline]=Z50)*(tblDisciplines[Rank]=Y50),0)),""))</f>
        <v/>
      </c>
      <c r="AC50" s="60" t="str">
        <v>Vitae Reliquary</v>
      </c>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Theban ● | Vitae Reliquary</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Cost: 1 V 1 Successes  •  Pool: 5  •  Ritual  •  1 lunar month</v>
      </c>
      <c r="AF50" s="20" t="str">
        <f>IF(AC50="","",IFERROR(VLOOKUP(AC50,tblDisciplines[],12,FALSE),VLOOKUP(AC50,tblPacts[],5,FALSE)))</f>
        <v>Store Vitae equal to Potency in object (Size 3 or smaller)</v>
      </c>
      <c r="AI50" s="15" t="s">
        <v>19</v>
      </c>
      <c r="AJ50" s="61">
        <f t="shared" si="1"/>
        <v>2</v>
      </c>
      <c r="AK50" s="61">
        <f>AJ50+IFERROR(INDEX($V$26:$V$38,MATCH(AI50,$E$26:$E$38,0)),0)</f>
        <v>2</v>
      </c>
    </row>
    <row r="51" spans="1:37">
      <c r="A51" s="1" t="s">
        <v>50</v>
      </c>
      <c r="B51">
        <f>P72</f>
        <v>1</v>
      </c>
      <c r="D51" s="16" t="s">
        <v>1453</v>
      </c>
      <c r="E51" s="17"/>
      <c r="F51" s="17"/>
      <c r="G51" s="17" t="s">
        <v>1467</v>
      </c>
      <c r="H51" s="16" t="s">
        <v>1446</v>
      </c>
      <c r="I51" s="3" t="s">
        <v>1566</v>
      </c>
      <c r="L51" s="60">
        <f>IF(I51="",0,VLOOKUP(I51,tblPriority[#Data],3,FALSE))-SUM(L52:L59)</f>
        <v>0</v>
      </c>
      <c r="Y51" s="15">
        <v>3</v>
      </c>
      <c r="Z51" s="61" t="s">
        <v>237</v>
      </c>
      <c r="AA51" s="60" t="str" cm="1">
        <f t="array" ref="AA51">IF(OR(Y51=0,Y51=""),"",IF(VLOOKUP(Z51,$AI$1:$AJ$58,2,FALSE)&gt;=Y51,INDEX(tblDisciplines[Name],MATCH(1,(tblDisciplines[Discipline]=Z51)*(tblDisciplines[Rank]=Y51),0)),""))</f>
        <v/>
      </c>
      <c r="AC51" s="60" t="str">
        <v>Damned Radiance</v>
      </c>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Theban ●●●● | Damned Radiance</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Cost: 1 WP 4 Successes  •  Pool: 9  v Stamina + BP  •  Ritual  •  1 night</v>
      </c>
      <c r="AF51" s="20" t="str">
        <f>IF(AC51="","",IFERROR(VLOOKUP(AC51,tblDisciplines[],12,FALSE),VLOOKUP(AC51,tblPacts[],5,FALSE)))</f>
        <v>Vampire appears mortal, -2 Disciplines</v>
      </c>
      <c r="AI51" s="15" t="s">
        <v>48</v>
      </c>
      <c r="AJ51" s="61">
        <f t="shared" si="1"/>
        <v>2</v>
      </c>
      <c r="AK51" s="61">
        <f>IF(AJ51=0,IF(COUNTIF($E$42:$E$49,AI51)&gt;0,-3,-1),AJ51)</f>
        <v>2</v>
      </c>
    </row>
    <row r="52" spans="1:37">
      <c r="A52" s="1" t="s">
        <v>51</v>
      </c>
      <c r="B52" t="str">
        <f>_xlfn.IFNA(VLOOKUP(P72,tblBloodPotency[#Data],5,FALSE),"")</f>
        <v/>
      </c>
      <c r="D52" s="18"/>
      <c r="E52" s="15" t="s">
        <v>33</v>
      </c>
      <c r="F52" s="18"/>
      <c r="G52" s="3"/>
      <c r="H52" s="18"/>
      <c r="I52" s="18"/>
      <c r="L52" s="4">
        <v>3</v>
      </c>
      <c r="M52" s="60"/>
      <c r="N52" s="4"/>
      <c r="O52" s="61">
        <f>ROUNDDOWN(N52/2,0)</f>
        <v>0</v>
      </c>
      <c r="P52" s="60">
        <f t="shared" ref="P52:P59" si="7">MIN(SUM(L52,M52,O52),R52)</f>
        <v>3</v>
      </c>
      <c r="R52" s="61">
        <v>5</v>
      </c>
      <c r="T52" s="4"/>
      <c r="U52" s="4"/>
      <c r="V52" s="61">
        <f t="shared" ref="V52:V59" si="8">U52</f>
        <v>0</v>
      </c>
      <c r="W52" s="4"/>
      <c r="Y52" s="15">
        <v>4</v>
      </c>
      <c r="Z52" s="61" t="s">
        <v>237</v>
      </c>
      <c r="AA52" s="60" t="str" cm="1">
        <f t="array" ref="AA52">IF(OR(Y52=0,Y52=""),"",IF(VLOOKUP(Z52,$AI$1:$AJ$58,2,FALSE)&gt;=Y52,INDEX(tblDisciplines[Name],MATCH(1,(tblDisciplines[Discipline]=Z52)*(tblDisciplines[Rank]=Y52),0)),""))</f>
        <v/>
      </c>
      <c r="AC52" s="60" t="str">
        <v/>
      </c>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
      </c>
      <c r="AF52" s="20" t="str">
        <f>IF(AC52="","",IFERROR(VLOOKUP(AC52,tblDisciplines[],12,FALSE),VLOOKUP(AC52,tblPacts[],5,FALSE)))</f>
        <v/>
      </c>
      <c r="AI52" s="15" t="s">
        <v>39</v>
      </c>
      <c r="AJ52" s="61">
        <f t="shared" si="1"/>
        <v>0</v>
      </c>
      <c r="AK52" s="61">
        <f>IF(AJ52=0,IF(COUNTIF($E$42:$E$49,AI52)&gt;0,-3,-1),AJ52)</f>
        <v>-1</v>
      </c>
    </row>
    <row r="53" spans="1:37">
      <c r="A53" s="1" t="s">
        <v>52</v>
      </c>
      <c r="B53" t="str">
        <f ca="1">REPT("□",P221) &amp; REPT("■",15-P221)</f>
        <v>□□□□□□□■■■■■■■■</v>
      </c>
      <c r="D53" s="18"/>
      <c r="E53" s="15" t="s">
        <v>34</v>
      </c>
      <c r="F53" s="18"/>
      <c r="G53" s="3"/>
      <c r="H53" s="18"/>
      <c r="I53" s="18"/>
      <c r="L53" s="4"/>
      <c r="M53" s="60"/>
      <c r="N53" s="4"/>
      <c r="O53" s="61">
        <f t="shared" ref="O53:O59" si="9">ROUNDDOWN(N53/2,0)</f>
        <v>0</v>
      </c>
      <c r="P53" s="60">
        <f t="shared" si="7"/>
        <v>0</v>
      </c>
      <c r="R53" s="61">
        <v>5</v>
      </c>
      <c r="T53" s="4"/>
      <c r="U53" s="4"/>
      <c r="V53" s="61">
        <f t="shared" si="8"/>
        <v>0</v>
      </c>
      <c r="W53" s="4"/>
      <c r="Y53" s="15">
        <v>5</v>
      </c>
      <c r="Z53" s="61" t="s">
        <v>237</v>
      </c>
      <c r="AA53" s="60" t="str" cm="1">
        <f t="array" ref="AA53">IF(OR(Y53=0,Y53=""),"",IF(VLOOKUP(Z53,$AI$1:$AJ$58,2,FALSE)&gt;=Y53,INDEX(tblDisciplines[Name],MATCH(1,(tblDisciplines[Discipline]=Z53)*(tblDisciplines[Rank]=Y53),0)),""))</f>
        <v/>
      </c>
      <c r="AC53" s="60"/>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
      </c>
      <c r="AF53" s="20" t="str">
        <f>IF(AC53="","",IFERROR(VLOOKUP(AC53,tblDisciplines[],12,FALSE),VLOOKUP(AC53,tblPacts[],5,FALSE)))</f>
        <v/>
      </c>
      <c r="AI53" s="15" t="s">
        <v>247</v>
      </c>
      <c r="AJ53" s="61">
        <f t="shared" si="1"/>
        <v>2</v>
      </c>
      <c r="AK53" s="61">
        <f>AJ53</f>
        <v>2</v>
      </c>
    </row>
    <row r="54" spans="1:37">
      <c r="A54" s="1" t="s">
        <v>53</v>
      </c>
      <c r="B54" t="str">
        <f>_xlfn.CONCAT(P74-L224," / ",P74)</f>
        <v>5 / 5</v>
      </c>
      <c r="D54" s="18"/>
      <c r="E54" s="15" t="s">
        <v>35</v>
      </c>
      <c r="F54" s="18"/>
      <c r="G54" s="3"/>
      <c r="H54" s="18"/>
      <c r="I54" s="18"/>
      <c r="L54" s="4"/>
      <c r="M54" s="60"/>
      <c r="N54" s="4"/>
      <c r="O54" s="61">
        <f t="shared" si="9"/>
        <v>0</v>
      </c>
      <c r="P54" s="60">
        <f t="shared" si="7"/>
        <v>0</v>
      </c>
      <c r="R54" s="61">
        <v>5</v>
      </c>
      <c r="T54" s="4"/>
      <c r="U54" s="4"/>
      <c r="V54" s="61">
        <f t="shared" si="8"/>
        <v>0</v>
      </c>
      <c r="W54" s="4"/>
      <c r="Y54" s="15">
        <f>P167</f>
        <v>1</v>
      </c>
      <c r="Z54" s="61" t="s">
        <v>238</v>
      </c>
      <c r="AA54" s="60" t="str" cm="1">
        <f t="array" ref="AA54">IF(OR(Y54=0,Y54=""),"",IF(VLOOKUP(Z54,$AI$1:$AJ$58,2,FALSE)&gt;=Y54,INDEX(tblDisciplines[Name],MATCH(1,(tblDisciplines[Discipline]=Z54)*(tblDisciplines[Rank]=Y54),0)),""))</f>
        <v>Celerity 1</v>
      </c>
      <c r="AC54" s="60"/>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
      </c>
      <c r="AF54" s="20" t="str">
        <f>IF(AC54="","",IFERROR(VLOOKUP(AC54,tblDisciplines[],12,FALSE),VLOOKUP(AC54,tblPacts[],5,FALSE)))</f>
        <v/>
      </c>
      <c r="AI54" s="15" t="s">
        <v>252</v>
      </c>
      <c r="AJ54" s="61">
        <f t="shared" si="1"/>
        <v>1</v>
      </c>
      <c r="AK54" s="61">
        <f>AJ54</f>
        <v>1</v>
      </c>
    </row>
    <row r="55" spans="1:37">
      <c r="A55" s="1" t="s">
        <v>54</v>
      </c>
      <c r="B55" t="str">
        <f>REPT("□",P74) &amp; REPT("■",10-P74)</f>
        <v>□□□□□■■■■■</v>
      </c>
      <c r="D55" s="18"/>
      <c r="E55" s="15" t="s">
        <v>36</v>
      </c>
      <c r="F55" s="18"/>
      <c r="G55" s="3"/>
      <c r="H55" s="18"/>
      <c r="I55" s="18"/>
      <c r="L55" s="4"/>
      <c r="M55" s="60"/>
      <c r="N55" s="4"/>
      <c r="O55" s="61">
        <f t="shared" si="9"/>
        <v>0</v>
      </c>
      <c r="P55" s="60">
        <f t="shared" si="7"/>
        <v>0</v>
      </c>
      <c r="R55" s="61">
        <v>5</v>
      </c>
      <c r="T55" s="4"/>
      <c r="U55" s="4"/>
      <c r="V55" s="61">
        <f t="shared" si="8"/>
        <v>0</v>
      </c>
      <c r="W55" s="4"/>
      <c r="Y55" s="15">
        <v>1</v>
      </c>
      <c r="Z55" s="61" t="s">
        <v>239</v>
      </c>
      <c r="AA55" s="60" t="str" cm="1">
        <f t="array" ref="AA55">IF(OR(Y55=0,Y55=""),"",IF(VLOOKUP(Z55,$AI$1:$AJ$58,2,FALSE)&gt;=Y55,INDEX(tblDisciplines[Name],MATCH(1,(tblDisciplines[Discipline]=Z55)*(tblDisciplines[Rank]=Y55),0)),""))</f>
        <v/>
      </c>
      <c r="AC55" s="60"/>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
      </c>
      <c r="AF55" s="20" t="str">
        <f>IF(AC55="","",IFERROR(VLOOKUP(AC55,tblDisciplines[],12,FALSE),VLOOKUP(AC55,tblPacts[],5,FALSE)))</f>
        <v/>
      </c>
      <c r="AI55" s="15" t="s">
        <v>245</v>
      </c>
      <c r="AJ55" s="61">
        <f t="shared" si="1"/>
        <v>0</v>
      </c>
      <c r="AK55" s="61">
        <f>AJ55+IFERROR(INDEX($V$26:$V$38,MATCH(AI55,$E$26:$E$38,0)),0)</f>
        <v>0</v>
      </c>
    </row>
    <row r="56" spans="1:37">
      <c r="A56" s="1" t="s">
        <v>55</v>
      </c>
      <c r="B56" t="str">
        <f ca="1">_xlfn.CONCAT(P75-L223," / ",P75)</f>
        <v>10 / 10</v>
      </c>
      <c r="D56" s="19"/>
      <c r="E56" s="15" t="s">
        <v>37</v>
      </c>
      <c r="F56" s="18"/>
      <c r="G56" s="3"/>
      <c r="H56" s="18"/>
      <c r="I56" s="18"/>
      <c r="L56" s="4"/>
      <c r="M56" s="60"/>
      <c r="N56" s="4"/>
      <c r="O56" s="61">
        <f t="shared" si="9"/>
        <v>0</v>
      </c>
      <c r="P56" s="60">
        <f t="shared" si="7"/>
        <v>0</v>
      </c>
      <c r="R56" s="61">
        <v>5</v>
      </c>
      <c r="T56" s="4"/>
      <c r="U56" s="4"/>
      <c r="V56" s="61">
        <f t="shared" si="8"/>
        <v>0</v>
      </c>
      <c r="W56" s="4"/>
      <c r="Y56" s="15">
        <v>2</v>
      </c>
      <c r="Z56" s="61" t="s">
        <v>239</v>
      </c>
      <c r="AA56" s="60" t="str" cm="1">
        <f t="array" ref="AA56">IF(OR(Y56=0,Y56=""),"",IF(VLOOKUP(Z56,$AI$1:$AJ$58,2,FALSE)&gt;=Y56,INDEX(tblDisciplines[Name],MATCH(1,(tblDisciplines[Discipline]=Z56)*(tblDisciplines[Rank]=Y56),0)),""))</f>
        <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1"/>
        <v>0</v>
      </c>
      <c r="AK56" s="61">
        <f>IF(AJ56=0,IF(COUNTIF($E$42:$E$49,AI56)&gt;0,-3,-1),AJ56)</f>
        <v>-1</v>
      </c>
    </row>
    <row r="57" spans="1:37">
      <c r="A57" s="1" t="s">
        <v>56</v>
      </c>
      <c r="B57" t="str">
        <f ca="1">REPT("□",P75-L223) &amp; REPT("■",20-P75+L223)</f>
        <v>□□□□□□□□□□■■■■■■■■■■</v>
      </c>
      <c r="D57" s="19"/>
      <c r="E57" s="15" t="s">
        <v>38</v>
      </c>
      <c r="F57" s="18"/>
      <c r="G57" s="3"/>
      <c r="H57" s="18"/>
      <c r="I57" s="18"/>
      <c r="L57" s="4">
        <v>1</v>
      </c>
      <c r="M57" s="60"/>
      <c r="N57" s="4"/>
      <c r="O57" s="61">
        <f t="shared" si="9"/>
        <v>0</v>
      </c>
      <c r="P57" s="60">
        <f t="shared" si="7"/>
        <v>1</v>
      </c>
      <c r="R57" s="61">
        <v>5</v>
      </c>
      <c r="T57" s="4"/>
      <c r="U57" s="4"/>
      <c r="V57" s="61">
        <f t="shared" si="8"/>
        <v>0</v>
      </c>
      <c r="W57" s="4"/>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1"/>
        <v>5</v>
      </c>
      <c r="AK57" s="61">
        <f>AJ57</f>
        <v>5</v>
      </c>
    </row>
    <row r="58" spans="1:37">
      <c r="A58" s="1" t="s">
        <v>57</v>
      </c>
      <c r="B58">
        <f ca="1">VLOOKUP(VLOOKUP("Blood Potency", INDIRECT($AH$1),2,FALSE),tblBloodPotency[#Data],3,FALSE)</f>
        <v>1</v>
      </c>
      <c r="D58" s="19"/>
      <c r="E58" s="15" t="s">
        <v>39</v>
      </c>
      <c r="F58" s="18"/>
      <c r="G58" s="3"/>
      <c r="H58" s="18"/>
      <c r="I58" s="18"/>
      <c r="L58" s="4"/>
      <c r="M58" s="60"/>
      <c r="N58" s="4"/>
      <c r="O58" s="61">
        <f t="shared" si="9"/>
        <v>0</v>
      </c>
      <c r="P58" s="60">
        <f t="shared" si="7"/>
        <v>0</v>
      </c>
      <c r="R58" s="61">
        <v>5</v>
      </c>
      <c r="T58" s="4"/>
      <c r="U58" s="4"/>
      <c r="V58" s="61">
        <f t="shared" si="8"/>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1"/>
        <v>2</v>
      </c>
      <c r="AK58" s="61">
        <f>AJ58+IFERROR(INDEX($V$26:$V$38,MATCH(AI58,$E$26:$E$38,0)),0)</f>
        <v>2</v>
      </c>
    </row>
    <row r="59" spans="1:37">
      <c r="A59" s="1" t="s">
        <v>58</v>
      </c>
      <c r="B59" t="str">
        <f ca="1">VLOOKUP(VLOOKUP("Blood Potency", INDIRECT($AH$1),2,FALSE),tblBloodPotency[#Data],4,FALSE)</f>
        <v>Animals</v>
      </c>
      <c r="D59" s="19"/>
      <c r="E59" s="15" t="s">
        <v>40</v>
      </c>
      <c r="F59" s="18"/>
      <c r="G59" s="3"/>
      <c r="H59" s="18"/>
      <c r="I59" s="18"/>
      <c r="L59" s="4"/>
      <c r="M59" s="60"/>
      <c r="N59" s="4"/>
      <c r="O59" s="61">
        <f t="shared" si="9"/>
        <v>0</v>
      </c>
      <c r="P59" s="60">
        <f t="shared" si="7"/>
        <v>0</v>
      </c>
      <c r="R59" s="61">
        <v>5</v>
      </c>
      <c r="T59" s="4"/>
      <c r="U59" s="4"/>
      <c r="V59" s="61">
        <f t="shared" si="8"/>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0">IFERROR(IF(VLOOKUP(SUBSTITUTE(A60," Spec",""),$E$42:$G$69,3,FALSE)=0,"",VLOOKUP(SUBSTITUTE(A60," Spec",""),$E$42:$G$69,3,FALSE)),"")</f>
        <v/>
      </c>
      <c r="Y60" s="15">
        <v>1</v>
      </c>
      <c r="Z60" s="61" t="s">
        <v>240</v>
      </c>
      <c r="AA60" s="60" t="str" cm="1">
        <f t="array" ref="AA60">IF(OR(Y60=0,Y60=""),"",IF(VLOOKUP(Z60,$AI$1:$AJ$58,2,FALSE)&gt;=Y60,INDEX(tblDisciplines[Name],MATCH(1,(tblDisciplines[Discipline]=Z60)*(tblDisciplines[Rank]=Y60),0)),""))</f>
        <v>Awe</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0"/>
        <v/>
      </c>
      <c r="D61" s="16" t="s">
        <v>1459</v>
      </c>
      <c r="E61" s="17"/>
      <c r="F61" s="17"/>
      <c r="G61" s="17" t="s">
        <v>1467</v>
      </c>
      <c r="H61" s="16" t="s">
        <v>1446</v>
      </c>
      <c r="I61" s="3" t="s">
        <v>1567</v>
      </c>
      <c r="L61" s="60">
        <f>IF(I61="",0,VLOOKUP(I61,tblPriority[#Data],3,FALSE))-SUM(L62:L69)</f>
        <v>0</v>
      </c>
      <c r="Y61" s="15">
        <v>2</v>
      </c>
      <c r="Z61" s="61" t="s">
        <v>240</v>
      </c>
      <c r="AA61" s="60" t="str" cm="1">
        <f t="array" ref="AA61">IF(OR(Y61=0,Y61=""),"",IF(VLOOKUP(Z61,$AI$1:$AJ$58,2,FALSE)&gt;=Y61,INDEX(tblDisciplines[Name],MATCH(1,(tblDisciplines[Discipline]=Z61)*(tblDisciplines[Rank]=Y61),0)),""))</f>
        <v>Confidant</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0"/>
        <v/>
      </c>
      <c r="D62" s="18"/>
      <c r="E62" s="15" t="s">
        <v>41</v>
      </c>
      <c r="F62" s="18"/>
      <c r="G62" s="3"/>
      <c r="H62" s="18"/>
      <c r="I62" s="18"/>
      <c r="L62" s="4"/>
      <c r="M62" s="60"/>
      <c r="N62" s="4"/>
      <c r="O62" s="61">
        <f>ROUNDDOWN(N62/2,0)</f>
        <v>0</v>
      </c>
      <c r="P62" s="60">
        <f t="shared" ref="P62:P69" si="11">MIN(SUM(L62,M62,O62),R62)</f>
        <v>0</v>
      </c>
      <c r="R62" s="61">
        <v>5</v>
      </c>
      <c r="T62" s="4"/>
      <c r="U62" s="4"/>
      <c r="V62" s="61">
        <f t="shared" ref="V62:V69" si="12">U62</f>
        <v>0</v>
      </c>
      <c r="W62" s="4"/>
      <c r="Y62" s="15">
        <v>3</v>
      </c>
      <c r="Z62" s="61" t="s">
        <v>240</v>
      </c>
      <c r="AA62" s="60" t="str" cm="1">
        <f t="array" ref="AA62">IF(OR(Y62=0,Y62=""),"",IF(VLOOKUP(Z62,$AI$1:$AJ$58,2,FALSE)&gt;=Y62,INDEX(tblDisciplines[Name],MATCH(1,(tblDisciplines[Discipline]=Z62)*(tblDisciplines[Rank]=Y62),0)),""))</f>
        <v>Green Eyes</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0"/>
        <v/>
      </c>
      <c r="D63" s="19"/>
      <c r="E63" s="15" t="s">
        <v>42</v>
      </c>
      <c r="F63" s="18"/>
      <c r="G63" s="3" t="s">
        <v>1774</v>
      </c>
      <c r="H63" s="18"/>
      <c r="I63" s="18"/>
      <c r="L63" s="4">
        <v>2</v>
      </c>
      <c r="M63" s="60"/>
      <c r="N63" s="4"/>
      <c r="O63" s="61">
        <f t="shared" ref="O63:O69" si="13">ROUNDDOWN(N63/2,0)</f>
        <v>0</v>
      </c>
      <c r="P63" s="60">
        <f t="shared" si="11"/>
        <v>2</v>
      </c>
      <c r="R63" s="61">
        <v>5</v>
      </c>
      <c r="T63" s="4">
        <v>1</v>
      </c>
      <c r="U63" s="4"/>
      <c r="V63" s="61">
        <f t="shared" si="12"/>
        <v>0</v>
      </c>
      <c r="W63" s="4"/>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0"/>
        <v>Holistic Awareness</v>
      </c>
      <c r="D64" s="19"/>
      <c r="E64" s="15" t="s">
        <v>43</v>
      </c>
      <c r="F64" s="18"/>
      <c r="G64" s="3"/>
      <c r="H64" s="18"/>
      <c r="I64" s="18"/>
      <c r="L64" s="4"/>
      <c r="M64" s="60"/>
      <c r="N64" s="4"/>
      <c r="O64" s="61">
        <f t="shared" si="13"/>
        <v>0</v>
      </c>
      <c r="P64" s="60">
        <f t="shared" si="11"/>
        <v>0</v>
      </c>
      <c r="R64" s="61">
        <v>5</v>
      </c>
      <c r="T64" s="4"/>
      <c r="U64" s="4"/>
      <c r="V64" s="61">
        <f t="shared" si="12"/>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0"/>
        <v/>
      </c>
      <c r="D65" s="19"/>
      <c r="E65" s="15" t="s">
        <v>44</v>
      </c>
      <c r="F65" s="18"/>
      <c r="G65" s="3"/>
      <c r="H65" s="18"/>
      <c r="I65" s="18"/>
      <c r="L65" s="4"/>
      <c r="M65" s="60"/>
      <c r="N65" s="4"/>
      <c r="O65" s="61">
        <f t="shared" si="13"/>
        <v>0</v>
      </c>
      <c r="P65" s="60">
        <f t="shared" si="11"/>
        <v>0</v>
      </c>
      <c r="R65" s="61">
        <v>5</v>
      </c>
      <c r="T65" s="4"/>
      <c r="U65" s="4"/>
      <c r="V65" s="61">
        <f t="shared" si="12"/>
        <v>0</v>
      </c>
      <c r="W65" s="4"/>
      <c r="Y65" s="15">
        <v>1</v>
      </c>
      <c r="Z65" s="61" t="s">
        <v>241</v>
      </c>
      <c r="AA65" s="60" t="str" cm="1">
        <f t="array" ref="AA65">IF(OR(Y65=0,Y65=""),"",IF(VLOOKUP(Z65,$AI$1:$AJ$58,2,FALSE)&gt;=Y65,INDEX(tblDisciplines[Name],MATCH(1,(tblDisciplines[Discipline]=Z65)*(tblDisciplines[Rank]=Y65),0)),""))</f>
        <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0"/>
        <v/>
      </c>
      <c r="D66" s="19"/>
      <c r="E66" s="15" t="s">
        <v>45</v>
      </c>
      <c r="F66" s="18"/>
      <c r="G66" s="3" t="s">
        <v>1144</v>
      </c>
      <c r="H66" s="18"/>
      <c r="I66" s="18"/>
      <c r="L66" s="4">
        <v>3</v>
      </c>
      <c r="M66" s="60"/>
      <c r="N66" s="4"/>
      <c r="O66" s="61">
        <f t="shared" si="13"/>
        <v>0</v>
      </c>
      <c r="P66" s="60">
        <f t="shared" si="11"/>
        <v>3</v>
      </c>
      <c r="R66" s="61">
        <v>5</v>
      </c>
      <c r="T66" s="4">
        <v>1</v>
      </c>
      <c r="U66" s="4"/>
      <c r="V66" s="61">
        <f t="shared" si="12"/>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0"/>
        <v>Blood</v>
      </c>
      <c r="D67" s="19"/>
      <c r="E67" s="15" t="s">
        <v>46</v>
      </c>
      <c r="F67" s="18"/>
      <c r="G67" s="3"/>
      <c r="H67" s="18"/>
      <c r="I67" s="18"/>
      <c r="L67" s="4"/>
      <c r="M67" s="60"/>
      <c r="N67" s="4"/>
      <c r="O67" s="61">
        <f t="shared" si="13"/>
        <v>0</v>
      </c>
      <c r="P67" s="60">
        <f t="shared" si="11"/>
        <v>0</v>
      </c>
      <c r="R67" s="61">
        <v>5</v>
      </c>
      <c r="T67" s="4"/>
      <c r="U67" s="4"/>
      <c r="V67" s="61">
        <f t="shared" si="12"/>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0"/>
        <v/>
      </c>
      <c r="D68" s="18"/>
      <c r="E68" s="15" t="s">
        <v>47</v>
      </c>
      <c r="F68" s="18"/>
      <c r="G68" s="3"/>
      <c r="H68" s="18"/>
      <c r="I68" s="18"/>
      <c r="L68" s="4"/>
      <c r="M68" s="60"/>
      <c r="N68" s="4"/>
      <c r="O68" s="61">
        <f t="shared" si="13"/>
        <v>0</v>
      </c>
      <c r="P68" s="60">
        <f t="shared" si="11"/>
        <v>0</v>
      </c>
      <c r="R68" s="61">
        <v>5</v>
      </c>
      <c r="T68" s="4"/>
      <c r="U68" s="4"/>
      <c r="V68" s="61">
        <f t="shared" si="12"/>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0"/>
        <v/>
      </c>
      <c r="D69" s="18"/>
      <c r="E69" s="15" t="s">
        <v>48</v>
      </c>
      <c r="F69" s="18"/>
      <c r="G69" s="3"/>
      <c r="H69" s="18"/>
      <c r="I69" s="18"/>
      <c r="L69" s="4">
        <v>2</v>
      </c>
      <c r="M69" s="60"/>
      <c r="N69" s="4"/>
      <c r="O69" s="61">
        <f t="shared" si="13"/>
        <v>0</v>
      </c>
      <c r="P69" s="60">
        <f t="shared" si="11"/>
        <v>2</v>
      </c>
      <c r="R69" s="61">
        <v>5</v>
      </c>
      <c r="T69" s="4"/>
      <c r="U69" s="4"/>
      <c r="V69" s="61">
        <f t="shared" si="12"/>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0"/>
        <v/>
      </c>
      <c r="Y70" s="15">
        <v>1</v>
      </c>
      <c r="Z70" s="61" t="s">
        <v>242</v>
      </c>
      <c r="AA70" s="60" t="str" cm="1">
        <f t="array" ref="AA70">IF(OR(Y70=0,Y70=""),"",IF(VLOOKUP(Z70,$AI$1:$AJ$58,2,FALSE)&gt;=Y70,INDEX(tblDisciplines[Name],MATCH(1,(tblDisciplines[Discipline]=Z70)*(tblDisciplines[Rank]=Y70),0)),""))</f>
        <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0"/>
        <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0"/>
        <v/>
      </c>
      <c r="D72" s="19"/>
      <c r="E72" s="15" t="s">
        <v>49</v>
      </c>
      <c r="F72" s="19"/>
      <c r="G72" s="19"/>
      <c r="H72" s="19"/>
      <c r="I72" s="19"/>
      <c r="K72" s="4"/>
      <c r="L72" s="4"/>
      <c r="M72" s="60">
        <v>1</v>
      </c>
      <c r="N72" s="4"/>
      <c r="O72" s="61">
        <f>ROUNDDOWN(N72/5,0)</f>
        <v>0</v>
      </c>
      <c r="P72" s="60">
        <f>MIN(SUM(K72*-1,ROUNDDOWN(L72/5,0),M72,O72),R72)</f>
        <v>1</v>
      </c>
      <c r="R72" s="61">
        <v>2</v>
      </c>
      <c r="Y72" s="15">
        <v>3</v>
      </c>
      <c r="Z72" s="61" t="s">
        <v>242</v>
      </c>
      <c r="AA72" s="60" t="str" cm="1">
        <f t="array" ref="AA72">IF(OR(Y72=0,Y72=""),"",IF(VLOOKUP(Z72,$AI$1:$AJ$58,2,FALSE)&gt;=Y72,INDEX(tblDisciplines[Name],MATCH(1,(tblDisciplines[Discipline]=Z72)*(tblDisciplines[Rank]=Y72),0)),""))</f>
        <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0"/>
        <v/>
      </c>
      <c r="D73" s="19"/>
      <c r="E73" s="15" t="s">
        <v>1448</v>
      </c>
      <c r="F73" s="19"/>
      <c r="G73" s="19"/>
      <c r="H73" s="19"/>
      <c r="I73" s="19"/>
      <c r="K73" s="4">
        <v>1</v>
      </c>
      <c r="M73" s="60">
        <v>7</v>
      </c>
      <c r="N73" s="4"/>
      <c r="O73" s="61">
        <f>ROUNDDOWN(N73/2,0)</f>
        <v>0</v>
      </c>
      <c r="P73" s="60">
        <f>MIN(SUM(K73*-1,M73,O73),R73)</f>
        <v>6</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0"/>
        <v/>
      </c>
      <c r="D74" s="19"/>
      <c r="E74" s="15" t="s">
        <v>53</v>
      </c>
      <c r="F74" s="19"/>
      <c r="G74" s="19"/>
      <c r="H74" s="19"/>
      <c r="I74" s="19"/>
      <c r="K74" s="4"/>
      <c r="M74" s="60">
        <f>P28+P38</f>
        <v>5</v>
      </c>
      <c r="N74" s="4"/>
      <c r="O74" s="61">
        <f>N74</f>
        <v>0</v>
      </c>
      <c r="P74" s="60">
        <f>MIN(SUM(K74*-1,M74,O74),R74)</f>
        <v>5</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0"/>
        <v/>
      </c>
      <c r="D75" s="19"/>
      <c r="E75" s="15" t="s">
        <v>55</v>
      </c>
      <c r="F75" s="19"/>
      <c r="G75" s="19"/>
      <c r="H75" s="19"/>
      <c r="I75" s="19"/>
      <c r="P75" s="60">
        <f ca="1">VLOOKUP(VLOOKUP("Blood Potency",INDIRECT($AH$1),2,FALSE),tblBloodPotency[],2,FALSE)</f>
        <v>10</v>
      </c>
      <c r="Y75" s="15">
        <v>1</v>
      </c>
      <c r="Z75" s="61" t="s">
        <v>243</v>
      </c>
      <c r="AA75" s="60" t="str" cm="1">
        <f t="array" ref="AA75">IF(OR(Y75=0,Y75=""),"",IF(VLOOKUP(Z75,$AI$1:$AJ$58,2,FALSE)&gt;=Y75,INDEX(tblDisciplines[Name],MATCH(1,(tblDisciplines[Discipline]=Z75)*(tblDisciplines[Rank]=Y75),0)),""))</f>
        <v/>
      </c>
    </row>
    <row r="76" spans="1:32">
      <c r="A76" s="1" t="s">
        <v>75</v>
      </c>
      <c r="B76" t="str">
        <f t="shared" si="10"/>
        <v/>
      </c>
      <c r="Y76" s="15">
        <v>2</v>
      </c>
      <c r="Z76" s="61" t="s">
        <v>243</v>
      </c>
      <c r="AA76" s="60" t="str" cm="1">
        <f t="array" ref="AA76">IF(OR(Y76=0,Y76=""),"",IF(VLOOKUP(Z76,$AI$1:$AJ$58,2,FALSE)&gt;=Y76,INDEX(tblDisciplines[Name],MATCH(1,(tblDisciplines[Discipline]=Z76)*(tblDisciplines[Rank]=Y76),0)),""))</f>
        <v/>
      </c>
    </row>
    <row r="77" spans="1:32" ht="15.75" thickBot="1">
      <c r="A77" s="1" t="s">
        <v>76</v>
      </c>
      <c r="B77" t="str">
        <f t="shared" si="10"/>
        <v>Buried Feelings</v>
      </c>
      <c r="D77" s="14" t="s">
        <v>1470</v>
      </c>
      <c r="E77" s="14"/>
      <c r="F77" s="14"/>
      <c r="G77" s="14"/>
      <c r="H77" s="14"/>
      <c r="I77" s="14"/>
      <c r="N77" s="60">
        <f>SUM(N79:N98,N101:N120,N206:N215,N132:N135,N138:N157,N160:N161)</f>
        <v>2</v>
      </c>
      <c r="Y77" s="15">
        <v>3</v>
      </c>
      <c r="Z77" s="61" t="s">
        <v>243</v>
      </c>
      <c r="AA77" s="60" t="str" cm="1">
        <f t="array" ref="AA77">IF(OR(Y77=0,Y77=""),"",IF(VLOOKUP(Z77,$AI$1:$AJ$58,2,FALSE)&gt;=Y77,INDEX(tblDisciplines[Name],MATCH(1,(tblDisciplines[Discipline]=Z77)*(tblDisciplines[Rank]=Y77),0)),""))</f>
        <v/>
      </c>
    </row>
    <row r="78" spans="1:32">
      <c r="A78" s="1" t="s">
        <v>77</v>
      </c>
      <c r="B78" t="str">
        <f t="shared" si="10"/>
        <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0"/>
        <v/>
      </c>
      <c r="D79" s="19"/>
      <c r="E79" s="15" t="s">
        <v>114</v>
      </c>
      <c r="F79" s="3" t="s">
        <v>1573</v>
      </c>
      <c r="G79" s="3" t="s">
        <v>25</v>
      </c>
      <c r="H79" s="67" t="str">
        <f>_xlfn.IFNA(IF(VLOOKUP(F79,tblMerits[],6,FALSE)=0,"None",VLOOKUP(F79,tblMerits[],6,FALSE)),"None")</f>
        <v>None</v>
      </c>
      <c r="I79" s="67"/>
      <c r="L79" s="4">
        <v>3</v>
      </c>
      <c r="M79" s="4"/>
      <c r="N79" s="4"/>
      <c r="O79" s="61">
        <f>N79</f>
        <v>0</v>
      </c>
      <c r="P79" s="60">
        <f t="shared" ref="P79:P98" si="14">MIN(SUM(L79,M79,O79),R79)</f>
        <v>3</v>
      </c>
      <c r="Q79" s="61">
        <f>_xlfn.IFNA(VLOOKUP($F79,tblMerits[],3,FALSE),"")</f>
        <v>1</v>
      </c>
      <c r="R79" s="61">
        <f>_xlfn.IFNA(VLOOKUP($F79,tblMerits[],4,FALSE),"")</f>
        <v>3</v>
      </c>
      <c r="Y79" s="15">
        <v>5</v>
      </c>
      <c r="Z79" s="61" t="s">
        <v>243</v>
      </c>
      <c r="AA79" s="60" t="str" cm="1">
        <f t="array" ref="AA79">IF(OR(Y79=0,Y79=""),"",IF(VLOOKUP(Z79,$AI$1:$AJ$58,2,FALSE)&gt;=Y79,INDEX(tblDisciplines[Name],MATCH(1,(tblDisciplines[Discipline]=Z79)*(tblDisciplines[Rank]=Y79),0)),""))</f>
        <v/>
      </c>
    </row>
    <row r="80" spans="1:32">
      <c r="A80" s="1" t="s">
        <v>79</v>
      </c>
      <c r="B80" t="str">
        <f t="shared" si="10"/>
        <v>Inspiring</v>
      </c>
      <c r="D80" s="19"/>
      <c r="E80" s="15" t="s">
        <v>115</v>
      </c>
      <c r="F80" s="3" t="s">
        <v>1604</v>
      </c>
      <c r="G80" s="3"/>
      <c r="H80" s="67" t="str">
        <f>_xlfn.IFNA(IF(VLOOKUP(F80,tblMerits[],6,FALSE)=0,"None",VLOOKUP(F80,tblMerits[],6,FALSE)),"None")</f>
        <v>Lance Status 1</v>
      </c>
      <c r="I80" s="67"/>
      <c r="L80" s="4">
        <v>1</v>
      </c>
      <c r="M80" s="4"/>
      <c r="N80" s="4"/>
      <c r="O80" s="61">
        <f t="shared" ref="O80:O98" si="15">N80</f>
        <v>0</v>
      </c>
      <c r="P80" s="60">
        <f t="shared" si="14"/>
        <v>1</v>
      </c>
      <c r="Q80" s="61">
        <f>_xlfn.IFNA(VLOOKUP($F80,tblMerits[],3,FALSE),"")</f>
        <v>1</v>
      </c>
      <c r="R80" s="61">
        <f>_xlfn.IFNA(VLOOKUP($F80,tblMerits[],4,FALSE),"")</f>
        <v>1</v>
      </c>
      <c r="Y80" s="15">
        <f>P173</f>
        <v>0</v>
      </c>
      <c r="Z80" s="61" t="s">
        <v>244</v>
      </c>
      <c r="AA80" s="60" t="str" cm="1">
        <f t="array" ref="AA80">IF(OR(Y80=0,Y80=""),"",IF(VLOOKUP(Z80,$AI$1:$AJ$58,2,FALSE)&gt;=Y80,INDEX(tblDisciplines[Name],MATCH(1,(tblDisciplines[Discipline]=Z80)*(tblDisciplines[Rank]=Y80),0)),""))</f>
        <v/>
      </c>
    </row>
    <row r="81" spans="1:27">
      <c r="A81" s="1" t="s">
        <v>80</v>
      </c>
      <c r="B81" t="str">
        <f t="shared" si="10"/>
        <v/>
      </c>
      <c r="D81" s="61" t="s">
        <v>1574</v>
      </c>
      <c r="E81" s="15" t="s">
        <v>116</v>
      </c>
      <c r="F81" s="3" t="s">
        <v>1158</v>
      </c>
      <c r="G81" s="3"/>
      <c r="H81" s="67" t="str">
        <f>_xlfn.IFNA(IF(VLOOKUP(F81,tblMerits[],6,FALSE)=0,"None",VLOOKUP(F81,tblMerits[],6,FALSE)),"None")</f>
        <v>None</v>
      </c>
      <c r="I81" s="67"/>
      <c r="L81" s="4"/>
      <c r="M81" s="4">
        <v>1</v>
      </c>
      <c r="N81" s="4"/>
      <c r="O81" s="61">
        <f t="shared" si="15"/>
        <v>0</v>
      </c>
      <c r="P81" s="60">
        <f t="shared" si="14"/>
        <v>1</v>
      </c>
      <c r="Q81" s="61">
        <f>_xlfn.IFNA(VLOOKUP($F81,tblMerits[],3,FALSE),"")</f>
        <v>1</v>
      </c>
      <c r="R81" s="61">
        <f>_xlfn.IFNA(VLOOKUP($F81,tblMerits[],4,FALSE),"")</f>
        <v>2</v>
      </c>
      <c r="Y81" s="15">
        <f>P174</f>
        <v>0</v>
      </c>
      <c r="Z81" s="61" t="s">
        <v>245</v>
      </c>
      <c r="AA81" s="60" t="str" cm="1">
        <f t="array" ref="AA81">IF(OR(Y81=0,Y81=""),"",IF(VLOOKUP(Z81,$AI$1:$AJ$58,2,FALSE)&gt;=Y81,INDEX(tblDisciplines[Name],MATCH(1,(tblDisciplines[Discipline]=Z81)*(tblDisciplines[Rank]=Y81),0)),""))</f>
        <v/>
      </c>
    </row>
    <row r="82" spans="1:27">
      <c r="A82" s="1" t="s">
        <v>81</v>
      </c>
      <c r="B82" t="str">
        <f t="shared" si="10"/>
        <v/>
      </c>
      <c r="D82" s="61" t="s">
        <v>1578</v>
      </c>
      <c r="E82" s="15" t="s">
        <v>117</v>
      </c>
      <c r="F82" s="3" t="s">
        <v>1618</v>
      </c>
      <c r="G82" s="3"/>
      <c r="H82" s="67" t="str">
        <f>_xlfn.IFNA(IF(VLOOKUP(F82,tblMerits[],6,FALSE)=0,"None",VLOOKUP(F82,tblMerits[],6,FALSE)),"None")</f>
        <v>Manipulation 3, Resolve 3</v>
      </c>
      <c r="I82" s="67"/>
      <c r="L82" s="4"/>
      <c r="M82" s="4">
        <v>2</v>
      </c>
      <c r="N82" s="4"/>
      <c r="O82" s="61">
        <f t="shared" si="15"/>
        <v>0</v>
      </c>
      <c r="P82" s="60">
        <f t="shared" si="14"/>
        <v>2</v>
      </c>
      <c r="Q82" s="61">
        <f>_xlfn.IFNA(VLOOKUP($F82,tblMerits[],3,FALSE),"")</f>
        <v>1</v>
      </c>
      <c r="R82" s="61">
        <f>_xlfn.IFNA(VLOOKUP($F82,tblMerits[],4,FALSE),"")</f>
        <v>5</v>
      </c>
      <c r="Y82" s="61" t="s">
        <v>1472</v>
      </c>
      <c r="Z82" s="19"/>
      <c r="AA82" s="60" t="str">
        <f>IF(P177="","",F177)</f>
        <v/>
      </c>
    </row>
    <row r="83" spans="1:27">
      <c r="A83" s="1" t="s">
        <v>82</v>
      </c>
      <c r="B83" t="str">
        <f t="shared" si="10"/>
        <v/>
      </c>
      <c r="D83" s="61" t="s">
        <v>1576</v>
      </c>
      <c r="E83" s="15" t="s">
        <v>118</v>
      </c>
      <c r="F83" s="3" t="s">
        <v>1144</v>
      </c>
      <c r="G83" s="3"/>
      <c r="H83" s="67" t="str">
        <f>_xlfn.IFNA(IF(VLOOKUP(F83,tblMerits[],6,FALSE)=0,"None",VLOOKUP(F83,tblMerits[],6,FALSE)),"None")</f>
        <v>Presence 3</v>
      </c>
      <c r="I83" s="67"/>
      <c r="L83" s="4"/>
      <c r="M83" s="4">
        <v>3</v>
      </c>
      <c r="N83" s="4"/>
      <c r="O83" s="61">
        <f t="shared" si="15"/>
        <v>0</v>
      </c>
      <c r="P83" s="60">
        <f t="shared" si="14"/>
        <v>3</v>
      </c>
      <c r="Q83" s="61">
        <f>_xlfn.IFNA(VLOOKUP($F83,tblMerits[],3,FALSE),"")</f>
        <v>3</v>
      </c>
      <c r="R83" s="61">
        <f>_xlfn.IFNA(VLOOKUP($F83,tblMerits[],4,FALSE),"")</f>
        <v>3</v>
      </c>
      <c r="Y83" s="61" t="s">
        <v>1472</v>
      </c>
      <c r="Z83" s="19"/>
      <c r="AA83" s="60" t="str">
        <f>IF(P178="","",F178)</f>
        <v/>
      </c>
    </row>
    <row r="84" spans="1:27">
      <c r="A84" s="1" t="s">
        <v>83</v>
      </c>
      <c r="B84">
        <f>P124</f>
        <v>1</v>
      </c>
      <c r="D84" s="19"/>
      <c r="E84" s="15" t="s">
        <v>119</v>
      </c>
      <c r="F84" s="3" t="s">
        <v>1590</v>
      </c>
      <c r="G84" s="3"/>
      <c r="H84" s="67" t="str">
        <f>_xlfn.IFNA(IF(VLOOKUP(F84,tblMerits[],6,FALSE)=0,"None",VLOOKUP(F84,tblMerits[],6,FALSE)),"None")</f>
        <v>Resolve 3</v>
      </c>
      <c r="I84" s="67"/>
      <c r="L84" s="4"/>
      <c r="M84" s="4"/>
      <c r="N84" s="4">
        <v>2</v>
      </c>
      <c r="O84" s="61">
        <f t="shared" si="15"/>
        <v>2</v>
      </c>
      <c r="P84" s="60">
        <f t="shared" si="14"/>
        <v>2</v>
      </c>
      <c r="Q84" s="61">
        <f>_xlfn.IFNA(VLOOKUP($F84,tblMerits[],3,FALSE),"")</f>
        <v>2</v>
      </c>
      <c r="R84" s="61">
        <f>_xlfn.IFNA(VLOOKUP($F84,tblMerits[],4,FALSE),"")</f>
        <v>2</v>
      </c>
      <c r="Y84" s="61" t="s">
        <v>1472</v>
      </c>
      <c r="Z84" s="19"/>
      <c r="AA84" s="60" t="str">
        <f>IF(P179="","",F179)</f>
        <v/>
      </c>
    </row>
    <row r="85" spans="1:27">
      <c r="A85" s="1" t="s">
        <v>84</v>
      </c>
      <c r="B85">
        <f>P125</f>
        <v>2</v>
      </c>
      <c r="D85" s="19"/>
      <c r="E85" s="15" t="s">
        <v>120</v>
      </c>
      <c r="F85" s="3"/>
      <c r="G85" s="3"/>
      <c r="H85" s="67" t="str">
        <f>_xlfn.IFNA(IF(VLOOKUP(F85,tblMerits[],6,FALSE)=0,"None",VLOOKUP(F85,tblMerits[],6,FALSE)),"None")</f>
        <v>None</v>
      </c>
      <c r="I85" s="67"/>
      <c r="L85" s="4"/>
      <c r="M85" s="4"/>
      <c r="N85" s="4"/>
      <c r="O85" s="61">
        <f t="shared" si="15"/>
        <v>0</v>
      </c>
      <c r="P85" s="60">
        <f t="shared" si="14"/>
        <v>0</v>
      </c>
      <c r="Q85" s="61" t="str">
        <f>_xlfn.IFNA(VLOOKUP($F85,tblMerits[],3,FALSE),"")</f>
        <v/>
      </c>
      <c r="R85" s="61" t="str">
        <f>_xlfn.IFNA(VLOOKUP($F85,tblMerits[],4,FALSE),"")</f>
        <v/>
      </c>
      <c r="Y85" s="61" t="s">
        <v>1472</v>
      </c>
      <c r="Z85" s="19"/>
      <c r="AA85" s="60" t="str">
        <f>IF(P180="","",F180)</f>
        <v/>
      </c>
    </row>
    <row r="86" spans="1:27">
      <c r="A86" s="1" t="s">
        <v>85</v>
      </c>
      <c r="B86">
        <f>P126</f>
        <v>1</v>
      </c>
      <c r="D86" s="19"/>
      <c r="E86" s="15" t="s">
        <v>121</v>
      </c>
      <c r="F86" s="3"/>
      <c r="G86" s="3"/>
      <c r="H86" s="67" t="str">
        <f>_xlfn.IFNA(IF(VLOOKUP(F86,tblMerits[],6,FALSE)=0,"None",VLOOKUP(F86,tblMerits[],6,FALSE)),"None")</f>
        <v>None</v>
      </c>
      <c r="I86" s="67"/>
      <c r="L86" s="4"/>
      <c r="M86" s="4"/>
      <c r="N86" s="4"/>
      <c r="O86" s="61">
        <f t="shared" si="15"/>
        <v>0</v>
      </c>
      <c r="P86" s="60">
        <f t="shared" si="14"/>
        <v>0</v>
      </c>
      <c r="Q86" s="61" t="str">
        <f>_xlfn.IFNA(VLOOKUP($F86,tblMerits[],3,FALSE),"")</f>
        <v/>
      </c>
      <c r="R86" s="61" t="str">
        <f>_xlfn.IFNA(VLOOKUP($F86,tblMerits[],4,FALSE),"")</f>
        <v/>
      </c>
      <c r="Y86" s="61" t="s">
        <v>1472</v>
      </c>
      <c r="Z86" s="19"/>
      <c r="AA86" s="60" t="str">
        <f>IF(P181="","",F181)</f>
        <v/>
      </c>
    </row>
    <row r="87" spans="1:27">
      <c r="A87" s="1" t="s">
        <v>86</v>
      </c>
      <c r="B87" t="str">
        <f>IF(F126="","¬",F126)</f>
        <v>Lance</v>
      </c>
      <c r="D87" s="19"/>
      <c r="E87" s="15" t="s">
        <v>122</v>
      </c>
      <c r="F87" s="3"/>
      <c r="G87" s="3"/>
      <c r="H87" s="67" t="str">
        <f>_xlfn.IFNA(IF(VLOOKUP(F87,tblMerits[],6,FALSE)=0,"None",VLOOKUP(F87,tblMerits[],6,FALSE)),"None")</f>
        <v>None</v>
      </c>
      <c r="I87" s="67"/>
      <c r="L87" s="4"/>
      <c r="M87" s="4"/>
      <c r="N87" s="4"/>
      <c r="O87" s="61">
        <f t="shared" si="15"/>
        <v>0</v>
      </c>
      <c r="P87" s="60">
        <f t="shared" si="14"/>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
      </c>
    </row>
    <row r="88" spans="1:27">
      <c r="A88" s="1" t="s">
        <v>87</v>
      </c>
      <c r="B88" t="str">
        <f>REPT("●",P126)</f>
        <v>●</v>
      </c>
      <c r="D88" s="19"/>
      <c r="E88" s="15" t="s">
        <v>123</v>
      </c>
      <c r="F88" s="3"/>
      <c r="G88" s="3"/>
      <c r="H88" s="67" t="str">
        <f>_xlfn.IFNA(IF(VLOOKUP(F88,tblMerits[],6,FALSE)=0,"None",VLOOKUP(F88,tblMerits[],6,FALSE)),"None")</f>
        <v>None</v>
      </c>
      <c r="I88" s="67"/>
      <c r="L88" s="4"/>
      <c r="M88" s="4"/>
      <c r="N88" s="4"/>
      <c r="O88" s="61">
        <f t="shared" si="15"/>
        <v>0</v>
      </c>
      <c r="P88" s="60">
        <f t="shared" si="14"/>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Carthian</v>
      </c>
      <c r="D89" s="19"/>
      <c r="E89" s="15" t="s">
        <v>124</v>
      </c>
      <c r="F89" s="3"/>
      <c r="G89" s="3"/>
      <c r="H89" s="67" t="str">
        <f>_xlfn.IFNA(IF(VLOOKUP(F89,tblMerits[],6,FALSE)=0,"None",VLOOKUP(F89,tblMerits[],6,FALSE)),"None")</f>
        <v>None</v>
      </c>
      <c r="I89" s="67"/>
      <c r="L89" s="4"/>
      <c r="M89" s="4"/>
      <c r="N89" s="4"/>
      <c r="O89" s="61">
        <f t="shared" si="15"/>
        <v>0</v>
      </c>
      <c r="P89" s="60">
        <f t="shared" si="14"/>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_xlfn.IFNA(IF(VLOOKUP(F90,tblMerits[],6,FALSE)=0,"None",VLOOKUP(F90,tblMerits[],6,FALSE)),"None")</f>
        <v>None</v>
      </c>
      <c r="I90" s="67"/>
      <c r="L90" s="4"/>
      <c r="M90" s="4"/>
      <c r="N90" s="4"/>
      <c r="O90" s="61">
        <f t="shared" si="15"/>
        <v>0</v>
      </c>
      <c r="P90" s="60">
        <f t="shared" si="14"/>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Crone</v>
      </c>
      <c r="D91" s="19"/>
      <c r="E91" s="15" t="s">
        <v>126</v>
      </c>
      <c r="F91" s="3"/>
      <c r="G91" s="3"/>
      <c r="H91" s="67" t="str">
        <f>_xlfn.IFNA(IF(VLOOKUP(F91,tblMerits[],6,FALSE)=0,"None",VLOOKUP(F91,tblMerits[],6,FALSE)),"None")</f>
        <v>None</v>
      </c>
      <c r="I91" s="67"/>
      <c r="L91" s="4"/>
      <c r="M91" s="4"/>
      <c r="N91" s="4"/>
      <c r="O91" s="61">
        <f t="shared" si="15"/>
        <v>0</v>
      </c>
      <c r="P91" s="60">
        <f t="shared" si="14"/>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5"/>
        <v>0</v>
      </c>
      <c r="P92" s="60">
        <f t="shared" si="14"/>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Invictus</v>
      </c>
      <c r="D93" s="19"/>
      <c r="E93" s="15" t="s">
        <v>128</v>
      </c>
      <c r="F93" s="3"/>
      <c r="G93" s="3"/>
      <c r="H93" s="67" t="str">
        <f>_xlfn.IFNA(IF(VLOOKUP(F93,tblMerits[],6,FALSE)=0,"None",VLOOKUP(F93,tblMerits[],6,FALSE)),"None")</f>
        <v>None</v>
      </c>
      <c r="I93" s="67"/>
      <c r="L93" s="4"/>
      <c r="M93" s="4"/>
      <c r="N93" s="4"/>
      <c r="O93" s="61">
        <f t="shared" si="15"/>
        <v>0</v>
      </c>
      <c r="P93" s="60">
        <f t="shared" si="14"/>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5"/>
        <v>0</v>
      </c>
      <c r="P94" s="60">
        <f t="shared" si="14"/>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5"/>
        <v>0</v>
      </c>
      <c r="P95" s="60">
        <f t="shared" si="14"/>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5"/>
        <v>0</v>
      </c>
      <c r="P96" s="60">
        <f t="shared" si="14"/>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5"/>
        <v>0</v>
      </c>
      <c r="P97" s="60">
        <f t="shared" si="14"/>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Divination 1</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5"/>
        <v>0</v>
      </c>
      <c r="P98" s="60">
        <f t="shared" si="14"/>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c r="G101" s="60" t="str">
        <f>IFERROR(VLOOKUP(F101,tblManoeuvre[],2,FALSE)&amp;" "&amp;VLOOKUP(F101,tblManoeuvre[],3,FALSE),"")</f>
        <v/>
      </c>
      <c r="H101" s="67" t="str">
        <f>IFERROR(IF(VLOOKUP(F101,tblManoeuvre[],8,FALSE)=0,"None",VLOOKUP(F101,tblManoeuvre[],8,FALSE)),"None")</f>
        <v>None</v>
      </c>
      <c r="I101" s="67"/>
      <c r="L101" s="4"/>
      <c r="M101" s="4"/>
      <c r="N101" s="4"/>
      <c r="O101" s="61">
        <f t="shared" ref="O101:O120" si="16">N101</f>
        <v>0</v>
      </c>
      <c r="P101" s="60">
        <f t="shared" ref="P101:P120" si="17">MIN(SUM(L101,M101,O101),R101)</f>
        <v>0</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
      </c>
      <c r="D102" s="19"/>
      <c r="E102" s="15" t="s">
        <v>1441</v>
      </c>
      <c r="F102" s="3"/>
      <c r="G102" s="60" t="str">
        <f>IFERROR(VLOOKUP(F102,tblManoeuvre[],2,FALSE)&amp;" "&amp;VLOOKUP(F102,tblManoeuvre[],3,FALSE),"")</f>
        <v/>
      </c>
      <c r="H102" s="67" t="str">
        <f>IFERROR(IF(VLOOKUP(F102,tblManoeuvre[],8,FALSE)=0,"None",VLOOKUP(F102,tblManoeuvre[],8,FALSE)),"None")</f>
        <v>None</v>
      </c>
      <c r="I102" s="67"/>
      <c r="L102" s="4"/>
      <c r="M102" s="4"/>
      <c r="N102" s="4"/>
      <c r="O102" s="61">
        <f t="shared" si="16"/>
        <v>0</v>
      </c>
      <c r="P102" s="60">
        <f t="shared" si="17"/>
        <v>0</v>
      </c>
      <c r="Q102" s="61">
        <v>1</v>
      </c>
      <c r="R102" s="61">
        <v>1</v>
      </c>
      <c r="Y102" s="15">
        <v>1</v>
      </c>
      <c r="Z102" s="61" t="s">
        <v>251</v>
      </c>
      <c r="AA102" s="60" t="str" cm="1">
        <f t="array" ref="AA102">IF(VLOOKUP(Z102,$AI$1:$AJ$58,2,FALSE)&gt;=Y102,INDEX(tblDisciplines[Name],MATCH(1,(tblDisciplines[Discipline]=Z102)*(tblDisciplines[Rank]=Y102),0)),"")</f>
        <v/>
      </c>
    </row>
    <row r="103" spans="1:27">
      <c r="A103" s="1" t="s">
        <v>102</v>
      </c>
      <c r="B103">
        <f>P73</f>
        <v>6</v>
      </c>
      <c r="D103" s="19"/>
      <c r="E103" s="15" t="s">
        <v>1443</v>
      </c>
      <c r="F103" s="3"/>
      <c r="G103" s="60" t="str">
        <f>IFERROR(VLOOKUP(F103,tblManoeuvre[],2,FALSE)&amp;" "&amp;VLOOKUP(F103,tblManoeuvre[],3,FALSE),"")</f>
        <v/>
      </c>
      <c r="H103" s="67" t="str">
        <f>IFERROR(IF(VLOOKUP(F103,tblManoeuvre[],8,FALSE)=0,"None",VLOOKUP(F103,tblManoeuvre[],8,FALSE)),"None")</f>
        <v>None</v>
      </c>
      <c r="I103" s="67"/>
      <c r="L103" s="4"/>
      <c r="M103" s="4"/>
      <c r="N103" s="4"/>
      <c r="O103" s="61">
        <f t="shared" si="16"/>
        <v>0</v>
      </c>
      <c r="P103" s="60">
        <f t="shared" si="17"/>
        <v>0</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c r="G104" s="60" t="str">
        <f>IFERROR(VLOOKUP(F104,tblManoeuvre[],2,FALSE)&amp;" "&amp;VLOOKUP(F104,tblManoeuvre[],3,FALSE),"")</f>
        <v/>
      </c>
      <c r="H104" s="67" t="str">
        <f>IFERROR(IF(VLOOKUP(F104,tblManoeuvre[],8,FALSE)=0,"None",VLOOKUP(F104,tblManoeuvre[],8,FALSE)),"None")</f>
        <v>None</v>
      </c>
      <c r="I104" s="67"/>
      <c r="L104" s="4"/>
      <c r="M104" s="4"/>
      <c r="N104" s="4"/>
      <c r="O104" s="61">
        <f t="shared" si="16"/>
        <v>0</v>
      </c>
      <c r="P104" s="60">
        <f t="shared" si="17"/>
        <v>0</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c r="G105" s="60" t="str">
        <f>IFERROR(VLOOKUP(F105,tblManoeuvre[],2,FALSE)&amp;" "&amp;VLOOKUP(F105,tblManoeuvre[],3,FALSE),"")</f>
        <v/>
      </c>
      <c r="H105" s="67" t="str">
        <f>IFERROR(IF(VLOOKUP(F105,tblManoeuvre[],8,FALSE)=0,"None",VLOOKUP(F105,tblManoeuvre[],8,FALSE)),"None")</f>
        <v>None</v>
      </c>
      <c r="I105" s="67"/>
      <c r="L105" s="4"/>
      <c r="M105" s="4"/>
      <c r="N105" s="4"/>
      <c r="O105" s="61">
        <f t="shared" si="16"/>
        <v>0</v>
      </c>
      <c r="P105" s="60">
        <f t="shared" si="17"/>
        <v>0</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IFERROR(VLOOKUP(F106,tblManoeuvre[],2,FALSE)&amp;" "&amp;VLOOKUP(F106,tblManoeuvre[],3,FALSE),"")</f>
        <v/>
      </c>
      <c r="H106" s="67" t="str">
        <f>IFERROR(IF(VLOOKUP(F106,tblManoeuvre[],8,FALSE)=0,"None",VLOOKUP(F106,tblManoeuvre[],8,FALSE)),"None")</f>
        <v>None</v>
      </c>
      <c r="I106" s="67"/>
      <c r="L106" s="4"/>
      <c r="M106" s="4"/>
      <c r="N106" s="4"/>
      <c r="O106" s="61">
        <f t="shared" si="16"/>
        <v>0</v>
      </c>
      <c r="P106" s="60">
        <f t="shared" si="17"/>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IFERROR(VLOOKUP(F107,tblManoeuvre[],2,FALSE)&amp;" "&amp;VLOOKUP(F107,tblManoeuvre[],3,FALSE),"")</f>
        <v/>
      </c>
      <c r="H107" s="67" t="str">
        <f>IFERROR(IF(VLOOKUP(F107,tblManoeuvre[],8,FALSE)=0,"None",VLOOKUP(F107,tblManoeuvre[],8,FALSE)),"None")</f>
        <v>None</v>
      </c>
      <c r="I107" s="67"/>
      <c r="L107" s="4"/>
      <c r="M107" s="4"/>
      <c r="N107" s="4"/>
      <c r="O107" s="61">
        <f t="shared" si="16"/>
        <v>0</v>
      </c>
      <c r="P107" s="60">
        <f t="shared" si="17"/>
        <v>0</v>
      </c>
      <c r="Q107" s="61">
        <v>1</v>
      </c>
      <c r="R107" s="61">
        <v>1</v>
      </c>
      <c r="Y107" s="15">
        <v>1</v>
      </c>
      <c r="Z107" s="61" t="s">
        <v>252</v>
      </c>
      <c r="AA107" s="60" t="str" cm="1">
        <f t="array" ref="AA107">IF(VLOOKUP(Z107,$AI$1:$AJ$58,2,FALSE)&gt;=Y107,INDEX(tblDisciplines[Name],MATCH(1,(tblDisciplines[Discipline]=Z107)*(tblDisciplines[Rank]=Y107),0)),"")</f>
        <v>Transmutation 1</v>
      </c>
    </row>
    <row r="108" spans="1:27">
      <c r="A108" s="1" t="s">
        <v>107</v>
      </c>
      <c r="B108" t="str">
        <f>IF($P$73&gt;=7,"●","○") &amp; IF(F226&lt;&gt;""," (" &amp; F226 &amp; ")","")</f>
        <v>○</v>
      </c>
      <c r="D108" s="19"/>
      <c r="E108" s="15" t="s">
        <v>1452</v>
      </c>
      <c r="F108" s="3"/>
      <c r="G108" s="60" t="str">
        <f>IFERROR(VLOOKUP(F108,tblManoeuvre[],2,FALSE)&amp;" "&amp;VLOOKUP(F108,tblManoeuvre[],3,FALSE),"")</f>
        <v/>
      </c>
      <c r="H108" s="67" t="str">
        <f>IFERROR(IF(VLOOKUP(F108,tblManoeuvre[],8,FALSE)=0,"None",VLOOKUP(F108,tblManoeuvre[],8,FALSE)),"None")</f>
        <v>None</v>
      </c>
      <c r="I108" s="67"/>
      <c r="L108" s="4"/>
      <c r="M108" s="4"/>
      <c r="N108" s="4"/>
      <c r="O108" s="61">
        <f t="shared" si="16"/>
        <v>0</v>
      </c>
      <c r="P108" s="60">
        <f t="shared" si="17"/>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 (Undefined)</v>
      </c>
      <c r="D109" s="19"/>
      <c r="E109" s="15" t="s">
        <v>1454</v>
      </c>
      <c r="F109" s="3"/>
      <c r="G109" s="60" t="str">
        <f>IFERROR(VLOOKUP(F109,tblManoeuvre[],2,FALSE)&amp;" "&amp;VLOOKUP(F109,tblManoeuvre[],3,FALSE),"")</f>
        <v/>
      </c>
      <c r="H109" s="67" t="str">
        <f>IFERROR(IF(VLOOKUP(F109,tblManoeuvre[],8,FALSE)=0,"None",VLOOKUP(F109,tblManoeuvre[],8,FALSE)),"None")</f>
        <v>None</v>
      </c>
      <c r="I109" s="67"/>
      <c r="L109" s="4"/>
      <c r="M109" s="4"/>
      <c r="N109" s="4"/>
      <c r="O109" s="61">
        <f t="shared" si="16"/>
        <v>0</v>
      </c>
      <c r="P109" s="60">
        <f t="shared" si="17"/>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v>
      </c>
      <c r="D110" s="19"/>
      <c r="E110" s="15" t="s">
        <v>1455</v>
      </c>
      <c r="F110" s="3"/>
      <c r="G110" s="60" t="str">
        <f>IFERROR(VLOOKUP(F110,tblManoeuvre[],2,FALSE)&amp;" "&amp;VLOOKUP(F110,tblManoeuvre[],3,FALSE),"")</f>
        <v/>
      </c>
      <c r="H110" s="67" t="str">
        <f>IFERROR(IF(VLOOKUP(F110,tblManoeuvre[],8,FALSE)=0,"None",VLOOKUP(F110,tblManoeuvre[],8,FALSE)),"None")</f>
        <v>None</v>
      </c>
      <c r="I110" s="67"/>
      <c r="L110" s="4"/>
      <c r="M110" s="4"/>
      <c r="N110" s="4"/>
      <c r="O110" s="61">
        <f t="shared" si="16"/>
        <v>0</v>
      </c>
      <c r="P110" s="60">
        <f t="shared" si="17"/>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t="str">
        <f>IFERROR(VLOOKUP(F111,tblManoeuvre[],2,FALSE)&amp;" "&amp;VLOOKUP(F111,tblManoeuvre[],3,FALSE),"")</f>
        <v/>
      </c>
      <c r="H111" s="67" t="str">
        <f>IFERROR(IF(VLOOKUP(F111,tblManoeuvre[],8,FALSE)=0,"None",VLOOKUP(F111,tblManoeuvre[],8,FALSE)),"None")</f>
        <v>None</v>
      </c>
      <c r="I111" s="67"/>
      <c r="L111" s="4"/>
      <c r="M111" s="4"/>
      <c r="N111" s="4"/>
      <c r="O111" s="61">
        <f t="shared" si="16"/>
        <v>0</v>
      </c>
      <c r="P111" s="60">
        <f t="shared" si="17"/>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t="str">
        <f>IFERROR(VLOOKUP(F112,tblManoeuvre[],2,FALSE)&amp;" "&amp;VLOOKUP(F112,tblManoeuvre[],3,FALSE),"")</f>
        <v/>
      </c>
      <c r="H112" s="67" t="str">
        <f>IFERROR(IF(VLOOKUP(F112,tblManoeuvre[],8,FALSE)=0,"None",VLOOKUP(F112,tblManoeuvre[],8,FALSE)),"None")</f>
        <v>None</v>
      </c>
      <c r="I112" s="67"/>
      <c r="L112" s="4"/>
      <c r="M112" s="4"/>
      <c r="N112" s="4"/>
      <c r="O112" s="61">
        <f t="shared" si="16"/>
        <v>0</v>
      </c>
      <c r="P112" s="60">
        <f t="shared" si="17"/>
        <v>0</v>
      </c>
      <c r="Q112" s="61">
        <v>1</v>
      </c>
      <c r="R112" s="61">
        <v>1</v>
      </c>
      <c r="Y112" s="61" t="s">
        <v>1474</v>
      </c>
      <c r="Z112" s="61" t="str">
        <f t="shared" ref="Z112:Z121" si="18">G194</f>
        <v>Theban</v>
      </c>
      <c r="AA112" s="60" t="str">
        <f t="shared" ref="AA112:AA121" si="19">IF(P194="","",F194)</f>
        <v>Vitae Reliquary</v>
      </c>
    </row>
    <row r="113" spans="1:27">
      <c r="A113" s="1" t="s">
        <v>112</v>
      </c>
      <c r="B113" t="str">
        <f>IF($P$73&gt;=2,"●","○") &amp; IF(F231&lt;&gt;""," (" &amp; F231 &amp; ")","")</f>
        <v>●</v>
      </c>
      <c r="D113" s="19"/>
      <c r="E113" s="15" t="s">
        <v>1458</v>
      </c>
      <c r="F113" s="3"/>
      <c r="G113" s="60" t="str">
        <f>IFERROR(VLOOKUP(F113,tblManoeuvre[],2,FALSE)&amp;" "&amp;VLOOKUP(F113,tblManoeuvre[],3,FALSE),"")</f>
        <v/>
      </c>
      <c r="H113" s="67" t="str">
        <f>IFERROR(IF(VLOOKUP(F113,tblManoeuvre[],8,FALSE)=0,"None",VLOOKUP(F113,tblManoeuvre[],8,FALSE)),"None")</f>
        <v>None</v>
      </c>
      <c r="I113" s="67"/>
      <c r="L113" s="4"/>
      <c r="M113" s="4"/>
      <c r="N113" s="4"/>
      <c r="O113" s="61">
        <f t="shared" si="16"/>
        <v>0</v>
      </c>
      <c r="P113" s="60">
        <f t="shared" si="17"/>
        <v>0</v>
      </c>
      <c r="Q113" s="61">
        <v>1</v>
      </c>
      <c r="R113" s="61">
        <v>1</v>
      </c>
      <c r="Y113" s="61" t="s">
        <v>1474</v>
      </c>
      <c r="Z113" s="61" t="str">
        <f t="shared" si="18"/>
        <v>Theban</v>
      </c>
      <c r="AA113" s="60" t="str">
        <f t="shared" si="19"/>
        <v>Damned Radiance</v>
      </c>
    </row>
    <row r="114" spans="1:27">
      <c r="A114" s="1" t="s">
        <v>113</v>
      </c>
      <c r="B114" t="str">
        <f>IF($P$73&gt;=1,"●","○") &amp; IF(F232&lt;&gt;""," (" &amp; F232 &amp; ")","")</f>
        <v>●</v>
      </c>
      <c r="D114" s="19"/>
      <c r="E114" s="15" t="s">
        <v>1460</v>
      </c>
      <c r="F114" s="3"/>
      <c r="G114" s="60" t="str">
        <f>IFERROR(VLOOKUP(F114,tblManoeuvre[],2,FALSE)&amp;" "&amp;VLOOKUP(F114,tblManoeuvre[],3,FALSE),"")</f>
        <v/>
      </c>
      <c r="H114" s="67" t="str">
        <f>IFERROR(IF(VLOOKUP(F114,tblManoeuvre[],8,FALSE)=0,"None",VLOOKUP(F114,tblManoeuvre[],8,FALSE)),"None")</f>
        <v>None</v>
      </c>
      <c r="I114" s="67"/>
      <c r="L114" s="4"/>
      <c r="M114" s="4"/>
      <c r="N114" s="4"/>
      <c r="O114" s="61">
        <f t="shared" si="16"/>
        <v>0</v>
      </c>
      <c r="P114" s="60">
        <f t="shared" si="17"/>
        <v>0</v>
      </c>
      <c r="Q114" s="61">
        <v>1</v>
      </c>
      <c r="R114" s="61">
        <v>1</v>
      </c>
      <c r="Y114" s="61" t="s">
        <v>1474</v>
      </c>
      <c r="Z114" s="61" t="str">
        <f t="shared" si="18"/>
        <v/>
      </c>
      <c r="AA114" s="60" t="str">
        <f t="shared" si="19"/>
        <v/>
      </c>
    </row>
    <row r="115" spans="1:27">
      <c r="A115" s="1" t="s">
        <v>114</v>
      </c>
      <c r="B115" t="str">
        <f t="shared" ref="B115:B144" si="20">IF(AD2="","¬",AD2)</f>
        <v>Closed Book ●●</v>
      </c>
      <c r="D115" s="19"/>
      <c r="E115" s="15" t="s">
        <v>1461</v>
      </c>
      <c r="F115" s="3"/>
      <c r="G115" s="60" t="str">
        <f>IFERROR(VLOOKUP(F115,tblManoeuvre[],2,FALSE)&amp;" "&amp;VLOOKUP(F115,tblManoeuvre[],3,FALSE),"")</f>
        <v/>
      </c>
      <c r="H115" s="67" t="str">
        <f>IFERROR(IF(VLOOKUP(F115,tblManoeuvre[],8,FALSE)=0,"None",VLOOKUP(F115,tblManoeuvre[],8,FALSE)),"None")</f>
        <v>None</v>
      </c>
      <c r="I115" s="67"/>
      <c r="L115" s="4"/>
      <c r="M115" s="4"/>
      <c r="N115" s="4"/>
      <c r="O115" s="61">
        <f t="shared" si="16"/>
        <v>0</v>
      </c>
      <c r="P115" s="60">
        <f t="shared" si="17"/>
        <v>0</v>
      </c>
      <c r="Q115" s="61">
        <v>1</v>
      </c>
      <c r="R115" s="61">
        <v>1</v>
      </c>
      <c r="Y115" s="61" t="s">
        <v>1474</v>
      </c>
      <c r="Z115" s="61" t="str">
        <f t="shared" si="18"/>
        <v/>
      </c>
      <c r="AA115" s="60" t="str">
        <f t="shared" si="19"/>
        <v/>
      </c>
    </row>
    <row r="116" spans="1:27">
      <c r="A116" s="1" t="s">
        <v>115</v>
      </c>
      <c r="B116" t="str">
        <f t="shared" si="20"/>
        <v>Indomitable ●●</v>
      </c>
      <c r="D116" s="19"/>
      <c r="E116" s="15" t="s">
        <v>1462</v>
      </c>
      <c r="F116" s="3"/>
      <c r="G116" s="60" t="str">
        <f>IFERROR(VLOOKUP(F116,tblManoeuvre[],2,FALSE)&amp;" "&amp;VLOOKUP(F116,tblManoeuvre[],3,FALSE),"")</f>
        <v/>
      </c>
      <c r="H116" s="67" t="str">
        <f>IFERROR(IF(VLOOKUP(F116,tblManoeuvre[],8,FALSE)=0,"None",VLOOKUP(F116,tblManoeuvre[],8,FALSE)),"None")</f>
        <v>None</v>
      </c>
      <c r="I116" s="67"/>
      <c r="L116" s="4"/>
      <c r="M116" s="4"/>
      <c r="N116" s="4"/>
      <c r="O116" s="61">
        <f t="shared" si="16"/>
        <v>0</v>
      </c>
      <c r="P116" s="60">
        <f t="shared" si="17"/>
        <v>0</v>
      </c>
      <c r="Q116" s="61">
        <v>1</v>
      </c>
      <c r="R116" s="61">
        <v>1</v>
      </c>
      <c r="Y116" s="61" t="s">
        <v>1474</v>
      </c>
      <c r="Z116" s="61" t="str">
        <f t="shared" si="18"/>
        <v/>
      </c>
      <c r="AA116" s="60" t="str">
        <f t="shared" si="19"/>
        <v/>
      </c>
    </row>
    <row r="117" spans="1:27">
      <c r="A117" s="1" t="s">
        <v>116</v>
      </c>
      <c r="B117" t="str">
        <f t="shared" si="20"/>
        <v>Inspiring ●●●</v>
      </c>
      <c r="D117" s="19"/>
      <c r="E117" s="15" t="s">
        <v>1463</v>
      </c>
      <c r="F117" s="3"/>
      <c r="G117" s="60" t="str">
        <f>IFERROR(VLOOKUP(F117,tblManoeuvre[],2,FALSE)&amp;" "&amp;VLOOKUP(F117,tblManoeuvre[],3,FALSE),"")</f>
        <v/>
      </c>
      <c r="H117" s="67" t="str">
        <f>IFERROR(IF(VLOOKUP(F117,tblManoeuvre[],8,FALSE)=0,"None",VLOOKUP(F117,tblManoeuvre[],8,FALSE)),"None")</f>
        <v>None</v>
      </c>
      <c r="I117" s="67"/>
      <c r="L117" s="4"/>
      <c r="M117" s="4"/>
      <c r="N117" s="4"/>
      <c r="O117" s="61">
        <f t="shared" si="16"/>
        <v>0</v>
      </c>
      <c r="P117" s="60">
        <f t="shared" si="17"/>
        <v>0</v>
      </c>
      <c r="Q117" s="61">
        <v>1</v>
      </c>
      <c r="R117" s="61">
        <v>1</v>
      </c>
      <c r="Y117" s="61" t="s">
        <v>1474</v>
      </c>
      <c r="Z117" s="61" t="str">
        <f t="shared" si="18"/>
        <v/>
      </c>
      <c r="AA117" s="60" t="str">
        <f t="shared" si="19"/>
        <v/>
      </c>
    </row>
    <row r="118" spans="1:27">
      <c r="A118" s="1" t="s">
        <v>117</v>
      </c>
      <c r="B118" t="str">
        <f t="shared" si="20"/>
        <v>Library (Academics) ●●●</v>
      </c>
      <c r="D118" s="19"/>
      <c r="E118" s="15" t="s">
        <v>1464</v>
      </c>
      <c r="F118" s="3"/>
      <c r="G118" s="60" t="str">
        <f>IFERROR(VLOOKUP(F118,tblManoeuvre[],2,FALSE)&amp;" "&amp;VLOOKUP(F118,tblManoeuvre[],3,FALSE),"")</f>
        <v/>
      </c>
      <c r="H118" s="67" t="str">
        <f>IFERROR(IF(VLOOKUP(F118,tblManoeuvre[],8,FALSE)=0,"None",VLOOKUP(F118,tblManoeuvre[],8,FALSE)),"None")</f>
        <v>None</v>
      </c>
      <c r="I118" s="67"/>
      <c r="L118" s="4"/>
      <c r="M118" s="4"/>
      <c r="N118" s="4"/>
      <c r="O118" s="61">
        <f t="shared" si="16"/>
        <v>0</v>
      </c>
      <c r="P118" s="60">
        <f t="shared" si="17"/>
        <v>0</v>
      </c>
      <c r="Q118" s="61">
        <v>1</v>
      </c>
      <c r="R118" s="61">
        <v>1</v>
      </c>
      <c r="Y118" s="61" t="s">
        <v>1474</v>
      </c>
      <c r="Z118" s="61" t="str">
        <f t="shared" si="18"/>
        <v/>
      </c>
      <c r="AA118" s="60" t="str">
        <f t="shared" si="19"/>
        <v/>
      </c>
    </row>
    <row r="119" spans="1:27">
      <c r="A119" s="1" t="s">
        <v>118</v>
      </c>
      <c r="B119" t="str">
        <f t="shared" si="20"/>
        <v>Lorekeeper ●</v>
      </c>
      <c r="D119" s="19"/>
      <c r="E119" s="15" t="s">
        <v>1466</v>
      </c>
      <c r="F119" s="3"/>
      <c r="G119" s="60" t="str">
        <f>IFERROR(VLOOKUP(F119,tblManoeuvre[],2,FALSE)&amp;" "&amp;VLOOKUP(F119,tblManoeuvre[],3,FALSE),"")</f>
        <v/>
      </c>
      <c r="H119" s="67" t="str">
        <f>IFERROR(IF(VLOOKUP(F119,tblManoeuvre[],8,FALSE)=0,"None",VLOOKUP(F119,tblManoeuvre[],8,FALSE)),"None")</f>
        <v>None</v>
      </c>
      <c r="I119" s="67"/>
      <c r="L119" s="4"/>
      <c r="M119" s="4"/>
      <c r="N119" s="4"/>
      <c r="O119" s="61">
        <f t="shared" si="16"/>
        <v>0</v>
      </c>
      <c r="P119" s="60">
        <f t="shared" si="17"/>
        <v>0</v>
      </c>
      <c r="Q119" s="61">
        <v>1</v>
      </c>
      <c r="R119" s="61">
        <v>1</v>
      </c>
      <c r="Y119" s="61" t="s">
        <v>1474</v>
      </c>
      <c r="Z119" s="61" t="str">
        <f t="shared" si="18"/>
        <v/>
      </c>
      <c r="AA119" s="60" t="str">
        <f t="shared" si="19"/>
        <v/>
      </c>
    </row>
    <row r="120" spans="1:27">
      <c r="A120" s="1" t="s">
        <v>119</v>
      </c>
      <c r="B120" t="str">
        <f t="shared" si="20"/>
        <v>Striking Looks ●</v>
      </c>
      <c r="D120" s="19"/>
      <c r="E120" s="15" t="s">
        <v>1468</v>
      </c>
      <c r="F120" s="3"/>
      <c r="G120" s="60" t="str">
        <f>IFERROR(VLOOKUP(F120,tblManoeuvre[],2,FALSE)&amp;" "&amp;VLOOKUP(F120,tblManoeuvre[],3,FALSE),"")</f>
        <v/>
      </c>
      <c r="H120" s="67" t="str">
        <f>IFERROR(IF(VLOOKUP(F120,tblManoeuvre[],8,FALSE)=0,"None",VLOOKUP(F120,tblManoeuvre[],8,FALSE)),"None")</f>
        <v>None</v>
      </c>
      <c r="I120" s="67"/>
      <c r="L120" s="4"/>
      <c r="M120" s="4"/>
      <c r="N120" s="4"/>
      <c r="O120" s="61">
        <f t="shared" si="16"/>
        <v>0</v>
      </c>
      <c r="P120" s="60">
        <f t="shared" si="17"/>
        <v>0</v>
      </c>
      <c r="Q120" s="61">
        <v>1</v>
      </c>
      <c r="R120" s="61">
        <v>1</v>
      </c>
      <c r="Y120" s="61" t="s">
        <v>1474</v>
      </c>
      <c r="Z120" s="61" t="str">
        <f t="shared" si="18"/>
        <v/>
      </c>
      <c r="AA120" s="60" t="str">
        <f t="shared" si="19"/>
        <v/>
      </c>
    </row>
    <row r="121" spans="1:27">
      <c r="A121" s="1" t="s">
        <v>120</v>
      </c>
      <c r="B121" t="str">
        <f t="shared" si="20"/>
        <v>¬</v>
      </c>
      <c r="Y121" s="61" t="s">
        <v>1474</v>
      </c>
      <c r="Z121" s="61" t="str">
        <f t="shared" si="18"/>
        <v/>
      </c>
      <c r="AA121" s="60" t="str">
        <f t="shared" si="19"/>
        <v/>
      </c>
    </row>
    <row r="122" spans="1:27" ht="15.75" thickBot="1">
      <c r="A122" s="1" t="s">
        <v>121</v>
      </c>
      <c r="B122" t="str">
        <f t="shared" si="20"/>
        <v>¬</v>
      </c>
      <c r="D122" s="14" t="s">
        <v>1475</v>
      </c>
      <c r="E122" s="14"/>
      <c r="F122" s="14"/>
      <c r="G122" s="14"/>
      <c r="H122" s="14"/>
      <c r="I122" s="14"/>
    </row>
    <row r="123" spans="1:27">
      <c r="A123" s="1" t="s">
        <v>122</v>
      </c>
      <c r="B123" t="str">
        <f t="shared" si="20"/>
        <v>¬</v>
      </c>
      <c r="D123" s="16" t="s">
        <v>927</v>
      </c>
      <c r="E123" s="17"/>
      <c r="F123" s="17"/>
      <c r="G123" s="17"/>
      <c r="H123" s="17"/>
      <c r="I123" s="17"/>
      <c r="Y123" s="15" t="s">
        <v>1476</v>
      </c>
      <c r="Z123" s="19"/>
      <c r="AA123" s="61" t="str">
        <f t="shared" ref="AA123:AA132" si="21">_xlfn.LET(_xlpm.name,VLOOKUP(Y123,$E$2:$F$362,2,FALSE),_xlpm.paid,_xlfn.IFNA(VLOOKUP(_xlpm.name,$F$121:$Q$215,11,FALSE)&gt;=VLOOKUP(_xlpm.name,$F$121:$Q$215,12,FALSE),FALSE),IF(AND(_xlpm.name&lt;&gt;"",_xlpm.paid),_xlpm.name,""))</f>
        <v/>
      </c>
    </row>
    <row r="124" spans="1:27">
      <c r="A124" s="1" t="s">
        <v>123</v>
      </c>
      <c r="B124" t="str">
        <f t="shared" si="20"/>
        <v>¬</v>
      </c>
      <c r="D124" s="19"/>
      <c r="E124" s="15" t="s">
        <v>83</v>
      </c>
      <c r="F124" s="19"/>
      <c r="G124" s="19"/>
      <c r="H124" s="19"/>
      <c r="I124" s="19"/>
      <c r="L124" s="4">
        <v>1</v>
      </c>
      <c r="M124" s="61">
        <f>IFERROR(VLOOKUP(G13,tblEffectiveStatus[#Data],2,FALSE),0)</f>
        <v>0</v>
      </c>
      <c r="P124" s="60">
        <f>MIN(L124+M124,R124)</f>
        <v>1</v>
      </c>
      <c r="R124" s="61">
        <v>10</v>
      </c>
      <c r="Y124" s="15" t="s">
        <v>1477</v>
      </c>
      <c r="Z124" s="19"/>
      <c r="AA124" s="61" t="str">
        <f t="shared" si="21"/>
        <v/>
      </c>
    </row>
    <row r="125" spans="1:27">
      <c r="A125" s="1" t="s">
        <v>124</v>
      </c>
      <c r="B125" t="str">
        <f t="shared" si="20"/>
        <v>¬</v>
      </c>
      <c r="D125" s="19"/>
      <c r="E125" s="15" t="str">
        <f>IF(F7="","Clan Status",F7&amp;" Status")</f>
        <v>Daeva Status</v>
      </c>
      <c r="F125" s="19"/>
      <c r="G125" s="19"/>
      <c r="H125" s="19"/>
      <c r="I125" s="19"/>
      <c r="L125" s="4">
        <v>2</v>
      </c>
      <c r="P125" s="60">
        <f>IF(L125="",0,MIN(L125,R125))</f>
        <v>2</v>
      </c>
      <c r="R125" s="61">
        <v>5</v>
      </c>
      <c r="Y125" s="15" t="s">
        <v>1478</v>
      </c>
      <c r="Z125" s="19"/>
      <c r="AA125" s="61" t="str">
        <f t="shared" si="21"/>
        <v/>
      </c>
    </row>
    <row r="126" spans="1:27">
      <c r="A126" s="1" t="s">
        <v>125</v>
      </c>
      <c r="B126" t="str">
        <f t="shared" si="20"/>
        <v>¬</v>
      </c>
      <c r="D126" s="19"/>
      <c r="E126" s="15" t="str">
        <f>IF(F9="","",F9&amp;" Status")</f>
        <v>Lancea et Sanctum Status</v>
      </c>
      <c r="F126" s="19" t="str">
        <f>IF(F9="","",VLOOKUP(F9,tblCovenantShortName[#Data],2,FALSE))</f>
        <v>Lance</v>
      </c>
      <c r="G126" s="19"/>
      <c r="H126" s="19"/>
      <c r="I126" s="19"/>
      <c r="L126" s="4">
        <v>1</v>
      </c>
      <c r="P126" s="60">
        <f>L126</f>
        <v>1</v>
      </c>
      <c r="R126" s="61">
        <f>5-SUM(L127:L129)</f>
        <v>5</v>
      </c>
      <c r="Y126" s="15" t="s">
        <v>1479</v>
      </c>
      <c r="Z126" s="19"/>
      <c r="AA126" s="61" t="str">
        <f t="shared" si="21"/>
        <v/>
      </c>
    </row>
    <row r="127" spans="1:27">
      <c r="A127" s="1" t="s">
        <v>126</v>
      </c>
      <c r="B127" t="str">
        <f t="shared" si="20"/>
        <v>¬</v>
      </c>
      <c r="D127" s="19"/>
      <c r="E127" s="15" t="str" cm="1">
        <f t="array" ref="E127">IF(F9="","",IFERROR(INDEX(Lists!$F$2:$F$5,SMALL(IF(Lists!$F$2:$F$5&lt;&gt;$F$9,ROW(Lists!$F$2:$F$5)-ROW(Lists!$F$2)+1),1))&amp;" Status",""))</f>
        <v>Carthian Movement Status</v>
      </c>
      <c r="F127" s="19" t="str" cm="1">
        <f t="array" ref="F127">IF(F9="","",IFERROR(VLOOKUP(INDEX(Lists!$F$2:$F$5,SMALL(IF(Lists!$F$2:$F$5&lt;&gt;$F$9,ROW(Lists!$F$2:$F$5)-ROW(Lists!$F$2)+1),1)),tblCovenantShortName[],2,FALSE),""))</f>
        <v>Carthian</v>
      </c>
      <c r="G127" s="19"/>
      <c r="H127" s="19"/>
      <c r="I127" s="19"/>
      <c r="L127" s="4"/>
      <c r="P127" s="60">
        <f>L127</f>
        <v>0</v>
      </c>
      <c r="R127" s="61">
        <f>MAX(0,MIN(P126-1,5-L126-L128-L129))</f>
        <v>0</v>
      </c>
      <c r="Y127" s="15" t="s">
        <v>1480</v>
      </c>
      <c r="Z127" s="19"/>
      <c r="AA127" s="61" t="str">
        <f t="shared" si="21"/>
        <v/>
      </c>
    </row>
    <row r="128" spans="1:27">
      <c r="A128" s="1" t="s">
        <v>127</v>
      </c>
      <c r="B128" t="str">
        <f t="shared" si="20"/>
        <v>¬</v>
      </c>
      <c r="D128" s="19"/>
      <c r="E128" s="15" t="str" cm="1">
        <f t="array" ref="E128">IF(F9="","",IFERROR(INDEX(Lists!$F$2:$F$5,SMALL(IF(Lists!$F$2:$F$5&lt;&gt;$F$9,ROW(Lists!$F$2:$F$5)-ROW(Lists!$F$2)+1),2))&amp;" Status",""))</f>
        <v>Circle of the Crone Status</v>
      </c>
      <c r="F128" s="19" t="str" cm="1">
        <f t="array" ref="F128">IF(F9="","",IFERROR(VLOOKUP(INDEX(Lists!$F$2:$F$5,SMALL(IF(Lists!$F$2:$F$5&lt;&gt;$F$9,ROW(Lists!$F$2:$F$5)-ROW(Lists!$F$2)+1),2)),tblCovenantShortName[],2,FALSE),""))</f>
        <v>Crone</v>
      </c>
      <c r="G128" s="19"/>
      <c r="H128" s="19"/>
      <c r="I128" s="19"/>
      <c r="L128" s="4"/>
      <c r="P128" s="60">
        <f>L128</f>
        <v>0</v>
      </c>
      <c r="R128" s="61">
        <f>MAX(0,MIN(P126-1,5-L126-L127-L129))</f>
        <v>0</v>
      </c>
      <c r="Y128" s="15" t="s">
        <v>1481</v>
      </c>
      <c r="Z128" s="19"/>
      <c r="AA128" s="61" t="str">
        <f t="shared" si="21"/>
        <v/>
      </c>
    </row>
    <row r="129" spans="1:32">
      <c r="A129" s="1" t="s">
        <v>128</v>
      </c>
      <c r="B129" t="str">
        <f t="shared" si="20"/>
        <v>¬</v>
      </c>
      <c r="D129" s="19"/>
      <c r="E129" s="15" t="str" cm="1">
        <f t="array" ref="E129">IF(F9="","",IFERROR(INDEX(Lists!$F$2:$F$5,SMALL(IF(Lists!$F$2:$F$5&lt;&gt;$F$9,ROW(Lists!$F$2:$F$5)-ROW(Lists!$F$2)+1),3))&amp;" Status",""))</f>
        <v>Invictus Status</v>
      </c>
      <c r="F129" s="19" t="str" cm="1">
        <f t="array" ref="F129">IF(F9="","",IFERROR(VLOOKUP(INDEX(Lists!$F$2:$F$5,SMALL(IF(Lists!$F$2:$F$5&lt;&gt;$F$9,ROW(Lists!$F$2:$F$5)-ROW(Lists!$F$2)+1),3)),tblCovenantShortName[],2,FALSE),""))</f>
        <v>Invictus</v>
      </c>
      <c r="G129" s="19"/>
      <c r="H129" s="19"/>
      <c r="I129" s="19"/>
      <c r="L129" s="4"/>
      <c r="P129" s="60">
        <f>L129</f>
        <v>0</v>
      </c>
      <c r="R129" s="61">
        <f>MAX(0,MIN(P126-1,5-L126-L127-L128))</f>
        <v>0</v>
      </c>
      <c r="Y129" s="15" t="s">
        <v>1482</v>
      </c>
      <c r="Z129" s="19"/>
      <c r="AA129" s="61" t="str">
        <f t="shared" si="21"/>
        <v/>
      </c>
    </row>
    <row r="130" spans="1:32">
      <c r="A130" s="1" t="s">
        <v>129</v>
      </c>
      <c r="B130" t="str">
        <f t="shared" si="20"/>
        <v>¬</v>
      </c>
      <c r="Y130" s="15" t="s">
        <v>1483</v>
      </c>
      <c r="Z130" s="19"/>
      <c r="AA130" s="61" t="str">
        <f t="shared" si="21"/>
        <v/>
      </c>
    </row>
    <row r="131" spans="1:32">
      <c r="A131" s="1" t="s">
        <v>130</v>
      </c>
      <c r="B131" t="str">
        <f t="shared" si="20"/>
        <v>¬</v>
      </c>
      <c r="D131" s="16" t="s">
        <v>1475</v>
      </c>
      <c r="E131" s="17"/>
      <c r="F131" s="16" t="s">
        <v>1446</v>
      </c>
      <c r="G131" s="17"/>
      <c r="H131" s="17"/>
      <c r="I131" s="17"/>
      <c r="Y131" s="15" t="s">
        <v>1484</v>
      </c>
      <c r="Z131" s="19"/>
      <c r="AA131" s="61" t="str">
        <f t="shared" si="21"/>
        <v/>
      </c>
    </row>
    <row r="132" spans="1:32">
      <c r="A132" s="1" t="s">
        <v>131</v>
      </c>
      <c r="B132" t="str">
        <f t="shared" si="20"/>
        <v>¬</v>
      </c>
      <c r="D132" s="19"/>
      <c r="E132" s="15" t="s">
        <v>94</v>
      </c>
      <c r="F132" s="3"/>
      <c r="G132" s="19"/>
      <c r="H132" s="19"/>
      <c r="I132" s="19"/>
      <c r="L132" s="4">
        <v>1</v>
      </c>
      <c r="M132" s="4"/>
      <c r="N132" s="4"/>
      <c r="O132" s="61">
        <f>N132</f>
        <v>0</v>
      </c>
      <c r="P132" s="60">
        <f>MIN(SUM(L132,M132,O132),R132)</f>
        <v>1</v>
      </c>
      <c r="Q132" s="61">
        <f>_xlfn.IFNA(VLOOKUP($E132,tblDomain[],3,FALSE),"")</f>
        <v>1</v>
      </c>
      <c r="R132" s="61">
        <f>_xlfn.IFNA(VLOOKUP($E132,tblDomain[],4,FALSE),"")</f>
        <v>5</v>
      </c>
      <c r="Y132" s="15" t="s">
        <v>1485</v>
      </c>
      <c r="Z132" s="19"/>
      <c r="AA132" s="61" t="str">
        <f t="shared" si="21"/>
        <v/>
      </c>
    </row>
    <row r="133" spans="1:32">
      <c r="A133" s="1" t="s">
        <v>132</v>
      </c>
      <c r="B133" t="str">
        <f t="shared" si="20"/>
        <v>¬</v>
      </c>
      <c r="D133" s="19"/>
      <c r="E133" s="15" t="s">
        <v>95</v>
      </c>
      <c r="F133" s="3"/>
      <c r="G133" s="19"/>
      <c r="H133" s="19"/>
      <c r="I133" s="19"/>
      <c r="L133" s="4"/>
      <c r="M133" s="4"/>
      <c r="N133" s="4"/>
      <c r="O133" s="61">
        <f>N133</f>
        <v>0</v>
      </c>
      <c r="P133" s="60">
        <f>MIN(SUM(L133,M133,O133),R133)</f>
        <v>0</v>
      </c>
      <c r="Q133" s="61">
        <f>_xlfn.IFNA(VLOOKUP($E133,tblDomain[],3,FALSE),"")</f>
        <v>1</v>
      </c>
      <c r="R133" s="61">
        <f>_xlfn.IFNA(VLOOKUP($E133,tblDomain[],4,FALSE),"")</f>
        <v>5</v>
      </c>
    </row>
    <row r="134" spans="1:32">
      <c r="A134" s="1" t="s">
        <v>133</v>
      </c>
      <c r="B134" t="str">
        <f t="shared" si="20"/>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2">_xlfn.LET(_xlpm.name,VLOOKUP(Y134,$E$2:$F$362,2,FALSE),_xlpm.note,VLOOKUP(Y134,$E$2:$G$362,3,FALSE),_xlpm.row,MATCH(Y134,$E$138:$E$157,0),_xlpm.dots,INDEX($P$138:$P$157,_xlpm.row),_xlpm.max,INDEX($Q$138:$Q$157,_xlpm.row),_xlpm.paid,_xlfn.IFNA(_xlpm.dots&gt;=_xlpm.max,FALSE),IF(AND(_xlpm.name&lt;&gt;"",_xlpm.paid),IF(_xlpm.note="",_xlpm.name,_xlpm.name&amp;" ("&amp;_xlpm.note&amp;")"),""))</f>
        <v>Allies (Health)</v>
      </c>
      <c r="AC134" s="60" t="str" cm="1">
        <f t="array" ref="AC134">_xlfn.LET(_xlpm.raw,IFERROR(_xlfn.VSTACK(IFERROR(_xlfn._xlws.SORT(_xlfn._xlws.FILTER(AA134:AA211,AA134:AA211&lt;&gt;"")),""),IFERROR(_xlfn._xlws.SORT(_xlfn._xlws.FILTER(AA213:AA222,AA213:AA222&lt;&gt;"")),"")),""),_xlpm.sorted,IFERROR(_xlfn._xlws.FILTER(_xlpm.raw,_xlpm.raw&lt;&gt;""),""),IFERROR(LEFT(_xlpm.sorted,FIND(" (",_xlpm.sorted)-1),_xlpm.sorted))</f>
        <v>Allies</v>
      </c>
      <c r="AD134" s="20" t="str" cm="1">
        <f t="array" ref="AD134">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Health</v>
      </c>
      <c r="AE134" s="20">
        <f t="shared" ref="AE134:AE153" si="23">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1</v>
      </c>
      <c r="AF134" s="61" cm="1">
        <f t="array" ref="AF134">IF(AC134="","",SUMPRODUCT(($F$138:$F$157=AC134)*($G$138:$G$157=IF(AD134="","",AD134))*$P$138:$P$157))</f>
        <v>3</v>
      </c>
    </row>
    <row r="135" spans="1:32">
      <c r="A135" s="1" t="s">
        <v>134</v>
      </c>
      <c r="B135" t="str">
        <f t="shared" si="20"/>
        <v>¬</v>
      </c>
      <c r="D135" s="19"/>
      <c r="E135" s="15" t="s">
        <v>97</v>
      </c>
      <c r="F135" s="19"/>
      <c r="G135" s="19"/>
      <c r="H135" s="19"/>
      <c r="I135" s="19"/>
      <c r="L135" s="4"/>
      <c r="M135" s="4">
        <v>3</v>
      </c>
      <c r="N135" s="4"/>
      <c r="O135" s="61">
        <f>N135</f>
        <v>0</v>
      </c>
      <c r="P135" s="60">
        <f>MIN(SUM(L135,M135,O135),R135)</f>
        <v>3</v>
      </c>
      <c r="Q135" s="61">
        <f>_xlfn.IFNA(VLOOKUP($E135,tblDomain[],3,FALSE),"")</f>
        <v>1</v>
      </c>
      <c r="R135" s="61">
        <f>_xlfn.IFNA(VLOOKUP($E135,tblDomain[],4,FALSE),"")</f>
        <v>5</v>
      </c>
      <c r="Y135" s="15" t="s">
        <v>177</v>
      </c>
      <c r="Z135" s="19"/>
      <c r="AA135" s="61" t="str">
        <f t="shared" si="22"/>
        <v/>
      </c>
      <c r="AC135" s="60"/>
      <c r="AD135" s="20"/>
      <c r="AE135" s="20" t="str">
        <f t="shared" si="23"/>
        <v/>
      </c>
      <c r="AF135" s="61" t="str" cm="1">
        <f t="array" ref="AF135">IF(AC135="","",SUMPRODUCT(($F$138:$F$157=AC135)*($G$138:$G$157=IF(AD135="","",AD135))*$P$138:$P$157))</f>
        <v/>
      </c>
    </row>
    <row r="136" spans="1:32">
      <c r="A136" s="1" t="s">
        <v>135</v>
      </c>
      <c r="B136" t="str">
        <f t="shared" si="20"/>
        <v>¬</v>
      </c>
      <c r="Y136" s="15" t="s">
        <v>178</v>
      </c>
      <c r="Z136" s="19"/>
      <c r="AA136" s="61" t="str">
        <f t="shared" si="22"/>
        <v/>
      </c>
      <c r="AC136" s="60"/>
      <c r="AD136" s="20"/>
      <c r="AE136" s="20" t="str">
        <f t="shared" si="23"/>
        <v/>
      </c>
      <c r="AF136" s="61" t="str" cm="1">
        <f t="array" ref="AF136">IF(AC136="","",SUMPRODUCT(($F$138:$F$157=AC136)*($G$138:$G$157=IF(AD136="","",AD136))*$P$138:$P$157))</f>
        <v/>
      </c>
    </row>
    <row r="137" spans="1:32">
      <c r="A137" s="1" t="s">
        <v>136</v>
      </c>
      <c r="B137" t="str">
        <f t="shared" si="20"/>
        <v>¬</v>
      </c>
      <c r="D137" s="16" t="s">
        <v>174</v>
      </c>
      <c r="E137" s="17"/>
      <c r="F137" s="17"/>
      <c r="G137" s="17"/>
      <c r="H137" s="61">
        <f>L225</f>
        <v>0</v>
      </c>
      <c r="I137" s="61">
        <f>SUM(AE134:AE155)+SUM(P125:P129)</f>
        <v>5</v>
      </c>
      <c r="Y137" s="15" t="s">
        <v>179</v>
      </c>
      <c r="Z137" s="19"/>
      <c r="AA137" s="61" t="str">
        <f t="shared" si="22"/>
        <v/>
      </c>
      <c r="AC137" s="60"/>
      <c r="AD137" s="20"/>
      <c r="AE137" s="20" t="str">
        <f t="shared" si="23"/>
        <v/>
      </c>
      <c r="AF137" s="61" t="str" cm="1">
        <f t="array" ref="AF137">IF(AC137="","",SUMPRODUCT(($F$138:$F$157=AC137)*($G$138:$G$157=IF(AD137="","",AD137))*$P$138:$P$157))</f>
        <v/>
      </c>
    </row>
    <row r="138" spans="1:32">
      <c r="A138" s="1" t="s">
        <v>137</v>
      </c>
      <c r="B138" t="str">
        <f t="shared" si="20"/>
        <v>¬</v>
      </c>
      <c r="D138" s="61" t="s">
        <v>1577</v>
      </c>
      <c r="E138" s="15" t="s">
        <v>176</v>
      </c>
      <c r="F138" s="3" t="s">
        <v>412</v>
      </c>
      <c r="G138" s="3" t="s">
        <v>52</v>
      </c>
      <c r="H138" s="67" t="str">
        <f>IFERROR(IF(VLOOKUP(F138,tblManoeuvre[],8,FALSE)=0,"None",VLOOKUP(F138,tblManoeuvre[],8,FALSE)),"None")</f>
        <v>None</v>
      </c>
      <c r="I138" s="67"/>
      <c r="L138" s="4"/>
      <c r="M138" s="4">
        <v>3</v>
      </c>
      <c r="N138" s="4"/>
      <c r="O138" s="61">
        <f t="shared" ref="O138:O157" si="24">N138</f>
        <v>0</v>
      </c>
      <c r="P138" s="60">
        <f t="shared" ref="P138:P157" si="25">MIN(SUM(L138,M138,O138),R138)</f>
        <v>3</v>
      </c>
      <c r="Q138" s="61">
        <f>_xlfn.IFNA(VLOOKUP($F138,tblInfluence[],3,FALSE),"")</f>
        <v>1</v>
      </c>
      <c r="R138" s="61">
        <f>_xlfn.IFNA(VLOOKUP($F138,tblInfluence[],4,FALSE),"")</f>
        <v>5</v>
      </c>
      <c r="Y138" s="15" t="s">
        <v>180</v>
      </c>
      <c r="Z138" s="19"/>
      <c r="AA138" s="61" t="str">
        <f t="shared" si="22"/>
        <v/>
      </c>
      <c r="AC138" s="60"/>
      <c r="AD138" s="20"/>
      <c r="AE138" s="20" t="str">
        <f t="shared" si="23"/>
        <v/>
      </c>
      <c r="AF138" s="61" t="str" cm="1">
        <f t="array" ref="AF138">IF(AC138="","",SUMPRODUCT(($F$138:$F$157=AC138)*($G$138:$G$157=IF(AD138="","",AD138))*$P$138:$P$157))</f>
        <v/>
      </c>
    </row>
    <row r="139" spans="1:32">
      <c r="A139" s="1" t="s">
        <v>138</v>
      </c>
      <c r="B139" t="str">
        <f t="shared" si="20"/>
        <v>¬</v>
      </c>
      <c r="D139" s="19"/>
      <c r="E139" s="15" t="s">
        <v>177</v>
      </c>
      <c r="F139" s="3"/>
      <c r="G139" s="3"/>
      <c r="H139" s="67" t="str">
        <f>IFERROR(IF(VLOOKUP(F139,tblManoeuvre[],8,FALSE)=0,"None",VLOOKUP(F139,tblManoeuvre[],8,FALSE)),"None")</f>
        <v>None</v>
      </c>
      <c r="I139" s="67"/>
      <c r="L139" s="4"/>
      <c r="M139" s="4"/>
      <c r="N139" s="4"/>
      <c r="O139" s="61">
        <f t="shared" si="24"/>
        <v>0</v>
      </c>
      <c r="P139" s="60">
        <f t="shared" si="25"/>
        <v>0</v>
      </c>
      <c r="Q139" s="61" t="str">
        <f>_xlfn.IFNA(VLOOKUP($F139,tblInfluence[],3,FALSE),"")</f>
        <v/>
      </c>
      <c r="R139" s="61" t="str">
        <f>_xlfn.IFNA(VLOOKUP($F139,tblInfluence[],4,FALSE),"")</f>
        <v/>
      </c>
      <c r="Y139" s="15" t="s">
        <v>181</v>
      </c>
      <c r="Z139" s="19"/>
      <c r="AA139" s="61" t="str">
        <f t="shared" si="22"/>
        <v/>
      </c>
      <c r="AC139" s="60"/>
      <c r="AD139" s="20"/>
      <c r="AE139" s="20" t="str">
        <f t="shared" si="23"/>
        <v/>
      </c>
      <c r="AF139" s="61" t="str" cm="1">
        <f t="array" ref="AF139">IF(AC139="","",SUMPRODUCT(($F$138:$F$157=AC139)*($G$138:$G$157=IF(AD139="","",AD139))*$P$138:$P$157))</f>
        <v/>
      </c>
    </row>
    <row r="140" spans="1:32">
      <c r="A140" s="1" t="s">
        <v>139</v>
      </c>
      <c r="B140" t="str">
        <f t="shared" si="20"/>
        <v>¬</v>
      </c>
      <c r="D140" s="19"/>
      <c r="E140" s="15" t="s">
        <v>178</v>
      </c>
      <c r="F140" s="3"/>
      <c r="G140" s="3"/>
      <c r="H140" s="67" t="str">
        <f>IFERROR(IF(VLOOKUP(F140,tblManoeuvre[],8,FALSE)=0,"None",VLOOKUP(F140,tblManoeuvre[],8,FALSE)),"None")</f>
        <v>None</v>
      </c>
      <c r="I140" s="67"/>
      <c r="L140" s="4"/>
      <c r="M140" s="4"/>
      <c r="N140" s="4"/>
      <c r="O140" s="61">
        <f t="shared" si="24"/>
        <v>0</v>
      </c>
      <c r="P140" s="60">
        <f t="shared" si="25"/>
        <v>0</v>
      </c>
      <c r="Q140" s="61" t="str">
        <f>_xlfn.IFNA(VLOOKUP($F140,tblInfluence[],3,FALSE),"")</f>
        <v/>
      </c>
      <c r="R140" s="61" t="str">
        <f>_xlfn.IFNA(VLOOKUP($F140,tblInfluence[],4,FALSE),"")</f>
        <v/>
      </c>
      <c r="Y140" s="15" t="s">
        <v>182</v>
      </c>
      <c r="Z140" s="19"/>
      <c r="AA140" s="61" t="str">
        <f t="shared" si="22"/>
        <v/>
      </c>
      <c r="AC140" s="60"/>
      <c r="AD140" s="20"/>
      <c r="AE140" s="20" t="str">
        <f t="shared" si="23"/>
        <v/>
      </c>
      <c r="AF140" s="61" t="str" cm="1">
        <f t="array" ref="AF140">IF(AC140="","",SUMPRODUCT(($F$138:$F$157=AC140)*($G$138:$G$157=IF(AD140="","",AD140))*$P$138:$P$157))</f>
        <v/>
      </c>
    </row>
    <row r="141" spans="1:32">
      <c r="A141" s="1" t="s">
        <v>140</v>
      </c>
      <c r="B141" t="str">
        <f t="shared" si="20"/>
        <v>¬</v>
      </c>
      <c r="D141" s="19"/>
      <c r="E141" s="15" t="s">
        <v>179</v>
      </c>
      <c r="F141" s="3"/>
      <c r="G141" s="3"/>
      <c r="H141" s="67" t="str">
        <f>IFERROR(IF(VLOOKUP(F141,tblManoeuvre[],8,FALSE)=0,"None",VLOOKUP(F141,tblManoeuvre[],8,FALSE)),"None")</f>
        <v>None</v>
      </c>
      <c r="I141" s="67"/>
      <c r="L141" s="4"/>
      <c r="M141" s="4"/>
      <c r="N141" s="4"/>
      <c r="O141" s="61">
        <f t="shared" si="24"/>
        <v>0</v>
      </c>
      <c r="P141" s="60">
        <f t="shared" si="25"/>
        <v>0</v>
      </c>
      <c r="Q141" s="61" t="str">
        <f>_xlfn.IFNA(VLOOKUP($F141,tblInfluence[],3,FALSE),"")</f>
        <v/>
      </c>
      <c r="R141" s="61" t="str">
        <f>_xlfn.IFNA(VLOOKUP($F141,tblInfluence[],4,FALSE),"")</f>
        <v/>
      </c>
      <c r="Y141" s="15" t="s">
        <v>183</v>
      </c>
      <c r="Z141" s="19"/>
      <c r="AA141" s="61" t="str">
        <f t="shared" si="22"/>
        <v/>
      </c>
      <c r="AC141" s="60"/>
      <c r="AD141" s="20"/>
      <c r="AE141" s="20" t="str">
        <f t="shared" si="23"/>
        <v/>
      </c>
      <c r="AF141" s="61" t="str" cm="1">
        <f t="array" ref="AF141">IF(AC141="","",SUMPRODUCT(($F$138:$F$157=AC141)*($G$138:$G$157=IF(AD141="","",AD141))*$P$138:$P$157))</f>
        <v/>
      </c>
    </row>
    <row r="142" spans="1:32">
      <c r="A142" s="1" t="s">
        <v>141</v>
      </c>
      <c r="B142" t="str">
        <f t="shared" si="20"/>
        <v>¬</v>
      </c>
      <c r="D142" s="19"/>
      <c r="E142" s="15" t="s">
        <v>180</v>
      </c>
      <c r="F142" s="3"/>
      <c r="G142" s="3"/>
      <c r="H142" s="67" t="str">
        <f>IFERROR(IF(VLOOKUP(F142,tblManoeuvre[],8,FALSE)=0,"None",VLOOKUP(F142,tblManoeuvre[],8,FALSE)),"None")</f>
        <v>None</v>
      </c>
      <c r="I142" s="67"/>
      <c r="L142" s="4"/>
      <c r="M142" s="4"/>
      <c r="N142" s="4"/>
      <c r="O142" s="61">
        <f t="shared" si="24"/>
        <v>0</v>
      </c>
      <c r="P142" s="60">
        <f t="shared" si="25"/>
        <v>0</v>
      </c>
      <c r="Q142" s="61" t="str">
        <f>_xlfn.IFNA(VLOOKUP($F142,tblInfluence[],3,FALSE),"")</f>
        <v/>
      </c>
      <c r="R142" s="61" t="str">
        <f>_xlfn.IFNA(VLOOKUP($F142,tblInfluence[],4,FALSE),"")</f>
        <v/>
      </c>
      <c r="Y142" s="15" t="s">
        <v>184</v>
      </c>
      <c r="Z142" s="19"/>
      <c r="AA142" s="61" t="str">
        <f t="shared" si="22"/>
        <v/>
      </c>
      <c r="AC142" s="60"/>
      <c r="AD142" s="20"/>
      <c r="AE142" s="20" t="str">
        <f t="shared" si="23"/>
        <v/>
      </c>
      <c r="AF142" s="61" t="str" cm="1">
        <f t="array" ref="AF142">IF(AC142="","",SUMPRODUCT(($F$138:$F$157=AC142)*($G$138:$G$157=IF(AD142="","",AD142))*$P$138:$P$157))</f>
        <v/>
      </c>
    </row>
    <row r="143" spans="1:32">
      <c r="A143" s="1" t="s">
        <v>142</v>
      </c>
      <c r="B143" t="str">
        <f t="shared" si="20"/>
        <v>¬</v>
      </c>
      <c r="D143" s="19"/>
      <c r="E143" s="15" t="s">
        <v>181</v>
      </c>
      <c r="F143" s="3"/>
      <c r="G143" s="3" t="str">
        <f>IFERROR(VLOOKUP(F143,tblManoeuvre[],2,FALSE)&amp;" "&amp;VLOOKUP(F143,tblManoeuvre[],3,FALSE),"")</f>
        <v/>
      </c>
      <c r="H143" s="67" t="str">
        <f>IFERROR(IF(VLOOKUP(F143,tblManoeuvre[],8,FALSE)=0,"None",VLOOKUP(F143,tblManoeuvre[],8,FALSE)),"None")</f>
        <v>None</v>
      </c>
      <c r="I143" s="67"/>
      <c r="L143" s="4"/>
      <c r="M143" s="4"/>
      <c r="N143" s="4"/>
      <c r="O143" s="61">
        <f t="shared" si="24"/>
        <v>0</v>
      </c>
      <c r="P143" s="60">
        <f t="shared" si="25"/>
        <v>0</v>
      </c>
      <c r="Q143" s="61" t="str">
        <f>_xlfn.IFNA(VLOOKUP($F143,tblInfluence[],3,FALSE),"")</f>
        <v/>
      </c>
      <c r="R143" s="61" t="str">
        <f>_xlfn.IFNA(VLOOKUP($F143,tblInfluence[],4,FALSE),"")</f>
        <v/>
      </c>
      <c r="Y143" s="15" t="s">
        <v>185</v>
      </c>
      <c r="Z143" s="19"/>
      <c r="AA143" s="61" t="str">
        <f t="shared" si="22"/>
        <v/>
      </c>
      <c r="AC143" s="60"/>
      <c r="AD143" s="20"/>
      <c r="AE143" s="20" t="str">
        <f t="shared" si="23"/>
        <v/>
      </c>
      <c r="AF143" s="61" t="str" cm="1">
        <f t="array" ref="AF143">IF(AC143="","",SUMPRODUCT(($F$138:$F$157=AC143)*($G$138:$G$157=IF(AD143="","",AD143))*$P$138:$P$157))</f>
        <v/>
      </c>
    </row>
    <row r="144" spans="1:32">
      <c r="A144" s="1" t="s">
        <v>143</v>
      </c>
      <c r="B144" t="str">
        <f t="shared" si="20"/>
        <v>¬</v>
      </c>
      <c r="D144" s="19"/>
      <c r="E144" s="15" t="s">
        <v>182</v>
      </c>
      <c r="F144" s="3"/>
      <c r="G144" s="3"/>
      <c r="H144" s="67" t="str">
        <f>IFERROR(IF(VLOOKUP(F144,tblManoeuvre[],8,FALSE)=0,"None",VLOOKUP(F144,tblManoeuvre[],8,FALSE)),"None")</f>
        <v>None</v>
      </c>
      <c r="I144" s="67"/>
      <c r="L144" s="4"/>
      <c r="M144" s="4"/>
      <c r="N144" s="4"/>
      <c r="O144" s="61">
        <f t="shared" si="24"/>
        <v>0</v>
      </c>
      <c r="P144" s="60">
        <f t="shared" si="25"/>
        <v>0</v>
      </c>
      <c r="Q144" s="61" t="str">
        <f>_xlfn.IFNA(VLOOKUP($F144,tblInfluence[],3,FALSE),"")</f>
        <v/>
      </c>
      <c r="R144" s="61" t="str">
        <f>_xlfn.IFNA(VLOOKUP($F144,tblInfluence[],4,FALSE),"")</f>
        <v/>
      </c>
      <c r="Y144" s="15" t="s">
        <v>186</v>
      </c>
      <c r="Z144" s="19"/>
      <c r="AA144" s="61" t="str">
        <f t="shared" si="22"/>
        <v/>
      </c>
      <c r="AC144" s="60"/>
      <c r="AD144" s="20"/>
      <c r="AE144" s="20" t="str">
        <f t="shared" si="23"/>
        <v/>
      </c>
      <c r="AF144" s="61" t="str" cm="1">
        <f t="array" ref="AF144">IF(AC144="","",SUMPRODUCT(($F$138:$F$157=AC144)*($G$138:$G$157=IF(AD144="","",AD144))*$P$138:$P$157))</f>
        <v/>
      </c>
    </row>
    <row r="145" spans="1:32">
      <c r="A145" s="1" t="s">
        <v>144</v>
      </c>
      <c r="B145" t="str">
        <f t="shared" ref="B145:B174" si="26">IF(AF2="","¬",AF2)</f>
        <v>Add dots to Doors and as bonus to contest Social assessments.</v>
      </c>
      <c r="D145" s="19"/>
      <c r="E145" s="15" t="s">
        <v>183</v>
      </c>
      <c r="F145" s="3"/>
      <c r="G145" s="3" t="str">
        <f>IFERROR(VLOOKUP(F145,tblManoeuvre[],2,FALSE)&amp;" "&amp;VLOOKUP(F145,tblManoeuvre[],3,FALSE),"")</f>
        <v/>
      </c>
      <c r="H145" s="67" t="str">
        <f>IFERROR(IF(VLOOKUP(F145,tblManoeuvre[],8,FALSE)=0,"None",VLOOKUP(F145,tblManoeuvre[],8,FALSE)),"None")</f>
        <v>None</v>
      </c>
      <c r="I145" s="67"/>
      <c r="L145" s="4"/>
      <c r="M145" s="4"/>
      <c r="N145" s="4"/>
      <c r="O145" s="61">
        <f t="shared" si="24"/>
        <v>0</v>
      </c>
      <c r="P145" s="60">
        <f t="shared" si="25"/>
        <v>0</v>
      </c>
      <c r="Q145" s="61" t="str">
        <f>_xlfn.IFNA(VLOOKUP($F145,tblInfluence[],3,FALSE),"")</f>
        <v/>
      </c>
      <c r="R145" s="61" t="str">
        <f>_xlfn.IFNA(VLOOKUP($F145,tblInfluence[],4,FALSE),"")</f>
        <v/>
      </c>
      <c r="Y145" s="15" t="s">
        <v>187</v>
      </c>
      <c r="Z145" s="19"/>
      <c r="AA145" s="61" t="str">
        <f t="shared" si="22"/>
        <v/>
      </c>
      <c r="AC145" s="60"/>
      <c r="AD145" s="20"/>
      <c r="AE145" s="20" t="str">
        <f t="shared" si="23"/>
        <v/>
      </c>
      <c r="AF145" s="61" t="str" cm="1">
        <f t="array" ref="AF145">IF(AC145="","",SUMPRODUCT(($F$138:$F$157=AC145)*($G$138:$G$157=IF(AD145="","",AD145))*$P$138:$P$157))</f>
        <v/>
      </c>
    </row>
    <row r="146" spans="1:32">
      <c r="A146" s="1" t="s">
        <v>145</v>
      </c>
      <c r="B146" t="str">
        <f t="shared" si="26"/>
        <v>+2 to contest or resist supernatural mental influence.</v>
      </c>
      <c r="D146" s="19"/>
      <c r="E146" s="15" t="s">
        <v>184</v>
      </c>
      <c r="F146" s="3"/>
      <c r="G146" s="3" t="str">
        <f>IFERROR(VLOOKUP(F146,tblManoeuvre[],2,FALSE)&amp;" "&amp;VLOOKUP(F146,tblManoeuvre[],3,FALSE),"")</f>
        <v/>
      </c>
      <c r="H146" s="67" t="str">
        <f>IFERROR(IF(VLOOKUP(F146,tblManoeuvre[],8,FALSE)=0,"None",VLOOKUP(F146,tblManoeuvre[],8,FALSE)),"None")</f>
        <v>None</v>
      </c>
      <c r="I146" s="67"/>
      <c r="L146" s="4"/>
      <c r="M146" s="4"/>
      <c r="N146" s="4"/>
      <c r="O146" s="61">
        <f t="shared" si="24"/>
        <v>0</v>
      </c>
      <c r="P146" s="60">
        <f t="shared" si="25"/>
        <v>0</v>
      </c>
      <c r="Q146" s="61" t="str">
        <f>_xlfn.IFNA(VLOOKUP($F146,tblInfluence[],3,FALSE),"")</f>
        <v/>
      </c>
      <c r="R146" s="61" t="str">
        <f>_xlfn.IFNA(VLOOKUP($F146,tblInfluence[],4,FALSE),"")</f>
        <v/>
      </c>
      <c r="Y146" s="15" t="s">
        <v>188</v>
      </c>
      <c r="Z146" s="19"/>
      <c r="AA146" s="61" t="str">
        <f t="shared" si="22"/>
        <v/>
      </c>
      <c r="AC146" s="60"/>
      <c r="AD146" s="20"/>
      <c r="AE146" s="20" t="str">
        <f t="shared" si="23"/>
        <v/>
      </c>
      <c r="AF146" s="61" t="str" cm="1">
        <f t="array" ref="AF146">IF(AC146="","",SUMPRODUCT(($F$138:$F$157=AC146)*($G$138:$G$157=IF(AD146="","",AD146))*$P$138:$P$157))</f>
        <v/>
      </c>
    </row>
    <row r="147" spans="1:32">
      <c r="A147" s="1" t="s">
        <v>146</v>
      </c>
      <c r="B147" t="str">
        <f t="shared" si="26"/>
        <v>Roll Presence + Expression to confer the Inspired Condition.</v>
      </c>
      <c r="D147" s="19"/>
      <c r="E147" s="15" t="s">
        <v>185</v>
      </c>
      <c r="F147" s="3"/>
      <c r="G147" s="3" t="str">
        <f>IFERROR(VLOOKUP(F147,tblManoeuvre[],2,FALSE)&amp;" "&amp;VLOOKUP(F147,tblManoeuvre[],3,FALSE),"")</f>
        <v/>
      </c>
      <c r="H147" s="67" t="str">
        <f>IFERROR(IF(VLOOKUP(F147,tblManoeuvre[],8,FALSE)=0,"None",VLOOKUP(F147,tblManoeuvre[],8,FALSE)),"None")</f>
        <v>None</v>
      </c>
      <c r="I147" s="67"/>
      <c r="L147" s="4"/>
      <c r="M147" s="4"/>
      <c r="N147" s="4"/>
      <c r="O147" s="61">
        <f t="shared" si="24"/>
        <v>0</v>
      </c>
      <c r="P147" s="60">
        <f t="shared" si="25"/>
        <v>0</v>
      </c>
      <c r="Q147" s="61" t="str">
        <f>_xlfn.IFNA(VLOOKUP($F147,tblInfluence[],3,FALSE),"")</f>
        <v/>
      </c>
      <c r="R147" s="61" t="str">
        <f>_xlfn.IFNA(VLOOKUP($F147,tblInfluence[],4,FALSE),"")</f>
        <v/>
      </c>
      <c r="Y147" s="15" t="s">
        <v>189</v>
      </c>
      <c r="Z147" s="19"/>
      <c r="AA147" s="61" t="str">
        <f t="shared" si="22"/>
        <v/>
      </c>
      <c r="AC147" s="60"/>
      <c r="AD147" s="20"/>
      <c r="AE147" s="20" t="str">
        <f t="shared" si="23"/>
        <v/>
      </c>
      <c r="AF147" s="61" t="str" cm="1">
        <f t="array" ref="AF147">IF(AC147="","",SUMPRODUCT(($F$138:$F$157=AC147)*($G$138:$G$157=IF(AD147="","",AD147))*$P$138:$P$157))</f>
        <v/>
      </c>
    </row>
    <row r="148" spans="1:32">
      <c r="A148" s="1" t="s">
        <v>147</v>
      </c>
      <c r="B148" t="str">
        <f t="shared" si="26"/>
        <v>Add dots to extended rolls for a chosen Skill's subject matter.</v>
      </c>
      <c r="D148" s="19"/>
      <c r="E148" s="15" t="s">
        <v>186</v>
      </c>
      <c r="F148" s="3"/>
      <c r="G148" s="3" t="str">
        <f>IFERROR(VLOOKUP(F148,tblManoeuvre[],2,FALSE)&amp;" "&amp;VLOOKUP(F148,tblManoeuvre[],3,FALSE),"")</f>
        <v/>
      </c>
      <c r="H148" s="67" t="str">
        <f>IFERROR(IF(VLOOKUP(F148,tblManoeuvre[],8,FALSE)=0,"None",VLOOKUP(F148,tblManoeuvre[],8,FALSE)),"None")</f>
        <v>None</v>
      </c>
      <c r="I148" s="67"/>
      <c r="L148" s="4"/>
      <c r="M148" s="4"/>
      <c r="N148" s="4"/>
      <c r="O148" s="61">
        <f t="shared" si="24"/>
        <v>0</v>
      </c>
      <c r="P148" s="60">
        <f t="shared" si="25"/>
        <v>0</v>
      </c>
      <c r="Q148" s="61" t="str">
        <f>_xlfn.IFNA(VLOOKUP($F148,tblInfluence[],3,FALSE),"")</f>
        <v/>
      </c>
      <c r="R148" s="61" t="str">
        <f>_xlfn.IFNA(VLOOKUP($F148,tblInfluence[],4,FALSE),"")</f>
        <v/>
      </c>
      <c r="Y148" s="15" t="s">
        <v>190</v>
      </c>
      <c r="Z148" s="19"/>
      <c r="AA148" s="61" t="str">
        <f t="shared" si="22"/>
        <v/>
      </c>
      <c r="AC148" s="60"/>
      <c r="AD148" s="20"/>
      <c r="AE148" s="20" t="str">
        <f t="shared" si="23"/>
        <v/>
      </c>
      <c r="AF148" s="61" t="str" cm="1">
        <f t="array" ref="AF148">IF(AC148="","",SUMPRODUCT(($F$138:$F$157=AC148)*($G$138:$G$157=IF(AD148="","",AD148))*$P$138:$P$157))</f>
        <v/>
      </c>
    </row>
    <row r="149" spans="1:32">
      <c r="A149" s="1" t="s">
        <v>148</v>
      </c>
      <c r="B149" t="str">
        <f t="shared" si="26"/>
        <v>Distribute Library dots among bonus Retainer and Herd.</v>
      </c>
      <c r="D149" s="19"/>
      <c r="E149" s="15" t="s">
        <v>187</v>
      </c>
      <c r="F149" s="3"/>
      <c r="G149" s="3" t="str">
        <f>IFERROR(VLOOKUP(F149,tblManoeuvre[],2,FALSE)&amp;" "&amp;VLOOKUP(F149,tblManoeuvre[],3,FALSE),"")</f>
        <v/>
      </c>
      <c r="H149" s="67" t="str">
        <f>IFERROR(IF(VLOOKUP(F149,tblManoeuvre[],8,FALSE)=0,"None",VLOOKUP(F149,tblManoeuvre[],8,FALSE)),"None")</f>
        <v>None</v>
      </c>
      <c r="I149" s="67"/>
      <c r="L149" s="4"/>
      <c r="M149" s="4"/>
      <c r="N149" s="4"/>
      <c r="O149" s="61">
        <f t="shared" si="24"/>
        <v>0</v>
      </c>
      <c r="P149" s="60">
        <f t="shared" si="25"/>
        <v>0</v>
      </c>
      <c r="Q149" s="61" t="str">
        <f>_xlfn.IFNA(VLOOKUP($F149,tblInfluence[],3,FALSE),"")</f>
        <v/>
      </c>
      <c r="R149" s="61" t="str">
        <f>_xlfn.IFNA(VLOOKUP($F149,tblInfluence[],4,FALSE),"")</f>
        <v/>
      </c>
      <c r="Y149" s="15" t="s">
        <v>191</v>
      </c>
      <c r="Z149" s="19"/>
      <c r="AA149" s="61" t="str">
        <f t="shared" si="22"/>
        <v/>
      </c>
      <c r="AC149" s="60"/>
      <c r="AD149" s="20"/>
      <c r="AE149" s="20" t="str">
        <f t="shared" si="23"/>
        <v/>
      </c>
      <c r="AF149" s="61" t="str" cm="1">
        <f t="array" ref="AF149">IF(AC149="","",SUMPRODUCT(($F$138:$F$157=AC149)*($G$138:$G$157=IF(AD149="","",AD149))*$P$138:$P$157))</f>
        <v/>
      </c>
    </row>
    <row r="150" spans="1:32">
      <c r="A150" s="1" t="s">
        <v>149</v>
      </c>
      <c r="B150" t="str">
        <f t="shared" si="26"/>
        <v>Add dots to Social rolls benefiting from appearance, and to rolls to notice/remember you.</v>
      </c>
      <c r="D150" s="19"/>
      <c r="E150" s="15" t="s">
        <v>188</v>
      </c>
      <c r="F150" s="3"/>
      <c r="G150" s="3" t="str">
        <f>IFERROR(VLOOKUP(F150,tblManoeuvre[],2,FALSE)&amp;" "&amp;VLOOKUP(F150,tblManoeuvre[],3,FALSE),"")</f>
        <v/>
      </c>
      <c r="H150" s="67" t="str">
        <f>IFERROR(IF(VLOOKUP(F150,tblManoeuvre[],8,FALSE)=0,"None",VLOOKUP(F150,tblManoeuvre[],8,FALSE)),"None")</f>
        <v>None</v>
      </c>
      <c r="I150" s="67"/>
      <c r="L150" s="4"/>
      <c r="M150" s="4"/>
      <c r="N150" s="4"/>
      <c r="O150" s="61">
        <f t="shared" si="24"/>
        <v>0</v>
      </c>
      <c r="P150" s="60">
        <f t="shared" si="25"/>
        <v>0</v>
      </c>
      <c r="Q150" s="61" t="str">
        <f>_xlfn.IFNA(VLOOKUP($F150,tblInfluence[],3,FALSE),"")</f>
        <v/>
      </c>
      <c r="R150" s="61" t="str">
        <f>_xlfn.IFNA(VLOOKUP($F150,tblInfluence[],4,FALSE),"")</f>
        <v/>
      </c>
      <c r="Y150" s="15" t="s">
        <v>192</v>
      </c>
      <c r="Z150" s="19"/>
      <c r="AA150" s="61" t="str">
        <f t="shared" si="22"/>
        <v/>
      </c>
      <c r="AC150" s="60"/>
      <c r="AD150" s="20"/>
      <c r="AE150" s="20" t="str">
        <f t="shared" si="23"/>
        <v/>
      </c>
      <c r="AF150" s="61" t="str" cm="1">
        <f t="array" ref="AF150">IF(AC150="","",SUMPRODUCT(($F$138:$F$157=AC150)*($G$138:$G$157=IF(AD150="","",AD150))*$P$138:$P$157))</f>
        <v/>
      </c>
    </row>
    <row r="151" spans="1:32">
      <c r="A151" s="1" t="s">
        <v>150</v>
      </c>
      <c r="B151" t="str">
        <f t="shared" si="26"/>
        <v>¬</v>
      </c>
      <c r="D151" s="19"/>
      <c r="E151" s="15" t="s">
        <v>189</v>
      </c>
      <c r="F151" s="3"/>
      <c r="G151" s="3" t="str">
        <f>IFERROR(VLOOKUP(F151,tblManoeuvre[],2,FALSE)&amp;" "&amp;VLOOKUP(F151,tblManoeuvre[],3,FALSE),"")</f>
        <v/>
      </c>
      <c r="H151" s="67" t="str">
        <f>IFERROR(IF(VLOOKUP(F151,tblManoeuvre[],8,FALSE)=0,"None",VLOOKUP(F151,tblManoeuvre[],8,FALSE)),"None")</f>
        <v>None</v>
      </c>
      <c r="I151" s="67"/>
      <c r="L151" s="4"/>
      <c r="M151" s="4"/>
      <c r="N151" s="4"/>
      <c r="O151" s="61">
        <f t="shared" si="24"/>
        <v>0</v>
      </c>
      <c r="P151" s="60">
        <f t="shared" si="25"/>
        <v>0</v>
      </c>
      <c r="Q151" s="61" t="str">
        <f>_xlfn.IFNA(VLOOKUP($F151,tblInfluence[],3,FALSE),"")</f>
        <v/>
      </c>
      <c r="R151" s="61" t="str">
        <f>_xlfn.IFNA(VLOOKUP($F151,tblInfluence[],4,FALSE),"")</f>
        <v/>
      </c>
      <c r="Y151" s="15" t="s">
        <v>193</v>
      </c>
      <c r="Z151" s="19"/>
      <c r="AA151" s="61" t="str">
        <f t="shared" si="22"/>
        <v/>
      </c>
      <c r="AC151" s="60"/>
      <c r="AD151" s="20"/>
      <c r="AE151" s="20" t="str">
        <f t="shared" si="23"/>
        <v/>
      </c>
      <c r="AF151" s="61" t="str" cm="1">
        <f t="array" ref="AF151">IF(AC151="","",SUMPRODUCT(($F$138:$F$157=AC151)*($G$138:$G$157=IF(AD151="","",AD151))*$P$138:$P$157))</f>
        <v/>
      </c>
    </row>
    <row r="152" spans="1:32">
      <c r="A152" s="1" t="s">
        <v>151</v>
      </c>
      <c r="B152" t="str">
        <f t="shared" si="26"/>
        <v>¬</v>
      </c>
      <c r="D152" s="19"/>
      <c r="E152" s="15" t="s">
        <v>190</v>
      </c>
      <c r="F152" s="3"/>
      <c r="G152" s="3" t="str">
        <f>IFERROR(VLOOKUP(F152,tblManoeuvre[],2,FALSE)&amp;" "&amp;VLOOKUP(F152,tblManoeuvre[],3,FALSE),"")</f>
        <v/>
      </c>
      <c r="H152" s="67" t="str">
        <f>IFERROR(IF(VLOOKUP(F152,tblManoeuvre[],8,FALSE)=0,"None",VLOOKUP(F152,tblManoeuvre[],8,FALSE)),"None")</f>
        <v>None</v>
      </c>
      <c r="I152" s="67"/>
      <c r="L152" s="4"/>
      <c r="M152" s="4"/>
      <c r="N152" s="4"/>
      <c r="O152" s="61">
        <f t="shared" si="24"/>
        <v>0</v>
      </c>
      <c r="P152" s="60">
        <f t="shared" si="25"/>
        <v>0</v>
      </c>
      <c r="Q152" s="61" t="str">
        <f>_xlfn.IFNA(VLOOKUP($F152,tblInfluence[],3,FALSE),"")</f>
        <v/>
      </c>
      <c r="R152" s="61" t="str">
        <f>_xlfn.IFNA(VLOOKUP($F152,tblInfluence[],4,FALSE),"")</f>
        <v/>
      </c>
      <c r="Y152" s="15" t="s">
        <v>194</v>
      </c>
      <c r="Z152" s="19"/>
      <c r="AA152" s="61" t="str">
        <f t="shared" si="22"/>
        <v/>
      </c>
      <c r="AC152" s="60"/>
      <c r="AD152" s="20"/>
      <c r="AE152" s="20" t="str">
        <f t="shared" si="23"/>
        <v/>
      </c>
      <c r="AF152" s="61" t="str" cm="1">
        <f t="array" ref="AF152">IF(AC152="","",SUMPRODUCT(($F$138:$F$157=AC152)*($G$138:$G$157=IF(AD152="","",AD152))*$P$138:$P$157))</f>
        <v/>
      </c>
    </row>
    <row r="153" spans="1:32">
      <c r="A153" s="1" t="s">
        <v>152</v>
      </c>
      <c r="B153" t="str">
        <f t="shared" si="26"/>
        <v>¬</v>
      </c>
      <c r="D153" s="19"/>
      <c r="E153" s="15" t="s">
        <v>191</v>
      </c>
      <c r="F153" s="3"/>
      <c r="G153" s="3" t="str">
        <f>IFERROR(VLOOKUP(F153,tblManoeuvre[],2,FALSE)&amp;" "&amp;VLOOKUP(F153,tblManoeuvre[],3,FALSE),"")</f>
        <v/>
      </c>
      <c r="H153" s="67" t="str">
        <f>IFERROR(IF(VLOOKUP(F153,tblManoeuvre[],8,FALSE)=0,"None",VLOOKUP(F153,tblManoeuvre[],8,FALSE)),"None")</f>
        <v>None</v>
      </c>
      <c r="I153" s="67"/>
      <c r="L153" s="4"/>
      <c r="M153" s="4"/>
      <c r="N153" s="4"/>
      <c r="O153" s="61">
        <f t="shared" si="24"/>
        <v>0</v>
      </c>
      <c r="P153" s="60">
        <f t="shared" si="25"/>
        <v>0</v>
      </c>
      <c r="Q153" s="61" t="str">
        <f>_xlfn.IFNA(VLOOKUP($F153,tblInfluence[],3,FALSE),"")</f>
        <v/>
      </c>
      <c r="R153" s="61" t="str">
        <f>_xlfn.IFNA(VLOOKUP($F153,tblInfluence[],4,FALSE),"")</f>
        <v/>
      </c>
      <c r="Y153" s="15" t="s">
        <v>195</v>
      </c>
      <c r="Z153" s="19"/>
      <c r="AA153" s="61" t="str">
        <f t="shared" si="22"/>
        <v/>
      </c>
      <c r="AC153" s="60"/>
      <c r="AD153" s="20"/>
      <c r="AE153" s="20" t="str">
        <f t="shared" si="23"/>
        <v/>
      </c>
      <c r="AF153" s="61" t="str" cm="1">
        <f t="array" ref="AF153">IF(AC153="","",SUMPRODUCT(($F$138:$F$157=AC153)*($G$138:$G$157=IF(AD153="","",AD153))*$P$138:$P$157))</f>
        <v/>
      </c>
    </row>
    <row r="154" spans="1:32">
      <c r="A154" s="1" t="s">
        <v>153</v>
      </c>
      <c r="B154" t="str">
        <f t="shared" si="26"/>
        <v>¬</v>
      </c>
      <c r="D154" s="19"/>
      <c r="E154" s="15" t="s">
        <v>192</v>
      </c>
      <c r="F154" s="3"/>
      <c r="G154" s="3" t="str">
        <f>IFERROR(VLOOKUP(F154,tblManoeuvre[],2,FALSE)&amp;" "&amp;VLOOKUP(F154,tblManoeuvre[],3,FALSE),"")</f>
        <v/>
      </c>
      <c r="H154" s="67" t="str">
        <f>IFERROR(IF(VLOOKUP(F154,tblManoeuvre[],8,FALSE)=0,"None",VLOOKUP(F154,tblManoeuvre[],8,FALSE)),"None")</f>
        <v>None</v>
      </c>
      <c r="I154" s="67"/>
      <c r="L154" s="4"/>
      <c r="M154" s="4"/>
      <c r="N154" s="4"/>
      <c r="O154" s="61">
        <f t="shared" si="24"/>
        <v>0</v>
      </c>
      <c r="P154" s="60">
        <f t="shared" si="25"/>
        <v>0</v>
      </c>
      <c r="Q154" s="61" t="str">
        <f>_xlfn.IFNA(VLOOKUP($F154,tblInfluence[],3,FALSE),"")</f>
        <v/>
      </c>
      <c r="R154" s="61" t="str">
        <f>_xlfn.IFNA(VLOOKUP($F154,tblInfluence[],4,FALSE),"")</f>
        <v/>
      </c>
    </row>
    <row r="155" spans="1:32">
      <c r="A155" s="1" t="s">
        <v>154</v>
      </c>
      <c r="B155" t="str">
        <f t="shared" si="26"/>
        <v>¬</v>
      </c>
      <c r="D155" s="19"/>
      <c r="E155" s="15" t="s">
        <v>193</v>
      </c>
      <c r="F155" s="3"/>
      <c r="G155" s="3" t="str">
        <f>IFERROR(VLOOKUP(F155,tblManoeuvre[],2,FALSE)&amp;" "&amp;VLOOKUP(F155,tblManoeuvre[],3,FALSE),"")</f>
        <v/>
      </c>
      <c r="H155" s="67" t="str">
        <f>IFERROR(IF(VLOOKUP(F155,tblManoeuvre[],8,FALSE)=0,"None",VLOOKUP(F155,tblManoeuvre[],8,FALSE)),"None")</f>
        <v>None</v>
      </c>
      <c r="I155" s="67"/>
      <c r="L155" s="4"/>
      <c r="M155" s="4"/>
      <c r="N155" s="4"/>
      <c r="O155" s="61">
        <f t="shared" si="24"/>
        <v>0</v>
      </c>
      <c r="P155" s="60">
        <f t="shared" si="25"/>
        <v>0</v>
      </c>
      <c r="Q155" s="61" t="str">
        <f>_xlfn.IFNA(VLOOKUP($F155,tblInfluence[],3,FALSE),"")</f>
        <v/>
      </c>
      <c r="R155" s="61" t="str">
        <f>_xlfn.IFNA(VLOOKUP($F155,tblInfluence[],4,FALSE),"")</f>
        <v/>
      </c>
      <c r="AE155" s="61">
        <f>IF(P160=5,1,0)</f>
        <v>1</v>
      </c>
    </row>
    <row r="156" spans="1:32">
      <c r="A156" s="1" t="s">
        <v>155</v>
      </c>
      <c r="B156" t="str">
        <f t="shared" si="26"/>
        <v>¬</v>
      </c>
      <c r="D156" s="19"/>
      <c r="E156" s="15" t="s">
        <v>194</v>
      </c>
      <c r="F156" s="3"/>
      <c r="G156" s="3" t="str">
        <f>IFERROR(VLOOKUP(F156,tblManoeuvre[],2,FALSE)&amp;" "&amp;VLOOKUP(F156,tblManoeuvre[],3,FALSE),"")</f>
        <v/>
      </c>
      <c r="H156" s="67" t="str">
        <f>IFERROR(IF(VLOOKUP(F156,tblManoeuvre[],8,FALSE)=0,"None",VLOOKUP(F156,tblManoeuvre[],8,FALSE)),"None")</f>
        <v>None</v>
      </c>
      <c r="I156" s="67"/>
      <c r="L156" s="4"/>
      <c r="M156" s="4"/>
      <c r="N156" s="4"/>
      <c r="O156" s="61">
        <f t="shared" si="24"/>
        <v>0</v>
      </c>
      <c r="P156" s="60">
        <f t="shared" si="25"/>
        <v>0</v>
      </c>
      <c r="Q156" s="61" t="str">
        <f>_xlfn.IFNA(VLOOKUP($F156,tblInfluence[],3,FALSE),"")</f>
        <v/>
      </c>
      <c r="R156" s="61" t="str">
        <f>_xlfn.IFNA(VLOOKUP($F156,tblInfluence[],4,FALSE),"")</f>
        <v/>
      </c>
      <c r="AE156" s="61" t="b">
        <f>COUNTIF(AA2:AA21,"*Honey With Vinegar*")&gt;0</f>
        <v>0</v>
      </c>
    </row>
    <row r="157" spans="1:32">
      <c r="A157" s="1" t="s">
        <v>156</v>
      </c>
      <c r="B157" t="str">
        <f t="shared" si="26"/>
        <v>¬</v>
      </c>
      <c r="D157" s="19"/>
      <c r="E157" s="15" t="s">
        <v>195</v>
      </c>
      <c r="F157" s="3"/>
      <c r="G157" s="3" t="str">
        <f>IFERROR(VLOOKUP(F157,tblManoeuvre[],2,FALSE)&amp;" "&amp;VLOOKUP(F157,tblManoeuvre[],3,FALSE),"")</f>
        <v/>
      </c>
      <c r="H157" s="67" t="str">
        <f>IFERROR(IF(VLOOKUP(F157,tblManoeuvre[],8,FALSE)=0,"None",VLOOKUP(F157,tblManoeuvre[],8,FALSE)),"None")</f>
        <v>None</v>
      </c>
      <c r="I157" s="67"/>
      <c r="L157" s="4"/>
      <c r="M157" s="4"/>
      <c r="N157" s="4"/>
      <c r="O157" s="61">
        <f t="shared" si="24"/>
        <v>0</v>
      </c>
      <c r="P157" s="60">
        <f t="shared" si="25"/>
        <v>0</v>
      </c>
      <c r="Q157" s="61" t="str">
        <f>_xlfn.IFNA(VLOOKUP($F157,tblInfluence[],3,FALSE),"")</f>
        <v/>
      </c>
      <c r="R157" s="61" t="str">
        <f>_xlfn.IFNA(VLOOKUP($F157,tblInfluence[],4,FALSE),"")</f>
        <v/>
      </c>
    </row>
    <row r="158" spans="1:32">
      <c r="A158" s="1" t="s">
        <v>157</v>
      </c>
      <c r="B158" t="str">
        <f t="shared" si="26"/>
        <v>¬</v>
      </c>
    </row>
    <row r="159" spans="1:32">
      <c r="A159" s="1" t="s">
        <v>158</v>
      </c>
      <c r="B159" t="str">
        <f t="shared" si="26"/>
        <v>¬</v>
      </c>
      <c r="D159" s="16" t="s">
        <v>1486</v>
      </c>
      <c r="E159" s="17"/>
      <c r="F159" s="17" t="s">
        <v>1487</v>
      </c>
      <c r="G159" s="17"/>
      <c r="H159" s="17"/>
      <c r="I159" s="17"/>
    </row>
    <row r="160" spans="1:32">
      <c r="A160" s="1" t="s">
        <v>159</v>
      </c>
      <c r="B160" t="str">
        <f t="shared" si="26"/>
        <v>¬</v>
      </c>
      <c r="D160" s="19"/>
      <c r="E160" s="15" t="s">
        <v>98</v>
      </c>
      <c r="F160" s="3"/>
      <c r="G160" s="60"/>
      <c r="H160" s="60"/>
      <c r="I160" s="60"/>
      <c r="L160" s="4">
        <v>5</v>
      </c>
      <c r="M160" s="4"/>
      <c r="N160" s="4"/>
      <c r="O160" s="61">
        <f>N160</f>
        <v>0</v>
      </c>
      <c r="P160" s="60">
        <f>MIN(SUM(L160,M160,O160),R160)</f>
        <v>5</v>
      </c>
      <c r="Q160" s="61">
        <v>1</v>
      </c>
      <c r="R160" s="61">
        <v>5</v>
      </c>
    </row>
    <row r="161" spans="1:18">
      <c r="A161" s="1" t="s">
        <v>160</v>
      </c>
      <c r="B161" t="str">
        <f t="shared" si="26"/>
        <v>¬</v>
      </c>
      <c r="D161" s="19"/>
      <c r="E161" s="15" t="s">
        <v>100</v>
      </c>
      <c r="F161" s="3"/>
      <c r="G161" s="60"/>
      <c r="H161" s="60"/>
      <c r="I161" s="60"/>
      <c r="L161" s="4"/>
      <c r="M161" s="4"/>
      <c r="N161" s="4"/>
      <c r="O161" s="61">
        <f>N161</f>
        <v>0</v>
      </c>
      <c r="P161" s="60">
        <f>MIN(SUM(L161,M161,O161),R161)</f>
        <v>0</v>
      </c>
      <c r="Q161" s="61">
        <v>1</v>
      </c>
      <c r="R161" s="61">
        <v>5</v>
      </c>
    </row>
    <row r="162" spans="1:18">
      <c r="A162" s="1" t="s">
        <v>161</v>
      </c>
      <c r="B162" t="str">
        <f t="shared" si="26"/>
        <v>¬</v>
      </c>
    </row>
    <row r="163" spans="1:18" ht="15.75" thickBot="1">
      <c r="A163" s="1" t="s">
        <v>162</v>
      </c>
      <c r="B163" t="str">
        <f t="shared" si="26"/>
        <v>¬</v>
      </c>
      <c r="D163" s="14" t="s">
        <v>1488</v>
      </c>
      <c r="E163" s="14"/>
      <c r="F163" s="14"/>
      <c r="G163" s="14"/>
      <c r="H163" s="14"/>
      <c r="I163" s="14"/>
      <c r="N163" s="60">
        <f>SUM(N165:N174)+SUM(N177:N181)+SUM(N184:N185)+SUM(N187:N191)+SUM(N194:N203)</f>
        <v>10</v>
      </c>
    </row>
    <row r="164" spans="1:18">
      <c r="A164" s="1" t="s">
        <v>163</v>
      </c>
      <c r="B164" t="str">
        <f t="shared" si="26"/>
        <v>¬</v>
      </c>
      <c r="D164" s="16" t="s">
        <v>1489</v>
      </c>
      <c r="E164" s="15" t="s">
        <v>1490</v>
      </c>
      <c r="F164" s="61" t="str">
        <f>IFERROR(IF($F$8="",VLOOKUP($F$7,tblClans[],5,FALSE),VLOOKUP($F$8,tblBloodlines[],5,FALSE)),"")</f>
        <v>Celerity</v>
      </c>
      <c r="G164" s="61" t="str">
        <f>IFERROR(IF($F$8="",VLOOKUP($F$7,tblClans[],6,FALSE),VLOOKUP($F$8,tblBloodlines[],6,FALSE)),"")</f>
        <v>Majesty</v>
      </c>
      <c r="H164" s="61" t="str">
        <f>IFERROR(IF($F$8="",VLOOKUP($F$7,tblClans[],7,FALSE),VLOOKUP($F$8,tblBloodlines[],7,FALSE)),"")</f>
        <v>Vigour</v>
      </c>
      <c r="I164" s="61" t="str">
        <f>IFERROR(IF($F$8="",VLOOKUP($F$7,tblClans[],8,FALSE),VLOOKUP($F$8,tblBloodlines[],8,FALSE)),"")</f>
        <v/>
      </c>
      <c r="L164" s="60">
        <f>3-SUM(L165:L174)-SUM(L184:L185)</f>
        <v>0</v>
      </c>
    </row>
    <row r="165" spans="1:18">
      <c r="A165" s="1" t="s">
        <v>164</v>
      </c>
      <c r="B165" t="str">
        <f t="shared" si="26"/>
        <v>¬</v>
      </c>
      <c r="D165" s="19"/>
      <c r="E165" s="15" t="s">
        <v>236</v>
      </c>
      <c r="F165" s="19"/>
      <c r="G165" s="19"/>
      <c r="H165" s="19"/>
      <c r="I165" s="19"/>
      <c r="L165" s="4"/>
      <c r="N165" s="4"/>
      <c r="O165" s="61">
        <f t="shared" ref="O165:O174" si="27">ROUNDDOWN(IF(COUNTIF($F$164:$I$164,$E165)&gt;0,N165/3,N165/4),0)</f>
        <v>0</v>
      </c>
      <c r="P165" s="60">
        <f>MIN(SUM(L165,O165),R165)</f>
        <v>0</v>
      </c>
      <c r="Q165" s="61">
        <v>0</v>
      </c>
      <c r="R165" s="61">
        <v>5</v>
      </c>
    </row>
    <row r="166" spans="1:18">
      <c r="A166" s="1" t="s">
        <v>165</v>
      </c>
      <c r="B166" t="str">
        <f t="shared" si="26"/>
        <v>¬</v>
      </c>
      <c r="D166" s="19"/>
      <c r="E166" s="15" t="s">
        <v>237</v>
      </c>
      <c r="F166" s="19"/>
      <c r="G166" s="19"/>
      <c r="H166" s="19"/>
      <c r="I166" s="19"/>
      <c r="L166" s="4"/>
      <c r="N166" s="4"/>
      <c r="O166" s="61">
        <f t="shared" si="27"/>
        <v>0</v>
      </c>
      <c r="P166" s="60">
        <f t="shared" ref="P166:P174" si="28">MIN(SUM(L166,O166),R166)</f>
        <v>0</v>
      </c>
      <c r="Q166" s="61">
        <v>0</v>
      </c>
      <c r="R166" s="61">
        <v>5</v>
      </c>
    </row>
    <row r="167" spans="1:18">
      <c r="A167" s="1" t="s">
        <v>166</v>
      </c>
      <c r="B167" t="str">
        <f t="shared" si="26"/>
        <v>¬</v>
      </c>
      <c r="D167" s="19"/>
      <c r="E167" s="15" t="s">
        <v>238</v>
      </c>
      <c r="F167" s="19"/>
      <c r="G167" s="19"/>
      <c r="H167" s="19"/>
      <c r="I167" s="19"/>
      <c r="L167" s="4">
        <v>1</v>
      </c>
      <c r="N167" s="4"/>
      <c r="O167" s="61">
        <f t="shared" si="27"/>
        <v>0</v>
      </c>
      <c r="P167" s="60">
        <f t="shared" si="28"/>
        <v>1</v>
      </c>
      <c r="Q167" s="61">
        <v>0</v>
      </c>
      <c r="R167" s="61">
        <v>5</v>
      </c>
    </row>
    <row r="168" spans="1:18">
      <c r="A168" s="1" t="s">
        <v>167</v>
      </c>
      <c r="B168" t="str">
        <f t="shared" si="26"/>
        <v>¬</v>
      </c>
      <c r="D168" s="19"/>
      <c r="E168" s="15" t="s">
        <v>239</v>
      </c>
      <c r="F168" s="19"/>
      <c r="G168" s="19"/>
      <c r="H168" s="19"/>
      <c r="I168" s="19"/>
      <c r="L168" s="4"/>
      <c r="N168" s="4"/>
      <c r="O168" s="61">
        <f t="shared" si="27"/>
        <v>0</v>
      </c>
      <c r="P168" s="60">
        <f t="shared" si="28"/>
        <v>0</v>
      </c>
      <c r="Q168" s="61">
        <v>0</v>
      </c>
      <c r="R168" s="61">
        <v>5</v>
      </c>
    </row>
    <row r="169" spans="1:18">
      <c r="A169" s="1" t="s">
        <v>168</v>
      </c>
      <c r="B169" t="str">
        <f t="shared" si="26"/>
        <v>¬</v>
      </c>
      <c r="D169" s="19"/>
      <c r="E169" s="15" t="s">
        <v>240</v>
      </c>
      <c r="F169" s="19"/>
      <c r="G169" s="19"/>
      <c r="H169" s="19"/>
      <c r="I169" s="19"/>
      <c r="L169" s="4">
        <v>1</v>
      </c>
      <c r="N169" s="4">
        <v>6</v>
      </c>
      <c r="O169" s="61">
        <f t="shared" si="27"/>
        <v>2</v>
      </c>
      <c r="P169" s="60">
        <f t="shared" si="28"/>
        <v>3</v>
      </c>
      <c r="Q169" s="61">
        <v>0</v>
      </c>
      <c r="R169" s="61">
        <v>5</v>
      </c>
    </row>
    <row r="170" spans="1:18">
      <c r="A170" s="1" t="s">
        <v>169</v>
      </c>
      <c r="B170" t="str">
        <f t="shared" si="26"/>
        <v>¬</v>
      </c>
      <c r="D170" s="19"/>
      <c r="E170" s="15" t="s">
        <v>241</v>
      </c>
      <c r="F170" s="19"/>
      <c r="G170" s="19"/>
      <c r="H170" s="19"/>
      <c r="I170" s="19"/>
      <c r="L170" s="4"/>
      <c r="N170" s="4"/>
      <c r="O170" s="61">
        <f t="shared" si="27"/>
        <v>0</v>
      </c>
      <c r="P170" s="60">
        <f t="shared" si="28"/>
        <v>0</v>
      </c>
      <c r="Q170" s="61">
        <v>0</v>
      </c>
      <c r="R170" s="61">
        <v>5</v>
      </c>
    </row>
    <row r="171" spans="1:18">
      <c r="A171" s="1" t="s">
        <v>170</v>
      </c>
      <c r="B171" t="str">
        <f t="shared" si="26"/>
        <v>¬</v>
      </c>
      <c r="D171" s="19"/>
      <c r="E171" s="15" t="s">
        <v>242</v>
      </c>
      <c r="F171" s="19"/>
      <c r="G171" s="19"/>
      <c r="H171" s="19"/>
      <c r="I171" s="19"/>
      <c r="L171" s="4"/>
      <c r="N171" s="4"/>
      <c r="O171" s="61">
        <f t="shared" si="27"/>
        <v>0</v>
      </c>
      <c r="P171" s="60">
        <f t="shared" si="28"/>
        <v>0</v>
      </c>
      <c r="Q171" s="61">
        <v>0</v>
      </c>
      <c r="R171" s="61">
        <v>5</v>
      </c>
    </row>
    <row r="172" spans="1:18">
      <c r="A172" s="1" t="s">
        <v>171</v>
      </c>
      <c r="B172" t="str">
        <f t="shared" si="26"/>
        <v>¬</v>
      </c>
      <c r="D172" s="19"/>
      <c r="E172" s="15" t="s">
        <v>243</v>
      </c>
      <c r="F172" s="19"/>
      <c r="G172" s="19"/>
      <c r="H172" s="19"/>
      <c r="I172" s="19"/>
      <c r="L172" s="4"/>
      <c r="N172" s="4"/>
      <c r="O172" s="61">
        <f t="shared" si="27"/>
        <v>0</v>
      </c>
      <c r="P172" s="60">
        <f t="shared" si="28"/>
        <v>0</v>
      </c>
      <c r="Q172" s="61">
        <v>0</v>
      </c>
      <c r="R172" s="61">
        <v>5</v>
      </c>
    </row>
    <row r="173" spans="1:18">
      <c r="A173" s="1" t="s">
        <v>172</v>
      </c>
      <c r="B173" t="str">
        <f t="shared" si="26"/>
        <v>¬</v>
      </c>
      <c r="D173" s="19"/>
      <c r="E173" s="15" t="s">
        <v>244</v>
      </c>
      <c r="F173" s="19"/>
      <c r="G173" s="19"/>
      <c r="H173" s="19"/>
      <c r="I173" s="19"/>
      <c r="L173" s="4"/>
      <c r="N173" s="4"/>
      <c r="O173" s="61">
        <f t="shared" si="27"/>
        <v>0</v>
      </c>
      <c r="P173" s="60">
        <f t="shared" si="28"/>
        <v>0</v>
      </c>
      <c r="Q173" s="61">
        <v>0</v>
      </c>
      <c r="R173" s="61">
        <v>5</v>
      </c>
    </row>
    <row r="174" spans="1:18">
      <c r="A174" s="1" t="s">
        <v>173</v>
      </c>
      <c r="B174" t="str">
        <f t="shared" si="26"/>
        <v>¬</v>
      </c>
      <c r="D174" s="19"/>
      <c r="E174" s="15" t="s">
        <v>245</v>
      </c>
      <c r="F174" s="19"/>
      <c r="G174" s="19"/>
      <c r="H174" s="19"/>
      <c r="I174" s="19"/>
      <c r="L174" s="4"/>
      <c r="N174" s="4"/>
      <c r="O174" s="61">
        <f t="shared" si="27"/>
        <v>0</v>
      </c>
      <c r="P174" s="60">
        <f t="shared" si="28"/>
        <v>0</v>
      </c>
      <c r="Q174" s="61">
        <v>0</v>
      </c>
      <c r="R174" s="61">
        <v>5</v>
      </c>
    </row>
    <row r="175" spans="1:18">
      <c r="A175" s="1" t="s">
        <v>174</v>
      </c>
      <c r="B175" t="str">
        <f>_xlfn.CONCAT(I137-H137," / ",I137)</f>
        <v>5 / 5</v>
      </c>
    </row>
    <row r="176" spans="1:18">
      <c r="A176" s="1" t="s">
        <v>175</v>
      </c>
      <c r="B176" t="str">
        <f>REPT("□",I137-H137) &amp; REPT("■",H137)</f>
        <v>□□□□□</v>
      </c>
      <c r="D176" s="16" t="s">
        <v>1491</v>
      </c>
      <c r="E176" s="16"/>
      <c r="F176" s="16"/>
      <c r="G176" s="16"/>
      <c r="H176" s="16"/>
      <c r="I176" s="16"/>
    </row>
    <row r="177" spans="1:18">
      <c r="A177" s="1" t="s">
        <v>176</v>
      </c>
      <c r="B177" t="str">
        <f t="shared" ref="B177:B196" si="29">IF(AC134="","¬",AC134)</f>
        <v>Allies</v>
      </c>
      <c r="D177" s="19"/>
      <c r="E177" s="15" t="s">
        <v>1492</v>
      </c>
      <c r="F177" s="3"/>
      <c r="G177" s="19"/>
      <c r="H177" s="72" t="str">
        <f>IFERROR(IF(VLOOKUP(F177,tblDisciplines[],14,FALSE)=0,"None",VLOOKUP(F177,tblDisciplines[],14,FALSE)),"None")</f>
        <v>None</v>
      </c>
      <c r="I177" s="73"/>
      <c r="N177" s="4"/>
      <c r="O177" s="61">
        <f>N177</f>
        <v>0</v>
      </c>
      <c r="P177" s="60" t="str">
        <f>IF(O177=R177,O177,"")</f>
        <v/>
      </c>
      <c r="R177" s="61" t="str">
        <f>_xlfn.IFNA(VLOOKUP(F177,tblDisciplines[],15,FALSE),"")</f>
        <v/>
      </c>
    </row>
    <row r="178" spans="1:18">
      <c r="A178" s="1" t="s">
        <v>177</v>
      </c>
      <c r="B178" t="str">
        <f t="shared" si="29"/>
        <v>¬</v>
      </c>
      <c r="D178" s="19"/>
      <c r="E178" s="15" t="s">
        <v>1493</v>
      </c>
      <c r="F178" s="3"/>
      <c r="G178" s="19"/>
      <c r="H178" s="72" t="str">
        <f>IFERROR(IF(VLOOKUP(F178,tblDisciplines[],14,FALSE)=0,"None",VLOOKUP(F178,tblDisciplines[],14,FALSE)),"None")</f>
        <v>None</v>
      </c>
      <c r="I178" s="73"/>
      <c r="N178" s="4"/>
      <c r="O178" s="61">
        <f>N178</f>
        <v>0</v>
      </c>
      <c r="P178" s="60" t="str">
        <f>IF(O178=R178,O178,"")</f>
        <v/>
      </c>
      <c r="R178" s="61" t="str">
        <f>_xlfn.IFNA(VLOOKUP(F178,tblDisciplines[],15,FALSE),"")</f>
        <v/>
      </c>
    </row>
    <row r="179" spans="1:18">
      <c r="A179" s="1" t="s">
        <v>178</v>
      </c>
      <c r="B179" t="str">
        <f t="shared" si="29"/>
        <v>¬</v>
      </c>
      <c r="D179" s="19"/>
      <c r="E179" s="15" t="s">
        <v>1494</v>
      </c>
      <c r="F179" s="3"/>
      <c r="G179" s="19"/>
      <c r="H179" s="72" t="str">
        <f>IFERROR(IF(VLOOKUP(F179,tblDisciplines[],14,FALSE)=0,"None",VLOOKUP(F179,tblDisciplines[],14,FALSE)),"None")</f>
        <v>None</v>
      </c>
      <c r="I179" s="73"/>
      <c r="N179" s="4"/>
      <c r="O179" s="61">
        <f>N179</f>
        <v>0</v>
      </c>
      <c r="P179" s="60" t="str">
        <f>IF(O179=R179,O179,"")</f>
        <v/>
      </c>
      <c r="R179" s="61" t="str">
        <f>_xlfn.IFNA(VLOOKUP(F179,tblDisciplines[],15,FALSE),"")</f>
        <v/>
      </c>
    </row>
    <row r="180" spans="1:18">
      <c r="A180" s="1" t="s">
        <v>179</v>
      </c>
      <c r="B180" t="str">
        <f t="shared" si="29"/>
        <v>¬</v>
      </c>
      <c r="D180" s="19"/>
      <c r="E180" s="15" t="s">
        <v>1495</v>
      </c>
      <c r="F180" s="3"/>
      <c r="G180" s="19"/>
      <c r="H180" s="72" t="str">
        <f>IFERROR(IF(VLOOKUP(F180,tblDisciplines[],14,FALSE)=0,"None",VLOOKUP(F180,tblDisciplines[],14,FALSE)),"None")</f>
        <v>None</v>
      </c>
      <c r="I180" s="73"/>
      <c r="N180" s="4"/>
      <c r="O180" s="61">
        <f>N180</f>
        <v>0</v>
      </c>
      <c r="P180" s="60" t="str">
        <f>IF(O180=R180,O180,"")</f>
        <v/>
      </c>
      <c r="R180" s="61" t="str">
        <f>_xlfn.IFNA(VLOOKUP(F180,tblDisciplines[],15,FALSE),"")</f>
        <v/>
      </c>
    </row>
    <row r="181" spans="1:18">
      <c r="A181" s="1" t="s">
        <v>180</v>
      </c>
      <c r="B181" t="str">
        <f t="shared" si="29"/>
        <v>¬</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29"/>
        <v>¬</v>
      </c>
    </row>
    <row r="183" spans="1:18">
      <c r="A183" s="1" t="s">
        <v>182</v>
      </c>
      <c r="B183" t="str">
        <f t="shared" si="29"/>
        <v>¬</v>
      </c>
      <c r="D183" s="16" t="s">
        <v>1497</v>
      </c>
      <c r="E183" s="16"/>
      <c r="F183" s="16"/>
      <c r="G183" s="16"/>
      <c r="H183" s="16"/>
      <c r="I183" s="16"/>
    </row>
    <row r="184" spans="1:18">
      <c r="A184" s="1" t="s">
        <v>183</v>
      </c>
      <c r="B184" t="str">
        <f t="shared" si="29"/>
        <v>¬</v>
      </c>
      <c r="D184" s="19"/>
      <c r="E184" s="15" t="s">
        <v>246</v>
      </c>
      <c r="F184" s="19"/>
      <c r="G184" s="19"/>
      <c r="H184" s="19"/>
      <c r="I184" s="60" t="b">
        <f>IF(OR(F$9="Circle of the Crone",COUNTIF(F$79:F$93,"Chorister")&gt;0),TRUE,FALSE)</f>
        <v>0</v>
      </c>
      <c r="L184" s="4"/>
      <c r="N184" s="4"/>
      <c r="O184" s="61">
        <f>ROUNDDOWN(N184/4,0)</f>
        <v>0</v>
      </c>
      <c r="P184" s="60">
        <f>SUM(L184,O184)</f>
        <v>0</v>
      </c>
      <c r="Q184" s="61">
        <v>0</v>
      </c>
      <c r="R184" s="61">
        <v>5</v>
      </c>
    </row>
    <row r="185" spans="1:18">
      <c r="A185" s="1" t="s">
        <v>184</v>
      </c>
      <c r="B185" t="str">
        <f t="shared" si="29"/>
        <v>¬</v>
      </c>
      <c r="D185" s="19"/>
      <c r="E185" s="15" t="s">
        <v>247</v>
      </c>
      <c r="F185" s="19"/>
      <c r="G185" s="19"/>
      <c r="H185" s="19"/>
      <c r="I185" s="60" t="b">
        <f>IF(OR(F$9="Lancea et Sanctum",COUNTIF(F$79:F$93,"Laity")&gt;0),TRUE,FALSE)</f>
        <v>1</v>
      </c>
      <c r="L185" s="4">
        <v>1</v>
      </c>
      <c r="N185" s="4">
        <v>4</v>
      </c>
      <c r="O185" s="61">
        <f>ROUNDDOWN(N185/4,0)</f>
        <v>1</v>
      </c>
      <c r="P185" s="60">
        <f>SUM(L185,O185)</f>
        <v>2</v>
      </c>
      <c r="Q185" s="61">
        <v>0</v>
      </c>
      <c r="R185" s="61">
        <v>5</v>
      </c>
    </row>
    <row r="186" spans="1:18">
      <c r="A186" s="1" t="s">
        <v>185</v>
      </c>
      <c r="B186" t="str">
        <f t="shared" si="29"/>
        <v>¬</v>
      </c>
      <c r="D186" s="19"/>
      <c r="E186" s="19"/>
      <c r="F186" s="19"/>
      <c r="G186" s="19"/>
      <c r="H186" s="19"/>
      <c r="I186" s="19"/>
      <c r="L186" s="60">
        <f>SUM(P184:P185)-SUM(L187:L191)</f>
        <v>2</v>
      </c>
    </row>
    <row r="187" spans="1:18">
      <c r="A187" s="1" t="s">
        <v>186</v>
      </c>
      <c r="B187" t="str">
        <f t="shared" si="29"/>
        <v>¬</v>
      </c>
      <c r="D187" s="19"/>
      <c r="E187" s="15" t="s">
        <v>248</v>
      </c>
      <c r="F187" s="19"/>
      <c r="G187" s="19"/>
      <c r="H187" s="19"/>
      <c r="I187" s="19"/>
      <c r="L187" s="4"/>
      <c r="M187" s="61">
        <f>IF(AND(I184,L184&gt;=1),1,0)</f>
        <v>0</v>
      </c>
      <c r="N187" s="4"/>
      <c r="O187" s="61">
        <f>ROUNDDOWN(N187/2,0)</f>
        <v>0</v>
      </c>
      <c r="P187" s="60">
        <f>MIN(SUM(L187,M187,O187),R187)</f>
        <v>0</v>
      </c>
      <c r="Q187" s="61">
        <v>0</v>
      </c>
      <c r="R187" s="61">
        <f>MAX(P$184,P$185)</f>
        <v>2</v>
      </c>
    </row>
    <row r="188" spans="1:18">
      <c r="A188" s="1" t="s">
        <v>187</v>
      </c>
      <c r="B188" t="str">
        <f t="shared" si="29"/>
        <v>¬</v>
      </c>
      <c r="D188" s="19"/>
      <c r="E188" s="15" t="s">
        <v>249</v>
      </c>
      <c r="F188" s="19"/>
      <c r="G188" s="19"/>
      <c r="H188" s="19"/>
      <c r="I188" s="19"/>
      <c r="L188" s="4"/>
      <c r="M188" s="61"/>
      <c r="N188" s="4"/>
      <c r="O188" s="61">
        <f>ROUNDDOWN(N188/2,0)</f>
        <v>0</v>
      </c>
      <c r="P188" s="60">
        <f>MIN(SUM(L188,M188,O188),R188)</f>
        <v>0</v>
      </c>
      <c r="Q188" s="61">
        <v>0</v>
      </c>
      <c r="R188" s="61">
        <f>MAX(P$184,P$185)</f>
        <v>2</v>
      </c>
    </row>
    <row r="189" spans="1:18">
      <c r="A189" s="1" t="s">
        <v>188</v>
      </c>
      <c r="B189" t="str">
        <f t="shared" si="29"/>
        <v>¬</v>
      </c>
      <c r="D189" s="19"/>
      <c r="E189" s="15" t="s">
        <v>250</v>
      </c>
      <c r="F189" s="19"/>
      <c r="G189" s="19"/>
      <c r="H189" s="19"/>
      <c r="I189" s="19"/>
      <c r="L189" s="4"/>
      <c r="M189" s="61">
        <f>IF(AND(I185,L185&gt;=1),1,0)</f>
        <v>1</v>
      </c>
      <c r="N189" s="4"/>
      <c r="O189" s="61">
        <f>ROUNDDOWN(N189/2,0)</f>
        <v>0</v>
      </c>
      <c r="P189" s="60">
        <f>MIN(SUM(L189,M189,O189),R189)</f>
        <v>1</v>
      </c>
      <c r="Q189" s="61">
        <v>0</v>
      </c>
      <c r="R189" s="61">
        <f>MAX(P$184,P$185)</f>
        <v>2</v>
      </c>
    </row>
    <row r="190" spans="1:18">
      <c r="A190" s="1" t="s">
        <v>189</v>
      </c>
      <c r="B190" t="str">
        <f t="shared" si="29"/>
        <v>¬</v>
      </c>
      <c r="D190" s="19"/>
      <c r="E190" s="15" t="s">
        <v>251</v>
      </c>
      <c r="F190" s="19"/>
      <c r="G190" s="19"/>
      <c r="H190" s="19"/>
      <c r="I190" s="19"/>
      <c r="L190" s="4"/>
      <c r="M190" s="61">
        <f>IF(AND(I184,L184&gt;=1),1,0)</f>
        <v>0</v>
      </c>
      <c r="N190" s="4"/>
      <c r="O190" s="61">
        <f>ROUNDDOWN(N190/2,0)</f>
        <v>0</v>
      </c>
      <c r="P190" s="60">
        <f>MIN(SUM(L190,M190,O190),R190)</f>
        <v>0</v>
      </c>
      <c r="Q190" s="61">
        <v>0</v>
      </c>
      <c r="R190" s="61">
        <f>MAX(P$184,P$185)</f>
        <v>2</v>
      </c>
    </row>
    <row r="191" spans="1:18">
      <c r="A191" s="1" t="s">
        <v>190</v>
      </c>
      <c r="B191" t="str">
        <f t="shared" si="29"/>
        <v>¬</v>
      </c>
      <c r="D191" s="19"/>
      <c r="E191" s="15" t="s">
        <v>252</v>
      </c>
      <c r="F191" s="19"/>
      <c r="G191" s="19"/>
      <c r="H191" s="19"/>
      <c r="I191" s="19"/>
      <c r="L191" s="4"/>
      <c r="M191" s="61">
        <f>IF(AND(I185,L185&gt;=1),1,0)</f>
        <v>1</v>
      </c>
      <c r="N191" s="4"/>
      <c r="O191" s="61">
        <f>ROUNDDOWN(N191/2,0)</f>
        <v>0</v>
      </c>
      <c r="P191" s="60">
        <f>MIN(SUM(L191,M191,O191),R191)</f>
        <v>1</v>
      </c>
      <c r="Q191" s="61">
        <v>0</v>
      </c>
      <c r="R191" s="61">
        <f>MAX(P$184,P$185)</f>
        <v>2</v>
      </c>
    </row>
    <row r="192" spans="1:18">
      <c r="A192" s="1" t="s">
        <v>191</v>
      </c>
      <c r="B192" t="str">
        <f t="shared" si="29"/>
        <v>¬</v>
      </c>
    </row>
    <row r="193" spans="1:18">
      <c r="A193" s="1" t="s">
        <v>192</v>
      </c>
      <c r="B193" t="str">
        <f t="shared" si="29"/>
        <v>¬</v>
      </c>
      <c r="D193" s="16" t="s">
        <v>1474</v>
      </c>
      <c r="E193" s="16"/>
      <c r="F193" s="16"/>
      <c r="G193" s="16"/>
      <c r="H193" s="16"/>
      <c r="I193" s="16"/>
      <c r="L193" s="60">
        <f>SUM(P184:P185)+SUM(O187:O191)-SUM(L194:L203)</f>
        <v>0</v>
      </c>
    </row>
    <row r="194" spans="1:18">
      <c r="A194" s="1" t="s">
        <v>193</v>
      </c>
      <c r="B194" t="str">
        <f t="shared" si="29"/>
        <v>¬</v>
      </c>
      <c r="D194" s="19"/>
      <c r="E194" s="15" t="s">
        <v>1498</v>
      </c>
      <c r="F194" s="3" t="s">
        <v>1775</v>
      </c>
      <c r="G194" s="61" t="str">
        <f>_xlfn.IFNA(VLOOKUP(F194,tblDisciplines[],2,FALSE),"")</f>
        <v>Theban</v>
      </c>
      <c r="H194" s="19"/>
      <c r="I194" s="19"/>
      <c r="L194" s="4">
        <v>1</v>
      </c>
      <c r="N194" s="4"/>
      <c r="O194" s="61">
        <f>N194</f>
        <v>0</v>
      </c>
      <c r="P194" s="60">
        <f>IF(OR(L194=R194,O194=R194),R194,MIN(SUM(L194,O194),R194))</f>
        <v>1</v>
      </c>
      <c r="R194" s="61">
        <f>_xlfn.IFNA(VLOOKUP(F194,tblDisciplines[],3,FALSE),"")</f>
        <v>1</v>
      </c>
    </row>
    <row r="195" spans="1:18">
      <c r="A195" s="1" t="s">
        <v>194</v>
      </c>
      <c r="B195" t="str">
        <f t="shared" si="29"/>
        <v>¬</v>
      </c>
      <c r="D195" s="19"/>
      <c r="E195" s="15" t="s">
        <v>1499</v>
      </c>
      <c r="F195" s="3" t="s">
        <v>1776</v>
      </c>
      <c r="G195" s="61" t="str">
        <f>_xlfn.IFNA(VLOOKUP(F195,tblDisciplines[],2,FALSE),"")</f>
        <v>Theban</v>
      </c>
      <c r="H195" s="19"/>
      <c r="I195" s="19"/>
      <c r="L195" s="4">
        <v>1</v>
      </c>
      <c r="N195" s="4"/>
      <c r="O195" s="61">
        <f t="shared" ref="O195:O203" si="30">N195</f>
        <v>0</v>
      </c>
      <c r="P195" s="60">
        <f t="shared" ref="P195:P203" si="31">IF(OR(L195=R195,O195=R195),R195,MIN(SUM(L195,O195),R195))</f>
        <v>1</v>
      </c>
      <c r="R195" s="61">
        <f>_xlfn.IFNA(VLOOKUP(F195,tblDisciplines[],3,FALSE),"")</f>
        <v>4</v>
      </c>
    </row>
    <row r="196" spans="1:18">
      <c r="A196" s="1" t="s">
        <v>195</v>
      </c>
      <c r="B196" t="str">
        <f t="shared" si="29"/>
        <v>¬</v>
      </c>
      <c r="D196" s="19"/>
      <c r="E196" s="15" t="s">
        <v>1500</v>
      </c>
      <c r="F196" s="3"/>
      <c r="G196" s="61" t="str">
        <f>_xlfn.IFNA(VLOOKUP(F196,tblDisciplines[],2,FALSE),"")</f>
        <v/>
      </c>
      <c r="H196" s="19"/>
      <c r="I196" s="19"/>
      <c r="L196" s="4"/>
      <c r="N196" s="4"/>
      <c r="O196" s="61">
        <f t="shared" si="30"/>
        <v>0</v>
      </c>
      <c r="P196" s="60" t="str">
        <f t="shared" si="31"/>
        <v/>
      </c>
      <c r="R196" s="61" t="str">
        <f>_xlfn.IFNA(VLOOKUP(F196,tblDisciplines[],3,FALSE),"")</f>
        <v/>
      </c>
    </row>
    <row r="197" spans="1:18">
      <c r="A197" s="1" t="s">
        <v>196</v>
      </c>
      <c r="B197" t="str">
        <f>IF(AD134="","¬",AD134)</f>
        <v>Health</v>
      </c>
      <c r="D197" s="19"/>
      <c r="E197" s="15" t="s">
        <v>1501</v>
      </c>
      <c r="F197" s="3"/>
      <c r="G197" s="61" t="str">
        <f>_xlfn.IFNA(VLOOKUP(F197,tblDisciplines[],2,FALSE),"")</f>
        <v/>
      </c>
      <c r="H197" s="19"/>
      <c r="I197" s="19"/>
      <c r="L197" s="4"/>
      <c r="N197" s="4"/>
      <c r="O197" s="61">
        <f t="shared" si="30"/>
        <v>0</v>
      </c>
      <c r="P197" s="60" t="str">
        <f t="shared" si="31"/>
        <v/>
      </c>
      <c r="R197" s="61" t="str">
        <f>_xlfn.IFNA(VLOOKUP(F197,tblDisciplines[],3,FALSE),"")</f>
        <v/>
      </c>
    </row>
    <row r="198" spans="1:18">
      <c r="A198" s="1" t="s">
        <v>197</v>
      </c>
      <c r="B198" t="str">
        <f t="shared" ref="B198:B216" si="32">IF(AD135="","¬",AD135)</f>
        <v>¬</v>
      </c>
      <c r="D198" s="19"/>
      <c r="E198" s="15" t="s">
        <v>1502</v>
      </c>
      <c r="F198" s="3"/>
      <c r="G198" s="61" t="str">
        <f>_xlfn.IFNA(VLOOKUP(F198,tblDisciplines[],2,FALSE),"")</f>
        <v/>
      </c>
      <c r="H198" s="19"/>
      <c r="I198" s="19"/>
      <c r="L198" s="4"/>
      <c r="N198" s="4"/>
      <c r="O198" s="61">
        <f t="shared" si="30"/>
        <v>0</v>
      </c>
      <c r="P198" s="60" t="str">
        <f t="shared" si="31"/>
        <v/>
      </c>
      <c r="R198" s="61" t="str">
        <f>_xlfn.IFNA(VLOOKUP(F198,tblDisciplines[],3,FALSE),"")</f>
        <v/>
      </c>
    </row>
    <row r="199" spans="1:18">
      <c r="A199" s="1" t="s">
        <v>198</v>
      </c>
      <c r="B199" t="str">
        <f t="shared" si="32"/>
        <v>¬</v>
      </c>
      <c r="D199" s="19"/>
      <c r="E199" s="15" t="s">
        <v>1503</v>
      </c>
      <c r="F199" s="3"/>
      <c r="G199" s="61" t="str">
        <f>_xlfn.IFNA(VLOOKUP(F199,tblDisciplines[],2,FALSE),"")</f>
        <v/>
      </c>
      <c r="H199" s="19"/>
      <c r="I199" s="19"/>
      <c r="L199" s="4"/>
      <c r="N199" s="4"/>
      <c r="O199" s="61">
        <f t="shared" si="30"/>
        <v>0</v>
      </c>
      <c r="P199" s="60" t="str">
        <f t="shared" si="31"/>
        <v/>
      </c>
      <c r="R199" s="61" t="str">
        <f>_xlfn.IFNA(VLOOKUP(F199,tblDisciplines[],3,FALSE),"")</f>
        <v/>
      </c>
    </row>
    <row r="200" spans="1:18">
      <c r="A200" s="1" t="s">
        <v>199</v>
      </c>
      <c r="B200" t="str">
        <f t="shared" si="32"/>
        <v>¬</v>
      </c>
      <c r="D200" s="19"/>
      <c r="E200" s="15" t="s">
        <v>1504</v>
      </c>
      <c r="F200" s="3"/>
      <c r="G200" s="61" t="str">
        <f>_xlfn.IFNA(VLOOKUP(F200,tblDisciplines[],2,FALSE),"")</f>
        <v/>
      </c>
      <c r="H200" s="19"/>
      <c r="I200" s="19"/>
      <c r="L200" s="4"/>
      <c r="N200" s="4"/>
      <c r="O200" s="61">
        <f t="shared" si="30"/>
        <v>0</v>
      </c>
      <c r="P200" s="60" t="str">
        <f t="shared" si="31"/>
        <v/>
      </c>
      <c r="R200" s="61" t="str">
        <f>_xlfn.IFNA(VLOOKUP(F200,tblDisciplines[],3,FALSE),"")</f>
        <v/>
      </c>
    </row>
    <row r="201" spans="1:18">
      <c r="A201" s="1" t="s">
        <v>200</v>
      </c>
      <c r="B201" t="str">
        <f t="shared" si="32"/>
        <v>¬</v>
      </c>
      <c r="D201" s="19"/>
      <c r="E201" s="15" t="s">
        <v>1505</v>
      </c>
      <c r="F201" s="3"/>
      <c r="G201" s="61" t="str">
        <f>_xlfn.IFNA(VLOOKUP(F201,tblDisciplines[],2,FALSE),"")</f>
        <v/>
      </c>
      <c r="H201" s="19"/>
      <c r="I201" s="19"/>
      <c r="L201" s="4"/>
      <c r="N201" s="4"/>
      <c r="O201" s="61">
        <f t="shared" si="30"/>
        <v>0</v>
      </c>
      <c r="P201" s="60" t="str">
        <f t="shared" si="31"/>
        <v/>
      </c>
      <c r="R201" s="61" t="str">
        <f>_xlfn.IFNA(VLOOKUP(F201,tblDisciplines[],3,FALSE),"")</f>
        <v/>
      </c>
    </row>
    <row r="202" spans="1:18">
      <c r="A202" s="1" t="s">
        <v>201</v>
      </c>
      <c r="B202" t="str">
        <f t="shared" si="32"/>
        <v>¬</v>
      </c>
      <c r="D202" s="19"/>
      <c r="E202" s="15" t="s">
        <v>1506</v>
      </c>
      <c r="F202" s="3"/>
      <c r="G202" s="61" t="str">
        <f>_xlfn.IFNA(VLOOKUP(F202,tblDisciplines[],2,FALSE),"")</f>
        <v/>
      </c>
      <c r="H202" s="19"/>
      <c r="I202" s="19"/>
      <c r="L202" s="4"/>
      <c r="N202" s="4"/>
      <c r="O202" s="61">
        <f t="shared" si="30"/>
        <v>0</v>
      </c>
      <c r="P202" s="60" t="str">
        <f t="shared" si="31"/>
        <v/>
      </c>
      <c r="R202" s="61" t="str">
        <f>_xlfn.IFNA(VLOOKUP(F202,tblDisciplines[],3,FALSE),"")</f>
        <v/>
      </c>
    </row>
    <row r="203" spans="1:18">
      <c r="A203" s="1" t="s">
        <v>202</v>
      </c>
      <c r="B203" t="str">
        <f t="shared" si="32"/>
        <v>¬</v>
      </c>
      <c r="D203" s="19"/>
      <c r="E203" s="15" t="s">
        <v>1507</v>
      </c>
      <c r="F203" s="3"/>
      <c r="G203" s="61" t="str">
        <f>_xlfn.IFNA(VLOOKUP(F203,tblDisciplines[],2,FALSE),"")</f>
        <v/>
      </c>
      <c r="H203" s="19"/>
      <c r="I203" s="19"/>
      <c r="L203" s="4"/>
      <c r="N203" s="4"/>
      <c r="O203" s="61">
        <f t="shared" si="30"/>
        <v>0</v>
      </c>
      <c r="P203" s="60" t="str">
        <f t="shared" si="31"/>
        <v/>
      </c>
      <c r="R203" s="61" t="str">
        <f>_xlfn.IFNA(VLOOKUP(F203,tblDisciplines[],3,FALSE),"")</f>
        <v/>
      </c>
    </row>
    <row r="204" spans="1:18">
      <c r="A204" s="1" t="s">
        <v>203</v>
      </c>
      <c r="B204" t="str">
        <f t="shared" si="32"/>
        <v>¬</v>
      </c>
    </row>
    <row r="205" spans="1:18">
      <c r="A205" s="1" t="s">
        <v>204</v>
      </c>
      <c r="B205" t="str">
        <f t="shared" si="32"/>
        <v>¬</v>
      </c>
      <c r="D205" s="16" t="s">
        <v>1508</v>
      </c>
      <c r="E205" s="17"/>
      <c r="F205" s="17"/>
      <c r="G205" s="17"/>
      <c r="H205" s="17"/>
      <c r="I205" s="17"/>
    </row>
    <row r="206" spans="1:18">
      <c r="A206" s="1" t="s">
        <v>205</v>
      </c>
      <c r="B206" t="str">
        <f t="shared" si="32"/>
        <v>¬</v>
      </c>
      <c r="D206" s="19"/>
      <c r="E206" s="15" t="s">
        <v>1476</v>
      </c>
      <c r="F206" s="3"/>
      <c r="G206" s="19" t="str">
        <f>IFERROR(VLOOKUP(F206,tblManoeuvre[],2,FALSE)&amp;" "&amp;VLOOKUP(F206,tblManoeuvre[],3,FALSE),"")</f>
        <v/>
      </c>
      <c r="H206" s="68" t="str">
        <f>_xlfn.IFNA(IF(VLOOKUP(F206,tblMerits[],6,FALSE)=0,"None",VLOOKUP(F206,tblMerits[],6,FALSE)),"None")</f>
        <v>None</v>
      </c>
      <c r="I206" s="69"/>
      <c r="L206" s="4"/>
      <c r="M206" s="4"/>
      <c r="N206" s="4"/>
      <c r="O206" s="61">
        <f t="shared" ref="O206:O215" si="33">N206</f>
        <v>0</v>
      </c>
      <c r="P206" s="60">
        <f t="shared" ref="P206:P215" si="34">MIN(SUM(L206,M206,O206),R206)</f>
        <v>0</v>
      </c>
      <c r="Q206" s="61" t="str">
        <f>_xlfn.IFNA(VLOOKUP($F206,tblPacts[],3,FALSE),"")</f>
        <v/>
      </c>
      <c r="R206" s="61" t="str">
        <f>_xlfn.IFNA(VLOOKUP($F206,tblPacts[],4,FALSE),"")</f>
        <v/>
      </c>
    </row>
    <row r="207" spans="1:18">
      <c r="A207" s="1" t="s">
        <v>206</v>
      </c>
      <c r="B207" t="str">
        <f t="shared" si="32"/>
        <v>¬</v>
      </c>
      <c r="D207" s="19"/>
      <c r="E207" s="15" t="s">
        <v>1477</v>
      </c>
      <c r="F207" s="3"/>
      <c r="G207" s="19" t="str">
        <f>IFERROR(VLOOKUP(F207,tblManoeuvre[],2,FALSE)&amp;" "&amp;VLOOKUP(F207,tblManoeuvre[],3,FALSE),"")</f>
        <v/>
      </c>
      <c r="H207" s="68" t="str">
        <f>_xlfn.IFNA(IF(VLOOKUP(F207,tblMerits[],6,FALSE)=0,"None",VLOOKUP(F207,tblMerits[],6,FALSE)),"None")</f>
        <v>None</v>
      </c>
      <c r="I207" s="69"/>
      <c r="L207" s="4"/>
      <c r="M207" s="4"/>
      <c r="N207" s="4"/>
      <c r="O207" s="61">
        <f t="shared" si="33"/>
        <v>0</v>
      </c>
      <c r="P207" s="60">
        <f t="shared" si="34"/>
        <v>0</v>
      </c>
      <c r="Q207" s="61" t="str">
        <f>_xlfn.IFNA(VLOOKUP($F207,tblPacts[],3,FALSE),"")</f>
        <v/>
      </c>
      <c r="R207" s="61" t="str">
        <f>_xlfn.IFNA(VLOOKUP($F207,tblPacts[],4,FALSE),"")</f>
        <v/>
      </c>
    </row>
    <row r="208" spans="1:18">
      <c r="A208" s="1" t="s">
        <v>207</v>
      </c>
      <c r="B208" t="str">
        <f t="shared" si="32"/>
        <v>¬</v>
      </c>
      <c r="D208" s="19"/>
      <c r="E208" s="15" t="s">
        <v>1478</v>
      </c>
      <c r="F208" s="3"/>
      <c r="G208" s="19" t="str">
        <f>IFERROR(VLOOKUP(F208,tblManoeuvre[],2,FALSE)&amp;" "&amp;VLOOKUP(F208,tblManoeuvre[],3,FALSE),"")</f>
        <v/>
      </c>
      <c r="H208" s="68" t="str">
        <f>_xlfn.IFNA(IF(VLOOKUP(F208,tblMerits[],6,FALSE)=0,"None",VLOOKUP(F208,tblMerits[],6,FALSE)),"None")</f>
        <v>None</v>
      </c>
      <c r="I208" s="69"/>
      <c r="L208" s="4"/>
      <c r="M208" s="4"/>
      <c r="N208" s="4"/>
      <c r="O208" s="61">
        <f t="shared" si="33"/>
        <v>0</v>
      </c>
      <c r="P208" s="60">
        <f t="shared" si="34"/>
        <v>0</v>
      </c>
      <c r="Q208" s="61" t="str">
        <f>_xlfn.IFNA(VLOOKUP($F208,tblPacts[],3,FALSE),"")</f>
        <v/>
      </c>
      <c r="R208" s="61" t="str">
        <f>_xlfn.IFNA(VLOOKUP($F208,tblPacts[],4,FALSE),"")</f>
        <v/>
      </c>
    </row>
    <row r="209" spans="1:18">
      <c r="A209" s="1" t="s">
        <v>208</v>
      </c>
      <c r="B209" t="str">
        <f t="shared" si="32"/>
        <v>¬</v>
      </c>
      <c r="D209" s="19"/>
      <c r="E209" s="15" t="s">
        <v>1479</v>
      </c>
      <c r="F209" s="3"/>
      <c r="G209" s="19" t="str">
        <f>IFERROR(VLOOKUP(F209,tblManoeuvre[],2,FALSE)&amp;" "&amp;VLOOKUP(F209,tblManoeuvre[],3,FALSE),"")</f>
        <v/>
      </c>
      <c r="H209" s="68" t="str">
        <f>_xlfn.IFNA(IF(VLOOKUP(F209,tblMerits[],6,FALSE)=0,"None",VLOOKUP(F209,tblMerits[],6,FALSE)),"None")</f>
        <v>None</v>
      </c>
      <c r="I209" s="69"/>
      <c r="L209" s="4"/>
      <c r="M209" s="4"/>
      <c r="N209" s="4"/>
      <c r="O209" s="61">
        <f t="shared" si="33"/>
        <v>0</v>
      </c>
      <c r="P209" s="60">
        <f t="shared" si="34"/>
        <v>0</v>
      </c>
      <c r="Q209" s="61" t="str">
        <f>_xlfn.IFNA(VLOOKUP($F209,tblPacts[],3,FALSE),"")</f>
        <v/>
      </c>
      <c r="R209" s="61" t="str">
        <f>_xlfn.IFNA(VLOOKUP($F209,tblPacts[],4,FALSE),"")</f>
        <v/>
      </c>
    </row>
    <row r="210" spans="1:18">
      <c r="A210" s="1" t="s">
        <v>209</v>
      </c>
      <c r="B210" t="str">
        <f t="shared" si="32"/>
        <v>¬</v>
      </c>
      <c r="D210" s="19"/>
      <c r="E210" s="15" t="s">
        <v>1480</v>
      </c>
      <c r="F210" s="3"/>
      <c r="G210" s="19" t="str">
        <f>IFERROR(VLOOKUP(F210,tblManoeuvre[],2,FALSE)&amp;" "&amp;VLOOKUP(F210,tblManoeuvre[],3,FALSE),"")</f>
        <v/>
      </c>
      <c r="H210" s="68" t="str">
        <f>_xlfn.IFNA(IF(VLOOKUP(F210,tblMerits[],6,FALSE)=0,"None",VLOOKUP(F210,tblMerits[],6,FALSE)),"None")</f>
        <v>None</v>
      </c>
      <c r="I210" s="69"/>
      <c r="L210" s="4"/>
      <c r="M210" s="4"/>
      <c r="N210" s="4"/>
      <c r="O210" s="61">
        <f t="shared" si="33"/>
        <v>0</v>
      </c>
      <c r="P210" s="60">
        <f t="shared" si="34"/>
        <v>0</v>
      </c>
      <c r="Q210" s="61" t="str">
        <f>_xlfn.IFNA(VLOOKUP($F210,tblPacts[],3,FALSE),"")</f>
        <v/>
      </c>
      <c r="R210" s="61" t="str">
        <f>_xlfn.IFNA(VLOOKUP($F210,tblPacts[],4,FALSE),"")</f>
        <v/>
      </c>
    </row>
    <row r="211" spans="1:18">
      <c r="A211" s="1" t="s">
        <v>210</v>
      </c>
      <c r="B211" t="str">
        <f t="shared" si="32"/>
        <v>¬</v>
      </c>
      <c r="D211" s="19"/>
      <c r="E211" s="15" t="s">
        <v>1481</v>
      </c>
      <c r="F211" s="3"/>
      <c r="G211" s="19" t="str">
        <f>IFERROR(VLOOKUP(F211,tblManoeuvre[],2,FALSE)&amp;" "&amp;VLOOKUP(F211,tblManoeuvre[],3,FALSE),"")</f>
        <v/>
      </c>
      <c r="H211" s="68" t="str">
        <f>_xlfn.IFNA(IF(VLOOKUP(F211,tblMerits[],6,FALSE)=0,"None",VLOOKUP(F211,tblMerits[],6,FALSE)),"None")</f>
        <v>None</v>
      </c>
      <c r="I211" s="69"/>
      <c r="L211" s="4"/>
      <c r="M211" s="4"/>
      <c r="N211" s="4"/>
      <c r="O211" s="61">
        <f t="shared" si="33"/>
        <v>0</v>
      </c>
      <c r="P211" s="60">
        <f t="shared" si="34"/>
        <v>0</v>
      </c>
      <c r="Q211" s="61" t="str">
        <f>_xlfn.IFNA(VLOOKUP($F211,tblPacts[],3,FALSE),"")</f>
        <v/>
      </c>
      <c r="R211" s="61" t="str">
        <f>_xlfn.IFNA(VLOOKUP($F211,tblPacts[],4,FALSE),"")</f>
        <v/>
      </c>
    </row>
    <row r="212" spans="1:18">
      <c r="A212" s="1" t="s">
        <v>211</v>
      </c>
      <c r="B212" t="str">
        <f t="shared" si="32"/>
        <v>¬</v>
      </c>
      <c r="D212" s="19"/>
      <c r="E212" s="15" t="s">
        <v>1482</v>
      </c>
      <c r="F212" s="3"/>
      <c r="G212" s="19" t="str">
        <f>IFERROR(VLOOKUP(F212,tblManoeuvre[],2,FALSE)&amp;" "&amp;VLOOKUP(F212,tblManoeuvre[],3,FALSE),"")</f>
        <v/>
      </c>
      <c r="H212" s="68" t="str">
        <f>_xlfn.IFNA(IF(VLOOKUP(F212,tblMerits[],6,FALSE)=0,"None",VLOOKUP(F212,tblMerits[],6,FALSE)),"None")</f>
        <v>None</v>
      </c>
      <c r="I212" s="69"/>
      <c r="L212" s="4"/>
      <c r="M212" s="4"/>
      <c r="N212" s="4"/>
      <c r="O212" s="61">
        <f t="shared" si="33"/>
        <v>0</v>
      </c>
      <c r="P212" s="60">
        <f t="shared" si="34"/>
        <v>0</v>
      </c>
      <c r="Q212" s="61" t="str">
        <f>_xlfn.IFNA(VLOOKUP($F212,tblPacts[],3,FALSE),"")</f>
        <v/>
      </c>
      <c r="R212" s="61" t="str">
        <f>_xlfn.IFNA(VLOOKUP($F212,tblPacts[],4,FALSE),"")</f>
        <v/>
      </c>
    </row>
    <row r="213" spans="1:18">
      <c r="A213" s="1" t="s">
        <v>212</v>
      </c>
      <c r="B213" t="str">
        <f t="shared" si="32"/>
        <v>¬</v>
      </c>
      <c r="D213" s="19"/>
      <c r="E213" s="15" t="s">
        <v>1483</v>
      </c>
      <c r="F213" s="3"/>
      <c r="G213" s="19" t="str">
        <f>IFERROR(VLOOKUP(F213,tblManoeuvre[],2,FALSE)&amp;" "&amp;VLOOKUP(F213,tblManoeuvre[],3,FALSE),"")</f>
        <v/>
      </c>
      <c r="H213" s="68" t="str">
        <f>_xlfn.IFNA(IF(VLOOKUP(F213,tblMerits[],6,FALSE)=0,"None",VLOOKUP(F213,tblMerits[],6,FALSE)),"None")</f>
        <v>None</v>
      </c>
      <c r="I213" s="69"/>
      <c r="L213" s="4"/>
      <c r="M213" s="4"/>
      <c r="N213" s="4"/>
      <c r="O213" s="61">
        <f t="shared" si="33"/>
        <v>0</v>
      </c>
      <c r="P213" s="60">
        <f t="shared" si="34"/>
        <v>0</v>
      </c>
      <c r="Q213" s="61" t="str">
        <f>_xlfn.IFNA(VLOOKUP($F213,tblPacts[],3,FALSE),"")</f>
        <v/>
      </c>
      <c r="R213" s="61" t="str">
        <f>_xlfn.IFNA(VLOOKUP($F213,tblPacts[],4,FALSE),"")</f>
        <v/>
      </c>
    </row>
    <row r="214" spans="1:18">
      <c r="A214" s="1" t="s">
        <v>213</v>
      </c>
      <c r="B214" t="str">
        <f t="shared" si="32"/>
        <v>¬</v>
      </c>
      <c r="D214" s="19"/>
      <c r="E214" s="15" t="s">
        <v>1484</v>
      </c>
      <c r="F214" s="3"/>
      <c r="G214" s="19" t="str">
        <f>IFERROR(VLOOKUP(F214,tblManoeuvre[],2,FALSE)&amp;" "&amp;VLOOKUP(F214,tblManoeuvre[],3,FALSE),"")</f>
        <v/>
      </c>
      <c r="H214" s="68" t="str">
        <f>_xlfn.IFNA(IF(VLOOKUP(F214,tblMerits[],6,FALSE)=0,"None",VLOOKUP(F214,tblMerits[],6,FALSE)),"None")</f>
        <v>None</v>
      </c>
      <c r="I214" s="69"/>
      <c r="L214" s="4"/>
      <c r="M214" s="4"/>
      <c r="N214" s="4"/>
      <c r="O214" s="61">
        <f t="shared" si="33"/>
        <v>0</v>
      </c>
      <c r="P214" s="60">
        <f t="shared" si="34"/>
        <v>0</v>
      </c>
      <c r="Q214" s="61" t="str">
        <f>_xlfn.IFNA(VLOOKUP($F214,tblPacts[],3,FALSE),"")</f>
        <v/>
      </c>
      <c r="R214" s="61" t="str">
        <f>_xlfn.IFNA(VLOOKUP($F214,tblPacts[],4,FALSE),"")</f>
        <v/>
      </c>
    </row>
    <row r="215" spans="1:18">
      <c r="A215" s="1" t="s">
        <v>214</v>
      </c>
      <c r="B215" t="str">
        <f t="shared" si="32"/>
        <v>¬</v>
      </c>
      <c r="D215" s="19"/>
      <c r="E215" s="15" t="s">
        <v>1485</v>
      </c>
      <c r="F215" s="3"/>
      <c r="G215" s="19" t="str">
        <f>IFERROR(VLOOKUP(F215,tblManoeuvre[],2,FALSE)&amp;" "&amp;VLOOKUP(F215,tblManoeuvre[],3,FALSE),"")</f>
        <v/>
      </c>
      <c r="H215" s="68" t="str">
        <f>_xlfn.IFNA(IF(VLOOKUP(F215,tblMerits[],6,FALSE)=0,"None",VLOOKUP(F215,tblMerits[],6,FALSE)),"None")</f>
        <v>None</v>
      </c>
      <c r="I215" s="69"/>
      <c r="L215" s="4"/>
      <c r="M215" s="4"/>
      <c r="N215" s="4"/>
      <c r="O215" s="61">
        <f t="shared" si="33"/>
        <v>0</v>
      </c>
      <c r="P215" s="60">
        <f t="shared" si="34"/>
        <v>0</v>
      </c>
      <c r="Q215" s="61" t="str">
        <f>_xlfn.IFNA(VLOOKUP($F215,tblPacts[],3,FALSE),"")</f>
        <v/>
      </c>
      <c r="R215" s="61" t="str">
        <f>_xlfn.IFNA(VLOOKUP($F215,tblPacts[],4,FALSE),"")</f>
        <v/>
      </c>
    </row>
    <row r="216" spans="1:18">
      <c r="A216" s="1" t="s">
        <v>215</v>
      </c>
      <c r="B216" t="str">
        <f t="shared" si="32"/>
        <v>¬</v>
      </c>
    </row>
    <row r="217" spans="1:18">
      <c r="A217" s="1" t="s">
        <v>216</v>
      </c>
      <c r="B217" t="str">
        <f>IF(OR(AF134=0,AF134=""),"",REPT("●",AF134))</f>
        <v>●●●</v>
      </c>
      <c r="D217" s="16" t="s">
        <v>1509</v>
      </c>
      <c r="E217" s="16"/>
      <c r="F217" s="16"/>
      <c r="G217" s="16"/>
      <c r="H217" s="16"/>
      <c r="I217" s="16"/>
    </row>
    <row r="218" spans="1:18">
      <c r="A218" s="1" t="s">
        <v>217</v>
      </c>
      <c r="B218" t="str">
        <f t="shared" ref="B218:B236" si="35">IF(OR(AF135=0,AF135=""),"",REPT("●",AF135))</f>
        <v/>
      </c>
      <c r="D218" s="19"/>
      <c r="E218" s="15" t="s">
        <v>353</v>
      </c>
      <c r="F218" s="19"/>
      <c r="G218" s="19"/>
      <c r="H218" s="19"/>
      <c r="I218" s="19"/>
      <c r="M218" s="61">
        <f>IF(COUNTIF(F79:F93,"Giant")&gt;0,1,0)+IF(COUNTIF(F79:F93,"Small-Framed")&gt;0,-1,0)</f>
        <v>0</v>
      </c>
      <c r="P218" s="60">
        <f>5+M218</f>
        <v>5</v>
      </c>
    </row>
    <row r="219" spans="1:18">
      <c r="A219" s="1" t="s">
        <v>218</v>
      </c>
      <c r="B219" t="str">
        <f t="shared" si="35"/>
        <v/>
      </c>
      <c r="D219" s="19"/>
      <c r="E219" s="15" t="s">
        <v>354</v>
      </c>
      <c r="F219" s="19"/>
      <c r="G219" s="19"/>
      <c r="H219" s="19"/>
      <c r="I219" s="19"/>
      <c r="P219" s="60">
        <f ca="1">VLOOKUP("Size",INDIRECT($AH$1),2,FALSE)+VLOOKUP("Strength",INDIRECT($AH$1),2,FALSE)+VLOOKUP("Dexterity",INDIRECT($AH$1),2,FALSE)+VLOOKUP("Vigour",INDIRECT($AH$1),2,FALSE)</f>
        <v>9</v>
      </c>
    </row>
    <row r="220" spans="1:18">
      <c r="A220" s="1" t="s">
        <v>219</v>
      </c>
      <c r="B220" t="str">
        <f t="shared" si="35"/>
        <v/>
      </c>
      <c r="D220" s="19"/>
      <c r="E220" s="15" t="s">
        <v>355</v>
      </c>
      <c r="F220" s="19"/>
      <c r="G220" s="19"/>
      <c r="H220" s="19"/>
      <c r="I220" s="19"/>
      <c r="P220" s="60">
        <f ca="1">MIN(VLOOKUP("Dexterity",INDIRECT($AH$1),2,FALSE),VLOOKUP("Wits",INDIRECT($AH$1),2,FALSE))+VLOOKUP("Athletics",INDIRECT($AH$1),2,FALSE)</f>
        <v>5</v>
      </c>
    </row>
    <row r="221" spans="1:18">
      <c r="A221" s="1" t="s">
        <v>220</v>
      </c>
      <c r="B221" t="str">
        <f t="shared" si="35"/>
        <v/>
      </c>
      <c r="D221" s="19"/>
      <c r="E221" s="15" t="s">
        <v>52</v>
      </c>
      <c r="F221" s="19"/>
      <c r="G221" s="19"/>
      <c r="H221" s="19"/>
      <c r="I221" s="19"/>
      <c r="P221" s="60">
        <f ca="1">VLOOKUP("Size",INDIRECT($AH$1),2,FALSE)+VLOOKUP("Stamina",INDIRECT($AH$1),2,FALSE)+VLOOKUP("Resilience",INDIRECT($AH$1),2,FALSE)</f>
        <v>7</v>
      </c>
    </row>
    <row r="222" spans="1:18">
      <c r="A222" s="1" t="s">
        <v>221</v>
      </c>
      <c r="B222" t="str">
        <f t="shared" si="35"/>
        <v/>
      </c>
      <c r="D222" s="19"/>
      <c r="E222" s="19"/>
      <c r="F222" s="19"/>
      <c r="G222" s="19"/>
      <c r="H222" s="15" t="s">
        <v>1510</v>
      </c>
      <c r="I222" s="19"/>
      <c r="L222" s="4"/>
    </row>
    <row r="223" spans="1:18">
      <c r="A223" s="1" t="s">
        <v>222</v>
      </c>
      <c r="B223" t="str">
        <f t="shared" si="35"/>
        <v/>
      </c>
      <c r="D223" s="19"/>
      <c r="E223" s="15" t="s">
        <v>1511</v>
      </c>
      <c r="F223" s="7"/>
      <c r="G223" s="19"/>
      <c r="H223" s="15" t="s">
        <v>1512</v>
      </c>
      <c r="I223" s="19"/>
      <c r="L223" s="4"/>
    </row>
    <row r="224" spans="1:18">
      <c r="A224" s="1" t="s">
        <v>223</v>
      </c>
      <c r="B224" t="str">
        <f t="shared" si="35"/>
        <v/>
      </c>
      <c r="D224" s="19"/>
      <c r="E224" s="15" t="s">
        <v>1513</v>
      </c>
      <c r="F224" s="7"/>
      <c r="G224" s="19"/>
      <c r="H224" s="15" t="s">
        <v>1514</v>
      </c>
      <c r="I224" s="19"/>
      <c r="L224" s="4"/>
    </row>
    <row r="225" spans="1:12">
      <c r="A225" s="1" t="s">
        <v>224</v>
      </c>
      <c r="B225" t="str">
        <f t="shared" si="35"/>
        <v/>
      </c>
      <c r="D225" s="19"/>
      <c r="E225" s="15" t="s">
        <v>1515</v>
      </c>
      <c r="F225" s="7"/>
      <c r="G225" s="19"/>
      <c r="H225" s="15" t="s">
        <v>1516</v>
      </c>
      <c r="I225" s="19"/>
      <c r="L225" s="4"/>
    </row>
    <row r="226" spans="1:12">
      <c r="A226" s="1" t="s">
        <v>225</v>
      </c>
      <c r="B226" t="str">
        <f t="shared" si="35"/>
        <v/>
      </c>
      <c r="D226" s="19"/>
      <c r="E226" s="15" t="s">
        <v>1517</v>
      </c>
      <c r="F226" s="7"/>
      <c r="G226" s="19"/>
      <c r="H226" s="19"/>
      <c r="I226" s="19"/>
    </row>
    <row r="227" spans="1:12">
      <c r="A227" s="1" t="s">
        <v>226</v>
      </c>
      <c r="B227" t="str">
        <f t="shared" si="35"/>
        <v/>
      </c>
      <c r="D227" s="19"/>
      <c r="E227" s="15" t="s">
        <v>1518</v>
      </c>
      <c r="F227" s="7" t="s">
        <v>1777</v>
      </c>
      <c r="G227" s="19"/>
      <c r="H227" s="19"/>
      <c r="I227" s="19"/>
    </row>
    <row r="228" spans="1:12">
      <c r="A228" s="1" t="s">
        <v>227</v>
      </c>
      <c r="B228" t="str">
        <f t="shared" si="35"/>
        <v/>
      </c>
      <c r="D228" s="19"/>
      <c r="E228" s="15" t="s">
        <v>1519</v>
      </c>
      <c r="F228" s="7"/>
      <c r="G228" s="19"/>
      <c r="H228" s="19"/>
      <c r="I228" s="19"/>
    </row>
    <row r="229" spans="1:12">
      <c r="A229" s="1" t="s">
        <v>228</v>
      </c>
      <c r="B229" t="str">
        <f t="shared" si="35"/>
        <v/>
      </c>
      <c r="D229" s="19"/>
      <c r="E229" s="15" t="s">
        <v>1520</v>
      </c>
      <c r="F229" s="7"/>
      <c r="G229" s="19"/>
      <c r="H229" s="19"/>
      <c r="I229" s="19"/>
    </row>
    <row r="230" spans="1:12">
      <c r="A230" s="1" t="s">
        <v>229</v>
      </c>
      <c r="B230" t="str">
        <f t="shared" si="35"/>
        <v/>
      </c>
      <c r="D230" s="19"/>
      <c r="E230" s="15" t="s">
        <v>1521</v>
      </c>
      <c r="F230" s="7"/>
      <c r="G230" s="19"/>
      <c r="H230" s="19"/>
      <c r="I230" s="19"/>
    </row>
    <row r="231" spans="1:12">
      <c r="A231" s="1" t="s">
        <v>230</v>
      </c>
      <c r="B231" t="str">
        <f t="shared" si="35"/>
        <v/>
      </c>
      <c r="D231" s="19"/>
      <c r="E231" s="15" t="s">
        <v>1522</v>
      </c>
      <c r="F231" s="7"/>
      <c r="G231" s="19"/>
      <c r="H231" s="19"/>
      <c r="I231" s="19"/>
    </row>
    <row r="232" spans="1:12">
      <c r="A232" s="1" t="s">
        <v>231</v>
      </c>
      <c r="B232" t="str">
        <f t="shared" si="35"/>
        <v/>
      </c>
      <c r="D232" s="19"/>
      <c r="E232" s="15" t="s">
        <v>1523</v>
      </c>
      <c r="F232" s="7"/>
      <c r="G232" s="19"/>
      <c r="H232" s="19"/>
      <c r="I232" s="19"/>
    </row>
    <row r="233" spans="1:12">
      <c r="A233" s="1" t="s">
        <v>232</v>
      </c>
      <c r="B233" t="str">
        <f t="shared" si="35"/>
        <v/>
      </c>
      <c r="D233" s="19"/>
      <c r="E233" s="19"/>
      <c r="F233" s="19"/>
      <c r="G233" s="19"/>
      <c r="H233" s="19"/>
      <c r="I233" s="19"/>
    </row>
    <row r="234" spans="1:12">
      <c r="A234" s="1" t="s">
        <v>233</v>
      </c>
      <c r="B234" t="str">
        <f t="shared" si="35"/>
        <v/>
      </c>
      <c r="D234" s="19"/>
      <c r="E234" s="15" t="s">
        <v>343</v>
      </c>
      <c r="F234" s="61" t="str">
        <f>_xlfn.IFNA(VLOOKUP(F7,tblClans[],4,FALSE),"")</f>
        <v>Wanton Curse</v>
      </c>
      <c r="G234" s="19"/>
      <c r="H234" s="74" t="str">
        <f>_xlfn.IFNA(VLOOKUP(F234,tblBanes[],2,FALSE),"")</f>
        <v>Hungry at 5 or fewer Vitae, Starving at 3 or fewer. Dramatic Failures on feeding cause Persistent Dependent Condition toward a mortal NPC.</v>
      </c>
      <c r="I234" s="74"/>
    </row>
    <row r="235" spans="1:12">
      <c r="A235" s="1" t="s">
        <v>234</v>
      </c>
      <c r="B235" t="str">
        <f t="shared" si="35"/>
        <v/>
      </c>
      <c r="D235" s="19"/>
      <c r="E235" s="15" t="s">
        <v>344</v>
      </c>
      <c r="F235" s="19"/>
      <c r="G235" s="19"/>
      <c r="H235" s="19"/>
      <c r="I235" s="19"/>
    </row>
    <row r="236" spans="1:12">
      <c r="A236" s="1" t="s">
        <v>235</v>
      </c>
      <c r="B236" t="str">
        <f t="shared" si="35"/>
        <v/>
      </c>
      <c r="D236" s="19"/>
      <c r="E236" s="15" t="s">
        <v>345</v>
      </c>
      <c r="F236" s="3"/>
      <c r="G236" s="19"/>
      <c r="H236" s="70" t="str">
        <f>_xlfn.IFNA(VLOOKUP(F236,tblBanes[],2,FALSE),"")</f>
        <v/>
      </c>
      <c r="I236" s="71"/>
    </row>
    <row r="237" spans="1:12">
      <c r="A237" s="1" t="s">
        <v>236</v>
      </c>
      <c r="B237" t="str">
        <f ca="1">_xlfn.LET(_xlpm.v,VLOOKUP(tblCharDataLivia[[#This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_xlfn.LET(_xlpm.v,VLOOKUP(tblCharDataLivia[[#This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_xlfn.LET(_xlpm.v,VLOOKUP(tblCharDataLivia[[#This Row],[Field]],INDIRECT($AH$1),2,FALSE),IF(OR(_xlpm.v=0,_xlpm.v=""),"-",REPT("●",_xlpm.v)))</f>
        <v>●</v>
      </c>
      <c r="D239" s="19"/>
      <c r="E239" s="19"/>
      <c r="F239" s="19"/>
      <c r="G239" s="19"/>
      <c r="H239" s="19"/>
      <c r="I239" s="19"/>
    </row>
    <row r="240" spans="1:12">
      <c r="A240" s="1" t="s">
        <v>239</v>
      </c>
      <c r="B240" t="str">
        <f ca="1">_xlfn.LET(_xlpm.v,VLOOKUP(tblCharDataLivia[[#This Row],[Field]],INDIRECT($AH$1),2,FALSE),IF(OR(_xlpm.v=0,_xlpm.v=""),"-",REPT("●",_xlpm.v)))</f>
        <v>-</v>
      </c>
      <c r="D240" s="19"/>
      <c r="E240" s="15" t="s">
        <v>360</v>
      </c>
      <c r="F240" s="62"/>
      <c r="G240" s="63"/>
      <c r="H240" s="63"/>
      <c r="I240" s="64"/>
    </row>
    <row r="241" spans="1:9">
      <c r="A241" s="1" t="s">
        <v>240</v>
      </c>
      <c r="B241" t="str">
        <f ca="1">_xlfn.LET(_xlpm.v,VLOOKUP(tblCharDataLivia[[#This Row],[Field]],INDIRECT($AH$1),2,FALSE),IF(OR(_xlpm.v=0,_xlpm.v=""),"-",REPT("●",_xlpm.v)))</f>
        <v>●●●</v>
      </c>
      <c r="D241" s="19"/>
      <c r="E241" s="15" t="s">
        <v>361</v>
      </c>
      <c r="F241" s="62"/>
      <c r="G241" s="63"/>
      <c r="H241" s="63"/>
      <c r="I241" s="64"/>
    </row>
    <row r="242" spans="1:9">
      <c r="A242" s="1" t="s">
        <v>241</v>
      </c>
      <c r="B242" t="str">
        <f ca="1">_xlfn.LET(_xlpm.v,VLOOKUP(tblCharDataLivia[[#This Row],[Field]],INDIRECT($AH$1),2,FALSE),IF(OR(_xlpm.v=0,_xlpm.v=""),"-",REPT("●",_xlpm.v)))</f>
        <v>-</v>
      </c>
      <c r="D242" s="19"/>
      <c r="E242" s="15" t="s">
        <v>362</v>
      </c>
      <c r="F242" s="62"/>
      <c r="G242" s="63"/>
      <c r="H242" s="63"/>
      <c r="I242" s="64"/>
    </row>
    <row r="243" spans="1:9">
      <c r="A243" s="1" t="s">
        <v>242</v>
      </c>
      <c r="B243" t="str">
        <f ca="1">_xlfn.LET(_xlpm.v,VLOOKUP(tblCharDataLivia[[#This Row],[Field]],INDIRECT($AH$1),2,FALSE),IF(OR(_xlpm.v=0,_xlpm.v=""),"-",REPT("●",_xlpm.v)))</f>
        <v>-</v>
      </c>
      <c r="D243" s="19"/>
      <c r="E243" s="19"/>
      <c r="F243" s="19"/>
      <c r="G243" s="19"/>
      <c r="H243" s="19"/>
      <c r="I243" s="19"/>
    </row>
    <row r="244" spans="1:9">
      <c r="A244" s="1" t="s">
        <v>243</v>
      </c>
      <c r="B244" t="str">
        <f ca="1">_xlfn.LET(_xlpm.v,VLOOKUP(tblCharDataLivia[[#This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Striking Looks</v>
      </c>
      <c r="G244" s="63"/>
      <c r="H244" s="63"/>
      <c r="I244" s="64"/>
    </row>
    <row r="245" spans="1:9">
      <c r="A245" s="1" t="s">
        <v>244</v>
      </c>
      <c r="B245" t="str">
        <f ca="1">_xlfn.LET(_xlpm.v,VLOOKUP(tblCharDataLivia[[#This Row],[Field]],INDIRECT($AH$1),2,FALSE),IF(OR(_xlpm.v=0,_xlpm.v=""),"-",REPT("●",_xlpm.v)))</f>
        <v>-</v>
      </c>
      <c r="D245" s="19"/>
      <c r="E245" s="15" t="s">
        <v>1524</v>
      </c>
      <c r="F245" s="62"/>
      <c r="G245" s="63"/>
      <c r="H245" s="63"/>
      <c r="I245" s="64"/>
    </row>
    <row r="246" spans="1:9">
      <c r="A246" s="1" t="s">
        <v>245</v>
      </c>
      <c r="B246" t="str">
        <f ca="1">_xlfn.LET(_xlpm.v,VLOOKUP(tblCharDataLivia[[#This Row],[Field]],INDIRECT($AH$1),2,FALSE),IF(OR(_xlpm.v=0,_xlpm.v=""),"-",REPT("●",_xlpm.v)))</f>
        <v>-</v>
      </c>
    </row>
    <row r="247" spans="1:9">
      <c r="A247" s="1" t="s">
        <v>246</v>
      </c>
      <c r="B247" t="str">
        <f ca="1">_xlfn.LET(_xlpm.v,VLOOKUP(tblCharDataLivia[[#This Row],[Field]],INDIRECT($AH$1),2,FALSE),IF(OR(_xlpm.v=0,_xlpm.v=""),"-",REPT("●",_xlpm.v)))</f>
        <v>-</v>
      </c>
      <c r="D247" s="16" t="s">
        <v>1525</v>
      </c>
      <c r="E247" s="16"/>
      <c r="F247" s="16" t="s">
        <v>1526</v>
      </c>
      <c r="G247" s="16" t="s">
        <v>1527</v>
      </c>
      <c r="H247" s="16"/>
      <c r="I247" s="16"/>
    </row>
    <row r="248" spans="1:9">
      <c r="A248" s="1" t="s">
        <v>247</v>
      </c>
      <c r="B248" t="str">
        <f ca="1">_xlfn.LET(_xlpm.v,VLOOKUP(tblCharDataLivia[[#This Row],[Field]],INDIRECT($AH$1),2,FALSE),IF(OR(_xlpm.v=0,_xlpm.v=""),"-",REPT("●",_xlpm.v)))</f>
        <v>●●</v>
      </c>
      <c r="D248" s="19"/>
      <c r="E248" s="15" t="s">
        <v>1528</v>
      </c>
      <c r="F248" s="7"/>
      <c r="G248" s="7"/>
      <c r="H248" s="19"/>
      <c r="I248" s="19" t="s">
        <v>1529</v>
      </c>
    </row>
    <row r="249" spans="1:9">
      <c r="A249" s="1" t="s">
        <v>248</v>
      </c>
      <c r="B249" t="str">
        <f ca="1">_xlfn.LET(_xlpm.v,VLOOKUP(tblCharDataLivia[[#This Row],[Field]],INDIRECT($AH$1),2,FALSE),IF(OR(_xlpm.v=0,_xlpm.v=""),"-",REPT("●",_xlpm.v)))</f>
        <v>-</v>
      </c>
      <c r="D249" s="19"/>
      <c r="E249" s="15" t="s">
        <v>1530</v>
      </c>
      <c r="F249" s="7"/>
      <c r="G249" s="7"/>
      <c r="H249" s="19"/>
      <c r="I249" s="19" t="s">
        <v>1531</v>
      </c>
    </row>
    <row r="250" spans="1:9">
      <c r="A250" s="1" t="s">
        <v>249</v>
      </c>
      <c r="B250" t="str">
        <f ca="1">_xlfn.LET(_xlpm.v,VLOOKUP(tblCharDataLivia[[#This Row],[Field]],INDIRECT($AH$1),2,FALSE),IF(OR(_xlpm.v=0,_xlpm.v=""),"-",REPT("●",_xlpm.v)))</f>
        <v>-</v>
      </c>
      <c r="D250" s="19" t="s">
        <v>1532</v>
      </c>
      <c r="E250" s="15" t="s">
        <v>1533</v>
      </c>
      <c r="F250" s="7"/>
      <c r="G250" s="7"/>
      <c r="H250" s="19"/>
      <c r="I250" s="19"/>
    </row>
    <row r="251" spans="1:9">
      <c r="A251" s="1" t="s">
        <v>250</v>
      </c>
      <c r="B251" t="str">
        <f ca="1">_xlfn.LET(_xlpm.v,VLOOKUP(tblCharDataLivia[[#This Row],[Field]],INDIRECT($AH$1),2,FALSE),IF(OR(_xlpm.v=0,_xlpm.v=""),"-",REPT("●",_xlpm.v)))</f>
        <v>●</v>
      </c>
      <c r="D251" s="19" t="s">
        <v>1532</v>
      </c>
      <c r="E251" s="15" t="s">
        <v>1534</v>
      </c>
      <c r="F251" s="7"/>
      <c r="G251" s="7"/>
      <c r="H251" s="19"/>
      <c r="I251" s="19"/>
    </row>
    <row r="252" spans="1:9">
      <c r="A252" s="1" t="s">
        <v>251</v>
      </c>
      <c r="B252" t="str">
        <f ca="1">_xlfn.LET(_xlpm.v,VLOOKUP(tblCharDataLivia[[#This Row],[Field]],INDIRECT($AH$1),2,FALSE),IF(OR(_xlpm.v=0,_xlpm.v=""),"-",REPT("●",_xlpm.v)))</f>
        <v>-</v>
      </c>
      <c r="D252" s="19" t="s">
        <v>1532</v>
      </c>
      <c r="E252" s="15" t="s">
        <v>1535</v>
      </c>
      <c r="F252" s="7"/>
      <c r="G252" s="7"/>
      <c r="H252" s="19"/>
      <c r="I252" s="19"/>
    </row>
    <row r="253" spans="1:9">
      <c r="A253" s="1" t="s">
        <v>252</v>
      </c>
      <c r="B253" t="str">
        <f ca="1">_xlfn.LET(_xlpm.v,VLOOKUP(tblCharDataLivia[[#This Row],[Field]],INDIRECT($AH$1),2,FALSE),IF(OR(_xlpm.v=0,_xlpm.v=""),"-",REPT("●",_xlpm.v)))</f>
        <v>●</v>
      </c>
      <c r="D253" s="19" t="s">
        <v>1532</v>
      </c>
      <c r="E253" s="15" t="s">
        <v>1536</v>
      </c>
      <c r="F253" s="7"/>
      <c r="G253" s="7"/>
      <c r="H253" s="19"/>
      <c r="I253" s="19"/>
    </row>
    <row r="254" spans="1:9">
      <c r="A254" s="1" t="s">
        <v>253</v>
      </c>
      <c r="B254" t="str">
        <f t="shared" ref="B254:B283" si="36">IF(AD44="","¬",AD44)</f>
        <v>Celerity ●</v>
      </c>
      <c r="D254" s="19" t="s">
        <v>1532</v>
      </c>
      <c r="E254" s="15" t="s">
        <v>1537</v>
      </c>
      <c r="F254" s="7"/>
      <c r="G254" s="7"/>
      <c r="H254" s="19"/>
      <c r="I254" s="19"/>
    </row>
    <row r="255" spans="1:9">
      <c r="A255" s="1" t="s">
        <v>254</v>
      </c>
      <c r="B255" t="str">
        <f t="shared" si="36"/>
        <v>Majesty ● | Awe</v>
      </c>
      <c r="D255" s="19" t="s">
        <v>1532</v>
      </c>
      <c r="E255" s="15" t="s">
        <v>1538</v>
      </c>
      <c r="F255" s="7"/>
      <c r="G255" s="7"/>
      <c r="H255" s="19"/>
      <c r="I255" s="19"/>
    </row>
    <row r="256" spans="1:9">
      <c r="A256" s="1" t="s">
        <v>255</v>
      </c>
      <c r="B256" t="str">
        <f t="shared" si="36"/>
        <v>Majesty ●● | Confidant</v>
      </c>
      <c r="D256" s="19" t="s">
        <v>1532</v>
      </c>
      <c r="E256" s="15" t="s">
        <v>1539</v>
      </c>
      <c r="F256" s="7"/>
      <c r="G256" s="7"/>
      <c r="H256" s="19"/>
      <c r="I256" s="19"/>
    </row>
    <row r="257" spans="1:9">
      <c r="A257" s="1" t="s">
        <v>256</v>
      </c>
      <c r="B257" t="str">
        <f t="shared" si="36"/>
        <v>Majesty ●●● | Green Eyes</v>
      </c>
      <c r="D257" s="19" t="s">
        <v>1532</v>
      </c>
      <c r="E257" s="15" t="s">
        <v>1540</v>
      </c>
      <c r="F257" s="7"/>
      <c r="G257" s="7"/>
      <c r="H257" s="19"/>
      <c r="I257" s="19"/>
    </row>
    <row r="258" spans="1:9">
      <c r="A258" s="1" t="s">
        <v>257</v>
      </c>
      <c r="B258" t="str">
        <f t="shared" si="36"/>
        <v>Blood Sorcery | Divination ●</v>
      </c>
      <c r="D258" s="19" t="s">
        <v>1532</v>
      </c>
      <c r="E258" s="15" t="s">
        <v>1541</v>
      </c>
      <c r="F258" s="7"/>
      <c r="G258" s="7"/>
      <c r="H258" s="19"/>
      <c r="I258" s="19"/>
    </row>
    <row r="259" spans="1:9">
      <c r="A259" s="1" t="s">
        <v>258</v>
      </c>
      <c r="B259" t="str">
        <f t="shared" si="36"/>
        <v>Blood Sorcery | Transmutation ●</v>
      </c>
      <c r="D259" s="19" t="s">
        <v>1532</v>
      </c>
      <c r="E259" s="15" t="s">
        <v>1542</v>
      </c>
      <c r="F259" s="7"/>
      <c r="G259" s="7"/>
      <c r="H259" s="19"/>
      <c r="I259" s="19"/>
    </row>
    <row r="260" spans="1:9">
      <c r="A260" s="1" t="s">
        <v>259</v>
      </c>
      <c r="B260" t="str">
        <f t="shared" si="36"/>
        <v>Theban ● | Vitae Reliquary</v>
      </c>
      <c r="D260" s="19" t="s">
        <v>1532</v>
      </c>
      <c r="E260" s="15" t="s">
        <v>1543</v>
      </c>
      <c r="F260" s="7"/>
      <c r="G260" s="7"/>
      <c r="H260" s="19"/>
      <c r="I260" s="19"/>
    </row>
    <row r="261" spans="1:9">
      <c r="A261" s="1" t="s">
        <v>260</v>
      </c>
      <c r="B261" t="str">
        <f t="shared" si="36"/>
        <v>Theban ●●●● | Damned Radiance</v>
      </c>
      <c r="D261" s="19" t="s">
        <v>1532</v>
      </c>
      <c r="E261" s="15" t="s">
        <v>1544</v>
      </c>
      <c r="F261" s="7"/>
      <c r="G261" s="7"/>
      <c r="H261" s="19"/>
      <c r="I261" s="19"/>
    </row>
    <row r="262" spans="1:9">
      <c r="A262" s="1" t="s">
        <v>261</v>
      </c>
      <c r="B262" t="str">
        <f t="shared" si="36"/>
        <v>¬</v>
      </c>
      <c r="D262" s="19" t="s">
        <v>1532</v>
      </c>
      <c r="E262" s="15" t="s">
        <v>1545</v>
      </c>
      <c r="F262" s="7"/>
      <c r="G262" s="7"/>
      <c r="H262" s="19"/>
      <c r="I262" s="19"/>
    </row>
    <row r="263" spans="1:9">
      <c r="A263" s="1" t="s">
        <v>262</v>
      </c>
      <c r="B263" t="str">
        <f t="shared" si="36"/>
        <v>¬</v>
      </c>
      <c r="D263" s="19" t="s">
        <v>1532</v>
      </c>
      <c r="E263" s="15" t="s">
        <v>1546</v>
      </c>
      <c r="F263" s="7"/>
      <c r="G263" s="7"/>
      <c r="H263" s="19"/>
      <c r="I263" s="19"/>
    </row>
    <row r="264" spans="1:9">
      <c r="A264" s="1" t="s">
        <v>263</v>
      </c>
      <c r="B264" t="str">
        <f t="shared" si="36"/>
        <v>¬</v>
      </c>
      <c r="D264" s="19" t="s">
        <v>1532</v>
      </c>
      <c r="E264" s="15" t="s">
        <v>1547</v>
      </c>
      <c r="F264" s="7"/>
      <c r="G264" s="7"/>
      <c r="H264" s="19"/>
      <c r="I264" s="19"/>
    </row>
    <row r="265" spans="1:9">
      <c r="A265" s="1" t="s">
        <v>264</v>
      </c>
      <c r="B265" t="str">
        <f t="shared" si="36"/>
        <v>¬</v>
      </c>
      <c r="D265" s="19" t="s">
        <v>1532</v>
      </c>
      <c r="E265" s="15" t="s">
        <v>1548</v>
      </c>
      <c r="F265" s="7"/>
      <c r="G265" s="7"/>
      <c r="H265" s="19"/>
      <c r="I265" s="19"/>
    </row>
    <row r="266" spans="1:9">
      <c r="A266" s="1" t="s">
        <v>265</v>
      </c>
      <c r="B266" t="str">
        <f t="shared" si="36"/>
        <v>¬</v>
      </c>
      <c r="D266" s="19" t="s">
        <v>1532</v>
      </c>
      <c r="E266" s="15" t="s">
        <v>1549</v>
      </c>
      <c r="F266" s="7"/>
      <c r="G266" s="7"/>
      <c r="H266" s="19"/>
      <c r="I266" s="19"/>
    </row>
    <row r="267" spans="1:9">
      <c r="A267" s="1" t="s">
        <v>266</v>
      </c>
      <c r="B267" t="str">
        <f t="shared" si="36"/>
        <v>¬</v>
      </c>
      <c r="D267" s="19" t="s">
        <v>1532</v>
      </c>
      <c r="E267" s="15" t="s">
        <v>1550</v>
      </c>
      <c r="F267" s="7"/>
      <c r="G267" s="7"/>
      <c r="H267" s="19"/>
      <c r="I267" s="19"/>
    </row>
    <row r="268" spans="1:9">
      <c r="A268" s="1" t="s">
        <v>267</v>
      </c>
      <c r="B268" t="str">
        <f t="shared" si="36"/>
        <v>¬</v>
      </c>
      <c r="D268" s="19" t="s">
        <v>1532</v>
      </c>
      <c r="E268" s="15" t="s">
        <v>1551</v>
      </c>
      <c r="F268" s="7"/>
      <c r="G268" s="7"/>
      <c r="H268" s="19"/>
      <c r="I268" s="19"/>
    </row>
    <row r="269" spans="1:9">
      <c r="A269" s="1" t="s">
        <v>268</v>
      </c>
      <c r="B269" t="str">
        <f t="shared" si="36"/>
        <v>¬</v>
      </c>
      <c r="D269" s="19" t="s">
        <v>1532</v>
      </c>
      <c r="E269" s="15" t="s">
        <v>1552</v>
      </c>
      <c r="F269" s="7"/>
      <c r="G269" s="7"/>
      <c r="H269" s="19"/>
      <c r="I269" s="19"/>
    </row>
    <row r="270" spans="1:9">
      <c r="A270" s="1" t="s">
        <v>269</v>
      </c>
      <c r="B270" t="str">
        <f t="shared" si="36"/>
        <v>¬</v>
      </c>
      <c r="D270" s="19" t="s">
        <v>1532</v>
      </c>
      <c r="E270" s="15" t="s">
        <v>1553</v>
      </c>
      <c r="F270" s="7"/>
      <c r="G270" s="7"/>
      <c r="H270" s="19"/>
      <c r="I270" s="19"/>
    </row>
    <row r="271" spans="1:9">
      <c r="A271" s="1" t="s">
        <v>270</v>
      </c>
      <c r="B271" t="str">
        <f t="shared" si="36"/>
        <v>¬</v>
      </c>
      <c r="D271" s="19" t="s">
        <v>1532</v>
      </c>
      <c r="E271" s="15" t="s">
        <v>1554</v>
      </c>
      <c r="F271" s="7"/>
      <c r="G271" s="7"/>
      <c r="H271" s="19"/>
      <c r="I271" s="19"/>
    </row>
    <row r="272" spans="1:9">
      <c r="A272" s="1" t="s">
        <v>271</v>
      </c>
      <c r="B272" t="str">
        <f t="shared" si="36"/>
        <v>¬</v>
      </c>
      <c r="D272" s="19" t="s">
        <v>1532</v>
      </c>
      <c r="E272" s="15" t="s">
        <v>1555</v>
      </c>
      <c r="F272" s="7"/>
      <c r="G272" s="7"/>
      <c r="H272" s="19"/>
      <c r="I272" s="19"/>
    </row>
    <row r="273" spans="1:14">
      <c r="A273" s="1" t="s">
        <v>272</v>
      </c>
      <c r="B273" t="str">
        <f t="shared" si="36"/>
        <v>¬</v>
      </c>
      <c r="D273" s="19" t="s">
        <v>1532</v>
      </c>
      <c r="E273" s="15" t="s">
        <v>1556</v>
      </c>
      <c r="F273" s="7"/>
      <c r="G273" s="7"/>
      <c r="H273" s="19"/>
      <c r="I273" s="19"/>
    </row>
    <row r="274" spans="1:14">
      <c r="A274" s="1" t="s">
        <v>273</v>
      </c>
      <c r="B274" t="str">
        <f t="shared" si="36"/>
        <v>¬</v>
      </c>
      <c r="D274" s="19" t="s">
        <v>1532</v>
      </c>
      <c r="E274" s="15" t="s">
        <v>1557</v>
      </c>
      <c r="F274" s="7"/>
      <c r="G274" s="7"/>
      <c r="H274" s="19"/>
      <c r="I274" s="19"/>
    </row>
    <row r="275" spans="1:14">
      <c r="A275" s="1" t="s">
        <v>274</v>
      </c>
      <c r="B275" t="str">
        <f t="shared" si="36"/>
        <v>¬</v>
      </c>
      <c r="D275" s="19" t="s">
        <v>1532</v>
      </c>
      <c r="E275" s="15" t="s">
        <v>1558</v>
      </c>
      <c r="F275" s="7"/>
      <c r="G275" s="7"/>
      <c r="H275" s="19"/>
      <c r="I275" s="19"/>
    </row>
    <row r="276" spans="1:14">
      <c r="A276" s="1" t="s">
        <v>275</v>
      </c>
      <c r="B276" t="str">
        <f t="shared" si="36"/>
        <v>¬</v>
      </c>
      <c r="D276" s="19" t="s">
        <v>1532</v>
      </c>
      <c r="E276" s="15" t="s">
        <v>1559</v>
      </c>
      <c r="F276" s="7"/>
      <c r="G276" s="7"/>
      <c r="H276" s="19"/>
      <c r="I276" s="19"/>
    </row>
    <row r="277" spans="1:14">
      <c r="A277" s="1" t="s">
        <v>276</v>
      </c>
      <c r="B277" t="str">
        <f t="shared" si="36"/>
        <v>¬</v>
      </c>
      <c r="D277" s="19" t="s">
        <v>1532</v>
      </c>
      <c r="E277" s="15" t="s">
        <v>1560</v>
      </c>
      <c r="F277" s="7"/>
      <c r="G277" s="7"/>
      <c r="H277" s="19"/>
      <c r="I277" s="19"/>
    </row>
    <row r="278" spans="1:14">
      <c r="A278" s="1" t="s">
        <v>277</v>
      </c>
      <c r="B278" t="str">
        <f t="shared" si="36"/>
        <v>¬</v>
      </c>
    </row>
    <row r="279" spans="1:14">
      <c r="A279" s="1" t="s">
        <v>278</v>
      </c>
      <c r="B279" t="str">
        <f t="shared" si="36"/>
        <v>¬</v>
      </c>
      <c r="D279" s="16" t="s">
        <v>1561</v>
      </c>
      <c r="E279" s="16"/>
      <c r="F279" s="16" t="s">
        <v>1347</v>
      </c>
      <c r="G279" s="16" t="s">
        <v>1348</v>
      </c>
      <c r="H279" s="16" t="s">
        <v>1349</v>
      </c>
      <c r="I279" s="16" t="s">
        <v>1350</v>
      </c>
      <c r="N279" s="60">
        <f ca="1">SUM(N280:N282)</f>
        <v>3</v>
      </c>
    </row>
    <row r="280" spans="1:14">
      <c r="A280" s="1" t="s">
        <v>279</v>
      </c>
      <c r="B280" t="str">
        <f t="shared" si="36"/>
        <v>¬</v>
      </c>
      <c r="D280" s="61" t="str" cm="1">
        <f t="array" aca="1" ref="D280" ca="1">INDEX(Attendance!$C$14:$GP$44,
       MATCH($F$4, Attendance!$C$14:$C$44, 0),
       MATCH(1, (Attendance!$C$12:$GP$12=$E280) * (Attendance!$C$13:$GP$13="Paid"), 0)
)</f>
        <v>PayPal</v>
      </c>
      <c r="E280" s="41">
        <v>46054</v>
      </c>
      <c r="F280" s="61" cm="1">
        <f t="array" aca="1" ref="F280" ca="1">N(INDEX(Attendance!$C$14:$GP$104,
       MATCH($F$4, Attendance!$C$14:$C$104, 0),
       MATCH(1, (Attendance!$C$12:$GP$12=$E280) * (Attendance!$C$13:$GP$13=$F$279), 0)
))</f>
        <v>3</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0</v>
      </c>
      <c r="I280" s="61" t="str" cm="1">
        <f t="array" aca="1" ref="I280" ca="1">INDEX(Attendance!$C$14:$GP$44,
       MATCH($F$4, Attendance!$C$14:$C$44, 0),
       MATCH(1, (Attendance!$C$12:$GP$12=$E280) * (Attendance!$C$13:$GP$13=$I$279), 0)
)</f>
        <v>Quiet</v>
      </c>
      <c r="K280" s="18"/>
      <c r="L280" s="18"/>
      <c r="M280" s="18" t="s">
        <v>1562</v>
      </c>
      <c r="N280" s="61">
        <f ca="1">SUM(F$280:F$316)</f>
        <v>3</v>
      </c>
    </row>
    <row r="281" spans="1:14">
      <c r="A281" s="1" t="s">
        <v>280</v>
      </c>
      <c r="B281" t="str">
        <f t="shared" si="36"/>
        <v>¬</v>
      </c>
      <c r="D281" s="61" t="str" cm="1">
        <f t="array" aca="1" ref="D281" ca="1">INDEX(Attendance!$C$14:$GP$44,
       MATCH($F$4, Attendance!$C$14:$C$44, 0),
       MATCH(1, (Attendance!$C$12:$GP$12=$E281) * (Attendance!$C$13:$GP$13="Paid"), 0)
)</f>
        <v> </v>
      </c>
      <c r="E281" s="42">
        <f t="shared" ref="E281:E316" si="37">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6"/>
        <v>¬</v>
      </c>
      <c r="D282" s="61" t="str" cm="1">
        <f t="array" aca="1" ref="D282" ca="1">INDEX(Attendance!$C$14:$GP$44,
       MATCH($F$4, Attendance!$C$14:$C$44, 0),
       MATCH(1, (Attendance!$C$12:$GP$12=$E282) * (Attendance!$C$13:$GP$13="Paid"), 0)
)</f>
        <v> </v>
      </c>
      <c r="E282" s="42">
        <f t="shared" si="37"/>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0</v>
      </c>
    </row>
    <row r="283" spans="1:14">
      <c r="A283" s="1" t="s">
        <v>282</v>
      </c>
      <c r="B283" t="str">
        <f t="shared" si="36"/>
        <v>¬</v>
      </c>
      <c r="D283" s="61" t="str" cm="1">
        <f t="array" aca="1" ref="D283" ca="1">INDEX(Attendance!$C$14:$GP$44,
       MATCH($F$4, Attendance!$C$14:$C$44, 0),
       MATCH(1, (Attendance!$C$12:$GP$12=$E283) * (Attendance!$C$13:$GP$13="Paid"), 0)
)</f>
        <v> </v>
      </c>
      <c r="E283" s="42">
        <f t="shared" si="37"/>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8">IF(AE44="","¬",AE44)</f>
        <v>Cost: 1 V per effect  •  Pool: -  •  Reflexive  •  1 turn</v>
      </c>
      <c r="D284" s="61" t="str" cm="1">
        <f t="array" aca="1" ref="D284" ca="1">INDEX(Attendance!$C$14:$GP$44,
       MATCH($F$4, Attendance!$C$14:$C$44, 0),
       MATCH(1, (Attendance!$C$12:$GP$12=$E284) * (Attendance!$C$13:$GP$13="Paid"), 0)
)</f>
        <v> </v>
      </c>
      <c r="E284" s="42">
        <f t="shared" si="37"/>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8"/>
        <v>Cost: -  •  Pool: -  •  Instant  •  Scene</v>
      </c>
      <c r="D285" s="61" t="str" cm="1">
        <f t="array" aca="1" ref="D285" ca="1">INDEX(Attendance!$C$14:$GP$44,
       MATCH($F$4, Attendance!$C$14:$C$44, 0),
       MATCH(1, (Attendance!$C$12:$GP$12=$E285) * (Attendance!$C$13:$GP$13="Paid"), 0)
)</f>
        <v> </v>
      </c>
      <c r="E285" s="42">
        <f t="shared" si="37"/>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8"/>
        <v>Cost: - (req: Awed)   •  Pool: 8  v Resolve + BP  •  Contested</v>
      </c>
      <c r="D286" s="61" t="str" cm="1">
        <f t="array" aca="1" ref="D286" ca="1">INDEX(Attendance!$C$14:$GP$44,
       MATCH($F$4, Attendance!$C$14:$C$44, 0),
       MATCH(1, (Attendance!$C$12:$GP$12=$E286) * (Attendance!$C$13:$GP$13="Paid"), 0)
)</f>
        <v> </v>
      </c>
      <c r="E286" s="42">
        <f t="shared" si="37"/>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8"/>
        <v>Cost: 1 V (req: Charmed / Enthralled)   •  Pool: -  •  Instant  •  Scene</v>
      </c>
      <c r="D287" s="61" t="str" cm="1">
        <f t="array" aca="1" ref="D287" ca="1">INDEX(Attendance!$C$14:$GP$44,
       MATCH($F$4, Attendance!$C$14:$C$44, 0),
       MATCH(1, (Attendance!$C$12:$GP$12=$E287) * (Attendance!$C$13:$GP$13="Paid"), 0)
)</f>
        <v> </v>
      </c>
      <c r="E287" s="42">
        <f t="shared" si="37"/>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8"/>
        <v>¬</v>
      </c>
      <c r="D288" s="61" t="str" cm="1">
        <f t="array" aca="1" ref="D288" ca="1">INDEX(Attendance!$C$14:$GP$44,
       MATCH($F$4, Attendance!$C$14:$C$44, 0),
       MATCH(1, (Attendance!$C$12:$GP$12=$E288) * (Attendance!$C$13:$GP$13="Paid"), 0)
)</f>
        <v> </v>
      </c>
      <c r="E288" s="42">
        <f t="shared" si="37"/>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8"/>
        <v>¬</v>
      </c>
      <c r="D289" s="61" t="str" cm="1">
        <f t="array" aca="1" ref="D289" ca="1">INDEX(Attendance!$C$14:$GP$44,
       MATCH($F$4, Attendance!$C$14:$C$44, 0),
       MATCH(1, (Attendance!$C$12:$GP$12=$E289) * (Attendance!$C$13:$GP$13="Paid"), 0)
)</f>
        <v> </v>
      </c>
      <c r="E289" s="42">
        <f t="shared" si="37"/>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8"/>
        <v>Cost: 1 V 1 Successes  •  Pool: 5  •  Ritual  •  1 lunar month</v>
      </c>
      <c r="D290" s="61" t="str" cm="1">
        <f t="array" aca="1" ref="D290" ca="1">INDEX(Attendance!$C$14:$GP$44,
       MATCH($F$4, Attendance!$C$14:$C$44, 0),
       MATCH(1, (Attendance!$C$12:$GP$12=$E290) * (Attendance!$C$13:$GP$13="Paid"), 0)
)</f>
        <v> </v>
      </c>
      <c r="E290" s="42">
        <f t="shared" si="37"/>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8"/>
        <v>Cost: 1 WP 4 Successes  •  Pool: 9  v Stamina + BP  •  Ritual  •  1 night</v>
      </c>
      <c r="D291" s="61" t="str" cm="1">
        <f t="array" aca="1" ref="D291" ca="1">INDEX(Attendance!$C$14:$GP$44,
       MATCH($F$4, Attendance!$C$14:$C$44, 0),
       MATCH(1, (Attendance!$C$12:$GP$12=$E291) * (Attendance!$C$13:$GP$13="Paid"), 0)
)</f>
        <v> </v>
      </c>
      <c r="E291" s="42">
        <f t="shared" si="37"/>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8"/>
        <v>¬</v>
      </c>
      <c r="D292" s="61" t="str" cm="1">
        <f t="array" aca="1" ref="D292" ca="1">INDEX(Attendance!$C$14:$GP$44,
       MATCH($F$4, Attendance!$C$14:$C$44, 0),
       MATCH(1, (Attendance!$C$12:$GP$12=$E292) * (Attendance!$C$13:$GP$13="Paid"), 0)
)</f>
        <v> </v>
      </c>
      <c r="E292" s="42">
        <f t="shared" si="37"/>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8"/>
        <v>¬</v>
      </c>
      <c r="D293" s="61" t="str" cm="1">
        <f t="array" aca="1" ref="D293" ca="1">INDEX(Attendance!$C$14:$GP$44,
       MATCH($F$4, Attendance!$C$14:$C$44, 0),
       MATCH(1, (Attendance!$C$12:$GP$12=$E293) * (Attendance!$C$13:$GP$13="Paid"), 0)
)</f>
        <v> </v>
      </c>
      <c r="E293" s="42">
        <f t="shared" si="37"/>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8"/>
        <v>¬</v>
      </c>
      <c r="D294" s="61" t="str" cm="1">
        <f t="array" aca="1" ref="D294" ca="1">INDEX(Attendance!$C$14:$GP$44,
       MATCH($F$4, Attendance!$C$14:$C$44, 0),
       MATCH(1, (Attendance!$C$12:$GP$12=$E294) * (Attendance!$C$13:$GP$13="Paid"), 0)
)</f>
        <v> </v>
      </c>
      <c r="E294" s="42">
        <f t="shared" si="37"/>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8"/>
        <v>¬</v>
      </c>
      <c r="D295" s="61" t="str" cm="1">
        <f t="array" aca="1" ref="D295" ca="1">INDEX(Attendance!$C$14:$GP$44,
       MATCH($F$4, Attendance!$C$14:$C$44, 0),
       MATCH(1, (Attendance!$C$12:$GP$12=$E295) * (Attendance!$C$13:$GP$13="Paid"), 0)
)</f>
        <v> </v>
      </c>
      <c r="E295" s="42">
        <f t="shared" si="37"/>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8"/>
        <v>¬</v>
      </c>
      <c r="D296" s="61" t="str" cm="1">
        <f t="array" aca="1" ref="D296" ca="1">INDEX(Attendance!$C$14:$GP$44,
       MATCH($F$4, Attendance!$C$14:$C$44, 0),
       MATCH(1, (Attendance!$C$12:$GP$12=$E296) * (Attendance!$C$13:$GP$13="Paid"), 0)
)</f>
        <v> </v>
      </c>
      <c r="E296" s="42">
        <f t="shared" si="37"/>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8"/>
        <v>¬</v>
      </c>
      <c r="D297" s="61" t="str" cm="1">
        <f t="array" aca="1" ref="D297" ca="1">INDEX(Attendance!$C$14:$GP$44,
       MATCH($F$4, Attendance!$C$14:$C$44, 0),
       MATCH(1, (Attendance!$C$12:$GP$12=$E297) * (Attendance!$C$13:$GP$13="Paid"), 0)
)</f>
        <v> </v>
      </c>
      <c r="E297" s="42">
        <f t="shared" si="37"/>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8"/>
        <v>¬</v>
      </c>
      <c r="D298" s="61" t="str" cm="1">
        <f t="array" aca="1" ref="D298" ca="1">INDEX(Attendance!$C$14:$GP$44,
       MATCH($F$4, Attendance!$C$14:$C$44, 0),
       MATCH(1, (Attendance!$C$12:$GP$12=$E298) * (Attendance!$C$13:$GP$13="Paid"), 0)
)</f>
        <v> </v>
      </c>
      <c r="E298" s="42">
        <f t="shared" si="37"/>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8"/>
        <v>¬</v>
      </c>
      <c r="D299" s="61" t="str" cm="1">
        <f t="array" aca="1" ref="D299" ca="1">INDEX(Attendance!$C$14:$GP$44,
       MATCH($F$4, Attendance!$C$14:$C$44, 0),
       MATCH(1, (Attendance!$C$12:$GP$12=$E299) * (Attendance!$C$13:$GP$13="Paid"), 0)
)</f>
        <v> </v>
      </c>
      <c r="E299" s="42">
        <f t="shared" si="37"/>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8"/>
        <v>¬</v>
      </c>
      <c r="D300" s="61" t="str" cm="1">
        <f t="array" aca="1" ref="D300" ca="1">INDEX(Attendance!$C$14:$GP$44,
       MATCH($F$4, Attendance!$C$14:$C$44, 0),
       MATCH(1, (Attendance!$C$12:$GP$12=$E300) * (Attendance!$C$13:$GP$13="Paid"), 0)
)</f>
        <v> </v>
      </c>
      <c r="E300" s="42">
        <f t="shared" si="37"/>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8"/>
        <v>¬</v>
      </c>
      <c r="D301" s="61" t="str" cm="1">
        <f t="array" aca="1" ref="D301" ca="1">INDEX(Attendance!$C$14:$GP$44,
       MATCH($F$4, Attendance!$C$14:$C$44, 0),
       MATCH(1, (Attendance!$C$12:$GP$12=$E301) * (Attendance!$C$13:$GP$13="Paid"), 0)
)</f>
        <v> </v>
      </c>
      <c r="E301" s="42">
        <f t="shared" si="37"/>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8"/>
        <v>¬</v>
      </c>
      <c r="D302" s="61" t="str" cm="1">
        <f t="array" aca="1" ref="D302" ca="1">INDEX(Attendance!$C$14:$GP$44,
       MATCH($F$4, Attendance!$C$14:$C$44, 0),
       MATCH(1, (Attendance!$C$12:$GP$12=$E302) * (Attendance!$C$13:$GP$13="Paid"), 0)
)</f>
        <v> </v>
      </c>
      <c r="E302" s="42">
        <f t="shared" si="37"/>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8"/>
        <v>¬</v>
      </c>
      <c r="D303" s="61" t="str" cm="1">
        <f t="array" aca="1" ref="D303" ca="1">INDEX(Attendance!$C$14:$GP$44,
       MATCH($F$4, Attendance!$C$14:$C$44, 0),
       MATCH(1, (Attendance!$C$12:$GP$12=$E303) * (Attendance!$C$13:$GP$13="Paid"), 0)
)</f>
        <v> </v>
      </c>
      <c r="E303" s="42">
        <f t="shared" si="37"/>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8"/>
        <v>¬</v>
      </c>
      <c r="D304" s="61" t="str" cm="1">
        <f t="array" aca="1" ref="D304" ca="1">INDEX(Attendance!$C$14:$GP$44,
       MATCH($F$4, Attendance!$C$14:$C$44, 0),
       MATCH(1, (Attendance!$C$12:$GP$12=$E304) * (Attendance!$C$13:$GP$13="Paid"), 0)
)</f>
        <v> </v>
      </c>
      <c r="E304" s="42">
        <f t="shared" si="37"/>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8"/>
        <v>¬</v>
      </c>
      <c r="D305" s="61" t="str" cm="1">
        <f t="array" aca="1" ref="D305" ca="1">INDEX(Attendance!$C$14:$GP$44,
       MATCH($F$4, Attendance!$C$14:$C$44, 0),
       MATCH(1, (Attendance!$C$12:$GP$12=$E305) * (Attendance!$C$13:$GP$13="Paid"), 0)
)</f>
        <v> </v>
      </c>
      <c r="E305" s="42">
        <f t="shared" si="37"/>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8"/>
        <v>¬</v>
      </c>
      <c r="D306" s="61" t="str" cm="1">
        <f t="array" aca="1" ref="D306" ca="1">INDEX(Attendance!$C$14:$GP$44,
       MATCH($F$4, Attendance!$C$14:$C$44, 0),
       MATCH(1, (Attendance!$C$12:$GP$12=$E306) * (Attendance!$C$13:$GP$13="Paid"), 0)
)</f>
        <v> </v>
      </c>
      <c r="E306" s="42">
        <f t="shared" si="37"/>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8"/>
        <v>¬</v>
      </c>
      <c r="D307" s="61" t="str" cm="1">
        <f t="array" aca="1" ref="D307" ca="1">INDEX(Attendance!$C$14:$GP$44,
       MATCH($F$4, Attendance!$C$14:$C$44, 0),
       MATCH(1, (Attendance!$C$12:$GP$12=$E307) * (Attendance!$C$13:$GP$13="Paid"), 0)
)</f>
        <v> </v>
      </c>
      <c r="E307" s="42">
        <f t="shared" si="37"/>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8"/>
        <v>¬</v>
      </c>
      <c r="D308" s="61" t="str" cm="1">
        <f t="array" aca="1" ref="D308" ca="1">INDEX(Attendance!$C$14:$GP$44,
       MATCH($F$4, Attendance!$C$14:$C$44, 0),
       MATCH(1, (Attendance!$C$12:$GP$12=$E308) * (Attendance!$C$13:$GP$13="Paid"), 0)
)</f>
        <v> </v>
      </c>
      <c r="E308" s="42">
        <f t="shared" si="37"/>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8"/>
        <v>¬</v>
      </c>
      <c r="D309" s="61" t="str" cm="1">
        <f t="array" aca="1" ref="D309" ca="1">INDEX(Attendance!$C$14:$GP$44,
       MATCH($F$4, Attendance!$C$14:$C$44, 0),
       MATCH(1, (Attendance!$C$12:$GP$12=$E309) * (Attendance!$C$13:$GP$13="Paid"), 0)
)</f>
        <v> </v>
      </c>
      <c r="E309" s="42">
        <f t="shared" si="37"/>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8"/>
        <v>¬</v>
      </c>
      <c r="D310" s="61" t="str" cm="1">
        <f t="array" aca="1" ref="D310" ca="1">INDEX(Attendance!$C$14:$GP$44,
       MATCH($F$4, Attendance!$C$14:$C$44, 0),
       MATCH(1, (Attendance!$C$12:$GP$12=$E310) * (Attendance!$C$13:$GP$13="Paid"), 0)
)</f>
        <v> </v>
      </c>
      <c r="E310" s="42">
        <f t="shared" si="37"/>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8"/>
        <v>¬</v>
      </c>
      <c r="D311" s="61" t="str" cm="1">
        <f t="array" aca="1" ref="D311" ca="1">INDEX(Attendance!$C$14:$GP$44,
       MATCH($F$4, Attendance!$C$14:$C$44, 0),
       MATCH(1, (Attendance!$C$12:$GP$12=$E311) * (Attendance!$C$13:$GP$13="Paid"), 0)
)</f>
        <v> </v>
      </c>
      <c r="E311" s="42">
        <f t="shared" si="37"/>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8"/>
        <v>¬</v>
      </c>
      <c r="D312" s="61" t="str" cm="1">
        <f t="array" aca="1" ref="D312" ca="1">INDEX(Attendance!$C$14:$GP$44,
       MATCH($F$4, Attendance!$C$14:$C$44, 0),
       MATCH(1, (Attendance!$C$12:$GP$12=$E312) * (Attendance!$C$13:$GP$13="Paid"), 0)
)</f>
        <v> </v>
      </c>
      <c r="E312" s="42">
        <f t="shared" si="37"/>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8"/>
        <v>¬</v>
      </c>
      <c r="D313" s="61" t="str" cm="1">
        <f t="array" aca="1" ref="D313" ca="1">INDEX(Attendance!$C$14:$GP$44,
       MATCH($F$4, Attendance!$C$14:$C$44, 0),
       MATCH(1, (Attendance!$C$12:$GP$12=$E313) * (Attendance!$C$13:$GP$13="Paid"), 0)
)</f>
        <v> </v>
      </c>
      <c r="E313" s="42">
        <f t="shared" si="37"/>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39">IF(AF44="","¬",AF44)</f>
        <v>Persistent improved Defence or Dodge. Activate for supernatural speed benefits. Unnatural Grace: add Celerity dots as bonus dice to non-combat speed-based pools.</v>
      </c>
      <c r="D314" s="61" t="str" cm="1">
        <f t="array" aca="1" ref="D314" ca="1">INDEX(Attendance!$C$14:$GP$44,
       MATCH($F$4, Attendance!$C$14:$C$44, 0),
       MATCH(1, (Attendance!$C$12:$GP$12=$E314) * (Attendance!$C$13:$GP$13="Paid"), 0)
)</f>
        <v> </v>
      </c>
      <c r="E314" s="42">
        <f t="shared" si="37"/>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39"/>
        <v>Become centre of attention. Subjects become Awed.</v>
      </c>
      <c r="D315" s="61" t="str" cm="1">
        <f t="array" aca="1" ref="D315" ca="1">INDEX(Attendance!$C$14:$GP$44,
       MATCH($F$4, Attendance!$C$14:$C$44, 0),
       MATCH(1, (Attendance!$C$12:$GP$12=$E315) * (Attendance!$C$13:$GP$13="Paid"), 0)
)</f>
        <v> </v>
      </c>
      <c r="E315" s="42">
        <f t="shared" si="37"/>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39"/>
        <v>Impose Charmed Condition.</v>
      </c>
      <c r="D316" s="61" t="str" cm="1">
        <f t="array" aca="1" ref="D316" ca="1">INDEX(Attendance!$C$14:$GP$44,
       MATCH($F$4, Attendance!$C$14:$C$44, 0),
       MATCH(1, (Attendance!$C$12:$GP$12=$E316) * (Attendance!$C$13:$GP$13="Paid"), 0)
)</f>
        <v> </v>
      </c>
      <c r="E316" s="42">
        <f t="shared" si="37"/>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39"/>
        <v>Shift emotions (1 V, any number of Charmed/Enthralled targets); rage/fear causes frenzy with no resist roll (Ride the Wave normal). Requests: 1 V per target, must be spoken and heard.</v>
      </c>
    </row>
    <row r="318" spans="1:9">
      <c r="A318" s="1" t="s">
        <v>317</v>
      </c>
      <c r="B318" t="str">
        <f t="shared" si="39"/>
        <v>Glimpse fragmented details about intended actions. Learn basic info about a target.</v>
      </c>
    </row>
    <row r="319" spans="1:9">
      <c r="A319" s="1" t="s">
        <v>318</v>
      </c>
      <c r="B319" t="str">
        <f t="shared" si="39"/>
        <v>Minor cosmetic changes to living subjects. Warp dead matter. Animate liquids.</v>
      </c>
    </row>
    <row r="320" spans="1:9">
      <c r="A320" s="1" t="s">
        <v>319</v>
      </c>
      <c r="B320" t="str">
        <f t="shared" si="39"/>
        <v>Store Vitae equal to Potency in object (Size 3 or smaller)</v>
      </c>
    </row>
    <row r="321" spans="1:2">
      <c r="A321" s="1" t="s">
        <v>320</v>
      </c>
      <c r="B321" t="str">
        <f t="shared" si="39"/>
        <v>Vampire appears mortal, -2 Disciplines</v>
      </c>
    </row>
    <row r="322" spans="1:2">
      <c r="A322" s="1" t="s">
        <v>321</v>
      </c>
      <c r="B322" t="str">
        <f t="shared" si="39"/>
        <v>¬</v>
      </c>
    </row>
    <row r="323" spans="1:2">
      <c r="A323" s="1" t="s">
        <v>322</v>
      </c>
      <c r="B323" t="str">
        <f t="shared" si="39"/>
        <v>¬</v>
      </c>
    </row>
    <row r="324" spans="1:2">
      <c r="A324" s="1" t="s">
        <v>323</v>
      </c>
      <c r="B324" t="str">
        <f t="shared" si="39"/>
        <v>¬</v>
      </c>
    </row>
    <row r="325" spans="1:2">
      <c r="A325" s="1" t="s">
        <v>324</v>
      </c>
      <c r="B325" t="str">
        <f t="shared" si="39"/>
        <v>¬</v>
      </c>
    </row>
    <row r="326" spans="1:2">
      <c r="A326" s="1" t="s">
        <v>325</v>
      </c>
      <c r="B326" t="str">
        <f t="shared" si="39"/>
        <v>¬</v>
      </c>
    </row>
    <row r="327" spans="1:2">
      <c r="A327" s="1" t="s">
        <v>326</v>
      </c>
      <c r="B327" t="str">
        <f t="shared" si="39"/>
        <v>¬</v>
      </c>
    </row>
    <row r="328" spans="1:2">
      <c r="A328" s="1" t="s">
        <v>327</v>
      </c>
      <c r="B328" t="str">
        <f t="shared" si="39"/>
        <v>¬</v>
      </c>
    </row>
    <row r="329" spans="1:2">
      <c r="A329" s="1" t="s">
        <v>328</v>
      </c>
      <c r="B329" t="str">
        <f t="shared" si="39"/>
        <v>¬</v>
      </c>
    </row>
    <row r="330" spans="1:2">
      <c r="A330" s="1" t="s">
        <v>329</v>
      </c>
      <c r="B330" t="str">
        <f t="shared" si="39"/>
        <v>¬</v>
      </c>
    </row>
    <row r="331" spans="1:2">
      <c r="A331" s="1" t="s">
        <v>330</v>
      </c>
      <c r="B331" t="str">
        <f t="shared" si="39"/>
        <v>¬</v>
      </c>
    </row>
    <row r="332" spans="1:2">
      <c r="A332" s="1" t="s">
        <v>331</v>
      </c>
      <c r="B332" t="str">
        <f t="shared" si="39"/>
        <v>¬</v>
      </c>
    </row>
    <row r="333" spans="1:2">
      <c r="A333" s="1" t="s">
        <v>332</v>
      </c>
      <c r="B333" t="str">
        <f t="shared" si="39"/>
        <v>¬</v>
      </c>
    </row>
    <row r="334" spans="1:2">
      <c r="A334" s="1" t="s">
        <v>333</v>
      </c>
      <c r="B334" t="str">
        <f t="shared" si="39"/>
        <v>¬</v>
      </c>
    </row>
    <row r="335" spans="1:2">
      <c r="A335" s="1" t="s">
        <v>334</v>
      </c>
      <c r="B335" t="str">
        <f t="shared" si="39"/>
        <v>¬</v>
      </c>
    </row>
    <row r="336" spans="1:2">
      <c r="A336" s="1" t="s">
        <v>335</v>
      </c>
      <c r="B336" t="str">
        <f t="shared" si="39"/>
        <v>¬</v>
      </c>
    </row>
    <row r="337" spans="1:2">
      <c r="A337" s="1" t="s">
        <v>336</v>
      </c>
      <c r="B337" t="str">
        <f t="shared" si="39"/>
        <v>¬</v>
      </c>
    </row>
    <row r="338" spans="1:2">
      <c r="A338" s="1" t="s">
        <v>337</v>
      </c>
      <c r="B338" t="str">
        <f t="shared" si="39"/>
        <v>¬</v>
      </c>
    </row>
    <row r="339" spans="1:2">
      <c r="A339" s="1" t="s">
        <v>338</v>
      </c>
      <c r="B339" t="str">
        <f t="shared" si="39"/>
        <v>¬</v>
      </c>
    </row>
    <row r="340" spans="1:2">
      <c r="A340" s="1" t="s">
        <v>339</v>
      </c>
      <c r="B340" t="str">
        <f t="shared" si="39"/>
        <v>¬</v>
      </c>
    </row>
    <row r="341" spans="1:2">
      <c r="A341" s="1" t="s">
        <v>340</v>
      </c>
      <c r="B341" t="str">
        <f t="shared" si="39"/>
        <v>¬</v>
      </c>
    </row>
    <row r="342" spans="1:2">
      <c r="A342" s="1" t="s">
        <v>341</v>
      </c>
      <c r="B342" t="str">
        <f t="shared" si="39"/>
        <v>¬</v>
      </c>
    </row>
    <row r="343" spans="1:2">
      <c r="A343" s="1" t="s">
        <v>342</v>
      </c>
      <c r="B343" t="str">
        <f t="shared" si="39"/>
        <v>¬</v>
      </c>
    </row>
    <row r="344" spans="1:2">
      <c r="A344" s="1" t="s">
        <v>343</v>
      </c>
      <c r="B344" s="8" t="str">
        <f>IF(VLOOKUP(tblCharDataLivia[[#This Row],[Field]],$E$2:$F$361,2,FALSE)="","¬",VLOOKUP(tblCharDataLivia[[#This Row],[Field]],$E$2:$F$361,2,FALSE))</f>
        <v>Wanton Curse</v>
      </c>
    </row>
    <row r="345" spans="1:2">
      <c r="A345" s="1" t="s">
        <v>344</v>
      </c>
      <c r="B345" s="8" t="str">
        <f>IF(VLOOKUP(tblCharDataLivia[[#This Row],[Field]],$E$2:$F$361,2,FALSE)="","¬",VLOOKUP(tblCharDataLivia[[#This Row],[Field]],$E$2:$F$361,2,FALSE))</f>
        <v>¬</v>
      </c>
    </row>
    <row r="346" spans="1:2">
      <c r="A346" s="1" t="s">
        <v>345</v>
      </c>
      <c r="B346" s="8" t="str">
        <f>IF(VLOOKUP(tblCharDataLivia[[#This Row],[Field]],$E$2:$F$361,2,FALSE)="","¬",VLOOKUP(tblCharDataLivia[[#This Row],[Field]],$E$2:$F$361,2,FALSE))</f>
        <v>¬</v>
      </c>
    </row>
    <row r="347" spans="1:2">
      <c r="A347" s="1" t="s">
        <v>346</v>
      </c>
      <c r="B347" s="8" t="str">
        <f>IF(VLOOKUP(tblCharDataLivia[[#This Row],[Field]],$E$2:$F$361,2,FALSE)="","¬",VLOOKUP(tblCharDataLivia[[#This Row],[Field]],$E$2:$F$361,2,FALSE))</f>
        <v>¬</v>
      </c>
    </row>
    <row r="348" spans="1:2">
      <c r="A348" s="1" t="s">
        <v>347</v>
      </c>
      <c r="B348" s="8" t="str">
        <f>IF(VLOOKUP(tblCharDataLivia[[#This Row],[Field]],$E$2:$F$361,2,FALSE)="","¬",VLOOKUP(tblCharDataLivia[[#This Row],[Field]],$E$2:$F$361,2,FALSE))</f>
        <v>¬</v>
      </c>
    </row>
    <row r="349" spans="1:2">
      <c r="A349" s="1" t="s">
        <v>348</v>
      </c>
      <c r="B349" t="str">
        <f>_xlfn.IFNA(VLOOKUP(B344,$F$234:$I$238,3,FALSE),"")</f>
        <v>Hungry at 5 or fewer Vitae, Starving at 3 or fewer. Dramatic Failures on feeding cause Persistent Dependent Condition toward a mortal NPC.</v>
      </c>
    </row>
    <row r="350" spans="1:2">
      <c r="A350" s="1" t="s">
        <v>349</v>
      </c>
      <c r="B350" t="str">
        <f>_xlfn.IFNA(VLOOKUP(B345,$F$234:$I$238,3,FALSE),"¬")</f>
        <v>¬</v>
      </c>
    </row>
    <row r="351" spans="1:2">
      <c r="A351" s="1" t="s">
        <v>350</v>
      </c>
      <c r="B351" t="str">
        <f>_xlfn.IFNA(VLOOKUP(B346,$F$234:$I$238,3,FALSE),"")</f>
        <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9</v>
      </c>
    </row>
    <row r="356" spans="1:2">
      <c r="A356" s="1" t="s">
        <v>355</v>
      </c>
      <c r="B356">
        <f ca="1">P220</f>
        <v>5</v>
      </c>
    </row>
    <row r="357" spans="1:2">
      <c r="A357" s="1" t="s">
        <v>356</v>
      </c>
      <c r="B357" t="str">
        <f>IF(F10="","¬",VLOOKUP(F10,tblAnchors[],2,FALSE))</f>
        <v>Give advice that someone uses to succeed.</v>
      </c>
    </row>
    <row r="358" spans="1:2">
      <c r="A358" s="1" t="s">
        <v>357</v>
      </c>
      <c r="B358" t="str">
        <f>IF(F10="","¬",VLOOKUP(F10,tblAnchors[],3,FALSE))</f>
        <v>Give protected, dangerous information without asking for payment.</v>
      </c>
    </row>
    <row r="359" spans="1:2">
      <c r="A359" s="1" t="s">
        <v>358</v>
      </c>
      <c r="B359" t="str">
        <f>IF(F11="","¬",VLOOKUP(F11,tblAnchors[],2,FALSE))</f>
        <v>Uncover a lost piece of information.</v>
      </c>
    </row>
    <row r="360" spans="1:2">
      <c r="A360" s="1" t="s">
        <v>359</v>
      </c>
      <c r="B360" t="str">
        <f>IF(F11="","¬",VLOOKUP(F11,tblAnchors[],3,FALSE))</f>
        <v>Uncover forbidden knowledge.</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
      </c>
    </row>
    <row r="365" spans="1:2">
      <c r="A365" s="1" t="s">
        <v>364</v>
      </c>
      <c r="B365" t="str">
        <f>_xlfn.LET(_xlpm.a,IF(F244="","",F244),_xlpm.b,IF(F245="","",F245),IF(AND(_xlpm.a&lt;&gt;"",_xlpm.b&lt;&gt;""),_xlpm.a&amp;", "&amp;_xlpm.b,IF(_xlpm.a&lt;&gt;"",_xlpm.a,IF(_xlpm.b&lt;&gt;"",_xlpm.b,""))))</f>
        <v>Striking Looks</v>
      </c>
    </row>
  </sheetData>
  <mergeCells count="89">
    <mergeCell ref="H85:I85"/>
    <mergeCell ref="O8:P8"/>
    <mergeCell ref="O9:P9"/>
    <mergeCell ref="O10:P10"/>
    <mergeCell ref="O11:P11"/>
    <mergeCell ref="O12:P12"/>
    <mergeCell ref="H79:I79"/>
    <mergeCell ref="H80:I80"/>
    <mergeCell ref="H81:I81"/>
    <mergeCell ref="H82:I82"/>
    <mergeCell ref="H83:I83"/>
    <mergeCell ref="H84:I84"/>
    <mergeCell ref="H97:I97"/>
    <mergeCell ref="H86:I86"/>
    <mergeCell ref="H87:I87"/>
    <mergeCell ref="H88:I88"/>
    <mergeCell ref="H89:I89"/>
    <mergeCell ref="H90:I90"/>
    <mergeCell ref="H91:I91"/>
    <mergeCell ref="H92:I92"/>
    <mergeCell ref="H93:I93"/>
    <mergeCell ref="H94:I94"/>
    <mergeCell ref="H95:I95"/>
    <mergeCell ref="H96:I96"/>
    <mergeCell ref="H111:I111"/>
    <mergeCell ref="H98:I98"/>
    <mergeCell ref="H101:I101"/>
    <mergeCell ref="H102:I102"/>
    <mergeCell ref="H103:I103"/>
    <mergeCell ref="H104:I104"/>
    <mergeCell ref="H105:I105"/>
    <mergeCell ref="H106:I106"/>
    <mergeCell ref="H107:I107"/>
    <mergeCell ref="H108:I108"/>
    <mergeCell ref="H109:I109"/>
    <mergeCell ref="H110:I110"/>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52:I152"/>
    <mergeCell ref="H141:I141"/>
    <mergeCell ref="H142:I142"/>
    <mergeCell ref="H143:I143"/>
    <mergeCell ref="H144:I144"/>
    <mergeCell ref="H145:I145"/>
    <mergeCell ref="H146:I146"/>
    <mergeCell ref="H147:I147"/>
    <mergeCell ref="H148:I148"/>
    <mergeCell ref="H149:I149"/>
    <mergeCell ref="H150:I150"/>
    <mergeCell ref="H151:I151"/>
    <mergeCell ref="H207:I207"/>
    <mergeCell ref="H153:I153"/>
    <mergeCell ref="H154:I154"/>
    <mergeCell ref="H155:I155"/>
    <mergeCell ref="H156:I156"/>
    <mergeCell ref="H157:I157"/>
    <mergeCell ref="H177:I177"/>
    <mergeCell ref="H178:I178"/>
    <mergeCell ref="H179:I179"/>
    <mergeCell ref="H180:I180"/>
    <mergeCell ref="H181:I181"/>
    <mergeCell ref="H206:I206"/>
    <mergeCell ref="H238:I238"/>
    <mergeCell ref="H208:I208"/>
    <mergeCell ref="H209:I209"/>
    <mergeCell ref="H210:I210"/>
    <mergeCell ref="H211:I211"/>
    <mergeCell ref="H212:I212"/>
    <mergeCell ref="H213:I213"/>
    <mergeCell ref="H214:I214"/>
    <mergeCell ref="H215:I215"/>
    <mergeCell ref="H234:I234"/>
    <mergeCell ref="H236:I236"/>
    <mergeCell ref="H237:I237"/>
    <mergeCell ref="F240:I240"/>
    <mergeCell ref="F241:I241"/>
    <mergeCell ref="F242:I242"/>
    <mergeCell ref="F244:I244"/>
    <mergeCell ref="F245:I245"/>
  </mergeCells>
  <dataValidations count="15">
    <dataValidation type="list" allowBlank="1" showInputMessage="1" showErrorMessage="1" sqref="G248:G277" xr:uid="{59D121CD-C08B-4374-8893-494958ECFF86}">
      <formula1>$I$248:$I$249</formula1>
    </dataValidation>
    <dataValidation type="list" allowBlank="1" showInputMessage="1" showErrorMessage="1" sqref="F101:F120" xr:uid="{05ACD9D1-3015-4C67-A5EB-85B5CBD02045}">
      <formula1>lstManoeuvres</formula1>
    </dataValidation>
    <dataValidation type="list" allowBlank="1" showInputMessage="1" showErrorMessage="1" sqref="F79:F98" xr:uid="{D5D4A370-5913-464D-ABE5-00619821404F}">
      <formula1>lstMerits</formula1>
    </dataValidation>
    <dataValidation type="list" allowBlank="1" showInputMessage="1" showErrorMessage="1" sqref="F236:F238" xr:uid="{AE053AF1-0681-492D-8ACB-81AE0EC84905}">
      <formula1>lstBanes</formula1>
    </dataValidation>
    <dataValidation type="list" allowBlank="1" showInputMessage="1" showErrorMessage="1" sqref="F206:F215" xr:uid="{89D9EEDC-AE90-4EB2-93E4-CA097AC4928D}">
      <formula1>lstPacts</formula1>
    </dataValidation>
    <dataValidation type="list" allowBlank="1" showInputMessage="1" showErrorMessage="1" sqref="G12:G13" xr:uid="{72045C8F-A9A3-459C-8EDB-BFE93DBFE68B}">
      <formula1>lstStatus</formula1>
    </dataValidation>
    <dataValidation type="list" allowBlank="1" showInputMessage="1" showErrorMessage="1" sqref="F207:F215 F194:F205" xr:uid="{CD0F50E9-717C-4F96-8A3D-C393B11D6BF9}">
      <formula1>lstRites</formula1>
    </dataValidation>
    <dataValidation type="list" allowBlank="1" showInputMessage="1" showErrorMessage="1" sqref="F177:F181" xr:uid="{BD24AEF9-142B-4933-832A-2AC0EE8F4360}">
      <formula1>lstDevotions</formula1>
    </dataValidation>
    <dataValidation type="list" allowBlank="1" showInputMessage="1" showErrorMessage="1" sqref="F17:F21" xr:uid="{FD6D2622-BC9F-4FE7-9562-FDF7838D0395}">
      <formula1>"TRUE,FALSE"</formula1>
    </dataValidation>
    <dataValidation type="list" allowBlank="1" showInputMessage="1" showErrorMessage="1" sqref="F24" xr:uid="{1AE10218-DE0D-44B8-8C8C-D6181F0AFF3F}">
      <formula1>$D$7:$D$8</formula1>
    </dataValidation>
    <dataValidation type="list" allowBlank="1" showInputMessage="1" showErrorMessage="1" sqref="I25 I30 I35 I41 I51 I61" xr:uid="{ADCBA390-F904-4110-BC43-8B3768A004BA}">
      <formula1>lstPriority</formula1>
    </dataValidation>
    <dataValidation type="list" allowBlank="1" showInputMessage="1" showErrorMessage="1" sqref="F10:F11" xr:uid="{D70ADD77-9508-4293-9F22-FA209B98BC96}">
      <formula1>lstNature</formula1>
    </dataValidation>
    <dataValidation type="list" allowBlank="1" showInputMessage="1" showErrorMessage="1" sqref="F8" xr:uid="{10A31DE9-55B3-45FD-B778-ACC4C69DBD08}">
      <formula1>lstBloodlines</formula1>
    </dataValidation>
    <dataValidation type="list" allowBlank="1" showInputMessage="1" showErrorMessage="1" sqref="F9" xr:uid="{5BFD540D-CED4-48AB-BF81-C73965FFDC8F}">
      <formula1>lstCovenant</formula1>
    </dataValidation>
    <dataValidation type="list" allowBlank="1" showInputMessage="1" showErrorMessage="1" sqref="F7" xr:uid="{4BE47AA4-441F-4704-B594-BE44CF5950E1}">
      <formula1>lstClan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81E32658-21CA-4E82-830D-E36C03D7331E}">
          <x14:formula1>
            <xm:f>'Lookup-Domain'!$A$2:$A$8</xm:f>
          </x14:formula1>
          <xm:sqref>F161 F139:F157</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CA22B-8E11-4802-8711-E3B49A1A5801}">
  <dimension ref="A1:AK365"/>
  <sheetViews>
    <sheetView zoomScale="70" zoomScaleNormal="70" workbookViewId="0">
      <pane ySplit="1" topLeftCell="A2" activePane="bottomLeft" state="frozen"/>
      <selection pane="bottomLeft" activeCell="N6" sqref="N6"/>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
      </c>
      <c r="AC2" s="60" t="str" cm="1">
        <f t="array" ref="AC2:AC6">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Alternate Identity</v>
      </c>
      <c r="AD2" s="20" t="str">
        <f>IF(AC2="","¬",_xlfn.LET(_xlpm.base,IFERROR(LEFT(AC2,FIND(" (",AC2)-1),AC2),IFERROR(VLOOKUP(_xlpm.base,tblManoeuvre[],2,FALSE) &amp; " " &amp; REPT("●",VLOOKUP(_xlpm.base,tblManoeuvre[],3,FALSE)) &amp; " | " &amp; AC2,AC2 &amp; " " &amp; REPT("●",VLOOKUP(_xlpm.base,$F$79:$P$120,11,FALSE)))))</f>
        <v>Alternate Identity ●●●</v>
      </c>
      <c r="AE2" s="20"/>
      <c r="AF2" s="20" t="str">
        <f>IF(LEN(AC2)=0,"¬",_xlfn.LET(_xlpm.base,IFERROR(LEFT(AC2,FIND(" (",AC2)-1),AC2),IFERROR(VLOOKUP(_xlpm.base,tblMerits[],5,FALSE),IFERROR(VLOOKUP(_xlpm.base,tblManoeuvre[],9,FALSE),"¬"))))</f>
        <v>False identity: (•) informal, (••) documented, (•••) airtight. +1 Subterfuge to maintain, +2 at three dots.</v>
      </c>
      <c r="AI2" s="15" t="s">
        <v>25</v>
      </c>
      <c r="AJ2" s="61">
        <f t="shared" ref="AJ2:AJ58" si="1">VLOOKUP(AI2,$E$3:$P$221,12,FALSE)</f>
        <v>2</v>
      </c>
      <c r="AK2" s="61">
        <f>IF(AJ2=0,IF(COUNTIF($E$42:$E$49,AI2)&gt;0,-3,-1),AJ2)</f>
        <v>2</v>
      </c>
    </row>
    <row r="3" spans="1:37">
      <c r="A3" s="1" t="s">
        <v>2</v>
      </c>
      <c r="B3">
        <f ca="1">N3</f>
        <v>3</v>
      </c>
      <c r="D3" s="19"/>
      <c r="E3" s="15" t="s">
        <v>4</v>
      </c>
      <c r="F3" s="3" t="s">
        <v>1160</v>
      </c>
      <c r="G3" s="18"/>
      <c r="H3" s="18"/>
      <c r="I3" s="18" t="s">
        <v>1425</v>
      </c>
      <c r="N3" s="60">
        <f ca="1">10+SUM(N4:N6)-SUM(N7)</f>
        <v>3</v>
      </c>
      <c r="Y3" s="15" t="s">
        <v>115</v>
      </c>
      <c r="Z3" s="19"/>
      <c r="AA3" s="61" t="str">
        <f t="shared" si="0"/>
        <v>Alternate Identity</v>
      </c>
      <c r="AC3" s="60" t="str">
        <v>Crowdsourcing</v>
      </c>
      <c r="AD3" s="20" t="str">
        <f>IF(AC3="","¬",_xlfn.LET(_xlpm.base,IFERROR(LEFT(AC3,FIND(" (",AC3)-1),AC3),IFERROR(VLOOKUP(_xlpm.base,tblManoeuvre[],2,FALSE) &amp; " " &amp; REPT("●",VLOOKUP(_xlpm.base,tblManoeuvre[],3,FALSE)) &amp; " | " &amp; AC3,AC3 &amp; " " &amp; REPT("●",VLOOKUP(_xlpm.base,$F$79:$P$120,11,FALSE)))))</f>
        <v>Crowdsourcing ●●●</v>
      </c>
      <c r="AE3" s="20"/>
      <c r="AF3" s="20" t="str">
        <f>IF(LEN(AC3)=0,"¬",_xlfn.LET(_xlpm.base,IFERROR(LEFT(AC3,FIND(" (",AC3)-1),AC3),IFERROR(VLOOKUP(_xlpm.base,tblMerits[],5,FALSE),IFERROR(VLOOKUP(_xlpm.base,tblManoeuvre[],9,FALSE),"¬"))))</f>
        <v>Spend Willpower, roll Manipulation + Academics to transfer Social Merit dots between Invictus members, exceeding maximums by your dots.</v>
      </c>
      <c r="AI3" s="15" t="s">
        <v>41</v>
      </c>
      <c r="AJ3" s="61">
        <f t="shared" si="1"/>
        <v>0</v>
      </c>
      <c r="AK3" s="61">
        <f>IF(AJ3=0,IF(COUNTIF($E$42:$E$49,AI3)&gt;0,-3,-1),AJ3)</f>
        <v>-1</v>
      </c>
    </row>
    <row r="4" spans="1:37">
      <c r="A4" s="1" t="s">
        <v>3</v>
      </c>
      <c r="B4">
        <f ca="1">SUM(N3:N9)</f>
        <v>30</v>
      </c>
      <c r="D4" s="19"/>
      <c r="E4" s="15" t="s">
        <v>5</v>
      </c>
      <c r="F4" s="3" t="s">
        <v>1161</v>
      </c>
      <c r="G4" s="18"/>
      <c r="H4" s="18"/>
      <c r="I4" s="18" t="s">
        <v>1426</v>
      </c>
      <c r="N4" s="61">
        <f>K73*2</f>
        <v>4</v>
      </c>
      <c r="Y4" s="15" t="s">
        <v>116</v>
      </c>
      <c r="Z4" s="19"/>
      <c r="AA4" s="61" t="str">
        <f t="shared" si="0"/>
        <v>Peacemaker</v>
      </c>
      <c r="AC4" s="60" t="str">
        <v>Peacemaker</v>
      </c>
      <c r="AD4" s="20" t="str">
        <f>IF(AC4="","¬",_xlfn.LET(_xlpm.base,IFERROR(LEFT(AC4,FIND(" (",AC4)-1),AC4),IFERROR(VLOOKUP(_xlpm.base,tblManoeuvre[],2,FALSE) &amp; " " &amp; REPT("●",VLOOKUP(_xlpm.base,tblManoeuvre[],3,FALSE)) &amp; " | " &amp; AC4,AC4 &amp; " " &amp; REPT("●",VLOOKUP(_xlpm.base,$F$79:$P$120,11,FALSE)))))</f>
        <v>Peacemaker ●●●</v>
      </c>
      <c r="AE4" s="20"/>
      <c r="AF4" s="20" t="str">
        <f>IF(LEN(AC4)=0,"¬",_xlfn.LET(_xlpm.base,IFERROR(LEFT(AC4,FIND(" (",AC4)-1),AC4),IFERROR(VLOOKUP(_xlpm.base,tblMerits[],5,FALSE),IFERROR(VLOOKUP(_xlpm.base,tblManoeuvre[],9,FALSE),"¬"))))</f>
        <v>Spend Willpower to negotiate peace via Social Manoeuvring. (•••) can talk down supernatural rages.</v>
      </c>
      <c r="AI4" s="15" t="s">
        <v>236</v>
      </c>
      <c r="AJ4" s="61">
        <f t="shared" si="1"/>
        <v>0</v>
      </c>
      <c r="AK4" s="61">
        <f>AJ4</f>
        <v>0</v>
      </c>
    </row>
    <row r="5" spans="1:37">
      <c r="A5" s="1" t="s">
        <v>4</v>
      </c>
      <c r="B5" t="str">
        <f>IF(VLOOKUP(tblCharDataLudica[[#This Row],[Field]],$E$2:$F$362,2,FALSE)="","¬",VLOOKUP(tblCharDataLudica[[#This Row],[Field]],$E$2:$F$362,2,FALSE))</f>
        <v>Sky K</v>
      </c>
      <c r="D5" s="19"/>
      <c r="E5" s="15" t="s">
        <v>6</v>
      </c>
      <c r="F5" s="3" t="s">
        <v>1162</v>
      </c>
      <c r="G5" s="18"/>
      <c r="H5" s="18"/>
      <c r="I5" s="18" t="s">
        <v>1427</v>
      </c>
      <c r="N5" s="61">
        <f>N16</f>
        <v>3</v>
      </c>
      <c r="Y5" s="15" t="s">
        <v>117</v>
      </c>
      <c r="Z5" s="19"/>
      <c r="AA5" s="61" t="str">
        <f t="shared" si="0"/>
        <v/>
      </c>
      <c r="AC5" s="60" t="str">
        <v>Gettin' Up</v>
      </c>
      <c r="AD5" s="20" t="str">
        <f>IF(AC5="","¬",_xlfn.LET(_xlpm.base,IFERROR(LEFT(AC5,FIND(" (",AC5)-1),AC5),IFERROR(VLOOKUP(_xlpm.base,tblManoeuvre[],2,FALSE) &amp; " " &amp; REPT("●",VLOOKUP(_xlpm.base,tblManoeuvre[],3,FALSE)) &amp; " | " &amp; AC5,AC5 &amp; " " &amp; REPT("●",VLOOKUP(_xlpm.base,$F$79:$P$120,11,FALSE)))))</f>
        <v>Cacophony Savvy ● | Gettin' Up</v>
      </c>
      <c r="AE5" s="20"/>
      <c r="AF5" s="20" t="str">
        <f>IF(LEN(AC5)=0,"¬",_xlfn.LET(_xlpm.base,IFERROR(LEFT(AC5,FIND(" (",AC5)-1),AC5),IFERROR(VLOOKUP(_xlpm.base,tblMerits[],5,FALSE),IFERROR(VLOOKUP(_xlpm.base,tblManoeuvre[],9,FALSE),"¬"))))</f>
        <v>You can read the Cacophony with Intelligence + Streetwise. Within a vampire's Feeding Grounds, add their (not your) dots in that Merit as bonus dice.</v>
      </c>
      <c r="AI5" s="15" t="s">
        <v>33</v>
      </c>
      <c r="AJ5" s="61">
        <f t="shared" si="1"/>
        <v>2</v>
      </c>
      <c r="AK5" s="61">
        <f>IF(AJ5=0,IF(COUNTIF($E$42:$E$49,AI5)&gt;0,-3,-1),AJ5)</f>
        <v>2</v>
      </c>
    </row>
    <row r="6" spans="1:37">
      <c r="A6" s="1" t="s">
        <v>5</v>
      </c>
      <c r="B6" t="str">
        <f>IF(VLOOKUP(tblCharDataLudica[[#This Row],[Field]],$E$2:$F$362,2,FALSE)="","¬",VLOOKUP(tblCharDataLudica[[#This Row],[Field]],$E$2:$F$362,2,FALSE))</f>
        <v>Ludica Lachramore</v>
      </c>
      <c r="D6" s="19"/>
      <c r="E6" s="15" t="s">
        <v>7</v>
      </c>
      <c r="F6" s="3" t="s">
        <v>369</v>
      </c>
      <c r="G6" s="18"/>
      <c r="H6" s="18"/>
      <c r="I6" s="18" t="s">
        <v>1347</v>
      </c>
      <c r="N6" s="61">
        <f ca="1">N279</f>
        <v>3</v>
      </c>
      <c r="Y6" s="15" t="s">
        <v>118</v>
      </c>
      <c r="Z6" s="19"/>
      <c r="AA6" s="61" t="str">
        <f t="shared" si="0"/>
        <v>Crowdsourcing</v>
      </c>
      <c r="AC6" s="60" t="str">
        <v>Backpacker</v>
      </c>
      <c r="AD6" s="20" t="str">
        <f>IF(AC6="","¬",_xlfn.LET(_xlpm.base,IFERROR(LEFT(AC6,FIND(" (",AC6)-1),AC6),IFERROR(VLOOKUP(_xlpm.base,tblManoeuvre[],2,FALSE) &amp; " " &amp; REPT("●",VLOOKUP(_xlpm.base,tblManoeuvre[],3,FALSE)) &amp; " | " &amp; AC6,AC6 &amp; " " &amp; REPT("●",VLOOKUP(_xlpm.base,$F$79:$P$120,11,FALSE)))))</f>
        <v>Cacophony Savvy ●● | Backpacker</v>
      </c>
      <c r="AE6" s="20"/>
      <c r="AF6" s="20" t="str">
        <f>IF(LEN(AC6)=0,"¬",_xlfn.LET(_xlpm.base,IFERROR(LEFT(AC6,FIND(" (",AC6)-1),AC6),IFERROR(VLOOKUP(_xlpm.base,tblMerits[],5,FALSE),IFERROR(VLOOKUP(_xlpm.base,tblManoeuvre[],9,FALSE),"¬"))))</f>
        <v>You quickly learn who's who and where they hunt, even newcomers to the city.</v>
      </c>
      <c r="AI6" s="15" t="s">
        <v>237</v>
      </c>
      <c r="AJ6" s="61">
        <f t="shared" si="1"/>
        <v>4</v>
      </c>
      <c r="AK6" s="61">
        <f>AJ6</f>
        <v>4</v>
      </c>
    </row>
    <row r="7" spans="1:37">
      <c r="A7" s="1" t="s">
        <v>6</v>
      </c>
      <c r="B7" t="str">
        <f>IF(VLOOKUP(tblCharDataLudica[[#This Row],[Field]],$E$2:$F$362,2,FALSE)="","¬",VLOOKUP(tblCharDataLudica[[#This Row],[Field]],$E$2:$F$362,2,FALSE))</f>
        <v>Information Broker</v>
      </c>
      <c r="D7" s="19" t="str">
        <f>VLOOKUP(F7,tblClans[],3,FALSE)</f>
        <v>Wits</v>
      </c>
      <c r="E7" s="15" t="s">
        <v>8</v>
      </c>
      <c r="F7" s="3" t="s">
        <v>370</v>
      </c>
      <c r="G7" s="18"/>
      <c r="H7" s="18"/>
      <c r="I7" s="18"/>
      <c r="N7" s="60">
        <f>SUM(N8:N12)</f>
        <v>17</v>
      </c>
      <c r="Y7" s="15" t="s">
        <v>119</v>
      </c>
      <c r="Z7" s="19"/>
      <c r="AA7" s="61" t="str">
        <f t="shared" si="0"/>
        <v/>
      </c>
      <c r="AC7" s="60"/>
      <c r="AD7" s="20" t="str">
        <f>IF(AC7="","¬",_xlfn.LET(_xlpm.base,IFERROR(LEFT(AC7,FIND(" (",AC7)-1),AC7),IFERROR(VLOOKUP(_xlpm.base,tblManoeuvre[],2,FALSE) &amp; " " &amp; REPT("●",VLOOKUP(_xlpm.base,tblManoeuvre[],3,FALSE)) &amp; " | " &amp; AC7,AC7 &amp; " " &amp; REPT("●",VLOOKUP(_xlpm.base,$F$79:$P$120,11,FALSE)))))</f>
        <v>¬</v>
      </c>
      <c r="AE7" s="20"/>
      <c r="AF7" s="20" t="str">
        <f>IF(LEN(AC7)=0,"¬",_xlfn.LET(_xlpm.base,IFERROR(LEFT(AC7,FIND(" (",AC7)-1),AC7),IFERROR(VLOOKUP(_xlpm.base,tblMerits[],5,FALSE),IFERROR(VLOOKUP(_xlpm.base,tblManoeuvre[],9,FALSE),"¬"))))</f>
        <v>¬</v>
      </c>
      <c r="AI7" s="15" t="s">
        <v>49</v>
      </c>
      <c r="AJ7" s="61">
        <f t="shared" si="1"/>
        <v>1</v>
      </c>
      <c r="AK7" s="61">
        <f>AJ7</f>
        <v>1</v>
      </c>
    </row>
    <row r="8" spans="1:37">
      <c r="A8" s="1" t="s">
        <v>7</v>
      </c>
      <c r="B8" t="str">
        <f>IF(VLOOKUP(tblCharDataLudica[[#This Row],[Field]],$E$2:$F$362,2,FALSE)="","¬",LOWER(VLOOKUP(tblCharDataLudica[[#This Row],[Field]],$E$2:$F$362,2,FALSE)))</f>
        <v>she/her</v>
      </c>
      <c r="D8" s="19" t="str">
        <f>VLOOKUP(F7,tblClans[],2,FALSE)</f>
        <v>Intelligence</v>
      </c>
      <c r="E8" s="15" t="s">
        <v>10</v>
      </c>
      <c r="F8" s="3"/>
      <c r="G8" s="61" t="str">
        <f>IFERROR(IF(OR(AND(VLOOKUP(F8,tblBloodlines[],2,FALSE)="",VLOOKUP(F8,tblBloodlines[],3,FALSE)="",VLOOKUP(F8,tblBloodlines[],4,FALSE)=""),AND(VLOOKUP(F8,tblBloodlines[],2,FALSE)="",VLOOKUP(F8,tblBloodlines[],3,FALSE)="",F9=VLOOKUP(F8,tblBloodlines[],4,FALSE)),F7=VLOOKUP(F8,tblBloodlines[],2,FALSE),F7=VLOOKUP(F8,tblBloodlines[],3,FALSE)),TRUE,FALSE),"")</f>
        <v/>
      </c>
      <c r="H8" s="18"/>
      <c r="I8" s="18" t="s">
        <v>1428</v>
      </c>
      <c r="N8" s="61">
        <f>N23</f>
        <v>0</v>
      </c>
      <c r="O8" s="65">
        <f>N8/SUM(N$7:N$12)</f>
        <v>0</v>
      </c>
      <c r="P8" s="66"/>
      <c r="Y8" s="15" t="s">
        <v>120</v>
      </c>
      <c r="Z8" s="19"/>
      <c r="AA8" s="61" t="str">
        <f t="shared" si="0"/>
        <v/>
      </c>
      <c r="AC8" s="60"/>
      <c r="AD8" s="20" t="str">
        <f>IF(AC8="","¬",_xlfn.LET(_xlpm.base,IFERROR(LEFT(AC8,FIND(" (",AC8)-1),AC8),IFERROR(VLOOKUP(_xlpm.base,tblManoeuvre[],2,FALSE) &amp; " " &amp; REPT("●",VLOOKUP(_xlpm.base,tblManoeuvre[],3,FALSE)) &amp; " | " &amp; AC8,AC8 &amp; " " &amp; REPT("●",VLOOKUP(_xlpm.base,$F$79:$P$120,11,FALSE)))))</f>
        <v>¬</v>
      </c>
      <c r="AE8" s="20"/>
      <c r="AF8" s="20" t="str">
        <f>IF(LEN(AC8)=0,"¬",_xlfn.LET(_xlpm.base,IFERROR(LEFT(AC8,FIND(" (",AC8)-1),AC8),IFERROR(VLOOKUP(_xlpm.base,tblMerits[],5,FALSE),IFERROR(VLOOKUP(_xlpm.base,tblManoeuvre[],9,FALSE),"¬"))))</f>
        <v>¬</v>
      </c>
      <c r="AI8" s="15" t="s">
        <v>34</v>
      </c>
      <c r="AJ8" s="61">
        <f t="shared" si="1"/>
        <v>0</v>
      </c>
      <c r="AK8" s="61">
        <f>IF(AJ8=0,IF(COUNTIF($E$42:$E$49,AI8)&gt;0,-3,-1),AJ8)</f>
        <v>-1</v>
      </c>
    </row>
    <row r="9" spans="1:37">
      <c r="A9" s="1" t="s">
        <v>8</v>
      </c>
      <c r="B9" t="str">
        <f>IF(VLOOKUP(tblCharDataLudica[[#This Row],[Field]],$E$2:$F$362,2,FALSE)="","¬",VLOOKUP(tblCharDataLudica[[#This Row],[Field]],$E$2:$F$362,2,FALSE))</f>
        <v>Mekhet</v>
      </c>
      <c r="D9" s="19"/>
      <c r="E9" s="15" t="s">
        <v>11</v>
      </c>
      <c r="F9" s="3" t="s">
        <v>396</v>
      </c>
      <c r="G9" s="18"/>
      <c r="H9" s="18"/>
      <c r="I9" s="18" t="s">
        <v>1429</v>
      </c>
      <c r="N9" s="61">
        <f>N40+T40</f>
        <v>0</v>
      </c>
      <c r="O9" s="65">
        <f>N9/SUM(N$7:N$12)</f>
        <v>0</v>
      </c>
      <c r="P9" s="66"/>
      <c r="Y9" s="15" t="s">
        <v>121</v>
      </c>
      <c r="Z9" s="19"/>
      <c r="AA9" s="61" t="str">
        <f t="shared" si="0"/>
        <v/>
      </c>
      <c r="AC9" s="60"/>
      <c r="AD9" s="20" t="str">
        <f>IF(AC9="","¬",_xlfn.LET(_xlpm.base,IFERROR(LEFT(AC9,FIND(" (",AC9)-1),AC9),IFERROR(VLOOKUP(_xlpm.base,tblManoeuvre[],2,FALSE) &amp; " " &amp; REPT("●",VLOOKUP(_xlpm.base,tblManoeuvre[],3,FALSE)) &amp; " | " &amp; AC9,AC9 &amp; " " &amp; REPT("●",VLOOKUP(_xlpm.base,$F$79:$P$120,11,FALSE)))))</f>
        <v>¬</v>
      </c>
      <c r="AE9" s="20"/>
      <c r="AF9" s="20" t="str">
        <f>IF(LEN(AC9)=0,"¬",_xlfn.LET(_xlpm.base,IFERROR(LEFT(AC9,FIND(" (",AC9)-1),AC9),IFERROR(VLOOKUP(_xlpm.base,tblMerits[],5,FALSE),IFERROR(VLOOKUP(_xlpm.base,tblManoeuvre[],9,FALSE),"¬"))))</f>
        <v>¬</v>
      </c>
      <c r="AI9" s="15" t="s">
        <v>238</v>
      </c>
      <c r="AJ9" s="61">
        <f t="shared" si="1"/>
        <v>0</v>
      </c>
      <c r="AK9" s="61">
        <f>AJ9</f>
        <v>0</v>
      </c>
    </row>
    <row r="10" spans="1:37">
      <c r="A10" s="1" t="s">
        <v>9</v>
      </c>
      <c r="B10" t="str">
        <f>CONCATENATE(Elements,B9," icon.svg")</f>
        <v>D:\Terra Mortis\Character Sheets\Sheet Elements\Mekhet icon.svg</v>
      </c>
      <c r="D10" s="19"/>
      <c r="E10" s="15" t="s">
        <v>13</v>
      </c>
      <c r="F10" s="3" t="s">
        <v>376</v>
      </c>
      <c r="G10" s="18"/>
      <c r="H10" s="18"/>
      <c r="I10" s="18" t="s">
        <v>1430</v>
      </c>
      <c r="N10" s="61">
        <f>N77</f>
        <v>11</v>
      </c>
      <c r="O10" s="65">
        <f>N10/SUM(N$7:N$12)</f>
        <v>0.3235294117647059</v>
      </c>
      <c r="P10" s="66"/>
      <c r="Y10" s="15" t="s">
        <v>122</v>
      </c>
      <c r="Z10" s="19"/>
      <c r="AA10" s="61" t="str">
        <f t="shared" si="0"/>
        <v/>
      </c>
      <c r="AC10" s="60"/>
      <c r="AD10" s="20" t="str">
        <f>IF(AC10="","¬",_xlfn.LET(_xlpm.base,IFERROR(LEFT(AC10,FIND(" (",AC10)-1),AC10),IFERROR(VLOOKUP(_xlpm.base,tblManoeuvre[],2,FALSE) &amp; " " &amp; REPT("●",VLOOKUP(_xlpm.base,tblManoeuvre[],3,FALSE)) &amp; " | " &amp; AC10,AC10 &amp; " " &amp; REPT("●",VLOOKUP(_xlpm.base,$F$79:$P$120,11,FALSE)))))</f>
        <v>¬</v>
      </c>
      <c r="AE10" s="20"/>
      <c r="AF10" s="20" t="str">
        <f>IF(LEN(AC10)=0,"¬",_xlfn.LET(_xlpm.base,IFERROR(LEFT(AC10,FIND(" (",AC10)-1),AC10),IFERROR(VLOOKUP(_xlpm.base,tblMerits[],5,FALSE),IFERROR(VLOOKUP(_xlpm.base,tblManoeuvre[],9,FALSE),"¬"))))</f>
        <v>¬</v>
      </c>
      <c r="AI10" s="15" t="s">
        <v>24</v>
      </c>
      <c r="AJ10" s="61">
        <f t="shared" si="1"/>
        <v>2</v>
      </c>
      <c r="AK10" s="61">
        <f>AJ10+IFERROR(INDEX($V$26:$V$38,MATCH(AI10,$E$26:$E$38,0)),0)</f>
        <v>2</v>
      </c>
    </row>
    <row r="11" spans="1:37">
      <c r="A11" s="1" t="s">
        <v>10</v>
      </c>
      <c r="B11" t="str">
        <f>IF(VLOOKUP(tblCharDataLudica[[#This Row],[Field]],$E$2:$F$362,2,FALSE)="","¬",VLOOKUP(tblCharDataLudica[[#This Row],[Field]],$E$2:$F$362,2,FALSE))</f>
        <v>¬</v>
      </c>
      <c r="D11" s="19"/>
      <c r="E11" s="15" t="s">
        <v>14</v>
      </c>
      <c r="F11" s="3" t="s">
        <v>759</v>
      </c>
      <c r="G11" s="18"/>
      <c r="H11" s="18"/>
      <c r="I11" s="18" t="s">
        <v>1431</v>
      </c>
      <c r="N11" s="61">
        <f>N163</f>
        <v>6</v>
      </c>
      <c r="O11" s="65">
        <f>N11/SUM(N$7:N$12)</f>
        <v>0.17647058823529413</v>
      </c>
      <c r="P11" s="66"/>
      <c r="Y11" s="15" t="s">
        <v>123</v>
      </c>
      <c r="Z11" s="19"/>
      <c r="AA11" s="61" t="str">
        <f t="shared" si="0"/>
        <v/>
      </c>
      <c r="AC11" s="60"/>
      <c r="AD11" s="20" t="str">
        <f>IF(AC11="","¬",_xlfn.LET(_xlpm.base,IFERROR(LEFT(AC11,FIND(" (",AC11)-1),AC11),IFERROR(VLOOKUP(_xlpm.base,tblManoeuvre[],2,FALSE) &amp; " " &amp; REPT("●",VLOOKUP(_xlpm.base,tblManoeuvre[],3,FALSE)) &amp; " | " &amp; AC11,AC11 &amp; " " &amp; REPT("●",VLOOKUP(_xlpm.base,$F$79:$P$120,11,FALSE)))))</f>
        <v>¬</v>
      </c>
      <c r="AE11" s="20"/>
      <c r="AF11" s="20" t="str">
        <f>IF(LEN(AC11)=0,"¬",_xlfn.LET(_xlpm.base,IFERROR(LEFT(AC11,FIND(" (",AC11)-1),AC11),IFERROR(VLOOKUP(_xlpm.base,tblMerits[],5,FALSE),IFERROR(VLOOKUP(_xlpm.base,tblManoeuvre[],9,FALSE),"¬"))))</f>
        <v>¬</v>
      </c>
      <c r="AI11" s="15" t="s">
        <v>26</v>
      </c>
      <c r="AJ11" s="61">
        <f t="shared" si="1"/>
        <v>0</v>
      </c>
      <c r="AK11" s="61">
        <f>IF(AJ11=0,IF(COUNTIF($E$42:$E$49,AI11)&gt;0,-3,-1),AJ11)</f>
        <v>-3</v>
      </c>
    </row>
    <row r="12" spans="1:37">
      <c r="A12" s="1" t="s">
        <v>11</v>
      </c>
      <c r="B12" t="str">
        <f>IF(VLOOKUP(tblCharDataLudica[[#This Row],[Field]],$E$2:$F$362,2,FALSE)="","¬",VLOOKUP(tblCharDataLudica[[#This Row],[Field]],$E$2:$F$362,2,FALSE))</f>
        <v>Invictus</v>
      </c>
      <c r="D12" s="19"/>
      <c r="E12" s="15" t="s">
        <v>15</v>
      </c>
      <c r="F12" s="3"/>
      <c r="G12" s="3"/>
      <c r="H12" s="18"/>
      <c r="I12" s="18" t="s">
        <v>1432</v>
      </c>
      <c r="N12" s="61">
        <f>N71</f>
        <v>0</v>
      </c>
      <c r="O12" s="65">
        <f>N12/SUM(N$7:N$12)</f>
        <v>0</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0</v>
      </c>
      <c r="AK12" s="61">
        <f>IF(AJ12=0,IF(COUNTIF($E$42:$E$49,AI12)&gt;0,-3,-1),AJ12)</f>
        <v>-3</v>
      </c>
    </row>
    <row r="13" spans="1:37">
      <c r="A13" s="1" t="s">
        <v>12</v>
      </c>
      <c r="B13" t="str">
        <f>_xlfn.IFNA(CONCATENATE(Elements,VLOOKUP(B12,tblCovenantShortName[#Data],2,FALSE)," icon.svg"),"")</f>
        <v>D:\Terra Mortis\Character Sheets\Sheet Elements\Invictus icon.svg</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0</v>
      </c>
      <c r="AK13" s="61">
        <f t="shared" ref="AK13:AK19" si="2">AJ13</f>
        <v>0</v>
      </c>
    </row>
    <row r="14" spans="1:37">
      <c r="A14" s="1" t="s">
        <v>13</v>
      </c>
      <c r="B14" t="str">
        <f>IF(VLOOKUP(tblCharDataLudica[[#This Row],[Field]],$E$2:$F$362,2,FALSE)="","¬",VLOOKUP(tblCharDataLudica[[#This Row],[Field]],$E$2:$F$362,2,FALSE))</f>
        <v>Scholar</v>
      </c>
      <c r="D14" s="19"/>
      <c r="E14" s="15" t="s">
        <v>1433</v>
      </c>
      <c r="F14" s="54">
        <v>36464</v>
      </c>
      <c r="G14" s="3" t="s">
        <v>931</v>
      </c>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0</v>
      </c>
      <c r="AK14" s="61">
        <f t="shared" si="2"/>
        <v>0</v>
      </c>
    </row>
    <row r="15" spans="1:37">
      <c r="A15" s="1" t="s">
        <v>14</v>
      </c>
      <c r="B15" t="str">
        <f>IF(VLOOKUP(tblCharDataLudica[[#This Row],[Field]],$E$2:$F$362,2,FALSE)="","¬",VLOOKUP(tblCharDataLudica[[#This Row],[Field]],$E$2:$F$362,2,FALSE))</f>
        <v>Spy</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5</v>
      </c>
      <c r="AK15" s="61">
        <f t="shared" ca="1" si="2"/>
        <v>5</v>
      </c>
    </row>
    <row r="16" spans="1:37" ht="15.75" thickBot="1">
      <c r="A16" s="1" t="s">
        <v>15</v>
      </c>
      <c r="B16" t="str">
        <f ca="1">_xlfn.LET(_xlpm.a,VLOOKUP(tblCharDataLudica[[#This Row],[Field]],$E$2:$F$362,2,FALSE),_xlpm.b,VLOOKUP(OFFSET(tblCharDataLudica[[#This Row],[Field]],1,0),$E$2:$F$362,2,FALSE),IF(AND(_xlpm.a&lt;&gt;"",_xlpm.b&lt;&gt;""),_xlpm.a&amp;" &amp; "&amp;_xlpm.b,IF(_xlpm.a&lt;&gt;"",_xlpm.a,IF(_xlpm.b&lt;&gt;"",_xlpm.b,"¬"))))</f>
        <v>¬</v>
      </c>
      <c r="D16" s="14" t="s">
        <v>1427</v>
      </c>
      <c r="E16" s="14"/>
      <c r="F16" s="14"/>
      <c r="G16" s="14"/>
      <c r="H16" s="14"/>
      <c r="I16" s="14"/>
      <c r="N16" s="60">
        <f>SUM(N17:N21)</f>
        <v>3</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REPT("●",IFERROR(INDEX($P$26:$P$38,MATCH(tblCharDataLudica[[#This Row],[Field]],$E$26:$E$38,0)),0))&amp;REPT("○",IFERROR(INDEX($V$26:$V$38,MATCH(tblCharDataLudica[[#This Row],[Field]],$E$26:$E$38,0)),0))</f>
        <v>●●</v>
      </c>
      <c r="D17" s="19"/>
      <c r="E17" s="15" t="s">
        <v>1435</v>
      </c>
      <c r="F17" s="3" t="b">
        <v>1</v>
      </c>
      <c r="G17" s="19"/>
      <c r="H17" s="19"/>
      <c r="I17" s="19"/>
      <c r="N17" s="61">
        <f>IF(F17=TRUE,3,0)</f>
        <v>3</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3</v>
      </c>
      <c r="AK17" s="61">
        <f>AJ17+IFERROR(INDEX($V$26:$V$38,MATCH(AI17,$E$26:$E$38,0)),0)</f>
        <v>3</v>
      </c>
    </row>
    <row r="18" spans="1:37">
      <c r="A18" s="1" t="s">
        <v>17</v>
      </c>
      <c r="B18" t="str">
        <f>REPT("●",IFERROR(INDEX($P$26:$P$38,MATCH(tblCharDataLudica[[#This Row],[Field]],$E$26:$E$38,0)),0))&amp;REPT("○",IFERROR(INDEX($V$26:$V$38,MATCH(tblCharDataLudica[[#This Row],[Field]],$E$26:$E$38,0)),0))</f>
        <v>●●●●</v>
      </c>
      <c r="D18" s="19"/>
      <c r="E18" s="15" t="s">
        <v>1436</v>
      </c>
      <c r="F18" s="3"/>
      <c r="G18" s="19"/>
      <c r="H18" s="19"/>
      <c r="I18" s="19"/>
      <c r="N18" s="61">
        <f>IF(F18=TRUE,3,0)</f>
        <v>0</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0</v>
      </c>
      <c r="AK18" s="61">
        <f t="shared" si="2"/>
        <v>0</v>
      </c>
    </row>
    <row r="19" spans="1:37">
      <c r="A19" s="1" t="s">
        <v>18</v>
      </c>
      <c r="B19" t="str">
        <f>REPT("●",IFERROR(INDEX($P$26:$P$38,MATCH(tblCharDataLudica[[#This Row],[Field]],$E$26:$E$38,0)),0))&amp;REPT("○",IFERROR(INDEX($V$26:$V$38,MATCH(tblCharDataLudica[[#This Row],[Field]],$E$26:$E$38,0)),0))</f>
        <v>●●●</v>
      </c>
      <c r="D19" s="19"/>
      <c r="E19" s="15" t="s">
        <v>1437</v>
      </c>
      <c r="F19" s="3"/>
      <c r="G19" s="19"/>
      <c r="H19" s="19"/>
      <c r="I19" s="19"/>
      <c r="N19" s="61">
        <f>IF(F19=TRUE,3,0)</f>
        <v>0</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0</v>
      </c>
      <c r="AK19" s="61">
        <f t="shared" si="2"/>
        <v>0</v>
      </c>
    </row>
    <row r="20" spans="1:37">
      <c r="A20" s="1" t="s">
        <v>19</v>
      </c>
      <c r="B20" t="str">
        <f>REPT("●",IFERROR(INDEX($P$26:$P$38,MATCH(tblCharDataLudica[[#This Row],[Field]],$E$26:$E$38,0)),0))&amp;REPT("○",IFERROR(INDEX($V$26:$V$38,MATCH(tblCharDataLudica[[#This Row],[Field]],$E$26:$E$38,0)),0))</f>
        <v>●</v>
      </c>
      <c r="D20" s="19"/>
      <c r="E20" s="15" t="s">
        <v>1438</v>
      </c>
      <c r="F20" s="3"/>
      <c r="G20" s="19"/>
      <c r="H20" s="19"/>
      <c r="I20" s="19"/>
      <c r="N20" s="61">
        <f>IF(F20=TRUE,3,0)</f>
        <v>0</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REPT("●",IFERROR(INDEX($P$26:$P$38,MATCH(tblCharDataLudica[[#This Row],[Field]],$E$26:$E$38,0)),0))&amp;REPT("○",IFERROR(INDEX($V$26:$V$38,MATCH(tblCharDataLudica[[#This Row],[Field]],$E$26:$E$38,0)),0))</f>
        <v>●●●</v>
      </c>
      <c r="D21" s="19"/>
      <c r="E21" s="15" t="s">
        <v>11</v>
      </c>
      <c r="F21" s="3"/>
      <c r="G21" s="19"/>
      <c r="H21" s="19"/>
      <c r="I21" s="19"/>
      <c r="N21" s="61">
        <f>IF(F21=TRUE,3,0)</f>
        <v>0</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3</v>
      </c>
      <c r="AK21" s="61">
        <f>IF(AJ21=0,IF(COUNTIF($E$42:$E$49,AI21)&gt;0,-3,-1),AJ21)</f>
        <v>3</v>
      </c>
    </row>
    <row r="22" spans="1:37">
      <c r="A22" s="1" t="s">
        <v>21</v>
      </c>
      <c r="B22" t="str">
        <f>REPT("●",IFERROR(INDEX($P$26:$P$38,MATCH(tblCharDataLudica[[#This Row],[Field]],$E$26:$E$38,0)),0))&amp;REPT("○",IFERROR(INDEX($V$26:$V$38,MATCH(tblCharDataLudica[[#This Row],[Field]],$E$26:$E$38,0)),0))</f>
        <v>●●</v>
      </c>
      <c r="Y22" s="15" t="s">
        <v>1439</v>
      </c>
      <c r="Z22" s="61" t="str">
        <f>IFERROR(VLOOKUP(AA22,tblManoeuvre[],2,FALSE),"")</f>
        <v>Cacophony Savvy</v>
      </c>
      <c r="AA22" s="61" t="str">
        <f t="shared" ref="AA22:AA41" si="3">_xlfn.LET(_xlpm.name,VLOOKUP(Y22,$E$2:$F$362,2,FALSE),_xlpm.paid,_xlfn.IFNA(VLOOKUP(_xlpm.name,$F$79:$Q$120,11,FALSE)&gt;=VLOOKUP(_xlpm.name,$F$79:$Q$120,12,FALSE),FALSE),IF(AND(_xlpm.name&lt;&gt;"",_xlpm.paid),_xlpm.name,""))</f>
        <v>Gettin' Up</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0</v>
      </c>
      <c r="AK22" s="61">
        <f>IF(AJ22=0,IF(COUNTIF($E$42:$E$49,AI22)&gt;0,-3,-1),AJ22)</f>
        <v>-1</v>
      </c>
    </row>
    <row r="23" spans="1:37" ht="15.75" thickBot="1">
      <c r="A23" s="1" t="s">
        <v>22</v>
      </c>
      <c r="B23" t="str">
        <f>REPT("●",IFERROR(INDEX($P$26:$P$38,MATCH(tblCharDataLudica[[#This Row],[Field]],$E$26:$E$38,0)),0))&amp;REPT("○",IFERROR(INDEX($V$26:$V$38,MATCH(tblCharDataLudica[[#This Row],[Field]],$E$26:$E$38,0)),0))</f>
        <v>●●</v>
      </c>
      <c r="D23" s="14" t="s">
        <v>1440</v>
      </c>
      <c r="E23" s="14"/>
      <c r="F23" s="14"/>
      <c r="G23" s="14"/>
      <c r="H23" s="14"/>
      <c r="I23" s="14"/>
      <c r="N23" s="60">
        <f>SUM(N26:N28,N31:N33,N36:N38)</f>
        <v>0</v>
      </c>
      <c r="Y23" s="15" t="s">
        <v>1441</v>
      </c>
      <c r="Z23" s="61" t="str">
        <f>IFERROR(VLOOKUP(AA23,tblManoeuvre[],2,FALSE),"")</f>
        <v>Cacophony Savvy</v>
      </c>
      <c r="AA23" s="61" t="str">
        <f t="shared" si="3"/>
        <v>Backpacker</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0</v>
      </c>
      <c r="AK23" s="61">
        <f>IF(AJ23=0,VLOOKUP(AI23,$E$42:$Q$69,13,FALSE),AJ23)</f>
        <v>0</v>
      </c>
    </row>
    <row r="24" spans="1:37">
      <c r="A24" s="1" t="s">
        <v>23</v>
      </c>
      <c r="B24" t="str">
        <f>REPT("●",IFERROR(INDEX($P$26:$P$38,MATCH(tblCharDataLudica[[#This Row],[Field]],$E$26:$E$38,0)),0))&amp;REPT("○",IFERROR(INDEX($V$26:$V$38,MATCH(tblCharDataLudica[[#This Row],[Field]],$E$26:$E$38,0)),0))</f>
        <v>●●●</v>
      </c>
      <c r="E24" s="15" t="s">
        <v>1442</v>
      </c>
      <c r="F24" s="3" t="s">
        <v>17</v>
      </c>
      <c r="Y24" s="15" t="s">
        <v>1443</v>
      </c>
      <c r="Z24" s="61" t="str">
        <f>IFERROR(VLOOKUP(AA24,tblManoeuvre[],2,FALSE),"")</f>
        <v/>
      </c>
      <c r="AA24" s="61" t="str">
        <f t="shared" si="3"/>
        <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7</v>
      </c>
      <c r="AK24" s="61">
        <f ca="1">AJ24</f>
        <v>7</v>
      </c>
    </row>
    <row r="25" spans="1:37">
      <c r="A25" s="1" t="s">
        <v>24</v>
      </c>
      <c r="B25" t="str">
        <f>REPT("●",IFERROR(INDEX($P$26:$P$38,MATCH(tblCharDataLudica[[#This Row],[Field]],$E$26:$E$38,0)),0))&amp;REPT("○",IFERROR(INDEX($V$26:$V$38,MATCH(tblCharDataLudica[[#This Row],[Field]],$E$26:$E$38,0)),0))</f>
        <v>●●</v>
      </c>
      <c r="D25" s="16" t="s">
        <v>1444</v>
      </c>
      <c r="E25" s="17"/>
      <c r="F25" s="17"/>
      <c r="G25" s="17" t="s">
        <v>1445</v>
      </c>
      <c r="H25" s="16" t="s">
        <v>1446</v>
      </c>
      <c r="I25" s="3" t="s">
        <v>1565</v>
      </c>
      <c r="L25" s="60">
        <f>IF(I25="",0,VLOOKUP(I25,tblPriority[#Data],2,FALSE))-SUM(L26:L28)</f>
        <v>0</v>
      </c>
      <c r="Y25" s="15" t="s">
        <v>1447</v>
      </c>
      <c r="Z25" s="61" t="str">
        <f>IFERROR(VLOOKUP(AA25,tblManoeuvre[],2,FALSE),"")</f>
        <v/>
      </c>
      <c r="AA25" s="61" t="str">
        <f t="shared" si="3"/>
        <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5</v>
      </c>
      <c r="AK25" s="61">
        <f>AJ25</f>
        <v>5</v>
      </c>
    </row>
    <row r="26" spans="1:37">
      <c r="A26" s="1" t="s">
        <v>25</v>
      </c>
      <c r="B26" t="str">
        <f>REPT("●",IFERROR(INDEX($P$42:$P$69,MATCH(tblCharDataLudica[[#This Row],[Field]],$E$42:$E$69,0)),0))&amp;REPT("○",IFERROR(INDEX($V$42:$V$69,MATCH(tblCharDataLudica[[#This Row],[Field]],$E$42:$E$69,0)),0))&amp;IF(IFERROR(INDEX($W$42:$W$69,MATCH(tblCharDataLudica[[#This Row],[Field]],$E$42:$E$69,0)),0)=1,"†","")</f>
        <v>●●</v>
      </c>
      <c r="D26" s="18"/>
      <c r="E26" s="15" t="s">
        <v>16</v>
      </c>
      <c r="F26" s="18"/>
      <c r="G26" s="3"/>
      <c r="H26" s="18"/>
      <c r="I26" s="18"/>
      <c r="L26" s="3">
        <v>1</v>
      </c>
      <c r="M26" s="60">
        <f>IF(E26=$F$24,2,1)</f>
        <v>1</v>
      </c>
      <c r="N26" s="3"/>
      <c r="O26" s="61">
        <f>ROUNDDOWN(N26/4,0)</f>
        <v>0</v>
      </c>
      <c r="P26" s="60">
        <f>MIN(SUM(L26,M26,O26),R26)</f>
        <v>2</v>
      </c>
      <c r="R26" s="61">
        <v>5</v>
      </c>
      <c r="U26" s="4"/>
      <c r="V26" s="61">
        <f>U26</f>
        <v>0</v>
      </c>
      <c r="Y26" s="15" t="s">
        <v>1449</v>
      </c>
      <c r="Z26" s="61" t="str">
        <f>IFERROR(VLOOKUP(AA26,tblManoeuvre[],2,FALSE),"")</f>
        <v/>
      </c>
      <c r="AA26" s="61" t="str">
        <f t="shared" si="3"/>
        <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2</v>
      </c>
      <c r="AK26" s="61">
        <f>AJ26+IFERROR(INDEX($V$26:$V$38,MATCH(AI26,$E$26:$E$38,0)),0)</f>
        <v>2</v>
      </c>
    </row>
    <row r="27" spans="1:37">
      <c r="A27" s="1" t="s">
        <v>26</v>
      </c>
      <c r="B27" t="str">
        <f>REPT("●",IFERROR(INDEX($P$42:$P$69,MATCH(tblCharDataLudica[[#This Row],[Field]],$E$42:$E$69,0)),0))&amp;REPT("○",IFERROR(INDEX($V$42:$V$69,MATCH(tblCharDataLudica[[#This Row],[Field]],$E$42:$E$69,0)),0))&amp;IF(IFERROR(INDEX($W$42:$W$69,MATCH(tblCharDataLudica[[#This Row],[Field]],$E$42:$E$69,0)),0)=1,"†","")</f>
        <v/>
      </c>
      <c r="D27" s="18"/>
      <c r="E27" s="15" t="s">
        <v>17</v>
      </c>
      <c r="F27" s="18"/>
      <c r="G27" s="3"/>
      <c r="H27" s="18"/>
      <c r="I27" s="18"/>
      <c r="L27" s="3">
        <v>2</v>
      </c>
      <c r="M27" s="60">
        <f>IF(E27=$F$24,2,1)</f>
        <v>2</v>
      </c>
      <c r="N27" s="3"/>
      <c r="O27" s="61">
        <f>ROUNDDOWN(N27/4,0)</f>
        <v>0</v>
      </c>
      <c r="P27" s="60">
        <f>MIN(SUM(L27,M27,O27),R27)</f>
        <v>4</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2</v>
      </c>
      <c r="AK27" s="61">
        <f>IF(AJ27=0,IF(COUNTIF($E$42:$E$49,AI27)&gt;0,-3,-1),AJ27)</f>
        <v>2</v>
      </c>
    </row>
    <row r="28" spans="1:37">
      <c r="A28" s="1" t="s">
        <v>27</v>
      </c>
      <c r="B28" t="str">
        <f>REPT("●",IFERROR(INDEX($P$42:$P$69,MATCH(tblCharDataLudica[[#This Row],[Field]],$E$42:$E$69,0)),0))&amp;REPT("○",IFERROR(INDEX($V$42:$V$69,MATCH(tblCharDataLudica[[#This Row],[Field]],$E$42:$E$69,0)),0))&amp;IF(IFERROR(INDEX($W$42:$W$69,MATCH(tblCharDataLudica[[#This Row],[Field]],$E$42:$E$69,0)),0)=1,"†","")</f>
        <v/>
      </c>
      <c r="D28" s="18"/>
      <c r="E28" s="15" t="s">
        <v>18</v>
      </c>
      <c r="F28" s="18"/>
      <c r="G28" s="3"/>
      <c r="H28" s="18"/>
      <c r="I28" s="18"/>
      <c r="L28" s="3">
        <v>2</v>
      </c>
      <c r="M28" s="60">
        <f>IF(E28=$F$24,2,1)</f>
        <v>1</v>
      </c>
      <c r="N28" s="3"/>
      <c r="O28" s="61">
        <f>ROUNDDOWN(N28/4,0)</f>
        <v>0</v>
      </c>
      <c r="P28" s="60">
        <f>MIN(SUM(L28,M28,O28),R28)</f>
        <v>3</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4</v>
      </c>
      <c r="AK28" s="61">
        <f>IF(AJ28=0,IF(COUNTIF($E$42:$E$49,AI28)&gt;0,-3,-1),AJ28)</f>
        <v>4</v>
      </c>
    </row>
    <row r="29" spans="1:37">
      <c r="A29" s="1" t="s">
        <v>28</v>
      </c>
      <c r="B29" t="str">
        <f>REPT("●",IFERROR(INDEX($P$42:$P$69,MATCH(tblCharDataLudica[[#This Row],[Field]],$E$42:$E$69,0)),0))&amp;REPT("○",IFERROR(INDEX($V$42:$V$69,MATCH(tblCharDataLudica[[#This Row],[Field]],$E$42:$E$69,0)),0))&amp;IF(IFERROR(INDEX($W$42:$W$69,MATCH(tblCharDataLudica[[#This Row],[Field]],$E$42:$E$69,0)),0)=1,"†","")</f>
        <v>●●●●</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0</v>
      </c>
      <c r="AK29" s="61">
        <f>IF(AJ29=0,IF(COUNTIF($E$42:$E$49,AI29)&gt;0,-3,-1),AJ29)</f>
        <v>-1</v>
      </c>
    </row>
    <row r="30" spans="1:37">
      <c r="A30" s="1" t="s">
        <v>29</v>
      </c>
      <c r="B30" t="str">
        <f>REPT("●",IFERROR(INDEX($P$42:$P$69,MATCH(tblCharDataLudica[[#This Row],[Field]],$E$42:$E$69,0)),0))&amp;REPT("○",IFERROR(INDEX($V$42:$V$69,MATCH(tblCharDataLudica[[#This Row],[Field]],$E$42:$E$69,0)),0))&amp;IF(IFERROR(INDEX($W$42:$W$69,MATCH(tblCharDataLudica[[#This Row],[Field]],$E$42:$E$69,0)),0)=1,"†","")</f>
        <v/>
      </c>
      <c r="D30" s="16" t="s">
        <v>1453</v>
      </c>
      <c r="E30" s="17"/>
      <c r="F30" s="17"/>
      <c r="G30" s="17" t="s">
        <v>1445</v>
      </c>
      <c r="H30" s="16" t="s">
        <v>1446</v>
      </c>
      <c r="I30" s="3" t="s">
        <v>1566</v>
      </c>
      <c r="L30" s="60">
        <f>IF(I30="",0,VLOOKUP(I30,tblPriority[#Data],2,FALSE))-SUM(L31:L33)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0</v>
      </c>
      <c r="AK30" s="61">
        <f>AJ30</f>
        <v>0</v>
      </c>
    </row>
    <row r="31" spans="1:37">
      <c r="A31" s="1" t="s">
        <v>30</v>
      </c>
      <c r="B31" t="str">
        <f>REPT("●",IFERROR(INDEX($P$42:$P$69,MATCH(tblCharDataLudica[[#This Row],[Field]],$E$42:$E$69,0)),0))&amp;REPT("○",IFERROR(INDEX($V$42:$V$69,MATCH(tblCharDataLudica[[#This Row],[Field]],$E$42:$E$69,0)),0))&amp;IF(IFERROR(INDEX($W$42:$W$69,MATCH(tblCharDataLudica[[#This Row],[Field]],$E$42:$E$69,0)),0)=1,"†","")</f>
        <v>●●●</v>
      </c>
      <c r="D31" s="18"/>
      <c r="E31" s="15" t="s">
        <v>19</v>
      </c>
      <c r="F31" s="18"/>
      <c r="G31" s="3"/>
      <c r="H31" s="18"/>
      <c r="I31" s="18"/>
      <c r="L31" s="3"/>
      <c r="M31" s="60">
        <f>IF(E31=$F$24,2,1)</f>
        <v>1</v>
      </c>
      <c r="N31" s="3"/>
      <c r="O31" s="61">
        <f>ROUNDDOWN(N31/4,0)</f>
        <v>0</v>
      </c>
      <c r="P31" s="60">
        <f>MIN(SUM(L31,M31,O31),R31)</f>
        <v>1</v>
      </c>
      <c r="R31" s="61">
        <v>5</v>
      </c>
      <c r="U31" s="4"/>
      <c r="V31" s="61">
        <f>$P$174+U31</f>
        <v>0</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3</v>
      </c>
      <c r="AK31" s="61">
        <f>AJ31+IFERROR(INDEX($V$26:$V$38,MATCH(AI31,$E$26:$E$38,0)),0)</f>
        <v>3</v>
      </c>
    </row>
    <row r="32" spans="1:37">
      <c r="A32" s="1" t="s">
        <v>31</v>
      </c>
      <c r="B32" t="str">
        <f>REPT("●",IFERROR(INDEX($P$42:$P$69,MATCH(tblCharDataLudica[[#This Row],[Field]],$E$42:$E$69,0)),0))&amp;REPT("○",IFERROR(INDEX($V$42:$V$69,MATCH(tblCharDataLudica[[#This Row],[Field]],$E$42:$E$69,0)),0))&amp;IF(IFERROR(INDEX($W$42:$W$69,MATCH(tblCharDataLudica[[#This Row],[Field]],$E$42:$E$69,0)),0)=1,"†","")</f>
        <v>●●</v>
      </c>
      <c r="D32" s="18"/>
      <c r="E32" s="15" t="s">
        <v>20</v>
      </c>
      <c r="F32" s="18"/>
      <c r="G32" s="3"/>
      <c r="H32" s="18"/>
      <c r="I32" s="18"/>
      <c r="L32" s="3">
        <v>2</v>
      </c>
      <c r="M32" s="60">
        <f>IF(E32=$F$24,2,1)</f>
        <v>1</v>
      </c>
      <c r="N32" s="3"/>
      <c r="O32" s="61">
        <f>ROUNDDOWN(N32/4,0)</f>
        <v>0</v>
      </c>
      <c r="P32" s="60">
        <f>MIN(SUM(L32,M32,O32),R32)</f>
        <v>3</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REPT("●",IFERROR(INDEX($P$42:$P$69,MATCH(tblCharDataLudica[[#This Row],[Field]],$E$42:$E$69,0)),0))&amp;REPT("○",IFERROR(INDEX($V$42:$V$69,MATCH(tblCharDataLudica[[#This Row],[Field]],$E$42:$E$69,0)),0))&amp;IF(IFERROR(INDEX($W$42:$W$69,MATCH(tblCharDataLudica[[#This Row],[Field]],$E$42:$E$69,0)),0)=1,"†","")</f>
        <v/>
      </c>
      <c r="D33" s="18"/>
      <c r="E33" s="15" t="s">
        <v>21</v>
      </c>
      <c r="F33" s="18"/>
      <c r="G33" s="3"/>
      <c r="H33" s="18"/>
      <c r="I33" s="18"/>
      <c r="L33" s="3">
        <v>1</v>
      </c>
      <c r="M33" s="60">
        <f>IF(E33=$F$24,2,1)</f>
        <v>1</v>
      </c>
      <c r="N33" s="3"/>
      <c r="O33" s="61">
        <f>ROUNDDOWN(N33/4,0)</f>
        <v>0</v>
      </c>
      <c r="P33" s="60">
        <f>MIN(SUM(L33,M33,O33),R33)</f>
        <v>2</v>
      </c>
      <c r="R33" s="61">
        <v>5</v>
      </c>
      <c r="U33" s="4"/>
      <c r="V33" s="61">
        <f>$P$173+U33</f>
        <v>0</v>
      </c>
      <c r="Y33" s="15" t="s">
        <v>1457</v>
      </c>
      <c r="Z33" s="61" t="str">
        <f>IFERROR(VLOOKUP(AA33,tblManoeuvre[],2,FALSE),"")</f>
        <v/>
      </c>
      <c r="AA33" s="61" t="str">
        <f t="shared" si="3"/>
        <v/>
      </c>
      <c r="AI33" s="15" t="s">
        <v>241</v>
      </c>
      <c r="AJ33" s="61">
        <f t="shared" si="1"/>
        <v>0</v>
      </c>
      <c r="AK33" s="61">
        <f>AJ33</f>
        <v>0</v>
      </c>
    </row>
    <row r="34" spans="1:37">
      <c r="A34" s="1" t="s">
        <v>33</v>
      </c>
      <c r="B34" t="str">
        <f>REPT("●",IFERROR(INDEX($P$42:$P$69,MATCH(tblCharDataLudica[[#This Row],[Field]],$E$42:$E$69,0)),0))&amp;REPT("○",IFERROR(INDEX($V$42:$V$69,MATCH(tblCharDataLudica[[#This Row],[Field]],$E$42:$E$69,0)),0))&amp;IF(IFERROR(INDEX($W$42:$W$69,MATCH(tblCharDataLudica[[#This Row],[Field]],$E$42:$E$69,0)),0)=1,"†","")</f>
        <v>●●</v>
      </c>
      <c r="Y34" s="15" t="s">
        <v>1458</v>
      </c>
      <c r="Z34" s="61" t="str">
        <f>IFERROR(VLOOKUP(AA34,tblManoeuvre[],2,FALSE),"")</f>
        <v/>
      </c>
      <c r="AA34" s="61" t="str">
        <f t="shared" si="3"/>
        <v/>
      </c>
      <c r="AI34" s="15" t="s">
        <v>242</v>
      </c>
      <c r="AJ34" s="61">
        <f t="shared" si="1"/>
        <v>1</v>
      </c>
      <c r="AK34" s="61">
        <f>AJ34</f>
        <v>1</v>
      </c>
    </row>
    <row r="35" spans="1:37">
      <c r="A35" s="1" t="s">
        <v>34</v>
      </c>
      <c r="B35" t="str">
        <f>REPT("●",IFERROR(INDEX($P$42:$P$69,MATCH(tblCharDataLudica[[#This Row],[Field]],$E$42:$E$69,0)),0))&amp;REPT("○",IFERROR(INDEX($V$42:$V$69,MATCH(tblCharDataLudica[[#This Row],[Field]],$E$42:$E$69,0)),0))&amp;IF(IFERROR(INDEX($W$42:$W$69,MATCH(tblCharDataLudica[[#This Row],[Field]],$E$42:$E$69,0)),0)=1,"†","")</f>
        <v/>
      </c>
      <c r="D35" s="16" t="s">
        <v>1459</v>
      </c>
      <c r="E35" s="17"/>
      <c r="F35" s="17"/>
      <c r="G35" s="17" t="s">
        <v>1445</v>
      </c>
      <c r="H35" s="16" t="s">
        <v>1446</v>
      </c>
      <c r="I35" s="3" t="s">
        <v>1567</v>
      </c>
      <c r="L35" s="60">
        <f>IF(I35="",0,VLOOKUP(I35,tblPriority[#Data],2,FALSE))-SUM(L36:L38)</f>
        <v>0</v>
      </c>
      <c r="Y35" s="15" t="s">
        <v>1460</v>
      </c>
      <c r="Z35" s="61" t="str">
        <f>IFERROR(VLOOKUP(AA35,tblManoeuvre[],2,FALSE),"")</f>
        <v/>
      </c>
      <c r="AA35" s="61" t="str">
        <f t="shared" si="3"/>
        <v/>
      </c>
      <c r="AI35" s="15" t="s">
        <v>30</v>
      </c>
      <c r="AJ35" s="61">
        <f t="shared" si="1"/>
        <v>3</v>
      </c>
      <c r="AK35" s="61">
        <f>IF(AJ35=0,IF(COUNTIF($E$42:$E$49,AI35)&gt;0,-3,-1),AJ35)</f>
        <v>3</v>
      </c>
    </row>
    <row r="36" spans="1:37">
      <c r="A36" s="1" t="s">
        <v>35</v>
      </c>
      <c r="B36" t="str">
        <f>REPT("●",IFERROR(INDEX($P$42:$P$69,MATCH(tblCharDataLudica[[#This Row],[Field]],$E$42:$E$69,0)),0))&amp;REPT("○",IFERROR(INDEX($V$42:$V$69,MATCH(tblCharDataLudica[[#This Row],[Field]],$E$42:$E$69,0)),0))&amp;IF(IFERROR(INDEX($W$42:$W$69,MATCH(tblCharDataLudica[[#This Row],[Field]],$E$42:$E$69,0)),0)=1,"†","")</f>
        <v/>
      </c>
      <c r="D36" s="18"/>
      <c r="E36" s="15" t="s">
        <v>22</v>
      </c>
      <c r="F36" s="18"/>
      <c r="G36" s="3"/>
      <c r="H36" s="18"/>
      <c r="I36" s="18"/>
      <c r="L36" s="3">
        <v>1</v>
      </c>
      <c r="M36" s="60">
        <f>IF(E36=$F$24,2,1)</f>
        <v>1</v>
      </c>
      <c r="N36" s="3"/>
      <c r="O36" s="61">
        <f>ROUNDDOWN(N36/4,0)</f>
        <v>0</v>
      </c>
      <c r="P36" s="60">
        <f>MIN(SUM(L36,M36,O36),R36)</f>
        <v>2</v>
      </c>
      <c r="R36" s="61">
        <v>5</v>
      </c>
      <c r="U36" s="4"/>
      <c r="V36" s="61">
        <f>U36</f>
        <v>0</v>
      </c>
      <c r="Y36" s="15" t="s">
        <v>1461</v>
      </c>
      <c r="Z36" s="61" t="str">
        <f>IFERROR(VLOOKUP(AA36,tblManoeuvre[],2,FALSE),"")</f>
        <v/>
      </c>
      <c r="AA36" s="61" t="str">
        <f t="shared" si="3"/>
        <v/>
      </c>
      <c r="AI36" s="15" t="s">
        <v>45</v>
      </c>
      <c r="AJ36" s="61">
        <f t="shared" si="1"/>
        <v>0</v>
      </c>
      <c r="AK36" s="61">
        <f>IF(AJ36=0,IF(COUNTIF($E$42:$E$49,AI36)&gt;0,-3,-1),AJ36)</f>
        <v>-1</v>
      </c>
    </row>
    <row r="37" spans="1:37">
      <c r="A37" s="1" t="s">
        <v>36</v>
      </c>
      <c r="B37" t="str">
        <f>REPT("●",IFERROR(INDEX($P$42:$P$69,MATCH(tblCharDataLudica[[#This Row],[Field]],$E$42:$E$69,0)),0))&amp;REPT("○",IFERROR(INDEX($V$42:$V$69,MATCH(tblCharDataLudica[[#This Row],[Field]],$E$42:$E$69,0)),0))&amp;IF(IFERROR(INDEX($W$42:$W$69,MATCH(tblCharDataLudica[[#This Row],[Field]],$E$42:$E$69,0)),0)=1,"†","")</f>
        <v/>
      </c>
      <c r="D37" s="18"/>
      <c r="E37" s="15" t="s">
        <v>23</v>
      </c>
      <c r="F37" s="18"/>
      <c r="G37" s="3"/>
      <c r="H37" s="18"/>
      <c r="I37" s="18"/>
      <c r="L37" s="3">
        <v>2</v>
      </c>
      <c r="M37" s="60">
        <f>IF(E37=$F$24,2,1)</f>
        <v>1</v>
      </c>
      <c r="N37" s="3"/>
      <c r="O37" s="61">
        <f>ROUNDDOWN(N37/4,0)</f>
        <v>0</v>
      </c>
      <c r="P37" s="60">
        <f>MIN(SUM(L37,M37,O37),R37)</f>
        <v>3</v>
      </c>
      <c r="R37" s="61">
        <v>5</v>
      </c>
      <c r="U37" s="4"/>
      <c r="V37" s="61">
        <f>U37</f>
        <v>0</v>
      </c>
      <c r="Y37" s="15" t="s">
        <v>1462</v>
      </c>
      <c r="Z37" s="61" t="str">
        <f>IFERROR(VLOOKUP(AA37,tblManoeuvre[],2,FALSE),"")</f>
        <v/>
      </c>
      <c r="AA37" s="61" t="str">
        <f t="shared" si="3"/>
        <v/>
      </c>
      <c r="AI37" s="15" t="s">
        <v>31</v>
      </c>
      <c r="AJ37" s="61">
        <f t="shared" si="1"/>
        <v>2</v>
      </c>
      <c r="AK37" s="61">
        <f>IF(AJ37=0,IF(COUNTIF($E$42:$E$49,AI37)&gt;0,-3,-1),AJ37)</f>
        <v>2</v>
      </c>
    </row>
    <row r="38" spans="1:37">
      <c r="A38" s="1" t="s">
        <v>37</v>
      </c>
      <c r="B38" t="str">
        <f>REPT("●",IFERROR(INDEX($P$42:$P$69,MATCH(tblCharDataLudica[[#This Row],[Field]],$E$42:$E$69,0)),0))&amp;REPT("○",IFERROR(INDEX($V$42:$V$69,MATCH(tblCharDataLudica[[#This Row],[Field]],$E$42:$E$69,0)),0))&amp;IF(IFERROR(INDEX($W$42:$W$69,MATCH(tblCharDataLudica[[#This Row],[Field]],$E$42:$E$69,0)),0)=1,"†","")</f>
        <v/>
      </c>
      <c r="D38" s="18"/>
      <c r="E38" s="15" t="s">
        <v>24</v>
      </c>
      <c r="F38" s="18"/>
      <c r="G38" s="3"/>
      <c r="H38" s="18"/>
      <c r="I38" s="18"/>
      <c r="L38" s="3">
        <v>1</v>
      </c>
      <c r="M38" s="60">
        <f>IF(E38=$F$24,2,1)</f>
        <v>1</v>
      </c>
      <c r="N38" s="3"/>
      <c r="O38" s="61">
        <f>ROUNDDOWN(N38/4,0)</f>
        <v>0</v>
      </c>
      <c r="P38" s="60">
        <f>MIN(SUM(L38,M38,O38),R38)</f>
        <v>2</v>
      </c>
      <c r="R38" s="61">
        <v>5</v>
      </c>
      <c r="U38" s="4"/>
      <c r="V38" s="61">
        <f>U38</f>
        <v>0</v>
      </c>
      <c r="Y38" s="15" t="s">
        <v>1463</v>
      </c>
      <c r="Z38" s="61" t="str">
        <f>IFERROR(VLOOKUP(AA38,tblManoeuvre[],2,FALSE),"")</f>
        <v/>
      </c>
      <c r="AA38" s="61" t="str">
        <f t="shared" si="3"/>
        <v/>
      </c>
      <c r="AI38" s="15" t="s">
        <v>22</v>
      </c>
      <c r="AJ38" s="61">
        <f t="shared" si="1"/>
        <v>2</v>
      </c>
      <c r="AK38" s="61">
        <f>AJ38+IFERROR(INDEX($V$26:$V$38,MATCH(AI38,$E$26:$E$38,0)),0)</f>
        <v>2</v>
      </c>
    </row>
    <row r="39" spans="1:37">
      <c r="A39" s="1" t="s">
        <v>38</v>
      </c>
      <c r="B39" t="str">
        <f>REPT("●",IFERROR(INDEX($P$42:$P$69,MATCH(tblCharDataLudica[[#This Row],[Field]],$E$42:$E$69,0)),0))&amp;REPT("○",IFERROR(INDEX($V$42:$V$69,MATCH(tblCharDataLudica[[#This Row],[Field]],$E$42:$E$69,0)),0))&amp;IF(IFERROR(INDEX($W$42:$W$69,MATCH(tblCharDataLudica[[#This Row],[Field]],$E$42:$E$69,0)),0)=1,"†","")</f>
        <v>●●</v>
      </c>
      <c r="Y39" s="15" t="s">
        <v>1464</v>
      </c>
      <c r="Z39" s="61" t="str">
        <f>IFERROR(VLOOKUP(AA39,tblManoeuvre[],2,FALSE),"")</f>
        <v/>
      </c>
      <c r="AA39" s="61" t="str">
        <f t="shared" si="3"/>
        <v/>
      </c>
      <c r="AI39" s="15" t="s">
        <v>243</v>
      </c>
      <c r="AJ39" s="61">
        <f t="shared" si="1"/>
        <v>0</v>
      </c>
      <c r="AK39" s="61">
        <f>AJ39</f>
        <v>0</v>
      </c>
    </row>
    <row r="40" spans="1:37" ht="15.75" thickBot="1">
      <c r="A40" s="1" t="s">
        <v>39</v>
      </c>
      <c r="B40" t="str">
        <f>REPT("●",IFERROR(INDEX($P$42:$P$69,MATCH(tblCharDataLudica[[#This Row],[Field]],$E$42:$E$69,0)),0))&amp;REPT("○",IFERROR(INDEX($V$42:$V$69,MATCH(tblCharDataLudica[[#This Row],[Field]],$E$42:$E$69,0)),0))&amp;IF(IFERROR(INDEX($W$42:$W$69,MATCH(tblCharDataLudica[[#This Row],[Field]],$E$42:$E$69,0)),0)=1,"†","")</f>
        <v/>
      </c>
      <c r="D40" s="14" t="s">
        <v>1465</v>
      </c>
      <c r="E40" s="14"/>
      <c r="F40" s="14"/>
      <c r="G40" s="14"/>
      <c r="H40" s="14"/>
      <c r="I40" s="14"/>
      <c r="N40" s="60">
        <f>SUM(N42:N49,N52:N59,N62:N69)</f>
        <v>0</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1"/>
        <v>0</v>
      </c>
      <c r="AK40" s="61">
        <f>AJ40</f>
        <v>0</v>
      </c>
    </row>
    <row r="41" spans="1:37">
      <c r="A41" s="1" t="s">
        <v>40</v>
      </c>
      <c r="B41" t="str">
        <f>REPT("●",IFERROR(INDEX($P$42:$P$69,MATCH(tblCharDataLudica[[#This Row],[Field]],$E$42:$E$69,0)),0))&amp;REPT("○",IFERROR(INDEX($V$42:$V$69,MATCH(tblCharDataLudica[[#This Row],[Field]],$E$42:$E$69,0)),0))&amp;IF(IFERROR(INDEX($W$42:$W$69,MATCH(tblCharDataLudica[[#This Row],[Field]],$E$42:$E$69,0)),0)=1,"†","")</f>
        <v/>
      </c>
      <c r="D41" s="16" t="s">
        <v>1444</v>
      </c>
      <c r="E41" s="17"/>
      <c r="F41" s="17"/>
      <c r="G41" s="17" t="s">
        <v>1467</v>
      </c>
      <c r="H41" s="16" t="s">
        <v>1446</v>
      </c>
      <c r="I41" s="3" t="s">
        <v>1565</v>
      </c>
      <c r="L41" s="60">
        <f>IF(I41="",0,VLOOKUP(I41,tblPriority[#Data],3,FALSE))-SUM(L42:L49)</f>
        <v>0</v>
      </c>
      <c r="T41" s="60">
        <f>3+IF(P161&gt;=3,2,0)-SUM(T42:T49,T52:T59,T62:T69)</f>
        <v>0</v>
      </c>
      <c r="Y41" s="15" t="s">
        <v>1468</v>
      </c>
      <c r="Z41" s="61" t="str">
        <f>IFERROR(VLOOKUP(AA41,tblManoeuvre[],2,FALSE),"")</f>
        <v/>
      </c>
      <c r="AA41" s="61" t="str">
        <f t="shared" si="3"/>
        <v/>
      </c>
      <c r="AI41" s="15" t="s">
        <v>244</v>
      </c>
      <c r="AJ41" s="61">
        <f t="shared" si="1"/>
        <v>0</v>
      </c>
      <c r="AK41" s="61">
        <f>AJ41</f>
        <v>0</v>
      </c>
    </row>
    <row r="42" spans="1:37">
      <c r="A42" s="1" t="s">
        <v>41</v>
      </c>
      <c r="B42" t="str">
        <f>REPT("●",IFERROR(INDEX($P$42:$P$69,MATCH(tblCharDataLudica[[#This Row],[Field]],$E$42:$E$69,0)),0))&amp;REPT("○",IFERROR(INDEX($V$42:$V$69,MATCH(tblCharDataLudica[[#This Row],[Field]],$E$42:$E$69,0)),0))&amp;IF(IFERROR(INDEX($W$42:$W$69,MATCH(tblCharDataLudica[[#This Row],[Field]],$E$42:$E$69,0)),0)=1,"†","")</f>
        <v/>
      </c>
      <c r="D42" s="18"/>
      <c r="E42" s="15" t="s">
        <v>25</v>
      </c>
      <c r="F42" s="18"/>
      <c r="G42" s="3"/>
      <c r="H42" s="18"/>
      <c r="I42" s="18"/>
      <c r="L42" s="4">
        <v>2</v>
      </c>
      <c r="M42" s="60"/>
      <c r="N42" s="4"/>
      <c r="O42" s="61">
        <f>ROUNDDOWN(N42/2,0)</f>
        <v>0</v>
      </c>
      <c r="P42" s="60">
        <f t="shared" ref="P42:P49" si="4">MIN(SUM(L42,M42,O42),R42)</f>
        <v>2</v>
      </c>
      <c r="R42" s="61">
        <v>5</v>
      </c>
      <c r="T42" s="4"/>
      <c r="U42" s="4"/>
      <c r="V42" s="61">
        <f t="shared" ref="V42:V49" si="5">U42</f>
        <v>0</v>
      </c>
      <c r="W42" s="4"/>
      <c r="AI42" s="15" t="s">
        <v>18</v>
      </c>
      <c r="AJ42" s="61">
        <f t="shared" si="1"/>
        <v>3</v>
      </c>
      <c r="AK42" s="61">
        <f>AJ42+IFERROR(INDEX($V$26:$V$38,MATCH(AI42,$E$26:$E$38,0)),0)</f>
        <v>3</v>
      </c>
    </row>
    <row r="43" spans="1:37">
      <c r="A43" s="1" t="s">
        <v>42</v>
      </c>
      <c r="B43" t="str">
        <f>REPT("●",IFERROR(INDEX($P$42:$P$69,MATCH(tblCharDataLudica[[#This Row],[Field]],$E$42:$E$69,0)),0))&amp;REPT("○",IFERROR(INDEX($V$42:$V$69,MATCH(tblCharDataLudica[[#This Row],[Field]],$E$42:$E$69,0)),0))&amp;IF(IFERROR(INDEX($W$42:$W$69,MATCH(tblCharDataLudica[[#This Row],[Field]],$E$42:$E$69,0)),0)=1,"†","")</f>
        <v>●●●</v>
      </c>
      <c r="D43" s="18"/>
      <c r="E43" s="15" t="s">
        <v>26</v>
      </c>
      <c r="F43" s="18"/>
      <c r="G43" s="3"/>
      <c r="H43" s="18"/>
      <c r="I43" s="18"/>
      <c r="L43" s="4"/>
      <c r="M43" s="60"/>
      <c r="N43" s="4"/>
      <c r="O43" s="61">
        <f t="shared" ref="O43:O49" si="6">ROUNDDOWN(N43/2,0)</f>
        <v>0</v>
      </c>
      <c r="P43" s="60">
        <f t="shared" si="4"/>
        <v>0</v>
      </c>
      <c r="R43" s="61">
        <v>5</v>
      </c>
      <c r="T43" s="4"/>
      <c r="U43" s="4"/>
      <c r="V43" s="61">
        <f t="shared" si="5"/>
        <v>0</v>
      </c>
      <c r="W43" s="4"/>
      <c r="AI43" s="15" t="s">
        <v>32</v>
      </c>
      <c r="AJ43" s="61">
        <f t="shared" si="1"/>
        <v>0</v>
      </c>
      <c r="AK43" s="61">
        <f>IF(AJ43=0,IF(COUNTIF($E$42:$E$49,AI43)&gt;0,-3,-1),AJ43)</f>
        <v>-3</v>
      </c>
    </row>
    <row r="44" spans="1:37">
      <c r="A44" s="1" t="s">
        <v>43</v>
      </c>
      <c r="B44" t="str">
        <f>REPT("●",IFERROR(INDEX($P$42:$P$69,MATCH(tblCharDataLudica[[#This Row],[Field]],$E$42:$E$69,0)),0))&amp;REPT("○",IFERROR(INDEX($V$42:$V$69,MATCH(tblCharDataLudica[[#This Row],[Field]],$E$42:$E$69,0)),0))&amp;IF(IFERROR(INDEX($W$42:$W$69,MATCH(tblCharDataLudica[[#This Row],[Field]],$E$42:$E$69,0)),0)=1,"†","")</f>
        <v/>
      </c>
      <c r="D44" s="18"/>
      <c r="E44" s="15" t="s">
        <v>27</v>
      </c>
      <c r="F44" s="18"/>
      <c r="G44" s="3"/>
      <c r="H44" s="18"/>
      <c r="I44" s="18"/>
      <c r="L44" s="4"/>
      <c r="M44" s="60"/>
      <c r="N44" s="4"/>
      <c r="O44" s="61">
        <f t="shared" si="6"/>
        <v>0</v>
      </c>
      <c r="P44" s="60">
        <f t="shared" si="4"/>
        <v>0</v>
      </c>
      <c r="R44" s="61">
        <v>5</v>
      </c>
      <c r="T44" s="4"/>
      <c r="U44" s="4"/>
      <c r="V44" s="61">
        <f t="shared" si="5"/>
        <v>0</v>
      </c>
      <c r="W44" s="4"/>
      <c r="Y44" s="15">
        <v>1</v>
      </c>
      <c r="Z44" s="61" t="s">
        <v>236</v>
      </c>
      <c r="AA44" s="60" t="str" cm="1">
        <f t="array" ref="AA44">IF(OR(Y44=0,Y44=""),"",IF(VLOOKUP(Z44,$AI$1:$AJ$58,2,FALSE)&gt;=Y44,INDEX(tblDisciplines[Name],MATCH(1,(tblDisciplines[Discipline]=Z44)*(tblDisciplines[Rank]=Y44),0)),""))</f>
        <v/>
      </c>
      <c r="AC44" s="60" t="str" cm="1">
        <f t="array" ref="AC44:AC49">IFERROR(_xlfn.VSTACK(IFERROR(_xlfn._xlws.FILTER(AA44:AA121,AA44:AA121&lt;&gt;""),""),IFERROR(_xlfn._xlws.SORT(_xlfn._xlws.FILTER(AA123:AA132,AA123:AA132&lt;&gt;"")),"")),"")</f>
        <v>Beast's Hackles</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Auspex ● | Beast's Hackles</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Free (1 V for Insight)  •  Pool: - - Composure &amp; Closed Book  •  Instant  •  Scene</v>
      </c>
      <c r="AF44" s="20" t="str">
        <f>IF(AC44="","",IFERROR(VLOOKUP(AC44,tblDisciplines[],12,FALSE),VLOOKUP(AC44,tblPacts[],5,FALSE)))</f>
        <v>Add Auspex dots to any rolls to resist surprise. Access to Tier 1 Auspex Insight questions.</v>
      </c>
      <c r="AI44" s="15" t="s">
        <v>353</v>
      </c>
      <c r="AJ44" s="61">
        <f t="shared" si="1"/>
        <v>5</v>
      </c>
      <c r="AK44" s="61">
        <f>AJ44</f>
        <v>5</v>
      </c>
    </row>
    <row r="45" spans="1:37">
      <c r="A45" s="1" t="s">
        <v>44</v>
      </c>
      <c r="B45" t="str">
        <f>REPT("●",IFERROR(INDEX($P$42:$P$69,MATCH(tblCharDataLudica[[#This Row],[Field]],$E$42:$E$69,0)),0))&amp;REPT("○",IFERROR(INDEX($V$42:$V$69,MATCH(tblCharDataLudica[[#This Row],[Field]],$E$42:$E$69,0)),0))&amp;IF(IFERROR(INDEX($W$42:$W$69,MATCH(tblCharDataLudica[[#This Row],[Field]],$E$42:$E$69,0)),0)=1,"†","")</f>
        <v>●●</v>
      </c>
      <c r="D45" s="18"/>
      <c r="E45" s="15" t="s">
        <v>28</v>
      </c>
      <c r="F45" s="18"/>
      <c r="G45" s="3" t="s">
        <v>1163</v>
      </c>
      <c r="H45" s="18"/>
      <c r="I45" s="18"/>
      <c r="L45" s="4">
        <v>4</v>
      </c>
      <c r="M45" s="60"/>
      <c r="N45" s="4"/>
      <c r="O45" s="61">
        <f t="shared" si="6"/>
        <v>0</v>
      </c>
      <c r="P45" s="60">
        <f t="shared" si="4"/>
        <v>4</v>
      </c>
      <c r="R45" s="61">
        <v>5</v>
      </c>
      <c r="T45" s="4">
        <v>1</v>
      </c>
      <c r="U45" s="4"/>
      <c r="V45" s="61">
        <f t="shared" si="5"/>
        <v>0</v>
      </c>
      <c r="W45" s="4"/>
      <c r="Y45" s="15">
        <v>2</v>
      </c>
      <c r="Z45" s="61" t="s">
        <v>236</v>
      </c>
      <c r="AA45" s="60" t="str" cm="1">
        <f t="array" ref="AA45">IF(OR(Y45=0,Y45=""),"",IF(VLOOKUP(Z45,$AI$1:$AJ$58,2,FALSE)&gt;=Y45,INDEX(tblDisciplines[Name],MATCH(1,(tblDisciplines[Discipline]=Z45)*(tblDisciplines[Rank]=Y45),0)),""))</f>
        <v/>
      </c>
      <c r="AC45" s="60" t="str">
        <v>Uncanny Perception</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Auspex ●● | Uncanny Perception</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Free (1 V for Insight) Must perceive target  •  Pool: -  •  Instant  •  Scene</v>
      </c>
      <c r="AF45" s="20" t="str">
        <f>IF(AC45="","",IFERROR(VLOOKUP(AC45,tblDisciplines[],12,FALSE),VLOOKUP(AC45,tblPacts[],5,FALSE)))</f>
        <v>Persistent Acute Senses Merit, doubles actual merit. Access to Tier 2 Auspex Insight questions.</v>
      </c>
      <c r="AI45" s="15" t="s">
        <v>46</v>
      </c>
      <c r="AJ45" s="61">
        <f t="shared" si="1"/>
        <v>2</v>
      </c>
      <c r="AK45" s="61">
        <f>IF(AJ45=0,IF(COUNTIF($E$42:$E$49,AI45)&gt;0,-3,-1),AJ45)</f>
        <v>2</v>
      </c>
    </row>
    <row r="46" spans="1:37">
      <c r="A46" s="1" t="s">
        <v>45</v>
      </c>
      <c r="B46" t="str">
        <f>REPT("●",IFERROR(INDEX($P$42:$P$69,MATCH(tblCharDataLudica[[#This Row],[Field]],$E$42:$E$69,0)),0))&amp;REPT("○",IFERROR(INDEX($V$42:$V$69,MATCH(tblCharDataLudica[[#This Row],[Field]],$E$42:$E$69,0)),0))&amp;IF(IFERROR(INDEX($W$42:$W$69,MATCH(tblCharDataLudica[[#This Row],[Field]],$E$42:$E$69,0)),0)=1,"†","")</f>
        <v/>
      </c>
      <c r="D46" s="18"/>
      <c r="E46" s="15" t="s">
        <v>29</v>
      </c>
      <c r="F46" s="18"/>
      <c r="G46" s="3"/>
      <c r="H46" s="18"/>
      <c r="I46" s="18"/>
      <c r="L46" s="4"/>
      <c r="M46" s="60"/>
      <c r="N46" s="4"/>
      <c r="O46" s="61">
        <f t="shared" si="6"/>
        <v>0</v>
      </c>
      <c r="P46" s="60">
        <f t="shared" si="4"/>
        <v>0</v>
      </c>
      <c r="R46" s="61">
        <v>5</v>
      </c>
      <c r="T46" s="4"/>
      <c r="U46" s="4"/>
      <c r="V46" s="61">
        <f t="shared" si="5"/>
        <v>0</v>
      </c>
      <c r="W46" s="4"/>
      <c r="Y46" s="15">
        <v>3</v>
      </c>
      <c r="Z46" s="61" t="s">
        <v>236</v>
      </c>
      <c r="AA46" s="60" t="str" cm="1">
        <f t="array" ref="AA46">IF(OR(Y46=0,Y46=""),"",IF(VLOOKUP(Z46,$AI$1:$AJ$58,2,FALSE)&gt;=Y46,INDEX(tblDisciplines[Name],MATCH(1,(tblDisciplines[Discipline]=Z46)*(tblDisciplines[Rank]=Y46),0)),""))</f>
        <v/>
      </c>
      <c r="AC46" s="60" t="str">
        <v>Spirit's Touch</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Auspex ●●● | Spirit's Touch</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Free (1 WP for clash / 1 V for Insight)  •  Pool: - v Resolve + Stealth + Obf  •  Reflexive  •  Immediate</v>
      </c>
      <c r="AF46" s="20" t="str">
        <f>IF(AC46="","",IFERROR(VLOOKUP(AC46,tblDisciplines[],12,FALSE),VLOOKUP(AC46,tblPacts[],5,FALSE)))</f>
        <v xml:space="preserve">Passively scan for anyone under Obfuscate 1 or 3, can provoke a challenge. Access to Tier 3 Auspex Insight questions. </v>
      </c>
      <c r="AI46" s="15" t="s">
        <v>354</v>
      </c>
      <c r="AJ46" s="61">
        <f t="shared" ca="1" si="1"/>
        <v>9</v>
      </c>
      <c r="AK46" s="61">
        <f ca="1">AJ46</f>
        <v>9</v>
      </c>
    </row>
    <row r="47" spans="1:37">
      <c r="A47" s="1" t="s">
        <v>46</v>
      </c>
      <c r="B47" t="str">
        <f>REPT("●",IFERROR(INDEX($P$42:$P$69,MATCH(tblCharDataLudica[[#This Row],[Field]],$E$42:$E$69,0)),0))&amp;REPT("○",IFERROR(INDEX($V$42:$V$69,MATCH(tblCharDataLudica[[#This Row],[Field]],$E$42:$E$69,0)),0))&amp;IF(IFERROR(INDEX($W$42:$W$69,MATCH(tblCharDataLudica[[#This Row],[Field]],$E$42:$E$69,0)),0)=1,"†","")</f>
        <v>●●</v>
      </c>
      <c r="D47" s="18"/>
      <c r="E47" s="15" t="s">
        <v>30</v>
      </c>
      <c r="F47" s="18"/>
      <c r="G47" s="3" t="s">
        <v>1164</v>
      </c>
      <c r="H47" s="18"/>
      <c r="I47" s="18"/>
      <c r="L47" s="4">
        <v>3</v>
      </c>
      <c r="M47" s="60"/>
      <c r="N47" s="4"/>
      <c r="O47" s="61">
        <f t="shared" si="6"/>
        <v>0</v>
      </c>
      <c r="P47" s="60">
        <f t="shared" si="4"/>
        <v>3</v>
      </c>
      <c r="R47" s="61">
        <v>5</v>
      </c>
      <c r="T47" s="4">
        <v>1</v>
      </c>
      <c r="U47" s="4"/>
      <c r="V47" s="61">
        <f t="shared" si="5"/>
        <v>0</v>
      </c>
      <c r="W47" s="4"/>
      <c r="Y47" s="15">
        <v>4</v>
      </c>
      <c r="Z47" s="61" t="s">
        <v>236</v>
      </c>
      <c r="AA47" s="60" t="str" cm="1">
        <f t="array" ref="AA47">IF(OR(Y47=0,Y47=""),"",IF(VLOOKUP(Z47,$AI$1:$AJ$58,2,FALSE)&gt;=Y47,INDEX(tblDisciplines[Name],MATCH(1,(tblDisciplines[Discipline]=Z47)*(tblDisciplines[Rank]=Y47),0)),""))</f>
        <v/>
      </c>
      <c r="AC47" s="60" t="str">
        <v>Lay Open the Mind</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Auspex ●●●● | Lay Open the Mind</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Cost: 1 V  •  Pool: 8  v Resolve + BP  •  Instant  •  Scene</v>
      </c>
      <c r="AF47" s="20" t="str">
        <f>IF(AC47="","",IFERROR(VLOOKUP(AC47,tblDisciplines[],12,FALSE),VLOOKUP(AC47,tblPacts[],5,FALSE)))</f>
        <v>Telepathy and mind-reading. Invoke Conditions.</v>
      </c>
      <c r="AI47" s="15" t="s">
        <v>21</v>
      </c>
      <c r="AJ47" s="61">
        <f t="shared" si="1"/>
        <v>2</v>
      </c>
      <c r="AK47" s="61">
        <f>AJ47+IFERROR(INDEX($V$26:$V$38,MATCH(AI47,$E$26:$E$38,0)),0)</f>
        <v>2</v>
      </c>
    </row>
    <row r="48" spans="1:37">
      <c r="A48" s="1" t="s">
        <v>47</v>
      </c>
      <c r="B48" t="str">
        <f>REPT("●",IFERROR(INDEX($P$42:$P$69,MATCH(tblCharDataLudica[[#This Row],[Field]],$E$42:$E$69,0)),0))&amp;REPT("○",IFERROR(INDEX($V$42:$V$69,MATCH(tblCharDataLudica[[#This Row],[Field]],$E$42:$E$69,0)),0))&amp;IF(IFERROR(INDEX($W$42:$W$69,MATCH(tblCharDataLudica[[#This Row],[Field]],$E$42:$E$69,0)),0)=1,"†","")</f>
        <v/>
      </c>
      <c r="D48" s="18"/>
      <c r="E48" s="15" t="s">
        <v>31</v>
      </c>
      <c r="F48" s="18"/>
      <c r="G48" s="3"/>
      <c r="H48" s="18"/>
      <c r="I48" s="18"/>
      <c r="L48" s="4">
        <v>2</v>
      </c>
      <c r="M48" s="60"/>
      <c r="N48" s="4"/>
      <c r="O48" s="61">
        <f t="shared" si="6"/>
        <v>0</v>
      </c>
      <c r="P48" s="60">
        <f t="shared" si="4"/>
        <v>2</v>
      </c>
      <c r="R48" s="61">
        <v>5</v>
      </c>
      <c r="T48" s="4"/>
      <c r="U48" s="4"/>
      <c r="V48" s="61">
        <f t="shared" si="5"/>
        <v>0</v>
      </c>
      <c r="W48" s="4"/>
      <c r="Y48" s="15">
        <v>5</v>
      </c>
      <c r="Z48" s="61" t="s">
        <v>236</v>
      </c>
      <c r="AA48" s="60" t="str" cm="1">
        <f t="array" ref="AA48">IF(OR(Y48=0,Y48=""),"",IF(VLOOKUP(Z48,$AI$1:$AJ$58,2,FALSE)&gt;=Y48,INDEX(tblDisciplines[Name],MATCH(1,(tblDisciplines[Discipline]=Z48)*(tblDisciplines[Rank]=Y48),0)),""))</f>
        <v/>
      </c>
      <c r="AC48" s="60" t="str">
        <v>Face in the Crowd</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Obfuscate ● | Face in the Crowd</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Cost: -  •  Pool: -  •  Instant  •  Scene</v>
      </c>
      <c r="AF48" s="20" t="str">
        <f>IF(AC48="","",IFERROR(VLOOKUP(AC48,tblDisciplines[],12,FALSE),VLOOKUP(AC48,tblPacts[],5,FALSE)))</f>
        <v>Blend into surroundings, visible but unnoticeable. Predatory aura fully on or off. Leaving combat: Wits + Composure - Obfuscate to notice; auto Clash of Wills vs Auspex.</v>
      </c>
      <c r="AI48" s="15" t="s">
        <v>38</v>
      </c>
      <c r="AJ48" s="61">
        <f t="shared" si="1"/>
        <v>2</v>
      </c>
      <c r="AK48" s="61">
        <f>IF(AJ48=0,IF(COUNTIF($E$42:$E$49,AI48)&gt;0,-3,-1),AJ48)</f>
        <v>2</v>
      </c>
    </row>
    <row r="49" spans="1:37">
      <c r="A49" s="1" t="s">
        <v>48</v>
      </c>
      <c r="B49" t="str">
        <f>REPT("●",IFERROR(INDEX($P$42:$P$69,MATCH(tblCharDataLudica[[#This Row],[Field]],$E$42:$E$69,0)),0))&amp;REPT("○",IFERROR(INDEX($V$42:$V$69,MATCH(tblCharDataLudica[[#This Row],[Field]],$E$42:$E$69,0)),0))&amp;IF(IFERROR(INDEX($W$42:$W$69,MATCH(tblCharDataLudica[[#This Row],[Field]],$E$42:$E$69,0)),0)=1,"†","")</f>
        <v>●</v>
      </c>
      <c r="D49" s="18"/>
      <c r="E49" s="15" t="s">
        <v>32</v>
      </c>
      <c r="F49" s="18"/>
      <c r="G49" s="3"/>
      <c r="H49" s="18"/>
      <c r="I49" s="18"/>
      <c r="L49" s="4"/>
      <c r="M49" s="60"/>
      <c r="N49" s="4"/>
      <c r="O49" s="61">
        <f t="shared" si="6"/>
        <v>0</v>
      </c>
      <c r="P49" s="60">
        <f t="shared" si="4"/>
        <v>0</v>
      </c>
      <c r="R49" s="61">
        <v>5</v>
      </c>
      <c r="T49" s="4"/>
      <c r="U49" s="4"/>
      <c r="V49" s="61">
        <f t="shared" si="5"/>
        <v>0</v>
      </c>
      <c r="W49" s="4"/>
      <c r="Y49" s="15">
        <v>1</v>
      </c>
      <c r="Z49" s="61" t="s">
        <v>237</v>
      </c>
      <c r="AA49" s="60" t="str" cm="1">
        <f t="array" ref="AA49">IF(OR(Y49=0,Y49=""),"",IF(VLOOKUP(Z49,$AI$1:$AJ$58,2,FALSE)&gt;=Y49,INDEX(tblDisciplines[Name],MATCH(1,(tblDisciplines[Discipline]=Z49)*(tblDisciplines[Rank]=Y49),0)),""))</f>
        <v>Beast's Hackles</v>
      </c>
      <c r="AC49" s="60" t="str">
        <v/>
      </c>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
      </c>
      <c r="AF49" s="20" t="str">
        <f>IF(AC49="","",IFERROR(VLOOKUP(AC49,tblDisciplines[],12,FALSE),VLOOKUP(AC49,tblPacts[],5,FALSE)))</f>
        <v/>
      </c>
      <c r="AI49" s="15" t="s">
        <v>47</v>
      </c>
      <c r="AJ49" s="61">
        <f t="shared" si="1"/>
        <v>0</v>
      </c>
      <c r="AK49" s="61">
        <f>IF(AJ49=0,IF(COUNTIF($E$42:$E$49,AI49)&gt;0,-3,-1),AJ49)</f>
        <v>-1</v>
      </c>
    </row>
    <row r="50" spans="1:37">
      <c r="A50" s="1" t="s">
        <v>49</v>
      </c>
      <c r="B50" t="str">
        <f ca="1">REPT("●",VLOOKUP(tblCharDataLudica[[#This Row],[Field]],INDIRECT($AH$1),2,FALSE)) &amp; REPT("○",10-VLOOKUP(tblCharDataLudica[[#This Row],[Field]],INDIRECT($AH$1),2,FALSE)) &amp; REPT("○",10-VLOOKUP(tblCharDataLudica[[#This Row],[Field]],INDIRECT($AH$1),2,FALSE))</f>
        <v>●○○○○○○○○○○○○○○○○○○</v>
      </c>
      <c r="Y50" s="15">
        <v>2</v>
      </c>
      <c r="Z50" s="61" t="s">
        <v>237</v>
      </c>
      <c r="AA50" s="60" t="str" cm="1">
        <f t="array" ref="AA50">IF(OR(Y50=0,Y50=""),"",IF(VLOOKUP(Z50,$AI$1:$AJ$58,2,FALSE)&gt;=Y50,INDEX(tblDisciplines[Name],MATCH(1,(tblDisciplines[Discipline]=Z50)*(tblDisciplines[Rank]=Y50),0)),""))</f>
        <v>Uncanny Perception</v>
      </c>
      <c r="AC50" s="60"/>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
      </c>
      <c r="AF50" s="20" t="str">
        <f>IF(AC50="","",IFERROR(VLOOKUP(AC50,tblDisciplines[],12,FALSE),VLOOKUP(AC50,tblPacts[],5,FALSE)))</f>
        <v/>
      </c>
      <c r="AI50" s="15" t="s">
        <v>19</v>
      </c>
      <c r="AJ50" s="61">
        <f t="shared" si="1"/>
        <v>1</v>
      </c>
      <c r="AK50" s="61">
        <f>AJ50+IFERROR(INDEX($V$26:$V$38,MATCH(AI50,$E$26:$E$38,0)),0)</f>
        <v>1</v>
      </c>
    </row>
    <row r="51" spans="1:37">
      <c r="A51" s="1" t="s">
        <v>50</v>
      </c>
      <c r="B51">
        <f>P72</f>
        <v>1</v>
      </c>
      <c r="D51" s="16" t="s">
        <v>1453</v>
      </c>
      <c r="E51" s="17"/>
      <c r="F51" s="17"/>
      <c r="G51" s="17" t="s">
        <v>1467</v>
      </c>
      <c r="H51" s="16" t="s">
        <v>1446</v>
      </c>
      <c r="I51" s="3" t="s">
        <v>1566</v>
      </c>
      <c r="L51" s="60">
        <f>IF(I51="",0,VLOOKUP(I51,tblPriority[#Data],3,FALSE))-SUM(L52:L59)</f>
        <v>0</v>
      </c>
      <c r="Y51" s="15">
        <v>3</v>
      </c>
      <c r="Z51" s="61" t="s">
        <v>237</v>
      </c>
      <c r="AA51" s="60" t="str" cm="1">
        <f t="array" ref="AA51">IF(OR(Y51=0,Y51=""),"",IF(VLOOKUP(Z51,$AI$1:$AJ$58,2,FALSE)&gt;=Y51,INDEX(tblDisciplines[Name],MATCH(1,(tblDisciplines[Discipline]=Z51)*(tblDisciplines[Rank]=Y51),0)),""))</f>
        <v>Spirit's Touch</v>
      </c>
      <c r="AC51" s="60"/>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
      </c>
      <c r="AF51" s="20" t="str">
        <f>IF(AC51="","",IFERROR(VLOOKUP(AC51,tblDisciplines[],12,FALSE),VLOOKUP(AC51,tblPacts[],5,FALSE)))</f>
        <v/>
      </c>
      <c r="AI51" s="15" t="s">
        <v>48</v>
      </c>
      <c r="AJ51" s="61">
        <f t="shared" si="1"/>
        <v>1</v>
      </c>
      <c r="AK51" s="61">
        <f>IF(AJ51=0,IF(COUNTIF($E$42:$E$49,AI51)&gt;0,-3,-1),AJ51)</f>
        <v>1</v>
      </c>
    </row>
    <row r="52" spans="1:37">
      <c r="A52" s="1" t="s">
        <v>51</v>
      </c>
      <c r="B52" t="str">
        <f>_xlfn.IFNA(VLOOKUP(P72,tblBloodPotency[#Data],5,FALSE),"")</f>
        <v/>
      </c>
      <c r="D52" s="18"/>
      <c r="E52" s="15" t="s">
        <v>33</v>
      </c>
      <c r="F52" s="18"/>
      <c r="G52" s="3"/>
      <c r="H52" s="18"/>
      <c r="I52" s="18"/>
      <c r="L52" s="4">
        <v>2</v>
      </c>
      <c r="M52" s="60"/>
      <c r="N52" s="4"/>
      <c r="O52" s="61">
        <f>ROUNDDOWN(N52/2,0)</f>
        <v>0</v>
      </c>
      <c r="P52" s="60">
        <f t="shared" ref="P52:P59" si="7">MIN(SUM(L52,M52,O52),R52)</f>
        <v>2</v>
      </c>
      <c r="R52" s="61">
        <v>5</v>
      </c>
      <c r="T52" s="4"/>
      <c r="U52" s="4"/>
      <c r="V52" s="61">
        <f t="shared" ref="V52:V59" si="8">U52</f>
        <v>0</v>
      </c>
      <c r="W52" s="4"/>
      <c r="Y52" s="15">
        <v>4</v>
      </c>
      <c r="Z52" s="61" t="s">
        <v>237</v>
      </c>
      <c r="AA52" s="60" t="str" cm="1">
        <f t="array" ref="AA52">IF(OR(Y52=0,Y52=""),"",IF(VLOOKUP(Z52,$AI$1:$AJ$58,2,FALSE)&gt;=Y52,INDEX(tblDisciplines[Name],MATCH(1,(tblDisciplines[Discipline]=Z52)*(tblDisciplines[Rank]=Y52),0)),""))</f>
        <v>Lay Open the Mind</v>
      </c>
      <c r="AC52" s="60"/>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
      </c>
      <c r="AF52" s="20" t="str">
        <f>IF(AC52="","",IFERROR(VLOOKUP(AC52,tblDisciplines[],12,FALSE),VLOOKUP(AC52,tblPacts[],5,FALSE)))</f>
        <v/>
      </c>
      <c r="AI52" s="15" t="s">
        <v>39</v>
      </c>
      <c r="AJ52" s="61">
        <f t="shared" si="1"/>
        <v>0</v>
      </c>
      <c r="AK52" s="61">
        <f>IF(AJ52=0,IF(COUNTIF($E$42:$E$49,AI52)&gt;0,-3,-1),AJ52)</f>
        <v>-1</v>
      </c>
    </row>
    <row r="53" spans="1:37">
      <c r="A53" s="1" t="s">
        <v>52</v>
      </c>
      <c r="B53" t="str">
        <f ca="1">REPT("□",P221) &amp; REPT("■",15-P221)</f>
        <v>□□□□□□□■■■■■■■■</v>
      </c>
      <c r="D53" s="18"/>
      <c r="E53" s="15" t="s">
        <v>34</v>
      </c>
      <c r="F53" s="18"/>
      <c r="G53" s="3"/>
      <c r="H53" s="18"/>
      <c r="I53" s="18"/>
      <c r="L53" s="4"/>
      <c r="M53" s="60"/>
      <c r="N53" s="4"/>
      <c r="O53" s="61">
        <f t="shared" ref="O53:O59" si="9">ROUNDDOWN(N53/2,0)</f>
        <v>0</v>
      </c>
      <c r="P53" s="60">
        <f t="shared" si="7"/>
        <v>0</v>
      </c>
      <c r="R53" s="61">
        <v>5</v>
      </c>
      <c r="T53" s="4"/>
      <c r="U53" s="4"/>
      <c r="V53" s="61">
        <f t="shared" si="8"/>
        <v>0</v>
      </c>
      <c r="W53" s="4"/>
      <c r="Y53" s="15">
        <v>5</v>
      </c>
      <c r="Z53" s="61" t="s">
        <v>237</v>
      </c>
      <c r="AA53" s="60" t="str" cm="1">
        <f t="array" ref="AA53">IF(OR(Y53=0,Y53=""),"",IF(VLOOKUP(Z53,$AI$1:$AJ$58,2,FALSE)&gt;=Y53,INDEX(tblDisciplines[Name],MATCH(1,(tblDisciplines[Discipline]=Z53)*(tblDisciplines[Rank]=Y53),0)),""))</f>
        <v/>
      </c>
      <c r="AC53" s="60"/>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
      </c>
      <c r="AF53" s="20" t="str">
        <f>IF(AC53="","",IFERROR(VLOOKUP(AC53,tblDisciplines[],12,FALSE),VLOOKUP(AC53,tblPacts[],5,FALSE)))</f>
        <v/>
      </c>
      <c r="AI53" s="15" t="s">
        <v>247</v>
      </c>
      <c r="AJ53" s="61">
        <f t="shared" si="1"/>
        <v>0</v>
      </c>
      <c r="AK53" s="61">
        <f>AJ53</f>
        <v>0</v>
      </c>
    </row>
    <row r="54" spans="1:37">
      <c r="A54" s="1" t="s">
        <v>53</v>
      </c>
      <c r="B54" t="str">
        <f>_xlfn.CONCAT(P74-L224," / ",P74)</f>
        <v>5 / 5</v>
      </c>
      <c r="D54" s="18"/>
      <c r="E54" s="15" t="s">
        <v>35</v>
      </c>
      <c r="F54" s="18"/>
      <c r="G54" s="3"/>
      <c r="H54" s="18"/>
      <c r="I54" s="18"/>
      <c r="L54" s="4"/>
      <c r="M54" s="60"/>
      <c r="N54" s="4"/>
      <c r="O54" s="61">
        <f t="shared" si="9"/>
        <v>0</v>
      </c>
      <c r="P54" s="60">
        <f t="shared" si="7"/>
        <v>0</v>
      </c>
      <c r="R54" s="61">
        <v>5</v>
      </c>
      <c r="T54" s="4"/>
      <c r="U54" s="4"/>
      <c r="V54" s="61">
        <f t="shared" si="8"/>
        <v>0</v>
      </c>
      <c r="W54" s="4"/>
      <c r="Y54" s="15">
        <f>P167</f>
        <v>0</v>
      </c>
      <c r="Z54" s="61" t="s">
        <v>238</v>
      </c>
      <c r="AA54" s="60" t="str" cm="1">
        <f t="array" ref="AA54">IF(OR(Y54=0,Y54=""),"",IF(VLOOKUP(Z54,$AI$1:$AJ$58,2,FALSE)&gt;=Y54,INDEX(tblDisciplines[Name],MATCH(1,(tblDisciplines[Discipline]=Z54)*(tblDisciplines[Rank]=Y54),0)),""))</f>
        <v/>
      </c>
      <c r="AC54" s="60"/>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
      </c>
      <c r="AF54" s="20" t="str">
        <f>IF(AC54="","",IFERROR(VLOOKUP(AC54,tblDisciplines[],12,FALSE),VLOOKUP(AC54,tblPacts[],5,FALSE)))</f>
        <v/>
      </c>
      <c r="AI54" s="15" t="s">
        <v>252</v>
      </c>
      <c r="AJ54" s="61">
        <f t="shared" si="1"/>
        <v>0</v>
      </c>
      <c r="AK54" s="61">
        <f>AJ54</f>
        <v>0</v>
      </c>
    </row>
    <row r="55" spans="1:37">
      <c r="A55" s="1" t="s">
        <v>54</v>
      </c>
      <c r="B55" t="str">
        <f>REPT("□",P74) &amp; REPT("■",10-P74)</f>
        <v>□□□□□■■■■■</v>
      </c>
      <c r="D55" s="18"/>
      <c r="E55" s="15" t="s">
        <v>36</v>
      </c>
      <c r="F55" s="18"/>
      <c r="G55" s="3"/>
      <c r="H55" s="18"/>
      <c r="I55" s="18"/>
      <c r="L55" s="4"/>
      <c r="M55" s="60"/>
      <c r="N55" s="4"/>
      <c r="O55" s="61">
        <f t="shared" si="9"/>
        <v>0</v>
      </c>
      <c r="P55" s="60">
        <f t="shared" si="7"/>
        <v>0</v>
      </c>
      <c r="R55" s="61">
        <v>5</v>
      </c>
      <c r="T55" s="4"/>
      <c r="U55" s="4"/>
      <c r="V55" s="61">
        <f t="shared" si="8"/>
        <v>0</v>
      </c>
      <c r="W55" s="4"/>
      <c r="Y55" s="15">
        <v>1</v>
      </c>
      <c r="Z55" s="61" t="s">
        <v>239</v>
      </c>
      <c r="AA55" s="60" t="str" cm="1">
        <f t="array" ref="AA55">IF(OR(Y55=0,Y55=""),"",IF(VLOOKUP(Z55,$AI$1:$AJ$58,2,FALSE)&gt;=Y55,INDEX(tblDisciplines[Name],MATCH(1,(tblDisciplines[Discipline]=Z55)*(tblDisciplines[Rank]=Y55),0)),""))</f>
        <v/>
      </c>
      <c r="AC55" s="60"/>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
      </c>
      <c r="AF55" s="20" t="str">
        <f>IF(AC55="","",IFERROR(VLOOKUP(AC55,tblDisciplines[],12,FALSE),VLOOKUP(AC55,tblPacts[],5,FALSE)))</f>
        <v/>
      </c>
      <c r="AI55" s="15" t="s">
        <v>245</v>
      </c>
      <c r="AJ55" s="61">
        <f t="shared" si="1"/>
        <v>0</v>
      </c>
      <c r="AK55" s="61">
        <f>AJ55+IFERROR(INDEX($V$26:$V$38,MATCH(AI55,$E$26:$E$38,0)),0)</f>
        <v>0</v>
      </c>
    </row>
    <row r="56" spans="1:37">
      <c r="A56" s="1" t="s">
        <v>55</v>
      </c>
      <c r="B56" t="str">
        <f ca="1">_xlfn.CONCAT(P75-L223," / ",P75)</f>
        <v>10 / 10</v>
      </c>
      <c r="D56" s="19"/>
      <c r="E56" s="15" t="s">
        <v>37</v>
      </c>
      <c r="F56" s="18"/>
      <c r="G56" s="3"/>
      <c r="H56" s="18"/>
      <c r="I56" s="18"/>
      <c r="L56" s="4"/>
      <c r="M56" s="60"/>
      <c r="N56" s="4"/>
      <c r="O56" s="61">
        <f t="shared" si="9"/>
        <v>0</v>
      </c>
      <c r="P56" s="60">
        <f t="shared" si="7"/>
        <v>0</v>
      </c>
      <c r="R56" s="61">
        <v>5</v>
      </c>
      <c r="T56" s="4"/>
      <c r="U56" s="4"/>
      <c r="V56" s="61">
        <f t="shared" si="8"/>
        <v>0</v>
      </c>
      <c r="W56" s="4"/>
      <c r="Y56" s="15">
        <v>2</v>
      </c>
      <c r="Z56" s="61" t="s">
        <v>239</v>
      </c>
      <c r="AA56" s="60" t="str" cm="1">
        <f t="array" ref="AA56">IF(OR(Y56=0,Y56=""),"",IF(VLOOKUP(Z56,$AI$1:$AJ$58,2,FALSE)&gt;=Y56,INDEX(tblDisciplines[Name],MATCH(1,(tblDisciplines[Discipline]=Z56)*(tblDisciplines[Rank]=Y56),0)),""))</f>
        <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1"/>
        <v>0</v>
      </c>
      <c r="AK56" s="61">
        <f>IF(AJ56=0,IF(COUNTIF($E$42:$E$49,AI56)&gt;0,-3,-1),AJ56)</f>
        <v>-1</v>
      </c>
    </row>
    <row r="57" spans="1:37">
      <c r="A57" s="1" t="s">
        <v>56</v>
      </c>
      <c r="B57" t="str">
        <f ca="1">REPT("□",P75-L223) &amp; REPT("■",20-P75+L223)</f>
        <v>□□□□□□□□□□■■■■■■■■■■</v>
      </c>
      <c r="D57" s="19"/>
      <c r="E57" s="15" t="s">
        <v>38</v>
      </c>
      <c r="F57" s="18"/>
      <c r="G57" s="3"/>
      <c r="H57" s="18"/>
      <c r="I57" s="18"/>
      <c r="L57" s="4">
        <v>2</v>
      </c>
      <c r="M57" s="60"/>
      <c r="N57" s="4"/>
      <c r="O57" s="61">
        <f t="shared" si="9"/>
        <v>0</v>
      </c>
      <c r="P57" s="60">
        <f t="shared" si="7"/>
        <v>2</v>
      </c>
      <c r="R57" s="61">
        <v>5</v>
      </c>
      <c r="T57" s="4"/>
      <c r="U57" s="4"/>
      <c r="V57" s="61">
        <f t="shared" si="8"/>
        <v>0</v>
      </c>
      <c r="W57" s="4"/>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1"/>
        <v>5</v>
      </c>
      <c r="AK57" s="61">
        <f>AJ57</f>
        <v>5</v>
      </c>
    </row>
    <row r="58" spans="1:37">
      <c r="A58" s="1" t="s">
        <v>57</v>
      </c>
      <c r="B58">
        <f ca="1">VLOOKUP(VLOOKUP("Blood Potency", INDIRECT($AH$1),2,FALSE),tblBloodPotency[#Data],3,FALSE)</f>
        <v>1</v>
      </c>
      <c r="D58" s="19"/>
      <c r="E58" s="15" t="s">
        <v>39</v>
      </c>
      <c r="F58" s="18"/>
      <c r="G58" s="3"/>
      <c r="H58" s="18"/>
      <c r="I58" s="18"/>
      <c r="L58" s="4"/>
      <c r="M58" s="60"/>
      <c r="N58" s="4"/>
      <c r="O58" s="61">
        <f t="shared" si="9"/>
        <v>0</v>
      </c>
      <c r="P58" s="60">
        <f t="shared" si="7"/>
        <v>0</v>
      </c>
      <c r="R58" s="61">
        <v>5</v>
      </c>
      <c r="T58" s="4"/>
      <c r="U58" s="4"/>
      <c r="V58" s="61">
        <f t="shared" si="8"/>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1"/>
        <v>4</v>
      </c>
      <c r="AK58" s="61">
        <f>AJ58+IFERROR(INDEX($V$26:$V$38,MATCH(AI58,$E$26:$E$38,0)),0)</f>
        <v>4</v>
      </c>
    </row>
    <row r="59" spans="1:37">
      <c r="A59" s="1" t="s">
        <v>58</v>
      </c>
      <c r="B59" t="str">
        <f ca="1">VLOOKUP(VLOOKUP("Blood Potency", INDIRECT($AH$1),2,FALSE),tblBloodPotency[#Data],4,FALSE)</f>
        <v>Animals</v>
      </c>
      <c r="D59" s="19"/>
      <c r="E59" s="15" t="s">
        <v>40</v>
      </c>
      <c r="F59" s="18"/>
      <c r="G59" s="3"/>
      <c r="H59" s="18"/>
      <c r="I59" s="18"/>
      <c r="L59" s="4"/>
      <c r="M59" s="60"/>
      <c r="N59" s="4"/>
      <c r="O59" s="61">
        <f t="shared" si="9"/>
        <v>0</v>
      </c>
      <c r="P59" s="60">
        <f t="shared" si="7"/>
        <v>0</v>
      </c>
      <c r="R59" s="61">
        <v>5</v>
      </c>
      <c r="T59" s="4"/>
      <c r="U59" s="4"/>
      <c r="V59" s="61">
        <f t="shared" si="8"/>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0">IFERROR(IF(VLOOKUP(SUBSTITUTE(A60," Spec",""),$E$42:$G$69,3,FALSE)=0,"",VLOOKUP(SUBSTITUTE(A60," Spec",""),$E$42:$G$69,3,FALSE)),"")</f>
        <v/>
      </c>
      <c r="Y60" s="15">
        <v>1</v>
      </c>
      <c r="Z60" s="61" t="s">
        <v>240</v>
      </c>
      <c r="AA60" s="60" t="str" cm="1">
        <f t="array" ref="AA60">IF(OR(Y60=0,Y60=""),"",IF(VLOOKUP(Z60,$AI$1:$AJ$58,2,FALSE)&gt;=Y60,INDEX(tblDisciplines[Name],MATCH(1,(tblDisciplines[Discipline]=Z60)*(tblDisciplines[Rank]=Y60),0)),""))</f>
        <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0"/>
        <v/>
      </c>
      <c r="D61" s="16" t="s">
        <v>1459</v>
      </c>
      <c r="E61" s="17"/>
      <c r="F61" s="17"/>
      <c r="G61" s="17" t="s">
        <v>1467</v>
      </c>
      <c r="H61" s="16" t="s">
        <v>1446</v>
      </c>
      <c r="I61" s="3" t="s">
        <v>1567</v>
      </c>
      <c r="L61" s="60">
        <f>IF(I61="",0,VLOOKUP(I61,tblPriority[#Data],3,FALSE))-SUM(L62:L69)</f>
        <v>0</v>
      </c>
      <c r="Y61" s="15">
        <v>2</v>
      </c>
      <c r="Z61" s="61" t="s">
        <v>240</v>
      </c>
      <c r="AA61" s="60" t="str" cm="1">
        <f t="array" ref="AA61">IF(OR(Y61=0,Y61=""),"",IF(VLOOKUP(Z61,$AI$1:$AJ$58,2,FALSE)&gt;=Y61,INDEX(tblDisciplines[Name],MATCH(1,(tblDisciplines[Discipline]=Z61)*(tblDisciplines[Rank]=Y61),0)),""))</f>
        <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0"/>
        <v/>
      </c>
      <c r="D62" s="18"/>
      <c r="E62" s="15" t="s">
        <v>41</v>
      </c>
      <c r="F62" s="18"/>
      <c r="G62" s="3"/>
      <c r="H62" s="18"/>
      <c r="I62" s="18"/>
      <c r="L62" s="4"/>
      <c r="M62" s="60"/>
      <c r="N62" s="4"/>
      <c r="O62" s="61">
        <f>ROUNDDOWN(N62/2,0)</f>
        <v>0</v>
      </c>
      <c r="P62" s="60">
        <f t="shared" ref="P62:P69" si="11">MIN(SUM(L62,M62,O62),R62)</f>
        <v>0</v>
      </c>
      <c r="R62" s="61">
        <v>5</v>
      </c>
      <c r="T62" s="4"/>
      <c r="U62" s="4"/>
      <c r="V62" s="61">
        <f t="shared" ref="V62:V69" si="12">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0"/>
        <v>spycraft</v>
      </c>
      <c r="D63" s="19"/>
      <c r="E63" s="15" t="s">
        <v>42</v>
      </c>
      <c r="F63" s="18"/>
      <c r="G63" s="3"/>
      <c r="H63" s="18"/>
      <c r="I63" s="18"/>
      <c r="L63" s="4">
        <v>3</v>
      </c>
      <c r="M63" s="60"/>
      <c r="N63" s="4"/>
      <c r="O63" s="61">
        <f t="shared" ref="O63:O69" si="13">ROUNDDOWN(N63/2,0)</f>
        <v>0</v>
      </c>
      <c r="P63" s="60">
        <f t="shared" si="11"/>
        <v>3</v>
      </c>
      <c r="R63" s="61">
        <v>5</v>
      </c>
      <c r="T63" s="4"/>
      <c r="U63" s="4"/>
      <c r="V63" s="61">
        <f t="shared" si="12"/>
        <v>0</v>
      </c>
      <c r="W63" s="4"/>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0"/>
        <v/>
      </c>
      <c r="D64" s="19"/>
      <c r="E64" s="15" t="s">
        <v>43</v>
      </c>
      <c r="F64" s="18"/>
      <c r="G64" s="3"/>
      <c r="H64" s="18"/>
      <c r="I64" s="18"/>
      <c r="L64" s="4"/>
      <c r="M64" s="60"/>
      <c r="N64" s="4"/>
      <c r="O64" s="61">
        <f t="shared" si="13"/>
        <v>0</v>
      </c>
      <c r="P64" s="60">
        <f t="shared" si="11"/>
        <v>0</v>
      </c>
      <c r="R64" s="61">
        <v>5</v>
      </c>
      <c r="T64" s="4"/>
      <c r="U64" s="4"/>
      <c r="V64" s="61">
        <f t="shared" si="12"/>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0"/>
        <v>bloodlines</v>
      </c>
      <c r="D65" s="58" t="s">
        <v>1631</v>
      </c>
      <c r="E65" s="15" t="s">
        <v>44</v>
      </c>
      <c r="F65" s="18"/>
      <c r="G65" s="3" t="s">
        <v>1165</v>
      </c>
      <c r="H65" s="18"/>
      <c r="I65" s="18"/>
      <c r="L65" s="4">
        <v>1</v>
      </c>
      <c r="M65" s="60">
        <v>1</v>
      </c>
      <c r="N65" s="4"/>
      <c r="O65" s="61">
        <f t="shared" si="13"/>
        <v>0</v>
      </c>
      <c r="P65" s="60">
        <f t="shared" si="11"/>
        <v>2</v>
      </c>
      <c r="R65" s="61">
        <v>5</v>
      </c>
      <c r="T65" s="4">
        <v>1</v>
      </c>
      <c r="U65" s="4"/>
      <c r="V65" s="61">
        <f t="shared" si="12"/>
        <v>0</v>
      </c>
      <c r="W65" s="4"/>
      <c r="Y65" s="15">
        <v>1</v>
      </c>
      <c r="Z65" s="61" t="s">
        <v>241</v>
      </c>
      <c r="AA65" s="60" t="str" cm="1">
        <f t="array" ref="AA65">IF(OR(Y65=0,Y65=""),"",IF(VLOOKUP(Z65,$AI$1:$AJ$58,2,FALSE)&gt;=Y65,INDEX(tblDisciplines[Name],MATCH(1,(tblDisciplines[Discipline]=Z65)*(tblDisciplines[Rank]=Y65),0)),""))</f>
        <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0"/>
        <v/>
      </c>
      <c r="D66" s="19"/>
      <c r="E66" s="15" t="s">
        <v>45</v>
      </c>
      <c r="F66" s="18"/>
      <c r="G66" s="3"/>
      <c r="H66" s="18"/>
      <c r="I66" s="18"/>
      <c r="L66" s="4"/>
      <c r="M66" s="60"/>
      <c r="N66" s="4"/>
      <c r="O66" s="61">
        <f t="shared" si="13"/>
        <v>0</v>
      </c>
      <c r="P66" s="60">
        <f t="shared" si="11"/>
        <v>0</v>
      </c>
      <c r="R66" s="61">
        <v>5</v>
      </c>
      <c r="T66" s="4"/>
      <c r="U66" s="4"/>
      <c r="V66" s="61">
        <f t="shared" si="12"/>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0"/>
        <v/>
      </c>
      <c r="D67" s="19"/>
      <c r="E67" s="15" t="s">
        <v>46</v>
      </c>
      <c r="F67" s="18"/>
      <c r="G67" s="3"/>
      <c r="H67" s="18"/>
      <c r="I67" s="18"/>
      <c r="L67" s="4">
        <v>2</v>
      </c>
      <c r="M67" s="60"/>
      <c r="N67" s="4"/>
      <c r="O67" s="61">
        <f t="shared" si="13"/>
        <v>0</v>
      </c>
      <c r="P67" s="60">
        <f t="shared" si="11"/>
        <v>2</v>
      </c>
      <c r="R67" s="61">
        <v>5</v>
      </c>
      <c r="T67" s="4"/>
      <c r="U67" s="4"/>
      <c r="V67" s="61">
        <f t="shared" si="12"/>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0"/>
        <v/>
      </c>
      <c r="D68" s="18"/>
      <c r="E68" s="15" t="s">
        <v>47</v>
      </c>
      <c r="F68" s="18"/>
      <c r="G68" s="3"/>
      <c r="H68" s="18"/>
      <c r="I68" s="18"/>
      <c r="L68" s="4"/>
      <c r="M68" s="60"/>
      <c r="N68" s="4"/>
      <c r="O68" s="61">
        <f t="shared" si="13"/>
        <v>0</v>
      </c>
      <c r="P68" s="60">
        <f t="shared" si="11"/>
        <v>0</v>
      </c>
      <c r="R68" s="61">
        <v>5</v>
      </c>
      <c r="T68" s="4"/>
      <c r="U68" s="4"/>
      <c r="V68" s="61">
        <f t="shared" si="12"/>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0"/>
        <v/>
      </c>
      <c r="D69" s="18"/>
      <c r="E69" s="15" t="s">
        <v>48</v>
      </c>
      <c r="F69" s="18"/>
      <c r="G69" s="3"/>
      <c r="H69" s="18"/>
      <c r="I69" s="18"/>
      <c r="L69" s="4">
        <v>1</v>
      </c>
      <c r="M69" s="60"/>
      <c r="N69" s="4"/>
      <c r="O69" s="61">
        <f t="shared" si="13"/>
        <v>0</v>
      </c>
      <c r="P69" s="60">
        <f t="shared" si="11"/>
        <v>1</v>
      </c>
      <c r="R69" s="61">
        <v>5</v>
      </c>
      <c r="T69" s="4"/>
      <c r="U69" s="4"/>
      <c r="V69" s="61">
        <f t="shared" si="12"/>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0"/>
        <v/>
      </c>
      <c r="Y70" s="15">
        <v>1</v>
      </c>
      <c r="Z70" s="61" t="s">
        <v>242</v>
      </c>
      <c r="AA70" s="60" t="str" cm="1">
        <f t="array" ref="AA70">IF(OR(Y70=0,Y70=""),"",IF(VLOOKUP(Z70,$AI$1:$AJ$58,2,FALSE)&gt;=Y70,INDEX(tblDisciplines[Name],MATCH(1,(tblDisciplines[Discipline]=Z70)*(tblDisciplines[Rank]=Y70),0)),""))</f>
        <v>Face in the Crowd</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0"/>
        <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0"/>
        <v/>
      </c>
      <c r="D72" s="19"/>
      <c r="E72" s="15" t="s">
        <v>49</v>
      </c>
      <c r="F72" s="19"/>
      <c r="G72" s="19"/>
      <c r="H72" s="19"/>
      <c r="I72" s="19"/>
      <c r="K72" s="4"/>
      <c r="L72" s="4"/>
      <c r="M72" s="60">
        <v>1</v>
      </c>
      <c r="N72" s="4"/>
      <c r="O72" s="61">
        <f>ROUNDDOWN(N72/5,0)</f>
        <v>0</v>
      </c>
      <c r="P72" s="60">
        <f>MIN(SUM(K72*-1,ROUNDDOWN(L72/5,0),M72,O72),R72)</f>
        <v>1</v>
      </c>
      <c r="R72" s="61">
        <v>2</v>
      </c>
      <c r="Y72" s="15">
        <v>3</v>
      </c>
      <c r="Z72" s="61" t="s">
        <v>242</v>
      </c>
      <c r="AA72" s="60" t="str" cm="1">
        <f t="array" ref="AA72">IF(OR(Y72=0,Y72=""),"",IF(VLOOKUP(Z72,$AI$1:$AJ$58,2,FALSE)&gt;=Y72,INDEX(tblDisciplines[Name],MATCH(1,(tblDisciplines[Discipline]=Z72)*(tblDisciplines[Rank]=Y72),0)),""))</f>
        <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0"/>
        <v/>
      </c>
      <c r="D73" s="19"/>
      <c r="E73" s="15" t="s">
        <v>1448</v>
      </c>
      <c r="F73" s="19"/>
      <c r="G73" s="19"/>
      <c r="H73" s="19"/>
      <c r="I73" s="19"/>
      <c r="K73" s="4">
        <v>2</v>
      </c>
      <c r="M73" s="60">
        <v>7</v>
      </c>
      <c r="N73" s="4"/>
      <c r="O73" s="61">
        <f>ROUNDDOWN(N73/2,0)</f>
        <v>0</v>
      </c>
      <c r="P73" s="60">
        <f>MIN(SUM(K73*-1,M73,O73),R73)</f>
        <v>5</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0"/>
        <v/>
      </c>
      <c r="D74" s="19"/>
      <c r="E74" s="15" t="s">
        <v>53</v>
      </c>
      <c r="F74" s="19"/>
      <c r="G74" s="19"/>
      <c r="H74" s="19"/>
      <c r="I74" s="19"/>
      <c r="K74" s="4"/>
      <c r="M74" s="60">
        <f>P28+P38</f>
        <v>5</v>
      </c>
      <c r="N74" s="4"/>
      <c r="O74" s="61">
        <f>N74</f>
        <v>0</v>
      </c>
      <c r="P74" s="60">
        <f>MIN(SUM(K74*-1,M74,O74),R74)</f>
        <v>5</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0"/>
        <v/>
      </c>
      <c r="D75" s="19"/>
      <c r="E75" s="15" t="s">
        <v>55</v>
      </c>
      <c r="F75" s="19"/>
      <c r="G75" s="19"/>
      <c r="H75" s="19"/>
      <c r="I75" s="19"/>
      <c r="P75" s="60">
        <f ca="1">VLOOKUP(VLOOKUP("Blood Potency",INDIRECT($AH$1),2,FALSE),tblBloodPotency[],2,FALSE)</f>
        <v>10</v>
      </c>
      <c r="Y75" s="15">
        <v>1</v>
      </c>
      <c r="Z75" s="61" t="s">
        <v>243</v>
      </c>
      <c r="AA75" s="60" t="str" cm="1">
        <f t="array" ref="AA75">IF(OR(Y75=0,Y75=""),"",IF(VLOOKUP(Z75,$AI$1:$AJ$58,2,FALSE)&gt;=Y75,INDEX(tblDisciplines[Name],MATCH(1,(tblDisciplines[Discipline]=Z75)*(tblDisciplines[Rank]=Y75),0)),""))</f>
        <v/>
      </c>
    </row>
    <row r="76" spans="1:32">
      <c r="A76" s="1" t="s">
        <v>75</v>
      </c>
      <c r="B76" t="str">
        <f t="shared" si="10"/>
        <v/>
      </c>
      <c r="Y76" s="15">
        <v>2</v>
      </c>
      <c r="Z76" s="61" t="s">
        <v>243</v>
      </c>
      <c r="AA76" s="60" t="str" cm="1">
        <f t="array" ref="AA76">IF(OR(Y76=0,Y76=""),"",IF(VLOOKUP(Z76,$AI$1:$AJ$58,2,FALSE)&gt;=Y76,INDEX(tblDisciplines[Name],MATCH(1,(tblDisciplines[Discipline]=Z76)*(tblDisciplines[Rank]=Y76),0)),""))</f>
        <v/>
      </c>
    </row>
    <row r="77" spans="1:32" ht="15.75" thickBot="1">
      <c r="A77" s="1" t="s">
        <v>76</v>
      </c>
      <c r="B77" t="str">
        <f t="shared" si="10"/>
        <v/>
      </c>
      <c r="D77" s="14" t="s">
        <v>1470</v>
      </c>
      <c r="E77" s="14"/>
      <c r="F77" s="14"/>
      <c r="G77" s="14"/>
      <c r="H77" s="14"/>
      <c r="I77" s="14"/>
      <c r="N77" s="60">
        <f>SUM(N79:N98,N101:N120,N206:N215,N132:N135,N138:N157,N160:N161)</f>
        <v>11</v>
      </c>
      <c r="Y77" s="15">
        <v>3</v>
      </c>
      <c r="Z77" s="61" t="s">
        <v>243</v>
      </c>
      <c r="AA77" s="60" t="str" cm="1">
        <f t="array" ref="AA77">IF(OR(Y77=0,Y77=""),"",IF(VLOOKUP(Z77,$AI$1:$AJ$58,2,FALSE)&gt;=Y77,INDEX(tblDisciplines[Name],MATCH(1,(tblDisciplines[Discipline]=Z77)*(tblDisciplines[Rank]=Y77),0)),""))</f>
        <v/>
      </c>
    </row>
    <row r="78" spans="1:32">
      <c r="A78" s="1" t="s">
        <v>77</v>
      </c>
      <c r="B78" t="str">
        <f t="shared" si="10"/>
        <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0"/>
        <v>blackmail</v>
      </c>
      <c r="D79" s="19"/>
      <c r="E79" s="15" t="s">
        <v>114</v>
      </c>
      <c r="F79" s="3" t="s">
        <v>1778</v>
      </c>
      <c r="G79" s="3"/>
      <c r="H79" s="67" t="str">
        <f>_xlfn.IFNA(IF(VLOOKUP(F79,tblMerits[],6,FALSE)=0,"None",VLOOKUP(F79,tblMerits[],6,FALSE)),"None")</f>
        <v>Invictus Status 2, Contacts</v>
      </c>
      <c r="I79" s="67"/>
      <c r="L79" s="4"/>
      <c r="M79" s="4"/>
      <c r="N79" s="4"/>
      <c r="O79" s="61">
        <f>N79</f>
        <v>0</v>
      </c>
      <c r="P79" s="60">
        <f t="shared" ref="P79:P98" si="14">MIN(SUM(L79,M79,O79),R79)</f>
        <v>0</v>
      </c>
      <c r="Q79" s="61">
        <f>_xlfn.IFNA(VLOOKUP($F79,tblMerits[],3,FALSE),"")</f>
        <v>1</v>
      </c>
      <c r="R79" s="61">
        <f>_xlfn.IFNA(VLOOKUP($F79,tblMerits[],4,FALSE),"")</f>
        <v>1</v>
      </c>
      <c r="Y79" s="15">
        <v>5</v>
      </c>
      <c r="Z79" s="61" t="s">
        <v>243</v>
      </c>
      <c r="AA79" s="60" t="str" cm="1">
        <f t="array" ref="AA79">IF(OR(Y79=0,Y79=""),"",IF(VLOOKUP(Z79,$AI$1:$AJ$58,2,FALSE)&gt;=Y79,INDEX(tblDisciplines[Name],MATCH(1,(tblDisciplines[Discipline]=Z79)*(tblDisciplines[Rank]=Y79),0)),""))</f>
        <v/>
      </c>
    </row>
    <row r="80" spans="1:32">
      <c r="A80" s="1" t="s">
        <v>79</v>
      </c>
      <c r="B80" t="str">
        <f t="shared" si="10"/>
        <v/>
      </c>
      <c r="D80" s="61" t="s">
        <v>1747</v>
      </c>
      <c r="E80" s="15" t="s">
        <v>115</v>
      </c>
      <c r="F80" s="3" t="s">
        <v>1779</v>
      </c>
      <c r="G80" s="3"/>
      <c r="H80" s="67" t="str">
        <f>_xlfn.IFNA(IF(VLOOKUP(F80,tblMerits[],6,FALSE)=0,"None",VLOOKUP(F80,tblMerits[],6,FALSE)),"None")</f>
        <v>None</v>
      </c>
      <c r="I80" s="67"/>
      <c r="L80" s="4"/>
      <c r="M80" s="4">
        <v>3</v>
      </c>
      <c r="N80" s="4"/>
      <c r="O80" s="61">
        <f t="shared" ref="O80:O98" si="15">N80</f>
        <v>0</v>
      </c>
      <c r="P80" s="60">
        <f t="shared" si="14"/>
        <v>3</v>
      </c>
      <c r="Q80" s="61">
        <f>_xlfn.IFNA(VLOOKUP($F80,tblMerits[],3,FALSE),"")</f>
        <v>1</v>
      </c>
      <c r="R80" s="61">
        <f>_xlfn.IFNA(VLOOKUP($F80,tblMerits[],4,FALSE),"")</f>
        <v>3</v>
      </c>
      <c r="Y80" s="15">
        <f>P173</f>
        <v>0</v>
      </c>
      <c r="Z80" s="61" t="s">
        <v>244</v>
      </c>
      <c r="AA80" s="60" t="str" cm="1">
        <f t="array" ref="AA80">IF(OR(Y80=0,Y80=""),"",IF(VLOOKUP(Z80,$AI$1:$AJ$58,2,FALSE)&gt;=Y80,INDEX(tblDisciplines[Name],MATCH(1,(tblDisciplines[Discipline]=Z80)*(tblDisciplines[Rank]=Y80),0)),""))</f>
        <v/>
      </c>
    </row>
    <row r="81" spans="1:27">
      <c r="A81" s="1" t="s">
        <v>80</v>
      </c>
      <c r="B81" t="str">
        <f t="shared" si="10"/>
        <v/>
      </c>
      <c r="D81" s="61" t="s">
        <v>1757</v>
      </c>
      <c r="E81" s="15" t="s">
        <v>116</v>
      </c>
      <c r="F81" s="3" t="s">
        <v>1756</v>
      </c>
      <c r="G81" s="3"/>
      <c r="H81" s="67" t="str">
        <f>_xlfn.IFNA(IF(VLOOKUP(F81,tblMerits[],6,FALSE)=0,"None",VLOOKUP(F81,tblMerits[],6,FALSE)),"None")</f>
        <v>Wits 3, Empathy 3</v>
      </c>
      <c r="I81" s="67"/>
      <c r="L81" s="4"/>
      <c r="M81" s="4">
        <v>3</v>
      </c>
      <c r="N81" s="4"/>
      <c r="O81" s="61">
        <f t="shared" si="15"/>
        <v>0</v>
      </c>
      <c r="P81" s="60">
        <f t="shared" si="14"/>
        <v>3</v>
      </c>
      <c r="Q81" s="61">
        <f>_xlfn.IFNA(VLOOKUP($F81,tblMerits[],3,FALSE),"")</f>
        <v>2</v>
      </c>
      <c r="R81" s="61">
        <f>_xlfn.IFNA(VLOOKUP($F81,tblMerits[],4,FALSE),"")</f>
        <v>3</v>
      </c>
      <c r="Y81" s="15">
        <f>P174</f>
        <v>0</v>
      </c>
      <c r="Z81" s="61" t="s">
        <v>245</v>
      </c>
      <c r="AA81" s="60" t="str" cm="1">
        <f t="array" ref="AA81">IF(OR(Y81=0,Y81=""),"",IF(VLOOKUP(Z81,$AI$1:$AJ$58,2,FALSE)&gt;=Y81,INDEX(tblDisciplines[Name],MATCH(1,(tblDisciplines[Discipline]=Z81)*(tblDisciplines[Rank]=Y81),0)),""))</f>
        <v/>
      </c>
    </row>
    <row r="82" spans="1:27">
      <c r="A82" s="1" t="s">
        <v>81</v>
      </c>
      <c r="B82" t="str">
        <f t="shared" si="10"/>
        <v/>
      </c>
      <c r="D82" s="19"/>
      <c r="E82" s="15" t="s">
        <v>117</v>
      </c>
      <c r="F82" s="3" t="s">
        <v>1569</v>
      </c>
      <c r="G82" s="3" t="s">
        <v>1570</v>
      </c>
      <c r="H82" s="67" t="str">
        <f>_xlfn.IFNA(IF(VLOOKUP(F82,tblMerits[],6,FALSE)=0,"None",VLOOKUP(F82,tblMerits[],6,FALSE)),"None")</f>
        <v>Crone Status 2 or Invictus Status 2</v>
      </c>
      <c r="I82" s="67"/>
      <c r="L82" s="4"/>
      <c r="M82" s="4"/>
      <c r="N82" s="4"/>
      <c r="O82" s="61">
        <f t="shared" si="15"/>
        <v>0</v>
      </c>
      <c r="P82" s="60">
        <f t="shared" si="14"/>
        <v>0</v>
      </c>
      <c r="Q82" s="61">
        <f>_xlfn.IFNA(VLOOKUP($F82,tblMerits[],3,FALSE),"")</f>
        <v>1</v>
      </c>
      <c r="R82" s="61">
        <f>_xlfn.IFNA(VLOOKUP($F82,tblMerits[],4,FALSE),"")</f>
        <v>1</v>
      </c>
      <c r="Y82" s="61" t="s">
        <v>1472</v>
      </c>
      <c r="Z82" s="19"/>
      <c r="AA82" s="60" t="str">
        <f>IF(P177="","",F177)</f>
        <v/>
      </c>
    </row>
    <row r="83" spans="1:27">
      <c r="A83" s="1" t="s">
        <v>82</v>
      </c>
      <c r="B83" t="str">
        <f t="shared" si="10"/>
        <v/>
      </c>
      <c r="D83" s="19"/>
      <c r="E83" s="15" t="s">
        <v>118</v>
      </c>
      <c r="F83" s="3" t="s">
        <v>1780</v>
      </c>
      <c r="G83" s="3"/>
      <c r="H83" s="67" t="str">
        <f>_xlfn.IFNA(IF(VLOOKUP(F83,tblMerits[],6,FALSE)=0,"None",VLOOKUP(F83,tblMerits[],6,FALSE)),"None")</f>
        <v>Contacts, Resources 3</v>
      </c>
      <c r="I83" s="67"/>
      <c r="L83" s="4"/>
      <c r="M83" s="4"/>
      <c r="N83" s="4">
        <v>3</v>
      </c>
      <c r="O83" s="61">
        <f t="shared" si="15"/>
        <v>3</v>
      </c>
      <c r="P83" s="60">
        <f t="shared" si="14"/>
        <v>3</v>
      </c>
      <c r="Q83" s="61">
        <f>_xlfn.IFNA(VLOOKUP($F83,tblMerits[],3,FALSE),"")</f>
        <v>1</v>
      </c>
      <c r="R83" s="61">
        <f>_xlfn.IFNA(VLOOKUP($F83,tblMerits[],4,FALSE),"")</f>
        <v>3</v>
      </c>
      <c r="Y83" s="61" t="s">
        <v>1472</v>
      </c>
      <c r="Z83" s="19"/>
      <c r="AA83" s="60" t="str">
        <f>IF(P178="","",F178)</f>
        <v/>
      </c>
    </row>
    <row r="84" spans="1:27">
      <c r="A84" s="1" t="s">
        <v>83</v>
      </c>
      <c r="B84">
        <f>P124</f>
        <v>3</v>
      </c>
      <c r="D84" s="19"/>
      <c r="E84" s="15" t="s">
        <v>119</v>
      </c>
      <c r="F84" s="3"/>
      <c r="G84" s="3"/>
      <c r="H84" s="67" t="str">
        <f>_xlfn.IFNA(IF(VLOOKUP(F84,tblMerits[],6,FALSE)=0,"None",VLOOKUP(F84,tblMerits[],6,FALSE)),"None")</f>
        <v>None</v>
      </c>
      <c r="I84" s="67"/>
      <c r="L84" s="4"/>
      <c r="M84" s="4"/>
      <c r="N84" s="4"/>
      <c r="O84" s="61">
        <f t="shared" si="15"/>
        <v>0</v>
      </c>
      <c r="P84" s="60">
        <f t="shared" si="14"/>
        <v>0</v>
      </c>
      <c r="Q84" s="61" t="str">
        <f>_xlfn.IFNA(VLOOKUP($F84,tblMerits[],3,FALSE),"")</f>
        <v/>
      </c>
      <c r="R84" s="61" t="str">
        <f>_xlfn.IFNA(VLOOKUP($F84,tblMerits[],4,FALSE),"")</f>
        <v/>
      </c>
      <c r="Y84" s="61" t="s">
        <v>1472</v>
      </c>
      <c r="Z84" s="19"/>
      <c r="AA84" s="60" t="str">
        <f>IF(P179="","",F179)</f>
        <v/>
      </c>
    </row>
    <row r="85" spans="1:27">
      <c r="A85" s="1" t="s">
        <v>84</v>
      </c>
      <c r="B85">
        <f>P125</f>
        <v>1</v>
      </c>
      <c r="D85" s="19"/>
      <c r="E85" s="15" t="s">
        <v>120</v>
      </c>
      <c r="F85" s="3"/>
      <c r="G85" s="3"/>
      <c r="H85" s="67" t="str">
        <f>_xlfn.IFNA(IF(VLOOKUP(F85,tblMerits[],6,FALSE)=0,"None",VLOOKUP(F85,tblMerits[],6,FALSE)),"None")</f>
        <v>None</v>
      </c>
      <c r="I85" s="67"/>
      <c r="L85" s="4"/>
      <c r="M85" s="4"/>
      <c r="N85" s="4"/>
      <c r="O85" s="61">
        <f t="shared" si="15"/>
        <v>0</v>
      </c>
      <c r="P85" s="60">
        <f t="shared" si="14"/>
        <v>0</v>
      </c>
      <c r="Q85" s="61" t="str">
        <f>_xlfn.IFNA(VLOOKUP($F85,tblMerits[],3,FALSE),"")</f>
        <v/>
      </c>
      <c r="R85" s="61" t="str">
        <f>_xlfn.IFNA(VLOOKUP($F85,tblMerits[],4,FALSE),"")</f>
        <v/>
      </c>
      <c r="Y85" s="61" t="s">
        <v>1472</v>
      </c>
      <c r="Z85" s="19"/>
      <c r="AA85" s="60" t="str">
        <f>IF(P180="","",F180)</f>
        <v/>
      </c>
    </row>
    <row r="86" spans="1:27">
      <c r="A86" s="1" t="s">
        <v>85</v>
      </c>
      <c r="B86">
        <f>P126</f>
        <v>1</v>
      </c>
      <c r="D86" s="19"/>
      <c r="E86" s="15" t="s">
        <v>121</v>
      </c>
      <c r="F86" s="3"/>
      <c r="G86" s="3"/>
      <c r="H86" s="67" t="str">
        <f>_xlfn.IFNA(IF(VLOOKUP(F86,tblMerits[],6,FALSE)=0,"None",VLOOKUP(F86,tblMerits[],6,FALSE)),"None")</f>
        <v>None</v>
      </c>
      <c r="I86" s="67"/>
      <c r="L86" s="4"/>
      <c r="M86" s="4"/>
      <c r="N86" s="4"/>
      <c r="O86" s="61">
        <f t="shared" si="15"/>
        <v>0</v>
      </c>
      <c r="P86" s="60">
        <f t="shared" si="14"/>
        <v>0</v>
      </c>
      <c r="Q86" s="61" t="str">
        <f>_xlfn.IFNA(VLOOKUP($F86,tblMerits[],3,FALSE),"")</f>
        <v/>
      </c>
      <c r="R86" s="61" t="str">
        <f>_xlfn.IFNA(VLOOKUP($F86,tblMerits[],4,FALSE),"")</f>
        <v/>
      </c>
      <c r="Y86" s="61" t="s">
        <v>1472</v>
      </c>
      <c r="Z86" s="19"/>
      <c r="AA86" s="60" t="str">
        <f>IF(P181="","",F181)</f>
        <v/>
      </c>
    </row>
    <row r="87" spans="1:27">
      <c r="A87" s="1" t="s">
        <v>86</v>
      </c>
      <c r="B87" t="str">
        <f>IF(F126="","¬",F126)</f>
        <v>Invictus</v>
      </c>
      <c r="D87" s="19"/>
      <c r="E87" s="15" t="s">
        <v>122</v>
      </c>
      <c r="F87" s="3"/>
      <c r="G87" s="3"/>
      <c r="H87" s="67" t="str">
        <f>_xlfn.IFNA(IF(VLOOKUP(F87,tblMerits[],6,FALSE)=0,"None",VLOOKUP(F87,tblMerits[],6,FALSE)),"None")</f>
        <v>None</v>
      </c>
      <c r="I87" s="67"/>
      <c r="L87" s="4"/>
      <c r="M87" s="4"/>
      <c r="N87" s="4"/>
      <c r="O87" s="61">
        <f t="shared" si="15"/>
        <v>0</v>
      </c>
      <c r="P87" s="60">
        <f t="shared" si="14"/>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
      </c>
    </row>
    <row r="88" spans="1:27">
      <c r="A88" s="1" t="s">
        <v>87</v>
      </c>
      <c r="B88" t="str">
        <f>REPT("●",P126)</f>
        <v>●</v>
      </c>
      <c r="D88" s="19"/>
      <c r="E88" s="15" t="s">
        <v>123</v>
      </c>
      <c r="F88" s="3"/>
      <c r="G88" s="3"/>
      <c r="H88" s="67" t="str">
        <f>_xlfn.IFNA(IF(VLOOKUP(F88,tblMerits[],6,FALSE)=0,"None",VLOOKUP(F88,tblMerits[],6,FALSE)),"None")</f>
        <v>None</v>
      </c>
      <c r="I88" s="67"/>
      <c r="L88" s="4"/>
      <c r="M88" s="4"/>
      <c r="N88" s="4"/>
      <c r="O88" s="61">
        <f t="shared" si="15"/>
        <v>0</v>
      </c>
      <c r="P88" s="60">
        <f t="shared" si="14"/>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Carthian</v>
      </c>
      <c r="D89" s="19"/>
      <c r="E89" s="15" t="s">
        <v>124</v>
      </c>
      <c r="F89" s="3"/>
      <c r="G89" s="3"/>
      <c r="H89" s="67" t="str">
        <f>_xlfn.IFNA(IF(VLOOKUP(F89,tblMerits[],6,FALSE)=0,"None",VLOOKUP(F89,tblMerits[],6,FALSE)),"None")</f>
        <v>None</v>
      </c>
      <c r="I89" s="67"/>
      <c r="L89" s="4"/>
      <c r="M89" s="4"/>
      <c r="N89" s="4"/>
      <c r="O89" s="61">
        <f t="shared" si="15"/>
        <v>0</v>
      </c>
      <c r="P89" s="60">
        <f t="shared" si="14"/>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_xlfn.IFNA(IF(VLOOKUP(F90,tblMerits[],6,FALSE)=0,"None",VLOOKUP(F90,tblMerits[],6,FALSE)),"None")</f>
        <v>None</v>
      </c>
      <c r="I90" s="67"/>
      <c r="L90" s="4"/>
      <c r="M90" s="4"/>
      <c r="N90" s="4"/>
      <c r="O90" s="61">
        <f t="shared" si="15"/>
        <v>0</v>
      </c>
      <c r="P90" s="60">
        <f t="shared" si="14"/>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Crone</v>
      </c>
      <c r="D91" s="19"/>
      <c r="E91" s="15" t="s">
        <v>126</v>
      </c>
      <c r="F91" s="3"/>
      <c r="G91" s="3"/>
      <c r="H91" s="67" t="str">
        <f>_xlfn.IFNA(IF(VLOOKUP(F91,tblMerits[],6,FALSE)=0,"None",VLOOKUP(F91,tblMerits[],6,FALSE)),"None")</f>
        <v>None</v>
      </c>
      <c r="I91" s="67"/>
      <c r="L91" s="4"/>
      <c r="M91" s="4"/>
      <c r="N91" s="4"/>
      <c r="O91" s="61">
        <f t="shared" si="15"/>
        <v>0</v>
      </c>
      <c r="P91" s="60">
        <f t="shared" si="14"/>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5"/>
        <v>0</v>
      </c>
      <c r="P92" s="60">
        <f t="shared" si="14"/>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Lance</v>
      </c>
      <c r="D93" s="19"/>
      <c r="E93" s="15" t="s">
        <v>128</v>
      </c>
      <c r="F93" s="3"/>
      <c r="G93" s="3"/>
      <c r="H93" s="67" t="str">
        <f>_xlfn.IFNA(IF(VLOOKUP(F93,tblMerits[],6,FALSE)=0,"None",VLOOKUP(F93,tblMerits[],6,FALSE)),"None")</f>
        <v>None</v>
      </c>
      <c r="I93" s="67"/>
      <c r="L93" s="4"/>
      <c r="M93" s="4"/>
      <c r="N93" s="4"/>
      <c r="O93" s="61">
        <f t="shared" si="15"/>
        <v>0</v>
      </c>
      <c r="P93" s="60">
        <f t="shared" si="14"/>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5"/>
        <v>0</v>
      </c>
      <c r="P94" s="60">
        <f t="shared" si="14"/>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5"/>
        <v>0</v>
      </c>
      <c r="P95" s="60">
        <f t="shared" si="14"/>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5"/>
        <v>0</v>
      </c>
      <c r="P96" s="60">
        <f t="shared" si="14"/>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5"/>
        <v>0</v>
      </c>
      <c r="P97" s="60">
        <f t="shared" si="14"/>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5"/>
        <v>0</v>
      </c>
      <c r="P98" s="60">
        <f t="shared" si="14"/>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&lt;NAME REQUIRED&gt;</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t="s">
        <v>1744</v>
      </c>
      <c r="G101" s="60" t="str">
        <f>IFERROR(VLOOKUP(F101,tblManoeuvre[],2,FALSE)&amp;" "&amp;VLOOKUP(F101,tblManoeuvre[],3,FALSE),"")</f>
        <v>Cacophony Savvy 1</v>
      </c>
      <c r="H101" s="67" t="str">
        <f>IFERROR(IF(VLOOKUP(F101,tblManoeuvre[],8,FALSE)=0,"None",VLOOKUP(F101,tblManoeuvre[],8,FALSE)),"None")</f>
        <v>City Status 1</v>
      </c>
      <c r="I101" s="67"/>
      <c r="L101" s="4"/>
      <c r="M101" s="4"/>
      <c r="N101" s="4">
        <v>1</v>
      </c>
      <c r="O101" s="61">
        <f t="shared" ref="O101:O120" si="16">N101</f>
        <v>1</v>
      </c>
      <c r="P101" s="60">
        <f t="shared" ref="P101:P120" si="17">MIN(SUM(L101,M101,O101),R101)</f>
        <v>1</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
      </c>
      <c r="D102" s="19"/>
      <c r="E102" s="15" t="s">
        <v>1441</v>
      </c>
      <c r="F102" s="3" t="s">
        <v>1745</v>
      </c>
      <c r="G102" s="60" t="str">
        <f>IFERROR(VLOOKUP(F102,tblManoeuvre[],2,FALSE)&amp;" "&amp;VLOOKUP(F102,tblManoeuvre[],3,FALSE),"")</f>
        <v>Cacophony Savvy 2</v>
      </c>
      <c r="H102" s="67" t="str">
        <f>IFERROR(IF(VLOOKUP(F102,tblManoeuvre[],8,FALSE)=0,"None",VLOOKUP(F102,tblManoeuvre[],8,FALSE)),"None")</f>
        <v>City Status 1</v>
      </c>
      <c r="I102" s="67"/>
      <c r="L102" s="4"/>
      <c r="M102" s="4"/>
      <c r="N102" s="4">
        <v>1</v>
      </c>
      <c r="O102" s="61">
        <f t="shared" si="16"/>
        <v>1</v>
      </c>
      <c r="P102" s="60">
        <f t="shared" si="17"/>
        <v>1</v>
      </c>
      <c r="Q102" s="61">
        <v>1</v>
      </c>
      <c r="R102" s="61">
        <v>1</v>
      </c>
      <c r="Y102" s="15">
        <v>1</v>
      </c>
      <c r="Z102" s="61" t="s">
        <v>251</v>
      </c>
      <c r="AA102" s="60" t="str" cm="1">
        <f t="array" ref="AA102">IF(VLOOKUP(Z102,$AI$1:$AJ$58,2,FALSE)&gt;=Y102,INDEX(tblDisciplines[Name],MATCH(1,(tblDisciplines[Discipline]=Z102)*(tblDisciplines[Rank]=Y102),0)),"")</f>
        <v/>
      </c>
    </row>
    <row r="103" spans="1:27">
      <c r="A103" s="1" t="s">
        <v>102</v>
      </c>
      <c r="B103">
        <f>P73</f>
        <v>5</v>
      </c>
      <c r="D103" s="19"/>
      <c r="E103" s="15" t="s">
        <v>1443</v>
      </c>
      <c r="F103" s="3" t="s">
        <v>1746</v>
      </c>
      <c r="G103" s="60" t="str">
        <f>IFERROR(VLOOKUP(F103,tblManoeuvre[],2,FALSE)&amp;" "&amp;VLOOKUP(F103,tblManoeuvre[],3,FALSE),"")</f>
        <v>Cacophony Savvy 3</v>
      </c>
      <c r="H103" s="67" t="str">
        <f>IFERROR(IF(VLOOKUP(F103,tblManoeuvre[],8,FALSE)=0,"None",VLOOKUP(F103,tblManoeuvre[],8,FALSE)),"None")</f>
        <v>City Status 1</v>
      </c>
      <c r="I103" s="67"/>
      <c r="L103" s="4"/>
      <c r="M103" s="4"/>
      <c r="N103" s="4"/>
      <c r="O103" s="61">
        <f t="shared" si="16"/>
        <v>0</v>
      </c>
      <c r="P103" s="60">
        <f t="shared" si="17"/>
        <v>0</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c r="G104" s="60" t="str">
        <f>IFERROR(VLOOKUP(F104,tblManoeuvre[],2,FALSE)&amp;" "&amp;VLOOKUP(F104,tblManoeuvre[],3,FALSE),"")</f>
        <v/>
      </c>
      <c r="H104" s="67" t="str">
        <f>IFERROR(IF(VLOOKUP(F104,tblManoeuvre[],8,FALSE)=0,"None",VLOOKUP(F104,tblManoeuvre[],8,FALSE)),"None")</f>
        <v>None</v>
      </c>
      <c r="I104" s="67"/>
      <c r="L104" s="4"/>
      <c r="M104" s="4"/>
      <c r="N104" s="4"/>
      <c r="O104" s="61">
        <f t="shared" si="16"/>
        <v>0</v>
      </c>
      <c r="P104" s="60">
        <f t="shared" si="17"/>
        <v>0</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c r="G105" s="60" t="str">
        <f>IFERROR(VLOOKUP(F105,tblManoeuvre[],2,FALSE)&amp;" "&amp;VLOOKUP(F105,tblManoeuvre[],3,FALSE),"")</f>
        <v/>
      </c>
      <c r="H105" s="67" t="str">
        <f>IFERROR(IF(VLOOKUP(F105,tblManoeuvre[],8,FALSE)=0,"None",VLOOKUP(F105,tblManoeuvre[],8,FALSE)),"None")</f>
        <v>None</v>
      </c>
      <c r="I105" s="67"/>
      <c r="L105" s="4"/>
      <c r="M105" s="4"/>
      <c r="N105" s="4"/>
      <c r="O105" s="61">
        <f t="shared" si="16"/>
        <v>0</v>
      </c>
      <c r="P105" s="60">
        <f t="shared" si="17"/>
        <v>0</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IFERROR(VLOOKUP(F106,tblManoeuvre[],2,FALSE)&amp;" "&amp;VLOOKUP(F106,tblManoeuvre[],3,FALSE),"")</f>
        <v/>
      </c>
      <c r="H106" s="67" t="str">
        <f>IFERROR(IF(VLOOKUP(F106,tblManoeuvre[],8,FALSE)=0,"None",VLOOKUP(F106,tblManoeuvre[],8,FALSE)),"None")</f>
        <v>None</v>
      </c>
      <c r="I106" s="67"/>
      <c r="L106" s="4"/>
      <c r="M106" s="4"/>
      <c r="N106" s="4"/>
      <c r="O106" s="61">
        <f t="shared" si="16"/>
        <v>0</v>
      </c>
      <c r="P106" s="60">
        <f t="shared" si="17"/>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IFERROR(VLOOKUP(F107,tblManoeuvre[],2,FALSE)&amp;" "&amp;VLOOKUP(F107,tblManoeuvre[],3,FALSE),"")</f>
        <v/>
      </c>
      <c r="H107" s="67" t="str">
        <f>IFERROR(IF(VLOOKUP(F107,tblManoeuvre[],8,FALSE)=0,"None",VLOOKUP(F107,tblManoeuvre[],8,FALSE)),"None")</f>
        <v>None</v>
      </c>
      <c r="I107" s="67"/>
      <c r="L107" s="4"/>
      <c r="M107" s="4"/>
      <c r="N107" s="4"/>
      <c r="O107" s="61">
        <f t="shared" si="16"/>
        <v>0</v>
      </c>
      <c r="P107" s="60">
        <f t="shared" si="17"/>
        <v>0</v>
      </c>
      <c r="Q107" s="61">
        <v>1</v>
      </c>
      <c r="R107" s="61">
        <v>1</v>
      </c>
      <c r="Y107" s="15">
        <v>1</v>
      </c>
      <c r="Z107" s="61" t="s">
        <v>252</v>
      </c>
      <c r="AA107" s="60" t="str" cm="1">
        <f t="array" ref="AA107">IF(VLOOKUP(Z107,$AI$1:$AJ$58,2,FALSE)&gt;=Y107,INDEX(tblDisciplines[Name],MATCH(1,(tblDisciplines[Discipline]=Z107)*(tblDisciplines[Rank]=Y107),0)),"")</f>
        <v/>
      </c>
    </row>
    <row r="108" spans="1:27">
      <c r="A108" s="1" t="s">
        <v>107</v>
      </c>
      <c r="B108" t="str">
        <f>IF($P$73&gt;=7,"●","○") &amp; IF(F226&lt;&gt;""," (" &amp; F226 &amp; ")","")</f>
        <v>○</v>
      </c>
      <c r="D108" s="19"/>
      <c r="E108" s="15" t="s">
        <v>1452</v>
      </c>
      <c r="F108" s="3"/>
      <c r="G108" s="60" t="str">
        <f>IFERROR(VLOOKUP(F108,tblManoeuvre[],2,FALSE)&amp;" "&amp;VLOOKUP(F108,tblManoeuvre[],3,FALSE),"")</f>
        <v/>
      </c>
      <c r="H108" s="67" t="str">
        <f>IFERROR(IF(VLOOKUP(F108,tblManoeuvre[],8,FALSE)=0,"None",VLOOKUP(F108,tblManoeuvre[],8,FALSE)),"None")</f>
        <v>None</v>
      </c>
      <c r="I108" s="67"/>
      <c r="L108" s="4"/>
      <c r="M108" s="4"/>
      <c r="N108" s="4"/>
      <c r="O108" s="61">
        <f t="shared" si="16"/>
        <v>0</v>
      </c>
      <c r="P108" s="60">
        <f t="shared" si="17"/>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 (Former/Current Lover)</v>
      </c>
      <c r="D109" s="19"/>
      <c r="E109" s="15" t="s">
        <v>1454</v>
      </c>
      <c r="F109" s="3"/>
      <c r="G109" s="60" t="str">
        <f>IFERROR(VLOOKUP(F109,tblManoeuvre[],2,FALSE)&amp;" "&amp;VLOOKUP(F109,tblManoeuvre[],3,FALSE),"")</f>
        <v/>
      </c>
      <c r="H109" s="67" t="str">
        <f>IFERROR(IF(VLOOKUP(F109,tblManoeuvre[],8,FALSE)=0,"None",VLOOKUP(F109,tblManoeuvre[],8,FALSE)),"None")</f>
        <v>None</v>
      </c>
      <c r="I109" s="67"/>
      <c r="L109" s="4"/>
      <c r="M109" s="4"/>
      <c r="N109" s="4"/>
      <c r="O109" s="61">
        <f t="shared" si="16"/>
        <v>0</v>
      </c>
      <c r="P109" s="60">
        <f t="shared" si="17"/>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v>
      </c>
      <c r="D110" s="19"/>
      <c r="E110" s="15" t="s">
        <v>1455</v>
      </c>
      <c r="F110" s="3"/>
      <c r="G110" s="60" t="str">
        <f>IFERROR(VLOOKUP(F110,tblManoeuvre[],2,FALSE)&amp;" "&amp;VLOOKUP(F110,tblManoeuvre[],3,FALSE),"")</f>
        <v/>
      </c>
      <c r="H110" s="67" t="str">
        <f>IFERROR(IF(VLOOKUP(F110,tblManoeuvre[],8,FALSE)=0,"None",VLOOKUP(F110,tblManoeuvre[],8,FALSE)),"None")</f>
        <v>None</v>
      </c>
      <c r="I110" s="67"/>
      <c r="L110" s="4"/>
      <c r="M110" s="4"/>
      <c r="N110" s="4"/>
      <c r="O110" s="61">
        <f t="shared" si="16"/>
        <v>0</v>
      </c>
      <c r="P110" s="60">
        <f t="shared" si="17"/>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t="str">
        <f>IFERROR(VLOOKUP(F111,tblManoeuvre[],2,FALSE)&amp;" "&amp;VLOOKUP(F111,tblManoeuvre[],3,FALSE),"")</f>
        <v/>
      </c>
      <c r="H111" s="67" t="str">
        <f>IFERROR(IF(VLOOKUP(F111,tblManoeuvre[],8,FALSE)=0,"None",VLOOKUP(F111,tblManoeuvre[],8,FALSE)),"None")</f>
        <v>None</v>
      </c>
      <c r="I111" s="67"/>
      <c r="L111" s="4"/>
      <c r="M111" s="4"/>
      <c r="N111" s="4"/>
      <c r="O111" s="61">
        <f t="shared" si="16"/>
        <v>0</v>
      </c>
      <c r="P111" s="60">
        <f t="shared" si="17"/>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t="str">
        <f>IFERROR(VLOOKUP(F112,tblManoeuvre[],2,FALSE)&amp;" "&amp;VLOOKUP(F112,tblManoeuvre[],3,FALSE),"")</f>
        <v/>
      </c>
      <c r="H112" s="67" t="str">
        <f>IFERROR(IF(VLOOKUP(F112,tblManoeuvre[],8,FALSE)=0,"None",VLOOKUP(F112,tblManoeuvre[],8,FALSE)),"None")</f>
        <v>None</v>
      </c>
      <c r="I112" s="67"/>
      <c r="L112" s="4"/>
      <c r="M112" s="4"/>
      <c r="N112" s="4"/>
      <c r="O112" s="61">
        <f t="shared" si="16"/>
        <v>0</v>
      </c>
      <c r="P112" s="60">
        <f t="shared" si="17"/>
        <v>0</v>
      </c>
      <c r="Q112" s="61">
        <v>1</v>
      </c>
      <c r="R112" s="61">
        <v>1</v>
      </c>
      <c r="Y112" s="61" t="s">
        <v>1474</v>
      </c>
      <c r="Z112" s="61" t="str">
        <f t="shared" ref="Z112:Z121" si="18">G194</f>
        <v/>
      </c>
      <c r="AA112" s="60" t="str">
        <f t="shared" ref="AA112:AA121" si="19">IF(P194="","",F194)</f>
        <v/>
      </c>
    </row>
    <row r="113" spans="1:27">
      <c r="A113" s="1" t="s">
        <v>112</v>
      </c>
      <c r="B113" t="str">
        <f>IF($P$73&gt;=2,"●","○") &amp; IF(F231&lt;&gt;""," (" &amp; F231 &amp; ")","")</f>
        <v>●</v>
      </c>
      <c r="D113" s="19"/>
      <c r="E113" s="15" t="s">
        <v>1458</v>
      </c>
      <c r="F113" s="3"/>
      <c r="G113" s="60" t="str">
        <f>IFERROR(VLOOKUP(F113,tblManoeuvre[],2,FALSE)&amp;" "&amp;VLOOKUP(F113,tblManoeuvre[],3,FALSE),"")</f>
        <v/>
      </c>
      <c r="H113" s="67" t="str">
        <f>IFERROR(IF(VLOOKUP(F113,tblManoeuvre[],8,FALSE)=0,"None",VLOOKUP(F113,tblManoeuvre[],8,FALSE)),"None")</f>
        <v>None</v>
      </c>
      <c r="I113" s="67"/>
      <c r="L113" s="4"/>
      <c r="M113" s="4"/>
      <c r="N113" s="4"/>
      <c r="O113" s="61">
        <f t="shared" si="16"/>
        <v>0</v>
      </c>
      <c r="P113" s="60">
        <f t="shared" si="17"/>
        <v>0</v>
      </c>
      <c r="Q113" s="61">
        <v>1</v>
      </c>
      <c r="R113" s="61">
        <v>1</v>
      </c>
      <c r="Y113" s="61" t="s">
        <v>1474</v>
      </c>
      <c r="Z113" s="61" t="str">
        <f t="shared" si="18"/>
        <v/>
      </c>
      <c r="AA113" s="60" t="str">
        <f t="shared" si="19"/>
        <v/>
      </c>
    </row>
    <row r="114" spans="1:27">
      <c r="A114" s="1" t="s">
        <v>113</v>
      </c>
      <c r="B114" t="str">
        <f>IF($P$73&gt;=1,"●","○") &amp; IF(F232&lt;&gt;""," (" &amp; F232 &amp; ")","")</f>
        <v>●</v>
      </c>
      <c r="D114" s="19"/>
      <c r="E114" s="15" t="s">
        <v>1460</v>
      </c>
      <c r="F114" s="3"/>
      <c r="G114" s="60" t="str">
        <f>IFERROR(VLOOKUP(F114,tblManoeuvre[],2,FALSE)&amp;" "&amp;VLOOKUP(F114,tblManoeuvre[],3,FALSE),"")</f>
        <v/>
      </c>
      <c r="H114" s="67" t="str">
        <f>IFERROR(IF(VLOOKUP(F114,tblManoeuvre[],8,FALSE)=0,"None",VLOOKUP(F114,tblManoeuvre[],8,FALSE)),"None")</f>
        <v>None</v>
      </c>
      <c r="I114" s="67"/>
      <c r="L114" s="4"/>
      <c r="M114" s="4"/>
      <c r="N114" s="4"/>
      <c r="O114" s="61">
        <f t="shared" si="16"/>
        <v>0</v>
      </c>
      <c r="P114" s="60">
        <f t="shared" si="17"/>
        <v>0</v>
      </c>
      <c r="Q114" s="61">
        <v>1</v>
      </c>
      <c r="R114" s="61">
        <v>1</v>
      </c>
      <c r="Y114" s="61" t="s">
        <v>1474</v>
      </c>
      <c r="Z114" s="61" t="str">
        <f t="shared" si="18"/>
        <v/>
      </c>
      <c r="AA114" s="60" t="str">
        <f t="shared" si="19"/>
        <v/>
      </c>
    </row>
    <row r="115" spans="1:27">
      <c r="A115" s="1" t="s">
        <v>114</v>
      </c>
      <c r="B115" t="str">
        <f t="shared" ref="B115:B144" si="20">IF(AD2="","¬",AD2)</f>
        <v>Alternate Identity ●●●</v>
      </c>
      <c r="D115" s="19"/>
      <c r="E115" s="15" t="s">
        <v>1461</v>
      </c>
      <c r="F115" s="3"/>
      <c r="G115" s="60" t="str">
        <f>IFERROR(VLOOKUP(F115,tblManoeuvre[],2,FALSE)&amp;" "&amp;VLOOKUP(F115,tblManoeuvre[],3,FALSE),"")</f>
        <v/>
      </c>
      <c r="H115" s="67" t="str">
        <f>IFERROR(IF(VLOOKUP(F115,tblManoeuvre[],8,FALSE)=0,"None",VLOOKUP(F115,tblManoeuvre[],8,FALSE)),"None")</f>
        <v>None</v>
      </c>
      <c r="I115" s="67"/>
      <c r="L115" s="4"/>
      <c r="M115" s="4"/>
      <c r="N115" s="4"/>
      <c r="O115" s="61">
        <f t="shared" si="16"/>
        <v>0</v>
      </c>
      <c r="P115" s="60">
        <f t="shared" si="17"/>
        <v>0</v>
      </c>
      <c r="Q115" s="61">
        <v>1</v>
      </c>
      <c r="R115" s="61">
        <v>1</v>
      </c>
      <c r="Y115" s="61" t="s">
        <v>1474</v>
      </c>
      <c r="Z115" s="61" t="str">
        <f t="shared" si="18"/>
        <v/>
      </c>
      <c r="AA115" s="60" t="str">
        <f t="shared" si="19"/>
        <v/>
      </c>
    </row>
    <row r="116" spans="1:27">
      <c r="A116" s="1" t="s">
        <v>115</v>
      </c>
      <c r="B116" t="str">
        <f t="shared" si="20"/>
        <v>Crowdsourcing ●●●</v>
      </c>
      <c r="D116" s="19"/>
      <c r="E116" s="15" t="s">
        <v>1462</v>
      </c>
      <c r="F116" s="3"/>
      <c r="G116" s="60" t="str">
        <f>IFERROR(VLOOKUP(F116,tblManoeuvre[],2,FALSE)&amp;" "&amp;VLOOKUP(F116,tblManoeuvre[],3,FALSE),"")</f>
        <v/>
      </c>
      <c r="H116" s="67" t="str">
        <f>IFERROR(IF(VLOOKUP(F116,tblManoeuvre[],8,FALSE)=0,"None",VLOOKUP(F116,tblManoeuvre[],8,FALSE)),"None")</f>
        <v>None</v>
      </c>
      <c r="I116" s="67"/>
      <c r="L116" s="4"/>
      <c r="M116" s="4"/>
      <c r="N116" s="4"/>
      <c r="O116" s="61">
        <f t="shared" si="16"/>
        <v>0</v>
      </c>
      <c r="P116" s="60">
        <f t="shared" si="17"/>
        <v>0</v>
      </c>
      <c r="Q116" s="61">
        <v>1</v>
      </c>
      <c r="R116" s="61">
        <v>1</v>
      </c>
      <c r="Y116" s="61" t="s">
        <v>1474</v>
      </c>
      <c r="Z116" s="61" t="str">
        <f t="shared" si="18"/>
        <v/>
      </c>
      <c r="AA116" s="60" t="str">
        <f t="shared" si="19"/>
        <v/>
      </c>
    </row>
    <row r="117" spans="1:27">
      <c r="A117" s="1" t="s">
        <v>116</v>
      </c>
      <c r="B117" t="str">
        <f t="shared" si="20"/>
        <v>Peacemaker ●●●</v>
      </c>
      <c r="D117" s="19"/>
      <c r="E117" s="15" t="s">
        <v>1463</v>
      </c>
      <c r="F117" s="3"/>
      <c r="G117" s="60" t="str">
        <f>IFERROR(VLOOKUP(F117,tblManoeuvre[],2,FALSE)&amp;" "&amp;VLOOKUP(F117,tblManoeuvre[],3,FALSE),"")</f>
        <v/>
      </c>
      <c r="H117" s="67" t="str">
        <f>IFERROR(IF(VLOOKUP(F117,tblManoeuvre[],8,FALSE)=0,"None",VLOOKUP(F117,tblManoeuvre[],8,FALSE)),"None")</f>
        <v>None</v>
      </c>
      <c r="I117" s="67"/>
      <c r="L117" s="4"/>
      <c r="M117" s="4"/>
      <c r="N117" s="4"/>
      <c r="O117" s="61">
        <f t="shared" si="16"/>
        <v>0</v>
      </c>
      <c r="P117" s="60">
        <f t="shared" si="17"/>
        <v>0</v>
      </c>
      <c r="Q117" s="61">
        <v>1</v>
      </c>
      <c r="R117" s="61">
        <v>1</v>
      </c>
      <c r="Y117" s="61" t="s">
        <v>1474</v>
      </c>
      <c r="Z117" s="61" t="str">
        <f t="shared" si="18"/>
        <v/>
      </c>
      <c r="AA117" s="60" t="str">
        <f t="shared" si="19"/>
        <v/>
      </c>
    </row>
    <row r="118" spans="1:27">
      <c r="A118" s="1" t="s">
        <v>117</v>
      </c>
      <c r="B118" t="str">
        <f t="shared" si="20"/>
        <v>Cacophony Savvy ● | Gettin' Up</v>
      </c>
      <c r="D118" s="19"/>
      <c r="E118" s="15" t="s">
        <v>1464</v>
      </c>
      <c r="F118" s="3"/>
      <c r="G118" s="60" t="str">
        <f>IFERROR(VLOOKUP(F118,tblManoeuvre[],2,FALSE)&amp;" "&amp;VLOOKUP(F118,tblManoeuvre[],3,FALSE),"")</f>
        <v/>
      </c>
      <c r="H118" s="67" t="str">
        <f>IFERROR(IF(VLOOKUP(F118,tblManoeuvre[],8,FALSE)=0,"None",VLOOKUP(F118,tblManoeuvre[],8,FALSE)),"None")</f>
        <v>None</v>
      </c>
      <c r="I118" s="67"/>
      <c r="L118" s="4"/>
      <c r="M118" s="4"/>
      <c r="N118" s="4"/>
      <c r="O118" s="61">
        <f t="shared" si="16"/>
        <v>0</v>
      </c>
      <c r="P118" s="60">
        <f t="shared" si="17"/>
        <v>0</v>
      </c>
      <c r="Q118" s="61">
        <v>1</v>
      </c>
      <c r="R118" s="61">
        <v>1</v>
      </c>
      <c r="Y118" s="61" t="s">
        <v>1474</v>
      </c>
      <c r="Z118" s="61" t="str">
        <f t="shared" si="18"/>
        <v/>
      </c>
      <c r="AA118" s="60" t="str">
        <f t="shared" si="19"/>
        <v/>
      </c>
    </row>
    <row r="119" spans="1:27">
      <c r="A119" s="1" t="s">
        <v>118</v>
      </c>
      <c r="B119" t="str">
        <f t="shared" si="20"/>
        <v>Cacophony Savvy ●● | Backpacker</v>
      </c>
      <c r="D119" s="19"/>
      <c r="E119" s="15" t="s">
        <v>1466</v>
      </c>
      <c r="F119" s="3"/>
      <c r="G119" s="60" t="str">
        <f>IFERROR(VLOOKUP(F119,tblManoeuvre[],2,FALSE)&amp;" "&amp;VLOOKUP(F119,tblManoeuvre[],3,FALSE),"")</f>
        <v/>
      </c>
      <c r="H119" s="67" t="str">
        <f>IFERROR(IF(VLOOKUP(F119,tblManoeuvre[],8,FALSE)=0,"None",VLOOKUP(F119,tblManoeuvre[],8,FALSE)),"None")</f>
        <v>None</v>
      </c>
      <c r="I119" s="67"/>
      <c r="L119" s="4"/>
      <c r="M119" s="4"/>
      <c r="N119" s="4"/>
      <c r="O119" s="61">
        <f t="shared" si="16"/>
        <v>0</v>
      </c>
      <c r="P119" s="60">
        <f t="shared" si="17"/>
        <v>0</v>
      </c>
      <c r="Q119" s="61">
        <v>1</v>
      </c>
      <c r="R119" s="61">
        <v>1</v>
      </c>
      <c r="Y119" s="61" t="s">
        <v>1474</v>
      </c>
      <c r="Z119" s="61" t="str">
        <f t="shared" si="18"/>
        <v/>
      </c>
      <c r="AA119" s="60" t="str">
        <f t="shared" si="19"/>
        <v/>
      </c>
    </row>
    <row r="120" spans="1:27">
      <c r="A120" s="1" t="s">
        <v>119</v>
      </c>
      <c r="B120" t="str">
        <f t="shared" si="20"/>
        <v>¬</v>
      </c>
      <c r="D120" s="19"/>
      <c r="E120" s="15" t="s">
        <v>1468</v>
      </c>
      <c r="F120" s="3"/>
      <c r="G120" s="60" t="str">
        <f>IFERROR(VLOOKUP(F120,tblManoeuvre[],2,FALSE)&amp;" "&amp;VLOOKUP(F120,tblManoeuvre[],3,FALSE),"")</f>
        <v/>
      </c>
      <c r="H120" s="67" t="str">
        <f>IFERROR(IF(VLOOKUP(F120,tblManoeuvre[],8,FALSE)=0,"None",VLOOKUP(F120,tblManoeuvre[],8,FALSE)),"None")</f>
        <v>None</v>
      </c>
      <c r="I120" s="67"/>
      <c r="L120" s="4"/>
      <c r="M120" s="4"/>
      <c r="N120" s="4"/>
      <c r="O120" s="61">
        <f t="shared" si="16"/>
        <v>0</v>
      </c>
      <c r="P120" s="60">
        <f t="shared" si="17"/>
        <v>0</v>
      </c>
      <c r="Q120" s="61">
        <v>1</v>
      </c>
      <c r="R120" s="61">
        <v>1</v>
      </c>
      <c r="Y120" s="61" t="s">
        <v>1474</v>
      </c>
      <c r="Z120" s="61" t="str">
        <f t="shared" si="18"/>
        <v/>
      </c>
      <c r="AA120" s="60" t="str">
        <f t="shared" si="19"/>
        <v/>
      </c>
    </row>
    <row r="121" spans="1:27">
      <c r="A121" s="1" t="s">
        <v>120</v>
      </c>
      <c r="B121" t="str">
        <f t="shared" si="20"/>
        <v>¬</v>
      </c>
      <c r="Y121" s="61" t="s">
        <v>1474</v>
      </c>
      <c r="Z121" s="61" t="str">
        <f t="shared" si="18"/>
        <v/>
      </c>
      <c r="AA121" s="60" t="str">
        <f t="shared" si="19"/>
        <v/>
      </c>
    </row>
    <row r="122" spans="1:27" ht="15.75" thickBot="1">
      <c r="A122" s="1" t="s">
        <v>121</v>
      </c>
      <c r="B122" t="str">
        <f t="shared" si="20"/>
        <v>¬</v>
      </c>
      <c r="D122" s="14" t="s">
        <v>1475</v>
      </c>
      <c r="E122" s="14"/>
      <c r="F122" s="14"/>
      <c r="G122" s="14"/>
      <c r="H122" s="14"/>
      <c r="I122" s="14"/>
    </row>
    <row r="123" spans="1:27">
      <c r="A123" s="1" t="s">
        <v>122</v>
      </c>
      <c r="B123" t="str">
        <f t="shared" si="20"/>
        <v>¬</v>
      </c>
      <c r="D123" s="16" t="s">
        <v>927</v>
      </c>
      <c r="E123" s="17"/>
      <c r="F123" s="17"/>
      <c r="G123" s="17"/>
      <c r="H123" s="17"/>
      <c r="I123" s="17"/>
      <c r="Y123" s="15" t="s">
        <v>1476</v>
      </c>
      <c r="Z123" s="19"/>
      <c r="AA123" s="61" t="str">
        <f t="shared" ref="AA123:AA132" si="21">_xlfn.LET(_xlpm.name,VLOOKUP(Y123,$E$2:$F$362,2,FALSE),_xlpm.paid,_xlfn.IFNA(VLOOKUP(_xlpm.name,$F$121:$Q$215,11,FALSE)&gt;=VLOOKUP(_xlpm.name,$F$121:$Q$215,12,FALSE),FALSE),IF(AND(_xlpm.name&lt;&gt;"",_xlpm.paid),_xlpm.name,""))</f>
        <v/>
      </c>
    </row>
    <row r="124" spans="1:27">
      <c r="A124" s="1" t="s">
        <v>123</v>
      </c>
      <c r="B124" t="str">
        <f t="shared" si="20"/>
        <v>¬</v>
      </c>
      <c r="D124" s="19"/>
      <c r="E124" s="15" t="s">
        <v>83</v>
      </c>
      <c r="F124" s="19"/>
      <c r="G124" s="19"/>
      <c r="H124" s="19"/>
      <c r="I124" s="19"/>
      <c r="L124" s="4">
        <v>3</v>
      </c>
      <c r="M124" s="61">
        <f>IFERROR(VLOOKUP(G13,tblEffectiveStatus[#Data],2,FALSE),0)</f>
        <v>0</v>
      </c>
      <c r="P124" s="60">
        <f>MIN(L124+M124,R124)</f>
        <v>3</v>
      </c>
      <c r="R124" s="61">
        <v>10</v>
      </c>
      <c r="Y124" s="15" t="s">
        <v>1477</v>
      </c>
      <c r="Z124" s="19"/>
      <c r="AA124" s="61" t="str">
        <f t="shared" si="21"/>
        <v/>
      </c>
    </row>
    <row r="125" spans="1:27">
      <c r="A125" s="1" t="s">
        <v>124</v>
      </c>
      <c r="B125" t="str">
        <f t="shared" si="20"/>
        <v>¬</v>
      </c>
      <c r="D125" s="19"/>
      <c r="E125" s="15" t="str">
        <f>IF(F7="","Clan Status",F7&amp;" Status")</f>
        <v>Mekhet Status</v>
      </c>
      <c r="F125" s="19"/>
      <c r="G125" s="19"/>
      <c r="H125" s="19"/>
      <c r="I125" s="19"/>
      <c r="L125" s="4">
        <v>1</v>
      </c>
      <c r="P125" s="60">
        <f>IF(L125="",0,MIN(L125,R125))</f>
        <v>1</v>
      </c>
      <c r="R125" s="61">
        <v>5</v>
      </c>
      <c r="Y125" s="15" t="s">
        <v>1478</v>
      </c>
      <c r="Z125" s="19"/>
      <c r="AA125" s="61" t="str">
        <f t="shared" si="21"/>
        <v/>
      </c>
    </row>
    <row r="126" spans="1:27">
      <c r="A126" s="1" t="s">
        <v>125</v>
      </c>
      <c r="B126" t="str">
        <f t="shared" si="20"/>
        <v>¬</v>
      </c>
      <c r="D126" s="19"/>
      <c r="E126" s="15" t="str">
        <f>IF(F9="","",F9&amp;" Status")</f>
        <v>Invictus Status</v>
      </c>
      <c r="F126" s="19" t="str">
        <f>IF(F9="","",VLOOKUP(F9,tblCovenantShortName[#Data],2,FALSE))</f>
        <v>Invictus</v>
      </c>
      <c r="G126" s="19"/>
      <c r="H126" s="19"/>
      <c r="I126" s="19"/>
      <c r="L126" s="4">
        <v>1</v>
      </c>
      <c r="P126" s="60">
        <f>L126</f>
        <v>1</v>
      </c>
      <c r="R126" s="61">
        <f>5-SUM(L127:L129)</f>
        <v>5</v>
      </c>
      <c r="Y126" s="15" t="s">
        <v>1479</v>
      </c>
      <c r="Z126" s="19"/>
      <c r="AA126" s="61" t="str">
        <f t="shared" si="21"/>
        <v/>
      </c>
    </row>
    <row r="127" spans="1:27">
      <c r="A127" s="1" t="s">
        <v>126</v>
      </c>
      <c r="B127" t="str">
        <f t="shared" si="20"/>
        <v>¬</v>
      </c>
      <c r="D127" s="19"/>
      <c r="E127" s="15" t="str" cm="1">
        <f t="array" ref="E127">IF(F9="","",IFERROR(INDEX(Lists!$F$2:$F$5,SMALL(IF(Lists!$F$2:$F$5&lt;&gt;$F$9,ROW(Lists!$F$2:$F$5)-ROW(Lists!$F$2)+1),1))&amp;" Status",""))</f>
        <v>Carthian Movement Status</v>
      </c>
      <c r="F127" s="19" t="str" cm="1">
        <f t="array" ref="F127">IF(F9="","",IFERROR(VLOOKUP(INDEX(Lists!$F$2:$F$5,SMALL(IF(Lists!$F$2:$F$5&lt;&gt;$F$9,ROW(Lists!$F$2:$F$5)-ROW(Lists!$F$2)+1),1)),tblCovenantShortName[],2,FALSE),""))</f>
        <v>Carthian</v>
      </c>
      <c r="G127" s="19"/>
      <c r="H127" s="19"/>
      <c r="I127" s="19"/>
      <c r="L127" s="4"/>
      <c r="P127" s="60">
        <f>L127</f>
        <v>0</v>
      </c>
      <c r="R127" s="61">
        <f>MAX(0,MIN(P126-1,5-L126-L128-L129))</f>
        <v>0</v>
      </c>
      <c r="Y127" s="15" t="s">
        <v>1480</v>
      </c>
      <c r="Z127" s="19"/>
      <c r="AA127" s="61" t="str">
        <f t="shared" si="21"/>
        <v/>
      </c>
    </row>
    <row r="128" spans="1:27">
      <c r="A128" s="1" t="s">
        <v>127</v>
      </c>
      <c r="B128" t="str">
        <f t="shared" si="20"/>
        <v>¬</v>
      </c>
      <c r="D128" s="19"/>
      <c r="E128" s="15" t="str" cm="1">
        <f t="array" ref="E128">IF(F9="","",IFERROR(INDEX(Lists!$F$2:$F$5,SMALL(IF(Lists!$F$2:$F$5&lt;&gt;$F$9,ROW(Lists!$F$2:$F$5)-ROW(Lists!$F$2)+1),2))&amp;" Status",""))</f>
        <v>Circle of the Crone Status</v>
      </c>
      <c r="F128" s="19" t="str" cm="1">
        <f t="array" ref="F128">IF(F9="","",IFERROR(VLOOKUP(INDEX(Lists!$F$2:$F$5,SMALL(IF(Lists!$F$2:$F$5&lt;&gt;$F$9,ROW(Lists!$F$2:$F$5)-ROW(Lists!$F$2)+1),2)),tblCovenantShortName[],2,FALSE),""))</f>
        <v>Crone</v>
      </c>
      <c r="G128" s="19"/>
      <c r="H128" s="19"/>
      <c r="I128" s="19"/>
      <c r="L128" s="4"/>
      <c r="P128" s="60">
        <f>L128</f>
        <v>0</v>
      </c>
      <c r="R128" s="61">
        <f>MAX(0,MIN(P126-1,5-L126-L127-L129))</f>
        <v>0</v>
      </c>
      <c r="Y128" s="15" t="s">
        <v>1481</v>
      </c>
      <c r="Z128" s="19"/>
      <c r="AA128" s="61" t="str">
        <f t="shared" si="21"/>
        <v/>
      </c>
    </row>
    <row r="129" spans="1:32">
      <c r="A129" s="1" t="s">
        <v>128</v>
      </c>
      <c r="B129" t="str">
        <f t="shared" si="20"/>
        <v>¬</v>
      </c>
      <c r="D129" s="19"/>
      <c r="E129" s="15" t="str" cm="1">
        <f t="array" ref="E129">IF(F9="","",IFERROR(INDEX(Lists!$F$2:$F$5,SMALL(IF(Lists!$F$2:$F$5&lt;&gt;$F$9,ROW(Lists!$F$2:$F$5)-ROW(Lists!$F$2)+1),3))&amp;" Status",""))</f>
        <v>Lancea et Sanctum Status</v>
      </c>
      <c r="F129" s="19" t="str" cm="1">
        <f t="array" ref="F129">IF(F9="","",IFERROR(VLOOKUP(INDEX(Lists!$F$2:$F$5,SMALL(IF(Lists!$F$2:$F$5&lt;&gt;$F$9,ROW(Lists!$F$2:$F$5)-ROW(Lists!$F$2)+1),3)),tblCovenantShortName[],2,FALSE),""))</f>
        <v>Lance</v>
      </c>
      <c r="G129" s="19"/>
      <c r="H129" s="19"/>
      <c r="I129" s="19"/>
      <c r="L129" s="4"/>
      <c r="P129" s="60">
        <f>L129</f>
        <v>0</v>
      </c>
      <c r="R129" s="61">
        <f>MAX(0,MIN(P126-1,5-L126-L127-L128))</f>
        <v>0</v>
      </c>
      <c r="Y129" s="15" t="s">
        <v>1482</v>
      </c>
      <c r="Z129" s="19"/>
      <c r="AA129" s="61" t="str">
        <f t="shared" si="21"/>
        <v/>
      </c>
    </row>
    <row r="130" spans="1:32">
      <c r="A130" s="1" t="s">
        <v>129</v>
      </c>
      <c r="B130" t="str">
        <f t="shared" si="20"/>
        <v>¬</v>
      </c>
      <c r="Y130" s="15" t="s">
        <v>1483</v>
      </c>
      <c r="Z130" s="19"/>
      <c r="AA130" s="61" t="str">
        <f t="shared" si="21"/>
        <v/>
      </c>
    </row>
    <row r="131" spans="1:32">
      <c r="A131" s="1" t="s">
        <v>130</v>
      </c>
      <c r="B131" t="str">
        <f t="shared" si="20"/>
        <v>¬</v>
      </c>
      <c r="D131" s="16" t="s">
        <v>1475</v>
      </c>
      <c r="E131" s="17"/>
      <c r="F131" s="16" t="s">
        <v>1446</v>
      </c>
      <c r="G131" s="17"/>
      <c r="H131" s="17"/>
      <c r="I131" s="17"/>
      <c r="Y131" s="15" t="s">
        <v>1484</v>
      </c>
      <c r="Z131" s="19"/>
      <c r="AA131" s="61" t="str">
        <f t="shared" si="21"/>
        <v/>
      </c>
    </row>
    <row r="132" spans="1:32">
      <c r="A132" s="1" t="s">
        <v>131</v>
      </c>
      <c r="B132" t="str">
        <f t="shared" si="20"/>
        <v>¬</v>
      </c>
      <c r="D132" s="19"/>
      <c r="E132" s="15" t="s">
        <v>94</v>
      </c>
      <c r="F132" s="3"/>
      <c r="G132" s="19"/>
      <c r="H132" s="19"/>
      <c r="I132" s="19"/>
      <c r="L132" s="4">
        <v>1</v>
      </c>
      <c r="M132" s="4"/>
      <c r="N132" s="4"/>
      <c r="O132" s="61">
        <f>N132</f>
        <v>0</v>
      </c>
      <c r="P132" s="60">
        <f>MIN(SUM(L132,M132,O132),R132)</f>
        <v>1</v>
      </c>
      <c r="Q132" s="61">
        <f>_xlfn.IFNA(VLOOKUP($E132,tblDomain[],3,FALSE),"")</f>
        <v>1</v>
      </c>
      <c r="R132" s="61">
        <f>_xlfn.IFNA(VLOOKUP($E132,tblDomain[],4,FALSE),"")</f>
        <v>5</v>
      </c>
      <c r="Y132" s="15" t="s">
        <v>1485</v>
      </c>
      <c r="Z132" s="19"/>
      <c r="AA132" s="61" t="str">
        <f t="shared" si="21"/>
        <v/>
      </c>
    </row>
    <row r="133" spans="1:32">
      <c r="A133" s="1" t="s">
        <v>132</v>
      </c>
      <c r="B133" t="str">
        <f t="shared" si="20"/>
        <v>¬</v>
      </c>
      <c r="D133" s="19"/>
      <c r="E133" s="15" t="s">
        <v>95</v>
      </c>
      <c r="F133" s="3"/>
      <c r="G133" s="19"/>
      <c r="H133" s="19"/>
      <c r="I133" s="19"/>
      <c r="L133" s="4">
        <v>1</v>
      </c>
      <c r="M133" s="4"/>
      <c r="N133" s="4"/>
      <c r="O133" s="61">
        <f>N133</f>
        <v>0</v>
      </c>
      <c r="P133" s="60">
        <f>MIN(SUM(L133,M133,O133),R133)</f>
        <v>1</v>
      </c>
      <c r="Q133" s="61">
        <f>_xlfn.IFNA(VLOOKUP($E133,tblDomain[],3,FALSE),"")</f>
        <v>1</v>
      </c>
      <c r="R133" s="61">
        <f>_xlfn.IFNA(VLOOKUP($E133,tblDomain[],4,FALSE),"")</f>
        <v>5</v>
      </c>
    </row>
    <row r="134" spans="1:32">
      <c r="A134" s="1" t="s">
        <v>133</v>
      </c>
      <c r="B134" t="str">
        <f t="shared" si="20"/>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2">_xlfn.LET(_xlpm.name,VLOOKUP(Y134,$E$2:$F$362,2,FALSE),_xlpm.note,VLOOKUP(Y134,$E$2:$G$362,3,FALSE),_xlpm.row,MATCH(Y134,$E$138:$E$157,0),_xlpm.dots,INDEX($P$138:$P$157,_xlpm.row),_xlpm.max,INDEX($Q$138:$Q$157,_xlpm.row),_xlpm.paid,_xlfn.IFNA(_xlpm.dots&gt;=_xlpm.max,FALSE),IF(AND(_xlpm.name&lt;&gt;"",_xlpm.paid),IF(_xlpm.note="",_xlpm.name,_xlpm.name&amp;" ("&amp;_xlpm.note&amp;")"),""))</f>
        <v>Contacts (high society, occult, politics)</v>
      </c>
      <c r="AC134" s="60" t="str" cm="1">
        <f t="array" ref="AC134:AC136">_xlfn.LET(_xlpm.raw,IFERROR(_xlfn.VSTACK(IFERROR(_xlfn._xlws.SORT(_xlfn._xlws.FILTER(AA134:AA211,AA134:AA211&lt;&gt;"")),""),IFERROR(_xlfn._xlws.SORT(_xlfn._xlws.FILTER(AA213:AA222,AA213:AA222&lt;&gt;"")),"")),""),_xlpm.sorted,IFERROR(_xlfn._xlws.FILTER(_xlpm.raw,_xlpm.raw&lt;&gt;""),""),IFERROR(LEFT(_xlpm.sorted,FIND(" (",_xlpm.sorted)-1),_xlpm.sorted))</f>
        <v>Allies</v>
      </c>
      <c r="AD134" s="20" t="str" cm="1">
        <f t="array" ref="AD134:AD136">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Underworld</v>
      </c>
      <c r="AE134" s="20">
        <f t="shared" ref="AE134:AE153" si="23">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1</v>
      </c>
      <c r="AF134" s="61" cm="1">
        <f t="array" ref="AF134">IF(AC134="","",SUMPRODUCT(($F$138:$F$157=AC134)*($G$138:$G$157=IF(AD134="","",AD134))*$P$138:$P$157))</f>
        <v>3</v>
      </c>
    </row>
    <row r="135" spans="1:32">
      <c r="A135" s="1" t="s">
        <v>134</v>
      </c>
      <c r="B135" t="str">
        <f t="shared" si="20"/>
        <v>¬</v>
      </c>
      <c r="D135" s="61" t="s">
        <v>1575</v>
      </c>
      <c r="E135" s="15" t="s">
        <v>97</v>
      </c>
      <c r="F135" s="19"/>
      <c r="G135" s="19"/>
      <c r="H135" s="19"/>
      <c r="I135" s="19"/>
      <c r="L135" s="4"/>
      <c r="M135" s="4"/>
      <c r="N135" s="4"/>
      <c r="O135" s="61">
        <f>N135</f>
        <v>0</v>
      </c>
      <c r="P135" s="60">
        <f>MIN(SUM(L135,M135,O135),R135)</f>
        <v>0</v>
      </c>
      <c r="Q135" s="61">
        <f>_xlfn.IFNA(VLOOKUP($E135,tblDomain[],3,FALSE),"")</f>
        <v>1</v>
      </c>
      <c r="R135" s="61">
        <f>_xlfn.IFNA(VLOOKUP($E135,tblDomain[],4,FALSE),"")</f>
        <v>5</v>
      </c>
      <c r="Y135" s="15" t="s">
        <v>177</v>
      </c>
      <c r="Z135" s="19"/>
      <c r="AA135" s="61" t="str">
        <f t="shared" si="22"/>
        <v>Resources</v>
      </c>
      <c r="AC135" s="60" t="str">
        <v>Contacts</v>
      </c>
      <c r="AD135" s="20" t="str">
        <v>high society, occult, politics</v>
      </c>
      <c r="AE135" s="20">
        <f t="shared" si="23"/>
        <v>0</v>
      </c>
      <c r="AF135" s="61" cm="1">
        <f t="array" ref="AF135">IF(AC135="","",SUMPRODUCT(($F$138:$F$157=AC135)*($G$138:$G$157=IF(AD135="","",AD135))*$P$138:$P$157))</f>
        <v>3</v>
      </c>
    </row>
    <row r="136" spans="1:32">
      <c r="A136" s="1" t="s">
        <v>135</v>
      </c>
      <c r="B136" t="str">
        <f t="shared" si="20"/>
        <v>¬</v>
      </c>
      <c r="Y136" s="15" t="s">
        <v>178</v>
      </c>
      <c r="Z136" s="19"/>
      <c r="AA136" s="61" t="str">
        <f t="shared" si="22"/>
        <v>Allies (Underworld)</v>
      </c>
      <c r="AC136" s="60" t="str">
        <v>Resources</v>
      </c>
      <c r="AD136" s="20" t="str">
        <v/>
      </c>
      <c r="AE136" s="20">
        <f t="shared" si="23"/>
        <v>2</v>
      </c>
      <c r="AF136" s="61" cm="1">
        <f t="array" ref="AF136">IF(AC136="","",SUMPRODUCT(($F$138:$F$157=AC136)*($G$138:$G$157=IF(AD136="","",AD136))*$P$138:$P$157))</f>
        <v>5</v>
      </c>
    </row>
    <row r="137" spans="1:32">
      <c r="A137" s="1" t="s">
        <v>136</v>
      </c>
      <c r="B137" t="str">
        <f t="shared" si="20"/>
        <v>¬</v>
      </c>
      <c r="D137" s="16" t="s">
        <v>174</v>
      </c>
      <c r="E137" s="17"/>
      <c r="F137" s="17"/>
      <c r="G137" s="17"/>
      <c r="H137" s="61">
        <f>L225</f>
        <v>2</v>
      </c>
      <c r="I137" s="61">
        <f>SUM(AE134:AE155)+SUM(P125:P129)</f>
        <v>6</v>
      </c>
      <c r="Y137" s="15" t="s">
        <v>179</v>
      </c>
      <c r="Z137" s="19"/>
      <c r="AA137" s="61" t="str">
        <f t="shared" si="22"/>
        <v/>
      </c>
      <c r="AC137" s="60"/>
      <c r="AD137" s="20"/>
      <c r="AE137" s="20" t="str">
        <f t="shared" si="23"/>
        <v/>
      </c>
      <c r="AF137" s="61" t="str" cm="1">
        <f t="array" ref="AF137">IF(AC137="","",SUMPRODUCT(($F$138:$F$157=AC137)*($G$138:$G$157=IF(AD137="","",AD137))*$P$138:$P$157))</f>
        <v/>
      </c>
    </row>
    <row r="138" spans="1:32">
      <c r="A138" s="1" t="s">
        <v>137</v>
      </c>
      <c r="B138" t="str">
        <f t="shared" si="20"/>
        <v>¬</v>
      </c>
      <c r="D138" s="61" t="s">
        <v>1652</v>
      </c>
      <c r="E138" s="15" t="s">
        <v>176</v>
      </c>
      <c r="F138" s="3" t="s">
        <v>413</v>
      </c>
      <c r="G138" s="3" t="s">
        <v>1175</v>
      </c>
      <c r="H138" s="67" t="str">
        <f>IFERROR(IF(VLOOKUP(F138,tblManoeuvre[],8,FALSE)=0,"None",VLOOKUP(F138,tblManoeuvre[],8,FALSE)),"None")</f>
        <v>None</v>
      </c>
      <c r="I138" s="67"/>
      <c r="L138" s="4">
        <v>2</v>
      </c>
      <c r="M138" s="4">
        <v>1</v>
      </c>
      <c r="N138" s="4"/>
      <c r="O138" s="61">
        <f t="shared" ref="O138:O157" si="24">N138</f>
        <v>0</v>
      </c>
      <c r="P138" s="60">
        <f t="shared" ref="P138:P157" si="25">MIN(SUM(L138,M138,O138),R138)</f>
        <v>3</v>
      </c>
      <c r="Q138" s="61">
        <f>_xlfn.IFNA(VLOOKUP($F138,tblInfluence[],3,FALSE),"")</f>
        <v>1</v>
      </c>
      <c r="R138" s="61">
        <f>_xlfn.IFNA(VLOOKUP($F138,tblInfluence[],4,FALSE),"")</f>
        <v>5</v>
      </c>
      <c r="Y138" s="15" t="s">
        <v>180</v>
      </c>
      <c r="Z138" s="19"/>
      <c r="AA138" s="61" t="str">
        <f t="shared" si="22"/>
        <v/>
      </c>
      <c r="AC138" s="60"/>
      <c r="AD138" s="20"/>
      <c r="AE138" s="20" t="str">
        <f t="shared" si="23"/>
        <v/>
      </c>
      <c r="AF138" s="61" t="str" cm="1">
        <f t="array" ref="AF138">IF(AC138="","",SUMPRODUCT(($F$138:$F$157=AC138)*($G$138:$G$157=IF(AD138="","",AD138))*$P$138:$P$157))</f>
        <v/>
      </c>
    </row>
    <row r="139" spans="1:32">
      <c r="A139" s="1" t="s">
        <v>138</v>
      </c>
      <c r="B139" t="str">
        <f t="shared" si="20"/>
        <v>¬</v>
      </c>
      <c r="D139" s="61" t="s">
        <v>1628</v>
      </c>
      <c r="E139" s="15" t="s">
        <v>177</v>
      </c>
      <c r="F139" s="3" t="s">
        <v>525</v>
      </c>
      <c r="G139" s="3" t="str">
        <f>IFERROR(VLOOKUP(F139,tblManoeuvre[#Data],2,FALSE)&amp;" "&amp;VLOOKUP(F139,tblManoeuvre[#Data],3,FALSE),"")</f>
        <v/>
      </c>
      <c r="H139" s="67" t="str">
        <f>IFERROR(IF(VLOOKUP(F139,tblManoeuvre[],8,FALSE)=0,"None",VLOOKUP(F139,tblManoeuvre[],8,FALSE)),"None")</f>
        <v>None</v>
      </c>
      <c r="I139" s="67"/>
      <c r="L139" s="4">
        <v>1</v>
      </c>
      <c r="M139" s="4">
        <v>1</v>
      </c>
      <c r="N139" s="4">
        <v>3</v>
      </c>
      <c r="O139" s="61">
        <f t="shared" si="24"/>
        <v>3</v>
      </c>
      <c r="P139" s="60">
        <f t="shared" si="25"/>
        <v>5</v>
      </c>
      <c r="Q139" s="61">
        <f>_xlfn.IFNA(VLOOKUP($F139,tblInfluence[],3,FALSE),"")</f>
        <v>1</v>
      </c>
      <c r="R139" s="61">
        <f>_xlfn.IFNA(VLOOKUP($F139,tblInfluence[],4,FALSE),"")</f>
        <v>5</v>
      </c>
      <c r="Y139" s="15" t="s">
        <v>181</v>
      </c>
      <c r="Z139" s="19"/>
      <c r="AA139" s="61" t="str">
        <f t="shared" si="22"/>
        <v/>
      </c>
      <c r="AC139" s="60"/>
      <c r="AD139" s="20"/>
      <c r="AE139" s="20" t="str">
        <f t="shared" si="23"/>
        <v/>
      </c>
      <c r="AF139" s="61" t="str" cm="1">
        <f t="array" ref="AF139">IF(AC139="","",SUMPRODUCT(($F$138:$F$157=AC139)*($G$138:$G$157=IF(AD139="","",AD139))*$P$138:$P$157))</f>
        <v/>
      </c>
    </row>
    <row r="140" spans="1:32">
      <c r="A140" s="1" t="s">
        <v>139</v>
      </c>
      <c r="B140" t="str">
        <f t="shared" si="20"/>
        <v>¬</v>
      </c>
      <c r="D140" s="19"/>
      <c r="E140" s="15" t="s">
        <v>178</v>
      </c>
      <c r="F140" s="3" t="s">
        <v>412</v>
      </c>
      <c r="G140" s="3" t="s">
        <v>415</v>
      </c>
      <c r="H140" s="67" t="str">
        <f>IFERROR(IF(VLOOKUP(F140,tblManoeuvre[],8,FALSE)=0,"None",VLOOKUP(F140,tblManoeuvre[],8,FALSE)),"None")</f>
        <v>None</v>
      </c>
      <c r="I140" s="67"/>
      <c r="L140" s="4"/>
      <c r="M140" s="4"/>
      <c r="N140" s="4">
        <v>3</v>
      </c>
      <c r="O140" s="61">
        <f t="shared" si="24"/>
        <v>3</v>
      </c>
      <c r="P140" s="60">
        <f t="shared" si="25"/>
        <v>3</v>
      </c>
      <c r="Q140" s="61">
        <f>_xlfn.IFNA(VLOOKUP($F140,tblInfluence[],3,FALSE),"")</f>
        <v>1</v>
      </c>
      <c r="R140" s="61">
        <f>_xlfn.IFNA(VLOOKUP($F140,tblInfluence[],4,FALSE),"")</f>
        <v>5</v>
      </c>
      <c r="Y140" s="15" t="s">
        <v>182</v>
      </c>
      <c r="Z140" s="19"/>
      <c r="AA140" s="61" t="str">
        <f t="shared" si="22"/>
        <v/>
      </c>
      <c r="AC140" s="60"/>
      <c r="AD140" s="20"/>
      <c r="AE140" s="20" t="str">
        <f t="shared" si="23"/>
        <v/>
      </c>
      <c r="AF140" s="61" t="str" cm="1">
        <f t="array" ref="AF140">IF(AC140="","",SUMPRODUCT(($F$138:$F$157=AC140)*($G$138:$G$157=IF(AD140="","",AD140))*$P$138:$P$157))</f>
        <v/>
      </c>
    </row>
    <row r="141" spans="1:32">
      <c r="A141" s="1" t="s">
        <v>140</v>
      </c>
      <c r="B141" t="str">
        <f t="shared" si="20"/>
        <v>¬</v>
      </c>
      <c r="D141" s="19"/>
      <c r="E141" s="15" t="s">
        <v>179</v>
      </c>
      <c r="F141" s="3"/>
      <c r="G141" s="3"/>
      <c r="H141" s="67" t="str">
        <f>IFERROR(IF(VLOOKUP(F141,tblManoeuvre[],8,FALSE)=0,"None",VLOOKUP(F141,tblManoeuvre[],8,FALSE)),"None")</f>
        <v>None</v>
      </c>
      <c r="I141" s="67"/>
      <c r="L141" s="4"/>
      <c r="M141" s="4"/>
      <c r="N141" s="4"/>
      <c r="O141" s="61">
        <f t="shared" si="24"/>
        <v>0</v>
      </c>
      <c r="P141" s="60">
        <f t="shared" si="25"/>
        <v>0</v>
      </c>
      <c r="Q141" s="61" t="str">
        <f>_xlfn.IFNA(VLOOKUP($F141,tblInfluence[],3,FALSE),"")</f>
        <v/>
      </c>
      <c r="R141" s="61" t="str">
        <f>_xlfn.IFNA(VLOOKUP($F141,tblInfluence[],4,FALSE),"")</f>
        <v/>
      </c>
      <c r="Y141" s="15" t="s">
        <v>183</v>
      </c>
      <c r="Z141" s="19"/>
      <c r="AA141" s="61" t="str">
        <f t="shared" si="22"/>
        <v/>
      </c>
      <c r="AC141" s="60"/>
      <c r="AD141" s="20"/>
      <c r="AE141" s="20" t="str">
        <f t="shared" si="23"/>
        <v/>
      </c>
      <c r="AF141" s="61" t="str" cm="1">
        <f t="array" ref="AF141">IF(AC141="","",SUMPRODUCT(($F$138:$F$157=AC141)*($G$138:$G$157=IF(AD141="","",AD141))*$P$138:$P$157))</f>
        <v/>
      </c>
    </row>
    <row r="142" spans="1:32">
      <c r="A142" s="1" t="s">
        <v>141</v>
      </c>
      <c r="B142" t="str">
        <f t="shared" si="20"/>
        <v>¬</v>
      </c>
      <c r="D142" s="19"/>
      <c r="E142" s="15" t="s">
        <v>180</v>
      </c>
      <c r="F142" s="3"/>
      <c r="G142" s="3"/>
      <c r="H142" s="67" t="str">
        <f>IFERROR(IF(VLOOKUP(F142,tblManoeuvre[],8,FALSE)=0,"None",VLOOKUP(F142,tblManoeuvre[],8,FALSE)),"None")</f>
        <v>None</v>
      </c>
      <c r="I142" s="67"/>
      <c r="L142" s="4"/>
      <c r="M142" s="4"/>
      <c r="N142" s="4"/>
      <c r="O142" s="61">
        <f t="shared" si="24"/>
        <v>0</v>
      </c>
      <c r="P142" s="60">
        <f t="shared" si="25"/>
        <v>0</v>
      </c>
      <c r="Q142" s="61" t="str">
        <f>_xlfn.IFNA(VLOOKUP($F142,tblInfluence[],3,FALSE),"")</f>
        <v/>
      </c>
      <c r="R142" s="61" t="str">
        <f>_xlfn.IFNA(VLOOKUP($F142,tblInfluence[],4,FALSE),"")</f>
        <v/>
      </c>
      <c r="Y142" s="15" t="s">
        <v>184</v>
      </c>
      <c r="Z142" s="19"/>
      <c r="AA142" s="61" t="str">
        <f t="shared" si="22"/>
        <v/>
      </c>
      <c r="AC142" s="60"/>
      <c r="AD142" s="20"/>
      <c r="AE142" s="20" t="str">
        <f t="shared" si="23"/>
        <v/>
      </c>
      <c r="AF142" s="61" t="str" cm="1">
        <f t="array" ref="AF142">IF(AC142="","",SUMPRODUCT(($F$138:$F$157=AC142)*($G$138:$G$157=IF(AD142="","",AD142))*$P$138:$P$157))</f>
        <v/>
      </c>
    </row>
    <row r="143" spans="1:32">
      <c r="A143" s="1" t="s">
        <v>142</v>
      </c>
      <c r="B143" t="str">
        <f t="shared" si="20"/>
        <v>¬</v>
      </c>
      <c r="D143" s="19"/>
      <c r="E143" s="15" t="s">
        <v>181</v>
      </c>
      <c r="F143" s="3"/>
      <c r="G143" s="3" t="str">
        <f>IFERROR(VLOOKUP(F143,tblManoeuvre[],2,FALSE)&amp;" "&amp;VLOOKUP(F143,tblManoeuvre[],3,FALSE),"")</f>
        <v/>
      </c>
      <c r="H143" s="67" t="str">
        <f>IFERROR(IF(VLOOKUP(F143,tblManoeuvre[],8,FALSE)=0,"None",VLOOKUP(F143,tblManoeuvre[],8,FALSE)),"None")</f>
        <v>None</v>
      </c>
      <c r="I143" s="67"/>
      <c r="L143" s="4"/>
      <c r="M143" s="4"/>
      <c r="N143" s="4"/>
      <c r="O143" s="61">
        <f t="shared" si="24"/>
        <v>0</v>
      </c>
      <c r="P143" s="60">
        <f t="shared" si="25"/>
        <v>0</v>
      </c>
      <c r="Q143" s="61" t="str">
        <f>_xlfn.IFNA(VLOOKUP($F143,tblInfluence[],3,FALSE),"")</f>
        <v/>
      </c>
      <c r="R143" s="61" t="str">
        <f>_xlfn.IFNA(VLOOKUP($F143,tblInfluence[],4,FALSE),"")</f>
        <v/>
      </c>
      <c r="Y143" s="15" t="s">
        <v>185</v>
      </c>
      <c r="Z143" s="19"/>
      <c r="AA143" s="61" t="str">
        <f t="shared" si="22"/>
        <v/>
      </c>
      <c r="AC143" s="60"/>
      <c r="AD143" s="20"/>
      <c r="AE143" s="20" t="str">
        <f t="shared" si="23"/>
        <v/>
      </c>
      <c r="AF143" s="61" t="str" cm="1">
        <f t="array" ref="AF143">IF(AC143="","",SUMPRODUCT(($F$138:$F$157=AC143)*($G$138:$G$157=IF(AD143="","",AD143))*$P$138:$P$157))</f>
        <v/>
      </c>
    </row>
    <row r="144" spans="1:32">
      <c r="A144" s="1" t="s">
        <v>143</v>
      </c>
      <c r="B144" t="str">
        <f t="shared" si="20"/>
        <v>¬</v>
      </c>
      <c r="D144" s="19"/>
      <c r="E144" s="15" t="s">
        <v>182</v>
      </c>
      <c r="F144" s="3"/>
      <c r="G144" s="3"/>
      <c r="H144" s="67" t="str">
        <f>IFERROR(IF(VLOOKUP(F144,tblManoeuvre[],8,FALSE)=0,"None",VLOOKUP(F144,tblManoeuvre[],8,FALSE)),"None")</f>
        <v>None</v>
      </c>
      <c r="I144" s="67"/>
      <c r="L144" s="4"/>
      <c r="M144" s="4"/>
      <c r="N144" s="4"/>
      <c r="O144" s="61">
        <f t="shared" si="24"/>
        <v>0</v>
      </c>
      <c r="P144" s="60">
        <f t="shared" si="25"/>
        <v>0</v>
      </c>
      <c r="Q144" s="61" t="str">
        <f>_xlfn.IFNA(VLOOKUP($F144,tblInfluence[],3,FALSE),"")</f>
        <v/>
      </c>
      <c r="R144" s="61" t="str">
        <f>_xlfn.IFNA(VLOOKUP($F144,tblInfluence[],4,FALSE),"")</f>
        <v/>
      </c>
      <c r="Y144" s="15" t="s">
        <v>186</v>
      </c>
      <c r="Z144" s="19"/>
      <c r="AA144" s="61" t="str">
        <f t="shared" si="22"/>
        <v/>
      </c>
      <c r="AC144" s="60"/>
      <c r="AD144" s="20"/>
      <c r="AE144" s="20" t="str">
        <f t="shared" si="23"/>
        <v/>
      </c>
      <c r="AF144" s="61" t="str" cm="1">
        <f t="array" ref="AF144">IF(AC144="","",SUMPRODUCT(($F$138:$F$157=AC144)*($G$138:$G$157=IF(AD144="","",AD144))*$P$138:$P$157))</f>
        <v/>
      </c>
    </row>
    <row r="145" spans="1:32">
      <c r="A145" s="1" t="s">
        <v>144</v>
      </c>
      <c r="B145" t="str">
        <f t="shared" ref="B145:B174" si="26">IF(AF2="","¬",AF2)</f>
        <v>False identity: (•) informal, (••) documented, (•••) airtight. +1 Subterfuge to maintain, +2 at three dots.</v>
      </c>
      <c r="D145" s="19"/>
      <c r="E145" s="15" t="s">
        <v>183</v>
      </c>
      <c r="F145" s="3"/>
      <c r="G145" s="3" t="str">
        <f>IFERROR(VLOOKUP(F145,tblManoeuvre[],2,FALSE)&amp;" "&amp;VLOOKUP(F145,tblManoeuvre[],3,FALSE),"")</f>
        <v/>
      </c>
      <c r="H145" s="67" t="str">
        <f>IFERROR(IF(VLOOKUP(F145,tblManoeuvre[],8,FALSE)=0,"None",VLOOKUP(F145,tblManoeuvre[],8,FALSE)),"None")</f>
        <v>None</v>
      </c>
      <c r="I145" s="67"/>
      <c r="L145" s="4"/>
      <c r="M145" s="4"/>
      <c r="N145" s="4"/>
      <c r="O145" s="61">
        <f t="shared" si="24"/>
        <v>0</v>
      </c>
      <c r="P145" s="60">
        <f t="shared" si="25"/>
        <v>0</v>
      </c>
      <c r="Q145" s="61" t="str">
        <f>_xlfn.IFNA(VLOOKUP($F145,tblInfluence[],3,FALSE),"")</f>
        <v/>
      </c>
      <c r="R145" s="61" t="str">
        <f>_xlfn.IFNA(VLOOKUP($F145,tblInfluence[],4,FALSE),"")</f>
        <v/>
      </c>
      <c r="Y145" s="15" t="s">
        <v>187</v>
      </c>
      <c r="Z145" s="19"/>
      <c r="AA145" s="61" t="str">
        <f t="shared" si="22"/>
        <v/>
      </c>
      <c r="AC145" s="60"/>
      <c r="AD145" s="20"/>
      <c r="AE145" s="20" t="str">
        <f t="shared" si="23"/>
        <v/>
      </c>
      <c r="AF145" s="61" t="str" cm="1">
        <f t="array" ref="AF145">IF(AC145="","",SUMPRODUCT(($F$138:$F$157=AC145)*($G$138:$G$157=IF(AD145="","",AD145))*$P$138:$P$157))</f>
        <v/>
      </c>
    </row>
    <row r="146" spans="1:32">
      <c r="A146" s="1" t="s">
        <v>145</v>
      </c>
      <c r="B146" t="str">
        <f t="shared" si="26"/>
        <v>Spend Willpower, roll Manipulation + Academics to transfer Social Merit dots between Invictus members, exceeding maximums by your dots.</v>
      </c>
      <c r="D146" s="19"/>
      <c r="E146" s="15" t="s">
        <v>184</v>
      </c>
      <c r="F146" s="3"/>
      <c r="G146" s="3" t="str">
        <f>IFERROR(VLOOKUP(F146,tblManoeuvre[],2,FALSE)&amp;" "&amp;VLOOKUP(F146,tblManoeuvre[],3,FALSE),"")</f>
        <v/>
      </c>
      <c r="H146" s="67" t="str">
        <f>IFERROR(IF(VLOOKUP(F146,tblManoeuvre[],8,FALSE)=0,"None",VLOOKUP(F146,tblManoeuvre[],8,FALSE)),"None")</f>
        <v>None</v>
      </c>
      <c r="I146" s="67"/>
      <c r="L146" s="4"/>
      <c r="M146" s="4"/>
      <c r="N146" s="4"/>
      <c r="O146" s="61">
        <f t="shared" si="24"/>
        <v>0</v>
      </c>
      <c r="P146" s="60">
        <f t="shared" si="25"/>
        <v>0</v>
      </c>
      <c r="Q146" s="61" t="str">
        <f>_xlfn.IFNA(VLOOKUP($F146,tblInfluence[],3,FALSE),"")</f>
        <v/>
      </c>
      <c r="R146" s="61" t="str">
        <f>_xlfn.IFNA(VLOOKUP($F146,tblInfluence[],4,FALSE),"")</f>
        <v/>
      </c>
      <c r="Y146" s="15" t="s">
        <v>188</v>
      </c>
      <c r="Z146" s="19"/>
      <c r="AA146" s="61" t="str">
        <f t="shared" si="22"/>
        <v/>
      </c>
      <c r="AC146" s="60"/>
      <c r="AD146" s="20"/>
      <c r="AE146" s="20" t="str">
        <f t="shared" si="23"/>
        <v/>
      </c>
      <c r="AF146" s="61" t="str" cm="1">
        <f t="array" ref="AF146">IF(AC146="","",SUMPRODUCT(($F$138:$F$157=AC146)*($G$138:$G$157=IF(AD146="","",AD146))*$P$138:$P$157))</f>
        <v/>
      </c>
    </row>
    <row r="147" spans="1:32">
      <c r="A147" s="1" t="s">
        <v>146</v>
      </c>
      <c r="B147" t="str">
        <f t="shared" si="26"/>
        <v>Spend Willpower to negotiate peace via Social Manoeuvring. (•••) can talk down supernatural rages.</v>
      </c>
      <c r="D147" s="19"/>
      <c r="E147" s="15" t="s">
        <v>185</v>
      </c>
      <c r="F147" s="3"/>
      <c r="G147" s="3" t="str">
        <f>IFERROR(VLOOKUP(F147,tblManoeuvre[],2,FALSE)&amp;" "&amp;VLOOKUP(F147,tblManoeuvre[],3,FALSE),"")</f>
        <v/>
      </c>
      <c r="H147" s="67" t="str">
        <f>IFERROR(IF(VLOOKUP(F147,tblManoeuvre[],8,FALSE)=0,"None",VLOOKUP(F147,tblManoeuvre[],8,FALSE)),"None")</f>
        <v>None</v>
      </c>
      <c r="I147" s="67"/>
      <c r="L147" s="4"/>
      <c r="M147" s="4"/>
      <c r="N147" s="4"/>
      <c r="O147" s="61">
        <f t="shared" si="24"/>
        <v>0</v>
      </c>
      <c r="P147" s="60">
        <f t="shared" si="25"/>
        <v>0</v>
      </c>
      <c r="Q147" s="61" t="str">
        <f>_xlfn.IFNA(VLOOKUP($F147,tblInfluence[],3,FALSE),"")</f>
        <v/>
      </c>
      <c r="R147" s="61" t="str">
        <f>_xlfn.IFNA(VLOOKUP($F147,tblInfluence[],4,FALSE),"")</f>
        <v/>
      </c>
      <c r="Y147" s="15" t="s">
        <v>189</v>
      </c>
      <c r="Z147" s="19"/>
      <c r="AA147" s="61" t="str">
        <f t="shared" si="22"/>
        <v/>
      </c>
      <c r="AC147" s="60"/>
      <c r="AD147" s="20"/>
      <c r="AE147" s="20" t="str">
        <f t="shared" si="23"/>
        <v/>
      </c>
      <c r="AF147" s="61" t="str" cm="1">
        <f t="array" ref="AF147">IF(AC147="","",SUMPRODUCT(($F$138:$F$157=AC147)*($G$138:$G$157=IF(AD147="","",AD147))*$P$138:$P$157))</f>
        <v/>
      </c>
    </row>
    <row r="148" spans="1:32">
      <c r="A148" s="1" t="s">
        <v>147</v>
      </c>
      <c r="B148" t="str">
        <f t="shared" si="26"/>
        <v>You can read the Cacophony with Intelligence + Streetwise. Within a vampire's Feeding Grounds, add their (not your) dots in that Merit as bonus dice.</v>
      </c>
      <c r="D148" s="19"/>
      <c r="E148" s="15" t="s">
        <v>186</v>
      </c>
      <c r="F148" s="3"/>
      <c r="G148" s="3" t="str">
        <f>IFERROR(VLOOKUP(F148,tblManoeuvre[],2,FALSE)&amp;" "&amp;VLOOKUP(F148,tblManoeuvre[],3,FALSE),"")</f>
        <v/>
      </c>
      <c r="H148" s="67" t="str">
        <f>IFERROR(IF(VLOOKUP(F148,tblManoeuvre[],8,FALSE)=0,"None",VLOOKUP(F148,tblManoeuvre[],8,FALSE)),"None")</f>
        <v>None</v>
      </c>
      <c r="I148" s="67"/>
      <c r="L148" s="4"/>
      <c r="M148" s="4"/>
      <c r="N148" s="4"/>
      <c r="O148" s="61">
        <f t="shared" si="24"/>
        <v>0</v>
      </c>
      <c r="P148" s="60">
        <f t="shared" si="25"/>
        <v>0</v>
      </c>
      <c r="Q148" s="61" t="str">
        <f>_xlfn.IFNA(VLOOKUP($F148,tblInfluence[],3,FALSE),"")</f>
        <v/>
      </c>
      <c r="R148" s="61" t="str">
        <f>_xlfn.IFNA(VLOOKUP($F148,tblInfluence[],4,FALSE),"")</f>
        <v/>
      </c>
      <c r="Y148" s="15" t="s">
        <v>190</v>
      </c>
      <c r="Z148" s="19"/>
      <c r="AA148" s="61" t="str">
        <f t="shared" si="22"/>
        <v/>
      </c>
      <c r="AC148" s="60"/>
      <c r="AD148" s="20"/>
      <c r="AE148" s="20" t="str">
        <f t="shared" si="23"/>
        <v/>
      </c>
      <c r="AF148" s="61" t="str" cm="1">
        <f t="array" ref="AF148">IF(AC148="","",SUMPRODUCT(($F$138:$F$157=AC148)*($G$138:$G$157=IF(AD148="","",AD148))*$P$138:$P$157))</f>
        <v/>
      </c>
    </row>
    <row r="149" spans="1:32">
      <c r="A149" s="1" t="s">
        <v>148</v>
      </c>
      <c r="B149" t="str">
        <f t="shared" si="26"/>
        <v>You quickly learn who's who and where they hunt, even newcomers to the city.</v>
      </c>
      <c r="D149" s="19"/>
      <c r="E149" s="15" t="s">
        <v>187</v>
      </c>
      <c r="F149" s="3"/>
      <c r="G149" s="3" t="str">
        <f>IFERROR(VLOOKUP(F149,tblManoeuvre[],2,FALSE)&amp;" "&amp;VLOOKUP(F149,tblManoeuvre[],3,FALSE),"")</f>
        <v/>
      </c>
      <c r="H149" s="67" t="str">
        <f>IFERROR(IF(VLOOKUP(F149,tblManoeuvre[],8,FALSE)=0,"None",VLOOKUP(F149,tblManoeuvre[],8,FALSE)),"None")</f>
        <v>None</v>
      </c>
      <c r="I149" s="67"/>
      <c r="L149" s="4"/>
      <c r="M149" s="4"/>
      <c r="N149" s="4"/>
      <c r="O149" s="61">
        <f t="shared" si="24"/>
        <v>0</v>
      </c>
      <c r="P149" s="60">
        <f t="shared" si="25"/>
        <v>0</v>
      </c>
      <c r="Q149" s="61" t="str">
        <f>_xlfn.IFNA(VLOOKUP($F149,tblInfluence[],3,FALSE),"")</f>
        <v/>
      </c>
      <c r="R149" s="61" t="str">
        <f>_xlfn.IFNA(VLOOKUP($F149,tblInfluence[],4,FALSE),"")</f>
        <v/>
      </c>
      <c r="Y149" s="15" t="s">
        <v>191</v>
      </c>
      <c r="Z149" s="19"/>
      <c r="AA149" s="61" t="str">
        <f t="shared" si="22"/>
        <v/>
      </c>
      <c r="AC149" s="60"/>
      <c r="AD149" s="20"/>
      <c r="AE149" s="20" t="str">
        <f t="shared" si="23"/>
        <v/>
      </c>
      <c r="AF149" s="61" t="str" cm="1">
        <f t="array" ref="AF149">IF(AC149="","",SUMPRODUCT(($F$138:$F$157=AC149)*($G$138:$G$157=IF(AD149="","",AD149))*$P$138:$P$157))</f>
        <v/>
      </c>
    </row>
    <row r="150" spans="1:32">
      <c r="A150" s="1" t="s">
        <v>149</v>
      </c>
      <c r="B150" t="str">
        <f t="shared" si="26"/>
        <v>¬</v>
      </c>
      <c r="D150" s="19"/>
      <c r="E150" s="15" t="s">
        <v>188</v>
      </c>
      <c r="F150" s="3"/>
      <c r="G150" s="3" t="str">
        <f>IFERROR(VLOOKUP(F150,tblManoeuvre[],2,FALSE)&amp;" "&amp;VLOOKUP(F150,tblManoeuvre[],3,FALSE),"")</f>
        <v/>
      </c>
      <c r="H150" s="67" t="str">
        <f>IFERROR(IF(VLOOKUP(F150,tblManoeuvre[],8,FALSE)=0,"None",VLOOKUP(F150,tblManoeuvre[],8,FALSE)),"None")</f>
        <v>None</v>
      </c>
      <c r="I150" s="67"/>
      <c r="L150" s="4"/>
      <c r="M150" s="4"/>
      <c r="N150" s="4"/>
      <c r="O150" s="61">
        <f t="shared" si="24"/>
        <v>0</v>
      </c>
      <c r="P150" s="60">
        <f t="shared" si="25"/>
        <v>0</v>
      </c>
      <c r="Q150" s="61" t="str">
        <f>_xlfn.IFNA(VLOOKUP($F150,tblInfluence[],3,FALSE),"")</f>
        <v/>
      </c>
      <c r="R150" s="61" t="str">
        <f>_xlfn.IFNA(VLOOKUP($F150,tblInfluence[],4,FALSE),"")</f>
        <v/>
      </c>
      <c r="Y150" s="15" t="s">
        <v>192</v>
      </c>
      <c r="Z150" s="19"/>
      <c r="AA150" s="61" t="str">
        <f t="shared" si="22"/>
        <v/>
      </c>
      <c r="AC150" s="60"/>
      <c r="AD150" s="20"/>
      <c r="AE150" s="20" t="str">
        <f t="shared" si="23"/>
        <v/>
      </c>
      <c r="AF150" s="61" t="str" cm="1">
        <f t="array" ref="AF150">IF(AC150="","",SUMPRODUCT(($F$138:$F$157=AC150)*($G$138:$G$157=IF(AD150="","",AD150))*$P$138:$P$157))</f>
        <v/>
      </c>
    </row>
    <row r="151" spans="1:32">
      <c r="A151" s="1" t="s">
        <v>150</v>
      </c>
      <c r="B151" t="str">
        <f t="shared" si="26"/>
        <v>¬</v>
      </c>
      <c r="D151" s="19"/>
      <c r="E151" s="15" t="s">
        <v>189</v>
      </c>
      <c r="F151" s="3"/>
      <c r="G151" s="3" t="str">
        <f>IFERROR(VLOOKUP(F151,tblManoeuvre[],2,FALSE)&amp;" "&amp;VLOOKUP(F151,tblManoeuvre[],3,FALSE),"")</f>
        <v/>
      </c>
      <c r="H151" s="67" t="str">
        <f>IFERROR(IF(VLOOKUP(F151,tblManoeuvre[],8,FALSE)=0,"None",VLOOKUP(F151,tblManoeuvre[],8,FALSE)),"None")</f>
        <v>None</v>
      </c>
      <c r="I151" s="67"/>
      <c r="L151" s="4"/>
      <c r="M151" s="4"/>
      <c r="N151" s="4"/>
      <c r="O151" s="61">
        <f t="shared" si="24"/>
        <v>0</v>
      </c>
      <c r="P151" s="60">
        <f t="shared" si="25"/>
        <v>0</v>
      </c>
      <c r="Q151" s="61" t="str">
        <f>_xlfn.IFNA(VLOOKUP($F151,tblInfluence[],3,FALSE),"")</f>
        <v/>
      </c>
      <c r="R151" s="61" t="str">
        <f>_xlfn.IFNA(VLOOKUP($F151,tblInfluence[],4,FALSE),"")</f>
        <v/>
      </c>
      <c r="Y151" s="15" t="s">
        <v>193</v>
      </c>
      <c r="Z151" s="19"/>
      <c r="AA151" s="61" t="str">
        <f t="shared" si="22"/>
        <v/>
      </c>
      <c r="AC151" s="60"/>
      <c r="AD151" s="20"/>
      <c r="AE151" s="20" t="str">
        <f t="shared" si="23"/>
        <v/>
      </c>
      <c r="AF151" s="61" t="str" cm="1">
        <f t="array" ref="AF151">IF(AC151="","",SUMPRODUCT(($F$138:$F$157=AC151)*($G$138:$G$157=IF(AD151="","",AD151))*$P$138:$P$157))</f>
        <v/>
      </c>
    </row>
    <row r="152" spans="1:32">
      <c r="A152" s="1" t="s">
        <v>151</v>
      </c>
      <c r="B152" t="str">
        <f t="shared" si="26"/>
        <v>¬</v>
      </c>
      <c r="D152" s="19"/>
      <c r="E152" s="15" t="s">
        <v>190</v>
      </c>
      <c r="F152" s="3"/>
      <c r="G152" s="3" t="str">
        <f>IFERROR(VLOOKUP(F152,tblManoeuvre[],2,FALSE)&amp;" "&amp;VLOOKUP(F152,tblManoeuvre[],3,FALSE),"")</f>
        <v/>
      </c>
      <c r="H152" s="67" t="str">
        <f>IFERROR(IF(VLOOKUP(F152,tblManoeuvre[],8,FALSE)=0,"None",VLOOKUP(F152,tblManoeuvre[],8,FALSE)),"None")</f>
        <v>None</v>
      </c>
      <c r="I152" s="67"/>
      <c r="L152" s="4"/>
      <c r="M152" s="4"/>
      <c r="N152" s="4"/>
      <c r="O152" s="61">
        <f t="shared" si="24"/>
        <v>0</v>
      </c>
      <c r="P152" s="60">
        <f t="shared" si="25"/>
        <v>0</v>
      </c>
      <c r="Q152" s="61" t="str">
        <f>_xlfn.IFNA(VLOOKUP($F152,tblInfluence[],3,FALSE),"")</f>
        <v/>
      </c>
      <c r="R152" s="61" t="str">
        <f>_xlfn.IFNA(VLOOKUP($F152,tblInfluence[],4,FALSE),"")</f>
        <v/>
      </c>
      <c r="Y152" s="15" t="s">
        <v>194</v>
      </c>
      <c r="Z152" s="19"/>
      <c r="AA152" s="61" t="str">
        <f t="shared" si="22"/>
        <v/>
      </c>
      <c r="AC152" s="60"/>
      <c r="AD152" s="20"/>
      <c r="AE152" s="20" t="str">
        <f t="shared" si="23"/>
        <v/>
      </c>
      <c r="AF152" s="61" t="str" cm="1">
        <f t="array" ref="AF152">IF(AC152="","",SUMPRODUCT(($F$138:$F$157=AC152)*($G$138:$G$157=IF(AD152="","",AD152))*$P$138:$P$157))</f>
        <v/>
      </c>
    </row>
    <row r="153" spans="1:32">
      <c r="A153" s="1" t="s">
        <v>152</v>
      </c>
      <c r="B153" t="str">
        <f t="shared" si="26"/>
        <v>¬</v>
      </c>
      <c r="D153" s="19"/>
      <c r="E153" s="15" t="s">
        <v>191</v>
      </c>
      <c r="F153" s="3"/>
      <c r="G153" s="3" t="str">
        <f>IFERROR(VLOOKUP(F153,tblManoeuvre[],2,FALSE)&amp;" "&amp;VLOOKUP(F153,tblManoeuvre[],3,FALSE),"")</f>
        <v/>
      </c>
      <c r="H153" s="67" t="str">
        <f>IFERROR(IF(VLOOKUP(F153,tblManoeuvre[],8,FALSE)=0,"None",VLOOKUP(F153,tblManoeuvre[],8,FALSE)),"None")</f>
        <v>None</v>
      </c>
      <c r="I153" s="67"/>
      <c r="L153" s="4"/>
      <c r="M153" s="4"/>
      <c r="N153" s="4"/>
      <c r="O153" s="61">
        <f t="shared" si="24"/>
        <v>0</v>
      </c>
      <c r="P153" s="60">
        <f t="shared" si="25"/>
        <v>0</v>
      </c>
      <c r="Q153" s="61" t="str">
        <f>_xlfn.IFNA(VLOOKUP($F153,tblInfluence[],3,FALSE),"")</f>
        <v/>
      </c>
      <c r="R153" s="61" t="str">
        <f>_xlfn.IFNA(VLOOKUP($F153,tblInfluence[],4,FALSE),"")</f>
        <v/>
      </c>
      <c r="Y153" s="15" t="s">
        <v>195</v>
      </c>
      <c r="Z153" s="19"/>
      <c r="AA153" s="61" t="str">
        <f t="shared" si="22"/>
        <v/>
      </c>
      <c r="AC153" s="60"/>
      <c r="AD153" s="20"/>
      <c r="AE153" s="20" t="str">
        <f t="shared" si="23"/>
        <v/>
      </c>
      <c r="AF153" s="61" t="str" cm="1">
        <f t="array" ref="AF153">IF(AC153="","",SUMPRODUCT(($F$138:$F$157=AC153)*($G$138:$G$157=IF(AD153="","",AD153))*$P$138:$P$157))</f>
        <v/>
      </c>
    </row>
    <row r="154" spans="1:32">
      <c r="A154" s="1" t="s">
        <v>153</v>
      </c>
      <c r="B154" t="str">
        <f t="shared" si="26"/>
        <v>¬</v>
      </c>
      <c r="D154" s="19"/>
      <c r="E154" s="15" t="s">
        <v>192</v>
      </c>
      <c r="F154" s="3"/>
      <c r="G154" s="3" t="str">
        <f>IFERROR(VLOOKUP(F154,tblManoeuvre[],2,FALSE)&amp;" "&amp;VLOOKUP(F154,tblManoeuvre[],3,FALSE),"")</f>
        <v/>
      </c>
      <c r="H154" s="67" t="str">
        <f>IFERROR(IF(VLOOKUP(F154,tblManoeuvre[],8,FALSE)=0,"None",VLOOKUP(F154,tblManoeuvre[],8,FALSE)),"None")</f>
        <v>None</v>
      </c>
      <c r="I154" s="67"/>
      <c r="L154" s="4"/>
      <c r="M154" s="4"/>
      <c r="N154" s="4"/>
      <c r="O154" s="61">
        <f t="shared" si="24"/>
        <v>0</v>
      </c>
      <c r="P154" s="60">
        <f t="shared" si="25"/>
        <v>0</v>
      </c>
      <c r="Q154" s="61" t="str">
        <f>_xlfn.IFNA(VLOOKUP($F154,tblInfluence[],3,FALSE),"")</f>
        <v/>
      </c>
      <c r="R154" s="61" t="str">
        <f>_xlfn.IFNA(VLOOKUP($F154,tblInfluence[],4,FALSE),"")</f>
        <v/>
      </c>
    </row>
    <row r="155" spans="1:32">
      <c r="A155" s="1" t="s">
        <v>154</v>
      </c>
      <c r="B155" t="str">
        <f t="shared" si="26"/>
        <v>¬</v>
      </c>
      <c r="D155" s="19"/>
      <c r="E155" s="15" t="s">
        <v>193</v>
      </c>
      <c r="F155" s="3"/>
      <c r="G155" s="3" t="str">
        <f>IFERROR(VLOOKUP(F155,tblManoeuvre[],2,FALSE)&amp;" "&amp;VLOOKUP(F155,tblManoeuvre[],3,FALSE),"")</f>
        <v/>
      </c>
      <c r="H155" s="67" t="str">
        <f>IFERROR(IF(VLOOKUP(F155,tblManoeuvre[],8,FALSE)=0,"None",VLOOKUP(F155,tblManoeuvre[],8,FALSE)),"None")</f>
        <v>None</v>
      </c>
      <c r="I155" s="67"/>
      <c r="L155" s="4"/>
      <c r="M155" s="4"/>
      <c r="N155" s="4"/>
      <c r="O155" s="61">
        <f t="shared" si="24"/>
        <v>0</v>
      </c>
      <c r="P155" s="60">
        <f t="shared" si="25"/>
        <v>0</v>
      </c>
      <c r="Q155" s="61" t="str">
        <f>_xlfn.IFNA(VLOOKUP($F155,tblInfluence[],3,FALSE),"")</f>
        <v/>
      </c>
      <c r="R155" s="61" t="str">
        <f>_xlfn.IFNA(VLOOKUP($F155,tblInfluence[],4,FALSE),"")</f>
        <v/>
      </c>
      <c r="AE155" s="61">
        <f>IF(P160=5,1,0)</f>
        <v>1</v>
      </c>
    </row>
    <row r="156" spans="1:32">
      <c r="A156" s="1" t="s">
        <v>155</v>
      </c>
      <c r="B156" t="str">
        <f t="shared" si="26"/>
        <v>¬</v>
      </c>
      <c r="D156" s="19"/>
      <c r="E156" s="15" t="s">
        <v>194</v>
      </c>
      <c r="F156" s="3"/>
      <c r="G156" s="3" t="str">
        <f>IFERROR(VLOOKUP(F156,tblManoeuvre[],2,FALSE)&amp;" "&amp;VLOOKUP(F156,tblManoeuvre[],3,FALSE),"")</f>
        <v/>
      </c>
      <c r="H156" s="67" t="str">
        <f>IFERROR(IF(VLOOKUP(F156,tblManoeuvre[],8,FALSE)=0,"None",VLOOKUP(F156,tblManoeuvre[],8,FALSE)),"None")</f>
        <v>None</v>
      </c>
      <c r="I156" s="67"/>
      <c r="L156" s="4"/>
      <c r="M156" s="4"/>
      <c r="N156" s="4"/>
      <c r="O156" s="61">
        <f t="shared" si="24"/>
        <v>0</v>
      </c>
      <c r="P156" s="60">
        <f t="shared" si="25"/>
        <v>0</v>
      </c>
      <c r="Q156" s="61" t="str">
        <f>_xlfn.IFNA(VLOOKUP($F156,tblInfluence[],3,FALSE),"")</f>
        <v/>
      </c>
      <c r="R156" s="61" t="str">
        <f>_xlfn.IFNA(VLOOKUP($F156,tblInfluence[],4,FALSE),"")</f>
        <v/>
      </c>
      <c r="AE156" s="61" t="b">
        <f>COUNTIF(AA2:AA21,"*Honey With Vinegar*")&gt;0</f>
        <v>0</v>
      </c>
    </row>
    <row r="157" spans="1:32">
      <c r="A157" s="1" t="s">
        <v>156</v>
      </c>
      <c r="B157" t="str">
        <f t="shared" si="26"/>
        <v>¬</v>
      </c>
      <c r="D157" s="19"/>
      <c r="E157" s="15" t="s">
        <v>195</v>
      </c>
      <c r="F157" s="3"/>
      <c r="G157" s="3" t="str">
        <f>IFERROR(VLOOKUP(F157,tblManoeuvre[],2,FALSE)&amp;" "&amp;VLOOKUP(F157,tblManoeuvre[],3,FALSE),"")</f>
        <v/>
      </c>
      <c r="H157" s="67" t="str">
        <f>IFERROR(IF(VLOOKUP(F157,tblManoeuvre[],8,FALSE)=0,"None",VLOOKUP(F157,tblManoeuvre[],8,FALSE)),"None")</f>
        <v>None</v>
      </c>
      <c r="I157" s="67"/>
      <c r="L157" s="4"/>
      <c r="M157" s="4"/>
      <c r="N157" s="4"/>
      <c r="O157" s="61">
        <f t="shared" si="24"/>
        <v>0</v>
      </c>
      <c r="P157" s="60">
        <f t="shared" si="25"/>
        <v>0</v>
      </c>
      <c r="Q157" s="61" t="str">
        <f>_xlfn.IFNA(VLOOKUP($F157,tblInfluence[],3,FALSE),"")</f>
        <v/>
      </c>
      <c r="R157" s="61" t="str">
        <f>_xlfn.IFNA(VLOOKUP($F157,tblInfluence[],4,FALSE),"")</f>
        <v/>
      </c>
    </row>
    <row r="158" spans="1:32">
      <c r="A158" s="1" t="s">
        <v>157</v>
      </c>
      <c r="B158" t="str">
        <f t="shared" si="26"/>
        <v>¬</v>
      </c>
    </row>
    <row r="159" spans="1:32">
      <c r="A159" s="1" t="s">
        <v>158</v>
      </c>
      <c r="B159" t="str">
        <f t="shared" si="26"/>
        <v>¬</v>
      </c>
      <c r="D159" s="16" t="s">
        <v>1486</v>
      </c>
      <c r="E159" s="17"/>
      <c r="F159" s="17" t="s">
        <v>1487</v>
      </c>
      <c r="G159" s="17"/>
      <c r="H159" s="17"/>
      <c r="I159" s="17"/>
    </row>
    <row r="160" spans="1:32">
      <c r="A160" s="1" t="s">
        <v>159</v>
      </c>
      <c r="B160" t="str">
        <f t="shared" si="26"/>
        <v>¬</v>
      </c>
      <c r="D160" s="19"/>
      <c r="E160" s="15" t="s">
        <v>98</v>
      </c>
      <c r="F160" s="7" t="s">
        <v>645</v>
      </c>
      <c r="G160" s="60"/>
      <c r="H160" s="60"/>
      <c r="I160" s="60"/>
      <c r="L160" s="4">
        <v>5</v>
      </c>
      <c r="M160" s="4"/>
      <c r="N160" s="4"/>
      <c r="O160" s="61">
        <f>N160</f>
        <v>0</v>
      </c>
      <c r="P160" s="60">
        <f>MIN(SUM(L160,M160,O160),R160)</f>
        <v>5</v>
      </c>
      <c r="Q160" s="61">
        <v>1</v>
      </c>
      <c r="R160" s="61">
        <v>5</v>
      </c>
    </row>
    <row r="161" spans="1:18">
      <c r="A161" s="1" t="s">
        <v>160</v>
      </c>
      <c r="B161" t="str">
        <f t="shared" si="26"/>
        <v>¬</v>
      </c>
      <c r="D161" s="19"/>
      <c r="E161" s="15" t="s">
        <v>100</v>
      </c>
      <c r="F161" s="3"/>
      <c r="G161" s="60"/>
      <c r="H161" s="60"/>
      <c r="I161" s="60"/>
      <c r="L161" s="4"/>
      <c r="M161" s="4"/>
      <c r="N161" s="4"/>
      <c r="O161" s="61">
        <f>N161</f>
        <v>0</v>
      </c>
      <c r="P161" s="60">
        <f>MIN(SUM(L161,M161,O161),R161)</f>
        <v>0</v>
      </c>
      <c r="Q161" s="61">
        <v>1</v>
      </c>
      <c r="R161" s="61">
        <v>5</v>
      </c>
    </row>
    <row r="162" spans="1:18">
      <c r="A162" s="1" t="s">
        <v>161</v>
      </c>
      <c r="B162" t="str">
        <f t="shared" si="26"/>
        <v>¬</v>
      </c>
    </row>
    <row r="163" spans="1:18" ht="15.75" thickBot="1">
      <c r="A163" s="1" t="s">
        <v>162</v>
      </c>
      <c r="B163" t="str">
        <f t="shared" si="26"/>
        <v>¬</v>
      </c>
      <c r="D163" s="14" t="s">
        <v>1488</v>
      </c>
      <c r="E163" s="14"/>
      <c r="F163" s="14"/>
      <c r="G163" s="14"/>
      <c r="H163" s="14"/>
      <c r="I163" s="14"/>
      <c r="N163" s="60">
        <f>SUM(N165:N174)+SUM(N177:N181)+SUM(N184:N185)+SUM(N187:N191)+SUM(N194:N203)</f>
        <v>6</v>
      </c>
    </row>
    <row r="164" spans="1:18">
      <c r="A164" s="1" t="s">
        <v>163</v>
      </c>
      <c r="B164" t="str">
        <f t="shared" si="26"/>
        <v>¬</v>
      </c>
      <c r="D164" s="16" t="s">
        <v>1489</v>
      </c>
      <c r="E164" s="15" t="s">
        <v>1490</v>
      </c>
      <c r="F164" s="61" t="str">
        <f>IFERROR(IF($F$8="",VLOOKUP($F$7,tblClans[],5,FALSE),VLOOKUP($F$8,tblBloodlines[],5,FALSE)),"")</f>
        <v>Auspex</v>
      </c>
      <c r="G164" s="61" t="str">
        <f>IFERROR(IF($F$8="",VLOOKUP($F$7,tblClans[],6,FALSE),VLOOKUP($F$8,tblBloodlines[],6,FALSE)),"")</f>
        <v>Celerity</v>
      </c>
      <c r="H164" s="61" t="str">
        <f>IFERROR(IF($F$8="",VLOOKUP($F$7,tblClans[],7,FALSE),VLOOKUP($F$8,tblBloodlines[],7,FALSE)),"")</f>
        <v>Obfuscate</v>
      </c>
      <c r="I164" s="61" t="str">
        <f>IFERROR(IF($F$8="",VLOOKUP($F$7,tblClans[],8,FALSE),VLOOKUP($F$8,tblBloodlines[],8,FALSE)),"")</f>
        <v/>
      </c>
      <c r="L164" s="60">
        <f>3-SUM(L165:L174)-SUM(L184:L185)</f>
        <v>0</v>
      </c>
    </row>
    <row r="165" spans="1:18">
      <c r="A165" s="1" t="s">
        <v>164</v>
      </c>
      <c r="B165" t="str">
        <f t="shared" si="26"/>
        <v>¬</v>
      </c>
      <c r="D165" s="19"/>
      <c r="E165" s="15" t="s">
        <v>236</v>
      </c>
      <c r="F165" s="19"/>
      <c r="G165" s="19"/>
      <c r="H165" s="19"/>
      <c r="I165" s="19"/>
      <c r="L165" s="4"/>
      <c r="N165" s="4"/>
      <c r="O165" s="61">
        <f t="shared" ref="O165:O174" si="27">ROUNDDOWN(IF(COUNTIF($F$164:$I$164,$E165)&gt;0,N165/3,N165/4),0)</f>
        <v>0</v>
      </c>
      <c r="P165" s="60">
        <f>MIN(SUM(L165,O165),R165)</f>
        <v>0</v>
      </c>
      <c r="Q165" s="61">
        <v>0</v>
      </c>
      <c r="R165" s="61">
        <v>5</v>
      </c>
    </row>
    <row r="166" spans="1:18">
      <c r="A166" s="1" t="s">
        <v>165</v>
      </c>
      <c r="B166" t="str">
        <f t="shared" si="26"/>
        <v>¬</v>
      </c>
      <c r="D166" s="19"/>
      <c r="E166" s="15" t="s">
        <v>237</v>
      </c>
      <c r="F166" s="19"/>
      <c r="G166" s="19"/>
      <c r="H166" s="19"/>
      <c r="I166" s="19"/>
      <c r="L166" s="4">
        <v>3</v>
      </c>
      <c r="N166" s="4">
        <v>3</v>
      </c>
      <c r="O166" s="61">
        <f t="shared" si="27"/>
        <v>1</v>
      </c>
      <c r="P166" s="60">
        <f t="shared" ref="P166:P174" si="28">MIN(SUM(L166,O166),R166)</f>
        <v>4</v>
      </c>
      <c r="Q166" s="61">
        <v>0</v>
      </c>
      <c r="R166" s="61">
        <v>5</v>
      </c>
    </row>
    <row r="167" spans="1:18">
      <c r="A167" s="1" t="s">
        <v>166</v>
      </c>
      <c r="B167" t="str">
        <f t="shared" si="26"/>
        <v>¬</v>
      </c>
      <c r="D167" s="19"/>
      <c r="E167" s="15" t="s">
        <v>238</v>
      </c>
      <c r="F167" s="19"/>
      <c r="G167" s="19"/>
      <c r="H167" s="19"/>
      <c r="I167" s="19"/>
      <c r="L167" s="4"/>
      <c r="N167" s="4"/>
      <c r="O167" s="61">
        <f t="shared" si="27"/>
        <v>0</v>
      </c>
      <c r="P167" s="60">
        <f t="shared" si="28"/>
        <v>0</v>
      </c>
      <c r="Q167" s="61">
        <v>0</v>
      </c>
      <c r="R167" s="61">
        <v>5</v>
      </c>
    </row>
    <row r="168" spans="1:18">
      <c r="A168" s="1" t="s">
        <v>167</v>
      </c>
      <c r="B168" t="str">
        <f t="shared" si="26"/>
        <v>¬</v>
      </c>
      <c r="D168" s="19"/>
      <c r="E168" s="15" t="s">
        <v>239</v>
      </c>
      <c r="F168" s="19"/>
      <c r="G168" s="19"/>
      <c r="H168" s="19"/>
      <c r="I168" s="19"/>
      <c r="L168" s="4"/>
      <c r="N168" s="4"/>
      <c r="O168" s="61">
        <f t="shared" si="27"/>
        <v>0</v>
      </c>
      <c r="P168" s="60">
        <f t="shared" si="28"/>
        <v>0</v>
      </c>
      <c r="Q168" s="61">
        <v>0</v>
      </c>
      <c r="R168" s="61">
        <v>5</v>
      </c>
    </row>
    <row r="169" spans="1:18">
      <c r="A169" s="1" t="s">
        <v>168</v>
      </c>
      <c r="B169" t="str">
        <f t="shared" si="26"/>
        <v>¬</v>
      </c>
      <c r="D169" s="19"/>
      <c r="E169" s="15" t="s">
        <v>240</v>
      </c>
      <c r="F169" s="19"/>
      <c r="G169" s="19"/>
      <c r="H169" s="19"/>
      <c r="I169" s="19"/>
      <c r="L169" s="4"/>
      <c r="N169" s="4"/>
      <c r="O169" s="61">
        <f t="shared" si="27"/>
        <v>0</v>
      </c>
      <c r="P169" s="60">
        <f t="shared" si="28"/>
        <v>0</v>
      </c>
      <c r="Q169" s="61">
        <v>0</v>
      </c>
      <c r="R169" s="61">
        <v>5</v>
      </c>
    </row>
    <row r="170" spans="1:18">
      <c r="A170" s="1" t="s">
        <v>169</v>
      </c>
      <c r="B170" t="str">
        <f t="shared" si="26"/>
        <v>¬</v>
      </c>
      <c r="D170" s="19"/>
      <c r="E170" s="15" t="s">
        <v>241</v>
      </c>
      <c r="F170" s="19"/>
      <c r="G170" s="19"/>
      <c r="H170" s="19"/>
      <c r="I170" s="19"/>
      <c r="L170" s="4"/>
      <c r="N170" s="4"/>
      <c r="O170" s="61">
        <f t="shared" si="27"/>
        <v>0</v>
      </c>
      <c r="P170" s="60">
        <f t="shared" si="28"/>
        <v>0</v>
      </c>
      <c r="Q170" s="61">
        <v>0</v>
      </c>
      <c r="R170" s="61">
        <v>5</v>
      </c>
    </row>
    <row r="171" spans="1:18">
      <c r="A171" s="1" t="s">
        <v>170</v>
      </c>
      <c r="B171" t="str">
        <f t="shared" si="26"/>
        <v>¬</v>
      </c>
      <c r="D171" s="19"/>
      <c r="E171" s="15" t="s">
        <v>242</v>
      </c>
      <c r="F171" s="19"/>
      <c r="G171" s="19"/>
      <c r="H171" s="19"/>
      <c r="I171" s="19"/>
      <c r="L171" s="4"/>
      <c r="N171" s="4">
        <v>3</v>
      </c>
      <c r="O171" s="61">
        <f t="shared" si="27"/>
        <v>1</v>
      </c>
      <c r="P171" s="60">
        <f t="shared" si="28"/>
        <v>1</v>
      </c>
      <c r="Q171" s="61">
        <v>0</v>
      </c>
      <c r="R171" s="61">
        <v>5</v>
      </c>
    </row>
    <row r="172" spans="1:18">
      <c r="A172" s="1" t="s">
        <v>171</v>
      </c>
      <c r="B172" t="str">
        <f t="shared" si="26"/>
        <v>¬</v>
      </c>
      <c r="D172" s="19"/>
      <c r="E172" s="15" t="s">
        <v>243</v>
      </c>
      <c r="F172" s="19"/>
      <c r="G172" s="19"/>
      <c r="H172" s="19"/>
      <c r="I172" s="19"/>
      <c r="L172" s="4"/>
      <c r="N172" s="4"/>
      <c r="O172" s="61">
        <f t="shared" si="27"/>
        <v>0</v>
      </c>
      <c r="P172" s="60">
        <f t="shared" si="28"/>
        <v>0</v>
      </c>
      <c r="Q172" s="61">
        <v>0</v>
      </c>
      <c r="R172" s="61">
        <v>5</v>
      </c>
    </row>
    <row r="173" spans="1:18">
      <c r="A173" s="1" t="s">
        <v>172</v>
      </c>
      <c r="B173" t="str">
        <f t="shared" si="26"/>
        <v>¬</v>
      </c>
      <c r="D173" s="19"/>
      <c r="E173" s="15" t="s">
        <v>244</v>
      </c>
      <c r="F173" s="19"/>
      <c r="G173" s="19"/>
      <c r="H173" s="19"/>
      <c r="I173" s="19"/>
      <c r="L173" s="4"/>
      <c r="N173" s="4"/>
      <c r="O173" s="61">
        <f t="shared" si="27"/>
        <v>0</v>
      </c>
      <c r="P173" s="60">
        <f t="shared" si="28"/>
        <v>0</v>
      </c>
      <c r="Q173" s="61">
        <v>0</v>
      </c>
      <c r="R173" s="61">
        <v>5</v>
      </c>
    </row>
    <row r="174" spans="1:18">
      <c r="A174" s="1" t="s">
        <v>173</v>
      </c>
      <c r="B174" t="str">
        <f t="shared" si="26"/>
        <v>¬</v>
      </c>
      <c r="D174" s="19"/>
      <c r="E174" s="15" t="s">
        <v>245</v>
      </c>
      <c r="F174" s="19"/>
      <c r="G174" s="19"/>
      <c r="H174" s="19"/>
      <c r="I174" s="19"/>
      <c r="L174" s="4"/>
      <c r="N174" s="4"/>
      <c r="O174" s="61">
        <f t="shared" si="27"/>
        <v>0</v>
      </c>
      <c r="P174" s="60">
        <f t="shared" si="28"/>
        <v>0</v>
      </c>
      <c r="Q174" s="61">
        <v>0</v>
      </c>
      <c r="R174" s="61">
        <v>5</v>
      </c>
    </row>
    <row r="175" spans="1:18">
      <c r="A175" s="1" t="s">
        <v>174</v>
      </c>
      <c r="B175" t="str">
        <f>_xlfn.CONCAT(I137-H137," / ",I137)</f>
        <v>4 / 6</v>
      </c>
    </row>
    <row r="176" spans="1:18">
      <c r="A176" s="1" t="s">
        <v>175</v>
      </c>
      <c r="B176" t="str">
        <f>REPT("□",I137-H137) &amp; REPT("■",H137)</f>
        <v>□□□□■■</v>
      </c>
      <c r="D176" s="16" t="s">
        <v>1491</v>
      </c>
      <c r="E176" s="16"/>
      <c r="F176" s="16"/>
      <c r="G176" s="16"/>
      <c r="H176" s="16"/>
      <c r="I176" s="16"/>
    </row>
    <row r="177" spans="1:18">
      <c r="A177" s="1" t="s">
        <v>176</v>
      </c>
      <c r="B177" t="str">
        <f t="shared" ref="B177:B196" si="29">IF(AC134="","¬",AC134)</f>
        <v>Allies</v>
      </c>
      <c r="D177" s="19"/>
      <c r="E177" s="15" t="s">
        <v>1492</v>
      </c>
      <c r="F177" s="3"/>
      <c r="G177" s="19"/>
      <c r="H177" s="72" t="str">
        <f>IFERROR(IF(VLOOKUP(F177,tblDisciplines[],14,FALSE)=0,"None",VLOOKUP(F177,tblDisciplines[],14,FALSE)),"None")</f>
        <v>None</v>
      </c>
      <c r="I177" s="73"/>
      <c r="N177" s="4"/>
      <c r="O177" s="61">
        <f>N177</f>
        <v>0</v>
      </c>
      <c r="P177" s="60" t="str">
        <f>IF(O177=R177,O177,"")</f>
        <v/>
      </c>
      <c r="R177" s="61" t="str">
        <f>_xlfn.IFNA(VLOOKUP(F177,tblDisciplines[],15,FALSE),"")</f>
        <v/>
      </c>
    </row>
    <row r="178" spans="1:18">
      <c r="A178" s="1" t="s">
        <v>177</v>
      </c>
      <c r="B178" t="str">
        <f t="shared" si="29"/>
        <v>Contacts</v>
      </c>
      <c r="D178" s="19"/>
      <c r="E178" s="15" t="s">
        <v>1493</v>
      </c>
      <c r="F178" s="3"/>
      <c r="G178" s="19"/>
      <c r="H178" s="72" t="str">
        <f>IFERROR(IF(VLOOKUP(F178,tblDisciplines[],14,FALSE)=0,"None",VLOOKUP(F178,tblDisciplines[],14,FALSE)),"None")</f>
        <v>None</v>
      </c>
      <c r="I178" s="73"/>
      <c r="N178" s="4"/>
      <c r="O178" s="61">
        <f>N178</f>
        <v>0</v>
      </c>
      <c r="P178" s="60" t="str">
        <f>IF(O178=R178,O178,"")</f>
        <v/>
      </c>
      <c r="R178" s="61" t="str">
        <f>_xlfn.IFNA(VLOOKUP(F178,tblDisciplines[],15,FALSE),"")</f>
        <v/>
      </c>
    </row>
    <row r="179" spans="1:18">
      <c r="A179" s="1" t="s">
        <v>178</v>
      </c>
      <c r="B179" t="str">
        <f t="shared" si="29"/>
        <v>Resources</v>
      </c>
      <c r="D179" s="19"/>
      <c r="E179" s="15" t="s">
        <v>1494</v>
      </c>
      <c r="F179" s="3"/>
      <c r="G179" s="19"/>
      <c r="H179" s="72" t="str">
        <f>IFERROR(IF(VLOOKUP(F179,tblDisciplines[],14,FALSE)=0,"None",VLOOKUP(F179,tblDisciplines[],14,FALSE)),"None")</f>
        <v>None</v>
      </c>
      <c r="I179" s="73"/>
      <c r="N179" s="4"/>
      <c r="O179" s="61">
        <f>N179</f>
        <v>0</v>
      </c>
      <c r="P179" s="60" t="str">
        <f>IF(O179=R179,O179,"")</f>
        <v/>
      </c>
      <c r="R179" s="61" t="str">
        <f>_xlfn.IFNA(VLOOKUP(F179,tblDisciplines[],15,FALSE),"")</f>
        <v/>
      </c>
    </row>
    <row r="180" spans="1:18">
      <c r="A180" s="1" t="s">
        <v>179</v>
      </c>
      <c r="B180" t="str">
        <f t="shared" si="29"/>
        <v>¬</v>
      </c>
      <c r="D180" s="19"/>
      <c r="E180" s="15" t="s">
        <v>1495</v>
      </c>
      <c r="F180" s="3"/>
      <c r="G180" s="19"/>
      <c r="H180" s="72" t="str">
        <f>IFERROR(IF(VLOOKUP(F180,tblDisciplines[],14,FALSE)=0,"None",VLOOKUP(F180,tblDisciplines[],14,FALSE)),"None")</f>
        <v>None</v>
      </c>
      <c r="I180" s="73"/>
      <c r="N180" s="4"/>
      <c r="O180" s="61">
        <f>N180</f>
        <v>0</v>
      </c>
      <c r="P180" s="60" t="str">
        <f>IF(O180=R180,O180,"")</f>
        <v/>
      </c>
      <c r="R180" s="61" t="str">
        <f>_xlfn.IFNA(VLOOKUP(F180,tblDisciplines[],15,FALSE),"")</f>
        <v/>
      </c>
    </row>
    <row r="181" spans="1:18">
      <c r="A181" s="1" t="s">
        <v>180</v>
      </c>
      <c r="B181" t="str">
        <f t="shared" si="29"/>
        <v>¬</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29"/>
        <v>¬</v>
      </c>
    </row>
    <row r="183" spans="1:18">
      <c r="A183" s="1" t="s">
        <v>182</v>
      </c>
      <c r="B183" t="str">
        <f t="shared" si="29"/>
        <v>¬</v>
      </c>
      <c r="D183" s="16" t="s">
        <v>1497</v>
      </c>
      <c r="E183" s="16"/>
      <c r="F183" s="16"/>
      <c r="G183" s="16"/>
      <c r="H183" s="16"/>
      <c r="I183" s="16"/>
    </row>
    <row r="184" spans="1:18">
      <c r="A184" s="1" t="s">
        <v>183</v>
      </c>
      <c r="B184" t="str">
        <f t="shared" si="29"/>
        <v>¬</v>
      </c>
      <c r="D184" s="19"/>
      <c r="E184" s="15" t="s">
        <v>246</v>
      </c>
      <c r="F184" s="19"/>
      <c r="G184" s="19"/>
      <c r="H184" s="19"/>
      <c r="I184" s="60" t="b">
        <f>IF(OR(F$9="Circle of the Crone",COUNTIF(F$79:F$93,"Chorister")&gt;0),TRUE,FALSE)</f>
        <v>0</v>
      </c>
      <c r="L184" s="4"/>
      <c r="N184" s="4"/>
      <c r="O184" s="61">
        <f>ROUNDDOWN(N184/4,0)</f>
        <v>0</v>
      </c>
      <c r="P184" s="60">
        <f>SUM(L184,O184)</f>
        <v>0</v>
      </c>
      <c r="Q184" s="61">
        <v>0</v>
      </c>
      <c r="R184" s="61">
        <v>5</v>
      </c>
    </row>
    <row r="185" spans="1:18">
      <c r="A185" s="1" t="s">
        <v>184</v>
      </c>
      <c r="B185" t="str">
        <f t="shared" si="29"/>
        <v>¬</v>
      </c>
      <c r="D185" s="19"/>
      <c r="E185" s="15" t="s">
        <v>247</v>
      </c>
      <c r="F185" s="19"/>
      <c r="G185" s="19"/>
      <c r="H185" s="19"/>
      <c r="I185" s="60" t="b">
        <f>IF(OR(F$9="Lancea et Sanctum",COUNTIF(F$79:F$93,"Laity")&gt;0),TRUE,FALSE)</f>
        <v>0</v>
      </c>
      <c r="L185" s="4"/>
      <c r="N185" s="4"/>
      <c r="O185" s="61">
        <f>ROUNDDOWN(N185/4,0)</f>
        <v>0</v>
      </c>
      <c r="P185" s="60">
        <f>SUM(L185,O185)</f>
        <v>0</v>
      </c>
      <c r="Q185" s="61">
        <v>0</v>
      </c>
      <c r="R185" s="61">
        <v>5</v>
      </c>
    </row>
    <row r="186" spans="1:18">
      <c r="A186" s="1" t="s">
        <v>185</v>
      </c>
      <c r="B186" t="str">
        <f t="shared" si="29"/>
        <v>¬</v>
      </c>
      <c r="D186" s="19"/>
      <c r="E186" s="19"/>
      <c r="F186" s="19"/>
      <c r="G186" s="19"/>
      <c r="H186" s="19"/>
      <c r="I186" s="19"/>
      <c r="L186" s="60">
        <f>SUM(P184:P185)-SUM(L187:L191)</f>
        <v>0</v>
      </c>
    </row>
    <row r="187" spans="1:18">
      <c r="A187" s="1" t="s">
        <v>186</v>
      </c>
      <c r="B187" t="str">
        <f t="shared" si="29"/>
        <v>¬</v>
      </c>
      <c r="D187" s="19"/>
      <c r="E187" s="15" t="s">
        <v>248</v>
      </c>
      <c r="F187" s="19"/>
      <c r="G187" s="19"/>
      <c r="H187" s="19"/>
      <c r="I187" s="19"/>
      <c r="L187" s="4"/>
      <c r="M187" s="61">
        <f>IF(AND(I184,L184&gt;=1),1,0)</f>
        <v>0</v>
      </c>
      <c r="N187" s="4"/>
      <c r="O187" s="61">
        <f>ROUNDDOWN(N187/2,0)</f>
        <v>0</v>
      </c>
      <c r="P187" s="60">
        <f>MIN(SUM(L187,M187,O187),R187)</f>
        <v>0</v>
      </c>
      <c r="Q187" s="61">
        <v>0</v>
      </c>
      <c r="R187" s="61">
        <f>MAX(P$184,P$185)</f>
        <v>0</v>
      </c>
    </row>
    <row r="188" spans="1:18">
      <c r="A188" s="1" t="s">
        <v>187</v>
      </c>
      <c r="B188" t="str">
        <f t="shared" si="29"/>
        <v>¬</v>
      </c>
      <c r="D188" s="19"/>
      <c r="E188" s="15" t="s">
        <v>249</v>
      </c>
      <c r="F188" s="19"/>
      <c r="G188" s="19"/>
      <c r="H188" s="19"/>
      <c r="I188" s="19"/>
      <c r="L188" s="4"/>
      <c r="M188" s="61"/>
      <c r="N188" s="4"/>
      <c r="O188" s="61">
        <f>ROUNDDOWN(N188/2,0)</f>
        <v>0</v>
      </c>
      <c r="P188" s="60">
        <f>MIN(SUM(L188,M188,O188),R188)</f>
        <v>0</v>
      </c>
      <c r="Q188" s="61">
        <v>0</v>
      </c>
      <c r="R188" s="61">
        <f>MAX(P$184,P$185)</f>
        <v>0</v>
      </c>
    </row>
    <row r="189" spans="1:18">
      <c r="A189" s="1" t="s">
        <v>188</v>
      </c>
      <c r="B189" t="str">
        <f t="shared" si="29"/>
        <v>¬</v>
      </c>
      <c r="D189" s="19"/>
      <c r="E189" s="15" t="s">
        <v>250</v>
      </c>
      <c r="F189" s="19"/>
      <c r="G189" s="19"/>
      <c r="H189" s="19"/>
      <c r="I189" s="19"/>
      <c r="L189" s="4"/>
      <c r="M189" s="61">
        <f>IF(AND(I185,L185&gt;=1),1,0)</f>
        <v>0</v>
      </c>
      <c r="N189" s="4"/>
      <c r="O189" s="61">
        <f>ROUNDDOWN(N189/2,0)</f>
        <v>0</v>
      </c>
      <c r="P189" s="60">
        <f>MIN(SUM(L189,M189,O189),R189)</f>
        <v>0</v>
      </c>
      <c r="Q189" s="61">
        <v>0</v>
      </c>
      <c r="R189" s="61">
        <f>MAX(P$184,P$185)</f>
        <v>0</v>
      </c>
    </row>
    <row r="190" spans="1:18">
      <c r="A190" s="1" t="s">
        <v>189</v>
      </c>
      <c r="B190" t="str">
        <f t="shared" si="29"/>
        <v>¬</v>
      </c>
      <c r="D190" s="19"/>
      <c r="E190" s="15" t="s">
        <v>251</v>
      </c>
      <c r="F190" s="19"/>
      <c r="G190" s="19"/>
      <c r="H190" s="19"/>
      <c r="I190" s="19"/>
      <c r="L190" s="4"/>
      <c r="M190" s="61">
        <f>IF(AND(I184,L184&gt;=1),1,0)</f>
        <v>0</v>
      </c>
      <c r="N190" s="4"/>
      <c r="O190" s="61">
        <f>ROUNDDOWN(N190/2,0)</f>
        <v>0</v>
      </c>
      <c r="P190" s="60">
        <f>MIN(SUM(L190,M190,O190),R190)</f>
        <v>0</v>
      </c>
      <c r="Q190" s="61">
        <v>0</v>
      </c>
      <c r="R190" s="61">
        <f>MAX(P$184,P$185)</f>
        <v>0</v>
      </c>
    </row>
    <row r="191" spans="1:18">
      <c r="A191" s="1" t="s">
        <v>190</v>
      </c>
      <c r="B191" t="str">
        <f t="shared" si="29"/>
        <v>¬</v>
      </c>
      <c r="D191" s="19"/>
      <c r="E191" s="15" t="s">
        <v>252</v>
      </c>
      <c r="F191" s="19"/>
      <c r="G191" s="19"/>
      <c r="H191" s="19"/>
      <c r="I191" s="19"/>
      <c r="L191" s="4"/>
      <c r="M191" s="61">
        <f>IF(AND(I185,L185&gt;=1),1,0)</f>
        <v>0</v>
      </c>
      <c r="N191" s="4"/>
      <c r="O191" s="61">
        <f>ROUNDDOWN(N191/2,0)</f>
        <v>0</v>
      </c>
      <c r="P191" s="60">
        <f>MIN(SUM(L191,M191,O191),R191)</f>
        <v>0</v>
      </c>
      <c r="Q191" s="61">
        <v>0</v>
      </c>
      <c r="R191" s="61">
        <f>MAX(P$184,P$185)</f>
        <v>0</v>
      </c>
    </row>
    <row r="192" spans="1:18">
      <c r="A192" s="1" t="s">
        <v>191</v>
      </c>
      <c r="B192" t="str">
        <f t="shared" si="29"/>
        <v>¬</v>
      </c>
    </row>
    <row r="193" spans="1:18">
      <c r="A193" s="1" t="s">
        <v>192</v>
      </c>
      <c r="B193" t="str">
        <f t="shared" si="29"/>
        <v>¬</v>
      </c>
      <c r="D193" s="16" t="s">
        <v>1474</v>
      </c>
      <c r="E193" s="16"/>
      <c r="F193" s="16"/>
      <c r="G193" s="16"/>
      <c r="H193" s="16"/>
      <c r="I193" s="16"/>
      <c r="L193" s="60">
        <f>SUM(P184:P185)+SUM(O187:O191)-SUM(L194:L203)</f>
        <v>0</v>
      </c>
    </row>
    <row r="194" spans="1:18">
      <c r="A194" s="1" t="s">
        <v>193</v>
      </c>
      <c r="B194" t="str">
        <f t="shared" si="29"/>
        <v>¬</v>
      </c>
      <c r="D194" s="19"/>
      <c r="E194" s="15" t="s">
        <v>1498</v>
      </c>
      <c r="F194" s="3"/>
      <c r="G194" s="61" t="str">
        <f>_xlfn.IFNA(VLOOKUP(F194,tblDisciplines[],2,FALSE),"")</f>
        <v/>
      </c>
      <c r="H194" s="19"/>
      <c r="I194" s="19"/>
      <c r="L194" s="4"/>
      <c r="N194" s="4"/>
      <c r="O194" s="61">
        <f>N194</f>
        <v>0</v>
      </c>
      <c r="P194" s="60" t="str">
        <f>IF(OR(L194=R194,O194=R194),R194,MIN(SUM(L194,O194),R194))</f>
        <v/>
      </c>
      <c r="R194" s="61" t="str">
        <f>_xlfn.IFNA(VLOOKUP(F194,tblDisciplines[],3,FALSE),"")</f>
        <v/>
      </c>
    </row>
    <row r="195" spans="1:18">
      <c r="A195" s="1" t="s">
        <v>194</v>
      </c>
      <c r="B195" t="str">
        <f t="shared" si="29"/>
        <v>¬</v>
      </c>
      <c r="D195" s="19"/>
      <c r="E195" s="15" t="s">
        <v>1499</v>
      </c>
      <c r="F195" s="3"/>
      <c r="G195" s="61" t="str">
        <f>_xlfn.IFNA(VLOOKUP(F195,tblDisciplines[],2,FALSE),"")</f>
        <v/>
      </c>
      <c r="H195" s="19"/>
      <c r="I195" s="19"/>
      <c r="L195" s="4"/>
      <c r="N195" s="4"/>
      <c r="O195" s="61">
        <f t="shared" ref="O195:O203" si="30">N195</f>
        <v>0</v>
      </c>
      <c r="P195" s="60" t="str">
        <f t="shared" ref="P195:P203" si="31">IF(OR(L195=R195,O195=R195),R195,MIN(SUM(L195,O195),R195))</f>
        <v/>
      </c>
      <c r="R195" s="61" t="str">
        <f>_xlfn.IFNA(VLOOKUP(F195,tblDisciplines[],3,FALSE),"")</f>
        <v/>
      </c>
    </row>
    <row r="196" spans="1:18">
      <c r="A196" s="1" t="s">
        <v>195</v>
      </c>
      <c r="B196" t="str">
        <f t="shared" si="29"/>
        <v>¬</v>
      </c>
      <c r="D196" s="19"/>
      <c r="E196" s="15" t="s">
        <v>1500</v>
      </c>
      <c r="F196" s="3"/>
      <c r="G196" s="61" t="str">
        <f>_xlfn.IFNA(VLOOKUP(F196,tblDisciplines[],2,FALSE),"")</f>
        <v/>
      </c>
      <c r="H196" s="19"/>
      <c r="I196" s="19"/>
      <c r="L196" s="4"/>
      <c r="N196" s="4"/>
      <c r="O196" s="61">
        <f t="shared" si="30"/>
        <v>0</v>
      </c>
      <c r="P196" s="60" t="str">
        <f t="shared" si="31"/>
        <v/>
      </c>
      <c r="R196" s="61" t="str">
        <f>_xlfn.IFNA(VLOOKUP(F196,tblDisciplines[],3,FALSE),"")</f>
        <v/>
      </c>
    </row>
    <row r="197" spans="1:18">
      <c r="A197" s="1" t="s">
        <v>196</v>
      </c>
      <c r="B197" t="str">
        <f>IF(AD134="","¬",AD134)</f>
        <v>Underworld</v>
      </c>
      <c r="D197" s="19"/>
      <c r="E197" s="15" t="s">
        <v>1501</v>
      </c>
      <c r="F197" s="3"/>
      <c r="G197" s="61" t="str">
        <f>_xlfn.IFNA(VLOOKUP(F197,tblDisciplines[],2,FALSE),"")</f>
        <v/>
      </c>
      <c r="H197" s="19"/>
      <c r="I197" s="19"/>
      <c r="L197" s="4"/>
      <c r="N197" s="4"/>
      <c r="O197" s="61">
        <f t="shared" si="30"/>
        <v>0</v>
      </c>
      <c r="P197" s="60" t="str">
        <f t="shared" si="31"/>
        <v/>
      </c>
      <c r="R197" s="61" t="str">
        <f>_xlfn.IFNA(VLOOKUP(F197,tblDisciplines[],3,FALSE),"")</f>
        <v/>
      </c>
    </row>
    <row r="198" spans="1:18">
      <c r="A198" s="1" t="s">
        <v>197</v>
      </c>
      <c r="B198" t="str">
        <f t="shared" ref="B198:B216" si="32">IF(AD135="","¬",AD135)</f>
        <v>high society, occult, politics</v>
      </c>
      <c r="D198" s="19"/>
      <c r="E198" s="15" t="s">
        <v>1502</v>
      </c>
      <c r="F198" s="3"/>
      <c r="G198" s="61" t="str">
        <f>_xlfn.IFNA(VLOOKUP(F198,tblDisciplines[],2,FALSE),"")</f>
        <v/>
      </c>
      <c r="H198" s="19"/>
      <c r="I198" s="19"/>
      <c r="L198" s="4"/>
      <c r="N198" s="4"/>
      <c r="O198" s="61">
        <f t="shared" si="30"/>
        <v>0</v>
      </c>
      <c r="P198" s="60" t="str">
        <f t="shared" si="31"/>
        <v/>
      </c>
      <c r="R198" s="61" t="str">
        <f>_xlfn.IFNA(VLOOKUP(F198,tblDisciplines[],3,FALSE),"")</f>
        <v/>
      </c>
    </row>
    <row r="199" spans="1:18">
      <c r="A199" s="1" t="s">
        <v>198</v>
      </c>
      <c r="B199" t="str">
        <f t="shared" si="32"/>
        <v>¬</v>
      </c>
      <c r="D199" s="19"/>
      <c r="E199" s="15" t="s">
        <v>1503</v>
      </c>
      <c r="F199" s="3"/>
      <c r="G199" s="61" t="str">
        <f>_xlfn.IFNA(VLOOKUP(F199,tblDisciplines[],2,FALSE),"")</f>
        <v/>
      </c>
      <c r="H199" s="19"/>
      <c r="I199" s="19"/>
      <c r="L199" s="4"/>
      <c r="N199" s="4"/>
      <c r="O199" s="61">
        <f t="shared" si="30"/>
        <v>0</v>
      </c>
      <c r="P199" s="60" t="str">
        <f t="shared" si="31"/>
        <v/>
      </c>
      <c r="R199" s="61" t="str">
        <f>_xlfn.IFNA(VLOOKUP(F199,tblDisciplines[],3,FALSE),"")</f>
        <v/>
      </c>
    </row>
    <row r="200" spans="1:18">
      <c r="A200" s="1" t="s">
        <v>199</v>
      </c>
      <c r="B200" t="str">
        <f t="shared" si="32"/>
        <v>¬</v>
      </c>
      <c r="D200" s="19"/>
      <c r="E200" s="15" t="s">
        <v>1504</v>
      </c>
      <c r="F200" s="3"/>
      <c r="G200" s="61" t="str">
        <f>_xlfn.IFNA(VLOOKUP(F200,tblDisciplines[],2,FALSE),"")</f>
        <v/>
      </c>
      <c r="H200" s="19"/>
      <c r="I200" s="19"/>
      <c r="L200" s="4"/>
      <c r="N200" s="4"/>
      <c r="O200" s="61">
        <f t="shared" si="30"/>
        <v>0</v>
      </c>
      <c r="P200" s="60" t="str">
        <f t="shared" si="31"/>
        <v/>
      </c>
      <c r="R200" s="61" t="str">
        <f>_xlfn.IFNA(VLOOKUP(F200,tblDisciplines[],3,FALSE),"")</f>
        <v/>
      </c>
    </row>
    <row r="201" spans="1:18">
      <c r="A201" s="1" t="s">
        <v>200</v>
      </c>
      <c r="B201" t="str">
        <f t="shared" si="32"/>
        <v>¬</v>
      </c>
      <c r="D201" s="19"/>
      <c r="E201" s="15" t="s">
        <v>1505</v>
      </c>
      <c r="F201" s="3"/>
      <c r="G201" s="61" t="str">
        <f>_xlfn.IFNA(VLOOKUP(F201,tblDisciplines[],2,FALSE),"")</f>
        <v/>
      </c>
      <c r="H201" s="19"/>
      <c r="I201" s="19"/>
      <c r="L201" s="4"/>
      <c r="N201" s="4"/>
      <c r="O201" s="61">
        <f t="shared" si="30"/>
        <v>0</v>
      </c>
      <c r="P201" s="60" t="str">
        <f t="shared" si="31"/>
        <v/>
      </c>
      <c r="R201" s="61" t="str">
        <f>_xlfn.IFNA(VLOOKUP(F201,tblDisciplines[],3,FALSE),"")</f>
        <v/>
      </c>
    </row>
    <row r="202" spans="1:18">
      <c r="A202" s="1" t="s">
        <v>201</v>
      </c>
      <c r="B202" t="str">
        <f t="shared" si="32"/>
        <v>¬</v>
      </c>
      <c r="D202" s="19"/>
      <c r="E202" s="15" t="s">
        <v>1506</v>
      </c>
      <c r="F202" s="3"/>
      <c r="G202" s="61" t="str">
        <f>_xlfn.IFNA(VLOOKUP(F202,tblDisciplines[],2,FALSE),"")</f>
        <v/>
      </c>
      <c r="H202" s="19"/>
      <c r="I202" s="19"/>
      <c r="L202" s="4"/>
      <c r="N202" s="4"/>
      <c r="O202" s="61">
        <f t="shared" si="30"/>
        <v>0</v>
      </c>
      <c r="P202" s="60" t="str">
        <f t="shared" si="31"/>
        <v/>
      </c>
      <c r="R202" s="61" t="str">
        <f>_xlfn.IFNA(VLOOKUP(F202,tblDisciplines[],3,FALSE),"")</f>
        <v/>
      </c>
    </row>
    <row r="203" spans="1:18">
      <c r="A203" s="1" t="s">
        <v>202</v>
      </c>
      <c r="B203" t="str">
        <f t="shared" si="32"/>
        <v>¬</v>
      </c>
      <c r="D203" s="19"/>
      <c r="E203" s="15" t="s">
        <v>1507</v>
      </c>
      <c r="F203" s="3"/>
      <c r="G203" s="61" t="str">
        <f>_xlfn.IFNA(VLOOKUP(F203,tblDisciplines[],2,FALSE),"")</f>
        <v/>
      </c>
      <c r="H203" s="19"/>
      <c r="I203" s="19"/>
      <c r="L203" s="4"/>
      <c r="N203" s="4"/>
      <c r="O203" s="61">
        <f t="shared" si="30"/>
        <v>0</v>
      </c>
      <c r="P203" s="60" t="str">
        <f t="shared" si="31"/>
        <v/>
      </c>
      <c r="R203" s="61" t="str">
        <f>_xlfn.IFNA(VLOOKUP(F203,tblDisciplines[],3,FALSE),"")</f>
        <v/>
      </c>
    </row>
    <row r="204" spans="1:18">
      <c r="A204" s="1" t="s">
        <v>203</v>
      </c>
      <c r="B204" t="str">
        <f t="shared" si="32"/>
        <v>¬</v>
      </c>
    </row>
    <row r="205" spans="1:18">
      <c r="A205" s="1" t="s">
        <v>204</v>
      </c>
      <c r="B205" t="str">
        <f t="shared" si="32"/>
        <v>¬</v>
      </c>
      <c r="D205" s="16" t="s">
        <v>1508</v>
      </c>
      <c r="E205" s="17"/>
      <c r="F205" s="17"/>
      <c r="G205" s="17"/>
      <c r="H205" s="17"/>
      <c r="I205" s="17"/>
    </row>
    <row r="206" spans="1:18">
      <c r="A206" s="1" t="s">
        <v>205</v>
      </c>
      <c r="B206" t="str">
        <f t="shared" si="32"/>
        <v>¬</v>
      </c>
      <c r="D206" s="19"/>
      <c r="E206" s="15" t="s">
        <v>1476</v>
      </c>
      <c r="F206" s="3"/>
      <c r="G206" s="19" t="str">
        <f>IFERROR(VLOOKUP(F206,tblManoeuvre[],2,FALSE)&amp;" "&amp;VLOOKUP(F206,tblManoeuvre[],3,FALSE),"")</f>
        <v/>
      </c>
      <c r="H206" s="68" t="str">
        <f>_xlfn.IFNA(IF(VLOOKUP(F206,tblMerits[],6,FALSE)=0,"None",VLOOKUP(F206,tblMerits[],6,FALSE)),"None")</f>
        <v>None</v>
      </c>
      <c r="I206" s="69"/>
      <c r="L206" s="4"/>
      <c r="M206" s="4"/>
      <c r="N206" s="4"/>
      <c r="O206" s="61">
        <f t="shared" ref="O206:O215" si="33">N206</f>
        <v>0</v>
      </c>
      <c r="P206" s="60">
        <f t="shared" ref="P206:P215" si="34">MIN(SUM(L206,M206,O206),R206)</f>
        <v>0</v>
      </c>
      <c r="Q206" s="61" t="str">
        <f>_xlfn.IFNA(VLOOKUP($F206,tblPacts[],3,FALSE),"")</f>
        <v/>
      </c>
      <c r="R206" s="61" t="str">
        <f>_xlfn.IFNA(VLOOKUP($F206,tblPacts[],4,FALSE),"")</f>
        <v/>
      </c>
    </row>
    <row r="207" spans="1:18">
      <c r="A207" s="1" t="s">
        <v>206</v>
      </c>
      <c r="B207" t="str">
        <f t="shared" si="32"/>
        <v>¬</v>
      </c>
      <c r="D207" s="19"/>
      <c r="E207" s="15" t="s">
        <v>1477</v>
      </c>
      <c r="F207" s="3"/>
      <c r="G207" s="19" t="str">
        <f>IFERROR(VLOOKUP(F207,tblManoeuvre[],2,FALSE)&amp;" "&amp;VLOOKUP(F207,tblManoeuvre[],3,FALSE),"")</f>
        <v/>
      </c>
      <c r="H207" s="68" t="str">
        <f>_xlfn.IFNA(IF(VLOOKUP(F207,tblMerits[],6,FALSE)=0,"None",VLOOKUP(F207,tblMerits[],6,FALSE)),"None")</f>
        <v>None</v>
      </c>
      <c r="I207" s="69"/>
      <c r="L207" s="4"/>
      <c r="M207" s="4"/>
      <c r="N207" s="4"/>
      <c r="O207" s="61">
        <f t="shared" si="33"/>
        <v>0</v>
      </c>
      <c r="P207" s="60">
        <f t="shared" si="34"/>
        <v>0</v>
      </c>
      <c r="Q207" s="61" t="str">
        <f>_xlfn.IFNA(VLOOKUP($F207,tblPacts[],3,FALSE),"")</f>
        <v/>
      </c>
      <c r="R207" s="61" t="str">
        <f>_xlfn.IFNA(VLOOKUP($F207,tblPacts[],4,FALSE),"")</f>
        <v/>
      </c>
    </row>
    <row r="208" spans="1:18">
      <c r="A208" s="1" t="s">
        <v>207</v>
      </c>
      <c r="B208" t="str">
        <f t="shared" si="32"/>
        <v>¬</v>
      </c>
      <c r="D208" s="19"/>
      <c r="E208" s="15" t="s">
        <v>1478</v>
      </c>
      <c r="F208" s="3"/>
      <c r="G208" s="19" t="str">
        <f>IFERROR(VLOOKUP(F208,tblManoeuvre[],2,FALSE)&amp;" "&amp;VLOOKUP(F208,tblManoeuvre[],3,FALSE),"")</f>
        <v/>
      </c>
      <c r="H208" s="68" t="str">
        <f>_xlfn.IFNA(IF(VLOOKUP(F208,tblMerits[],6,FALSE)=0,"None",VLOOKUP(F208,tblMerits[],6,FALSE)),"None")</f>
        <v>None</v>
      </c>
      <c r="I208" s="69"/>
      <c r="L208" s="4"/>
      <c r="M208" s="4"/>
      <c r="N208" s="4"/>
      <c r="O208" s="61">
        <f t="shared" si="33"/>
        <v>0</v>
      </c>
      <c r="P208" s="60">
        <f t="shared" si="34"/>
        <v>0</v>
      </c>
      <c r="Q208" s="61" t="str">
        <f>_xlfn.IFNA(VLOOKUP($F208,tblPacts[],3,FALSE),"")</f>
        <v/>
      </c>
      <c r="R208" s="61" t="str">
        <f>_xlfn.IFNA(VLOOKUP($F208,tblPacts[],4,FALSE),"")</f>
        <v/>
      </c>
    </row>
    <row r="209" spans="1:18">
      <c r="A209" s="1" t="s">
        <v>208</v>
      </c>
      <c r="B209" t="str">
        <f t="shared" si="32"/>
        <v>¬</v>
      </c>
      <c r="D209" s="19"/>
      <c r="E209" s="15" t="s">
        <v>1479</v>
      </c>
      <c r="F209" s="3"/>
      <c r="G209" s="19" t="str">
        <f>IFERROR(VLOOKUP(F209,tblManoeuvre[],2,FALSE)&amp;" "&amp;VLOOKUP(F209,tblManoeuvre[],3,FALSE),"")</f>
        <v/>
      </c>
      <c r="H209" s="68" t="str">
        <f>_xlfn.IFNA(IF(VLOOKUP(F209,tblMerits[],6,FALSE)=0,"None",VLOOKUP(F209,tblMerits[],6,FALSE)),"None")</f>
        <v>None</v>
      </c>
      <c r="I209" s="69"/>
      <c r="L209" s="4"/>
      <c r="M209" s="4"/>
      <c r="N209" s="4"/>
      <c r="O209" s="61">
        <f t="shared" si="33"/>
        <v>0</v>
      </c>
      <c r="P209" s="60">
        <f t="shared" si="34"/>
        <v>0</v>
      </c>
      <c r="Q209" s="61" t="str">
        <f>_xlfn.IFNA(VLOOKUP($F209,tblPacts[],3,FALSE),"")</f>
        <v/>
      </c>
      <c r="R209" s="61" t="str">
        <f>_xlfn.IFNA(VLOOKUP($F209,tblPacts[],4,FALSE),"")</f>
        <v/>
      </c>
    </row>
    <row r="210" spans="1:18">
      <c r="A210" s="1" t="s">
        <v>209</v>
      </c>
      <c r="B210" t="str">
        <f t="shared" si="32"/>
        <v>¬</v>
      </c>
      <c r="D210" s="19"/>
      <c r="E210" s="15" t="s">
        <v>1480</v>
      </c>
      <c r="F210" s="3"/>
      <c r="G210" s="19" t="str">
        <f>IFERROR(VLOOKUP(F210,tblManoeuvre[],2,FALSE)&amp;" "&amp;VLOOKUP(F210,tblManoeuvre[],3,FALSE),"")</f>
        <v/>
      </c>
      <c r="H210" s="68" t="str">
        <f>_xlfn.IFNA(IF(VLOOKUP(F210,tblMerits[],6,FALSE)=0,"None",VLOOKUP(F210,tblMerits[],6,FALSE)),"None")</f>
        <v>None</v>
      </c>
      <c r="I210" s="69"/>
      <c r="L210" s="4"/>
      <c r="M210" s="4"/>
      <c r="N210" s="4"/>
      <c r="O210" s="61">
        <f t="shared" si="33"/>
        <v>0</v>
      </c>
      <c r="P210" s="60">
        <f t="shared" si="34"/>
        <v>0</v>
      </c>
      <c r="Q210" s="61" t="str">
        <f>_xlfn.IFNA(VLOOKUP($F210,tblPacts[],3,FALSE),"")</f>
        <v/>
      </c>
      <c r="R210" s="61" t="str">
        <f>_xlfn.IFNA(VLOOKUP($F210,tblPacts[],4,FALSE),"")</f>
        <v/>
      </c>
    </row>
    <row r="211" spans="1:18">
      <c r="A211" s="1" t="s">
        <v>210</v>
      </c>
      <c r="B211" t="str">
        <f t="shared" si="32"/>
        <v>¬</v>
      </c>
      <c r="D211" s="19"/>
      <c r="E211" s="15" t="s">
        <v>1481</v>
      </c>
      <c r="F211" s="3"/>
      <c r="G211" s="19" t="str">
        <f>IFERROR(VLOOKUP(F211,tblManoeuvre[],2,FALSE)&amp;" "&amp;VLOOKUP(F211,tblManoeuvre[],3,FALSE),"")</f>
        <v/>
      </c>
      <c r="H211" s="68" t="str">
        <f>_xlfn.IFNA(IF(VLOOKUP(F211,tblMerits[],6,FALSE)=0,"None",VLOOKUP(F211,tblMerits[],6,FALSE)),"None")</f>
        <v>None</v>
      </c>
      <c r="I211" s="69"/>
      <c r="L211" s="4"/>
      <c r="M211" s="4"/>
      <c r="N211" s="4"/>
      <c r="O211" s="61">
        <f t="shared" si="33"/>
        <v>0</v>
      </c>
      <c r="P211" s="60">
        <f t="shared" si="34"/>
        <v>0</v>
      </c>
      <c r="Q211" s="61" t="str">
        <f>_xlfn.IFNA(VLOOKUP($F211,tblPacts[],3,FALSE),"")</f>
        <v/>
      </c>
      <c r="R211" s="61" t="str">
        <f>_xlfn.IFNA(VLOOKUP($F211,tblPacts[],4,FALSE),"")</f>
        <v/>
      </c>
    </row>
    <row r="212" spans="1:18">
      <c r="A212" s="1" t="s">
        <v>211</v>
      </c>
      <c r="B212" t="str">
        <f t="shared" si="32"/>
        <v>¬</v>
      </c>
      <c r="D212" s="19"/>
      <c r="E212" s="15" t="s">
        <v>1482</v>
      </c>
      <c r="F212" s="3"/>
      <c r="G212" s="19" t="str">
        <f>IFERROR(VLOOKUP(F212,tblManoeuvre[],2,FALSE)&amp;" "&amp;VLOOKUP(F212,tblManoeuvre[],3,FALSE),"")</f>
        <v/>
      </c>
      <c r="H212" s="68" t="str">
        <f>_xlfn.IFNA(IF(VLOOKUP(F212,tblMerits[],6,FALSE)=0,"None",VLOOKUP(F212,tblMerits[],6,FALSE)),"None")</f>
        <v>None</v>
      </c>
      <c r="I212" s="69"/>
      <c r="L212" s="4"/>
      <c r="M212" s="4"/>
      <c r="N212" s="4"/>
      <c r="O212" s="61">
        <f t="shared" si="33"/>
        <v>0</v>
      </c>
      <c r="P212" s="60">
        <f t="shared" si="34"/>
        <v>0</v>
      </c>
      <c r="Q212" s="61" t="str">
        <f>_xlfn.IFNA(VLOOKUP($F212,tblPacts[],3,FALSE),"")</f>
        <v/>
      </c>
      <c r="R212" s="61" t="str">
        <f>_xlfn.IFNA(VLOOKUP($F212,tblPacts[],4,FALSE),"")</f>
        <v/>
      </c>
    </row>
    <row r="213" spans="1:18">
      <c r="A213" s="1" t="s">
        <v>212</v>
      </c>
      <c r="B213" t="str">
        <f t="shared" si="32"/>
        <v>¬</v>
      </c>
      <c r="D213" s="19"/>
      <c r="E213" s="15" t="s">
        <v>1483</v>
      </c>
      <c r="F213" s="3"/>
      <c r="G213" s="19" t="str">
        <f>IFERROR(VLOOKUP(F213,tblManoeuvre[],2,FALSE)&amp;" "&amp;VLOOKUP(F213,tblManoeuvre[],3,FALSE),"")</f>
        <v/>
      </c>
      <c r="H213" s="68" t="str">
        <f>_xlfn.IFNA(IF(VLOOKUP(F213,tblMerits[],6,FALSE)=0,"None",VLOOKUP(F213,tblMerits[],6,FALSE)),"None")</f>
        <v>None</v>
      </c>
      <c r="I213" s="69"/>
      <c r="L213" s="4"/>
      <c r="M213" s="4"/>
      <c r="N213" s="4"/>
      <c r="O213" s="61">
        <f t="shared" si="33"/>
        <v>0</v>
      </c>
      <c r="P213" s="60">
        <f t="shared" si="34"/>
        <v>0</v>
      </c>
      <c r="Q213" s="61" t="str">
        <f>_xlfn.IFNA(VLOOKUP($F213,tblPacts[],3,FALSE),"")</f>
        <v/>
      </c>
      <c r="R213" s="61" t="str">
        <f>_xlfn.IFNA(VLOOKUP($F213,tblPacts[],4,FALSE),"")</f>
        <v/>
      </c>
    </row>
    <row r="214" spans="1:18">
      <c r="A214" s="1" t="s">
        <v>213</v>
      </c>
      <c r="B214" t="str">
        <f t="shared" si="32"/>
        <v>¬</v>
      </c>
      <c r="D214" s="19"/>
      <c r="E214" s="15" t="s">
        <v>1484</v>
      </c>
      <c r="F214" s="3"/>
      <c r="G214" s="19" t="str">
        <f>IFERROR(VLOOKUP(F214,tblManoeuvre[],2,FALSE)&amp;" "&amp;VLOOKUP(F214,tblManoeuvre[],3,FALSE),"")</f>
        <v/>
      </c>
      <c r="H214" s="68" t="str">
        <f>_xlfn.IFNA(IF(VLOOKUP(F214,tblMerits[],6,FALSE)=0,"None",VLOOKUP(F214,tblMerits[],6,FALSE)),"None")</f>
        <v>None</v>
      </c>
      <c r="I214" s="69"/>
      <c r="L214" s="4"/>
      <c r="M214" s="4"/>
      <c r="N214" s="4"/>
      <c r="O214" s="61">
        <f t="shared" si="33"/>
        <v>0</v>
      </c>
      <c r="P214" s="60">
        <f t="shared" si="34"/>
        <v>0</v>
      </c>
      <c r="Q214" s="61" t="str">
        <f>_xlfn.IFNA(VLOOKUP($F214,tblPacts[],3,FALSE),"")</f>
        <v/>
      </c>
      <c r="R214" s="61" t="str">
        <f>_xlfn.IFNA(VLOOKUP($F214,tblPacts[],4,FALSE),"")</f>
        <v/>
      </c>
    </row>
    <row r="215" spans="1:18">
      <c r="A215" s="1" t="s">
        <v>214</v>
      </c>
      <c r="B215" t="str">
        <f t="shared" si="32"/>
        <v>¬</v>
      </c>
      <c r="D215" s="19"/>
      <c r="E215" s="15" t="s">
        <v>1485</v>
      </c>
      <c r="F215" s="3"/>
      <c r="G215" s="19" t="str">
        <f>IFERROR(VLOOKUP(F215,tblManoeuvre[],2,FALSE)&amp;" "&amp;VLOOKUP(F215,tblManoeuvre[],3,FALSE),"")</f>
        <v/>
      </c>
      <c r="H215" s="68" t="str">
        <f>_xlfn.IFNA(IF(VLOOKUP(F215,tblMerits[],6,FALSE)=0,"None",VLOOKUP(F215,tblMerits[],6,FALSE)),"None")</f>
        <v>None</v>
      </c>
      <c r="I215" s="69"/>
      <c r="L215" s="4"/>
      <c r="M215" s="4"/>
      <c r="N215" s="4"/>
      <c r="O215" s="61">
        <f t="shared" si="33"/>
        <v>0</v>
      </c>
      <c r="P215" s="60">
        <f t="shared" si="34"/>
        <v>0</v>
      </c>
      <c r="Q215" s="61" t="str">
        <f>_xlfn.IFNA(VLOOKUP($F215,tblPacts[],3,FALSE),"")</f>
        <v/>
      </c>
      <c r="R215" s="61" t="str">
        <f>_xlfn.IFNA(VLOOKUP($F215,tblPacts[],4,FALSE),"")</f>
        <v/>
      </c>
    </row>
    <row r="216" spans="1:18">
      <c r="A216" s="1" t="s">
        <v>215</v>
      </c>
      <c r="B216" t="str">
        <f t="shared" si="32"/>
        <v>¬</v>
      </c>
    </row>
    <row r="217" spans="1:18">
      <c r="A217" s="1" t="s">
        <v>216</v>
      </c>
      <c r="B217" t="str">
        <f>IF(OR(AF134=0,AF134=""),"",REPT("●",AF134))</f>
        <v>●●●</v>
      </c>
      <c r="D217" s="16" t="s">
        <v>1509</v>
      </c>
      <c r="E217" s="16"/>
      <c r="F217" s="16"/>
      <c r="G217" s="16"/>
      <c r="H217" s="16"/>
      <c r="I217" s="16"/>
    </row>
    <row r="218" spans="1:18">
      <c r="A218" s="1" t="s">
        <v>217</v>
      </c>
      <c r="B218" t="str">
        <f t="shared" ref="B218:B236" si="35">IF(OR(AF135=0,AF135=""),"",REPT("●",AF135))</f>
        <v>●●●</v>
      </c>
      <c r="D218" s="19"/>
      <c r="E218" s="15" t="s">
        <v>353</v>
      </c>
      <c r="F218" s="19"/>
      <c r="G218" s="19"/>
      <c r="H218" s="19"/>
      <c r="I218" s="19"/>
      <c r="M218" s="61">
        <f>IF(COUNTIF(F79:F93,"Giant")&gt;0,1,0)+IF(COUNTIF(F79:F93,"Small-Framed")&gt;0,-1,0)</f>
        <v>0</v>
      </c>
      <c r="P218" s="60">
        <f>5+M218</f>
        <v>5</v>
      </c>
    </row>
    <row r="219" spans="1:18">
      <c r="A219" s="1" t="s">
        <v>218</v>
      </c>
      <c r="B219" t="str">
        <f t="shared" si="35"/>
        <v>●●●●●</v>
      </c>
      <c r="D219" s="19"/>
      <c r="E219" s="15" t="s">
        <v>354</v>
      </c>
      <c r="F219" s="19"/>
      <c r="G219" s="19"/>
      <c r="H219" s="19"/>
      <c r="I219" s="19"/>
      <c r="P219" s="60">
        <f ca="1">VLOOKUP("Size",INDIRECT($AH$1),2,FALSE)+VLOOKUP("Strength",INDIRECT($AH$1),2,FALSE)+VLOOKUP("Dexterity",INDIRECT($AH$1),2,FALSE)+VLOOKUP("Vigour",INDIRECT($AH$1),2,FALSE)</f>
        <v>9</v>
      </c>
    </row>
    <row r="220" spans="1:18">
      <c r="A220" s="1" t="s">
        <v>219</v>
      </c>
      <c r="B220" t="str">
        <f t="shared" si="35"/>
        <v/>
      </c>
      <c r="D220" s="19"/>
      <c r="E220" s="15" t="s">
        <v>355</v>
      </c>
      <c r="F220" s="19"/>
      <c r="G220" s="19"/>
      <c r="H220" s="19"/>
      <c r="I220" s="19"/>
      <c r="P220" s="60">
        <f ca="1">MIN(VLOOKUP("Dexterity",INDIRECT($AH$1),2,FALSE),VLOOKUP("Wits",INDIRECT($AH$1),2,FALSE))+VLOOKUP("Athletics",INDIRECT($AH$1),2,FALSE)</f>
        <v>5</v>
      </c>
    </row>
    <row r="221" spans="1:18">
      <c r="A221" s="1" t="s">
        <v>220</v>
      </c>
      <c r="B221" t="str">
        <f t="shared" si="35"/>
        <v/>
      </c>
      <c r="D221" s="19"/>
      <c r="E221" s="15" t="s">
        <v>52</v>
      </c>
      <c r="F221" s="19"/>
      <c r="G221" s="19"/>
      <c r="H221" s="19"/>
      <c r="I221" s="19"/>
      <c r="P221" s="60">
        <f ca="1">VLOOKUP("Size",INDIRECT($AH$1),2,FALSE)+VLOOKUP("Stamina",INDIRECT($AH$1),2,FALSE)+VLOOKUP("Resilience",INDIRECT($AH$1),2,FALSE)</f>
        <v>7</v>
      </c>
    </row>
    <row r="222" spans="1:18">
      <c r="A222" s="1" t="s">
        <v>221</v>
      </c>
      <c r="B222" t="str">
        <f t="shared" si="35"/>
        <v/>
      </c>
      <c r="D222" s="19"/>
      <c r="E222" s="19"/>
      <c r="F222" s="19"/>
      <c r="G222" s="19"/>
      <c r="H222" s="15" t="s">
        <v>1510</v>
      </c>
      <c r="I222" s="19"/>
      <c r="L222" s="4"/>
    </row>
    <row r="223" spans="1:18">
      <c r="A223" s="1" t="s">
        <v>222</v>
      </c>
      <c r="B223" t="str">
        <f t="shared" si="35"/>
        <v/>
      </c>
      <c r="D223" s="19"/>
      <c r="E223" s="15" t="s">
        <v>1511</v>
      </c>
      <c r="F223" s="7"/>
      <c r="G223" s="19"/>
      <c r="H223" s="15" t="s">
        <v>1512</v>
      </c>
      <c r="I223" s="19"/>
      <c r="L223" s="4"/>
    </row>
    <row r="224" spans="1:18">
      <c r="A224" s="1" t="s">
        <v>223</v>
      </c>
      <c r="B224" t="str">
        <f t="shared" si="35"/>
        <v/>
      </c>
      <c r="D224" s="19"/>
      <c r="E224" s="15" t="s">
        <v>1513</v>
      </c>
      <c r="F224" s="7"/>
      <c r="G224" s="19"/>
      <c r="H224" s="15" t="s">
        <v>1514</v>
      </c>
      <c r="I224" s="19"/>
      <c r="L224" s="4"/>
    </row>
    <row r="225" spans="1:12">
      <c r="A225" s="1" t="s">
        <v>224</v>
      </c>
      <c r="B225" t="str">
        <f t="shared" si="35"/>
        <v/>
      </c>
      <c r="D225" s="19"/>
      <c r="E225" s="15" t="s">
        <v>1515</v>
      </c>
      <c r="F225" s="7"/>
      <c r="G225" s="19"/>
      <c r="H225" s="15" t="s">
        <v>1516</v>
      </c>
      <c r="I225" s="19"/>
      <c r="L225" s="4">
        <v>2</v>
      </c>
    </row>
    <row r="226" spans="1:12">
      <c r="A226" s="1" t="s">
        <v>225</v>
      </c>
      <c r="B226" t="str">
        <f t="shared" si="35"/>
        <v/>
      </c>
      <c r="D226" s="19"/>
      <c r="E226" s="15" t="s">
        <v>1517</v>
      </c>
      <c r="F226" s="7"/>
      <c r="G226" s="19"/>
      <c r="H226" s="19"/>
      <c r="I226" s="19"/>
    </row>
    <row r="227" spans="1:12">
      <c r="A227" s="1" t="s">
        <v>226</v>
      </c>
      <c r="B227" t="str">
        <f t="shared" si="35"/>
        <v/>
      </c>
      <c r="D227" s="19"/>
      <c r="E227" s="15" t="s">
        <v>1518</v>
      </c>
      <c r="F227" s="7" t="s">
        <v>1781</v>
      </c>
      <c r="G227" s="19"/>
      <c r="H227" s="19"/>
      <c r="I227" s="19"/>
    </row>
    <row r="228" spans="1:12">
      <c r="A228" s="1" t="s">
        <v>227</v>
      </c>
      <c r="B228" t="str">
        <f t="shared" si="35"/>
        <v/>
      </c>
      <c r="D228" s="19"/>
      <c r="E228" s="15" t="s">
        <v>1519</v>
      </c>
      <c r="F228" s="7"/>
      <c r="G228" s="19"/>
      <c r="H228" s="19"/>
      <c r="I228" s="19"/>
    </row>
    <row r="229" spans="1:12">
      <c r="A229" s="1" t="s">
        <v>228</v>
      </c>
      <c r="B229" t="str">
        <f t="shared" si="35"/>
        <v/>
      </c>
      <c r="D229" s="19"/>
      <c r="E229" s="15" t="s">
        <v>1520</v>
      </c>
      <c r="F229" s="7"/>
      <c r="G229" s="19"/>
      <c r="H229" s="19"/>
      <c r="I229" s="19"/>
    </row>
    <row r="230" spans="1:12">
      <c r="A230" s="1" t="s">
        <v>229</v>
      </c>
      <c r="B230" t="str">
        <f t="shared" si="35"/>
        <v/>
      </c>
      <c r="D230" s="19"/>
      <c r="E230" s="15" t="s">
        <v>1521</v>
      </c>
      <c r="F230" s="7"/>
      <c r="G230" s="19"/>
      <c r="H230" s="19"/>
      <c r="I230" s="19"/>
    </row>
    <row r="231" spans="1:12">
      <c r="A231" s="1" t="s">
        <v>230</v>
      </c>
      <c r="B231" t="str">
        <f t="shared" si="35"/>
        <v/>
      </c>
      <c r="D231" s="19"/>
      <c r="E231" s="15" t="s">
        <v>1522</v>
      </c>
      <c r="F231" s="7"/>
      <c r="G231" s="19"/>
      <c r="H231" s="19"/>
      <c r="I231" s="19"/>
    </row>
    <row r="232" spans="1:12">
      <c r="A232" s="1" t="s">
        <v>231</v>
      </c>
      <c r="B232" t="str">
        <f t="shared" si="35"/>
        <v/>
      </c>
      <c r="D232" s="19"/>
      <c r="E232" s="15" t="s">
        <v>1523</v>
      </c>
      <c r="F232" s="7"/>
      <c r="G232" s="19"/>
      <c r="H232" s="19"/>
      <c r="I232" s="19"/>
    </row>
    <row r="233" spans="1:12">
      <c r="A233" s="1" t="s">
        <v>232</v>
      </c>
      <c r="B233" t="str">
        <f t="shared" si="35"/>
        <v/>
      </c>
      <c r="D233" s="19"/>
      <c r="E233" s="19"/>
      <c r="F233" s="19"/>
      <c r="G233" s="19"/>
      <c r="H233" s="19"/>
      <c r="I233" s="19"/>
    </row>
    <row r="234" spans="1:12">
      <c r="A234" s="1" t="s">
        <v>233</v>
      </c>
      <c r="B234" t="str">
        <f t="shared" si="35"/>
        <v/>
      </c>
      <c r="D234" s="19"/>
      <c r="E234" s="15" t="s">
        <v>343</v>
      </c>
      <c r="F234" s="61" t="str">
        <f>_xlfn.IFNA(VLOOKUP(F7,tblClans[],4,FALSE),"")</f>
        <v>Tenebrous Curse</v>
      </c>
      <c r="G234" s="19"/>
      <c r="H234" s="74" t="str">
        <f>_xlfn.IFNA(VLOOKUP(F234,tblBanes[],2,FALSE),"")</f>
        <v>Gain an extra bane at Humanity 6 (doesn't count towards cap); Humanity counts –1 for all Humanity-based banes.</v>
      </c>
      <c r="I234" s="74"/>
    </row>
    <row r="235" spans="1:12">
      <c r="A235" s="1" t="s">
        <v>234</v>
      </c>
      <c r="B235" t="str">
        <f t="shared" si="35"/>
        <v/>
      </c>
      <c r="D235" s="19"/>
      <c r="E235" s="15" t="s">
        <v>344</v>
      </c>
      <c r="F235" s="19"/>
      <c r="G235" s="19"/>
      <c r="H235" s="19"/>
      <c r="I235" s="19"/>
    </row>
    <row r="236" spans="1:12">
      <c r="A236" s="1" t="s">
        <v>235</v>
      </c>
      <c r="B236" t="str">
        <f t="shared" si="35"/>
        <v/>
      </c>
      <c r="D236" s="19"/>
      <c r="E236" s="15" t="s">
        <v>345</v>
      </c>
      <c r="F236" s="3"/>
      <c r="G236" s="19"/>
      <c r="H236" s="70" t="str">
        <f>_xlfn.IFNA(VLOOKUP(F236,tblBanes[],2,FALSE),"")</f>
        <v/>
      </c>
      <c r="I236" s="71"/>
    </row>
    <row r="237" spans="1:12">
      <c r="A237" s="1" t="s">
        <v>236</v>
      </c>
      <c r="B237" t="str">
        <f ca="1">_xlfn.LET(_xlpm.v,VLOOKUP(tblCharDataLudica[[#This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_xlfn.LET(_xlpm.v,VLOOKUP(tblCharDataLudica[[#This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_xlfn.LET(_xlpm.v,VLOOKUP(tblCharDataLudica[[#This Row],[Field]],INDIRECT($AH$1),2,FALSE),IF(OR(_xlpm.v=0,_xlpm.v=""),"-",REPT("●",_xlpm.v)))</f>
        <v>-</v>
      </c>
      <c r="D239" s="19"/>
      <c r="E239" s="19"/>
      <c r="F239" s="19"/>
      <c r="G239" s="19"/>
      <c r="H239" s="19"/>
      <c r="I239" s="19"/>
    </row>
    <row r="240" spans="1:12">
      <c r="A240" s="1" t="s">
        <v>239</v>
      </c>
      <c r="B240" t="str">
        <f ca="1">_xlfn.LET(_xlpm.v,VLOOKUP(tblCharDataLudica[[#This Row],[Field]],INDIRECT($AH$1),2,FALSE),IF(OR(_xlpm.v=0,_xlpm.v=""),"-",REPT("●",_xlpm.v)))</f>
        <v>-</v>
      </c>
      <c r="D240" s="19"/>
      <c r="E240" s="15" t="s">
        <v>360</v>
      </c>
      <c r="F240" s="62"/>
      <c r="G240" s="63"/>
      <c r="H240" s="63"/>
      <c r="I240" s="64"/>
    </row>
    <row r="241" spans="1:9">
      <c r="A241" s="1" t="s">
        <v>240</v>
      </c>
      <c r="B241" t="str">
        <f ca="1">_xlfn.LET(_xlpm.v,VLOOKUP(tblCharDataLudica[[#This Row],[Field]],INDIRECT($AH$1),2,FALSE),IF(OR(_xlpm.v=0,_xlpm.v=""),"-",REPT("●",_xlpm.v)))</f>
        <v>-</v>
      </c>
      <c r="D241" s="19"/>
      <c r="E241" s="15" t="s">
        <v>361</v>
      </c>
      <c r="F241" s="62"/>
      <c r="G241" s="63"/>
      <c r="H241" s="63"/>
      <c r="I241" s="64"/>
    </row>
    <row r="242" spans="1:9">
      <c r="A242" s="1" t="s">
        <v>241</v>
      </c>
      <c r="B242" t="str">
        <f ca="1">_xlfn.LET(_xlpm.v,VLOOKUP(tblCharDataLudica[[#This Row],[Field]],INDIRECT($AH$1),2,FALSE),IF(OR(_xlpm.v=0,_xlpm.v=""),"-",REPT("●",_xlpm.v)))</f>
        <v>-</v>
      </c>
      <c r="D242" s="19"/>
      <c r="E242" s="15" t="s">
        <v>362</v>
      </c>
      <c r="F242" s="62"/>
      <c r="G242" s="63"/>
      <c r="H242" s="63"/>
      <c r="I242" s="64"/>
    </row>
    <row r="243" spans="1:9">
      <c r="A243" s="1" t="s">
        <v>242</v>
      </c>
      <c r="B243" t="str">
        <f ca="1">_xlfn.LET(_xlpm.v,VLOOKUP(tblCharDataLudica[[#This Row],[Field]],INDIRECT($AH$1),2,FALSE),IF(OR(_xlpm.v=0,_xlpm.v=""),"-",REPT("●",_xlpm.v)))</f>
        <v>●</v>
      </c>
      <c r="D243" s="19"/>
      <c r="E243" s="19"/>
      <c r="F243" s="19"/>
      <c r="G243" s="19"/>
      <c r="H243" s="19"/>
      <c r="I243" s="19"/>
    </row>
    <row r="244" spans="1:9">
      <c r="A244" s="1" t="s">
        <v>243</v>
      </c>
      <c r="B244" t="str">
        <f ca="1">_xlfn.LET(_xlpm.v,VLOOKUP(tblCharDataLudica[[#This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_xlfn.LET(_xlpm.v,VLOOKUP(tblCharDataLudica[[#This Row],[Field]],INDIRECT($AH$1),2,FALSE),IF(OR(_xlpm.v=0,_xlpm.v=""),"-",REPT("●",_xlpm.v)))</f>
        <v>-</v>
      </c>
      <c r="D245" s="19"/>
      <c r="E245" s="15" t="s">
        <v>1524</v>
      </c>
      <c r="F245" s="62"/>
      <c r="G245" s="63"/>
      <c r="H245" s="63"/>
      <c r="I245" s="64"/>
    </row>
    <row r="246" spans="1:9">
      <c r="A246" s="1" t="s">
        <v>245</v>
      </c>
      <c r="B246" t="str">
        <f ca="1">_xlfn.LET(_xlpm.v,VLOOKUP(tblCharDataLudica[[#This Row],[Field]],INDIRECT($AH$1),2,FALSE),IF(OR(_xlpm.v=0,_xlpm.v=""),"-",REPT("●",_xlpm.v)))</f>
        <v>-</v>
      </c>
    </row>
    <row r="247" spans="1:9">
      <c r="A247" s="1" t="s">
        <v>246</v>
      </c>
      <c r="B247" t="str">
        <f ca="1">_xlfn.LET(_xlpm.v,VLOOKUP(tblCharDataLudica[[#This Row],[Field]],INDIRECT($AH$1),2,FALSE),IF(OR(_xlpm.v=0,_xlpm.v=""),"-",REPT("●",_xlpm.v)))</f>
        <v>-</v>
      </c>
      <c r="D247" s="16" t="s">
        <v>1525</v>
      </c>
      <c r="E247" s="16"/>
      <c r="F247" s="16" t="s">
        <v>1526</v>
      </c>
      <c r="G247" s="16" t="s">
        <v>1527</v>
      </c>
      <c r="H247" s="16"/>
      <c r="I247" s="16"/>
    </row>
    <row r="248" spans="1:9">
      <c r="A248" s="1" t="s">
        <v>247</v>
      </c>
      <c r="B248" t="str">
        <f ca="1">_xlfn.LET(_xlpm.v,VLOOKUP(tblCharDataLudica[[#This Row],[Field]],INDIRECT($AH$1),2,FALSE),IF(OR(_xlpm.v=0,_xlpm.v=""),"-",REPT("●",_xlpm.v)))</f>
        <v>-</v>
      </c>
      <c r="D248" s="19"/>
      <c r="E248" s="15" t="s">
        <v>1528</v>
      </c>
      <c r="F248" s="7"/>
      <c r="G248" s="7"/>
      <c r="H248" s="19"/>
      <c r="I248" s="19" t="s">
        <v>1529</v>
      </c>
    </row>
    <row r="249" spans="1:9">
      <c r="A249" s="1" t="s">
        <v>248</v>
      </c>
      <c r="B249" t="str">
        <f ca="1">_xlfn.LET(_xlpm.v,VLOOKUP(tblCharDataLudica[[#This Row],[Field]],INDIRECT($AH$1),2,FALSE),IF(OR(_xlpm.v=0,_xlpm.v=""),"-",REPT("●",_xlpm.v)))</f>
        <v>-</v>
      </c>
      <c r="D249" s="19"/>
      <c r="E249" s="15" t="s">
        <v>1530</v>
      </c>
      <c r="F249" s="7"/>
      <c r="G249" s="7"/>
      <c r="H249" s="19"/>
      <c r="I249" s="19" t="s">
        <v>1531</v>
      </c>
    </row>
    <row r="250" spans="1:9">
      <c r="A250" s="1" t="s">
        <v>249</v>
      </c>
      <c r="B250" t="str">
        <f ca="1">_xlfn.LET(_xlpm.v,VLOOKUP(tblCharDataLudica[[#This Row],[Field]],INDIRECT($AH$1),2,FALSE),IF(OR(_xlpm.v=0,_xlpm.v=""),"-",REPT("●",_xlpm.v)))</f>
        <v>-</v>
      </c>
      <c r="D250" s="19" t="s">
        <v>1532</v>
      </c>
      <c r="E250" s="15" t="s">
        <v>1533</v>
      </c>
      <c r="F250" s="7"/>
      <c r="G250" s="7"/>
      <c r="H250" s="19"/>
      <c r="I250" s="19"/>
    </row>
    <row r="251" spans="1:9">
      <c r="A251" s="1" t="s">
        <v>250</v>
      </c>
      <c r="B251" t="str">
        <f ca="1">_xlfn.LET(_xlpm.v,VLOOKUP(tblCharDataLudica[[#This Row],[Field]],INDIRECT($AH$1),2,FALSE),IF(OR(_xlpm.v=0,_xlpm.v=""),"-",REPT("●",_xlpm.v)))</f>
        <v>-</v>
      </c>
      <c r="D251" s="19" t="s">
        <v>1532</v>
      </c>
      <c r="E251" s="15" t="s">
        <v>1534</v>
      </c>
      <c r="F251" s="7"/>
      <c r="G251" s="7"/>
      <c r="H251" s="19"/>
      <c r="I251" s="19"/>
    </row>
    <row r="252" spans="1:9">
      <c r="A252" s="1" t="s">
        <v>251</v>
      </c>
      <c r="B252" t="str">
        <f ca="1">_xlfn.LET(_xlpm.v,VLOOKUP(tblCharDataLudica[[#This Row],[Field]],INDIRECT($AH$1),2,FALSE),IF(OR(_xlpm.v=0,_xlpm.v=""),"-",REPT("●",_xlpm.v)))</f>
        <v>-</v>
      </c>
      <c r="D252" s="19" t="s">
        <v>1532</v>
      </c>
      <c r="E252" s="15" t="s">
        <v>1535</v>
      </c>
      <c r="F252" s="7"/>
      <c r="G252" s="7"/>
      <c r="H252" s="19"/>
      <c r="I252" s="19"/>
    </row>
    <row r="253" spans="1:9">
      <c r="A253" s="1" t="s">
        <v>252</v>
      </c>
      <c r="B253" t="str">
        <f ca="1">_xlfn.LET(_xlpm.v,VLOOKUP(tblCharDataLudica[[#This Row],[Field]],INDIRECT($AH$1),2,FALSE),IF(OR(_xlpm.v=0,_xlpm.v=""),"-",REPT("●",_xlpm.v)))</f>
        <v>-</v>
      </c>
      <c r="D253" s="19" t="s">
        <v>1532</v>
      </c>
      <c r="E253" s="15" t="s">
        <v>1536</v>
      </c>
      <c r="F253" s="7"/>
      <c r="G253" s="7"/>
      <c r="H253" s="19"/>
      <c r="I253" s="19"/>
    </row>
    <row r="254" spans="1:9">
      <c r="A254" s="1" t="s">
        <v>253</v>
      </c>
      <c r="B254" t="str">
        <f t="shared" ref="B254:B283" si="36">IF(AD44="","¬",AD44)</f>
        <v>Auspex ● | Beast's Hackles</v>
      </c>
      <c r="D254" s="19" t="s">
        <v>1532</v>
      </c>
      <c r="E254" s="15" t="s">
        <v>1537</v>
      </c>
      <c r="F254" s="7"/>
      <c r="G254" s="7"/>
      <c r="H254" s="19"/>
      <c r="I254" s="19"/>
    </row>
    <row r="255" spans="1:9">
      <c r="A255" s="1" t="s">
        <v>254</v>
      </c>
      <c r="B255" t="str">
        <f t="shared" si="36"/>
        <v>Auspex ●● | Uncanny Perception</v>
      </c>
      <c r="D255" s="19" t="s">
        <v>1532</v>
      </c>
      <c r="E255" s="15" t="s">
        <v>1538</v>
      </c>
      <c r="F255" s="7"/>
      <c r="G255" s="7"/>
      <c r="H255" s="19"/>
      <c r="I255" s="19"/>
    </row>
    <row r="256" spans="1:9">
      <c r="A256" s="1" t="s">
        <v>255</v>
      </c>
      <c r="B256" t="str">
        <f t="shared" si="36"/>
        <v>Auspex ●●● | Spirit's Touch</v>
      </c>
      <c r="D256" s="19" t="s">
        <v>1532</v>
      </c>
      <c r="E256" s="15" t="s">
        <v>1539</v>
      </c>
      <c r="F256" s="7"/>
      <c r="G256" s="7"/>
      <c r="H256" s="19"/>
      <c r="I256" s="19"/>
    </row>
    <row r="257" spans="1:9">
      <c r="A257" s="1" t="s">
        <v>256</v>
      </c>
      <c r="B257" t="str">
        <f t="shared" si="36"/>
        <v>Auspex ●●●● | Lay Open the Mind</v>
      </c>
      <c r="D257" s="19" t="s">
        <v>1532</v>
      </c>
      <c r="E257" s="15" t="s">
        <v>1540</v>
      </c>
      <c r="F257" s="7"/>
      <c r="G257" s="7"/>
      <c r="H257" s="19"/>
      <c r="I257" s="19"/>
    </row>
    <row r="258" spans="1:9">
      <c r="A258" s="1" t="s">
        <v>257</v>
      </c>
      <c r="B258" t="str">
        <f t="shared" si="36"/>
        <v>Obfuscate ● | Face in the Crowd</v>
      </c>
      <c r="D258" s="19" t="s">
        <v>1532</v>
      </c>
      <c r="E258" s="15" t="s">
        <v>1541</v>
      </c>
      <c r="F258" s="7"/>
      <c r="G258" s="7"/>
      <c r="H258" s="19"/>
      <c r="I258" s="19"/>
    </row>
    <row r="259" spans="1:9">
      <c r="A259" s="1" t="s">
        <v>258</v>
      </c>
      <c r="B259" t="str">
        <f t="shared" si="36"/>
        <v>¬</v>
      </c>
      <c r="D259" s="19" t="s">
        <v>1532</v>
      </c>
      <c r="E259" s="15" t="s">
        <v>1542</v>
      </c>
      <c r="F259" s="7"/>
      <c r="G259" s="7"/>
      <c r="H259" s="19"/>
      <c r="I259" s="19"/>
    </row>
    <row r="260" spans="1:9">
      <c r="A260" s="1" t="s">
        <v>259</v>
      </c>
      <c r="B260" t="str">
        <f t="shared" si="36"/>
        <v>¬</v>
      </c>
      <c r="D260" s="19" t="s">
        <v>1532</v>
      </c>
      <c r="E260" s="15" t="s">
        <v>1543</v>
      </c>
      <c r="F260" s="7"/>
      <c r="G260" s="7"/>
      <c r="H260" s="19"/>
      <c r="I260" s="19"/>
    </row>
    <row r="261" spans="1:9">
      <c r="A261" s="1" t="s">
        <v>260</v>
      </c>
      <c r="B261" t="str">
        <f t="shared" si="36"/>
        <v>¬</v>
      </c>
      <c r="D261" s="19" t="s">
        <v>1532</v>
      </c>
      <c r="E261" s="15" t="s">
        <v>1544</v>
      </c>
      <c r="F261" s="7"/>
      <c r="G261" s="7"/>
      <c r="H261" s="19"/>
      <c r="I261" s="19"/>
    </row>
    <row r="262" spans="1:9">
      <c r="A262" s="1" t="s">
        <v>261</v>
      </c>
      <c r="B262" t="str">
        <f t="shared" si="36"/>
        <v>¬</v>
      </c>
      <c r="D262" s="19" t="s">
        <v>1532</v>
      </c>
      <c r="E262" s="15" t="s">
        <v>1545</v>
      </c>
      <c r="F262" s="7"/>
      <c r="G262" s="7"/>
      <c r="H262" s="19"/>
      <c r="I262" s="19"/>
    </row>
    <row r="263" spans="1:9">
      <c r="A263" s="1" t="s">
        <v>262</v>
      </c>
      <c r="B263" t="str">
        <f t="shared" si="36"/>
        <v>¬</v>
      </c>
      <c r="D263" s="19" t="s">
        <v>1532</v>
      </c>
      <c r="E263" s="15" t="s">
        <v>1546</v>
      </c>
      <c r="F263" s="7"/>
      <c r="G263" s="7"/>
      <c r="H263" s="19"/>
      <c r="I263" s="19"/>
    </row>
    <row r="264" spans="1:9">
      <c r="A264" s="1" t="s">
        <v>263</v>
      </c>
      <c r="B264" t="str">
        <f t="shared" si="36"/>
        <v>¬</v>
      </c>
      <c r="D264" s="19" t="s">
        <v>1532</v>
      </c>
      <c r="E264" s="15" t="s">
        <v>1547</v>
      </c>
      <c r="F264" s="7"/>
      <c r="G264" s="7"/>
      <c r="H264" s="19"/>
      <c r="I264" s="19"/>
    </row>
    <row r="265" spans="1:9">
      <c r="A265" s="1" t="s">
        <v>264</v>
      </c>
      <c r="B265" t="str">
        <f t="shared" si="36"/>
        <v>¬</v>
      </c>
      <c r="D265" s="19" t="s">
        <v>1532</v>
      </c>
      <c r="E265" s="15" t="s">
        <v>1548</v>
      </c>
      <c r="F265" s="7"/>
      <c r="G265" s="7"/>
      <c r="H265" s="19"/>
      <c r="I265" s="19"/>
    </row>
    <row r="266" spans="1:9">
      <c r="A266" s="1" t="s">
        <v>265</v>
      </c>
      <c r="B266" t="str">
        <f t="shared" si="36"/>
        <v>¬</v>
      </c>
      <c r="D266" s="19" t="s">
        <v>1532</v>
      </c>
      <c r="E266" s="15" t="s">
        <v>1549</v>
      </c>
      <c r="F266" s="7"/>
      <c r="G266" s="7"/>
      <c r="H266" s="19"/>
      <c r="I266" s="19"/>
    </row>
    <row r="267" spans="1:9">
      <c r="A267" s="1" t="s">
        <v>266</v>
      </c>
      <c r="B267" t="str">
        <f t="shared" si="36"/>
        <v>¬</v>
      </c>
      <c r="D267" s="19" t="s">
        <v>1532</v>
      </c>
      <c r="E267" s="15" t="s">
        <v>1550</v>
      </c>
      <c r="F267" s="7"/>
      <c r="G267" s="7"/>
      <c r="H267" s="19"/>
      <c r="I267" s="19"/>
    </row>
    <row r="268" spans="1:9">
      <c r="A268" s="1" t="s">
        <v>267</v>
      </c>
      <c r="B268" t="str">
        <f t="shared" si="36"/>
        <v>¬</v>
      </c>
      <c r="D268" s="19" t="s">
        <v>1532</v>
      </c>
      <c r="E268" s="15" t="s">
        <v>1551</v>
      </c>
      <c r="F268" s="7"/>
      <c r="G268" s="7"/>
      <c r="H268" s="19"/>
      <c r="I268" s="19"/>
    </row>
    <row r="269" spans="1:9">
      <c r="A269" s="1" t="s">
        <v>268</v>
      </c>
      <c r="B269" t="str">
        <f t="shared" si="36"/>
        <v>¬</v>
      </c>
      <c r="D269" s="19" t="s">
        <v>1532</v>
      </c>
      <c r="E269" s="15" t="s">
        <v>1552</v>
      </c>
      <c r="F269" s="7"/>
      <c r="G269" s="7"/>
      <c r="H269" s="19"/>
      <c r="I269" s="19"/>
    </row>
    <row r="270" spans="1:9">
      <c r="A270" s="1" t="s">
        <v>269</v>
      </c>
      <c r="B270" t="str">
        <f t="shared" si="36"/>
        <v>¬</v>
      </c>
      <c r="D270" s="19" t="s">
        <v>1532</v>
      </c>
      <c r="E270" s="15" t="s">
        <v>1553</v>
      </c>
      <c r="F270" s="7"/>
      <c r="G270" s="7"/>
      <c r="H270" s="19"/>
      <c r="I270" s="19"/>
    </row>
    <row r="271" spans="1:9">
      <c r="A271" s="1" t="s">
        <v>270</v>
      </c>
      <c r="B271" t="str">
        <f t="shared" si="36"/>
        <v>¬</v>
      </c>
      <c r="D271" s="19" t="s">
        <v>1532</v>
      </c>
      <c r="E271" s="15" t="s">
        <v>1554</v>
      </c>
      <c r="F271" s="7"/>
      <c r="G271" s="7"/>
      <c r="H271" s="19"/>
      <c r="I271" s="19"/>
    </row>
    <row r="272" spans="1:9">
      <c r="A272" s="1" t="s">
        <v>271</v>
      </c>
      <c r="B272" t="str">
        <f t="shared" si="36"/>
        <v>¬</v>
      </c>
      <c r="D272" s="19" t="s">
        <v>1532</v>
      </c>
      <c r="E272" s="15" t="s">
        <v>1555</v>
      </c>
      <c r="F272" s="7"/>
      <c r="G272" s="7"/>
      <c r="H272" s="19"/>
      <c r="I272" s="19"/>
    </row>
    <row r="273" spans="1:14">
      <c r="A273" s="1" t="s">
        <v>272</v>
      </c>
      <c r="B273" t="str">
        <f t="shared" si="36"/>
        <v>¬</v>
      </c>
      <c r="D273" s="19" t="s">
        <v>1532</v>
      </c>
      <c r="E273" s="15" t="s">
        <v>1556</v>
      </c>
      <c r="F273" s="7"/>
      <c r="G273" s="7"/>
      <c r="H273" s="19"/>
      <c r="I273" s="19"/>
    </row>
    <row r="274" spans="1:14">
      <c r="A274" s="1" t="s">
        <v>273</v>
      </c>
      <c r="B274" t="str">
        <f t="shared" si="36"/>
        <v>¬</v>
      </c>
      <c r="D274" s="19" t="s">
        <v>1532</v>
      </c>
      <c r="E274" s="15" t="s">
        <v>1557</v>
      </c>
      <c r="F274" s="7"/>
      <c r="G274" s="7"/>
      <c r="H274" s="19"/>
      <c r="I274" s="19"/>
    </row>
    <row r="275" spans="1:14">
      <c r="A275" s="1" t="s">
        <v>274</v>
      </c>
      <c r="B275" t="str">
        <f t="shared" si="36"/>
        <v>¬</v>
      </c>
      <c r="D275" s="19" t="s">
        <v>1532</v>
      </c>
      <c r="E275" s="15" t="s">
        <v>1558</v>
      </c>
      <c r="F275" s="7"/>
      <c r="G275" s="7"/>
      <c r="H275" s="19"/>
      <c r="I275" s="19"/>
    </row>
    <row r="276" spans="1:14">
      <c r="A276" s="1" t="s">
        <v>275</v>
      </c>
      <c r="B276" t="str">
        <f t="shared" si="36"/>
        <v>¬</v>
      </c>
      <c r="D276" s="19" t="s">
        <v>1532</v>
      </c>
      <c r="E276" s="15" t="s">
        <v>1559</v>
      </c>
      <c r="F276" s="7"/>
      <c r="G276" s="7"/>
      <c r="H276" s="19"/>
      <c r="I276" s="19"/>
    </row>
    <row r="277" spans="1:14">
      <c r="A277" s="1" t="s">
        <v>276</v>
      </c>
      <c r="B277" t="str">
        <f t="shared" si="36"/>
        <v>¬</v>
      </c>
      <c r="D277" s="19" t="s">
        <v>1532</v>
      </c>
      <c r="E277" s="15" t="s">
        <v>1560</v>
      </c>
      <c r="F277" s="7"/>
      <c r="G277" s="7"/>
      <c r="H277" s="19"/>
      <c r="I277" s="19"/>
    </row>
    <row r="278" spans="1:14">
      <c r="A278" s="1" t="s">
        <v>277</v>
      </c>
      <c r="B278" t="str">
        <f t="shared" si="36"/>
        <v>¬</v>
      </c>
    </row>
    <row r="279" spans="1:14">
      <c r="A279" s="1" t="s">
        <v>278</v>
      </c>
      <c r="B279" t="str">
        <f t="shared" si="36"/>
        <v>¬</v>
      </c>
      <c r="D279" s="16" t="s">
        <v>1561</v>
      </c>
      <c r="E279" s="16"/>
      <c r="F279" s="16" t="s">
        <v>1347</v>
      </c>
      <c r="G279" s="16" t="s">
        <v>1348</v>
      </c>
      <c r="H279" s="16" t="s">
        <v>1349</v>
      </c>
      <c r="I279" s="16" t="s">
        <v>1350</v>
      </c>
      <c r="N279" s="60">
        <f ca="1">SUM(N280:N282)</f>
        <v>3</v>
      </c>
    </row>
    <row r="280" spans="1:14">
      <c r="A280" s="1" t="s">
        <v>279</v>
      </c>
      <c r="B280" t="str">
        <f t="shared" si="36"/>
        <v>¬</v>
      </c>
      <c r="D280" s="61" t="str" cm="1">
        <f t="array" aca="1" ref="D280" ca="1">INDEX(Attendance!$C$14:$GP$44,
       MATCH($F$4, Attendance!$C$14:$C$44, 0),
       MATCH(1, (Attendance!$C$12:$GP$12=$E280) * (Attendance!$C$13:$GP$13="Paid"), 0)
)</f>
        <v>PayID</v>
      </c>
      <c r="E280" s="41">
        <v>46054</v>
      </c>
      <c r="F280" s="61" cm="1">
        <f t="array" aca="1" ref="F280" ca="1">N(INDEX(Attendance!$C$14:$GP$104,
       MATCH($F$4, Attendance!$C$14:$C$104, 0),
       MATCH(1, (Attendance!$C$12:$GP$12=$E280) * (Attendance!$C$13:$GP$13=$F$279), 0)
))</f>
        <v>3</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0</v>
      </c>
      <c r="I280" s="61" t="str" cm="1">
        <f t="array" aca="1" ref="I280" ca="1">INDEX(Attendance!$C$14:$GP$44,
       MATCH($F$4, Attendance!$C$14:$C$44, 0),
       MATCH(1, (Attendance!$C$12:$GP$12=$E280) * (Attendance!$C$13:$GP$13=$I$279), 0)
)</f>
        <v>Quiet</v>
      </c>
      <c r="K280" s="18"/>
      <c r="L280" s="18"/>
      <c r="M280" s="18" t="s">
        <v>1562</v>
      </c>
      <c r="N280" s="61">
        <f ca="1">SUM(F$280:F$316)</f>
        <v>3</v>
      </c>
    </row>
    <row r="281" spans="1:14">
      <c r="A281" s="1" t="s">
        <v>280</v>
      </c>
      <c r="B281" t="str">
        <f t="shared" si="36"/>
        <v>¬</v>
      </c>
      <c r="D281" s="61" t="str" cm="1">
        <f t="array" aca="1" ref="D281" ca="1">INDEX(Attendance!$C$14:$GP$44,
       MATCH($F$4, Attendance!$C$14:$C$44, 0),
       MATCH(1, (Attendance!$C$12:$GP$12=$E281) * (Attendance!$C$13:$GP$13="Paid"), 0)
)</f>
        <v> </v>
      </c>
      <c r="E281" s="42">
        <f t="shared" ref="E281:E316" si="37">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6"/>
        <v>¬</v>
      </c>
      <c r="D282" s="61" t="str" cm="1">
        <f t="array" aca="1" ref="D282" ca="1">INDEX(Attendance!$C$14:$GP$44,
       MATCH($F$4, Attendance!$C$14:$C$44, 0),
       MATCH(1, (Attendance!$C$12:$GP$12=$E282) * (Attendance!$C$13:$GP$13="Paid"), 0)
)</f>
        <v> </v>
      </c>
      <c r="E282" s="42">
        <f t="shared" si="37"/>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0</v>
      </c>
    </row>
    <row r="283" spans="1:14">
      <c r="A283" s="1" t="s">
        <v>282</v>
      </c>
      <c r="B283" t="str">
        <f t="shared" si="36"/>
        <v>¬</v>
      </c>
      <c r="D283" s="61" t="str" cm="1">
        <f t="array" aca="1" ref="D283" ca="1">INDEX(Attendance!$C$14:$GP$44,
       MATCH($F$4, Attendance!$C$14:$C$44, 0),
       MATCH(1, (Attendance!$C$12:$GP$12=$E283) * (Attendance!$C$13:$GP$13="Paid"), 0)
)</f>
        <v> </v>
      </c>
      <c r="E283" s="42">
        <f t="shared" si="37"/>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8">IF(AE44="","¬",AE44)</f>
        <v>Cost: Free (1 V for Insight)  •  Pool: - - Composure &amp; Closed Book  •  Instant  •  Scene</v>
      </c>
      <c r="D284" s="61" t="str" cm="1">
        <f t="array" aca="1" ref="D284" ca="1">INDEX(Attendance!$C$14:$GP$44,
       MATCH($F$4, Attendance!$C$14:$C$44, 0),
       MATCH(1, (Attendance!$C$12:$GP$12=$E284) * (Attendance!$C$13:$GP$13="Paid"), 0)
)</f>
        <v> </v>
      </c>
      <c r="E284" s="42">
        <f t="shared" si="37"/>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8"/>
        <v>Cost: Free (1 V for Insight) Must perceive target  •  Pool: -  •  Instant  •  Scene</v>
      </c>
      <c r="D285" s="61" t="str" cm="1">
        <f t="array" aca="1" ref="D285" ca="1">INDEX(Attendance!$C$14:$GP$44,
       MATCH($F$4, Attendance!$C$14:$C$44, 0),
       MATCH(1, (Attendance!$C$12:$GP$12=$E285) * (Attendance!$C$13:$GP$13="Paid"), 0)
)</f>
        <v> </v>
      </c>
      <c r="E285" s="42">
        <f t="shared" si="37"/>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8"/>
        <v>Cost: Free (1 WP for clash / 1 V for Insight)  •  Pool: - v Resolve + Stealth + Obf  •  Reflexive  •  Immediate</v>
      </c>
      <c r="D286" s="61" t="str" cm="1">
        <f t="array" aca="1" ref="D286" ca="1">INDEX(Attendance!$C$14:$GP$44,
       MATCH($F$4, Attendance!$C$14:$C$44, 0),
       MATCH(1, (Attendance!$C$12:$GP$12=$E286) * (Attendance!$C$13:$GP$13="Paid"), 0)
)</f>
        <v> </v>
      </c>
      <c r="E286" s="42">
        <f t="shared" si="37"/>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8"/>
        <v>Cost: 1 V  •  Pool: 8  v Resolve + BP  •  Instant  •  Scene</v>
      </c>
      <c r="D287" s="61" t="str" cm="1">
        <f t="array" aca="1" ref="D287" ca="1">INDEX(Attendance!$C$14:$GP$44,
       MATCH($F$4, Attendance!$C$14:$C$44, 0),
       MATCH(1, (Attendance!$C$12:$GP$12=$E287) * (Attendance!$C$13:$GP$13="Paid"), 0)
)</f>
        <v> </v>
      </c>
      <c r="E287" s="42">
        <f t="shared" si="37"/>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8"/>
        <v>Cost: -  •  Pool: -  •  Instant  •  Scene</v>
      </c>
      <c r="D288" s="61" t="str" cm="1">
        <f t="array" aca="1" ref="D288" ca="1">INDEX(Attendance!$C$14:$GP$44,
       MATCH($F$4, Attendance!$C$14:$C$44, 0),
       MATCH(1, (Attendance!$C$12:$GP$12=$E288) * (Attendance!$C$13:$GP$13="Paid"), 0)
)</f>
        <v> </v>
      </c>
      <c r="E288" s="42">
        <f t="shared" si="37"/>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8"/>
        <v>¬</v>
      </c>
      <c r="D289" s="61" t="str" cm="1">
        <f t="array" aca="1" ref="D289" ca="1">INDEX(Attendance!$C$14:$GP$44,
       MATCH($F$4, Attendance!$C$14:$C$44, 0),
       MATCH(1, (Attendance!$C$12:$GP$12=$E289) * (Attendance!$C$13:$GP$13="Paid"), 0)
)</f>
        <v> </v>
      </c>
      <c r="E289" s="42">
        <f t="shared" si="37"/>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8"/>
        <v>¬</v>
      </c>
      <c r="D290" s="61" t="str" cm="1">
        <f t="array" aca="1" ref="D290" ca="1">INDEX(Attendance!$C$14:$GP$44,
       MATCH($F$4, Attendance!$C$14:$C$44, 0),
       MATCH(1, (Attendance!$C$12:$GP$12=$E290) * (Attendance!$C$13:$GP$13="Paid"), 0)
)</f>
        <v> </v>
      </c>
      <c r="E290" s="42">
        <f t="shared" si="37"/>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8"/>
        <v>¬</v>
      </c>
      <c r="D291" s="61" t="str" cm="1">
        <f t="array" aca="1" ref="D291" ca="1">INDEX(Attendance!$C$14:$GP$44,
       MATCH($F$4, Attendance!$C$14:$C$44, 0),
       MATCH(1, (Attendance!$C$12:$GP$12=$E291) * (Attendance!$C$13:$GP$13="Paid"), 0)
)</f>
        <v> </v>
      </c>
      <c r="E291" s="42">
        <f t="shared" si="37"/>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8"/>
        <v>¬</v>
      </c>
      <c r="D292" s="61" t="str" cm="1">
        <f t="array" aca="1" ref="D292" ca="1">INDEX(Attendance!$C$14:$GP$44,
       MATCH($F$4, Attendance!$C$14:$C$44, 0),
       MATCH(1, (Attendance!$C$12:$GP$12=$E292) * (Attendance!$C$13:$GP$13="Paid"), 0)
)</f>
        <v> </v>
      </c>
      <c r="E292" s="42">
        <f t="shared" si="37"/>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8"/>
        <v>¬</v>
      </c>
      <c r="D293" s="61" t="str" cm="1">
        <f t="array" aca="1" ref="D293" ca="1">INDEX(Attendance!$C$14:$GP$44,
       MATCH($F$4, Attendance!$C$14:$C$44, 0),
       MATCH(1, (Attendance!$C$12:$GP$12=$E293) * (Attendance!$C$13:$GP$13="Paid"), 0)
)</f>
        <v> </v>
      </c>
      <c r="E293" s="42">
        <f t="shared" si="37"/>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8"/>
        <v>¬</v>
      </c>
      <c r="D294" s="61" t="str" cm="1">
        <f t="array" aca="1" ref="D294" ca="1">INDEX(Attendance!$C$14:$GP$44,
       MATCH($F$4, Attendance!$C$14:$C$44, 0),
       MATCH(1, (Attendance!$C$12:$GP$12=$E294) * (Attendance!$C$13:$GP$13="Paid"), 0)
)</f>
        <v> </v>
      </c>
      <c r="E294" s="42">
        <f t="shared" si="37"/>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8"/>
        <v>¬</v>
      </c>
      <c r="D295" s="61" t="str" cm="1">
        <f t="array" aca="1" ref="D295" ca="1">INDEX(Attendance!$C$14:$GP$44,
       MATCH($F$4, Attendance!$C$14:$C$44, 0),
       MATCH(1, (Attendance!$C$12:$GP$12=$E295) * (Attendance!$C$13:$GP$13="Paid"), 0)
)</f>
        <v> </v>
      </c>
      <c r="E295" s="42">
        <f t="shared" si="37"/>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8"/>
        <v>¬</v>
      </c>
      <c r="D296" s="61" t="str" cm="1">
        <f t="array" aca="1" ref="D296" ca="1">INDEX(Attendance!$C$14:$GP$44,
       MATCH($F$4, Attendance!$C$14:$C$44, 0),
       MATCH(1, (Attendance!$C$12:$GP$12=$E296) * (Attendance!$C$13:$GP$13="Paid"), 0)
)</f>
        <v> </v>
      </c>
      <c r="E296" s="42">
        <f t="shared" si="37"/>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8"/>
        <v>¬</v>
      </c>
      <c r="D297" s="61" t="str" cm="1">
        <f t="array" aca="1" ref="D297" ca="1">INDEX(Attendance!$C$14:$GP$44,
       MATCH($F$4, Attendance!$C$14:$C$44, 0),
       MATCH(1, (Attendance!$C$12:$GP$12=$E297) * (Attendance!$C$13:$GP$13="Paid"), 0)
)</f>
        <v> </v>
      </c>
      <c r="E297" s="42">
        <f t="shared" si="37"/>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8"/>
        <v>¬</v>
      </c>
      <c r="D298" s="61" t="str" cm="1">
        <f t="array" aca="1" ref="D298" ca="1">INDEX(Attendance!$C$14:$GP$44,
       MATCH($F$4, Attendance!$C$14:$C$44, 0),
       MATCH(1, (Attendance!$C$12:$GP$12=$E298) * (Attendance!$C$13:$GP$13="Paid"), 0)
)</f>
        <v> </v>
      </c>
      <c r="E298" s="42">
        <f t="shared" si="37"/>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8"/>
        <v>¬</v>
      </c>
      <c r="D299" s="61" t="str" cm="1">
        <f t="array" aca="1" ref="D299" ca="1">INDEX(Attendance!$C$14:$GP$44,
       MATCH($F$4, Attendance!$C$14:$C$44, 0),
       MATCH(1, (Attendance!$C$12:$GP$12=$E299) * (Attendance!$C$13:$GP$13="Paid"), 0)
)</f>
        <v> </v>
      </c>
      <c r="E299" s="42">
        <f t="shared" si="37"/>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8"/>
        <v>¬</v>
      </c>
      <c r="D300" s="61" t="str" cm="1">
        <f t="array" aca="1" ref="D300" ca="1">INDEX(Attendance!$C$14:$GP$44,
       MATCH($F$4, Attendance!$C$14:$C$44, 0),
       MATCH(1, (Attendance!$C$12:$GP$12=$E300) * (Attendance!$C$13:$GP$13="Paid"), 0)
)</f>
        <v> </v>
      </c>
      <c r="E300" s="42">
        <f t="shared" si="37"/>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8"/>
        <v>¬</v>
      </c>
      <c r="D301" s="61" t="str" cm="1">
        <f t="array" aca="1" ref="D301" ca="1">INDEX(Attendance!$C$14:$GP$44,
       MATCH($F$4, Attendance!$C$14:$C$44, 0),
       MATCH(1, (Attendance!$C$12:$GP$12=$E301) * (Attendance!$C$13:$GP$13="Paid"), 0)
)</f>
        <v> </v>
      </c>
      <c r="E301" s="42">
        <f t="shared" si="37"/>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8"/>
        <v>¬</v>
      </c>
      <c r="D302" s="61" t="str" cm="1">
        <f t="array" aca="1" ref="D302" ca="1">INDEX(Attendance!$C$14:$GP$44,
       MATCH($F$4, Attendance!$C$14:$C$44, 0),
       MATCH(1, (Attendance!$C$12:$GP$12=$E302) * (Attendance!$C$13:$GP$13="Paid"), 0)
)</f>
        <v> </v>
      </c>
      <c r="E302" s="42">
        <f t="shared" si="37"/>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8"/>
        <v>¬</v>
      </c>
      <c r="D303" s="61" t="str" cm="1">
        <f t="array" aca="1" ref="D303" ca="1">INDEX(Attendance!$C$14:$GP$44,
       MATCH($F$4, Attendance!$C$14:$C$44, 0),
       MATCH(1, (Attendance!$C$12:$GP$12=$E303) * (Attendance!$C$13:$GP$13="Paid"), 0)
)</f>
        <v> </v>
      </c>
      <c r="E303" s="42">
        <f t="shared" si="37"/>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8"/>
        <v>¬</v>
      </c>
      <c r="D304" s="61" t="str" cm="1">
        <f t="array" aca="1" ref="D304" ca="1">INDEX(Attendance!$C$14:$GP$44,
       MATCH($F$4, Attendance!$C$14:$C$44, 0),
       MATCH(1, (Attendance!$C$12:$GP$12=$E304) * (Attendance!$C$13:$GP$13="Paid"), 0)
)</f>
        <v> </v>
      </c>
      <c r="E304" s="42">
        <f t="shared" si="37"/>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8"/>
        <v>¬</v>
      </c>
      <c r="D305" s="61" t="str" cm="1">
        <f t="array" aca="1" ref="D305" ca="1">INDEX(Attendance!$C$14:$GP$44,
       MATCH($F$4, Attendance!$C$14:$C$44, 0),
       MATCH(1, (Attendance!$C$12:$GP$12=$E305) * (Attendance!$C$13:$GP$13="Paid"), 0)
)</f>
        <v> </v>
      </c>
      <c r="E305" s="42">
        <f t="shared" si="37"/>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8"/>
        <v>¬</v>
      </c>
      <c r="D306" s="61" t="str" cm="1">
        <f t="array" aca="1" ref="D306" ca="1">INDEX(Attendance!$C$14:$GP$44,
       MATCH($F$4, Attendance!$C$14:$C$44, 0),
       MATCH(1, (Attendance!$C$12:$GP$12=$E306) * (Attendance!$C$13:$GP$13="Paid"), 0)
)</f>
        <v> </v>
      </c>
      <c r="E306" s="42">
        <f t="shared" si="37"/>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8"/>
        <v>¬</v>
      </c>
      <c r="D307" s="61" t="str" cm="1">
        <f t="array" aca="1" ref="D307" ca="1">INDEX(Attendance!$C$14:$GP$44,
       MATCH($F$4, Attendance!$C$14:$C$44, 0),
       MATCH(1, (Attendance!$C$12:$GP$12=$E307) * (Attendance!$C$13:$GP$13="Paid"), 0)
)</f>
        <v> </v>
      </c>
      <c r="E307" s="42">
        <f t="shared" si="37"/>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8"/>
        <v>¬</v>
      </c>
      <c r="D308" s="61" t="str" cm="1">
        <f t="array" aca="1" ref="D308" ca="1">INDEX(Attendance!$C$14:$GP$44,
       MATCH($F$4, Attendance!$C$14:$C$44, 0),
       MATCH(1, (Attendance!$C$12:$GP$12=$E308) * (Attendance!$C$13:$GP$13="Paid"), 0)
)</f>
        <v> </v>
      </c>
      <c r="E308" s="42">
        <f t="shared" si="37"/>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8"/>
        <v>¬</v>
      </c>
      <c r="D309" s="61" t="str" cm="1">
        <f t="array" aca="1" ref="D309" ca="1">INDEX(Attendance!$C$14:$GP$44,
       MATCH($F$4, Attendance!$C$14:$C$44, 0),
       MATCH(1, (Attendance!$C$12:$GP$12=$E309) * (Attendance!$C$13:$GP$13="Paid"), 0)
)</f>
        <v> </v>
      </c>
      <c r="E309" s="42">
        <f t="shared" si="37"/>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8"/>
        <v>¬</v>
      </c>
      <c r="D310" s="61" t="str" cm="1">
        <f t="array" aca="1" ref="D310" ca="1">INDEX(Attendance!$C$14:$GP$44,
       MATCH($F$4, Attendance!$C$14:$C$44, 0),
       MATCH(1, (Attendance!$C$12:$GP$12=$E310) * (Attendance!$C$13:$GP$13="Paid"), 0)
)</f>
        <v> </v>
      </c>
      <c r="E310" s="42">
        <f t="shared" si="37"/>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8"/>
        <v>¬</v>
      </c>
      <c r="D311" s="61" t="str" cm="1">
        <f t="array" aca="1" ref="D311" ca="1">INDEX(Attendance!$C$14:$GP$44,
       MATCH($F$4, Attendance!$C$14:$C$44, 0),
       MATCH(1, (Attendance!$C$12:$GP$12=$E311) * (Attendance!$C$13:$GP$13="Paid"), 0)
)</f>
        <v> </v>
      </c>
      <c r="E311" s="42">
        <f t="shared" si="37"/>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8"/>
        <v>¬</v>
      </c>
      <c r="D312" s="61" t="str" cm="1">
        <f t="array" aca="1" ref="D312" ca="1">INDEX(Attendance!$C$14:$GP$44,
       MATCH($F$4, Attendance!$C$14:$C$44, 0),
       MATCH(1, (Attendance!$C$12:$GP$12=$E312) * (Attendance!$C$13:$GP$13="Paid"), 0)
)</f>
        <v> </v>
      </c>
      <c r="E312" s="42">
        <f t="shared" si="37"/>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8"/>
        <v>¬</v>
      </c>
      <c r="D313" s="61" t="str" cm="1">
        <f t="array" aca="1" ref="D313" ca="1">INDEX(Attendance!$C$14:$GP$44,
       MATCH($F$4, Attendance!$C$14:$C$44, 0),
       MATCH(1, (Attendance!$C$12:$GP$12=$E313) * (Attendance!$C$13:$GP$13="Paid"), 0)
)</f>
        <v> </v>
      </c>
      <c r="E313" s="42">
        <f t="shared" si="37"/>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39">IF(AF44="","¬",AF44)</f>
        <v>Add Auspex dots to any rolls to resist surprise. Access to Tier 1 Auspex Insight questions.</v>
      </c>
      <c r="D314" s="61" t="str" cm="1">
        <f t="array" aca="1" ref="D314" ca="1">INDEX(Attendance!$C$14:$GP$44,
       MATCH($F$4, Attendance!$C$14:$C$44, 0),
       MATCH(1, (Attendance!$C$12:$GP$12=$E314) * (Attendance!$C$13:$GP$13="Paid"), 0)
)</f>
        <v> </v>
      </c>
      <c r="E314" s="42">
        <f t="shared" si="37"/>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39"/>
        <v>Persistent Acute Senses Merit, doubles actual merit. Access to Tier 2 Auspex Insight questions.</v>
      </c>
      <c r="D315" s="61" t="str" cm="1">
        <f t="array" aca="1" ref="D315" ca="1">INDEX(Attendance!$C$14:$GP$44,
       MATCH($F$4, Attendance!$C$14:$C$44, 0),
       MATCH(1, (Attendance!$C$12:$GP$12=$E315) * (Attendance!$C$13:$GP$13="Paid"), 0)
)</f>
        <v> </v>
      </c>
      <c r="E315" s="42">
        <f t="shared" si="37"/>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39"/>
        <v xml:space="preserve">Passively scan for anyone under Obfuscate 1 or 3, can provoke a challenge. Access to Tier 3 Auspex Insight questions. </v>
      </c>
      <c r="D316" s="61" t="str" cm="1">
        <f t="array" aca="1" ref="D316" ca="1">INDEX(Attendance!$C$14:$GP$44,
       MATCH($F$4, Attendance!$C$14:$C$44, 0),
       MATCH(1, (Attendance!$C$12:$GP$12=$E316) * (Attendance!$C$13:$GP$13="Paid"), 0)
)</f>
        <v> </v>
      </c>
      <c r="E316" s="42">
        <f t="shared" si="37"/>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39"/>
        <v>Telepathy and mind-reading. Invoke Conditions.</v>
      </c>
    </row>
    <row r="318" spans="1:9">
      <c r="A318" s="1" t="s">
        <v>317</v>
      </c>
      <c r="B318" t="str">
        <f t="shared" si="39"/>
        <v>Blend into surroundings, visible but unnoticeable. Predatory aura fully on or off. Leaving combat: Wits + Composure - Obfuscate to notice; auto Clash of Wills vs Auspex.</v>
      </c>
    </row>
    <row r="319" spans="1:9">
      <c r="A319" s="1" t="s">
        <v>318</v>
      </c>
      <c r="B319" t="str">
        <f t="shared" si="39"/>
        <v>¬</v>
      </c>
    </row>
    <row r="320" spans="1:9">
      <c r="A320" s="1" t="s">
        <v>319</v>
      </c>
      <c r="B320" t="str">
        <f t="shared" si="39"/>
        <v>¬</v>
      </c>
    </row>
    <row r="321" spans="1:2">
      <c r="A321" s="1" t="s">
        <v>320</v>
      </c>
      <c r="B321" t="str">
        <f t="shared" si="39"/>
        <v>¬</v>
      </c>
    </row>
    <row r="322" spans="1:2">
      <c r="A322" s="1" t="s">
        <v>321</v>
      </c>
      <c r="B322" t="str">
        <f t="shared" si="39"/>
        <v>¬</v>
      </c>
    </row>
    <row r="323" spans="1:2">
      <c r="A323" s="1" t="s">
        <v>322</v>
      </c>
      <c r="B323" t="str">
        <f t="shared" si="39"/>
        <v>¬</v>
      </c>
    </row>
    <row r="324" spans="1:2">
      <c r="A324" s="1" t="s">
        <v>323</v>
      </c>
      <c r="B324" t="str">
        <f t="shared" si="39"/>
        <v>¬</v>
      </c>
    </row>
    <row r="325" spans="1:2">
      <c r="A325" s="1" t="s">
        <v>324</v>
      </c>
      <c r="B325" t="str">
        <f t="shared" si="39"/>
        <v>¬</v>
      </c>
    </row>
    <row r="326" spans="1:2">
      <c r="A326" s="1" t="s">
        <v>325</v>
      </c>
      <c r="B326" t="str">
        <f t="shared" si="39"/>
        <v>¬</v>
      </c>
    </row>
    <row r="327" spans="1:2">
      <c r="A327" s="1" t="s">
        <v>326</v>
      </c>
      <c r="B327" t="str">
        <f t="shared" si="39"/>
        <v>¬</v>
      </c>
    </row>
    <row r="328" spans="1:2">
      <c r="A328" s="1" t="s">
        <v>327</v>
      </c>
      <c r="B328" t="str">
        <f t="shared" si="39"/>
        <v>¬</v>
      </c>
    </row>
    <row r="329" spans="1:2">
      <c r="A329" s="1" t="s">
        <v>328</v>
      </c>
      <c r="B329" t="str">
        <f t="shared" si="39"/>
        <v>¬</v>
      </c>
    </row>
    <row r="330" spans="1:2">
      <c r="A330" s="1" t="s">
        <v>329</v>
      </c>
      <c r="B330" t="str">
        <f t="shared" si="39"/>
        <v>¬</v>
      </c>
    </row>
    <row r="331" spans="1:2">
      <c r="A331" s="1" t="s">
        <v>330</v>
      </c>
      <c r="B331" t="str">
        <f t="shared" si="39"/>
        <v>¬</v>
      </c>
    </row>
    <row r="332" spans="1:2">
      <c r="A332" s="1" t="s">
        <v>331</v>
      </c>
      <c r="B332" t="str">
        <f t="shared" si="39"/>
        <v>¬</v>
      </c>
    </row>
    <row r="333" spans="1:2">
      <c r="A333" s="1" t="s">
        <v>332</v>
      </c>
      <c r="B333" t="str">
        <f t="shared" si="39"/>
        <v>¬</v>
      </c>
    </row>
    <row r="334" spans="1:2">
      <c r="A334" s="1" t="s">
        <v>333</v>
      </c>
      <c r="B334" t="str">
        <f t="shared" si="39"/>
        <v>¬</v>
      </c>
    </row>
    <row r="335" spans="1:2">
      <c r="A335" s="1" t="s">
        <v>334</v>
      </c>
      <c r="B335" t="str">
        <f t="shared" si="39"/>
        <v>¬</v>
      </c>
    </row>
    <row r="336" spans="1:2">
      <c r="A336" s="1" t="s">
        <v>335</v>
      </c>
      <c r="B336" t="str">
        <f t="shared" si="39"/>
        <v>¬</v>
      </c>
    </row>
    <row r="337" spans="1:2">
      <c r="A337" s="1" t="s">
        <v>336</v>
      </c>
      <c r="B337" t="str">
        <f t="shared" si="39"/>
        <v>¬</v>
      </c>
    </row>
    <row r="338" spans="1:2">
      <c r="A338" s="1" t="s">
        <v>337</v>
      </c>
      <c r="B338" t="str">
        <f t="shared" si="39"/>
        <v>¬</v>
      </c>
    </row>
    <row r="339" spans="1:2">
      <c r="A339" s="1" t="s">
        <v>338</v>
      </c>
      <c r="B339" t="str">
        <f t="shared" si="39"/>
        <v>¬</v>
      </c>
    </row>
    <row r="340" spans="1:2">
      <c r="A340" s="1" t="s">
        <v>339</v>
      </c>
      <c r="B340" t="str">
        <f t="shared" si="39"/>
        <v>¬</v>
      </c>
    </row>
    <row r="341" spans="1:2">
      <c r="A341" s="1" t="s">
        <v>340</v>
      </c>
      <c r="B341" t="str">
        <f t="shared" si="39"/>
        <v>¬</v>
      </c>
    </row>
    <row r="342" spans="1:2">
      <c r="A342" s="1" t="s">
        <v>341</v>
      </c>
      <c r="B342" t="str">
        <f t="shared" si="39"/>
        <v>¬</v>
      </c>
    </row>
    <row r="343" spans="1:2">
      <c r="A343" s="1" t="s">
        <v>342</v>
      </c>
      <c r="B343" t="str">
        <f t="shared" si="39"/>
        <v>¬</v>
      </c>
    </row>
    <row r="344" spans="1:2">
      <c r="A344" s="1" t="s">
        <v>343</v>
      </c>
      <c r="B344" s="8" t="str">
        <f>IF(VLOOKUP(tblCharDataLudica[[#This Row],[Field]],$E$2:$F$361,2,FALSE)="","¬",VLOOKUP(tblCharDataLudica[[#This Row],[Field]],$E$2:$F$361,2,FALSE))</f>
        <v>Tenebrous Curse</v>
      </c>
    </row>
    <row r="345" spans="1:2">
      <c r="A345" s="1" t="s">
        <v>344</v>
      </c>
      <c r="B345" s="8" t="str">
        <f>IF(VLOOKUP(tblCharDataLudica[[#This Row],[Field]],$E$2:$F$361,2,FALSE)="","¬",VLOOKUP(tblCharDataLudica[[#This Row],[Field]],$E$2:$F$361,2,FALSE))</f>
        <v>¬</v>
      </c>
    </row>
    <row r="346" spans="1:2">
      <c r="A346" s="1" t="s">
        <v>345</v>
      </c>
      <c r="B346" s="8" t="str">
        <f>IF(VLOOKUP(tblCharDataLudica[[#This Row],[Field]],$E$2:$F$361,2,FALSE)="","¬",VLOOKUP(tblCharDataLudica[[#This Row],[Field]],$E$2:$F$361,2,FALSE))</f>
        <v>¬</v>
      </c>
    </row>
    <row r="347" spans="1:2">
      <c r="A347" s="1" t="s">
        <v>346</v>
      </c>
      <c r="B347" s="8" t="str">
        <f>IF(VLOOKUP(tblCharDataLudica[[#This Row],[Field]],$E$2:$F$361,2,FALSE)="","¬",VLOOKUP(tblCharDataLudica[[#This Row],[Field]],$E$2:$F$361,2,FALSE))</f>
        <v>¬</v>
      </c>
    </row>
    <row r="348" spans="1:2">
      <c r="A348" s="1" t="s">
        <v>347</v>
      </c>
      <c r="B348" s="8" t="str">
        <f>IF(VLOOKUP(tblCharDataLudica[[#This Row],[Field]],$E$2:$F$361,2,FALSE)="","¬",VLOOKUP(tblCharDataLudica[[#This Row],[Field]],$E$2:$F$361,2,FALSE))</f>
        <v>¬</v>
      </c>
    </row>
    <row r="349" spans="1:2">
      <c r="A349" s="1" t="s">
        <v>348</v>
      </c>
      <c r="B349" t="str">
        <f>_xlfn.IFNA(VLOOKUP(B344,$F$234:$I$238,3,FALSE),"")</f>
        <v>Gain an extra bane at Humanity 6 (doesn't count towards cap); Humanity counts –1 for all Humanity-based banes.</v>
      </c>
    </row>
    <row r="350" spans="1:2">
      <c r="A350" s="1" t="s">
        <v>349</v>
      </c>
      <c r="B350" t="str">
        <f>_xlfn.IFNA(VLOOKUP(B345,$F$234:$I$238,3,FALSE),"¬")</f>
        <v>¬</v>
      </c>
    </row>
    <row r="351" spans="1:2">
      <c r="A351" s="1" t="s">
        <v>350</v>
      </c>
      <c r="B351" t="str">
        <f>_xlfn.IFNA(VLOOKUP(B346,$F$234:$I$238,3,FALSE),"")</f>
        <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9</v>
      </c>
    </row>
    <row r="356" spans="1:2">
      <c r="A356" s="1" t="s">
        <v>355</v>
      </c>
      <c r="B356">
        <f ca="1">P220</f>
        <v>5</v>
      </c>
    </row>
    <row r="357" spans="1:2">
      <c r="A357" s="1" t="s">
        <v>356</v>
      </c>
      <c r="B357" t="str">
        <f>IF(F10="","¬",VLOOKUP(F10,tblAnchors[],2,FALSE))</f>
        <v>Uncover a lost piece of information.</v>
      </c>
    </row>
    <row r="358" spans="1:2">
      <c r="A358" s="1" t="s">
        <v>357</v>
      </c>
      <c r="B358" t="str">
        <f>IF(F10="","¬",VLOOKUP(F10,tblAnchors[],3,FALSE))</f>
        <v>Uncover forbidden knowledge.</v>
      </c>
    </row>
    <row r="359" spans="1:2">
      <c r="A359" s="1" t="s">
        <v>358</v>
      </c>
      <c r="B359" t="str">
        <f>IF(F11="","¬",VLOOKUP(F11,tblAnchors[],2,FALSE))</f>
        <v>Build a new identity or uncover a secret.</v>
      </c>
    </row>
    <row r="360" spans="1:2">
      <c r="A360" s="1" t="s">
        <v>359</v>
      </c>
      <c r="B360" t="str">
        <f>IF(F11="","¬",VLOOKUP(F11,tblAnchors[],3,FALSE))</f>
        <v>Uncover a damning secret that could end someone.</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mid 20s</v>
      </c>
    </row>
    <row r="365" spans="1:2">
      <c r="A365" s="1" t="s">
        <v>364</v>
      </c>
      <c r="B365" t="str">
        <f>_xlfn.LET(_xlpm.a,IF(F244="","",F244),_xlpm.b,IF(F245="","",F245),IF(AND(_xlpm.a&lt;&gt;"",_xlpm.b&lt;&gt;""),_xlpm.a&amp;", "&amp;_xlpm.b,IF(_xlpm.a&lt;&gt;"",_xlpm.a,IF(_xlpm.b&lt;&gt;"",_xlpm.b,""))))</f>
        <v/>
      </c>
    </row>
  </sheetData>
  <mergeCells count="89">
    <mergeCell ref="F240:I240"/>
    <mergeCell ref="F241:I241"/>
    <mergeCell ref="F242:I242"/>
    <mergeCell ref="F244:I244"/>
    <mergeCell ref="F245:I245"/>
    <mergeCell ref="H238:I238"/>
    <mergeCell ref="H208:I208"/>
    <mergeCell ref="H209:I209"/>
    <mergeCell ref="H210:I210"/>
    <mergeCell ref="H211:I211"/>
    <mergeCell ref="H212:I212"/>
    <mergeCell ref="H213:I213"/>
    <mergeCell ref="H214:I214"/>
    <mergeCell ref="H215:I215"/>
    <mergeCell ref="H234:I234"/>
    <mergeCell ref="H236:I236"/>
    <mergeCell ref="H237:I237"/>
    <mergeCell ref="H207:I207"/>
    <mergeCell ref="H153:I153"/>
    <mergeCell ref="H154:I154"/>
    <mergeCell ref="H155:I155"/>
    <mergeCell ref="H156:I156"/>
    <mergeCell ref="H157:I157"/>
    <mergeCell ref="H177:I177"/>
    <mergeCell ref="H178:I178"/>
    <mergeCell ref="H179:I179"/>
    <mergeCell ref="H180:I180"/>
    <mergeCell ref="H181:I181"/>
    <mergeCell ref="H206:I206"/>
    <mergeCell ref="H152:I152"/>
    <mergeCell ref="H141:I141"/>
    <mergeCell ref="H142:I142"/>
    <mergeCell ref="H143:I143"/>
    <mergeCell ref="H144:I144"/>
    <mergeCell ref="H145:I145"/>
    <mergeCell ref="H146:I146"/>
    <mergeCell ref="H147:I147"/>
    <mergeCell ref="H148:I148"/>
    <mergeCell ref="H149:I149"/>
    <mergeCell ref="H150:I150"/>
    <mergeCell ref="H151:I151"/>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11:I111"/>
    <mergeCell ref="H98:I98"/>
    <mergeCell ref="H101:I101"/>
    <mergeCell ref="H102:I102"/>
    <mergeCell ref="H103:I103"/>
    <mergeCell ref="H104:I104"/>
    <mergeCell ref="H105:I105"/>
    <mergeCell ref="H106:I106"/>
    <mergeCell ref="H107:I107"/>
    <mergeCell ref="H108:I108"/>
    <mergeCell ref="H109:I109"/>
    <mergeCell ref="H110:I110"/>
    <mergeCell ref="H97:I97"/>
    <mergeCell ref="H86:I86"/>
    <mergeCell ref="H87:I87"/>
    <mergeCell ref="H88:I88"/>
    <mergeCell ref="H89:I89"/>
    <mergeCell ref="H90:I90"/>
    <mergeCell ref="H91:I91"/>
    <mergeCell ref="H92:I92"/>
    <mergeCell ref="H93:I93"/>
    <mergeCell ref="H94:I94"/>
    <mergeCell ref="H95:I95"/>
    <mergeCell ref="H96:I96"/>
    <mergeCell ref="H85:I85"/>
    <mergeCell ref="O8:P8"/>
    <mergeCell ref="O9:P9"/>
    <mergeCell ref="O10:P10"/>
    <mergeCell ref="O11:P11"/>
    <mergeCell ref="O12:P12"/>
    <mergeCell ref="H79:I79"/>
    <mergeCell ref="H80:I80"/>
    <mergeCell ref="H81:I81"/>
    <mergeCell ref="H82:I82"/>
    <mergeCell ref="H83:I83"/>
    <mergeCell ref="H84:I84"/>
  </mergeCells>
  <dataValidations count="15">
    <dataValidation type="list" allowBlank="1" showInputMessage="1" showErrorMessage="1" sqref="G248:G277" xr:uid="{79A4B25A-082E-4133-92C5-A1B7684F5624}">
      <formula1>$I$248:$I$249</formula1>
    </dataValidation>
    <dataValidation type="list" allowBlank="1" showInputMessage="1" showErrorMessage="1" sqref="F104:F120" xr:uid="{1207FCEA-46AB-4DF6-8496-7234E1C545E5}">
      <formula1>lstManoeuvres</formula1>
    </dataValidation>
    <dataValidation type="list" allowBlank="1" showInputMessage="1" showErrorMessage="1" sqref="F79:F98" xr:uid="{EA76B82C-79FC-4E27-B2AF-EFB7549D54A8}">
      <formula1>lstMerits</formula1>
    </dataValidation>
    <dataValidation type="list" allowBlank="1" showInputMessage="1" showErrorMessage="1" sqref="F236:F238" xr:uid="{F7BB41E2-6002-4E7D-BDB9-22A2CF6E413C}">
      <formula1>lstBanes</formula1>
    </dataValidation>
    <dataValidation type="list" allowBlank="1" showInputMessage="1" showErrorMessage="1" sqref="F206:F215" xr:uid="{44CEB135-235C-4885-9F77-5C843ADE5C27}">
      <formula1>lstPacts</formula1>
    </dataValidation>
    <dataValidation type="list" allowBlank="1" showInputMessage="1" showErrorMessage="1" sqref="G12:G13" xr:uid="{5D4B6262-2350-4179-92BE-6BAFCDCC57BF}">
      <formula1>lstStatus</formula1>
    </dataValidation>
    <dataValidation type="list" allowBlank="1" showInputMessage="1" showErrorMessage="1" sqref="F194:F205 F207:F215" xr:uid="{40344984-C62A-47FE-AD5F-23256248C8E6}">
      <formula1>lstRites</formula1>
    </dataValidation>
    <dataValidation type="list" allowBlank="1" showInputMessage="1" showErrorMessage="1" sqref="F177:F181" xr:uid="{1F903AA9-DD9D-42D7-8A21-A752101AF8A4}">
      <formula1>lstDevotions</formula1>
    </dataValidation>
    <dataValidation type="list" allowBlank="1" showInputMessage="1" showErrorMessage="1" sqref="F17:F21" xr:uid="{007029F7-07B4-4A1E-89FD-0C4F55126B8D}">
      <formula1>"TRUE,FALSE"</formula1>
    </dataValidation>
    <dataValidation type="list" allowBlank="1" showInputMessage="1" showErrorMessage="1" sqref="F24" xr:uid="{1040123F-513A-4C91-A4FD-74BE4FF5462D}">
      <formula1>$D$7:$D$8</formula1>
    </dataValidation>
    <dataValidation type="list" allowBlank="1" showInputMessage="1" showErrorMessage="1" sqref="I25 I30 I35 I41 I51 I61" xr:uid="{433B1435-903F-4323-9759-79AF81DC8AC2}">
      <formula1>lstPriority</formula1>
    </dataValidation>
    <dataValidation type="list" allowBlank="1" showInputMessage="1" showErrorMessage="1" sqref="F10:F11" xr:uid="{4998D31F-2CC2-49B0-9186-B57137DCE3D5}">
      <formula1>lstNature</formula1>
    </dataValidation>
    <dataValidation type="list" allowBlank="1" showInputMessage="1" showErrorMessage="1" sqref="F8" xr:uid="{F3F419CE-73D2-4155-8B8F-4D42929A100E}">
      <formula1>lstBloodlines</formula1>
    </dataValidation>
    <dataValidation type="list" allowBlank="1" showInputMessage="1" showErrorMessage="1" sqref="F9" xr:uid="{EC35CE9F-6018-4E4E-BFF1-328243DF2A65}">
      <formula1>lstCovenant</formula1>
    </dataValidation>
    <dataValidation type="list" allowBlank="1" showInputMessage="1" showErrorMessage="1" sqref="F7" xr:uid="{01BCDACD-295F-4506-A5DC-5053BE89A6E3}">
      <formula1>lstClan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8BE577DE-41C9-46AF-B7A6-CE5F069AAC80}">
          <x14:formula1>
            <xm:f>'Lookup-Domain'!$A$2:$A$8</xm:f>
          </x14:formula1>
          <xm:sqref>F161 F141:F157</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311B2-27F0-4284-A382-967580DFC7C0}">
  <dimension ref="A1:AK365"/>
  <sheetViews>
    <sheetView zoomScale="70" zoomScaleNormal="70" workbookViewId="0">
      <pane ySplit="1" topLeftCell="A2" activePane="bottomLeft" state="frozen"/>
      <selection pane="bottomLeft" activeCell="D57" sqref="D57"/>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Carthian Pull</v>
      </c>
      <c r="AC2" s="60" t="str" cm="1">
        <f t="array" ref="AC2:AC6">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Carthian Pull</v>
      </c>
      <c r="AD2" s="20" t="str">
        <f>IF(AC2="","¬",_xlfn.LET(_xlpm.base,IFERROR(LEFT(AC2,FIND(" (",AC2)-1),AC2),IFERROR(VLOOKUP(_xlpm.base,tblManoeuvre[],2,FALSE) &amp; " " &amp; REPT("●",VLOOKUP(_xlpm.base,tblManoeuvre[],3,FALSE)) &amp; " | " &amp; AC2,AC2 &amp; " " &amp; REPT("●",VLOOKUP(_xlpm.base,$F$79:$P$120,11,FALSE)))))</f>
        <v>Carthian Pull ●</v>
      </c>
      <c r="AE2" s="20"/>
      <c r="AF2" s="20" t="str">
        <f>IF(LEN(AC2)=0,"¬",_xlfn.LET(_xlpm.base,IFERROR(LEFT(AC2,FIND(" (",AC2)-1),AC2),IFERROR(VLOOKUP(_xlpm.base,tblMerits[],5,FALSE),IFERROR(VLOOKUP(_xlpm.base,tblManoeuvre[],9,FALSE),"¬"))))</f>
        <v>Monthly, access Carthian Status in dots of Allies, Contacts, Haven or Herd.</v>
      </c>
      <c r="AI2" s="15" t="s">
        <v>25</v>
      </c>
      <c r="AJ2" s="61">
        <f t="shared" ref="AJ2:AJ58" si="1">VLOOKUP(AI2,$E$3:$P$221,12,FALSE)</f>
        <v>0</v>
      </c>
      <c r="AK2" s="61">
        <f>IF(AJ2=0,IF(COUNTIF($E$42:$E$49,AI2)&gt;0,-3,-1),AJ2)</f>
        <v>-3</v>
      </c>
    </row>
    <row r="3" spans="1:37">
      <c r="A3" s="1" t="s">
        <v>2</v>
      </c>
      <c r="B3">
        <f ca="1">N3</f>
        <v>2</v>
      </c>
      <c r="D3" s="19"/>
      <c r="E3" s="15" t="s">
        <v>4</v>
      </c>
      <c r="F3" s="3" t="s">
        <v>1177</v>
      </c>
      <c r="G3" s="18"/>
      <c r="H3" s="18"/>
      <c r="I3" s="18" t="s">
        <v>1425</v>
      </c>
      <c r="N3" s="60">
        <f ca="1">10+SUM(N4:N6)-SUM(N7)</f>
        <v>2</v>
      </c>
      <c r="Y3" s="15" t="s">
        <v>115</v>
      </c>
      <c r="Z3" s="19"/>
      <c r="AA3" s="61" t="str">
        <f t="shared" si="0"/>
        <v/>
      </c>
      <c r="AC3" s="60" t="str">
        <v>Strike to Preempt</v>
      </c>
      <c r="AD3" s="20" t="str">
        <f>IF(AC3="","¬",_xlfn.LET(_xlpm.base,IFERROR(LEFT(AC3,FIND(" (",AC3)-1),AC3),IFERROR(VLOOKUP(_xlpm.base,tblManoeuvre[],2,FALSE) &amp; " " &amp; REPT("●",VLOOKUP(_xlpm.base,tblManoeuvre[],3,FALSE)) &amp; " | " &amp; AC3,AC3 &amp; " " &amp; REPT("●",VLOOKUP(_xlpm.base,$F$79:$P$120,11,FALSE)))))</f>
        <v>Mobilise Outrage ● | Strike to Preempt</v>
      </c>
      <c r="AE3" s="20"/>
      <c r="AF3" s="20" t="str">
        <f>IF(LEN(AC3)=0,"¬",_xlfn.LET(_xlpm.base,IFERROR(LEFT(AC3,FIND(" (",AC3)-1),AC3),IFERROR(VLOOKUP(_xlpm.base,tblMerits[],5,FALSE),IFERROR(VLOOKUP(_xlpm.base,tblManoeuvre[],9,FALSE),"¬"))))</f>
        <v>Sacrifice your Defence and your second turn to add your Willpower as bonus dice to attack on your first turn.</v>
      </c>
      <c r="AI3" s="15" t="s">
        <v>41</v>
      </c>
      <c r="AJ3" s="61">
        <f t="shared" si="1"/>
        <v>0</v>
      </c>
      <c r="AK3" s="61">
        <f>IF(AJ3=0,IF(COUNTIF($E$42:$E$49,AI3)&gt;0,-3,-1),AJ3)</f>
        <v>-1</v>
      </c>
    </row>
    <row r="4" spans="1:37">
      <c r="A4" s="1" t="s">
        <v>3</v>
      </c>
      <c r="B4">
        <f ca="1">SUM(N3:N9)</f>
        <v>54</v>
      </c>
      <c r="D4" s="19"/>
      <c r="E4" s="15" t="s">
        <v>5</v>
      </c>
      <c r="F4" s="3" t="s">
        <v>1178</v>
      </c>
      <c r="G4" s="18"/>
      <c r="H4" s="18"/>
      <c r="I4" s="18" t="s">
        <v>1426</v>
      </c>
      <c r="N4" s="61">
        <f>K73*2</f>
        <v>4</v>
      </c>
      <c r="Y4" s="15" t="s">
        <v>116</v>
      </c>
      <c r="Z4" s="19"/>
      <c r="AA4" s="61" t="str">
        <f t="shared" si="0"/>
        <v/>
      </c>
      <c r="AC4" s="60" t="str">
        <v>Unbreakable</v>
      </c>
      <c r="AD4" s="20" t="str">
        <f>IF(AC4="","¬",_xlfn.LET(_xlpm.base,IFERROR(LEFT(AC4,FIND(" (",AC4)-1),AC4),IFERROR(VLOOKUP(_xlpm.base,tblManoeuvre[],2,FALSE) &amp; " " &amp; REPT("●",VLOOKUP(_xlpm.base,tblManoeuvre[],3,FALSE)) &amp; " | " &amp; AC4,AC4 &amp; " " &amp; REPT("●",VLOOKUP(_xlpm.base,$F$79:$P$120,11,FALSE)))))</f>
        <v>Mobilise Outrage ●● | Unbreakable</v>
      </c>
      <c r="AE4" s="20"/>
      <c r="AF4" s="20" t="str">
        <f>IF(LEN(AC4)=0,"¬",_xlfn.LET(_xlpm.base,IFERROR(LEFT(AC4,FIND(" (",AC4)-1),AC4),IFERROR(VLOOKUP(_xlpm.base,tblMerits[],5,FALSE),IFERROR(VLOOKUP(_xlpm.base,tblManoeuvre[],9,FALSE),"¬"))))</f>
        <v>Add your full Willpower value when spending a point to contest or resist social or mental coercion in a combat situation.</v>
      </c>
      <c r="AI4" s="15" t="s">
        <v>236</v>
      </c>
      <c r="AJ4" s="61">
        <f t="shared" si="1"/>
        <v>0</v>
      </c>
      <c r="AK4" s="61">
        <f>AJ4</f>
        <v>0</v>
      </c>
    </row>
    <row r="5" spans="1:37">
      <c r="A5" s="1" t="s">
        <v>4</v>
      </c>
      <c r="B5" t="str">
        <f>IF(VLOOKUP(tblCharDataMac[[#This Row],[Field]],$E$2:$F$362,2,FALSE)="","¬",VLOOKUP(tblCharDataMac[[#This Row],[Field]],$E$2:$F$362,2,FALSE))</f>
        <v>Charlie BC</v>
      </c>
      <c r="D5" s="19"/>
      <c r="E5" s="15" t="s">
        <v>6</v>
      </c>
      <c r="F5" s="3" t="s">
        <v>1179</v>
      </c>
      <c r="G5" s="18"/>
      <c r="H5" s="18"/>
      <c r="I5" s="18" t="s">
        <v>1427</v>
      </c>
      <c r="N5" s="61">
        <f>N16</f>
        <v>15</v>
      </c>
      <c r="Y5" s="15" t="s">
        <v>117</v>
      </c>
      <c r="Z5" s="19"/>
      <c r="AA5" s="61" t="str">
        <f t="shared" si="0"/>
        <v/>
      </c>
      <c r="AC5" s="60" t="str">
        <v>Dying on Your Feet</v>
      </c>
      <c r="AD5" s="20" t="str">
        <f>IF(AC5="","¬",_xlfn.LET(_xlpm.base,IFERROR(LEFT(AC5,FIND(" (",AC5)-1),AC5),IFERROR(VLOOKUP(_xlpm.base,tblManoeuvre[],2,FALSE) &amp; " " &amp; REPT("●",VLOOKUP(_xlpm.base,tblManoeuvre[],3,FALSE)) &amp; " | " &amp; AC5,AC5 &amp; " " &amp; REPT("●",VLOOKUP(_xlpm.base,$F$79:$P$120,11,FALSE)))))</f>
        <v>Mobilise Outrage ●●● | Dying on Your Feet</v>
      </c>
      <c r="AE5" s="20"/>
      <c r="AF5" s="20" t="str">
        <f>IF(LEN(AC5)=0,"¬",_xlfn.LET(_xlpm.base,IFERROR(LEFT(AC5,FIND(" (",AC5)-1),AC5),IFERROR(VLOOKUP(_xlpm.base,tblMerits[],5,FALSE),IFERROR(VLOOKUP(_xlpm.base,tblManoeuvre[],9,FALSE),"¬"))))</f>
        <v>During combat only, ignore wound penalties and do not fall to torpor from injury.</v>
      </c>
      <c r="AI5" s="15" t="s">
        <v>33</v>
      </c>
      <c r="AJ5" s="61">
        <f t="shared" si="1"/>
        <v>3</v>
      </c>
      <c r="AK5" s="61">
        <f>IF(AJ5=0,IF(COUNTIF($E$42:$E$49,AI5)&gt;0,-3,-1),AJ5)</f>
        <v>3</v>
      </c>
    </row>
    <row r="6" spans="1:37">
      <c r="A6" s="1" t="s">
        <v>5</v>
      </c>
      <c r="B6" t="str">
        <f>IF(VLOOKUP(tblCharDataMac[[#This Row],[Field]],$E$2:$F$362,2,FALSE)="","¬",VLOOKUP(tblCharDataMac[[#This Row],[Field]],$E$2:$F$362,2,FALSE))</f>
        <v>Macheath 'Mac'</v>
      </c>
      <c r="D6" s="19"/>
      <c r="E6" s="15" t="s">
        <v>7</v>
      </c>
      <c r="F6" s="3" t="s">
        <v>552</v>
      </c>
      <c r="G6" s="18"/>
      <c r="H6" s="18"/>
      <c r="I6" s="18" t="s">
        <v>1347</v>
      </c>
      <c r="N6" s="61">
        <f ca="1">N279</f>
        <v>3</v>
      </c>
      <c r="Y6" s="15" t="s">
        <v>118</v>
      </c>
      <c r="Z6" s="19"/>
      <c r="AA6" s="61" t="str">
        <f t="shared" si="0"/>
        <v/>
      </c>
      <c r="AC6" s="60" t="str">
        <v>Clinch Strike</v>
      </c>
      <c r="AD6" s="20" t="str">
        <f>IF(AC6="","¬",_xlfn.LET(_xlpm.base,IFERROR(LEFT(AC6,FIND(" (",AC6)-1),AC6),IFERROR(VLOOKUP(_xlpm.base,tblManoeuvre[],2,FALSE) &amp; " " &amp; REPT("●",VLOOKUP(_xlpm.base,tblManoeuvre[],3,FALSE)) &amp; " | " &amp; AC6,AC6 &amp; " " &amp; REPT("●",VLOOKUP(_xlpm.base,$F$79:$P$120,11,FALSE)))))</f>
        <v>Regular ● | Clinch Strike</v>
      </c>
      <c r="AE6" s="20"/>
      <c r="AF6" s="20" t="str">
        <f>IF(LEN(AC6)=0,"¬",_xlfn.LET(_xlpm.base,IFERROR(LEFT(AC6,FIND(" (",AC6)-1),AC6),IFERROR(VLOOKUP(_xlpm.base,tblMerits[],5,FALSE),IFERROR(VLOOKUP(_xlpm.base,tblManoeuvre[],9,FALSE),"¬"))))</f>
        <v>Use Damage manoeuvre instantly in a grapple.</v>
      </c>
      <c r="AI6" s="15" t="s">
        <v>237</v>
      </c>
      <c r="AJ6" s="61">
        <f t="shared" si="1"/>
        <v>3</v>
      </c>
      <c r="AK6" s="61">
        <f>AJ6</f>
        <v>3</v>
      </c>
    </row>
    <row r="7" spans="1:37">
      <c r="A7" s="1" t="s">
        <v>6</v>
      </c>
      <c r="B7" t="str">
        <f>IF(VLOOKUP(tblCharDataMac[[#This Row],[Field]],$E$2:$F$362,2,FALSE)="","¬",VLOOKUP(tblCharDataMac[[#This Row],[Field]],$E$2:$F$362,2,FALSE))</f>
        <v>Urban Gorilla</v>
      </c>
      <c r="D7" s="19" t="str">
        <f>VLOOKUP(F7,tblClans[],3,FALSE)</f>
        <v>Wits</v>
      </c>
      <c r="E7" s="15" t="s">
        <v>8</v>
      </c>
      <c r="F7" s="3" t="s">
        <v>370</v>
      </c>
      <c r="G7" s="18"/>
      <c r="H7" s="18"/>
      <c r="I7" s="18"/>
      <c r="N7" s="60">
        <f>SUM(N8:N12)</f>
        <v>30</v>
      </c>
      <c r="Y7" s="15" t="s">
        <v>119</v>
      </c>
      <c r="Z7" s="19"/>
      <c r="AA7" s="61" t="str">
        <f t="shared" si="0"/>
        <v/>
      </c>
      <c r="AC7" s="60"/>
      <c r="AD7" s="20" t="str">
        <f>IF(AC7="","¬",_xlfn.LET(_xlpm.base,IFERROR(LEFT(AC7,FIND(" (",AC7)-1),AC7),IFERROR(VLOOKUP(_xlpm.base,tblManoeuvre[],2,FALSE) &amp; " " &amp; REPT("●",VLOOKUP(_xlpm.base,tblManoeuvre[],3,FALSE)) &amp; " | " &amp; AC7,AC7 &amp; " " &amp; REPT("●",VLOOKUP(_xlpm.base,$F$79:$P$120,11,FALSE)))))</f>
        <v>¬</v>
      </c>
      <c r="AE7" s="20"/>
      <c r="AF7" s="20" t="str">
        <f>IF(LEN(AC7)=0,"¬",_xlfn.LET(_xlpm.base,IFERROR(LEFT(AC7,FIND(" (",AC7)-1),AC7),IFERROR(VLOOKUP(_xlpm.base,tblMerits[],5,FALSE),IFERROR(VLOOKUP(_xlpm.base,tblManoeuvre[],9,FALSE),"¬"))))</f>
        <v>¬</v>
      </c>
      <c r="AI7" s="15" t="s">
        <v>49</v>
      </c>
      <c r="AJ7" s="61">
        <f t="shared" si="1"/>
        <v>2</v>
      </c>
      <c r="AK7" s="61">
        <f>AJ7</f>
        <v>2</v>
      </c>
    </row>
    <row r="8" spans="1:37">
      <c r="A8" s="1" t="s">
        <v>7</v>
      </c>
      <c r="B8" t="str">
        <f>IF(VLOOKUP(tblCharDataMac[[#This Row],[Field]],$E$2:$F$362,2,FALSE)="","¬",LOWER(VLOOKUP(tblCharDataMac[[#This Row],[Field]],$E$2:$F$362,2,FALSE)))</f>
        <v>he/him</v>
      </c>
      <c r="D8" s="19" t="str">
        <f>VLOOKUP(F7,tblClans[],2,FALSE)</f>
        <v>Intelligence</v>
      </c>
      <c r="E8" s="15" t="s">
        <v>10</v>
      </c>
      <c r="F8" s="3" t="s">
        <v>1180</v>
      </c>
      <c r="G8" s="61" t="b">
        <f>IFERROR(IF(OR(AND(VLOOKUP(F8,tblBloodlines[],2,FALSE)="",VLOOKUP(F8,tblBloodlines[],3,FALSE)="",VLOOKUP(F8,tblBloodlines[],4,FALSE)=""),AND(VLOOKUP(F8,tblBloodlines[],2,FALSE)="",VLOOKUP(F8,tblBloodlines[],3,FALSE)="",F9=VLOOKUP(F8,tblBloodlines[],4,FALSE)),F7=VLOOKUP(F8,tblBloodlines[],2,FALSE),F7=VLOOKUP(F8,tblBloodlines[],3,FALSE)),TRUE,FALSE),"")</f>
        <v>1</v>
      </c>
      <c r="H8" s="18"/>
      <c r="I8" s="18" t="s">
        <v>1428</v>
      </c>
      <c r="N8" s="61">
        <f>N23</f>
        <v>0</v>
      </c>
      <c r="O8" s="65">
        <f>N8/SUM(N$7:N$12)</f>
        <v>0</v>
      </c>
      <c r="P8" s="66"/>
      <c r="Y8" s="15" t="s">
        <v>120</v>
      </c>
      <c r="Z8" s="19"/>
      <c r="AA8" s="61" t="str">
        <f t="shared" si="0"/>
        <v/>
      </c>
      <c r="AC8" s="60"/>
      <c r="AD8" s="20" t="str">
        <f>IF(AC8="","¬",_xlfn.LET(_xlpm.base,IFERROR(LEFT(AC8,FIND(" (",AC8)-1),AC8),IFERROR(VLOOKUP(_xlpm.base,tblManoeuvre[],2,FALSE) &amp; " " &amp; REPT("●",VLOOKUP(_xlpm.base,tblManoeuvre[],3,FALSE)) &amp; " | " &amp; AC8,AC8 &amp; " " &amp; REPT("●",VLOOKUP(_xlpm.base,$F$79:$P$120,11,FALSE)))))</f>
        <v>¬</v>
      </c>
      <c r="AE8" s="20"/>
      <c r="AF8" s="20" t="str">
        <f>IF(LEN(AC8)=0,"¬",_xlfn.LET(_xlpm.base,IFERROR(LEFT(AC8,FIND(" (",AC8)-1),AC8),IFERROR(VLOOKUP(_xlpm.base,tblMerits[],5,FALSE),IFERROR(VLOOKUP(_xlpm.base,tblManoeuvre[],9,FALSE),"¬"))))</f>
        <v>¬</v>
      </c>
      <c r="AI8" s="15" t="s">
        <v>34</v>
      </c>
      <c r="AJ8" s="61">
        <f t="shared" si="1"/>
        <v>4</v>
      </c>
      <c r="AK8" s="61">
        <f>IF(AJ8=0,IF(COUNTIF($E$42:$E$49,AI8)&gt;0,-3,-1),AJ8)</f>
        <v>4</v>
      </c>
    </row>
    <row r="9" spans="1:37">
      <c r="A9" s="1" t="s">
        <v>8</v>
      </c>
      <c r="B9" t="str">
        <f>IF(VLOOKUP(tblCharDataMac[[#This Row],[Field]],$E$2:$F$362,2,FALSE)="","¬",VLOOKUP(tblCharDataMac[[#This Row],[Field]],$E$2:$F$362,2,FALSE))</f>
        <v>Mekhet</v>
      </c>
      <c r="D9" s="19"/>
      <c r="E9" s="15" t="s">
        <v>11</v>
      </c>
      <c r="F9" s="3" t="s">
        <v>607</v>
      </c>
      <c r="G9" s="18"/>
      <c r="H9" s="18"/>
      <c r="I9" s="18" t="s">
        <v>1429</v>
      </c>
      <c r="N9" s="61">
        <f>N40+T40</f>
        <v>0</v>
      </c>
      <c r="O9" s="65">
        <f>N9/SUM(N$7:N$12)</f>
        <v>0</v>
      </c>
      <c r="P9" s="66"/>
      <c r="Y9" s="15" t="s">
        <v>121</v>
      </c>
      <c r="Z9" s="19"/>
      <c r="AA9" s="61" t="str">
        <f t="shared" si="0"/>
        <v/>
      </c>
      <c r="AC9" s="60"/>
      <c r="AD9" s="20" t="str">
        <f>IF(AC9="","¬",_xlfn.LET(_xlpm.base,IFERROR(LEFT(AC9,FIND(" (",AC9)-1),AC9),IFERROR(VLOOKUP(_xlpm.base,tblManoeuvre[],2,FALSE) &amp; " " &amp; REPT("●",VLOOKUP(_xlpm.base,tblManoeuvre[],3,FALSE)) &amp; " | " &amp; AC9,AC9 &amp; " " &amp; REPT("●",VLOOKUP(_xlpm.base,$F$79:$P$120,11,FALSE)))))</f>
        <v>¬</v>
      </c>
      <c r="AE9" s="20"/>
      <c r="AF9" s="20" t="str">
        <f>IF(LEN(AC9)=0,"¬",_xlfn.LET(_xlpm.base,IFERROR(LEFT(AC9,FIND(" (",AC9)-1),AC9),IFERROR(VLOOKUP(_xlpm.base,tblMerits[],5,FALSE),IFERROR(VLOOKUP(_xlpm.base,tblManoeuvre[],9,FALSE),"¬"))))</f>
        <v>¬</v>
      </c>
      <c r="AI9" s="15" t="s">
        <v>238</v>
      </c>
      <c r="AJ9" s="61">
        <f t="shared" si="1"/>
        <v>2</v>
      </c>
      <c r="AK9" s="61">
        <f>AJ9</f>
        <v>2</v>
      </c>
    </row>
    <row r="10" spans="1:37">
      <c r="A10" s="1" t="s">
        <v>9</v>
      </c>
      <c r="B10" t="str">
        <f>CONCATENATE(Elements,B9," icon.svg")</f>
        <v>D:\Terra Mortis\Character Sheets\Sheet Elements\Mekhet icon.svg</v>
      </c>
      <c r="D10" s="19"/>
      <c r="E10" s="15" t="s">
        <v>13</v>
      </c>
      <c r="F10" s="3" t="s">
        <v>685</v>
      </c>
      <c r="G10" s="18"/>
      <c r="H10" s="18"/>
      <c r="I10" s="18" t="s">
        <v>1430</v>
      </c>
      <c r="N10" s="61">
        <f>N77</f>
        <v>7</v>
      </c>
      <c r="O10" s="65">
        <f>N10/SUM(N$7:N$12)</f>
        <v>0.11666666666666667</v>
      </c>
      <c r="P10" s="66"/>
      <c r="Y10" s="15" t="s">
        <v>122</v>
      </c>
      <c r="Z10" s="19"/>
      <c r="AA10" s="61" t="str">
        <f t="shared" si="0"/>
        <v/>
      </c>
      <c r="AC10" s="60"/>
      <c r="AD10" s="20" t="str">
        <f>IF(AC10="","¬",_xlfn.LET(_xlpm.base,IFERROR(LEFT(AC10,FIND(" (",AC10)-1),AC10),IFERROR(VLOOKUP(_xlpm.base,tblManoeuvre[],2,FALSE) &amp; " " &amp; REPT("●",VLOOKUP(_xlpm.base,tblManoeuvre[],3,FALSE)) &amp; " | " &amp; AC10,AC10 &amp; " " &amp; REPT("●",VLOOKUP(_xlpm.base,$F$79:$P$120,11,FALSE)))))</f>
        <v>¬</v>
      </c>
      <c r="AE10" s="20"/>
      <c r="AF10" s="20" t="str">
        <f>IF(LEN(AC10)=0,"¬",_xlfn.LET(_xlpm.base,IFERROR(LEFT(AC10,FIND(" (",AC10)-1),AC10),IFERROR(VLOOKUP(_xlpm.base,tblMerits[],5,FALSE),IFERROR(VLOOKUP(_xlpm.base,tblManoeuvre[],9,FALSE),"¬"))))</f>
        <v>¬</v>
      </c>
      <c r="AI10" s="15" t="s">
        <v>24</v>
      </c>
      <c r="AJ10" s="61">
        <f t="shared" si="1"/>
        <v>3</v>
      </c>
      <c r="AK10" s="61">
        <f>AJ10+IFERROR(INDEX($V$26:$V$38,MATCH(AI10,$E$26:$E$38,0)),0)</f>
        <v>3</v>
      </c>
    </row>
    <row r="11" spans="1:37">
      <c r="A11" s="1" t="s">
        <v>10</v>
      </c>
      <c r="B11" t="str">
        <f>IF(VLOOKUP(tblCharDataMac[[#This Row],[Field]],$E$2:$F$362,2,FALSE)="","¬",VLOOKUP(tblCharDataMac[[#This Row],[Field]],$E$2:$F$362,2,FALSE))</f>
        <v>Norvegi</v>
      </c>
      <c r="D11" s="19"/>
      <c r="E11" s="15" t="s">
        <v>14</v>
      </c>
      <c r="F11" s="3" t="s">
        <v>936</v>
      </c>
      <c r="G11" s="18"/>
      <c r="H11" s="18"/>
      <c r="I11" s="18" t="s">
        <v>1431</v>
      </c>
      <c r="N11" s="61">
        <f>N163</f>
        <v>23</v>
      </c>
      <c r="O11" s="65">
        <f>N11/SUM(N$7:N$12)</f>
        <v>0.38333333333333336</v>
      </c>
      <c r="P11" s="66"/>
      <c r="Y11" s="15" t="s">
        <v>123</v>
      </c>
      <c r="Z11" s="19"/>
      <c r="AA11" s="61" t="str">
        <f t="shared" si="0"/>
        <v/>
      </c>
      <c r="AC11" s="60"/>
      <c r="AD11" s="20" t="str">
        <f>IF(AC11="","¬",_xlfn.LET(_xlpm.base,IFERROR(LEFT(AC11,FIND(" (",AC11)-1),AC11),IFERROR(VLOOKUP(_xlpm.base,tblManoeuvre[],2,FALSE) &amp; " " &amp; REPT("●",VLOOKUP(_xlpm.base,tblManoeuvre[],3,FALSE)) &amp; " | " &amp; AC11,AC11 &amp; " " &amp; REPT("●",VLOOKUP(_xlpm.base,$F$79:$P$120,11,FALSE)))))</f>
        <v>¬</v>
      </c>
      <c r="AE11" s="20"/>
      <c r="AF11" s="20" t="str">
        <f>IF(LEN(AC11)=0,"¬",_xlfn.LET(_xlpm.base,IFERROR(LEFT(AC11,FIND(" (",AC11)-1),AC11),IFERROR(VLOOKUP(_xlpm.base,tblMerits[],5,FALSE),IFERROR(VLOOKUP(_xlpm.base,tblManoeuvre[],9,FALSE),"¬"))))</f>
        <v>¬</v>
      </c>
      <c r="AI11" s="15" t="s">
        <v>26</v>
      </c>
      <c r="AJ11" s="61">
        <f t="shared" si="1"/>
        <v>0</v>
      </c>
      <c r="AK11" s="61">
        <f>IF(AJ11=0,IF(COUNTIF($E$42:$E$49,AI11)&gt;0,-3,-1),AJ11)</f>
        <v>-3</v>
      </c>
    </row>
    <row r="12" spans="1:37">
      <c r="A12" s="1" t="s">
        <v>11</v>
      </c>
      <c r="B12" t="str">
        <f>IF(VLOOKUP(tblCharDataMac[[#This Row],[Field]],$E$2:$F$362,2,FALSE)="","¬",VLOOKUP(tblCharDataMac[[#This Row],[Field]],$E$2:$F$362,2,FALSE))</f>
        <v>Carthian Movement</v>
      </c>
      <c r="D12" s="19"/>
      <c r="E12" s="15" t="s">
        <v>15</v>
      </c>
      <c r="F12" s="3"/>
      <c r="G12" s="3"/>
      <c r="H12" s="18"/>
      <c r="I12" s="18" t="s">
        <v>1432</v>
      </c>
      <c r="N12" s="61">
        <f>N71</f>
        <v>0</v>
      </c>
      <c r="O12" s="65">
        <f>N12/SUM(N$7:N$12)</f>
        <v>0</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1</v>
      </c>
      <c r="AK12" s="61">
        <f>IF(AJ12=0,IF(COUNTIF($E$42:$E$49,AI12)&gt;0,-3,-1),AJ12)</f>
        <v>1</v>
      </c>
    </row>
    <row r="13" spans="1:37">
      <c r="A13" s="1" t="s">
        <v>12</v>
      </c>
      <c r="B13" t="str">
        <f>_xlfn.IFNA(CONCATENATE(Elements,VLOOKUP(B12,tblCovenantShortName[#Data],2,FALSE)," icon.svg"),"")</f>
        <v>D:\Terra Mortis\Character Sheets\Sheet Elements\Carthian icon.svg</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0</v>
      </c>
      <c r="AK13" s="61">
        <f t="shared" ref="AK13:AK19" si="2">AJ13</f>
        <v>0</v>
      </c>
    </row>
    <row r="14" spans="1:37">
      <c r="A14" s="1" t="s">
        <v>13</v>
      </c>
      <c r="B14" t="str">
        <f>IF(VLOOKUP(tblCharDataMac[[#This Row],[Field]],$E$2:$F$362,2,FALSE)="","¬",VLOOKUP(tblCharDataMac[[#This Row],[Field]],$E$2:$F$362,2,FALSE))</f>
        <v>Rebel</v>
      </c>
      <c r="D14" s="19"/>
      <c r="E14" s="15" t="s">
        <v>1433</v>
      </c>
      <c r="F14" s="28"/>
      <c r="G14" s="3"/>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0</v>
      </c>
      <c r="AK14" s="61">
        <f t="shared" si="2"/>
        <v>0</v>
      </c>
    </row>
    <row r="15" spans="1:37">
      <c r="A15" s="1" t="s">
        <v>14</v>
      </c>
      <c r="B15" t="str">
        <f>IF(VLOOKUP(tblCharDataMac[[#This Row],[Field]],$E$2:$F$362,2,FALSE)="","¬",VLOOKUP(tblCharDataMac[[#This Row],[Field]],$E$2:$F$362,2,FALSE))</f>
        <v>Idealist</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6</v>
      </c>
      <c r="AK15" s="61">
        <f t="shared" ca="1" si="2"/>
        <v>6</v>
      </c>
    </row>
    <row r="16" spans="1:37" ht="15.75" thickBot="1">
      <c r="A16" s="1" t="s">
        <v>15</v>
      </c>
      <c r="B16" t="str">
        <f ca="1">_xlfn.LET(_xlpm.a,VLOOKUP(tblCharDataMac[[#This Row],[Field]],$E$2:$F$362,2,FALSE),_xlpm.b,VLOOKUP(OFFSET(tblCharDataMac[[#This Row],[Field]],1,0),$E$2:$F$362,2,FALSE),IF(AND(_xlpm.a&lt;&gt;"",_xlpm.b&lt;&gt;""),_xlpm.a&amp;" &amp; "&amp;_xlpm.b,IF(_xlpm.a&lt;&gt;"",_xlpm.a,IF(_xlpm.b&lt;&gt;"",_xlpm.b,"¬"))))</f>
        <v>¬</v>
      </c>
      <c r="D16" s="14" t="s">
        <v>1427</v>
      </c>
      <c r="E16" s="14"/>
      <c r="F16" s="14"/>
      <c r="G16" s="14"/>
      <c r="H16" s="14"/>
      <c r="I16" s="14"/>
      <c r="N16" s="60">
        <f>SUM(N17:N21)</f>
        <v>15</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REPT("●",IFERROR(INDEX($P$26:$P$38,MATCH(tblCharDataMac[[#This Row],[Field]],$E$26:$E$38,0)),0))&amp;REPT("○",IFERROR(INDEX($V$26:$V$38,MATCH(tblCharDataMac[[#This Row],[Field]],$E$26:$E$38,0)),0))</f>
        <v>●●</v>
      </c>
      <c r="D17" s="19"/>
      <c r="E17" s="15" t="s">
        <v>1435</v>
      </c>
      <c r="F17" s="3" t="b">
        <v>1</v>
      </c>
      <c r="G17" s="19"/>
      <c r="H17" s="19"/>
      <c r="I17" s="19"/>
      <c r="N17" s="61">
        <f>IF(F17=TRUE,3,0)</f>
        <v>3</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3</v>
      </c>
      <c r="AK17" s="61">
        <f>AJ17+IFERROR(INDEX($V$26:$V$38,MATCH(AI17,$E$26:$E$38,0)),0)</f>
        <v>3</v>
      </c>
    </row>
    <row r="18" spans="1:37">
      <c r="A18" s="1" t="s">
        <v>17</v>
      </c>
      <c r="B18" t="str">
        <f>REPT("●",IFERROR(INDEX($P$26:$P$38,MATCH(tblCharDataMac[[#This Row],[Field]],$E$26:$E$38,0)),0))&amp;REPT("○",IFERROR(INDEX($V$26:$V$38,MATCH(tblCharDataMac[[#This Row],[Field]],$E$26:$E$38,0)),0))</f>
        <v>●●●</v>
      </c>
      <c r="D18" s="19"/>
      <c r="E18" s="15" t="s">
        <v>1436</v>
      </c>
      <c r="F18" s="3" t="b">
        <v>1</v>
      </c>
      <c r="G18" s="19"/>
      <c r="H18" s="19"/>
      <c r="I18" s="19"/>
      <c r="N18" s="61">
        <f>IF(F18=TRUE,3,0)</f>
        <v>3</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0</v>
      </c>
      <c r="AK18" s="61">
        <f t="shared" si="2"/>
        <v>0</v>
      </c>
    </row>
    <row r="19" spans="1:37">
      <c r="A19" s="1" t="s">
        <v>18</v>
      </c>
      <c r="B19" t="str">
        <f>REPT("●",IFERROR(INDEX($P$26:$P$38,MATCH(tblCharDataMac[[#This Row],[Field]],$E$26:$E$38,0)),0))&amp;REPT("○",IFERROR(INDEX($V$26:$V$38,MATCH(tblCharDataMac[[#This Row],[Field]],$E$26:$E$38,0)),0))</f>
        <v>●●●</v>
      </c>
      <c r="D19" s="19"/>
      <c r="E19" s="15" t="s">
        <v>1437</v>
      </c>
      <c r="F19" s="3" t="b">
        <v>1</v>
      </c>
      <c r="G19" s="19"/>
      <c r="H19" s="19"/>
      <c r="I19" s="19"/>
      <c r="N19" s="61">
        <f>IF(F19=TRUE,3,0)</f>
        <v>3</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0</v>
      </c>
      <c r="AK19" s="61">
        <f t="shared" si="2"/>
        <v>0</v>
      </c>
    </row>
    <row r="20" spans="1:37">
      <c r="A20" s="1" t="s">
        <v>19</v>
      </c>
      <c r="B20" t="str">
        <f>REPT("●",IFERROR(INDEX($P$26:$P$38,MATCH(tblCharDataMac[[#This Row],[Field]],$E$26:$E$38,0)),0))&amp;REPT("○",IFERROR(INDEX($V$26:$V$38,MATCH(tblCharDataMac[[#This Row],[Field]],$E$26:$E$38,0)),0))</f>
        <v>●●●○○○</v>
      </c>
      <c r="D20" s="19"/>
      <c r="E20" s="15" t="s">
        <v>1438</v>
      </c>
      <c r="F20" s="3" t="b">
        <v>1</v>
      </c>
      <c r="G20" s="19"/>
      <c r="H20" s="19"/>
      <c r="I20" s="19"/>
      <c r="N20" s="61">
        <f>IF(F20=TRUE,3,0)</f>
        <v>3</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REPT("●",IFERROR(INDEX($P$26:$P$38,MATCH(tblCharDataMac[[#This Row],[Field]],$E$26:$E$38,0)),0))&amp;REPT("○",IFERROR(INDEX($V$26:$V$38,MATCH(tblCharDataMac[[#This Row],[Field]],$E$26:$E$38,0)),0))</f>
        <v>●●●</v>
      </c>
      <c r="D21" s="19"/>
      <c r="E21" s="15" t="s">
        <v>11</v>
      </c>
      <c r="F21" s="3" t="b">
        <v>1</v>
      </c>
      <c r="G21" s="19"/>
      <c r="H21" s="19"/>
      <c r="I21" s="19"/>
      <c r="N21" s="61">
        <f>IF(F21=TRUE,3,0)</f>
        <v>3</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2</v>
      </c>
      <c r="AK21" s="61">
        <f>IF(AJ21=0,IF(COUNTIF($E$42:$E$49,AI21)&gt;0,-3,-1),AJ21)</f>
        <v>2</v>
      </c>
    </row>
    <row r="22" spans="1:37">
      <c r="A22" s="1" t="s">
        <v>21</v>
      </c>
      <c r="B22" t="str">
        <f>REPT("●",IFERROR(INDEX($P$26:$P$38,MATCH(tblCharDataMac[[#This Row],[Field]],$E$26:$E$38,0)),0))&amp;REPT("○",IFERROR(INDEX($V$26:$V$38,MATCH(tblCharDataMac[[#This Row],[Field]],$E$26:$E$38,0)),0))</f>
        <v>●●</v>
      </c>
      <c r="Y22" s="15" t="s">
        <v>1439</v>
      </c>
      <c r="Z22" s="61" t="str">
        <f>IFERROR(VLOOKUP(AA22,tblManoeuvre[],2,FALSE),"")</f>
        <v>Regular</v>
      </c>
      <c r="AA22" s="61" t="str">
        <f t="shared" ref="AA22:AA41" si="3">_xlfn.LET(_xlpm.name,VLOOKUP(Y22,$E$2:$F$362,2,FALSE),_xlpm.paid,_xlfn.IFNA(VLOOKUP(_xlpm.name,$F$79:$Q$120,11,FALSE)&gt;=VLOOKUP(_xlpm.name,$F$79:$Q$120,12,FALSE),FALSE),IF(AND(_xlpm.name&lt;&gt;"",_xlpm.paid),_xlpm.name,""))</f>
        <v>Clinch Strike</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0</v>
      </c>
      <c r="AK22" s="61">
        <f>IF(AJ22=0,IF(COUNTIF($E$42:$E$49,AI22)&gt;0,-3,-1),AJ22)</f>
        <v>-1</v>
      </c>
    </row>
    <row r="23" spans="1:37" ht="15.75" thickBot="1">
      <c r="A23" s="1" t="s">
        <v>22</v>
      </c>
      <c r="B23" t="str">
        <f>REPT("●",IFERROR(INDEX($P$26:$P$38,MATCH(tblCharDataMac[[#This Row],[Field]],$E$26:$E$38,0)),0))&amp;REPT("○",IFERROR(INDEX($V$26:$V$38,MATCH(tblCharDataMac[[#This Row],[Field]],$E$26:$E$38,0)),0))</f>
        <v>●●</v>
      </c>
      <c r="D23" s="14" t="s">
        <v>1440</v>
      </c>
      <c r="E23" s="14"/>
      <c r="F23" s="14"/>
      <c r="G23" s="14"/>
      <c r="H23" s="14"/>
      <c r="I23" s="14"/>
      <c r="N23" s="60">
        <f>SUM(N26:N28,N31:N33,N36:N38)</f>
        <v>0</v>
      </c>
      <c r="Y23" s="15" t="s">
        <v>1441</v>
      </c>
      <c r="Z23" s="61" t="str">
        <f>IFERROR(VLOOKUP(AA23,tblManoeuvre[],2,FALSE),"")</f>
        <v>Mobilise Outrage</v>
      </c>
      <c r="AA23" s="61" t="str">
        <f t="shared" si="3"/>
        <v>Strike to Preempt</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0</v>
      </c>
      <c r="AK23" s="61">
        <f>IF(AJ23=0,VLOOKUP(AI23,$E$42:$Q$69,13,FALSE),AJ23)</f>
        <v>0</v>
      </c>
    </row>
    <row r="24" spans="1:37">
      <c r="A24" s="1" t="s">
        <v>23</v>
      </c>
      <c r="B24" t="str">
        <f>REPT("●",IFERROR(INDEX($P$26:$P$38,MATCH(tblCharDataMac[[#This Row],[Field]],$E$26:$E$38,0)),0))&amp;REPT("○",IFERROR(INDEX($V$26:$V$38,MATCH(tblCharDataMac[[#This Row],[Field]],$E$26:$E$38,0)),0))</f>
        <v>●</v>
      </c>
      <c r="E24" s="15" t="s">
        <v>1442</v>
      </c>
      <c r="F24" s="3" t="s">
        <v>17</v>
      </c>
      <c r="Y24" s="15" t="s">
        <v>1443</v>
      </c>
      <c r="Z24" s="61" t="str">
        <f>IFERROR(VLOOKUP(AA24,tblManoeuvre[],2,FALSE),"")</f>
        <v>Mobilise Outrage</v>
      </c>
      <c r="AA24" s="61" t="str">
        <f t="shared" si="3"/>
        <v>Unbreakable</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7</v>
      </c>
      <c r="AK24" s="61">
        <f ca="1">AJ24</f>
        <v>7</v>
      </c>
    </row>
    <row r="25" spans="1:37">
      <c r="A25" s="1" t="s">
        <v>24</v>
      </c>
      <c r="B25" t="str">
        <f>REPT("●",IFERROR(INDEX($P$26:$P$38,MATCH(tblCharDataMac[[#This Row],[Field]],$E$26:$E$38,0)),0))&amp;REPT("○",IFERROR(INDEX($V$26:$V$38,MATCH(tblCharDataMac[[#This Row],[Field]],$E$26:$E$38,0)),0))</f>
        <v>●●●</v>
      </c>
      <c r="D25" s="16" t="s">
        <v>1444</v>
      </c>
      <c r="E25" s="17"/>
      <c r="F25" s="17"/>
      <c r="G25" s="17" t="s">
        <v>1445</v>
      </c>
      <c r="H25" s="16" t="s">
        <v>1446</v>
      </c>
      <c r="I25" s="3" t="s">
        <v>1567</v>
      </c>
      <c r="L25" s="60">
        <f>IF(I25="",0,VLOOKUP(I25,tblPriority[#Data],2,FALSE))-SUM(L26:L28)</f>
        <v>0</v>
      </c>
      <c r="Y25" s="15" t="s">
        <v>1447</v>
      </c>
      <c r="Z25" s="61" t="str">
        <f>IFERROR(VLOOKUP(AA25,tblManoeuvre[],2,FALSE),"")</f>
        <v>Mobilise Outrage</v>
      </c>
      <c r="AA25" s="61" t="str">
        <f t="shared" si="3"/>
        <v>Dying on Your Feet</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5</v>
      </c>
      <c r="AK25" s="61">
        <f>AJ25</f>
        <v>5</v>
      </c>
    </row>
    <row r="26" spans="1:37">
      <c r="A26" s="1" t="s">
        <v>25</v>
      </c>
      <c r="B26" t="str">
        <f>REPT("●",IFERROR(INDEX($P$42:$P$69,MATCH(tblCharDataMac[[#This Row],[Field]],$E$42:$E$69,0)),0))&amp;REPT("○",IFERROR(INDEX($V$42:$V$69,MATCH(tblCharDataMac[[#This Row],[Field]],$E$42:$E$69,0)),0))&amp;IF(IFERROR(INDEX($W$42:$W$69,MATCH(tblCharDataMac[[#This Row],[Field]],$E$42:$E$69,0)),0)=1,"†","")</f>
        <v/>
      </c>
      <c r="D26" s="18"/>
      <c r="E26" s="15" t="s">
        <v>16</v>
      </c>
      <c r="F26" s="18"/>
      <c r="G26" s="3"/>
      <c r="H26" s="18"/>
      <c r="I26" s="18"/>
      <c r="L26" s="3">
        <v>1</v>
      </c>
      <c r="M26" s="60">
        <f>IF(E26=$F$24,2,1)</f>
        <v>1</v>
      </c>
      <c r="N26" s="3"/>
      <c r="O26" s="61">
        <f>ROUNDDOWN(N26/4,0)</f>
        <v>0</v>
      </c>
      <c r="P26" s="60">
        <f>MIN(SUM(L26,M26,O26),R26)</f>
        <v>2</v>
      </c>
      <c r="R26" s="61">
        <v>5</v>
      </c>
      <c r="U26" s="4"/>
      <c r="V26" s="61">
        <f>U26</f>
        <v>0</v>
      </c>
      <c r="Y26" s="15" t="s">
        <v>1449</v>
      </c>
      <c r="Z26" s="61" t="str">
        <f>IFERROR(VLOOKUP(AA26,tblManoeuvre[],2,FALSE),"")</f>
        <v/>
      </c>
      <c r="AA26" s="61" t="str">
        <f t="shared" si="3"/>
        <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2</v>
      </c>
      <c r="AK26" s="61">
        <f>AJ26+IFERROR(INDEX($V$26:$V$38,MATCH(AI26,$E$26:$E$38,0)),0)</f>
        <v>2</v>
      </c>
    </row>
    <row r="27" spans="1:37">
      <c r="A27" s="1" t="s">
        <v>26</v>
      </c>
      <c r="B27" t="str">
        <f>REPT("●",IFERROR(INDEX($P$42:$P$69,MATCH(tblCharDataMac[[#This Row],[Field]],$E$42:$E$69,0)),0))&amp;REPT("○",IFERROR(INDEX($V$42:$V$69,MATCH(tblCharDataMac[[#This Row],[Field]],$E$42:$E$69,0)),0))&amp;IF(IFERROR(INDEX($W$42:$W$69,MATCH(tblCharDataMac[[#This Row],[Field]],$E$42:$E$69,0)),0)=1,"†","")</f>
        <v/>
      </c>
      <c r="D27" s="18"/>
      <c r="E27" s="15" t="s">
        <v>17</v>
      </c>
      <c r="F27" s="18"/>
      <c r="G27" s="3"/>
      <c r="H27" s="18"/>
      <c r="I27" s="18"/>
      <c r="L27" s="3">
        <v>1</v>
      </c>
      <c r="M27" s="60">
        <f>IF(E27=$F$24,2,1)</f>
        <v>2</v>
      </c>
      <c r="N27" s="3"/>
      <c r="O27" s="61">
        <f>ROUNDDOWN(N27/4,0)</f>
        <v>0</v>
      </c>
      <c r="P27" s="60">
        <f>MIN(SUM(L27,M27,O27),R27)</f>
        <v>3</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2</v>
      </c>
      <c r="AK27" s="61">
        <f>IF(AJ27=0,IF(COUNTIF($E$42:$E$49,AI27)&gt;0,-3,-1),AJ27)</f>
        <v>2</v>
      </c>
    </row>
    <row r="28" spans="1:37">
      <c r="A28" s="1" t="s">
        <v>27</v>
      </c>
      <c r="B28" t="str">
        <f>REPT("●",IFERROR(INDEX($P$42:$P$69,MATCH(tblCharDataMac[[#This Row],[Field]],$E$42:$E$69,0)),0))&amp;REPT("○",IFERROR(INDEX($V$42:$V$69,MATCH(tblCharDataMac[[#This Row],[Field]],$E$42:$E$69,0)),0))&amp;IF(IFERROR(INDEX($W$42:$W$69,MATCH(tblCharDataMac[[#This Row],[Field]],$E$42:$E$69,0)),0)=1,"†","")</f>
        <v>●</v>
      </c>
      <c r="D28" s="18"/>
      <c r="E28" s="15" t="s">
        <v>18</v>
      </c>
      <c r="F28" s="18"/>
      <c r="G28" s="3"/>
      <c r="H28" s="18"/>
      <c r="I28" s="18"/>
      <c r="L28" s="3">
        <v>2</v>
      </c>
      <c r="M28" s="60">
        <f>IF(E28=$F$24,2,1)</f>
        <v>1</v>
      </c>
      <c r="N28" s="3"/>
      <c r="O28" s="61">
        <f>ROUNDDOWN(N28/4,0)</f>
        <v>0</v>
      </c>
      <c r="P28" s="60">
        <f>MIN(SUM(L28,M28,O28),R28)</f>
        <v>3</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2</v>
      </c>
      <c r="AK28" s="61">
        <f>IF(AJ28=0,IF(COUNTIF($E$42:$E$49,AI28)&gt;0,-3,-1),AJ28)</f>
        <v>2</v>
      </c>
    </row>
    <row r="29" spans="1:37">
      <c r="A29" s="1" t="s">
        <v>28</v>
      </c>
      <c r="B29" t="str">
        <f>REPT("●",IFERROR(INDEX($P$42:$P$69,MATCH(tblCharDataMac[[#This Row],[Field]],$E$42:$E$69,0)),0))&amp;REPT("○",IFERROR(INDEX($V$42:$V$69,MATCH(tblCharDataMac[[#This Row],[Field]],$E$42:$E$69,0)),0))&amp;IF(IFERROR(INDEX($W$42:$W$69,MATCH(tblCharDataMac[[#This Row],[Field]],$E$42:$E$69,0)),0)=1,"†","")</f>
        <v>●●†</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2</v>
      </c>
      <c r="AK29" s="61">
        <f>IF(AJ29=0,IF(COUNTIF($E$42:$E$49,AI29)&gt;0,-3,-1),AJ29)</f>
        <v>2</v>
      </c>
    </row>
    <row r="30" spans="1:37">
      <c r="A30" s="1" t="s">
        <v>29</v>
      </c>
      <c r="B30" t="str">
        <f>REPT("●",IFERROR(INDEX($P$42:$P$69,MATCH(tblCharDataMac[[#This Row],[Field]],$E$42:$E$69,0)),0))&amp;REPT("○",IFERROR(INDEX($V$42:$V$69,MATCH(tblCharDataMac[[#This Row],[Field]],$E$42:$E$69,0)),0))&amp;IF(IFERROR(INDEX($W$42:$W$69,MATCH(tblCharDataMac[[#This Row],[Field]],$E$42:$E$69,0)),0)=1,"†","")</f>
        <v/>
      </c>
      <c r="D30" s="16" t="s">
        <v>1453</v>
      </c>
      <c r="E30" s="17"/>
      <c r="F30" s="17"/>
      <c r="G30" s="17" t="s">
        <v>1445</v>
      </c>
      <c r="H30" s="16" t="s">
        <v>1446</v>
      </c>
      <c r="I30" s="3" t="s">
        <v>1565</v>
      </c>
      <c r="L30" s="60">
        <f>IF(I30="",0,VLOOKUP(I30,tblPriority[#Data],2,FALSE))-SUM(L31:L33)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0</v>
      </c>
      <c r="AK30" s="61">
        <f>AJ30</f>
        <v>0</v>
      </c>
    </row>
    <row r="31" spans="1:37">
      <c r="A31" s="1" t="s">
        <v>30</v>
      </c>
      <c r="B31" t="str">
        <f>REPT("●",IFERROR(INDEX($P$42:$P$69,MATCH(tblCharDataMac[[#This Row],[Field]],$E$42:$E$69,0)),0))&amp;REPT("○",IFERROR(INDEX($V$42:$V$69,MATCH(tblCharDataMac[[#This Row],[Field]],$E$42:$E$69,0)),0))&amp;IF(IFERROR(INDEX($W$42:$W$69,MATCH(tblCharDataMac[[#This Row],[Field]],$E$42:$E$69,0)),0)=1,"†","")</f>
        <v>●</v>
      </c>
      <c r="D31" s="18"/>
      <c r="E31" s="15" t="s">
        <v>19</v>
      </c>
      <c r="F31" s="18"/>
      <c r="G31" s="3"/>
      <c r="H31" s="18"/>
      <c r="I31" s="18"/>
      <c r="L31" s="3">
        <v>2</v>
      </c>
      <c r="M31" s="60">
        <f>IF(E31=$F$24,2,1)</f>
        <v>1</v>
      </c>
      <c r="N31" s="3"/>
      <c r="O31" s="61">
        <f>ROUNDDOWN(N31/4,0)</f>
        <v>0</v>
      </c>
      <c r="P31" s="60">
        <f>MIN(SUM(L31,M31,O31),R31)</f>
        <v>3</v>
      </c>
      <c r="R31" s="61">
        <v>5</v>
      </c>
      <c r="U31" s="4"/>
      <c r="V31" s="61">
        <f>$P$174+U31</f>
        <v>3</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1</v>
      </c>
      <c r="AK31" s="61">
        <f>AJ31+IFERROR(INDEX($V$26:$V$38,MATCH(AI31,$E$26:$E$38,0)),0)</f>
        <v>1</v>
      </c>
    </row>
    <row r="32" spans="1:37">
      <c r="A32" s="1" t="s">
        <v>31</v>
      </c>
      <c r="B32" t="str">
        <f>REPT("●",IFERROR(INDEX($P$42:$P$69,MATCH(tblCharDataMac[[#This Row],[Field]],$E$42:$E$69,0)),0))&amp;REPT("○",IFERROR(INDEX($V$42:$V$69,MATCH(tblCharDataMac[[#This Row],[Field]],$E$42:$E$69,0)),0))&amp;IF(IFERROR(INDEX($W$42:$W$69,MATCH(tblCharDataMac[[#This Row],[Field]],$E$42:$E$69,0)),0)=1,"†","")</f>
        <v/>
      </c>
      <c r="D32" s="18"/>
      <c r="E32" s="15" t="s">
        <v>20</v>
      </c>
      <c r="F32" s="18"/>
      <c r="G32" s="3"/>
      <c r="H32" s="18"/>
      <c r="I32" s="18"/>
      <c r="L32" s="3">
        <v>2</v>
      </c>
      <c r="M32" s="60">
        <f>IF(E32=$F$24,2,1)</f>
        <v>1</v>
      </c>
      <c r="N32" s="3"/>
      <c r="O32" s="61">
        <f>ROUNDDOWN(N32/4,0)</f>
        <v>0</v>
      </c>
      <c r="P32" s="60">
        <f>MIN(SUM(L32,M32,O32),R32)</f>
        <v>3</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REPT("●",IFERROR(INDEX($P$42:$P$69,MATCH(tblCharDataMac[[#This Row],[Field]],$E$42:$E$69,0)),0))&amp;REPT("○",IFERROR(INDEX($V$42:$V$69,MATCH(tblCharDataMac[[#This Row],[Field]],$E$42:$E$69,0)),0))&amp;IF(IFERROR(INDEX($W$42:$W$69,MATCH(tblCharDataMac[[#This Row],[Field]],$E$42:$E$69,0)),0)=1,"†","")</f>
        <v/>
      </c>
      <c r="D33" s="18"/>
      <c r="E33" s="15" t="s">
        <v>21</v>
      </c>
      <c r="F33" s="18"/>
      <c r="G33" s="3"/>
      <c r="H33" s="18"/>
      <c r="I33" s="18"/>
      <c r="L33" s="3">
        <v>1</v>
      </c>
      <c r="M33" s="60">
        <f>IF(E33=$F$24,2,1)</f>
        <v>1</v>
      </c>
      <c r="N33" s="3"/>
      <c r="O33" s="61">
        <f>ROUNDDOWN(N33/4,0)</f>
        <v>0</v>
      </c>
      <c r="P33" s="60">
        <f>MIN(SUM(L33,M33,O33),R33)</f>
        <v>2</v>
      </c>
      <c r="R33" s="61">
        <v>5</v>
      </c>
      <c r="U33" s="4"/>
      <c r="V33" s="61">
        <f>$P$173+U33</f>
        <v>0</v>
      </c>
      <c r="Y33" s="15" t="s">
        <v>1457</v>
      </c>
      <c r="Z33" s="61" t="str">
        <f>IFERROR(VLOOKUP(AA33,tblManoeuvre[],2,FALSE),"")</f>
        <v/>
      </c>
      <c r="AA33" s="61" t="str">
        <f t="shared" si="3"/>
        <v/>
      </c>
      <c r="AI33" s="15" t="s">
        <v>241</v>
      </c>
      <c r="AJ33" s="61">
        <f t="shared" si="1"/>
        <v>0</v>
      </c>
      <c r="AK33" s="61">
        <f>AJ33</f>
        <v>0</v>
      </c>
    </row>
    <row r="34" spans="1:37">
      <c r="A34" s="1" t="s">
        <v>33</v>
      </c>
      <c r="B34" t="str">
        <f>REPT("●",IFERROR(INDEX($P$42:$P$69,MATCH(tblCharDataMac[[#This Row],[Field]],$E$42:$E$69,0)),0))&amp;REPT("○",IFERROR(INDEX($V$42:$V$69,MATCH(tblCharDataMac[[#This Row],[Field]],$E$42:$E$69,0)),0))&amp;IF(IFERROR(INDEX($W$42:$W$69,MATCH(tblCharDataMac[[#This Row],[Field]],$E$42:$E$69,0)),0)=1,"†","")</f>
        <v>●●●</v>
      </c>
      <c r="Y34" s="15" t="s">
        <v>1458</v>
      </c>
      <c r="Z34" s="61" t="str">
        <f>IFERROR(VLOOKUP(AA34,tblManoeuvre[],2,FALSE),"")</f>
        <v/>
      </c>
      <c r="AA34" s="61" t="str">
        <f t="shared" si="3"/>
        <v/>
      </c>
      <c r="AI34" s="15" t="s">
        <v>242</v>
      </c>
      <c r="AJ34" s="61">
        <f t="shared" si="1"/>
        <v>1</v>
      </c>
      <c r="AK34" s="61">
        <f>AJ34</f>
        <v>1</v>
      </c>
    </row>
    <row r="35" spans="1:37">
      <c r="A35" s="1" t="s">
        <v>34</v>
      </c>
      <c r="B35" t="str">
        <f>REPT("●",IFERROR(INDEX($P$42:$P$69,MATCH(tblCharDataMac[[#This Row],[Field]],$E$42:$E$69,0)),0))&amp;REPT("○",IFERROR(INDEX($V$42:$V$69,MATCH(tblCharDataMac[[#This Row],[Field]],$E$42:$E$69,0)),0))&amp;IF(IFERROR(INDEX($W$42:$W$69,MATCH(tblCharDataMac[[#This Row],[Field]],$E$42:$E$69,0)),0)=1,"†","")</f>
        <v>●●●●○†</v>
      </c>
      <c r="D35" s="16" t="s">
        <v>1459</v>
      </c>
      <c r="E35" s="17"/>
      <c r="F35" s="17"/>
      <c r="G35" s="17" t="s">
        <v>1445</v>
      </c>
      <c r="H35" s="16" t="s">
        <v>1446</v>
      </c>
      <c r="I35" s="3" t="s">
        <v>1566</v>
      </c>
      <c r="L35" s="60">
        <f>IF(I35="",0,VLOOKUP(I35,tblPriority[#Data],2,FALSE))-SUM(L36:L38)</f>
        <v>0</v>
      </c>
      <c r="Y35" s="15" t="s">
        <v>1460</v>
      </c>
      <c r="Z35" s="61" t="str">
        <f>IFERROR(VLOOKUP(AA35,tblManoeuvre[],2,FALSE),"")</f>
        <v/>
      </c>
      <c r="AA35" s="61" t="str">
        <f t="shared" si="3"/>
        <v/>
      </c>
      <c r="AI35" s="15" t="s">
        <v>30</v>
      </c>
      <c r="AJ35" s="61">
        <f t="shared" si="1"/>
        <v>1</v>
      </c>
      <c r="AK35" s="61">
        <f>IF(AJ35=0,IF(COUNTIF($E$42:$E$49,AI35)&gt;0,-3,-1),AJ35)</f>
        <v>1</v>
      </c>
    </row>
    <row r="36" spans="1:37">
      <c r="A36" s="1" t="s">
        <v>35</v>
      </c>
      <c r="B36" t="str">
        <f>REPT("●",IFERROR(INDEX($P$42:$P$69,MATCH(tblCharDataMac[[#This Row],[Field]],$E$42:$E$69,0)),0))&amp;REPT("○",IFERROR(INDEX($V$42:$V$69,MATCH(tblCharDataMac[[#This Row],[Field]],$E$42:$E$69,0)),0))&amp;IF(IFERROR(INDEX($W$42:$W$69,MATCH(tblCharDataMac[[#This Row],[Field]],$E$42:$E$69,0)),0)=1,"†","")</f>
        <v/>
      </c>
      <c r="D36" s="18"/>
      <c r="E36" s="15" t="s">
        <v>22</v>
      </c>
      <c r="F36" s="18"/>
      <c r="G36" s="3"/>
      <c r="H36" s="18"/>
      <c r="I36" s="18"/>
      <c r="L36" s="3">
        <v>1</v>
      </c>
      <c r="M36" s="60">
        <f>IF(E36=$F$24,2,1)</f>
        <v>1</v>
      </c>
      <c r="N36" s="3"/>
      <c r="O36" s="61">
        <f>ROUNDDOWN(N36/4,0)</f>
        <v>0</v>
      </c>
      <c r="P36" s="60">
        <f>MIN(SUM(L36,M36,O36),R36)</f>
        <v>2</v>
      </c>
      <c r="R36" s="61">
        <v>5</v>
      </c>
      <c r="U36" s="4"/>
      <c r="V36" s="61">
        <f>U36</f>
        <v>0</v>
      </c>
      <c r="Y36" s="15" t="s">
        <v>1461</v>
      </c>
      <c r="Z36" s="61" t="str">
        <f>IFERROR(VLOOKUP(AA36,tblManoeuvre[],2,FALSE),"")</f>
        <v/>
      </c>
      <c r="AA36" s="61" t="str">
        <f t="shared" si="3"/>
        <v/>
      </c>
      <c r="AI36" s="15" t="s">
        <v>45</v>
      </c>
      <c r="AJ36" s="61">
        <f t="shared" si="1"/>
        <v>0</v>
      </c>
      <c r="AK36" s="61">
        <f>IF(AJ36=0,IF(COUNTIF($E$42:$E$49,AI36)&gt;0,-3,-1),AJ36)</f>
        <v>-1</v>
      </c>
    </row>
    <row r="37" spans="1:37">
      <c r="A37" s="1" t="s">
        <v>36</v>
      </c>
      <c r="B37" t="str">
        <f>REPT("●",IFERROR(INDEX($P$42:$P$69,MATCH(tblCharDataMac[[#This Row],[Field]],$E$42:$E$69,0)),0))&amp;REPT("○",IFERROR(INDEX($V$42:$V$69,MATCH(tblCharDataMac[[#This Row],[Field]],$E$42:$E$69,0)),0))&amp;IF(IFERROR(INDEX($W$42:$W$69,MATCH(tblCharDataMac[[#This Row],[Field]],$E$42:$E$69,0)),0)=1,"†","")</f>
        <v/>
      </c>
      <c r="D37" s="18"/>
      <c r="E37" s="15" t="s">
        <v>23</v>
      </c>
      <c r="F37" s="18"/>
      <c r="G37" s="3"/>
      <c r="H37" s="18"/>
      <c r="I37" s="18"/>
      <c r="L37" s="3"/>
      <c r="M37" s="60">
        <f>IF(E37=$F$24,2,1)</f>
        <v>1</v>
      </c>
      <c r="N37" s="3"/>
      <c r="O37" s="61">
        <f>ROUNDDOWN(N37/4,0)</f>
        <v>0</v>
      </c>
      <c r="P37" s="60">
        <f>MIN(SUM(L37,M37,O37),R37)</f>
        <v>1</v>
      </c>
      <c r="R37" s="61">
        <v>5</v>
      </c>
      <c r="U37" s="4"/>
      <c r="V37" s="61">
        <f>U37</f>
        <v>0</v>
      </c>
      <c r="Y37" s="15" t="s">
        <v>1462</v>
      </c>
      <c r="Z37" s="61" t="str">
        <f>IFERROR(VLOOKUP(AA37,tblManoeuvre[],2,FALSE),"")</f>
        <v/>
      </c>
      <c r="AA37" s="61" t="str">
        <f t="shared" si="3"/>
        <v/>
      </c>
      <c r="AI37" s="15" t="s">
        <v>31</v>
      </c>
      <c r="AJ37" s="61">
        <f t="shared" si="1"/>
        <v>0</v>
      </c>
      <c r="AK37" s="61">
        <f>IF(AJ37=0,IF(COUNTIF($E$42:$E$49,AI37)&gt;0,-3,-1),AJ37)</f>
        <v>-3</v>
      </c>
    </row>
    <row r="38" spans="1:37">
      <c r="A38" s="1" t="s">
        <v>37</v>
      </c>
      <c r="B38" t="str">
        <f>REPT("●",IFERROR(INDEX($P$42:$P$69,MATCH(tblCharDataMac[[#This Row],[Field]],$E$42:$E$69,0)),0))&amp;REPT("○",IFERROR(INDEX($V$42:$V$69,MATCH(tblCharDataMac[[#This Row],[Field]],$E$42:$E$69,0)),0))&amp;IF(IFERROR(INDEX($W$42:$W$69,MATCH(tblCharDataMac[[#This Row],[Field]],$E$42:$E$69,0)),0)=1,"†","")</f>
        <v>●●</v>
      </c>
      <c r="D38" s="18"/>
      <c r="E38" s="15" t="s">
        <v>24</v>
      </c>
      <c r="F38" s="18"/>
      <c r="G38" s="3"/>
      <c r="H38" s="18"/>
      <c r="I38" s="18"/>
      <c r="L38" s="3">
        <v>2</v>
      </c>
      <c r="M38" s="60">
        <f>IF(E38=$F$24,2,1)</f>
        <v>1</v>
      </c>
      <c r="N38" s="3"/>
      <c r="O38" s="61">
        <f>ROUNDDOWN(N38/4,0)</f>
        <v>0</v>
      </c>
      <c r="P38" s="60">
        <f>MIN(SUM(L38,M38,O38),R38)</f>
        <v>3</v>
      </c>
      <c r="R38" s="61">
        <v>5</v>
      </c>
      <c r="U38" s="4"/>
      <c r="V38" s="61">
        <f>U38</f>
        <v>0</v>
      </c>
      <c r="Y38" s="15" t="s">
        <v>1463</v>
      </c>
      <c r="Z38" s="61" t="str">
        <f>IFERROR(VLOOKUP(AA38,tblManoeuvre[],2,FALSE),"")</f>
        <v/>
      </c>
      <c r="AA38" s="61" t="str">
        <f t="shared" si="3"/>
        <v/>
      </c>
      <c r="AI38" s="15" t="s">
        <v>22</v>
      </c>
      <c r="AJ38" s="61">
        <f t="shared" si="1"/>
        <v>2</v>
      </c>
      <c r="AK38" s="61">
        <f>AJ38+IFERROR(INDEX($V$26:$V$38,MATCH(AI38,$E$26:$E$38,0)),0)</f>
        <v>2</v>
      </c>
    </row>
    <row r="39" spans="1:37">
      <c r="A39" s="1" t="s">
        <v>38</v>
      </c>
      <c r="B39" t="str">
        <f>REPT("●",IFERROR(INDEX($P$42:$P$69,MATCH(tblCharDataMac[[#This Row],[Field]],$E$42:$E$69,0)),0))&amp;REPT("○",IFERROR(INDEX($V$42:$V$69,MATCH(tblCharDataMac[[#This Row],[Field]],$E$42:$E$69,0)),0))&amp;IF(IFERROR(INDEX($W$42:$W$69,MATCH(tblCharDataMac[[#This Row],[Field]],$E$42:$E$69,0)),0)=1,"†","")</f>
        <v>●●†</v>
      </c>
      <c r="Y39" s="15" t="s">
        <v>1464</v>
      </c>
      <c r="Z39" s="61" t="str">
        <f>IFERROR(VLOOKUP(AA39,tblManoeuvre[],2,FALSE),"")</f>
        <v/>
      </c>
      <c r="AA39" s="61" t="str">
        <f t="shared" si="3"/>
        <v/>
      </c>
      <c r="AI39" s="15" t="s">
        <v>243</v>
      </c>
      <c r="AJ39" s="61">
        <f t="shared" si="1"/>
        <v>1</v>
      </c>
      <c r="AK39" s="61">
        <f>AJ39</f>
        <v>1</v>
      </c>
    </row>
    <row r="40" spans="1:37" ht="15.75" thickBot="1">
      <c r="A40" s="1" t="s">
        <v>39</v>
      </c>
      <c r="B40" t="str">
        <f>REPT("●",IFERROR(INDEX($P$42:$P$69,MATCH(tblCharDataMac[[#This Row],[Field]],$E$42:$E$69,0)),0))&amp;REPT("○",IFERROR(INDEX($V$42:$V$69,MATCH(tblCharDataMac[[#This Row],[Field]],$E$42:$E$69,0)),0))&amp;IF(IFERROR(INDEX($W$42:$W$69,MATCH(tblCharDataMac[[#This Row],[Field]],$E$42:$E$69,0)),0)=1,"†","")</f>
        <v/>
      </c>
      <c r="D40" s="14" t="s">
        <v>1465</v>
      </c>
      <c r="E40" s="14"/>
      <c r="F40" s="14"/>
      <c r="G40" s="14"/>
      <c r="H40" s="14"/>
      <c r="I40" s="14"/>
      <c r="N40" s="60">
        <f>SUM(N42:N49,N52:N59,N62:N69)</f>
        <v>0</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1"/>
        <v>0</v>
      </c>
      <c r="AK40" s="61">
        <f>AJ40</f>
        <v>0</v>
      </c>
    </row>
    <row r="41" spans="1:37">
      <c r="A41" s="1" t="s">
        <v>40</v>
      </c>
      <c r="B41" t="str">
        <f>REPT("●",IFERROR(INDEX($P$42:$P$69,MATCH(tblCharDataMac[[#This Row],[Field]],$E$42:$E$69,0)),0))&amp;REPT("○",IFERROR(INDEX($V$42:$V$69,MATCH(tblCharDataMac[[#This Row],[Field]],$E$42:$E$69,0)),0))&amp;IF(IFERROR(INDEX($W$42:$W$69,MATCH(tblCharDataMac[[#This Row],[Field]],$E$42:$E$69,0)),0)=1,"†","")</f>
        <v/>
      </c>
      <c r="D41" s="16" t="s">
        <v>1444</v>
      </c>
      <c r="E41" s="17"/>
      <c r="F41" s="17"/>
      <c r="G41" s="17" t="s">
        <v>1467</v>
      </c>
      <c r="H41" s="16" t="s">
        <v>1446</v>
      </c>
      <c r="I41" s="3" t="s">
        <v>1566</v>
      </c>
      <c r="L41" s="60">
        <f>IF(I41="",0,VLOOKUP(I41,tblPriority[#Data],3,FALSE))-SUM(L42:L49)</f>
        <v>0</v>
      </c>
      <c r="T41" s="60">
        <f>MAX(3+IF(P161&gt;=3,2,0)-SUM(T42:T49,T52:T59,T62:T69),0)</f>
        <v>5</v>
      </c>
      <c r="Y41" s="15" t="s">
        <v>1468</v>
      </c>
      <c r="Z41" s="61" t="str">
        <f>IFERROR(VLOOKUP(AA41,tblManoeuvre[],2,FALSE),"")</f>
        <v/>
      </c>
      <c r="AA41" s="61" t="str">
        <f t="shared" si="3"/>
        <v/>
      </c>
      <c r="AI41" s="15" t="s">
        <v>244</v>
      </c>
      <c r="AJ41" s="61">
        <f t="shared" si="1"/>
        <v>0</v>
      </c>
      <c r="AK41" s="61">
        <f>AJ41</f>
        <v>0</v>
      </c>
    </row>
    <row r="42" spans="1:37">
      <c r="A42" s="1" t="s">
        <v>41</v>
      </c>
      <c r="B42" t="str">
        <f>REPT("●",IFERROR(INDEX($P$42:$P$69,MATCH(tblCharDataMac[[#This Row],[Field]],$E$42:$E$69,0)),0))&amp;REPT("○",IFERROR(INDEX($V$42:$V$69,MATCH(tblCharDataMac[[#This Row],[Field]],$E$42:$E$69,0)),0))&amp;IF(IFERROR(INDEX($W$42:$W$69,MATCH(tblCharDataMac[[#This Row],[Field]],$E$42:$E$69,0)),0)=1,"†","")</f>
        <v/>
      </c>
      <c r="D42" s="18"/>
      <c r="E42" s="15" t="s">
        <v>25</v>
      </c>
      <c r="F42" s="18"/>
      <c r="G42" s="3"/>
      <c r="H42" s="18"/>
      <c r="I42" s="18"/>
      <c r="L42" s="4"/>
      <c r="M42" s="60"/>
      <c r="N42" s="4"/>
      <c r="O42" s="61">
        <f>ROUNDDOWN(N42/2,0)</f>
        <v>0</v>
      </c>
      <c r="P42" s="60">
        <f t="shared" ref="P42:P49" si="4">MIN(SUM(L42,M42,O42),R42)</f>
        <v>0</v>
      </c>
      <c r="R42" s="61">
        <v>5</v>
      </c>
      <c r="T42" s="4"/>
      <c r="U42" s="4"/>
      <c r="V42" s="61">
        <f t="shared" ref="V42:V49" si="5">U42</f>
        <v>0</v>
      </c>
      <c r="W42" s="4"/>
      <c r="AI42" s="15" t="s">
        <v>18</v>
      </c>
      <c r="AJ42" s="61">
        <f t="shared" si="1"/>
        <v>3</v>
      </c>
      <c r="AK42" s="61">
        <f>AJ42+IFERROR(INDEX($V$26:$V$38,MATCH(AI42,$E$26:$E$38,0)),0)</f>
        <v>3</v>
      </c>
    </row>
    <row r="43" spans="1:37">
      <c r="A43" s="1" t="s">
        <v>42</v>
      </c>
      <c r="B43" t="str">
        <f>REPT("●",IFERROR(INDEX($P$42:$P$69,MATCH(tblCharDataMac[[#This Row],[Field]],$E$42:$E$69,0)),0))&amp;REPT("○",IFERROR(INDEX($V$42:$V$69,MATCH(tblCharDataMac[[#This Row],[Field]],$E$42:$E$69,0)),0))&amp;IF(IFERROR(INDEX($W$42:$W$69,MATCH(tblCharDataMac[[#This Row],[Field]],$E$42:$E$69,0)),0)=1,"†","")</f>
        <v>●●</v>
      </c>
      <c r="D43" s="18"/>
      <c r="E43" s="15" t="s">
        <v>26</v>
      </c>
      <c r="F43" s="18"/>
      <c r="G43" s="3"/>
      <c r="H43" s="18"/>
      <c r="I43" s="18"/>
      <c r="L43" s="4"/>
      <c r="M43" s="60"/>
      <c r="N43" s="4"/>
      <c r="O43" s="61">
        <f t="shared" ref="O43:O49" si="6">ROUNDDOWN(N43/2,0)</f>
        <v>0</v>
      </c>
      <c r="P43" s="60">
        <f t="shared" si="4"/>
        <v>0</v>
      </c>
      <c r="R43" s="61">
        <v>5</v>
      </c>
      <c r="T43" s="4"/>
      <c r="U43" s="4"/>
      <c r="V43" s="61">
        <f t="shared" si="5"/>
        <v>0</v>
      </c>
      <c r="W43" s="4"/>
      <c r="AI43" s="15" t="s">
        <v>32</v>
      </c>
      <c r="AJ43" s="61">
        <f t="shared" si="1"/>
        <v>0</v>
      </c>
      <c r="AK43" s="61">
        <f>IF(AJ43=0,IF(COUNTIF($E$42:$E$49,AI43)&gt;0,-3,-1),AJ43)</f>
        <v>-3</v>
      </c>
    </row>
    <row r="44" spans="1:37">
      <c r="A44" s="1" t="s">
        <v>43</v>
      </c>
      <c r="B44" t="str">
        <f>REPT("●",IFERROR(INDEX($P$42:$P$69,MATCH(tblCharDataMac[[#This Row],[Field]],$E$42:$E$69,0)),0))&amp;REPT("○",IFERROR(INDEX($V$42:$V$69,MATCH(tblCharDataMac[[#This Row],[Field]],$E$42:$E$69,0)),0))&amp;IF(IFERROR(INDEX($W$42:$W$69,MATCH(tblCharDataMac[[#This Row],[Field]],$E$42:$E$69,0)),0)=1,"†","")</f>
        <v/>
      </c>
      <c r="D44" s="18"/>
      <c r="E44" s="15" t="s">
        <v>27</v>
      </c>
      <c r="F44" s="18"/>
      <c r="G44" s="3"/>
      <c r="H44" s="18"/>
      <c r="I44" s="18"/>
      <c r="L44" s="4">
        <v>1</v>
      </c>
      <c r="M44" s="60"/>
      <c r="N44" s="4"/>
      <c r="O44" s="61">
        <f t="shared" si="6"/>
        <v>0</v>
      </c>
      <c r="P44" s="60">
        <f t="shared" si="4"/>
        <v>1</v>
      </c>
      <c r="R44" s="61">
        <v>5</v>
      </c>
      <c r="T44" s="4"/>
      <c r="U44" s="4"/>
      <c r="V44" s="61">
        <f t="shared" si="5"/>
        <v>0</v>
      </c>
      <c r="W44" s="4"/>
      <c r="Y44" s="15">
        <v>1</v>
      </c>
      <c r="Z44" s="61" t="s">
        <v>236</v>
      </c>
      <c r="AA44" s="60" t="str" cm="1">
        <f t="array" ref="AA44">IF(OR(Y44=0,Y44=""),"",IF(VLOOKUP(Z44,$AI$1:$AJ$58,2,FALSE)&gt;=Y44,INDEX(tblDisciplines[Name],MATCH(1,(tblDisciplines[Discipline]=Z44)*(tblDisciplines[Rank]=Y44),0)),""))</f>
        <v/>
      </c>
      <c r="AC44" s="60" t="str" cm="1">
        <f t="array" ref="AC44:AC52">IFERROR(_xlfn.VSTACK(IFERROR(_xlfn._xlws.FILTER(AA44:AA121,AA44:AA121&lt;&gt;""),""),IFERROR(_xlfn._xlws.SORT(_xlfn._xlws.FILTER(AA123:AA132,AA123:AA132&lt;&gt;"")),"")),"")</f>
        <v>Beast's Hackles</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Auspex ● | Beast's Hackles</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Free (1 V for Insight)  •  Pool: - - Composure &amp; Closed Book  •  Instant  •  Scene</v>
      </c>
      <c r="AF44" s="20" t="str">
        <f>IF(AC44="","",IFERROR(VLOOKUP(AC44,tblDisciplines[],12,FALSE),VLOOKUP(AC44,tblPacts[],5,FALSE)))</f>
        <v>Add Auspex dots to any rolls to resist surprise. Access to Tier 1 Auspex Insight questions.</v>
      </c>
      <c r="AI44" s="15" t="s">
        <v>353</v>
      </c>
      <c r="AJ44" s="61">
        <f t="shared" si="1"/>
        <v>5</v>
      </c>
      <c r="AK44" s="61">
        <f>AJ44</f>
        <v>5</v>
      </c>
    </row>
    <row r="45" spans="1:37">
      <c r="A45" s="1" t="s">
        <v>44</v>
      </c>
      <c r="B45" t="str">
        <f>REPT("●",IFERROR(INDEX($P$42:$P$69,MATCH(tblCharDataMac[[#This Row],[Field]],$E$42:$E$69,0)),0))&amp;REPT("○",IFERROR(INDEX($V$42:$V$69,MATCH(tblCharDataMac[[#This Row],[Field]],$E$42:$E$69,0)),0))&amp;IF(IFERROR(INDEX($W$42:$W$69,MATCH(tblCharDataMac[[#This Row],[Field]],$E$42:$E$69,0)),0)=1,"†","")</f>
        <v>●●</v>
      </c>
      <c r="D45" s="18"/>
      <c r="E45" s="15" t="s">
        <v>28</v>
      </c>
      <c r="F45" s="18"/>
      <c r="G45" s="3"/>
      <c r="H45" s="18"/>
      <c r="I45" s="18"/>
      <c r="L45" s="4">
        <v>2</v>
      </c>
      <c r="M45" s="60"/>
      <c r="N45" s="4"/>
      <c r="O45" s="61">
        <f t="shared" si="6"/>
        <v>0</v>
      </c>
      <c r="P45" s="60">
        <f t="shared" si="4"/>
        <v>2</v>
      </c>
      <c r="R45" s="61">
        <v>5</v>
      </c>
      <c r="T45" s="4"/>
      <c r="U45" s="4"/>
      <c r="V45" s="61">
        <f t="shared" si="5"/>
        <v>0</v>
      </c>
      <c r="W45" s="4">
        <v>1</v>
      </c>
      <c r="Y45" s="15">
        <v>2</v>
      </c>
      <c r="Z45" s="61" t="s">
        <v>236</v>
      </c>
      <c r="AA45" s="60" t="str" cm="1">
        <f t="array" ref="AA45">IF(OR(Y45=0,Y45=""),"",IF(VLOOKUP(Z45,$AI$1:$AJ$58,2,FALSE)&gt;=Y45,INDEX(tblDisciplines[Name],MATCH(1,(tblDisciplines[Discipline]=Z45)*(tblDisciplines[Rank]=Y45),0)),""))</f>
        <v/>
      </c>
      <c r="AC45" s="60" t="str">
        <v>Uncanny Perception</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Auspex ●● | Uncanny Perception</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Free (1 V for Insight) Must perceive target  •  Pool: -  •  Instant  •  Scene</v>
      </c>
      <c r="AF45" s="20" t="str">
        <f>IF(AC45="","",IFERROR(VLOOKUP(AC45,tblDisciplines[],12,FALSE),VLOOKUP(AC45,tblPacts[],5,FALSE)))</f>
        <v>Persistent Acute Senses Merit, doubles actual merit. Access to Tier 2 Auspex Insight questions.</v>
      </c>
      <c r="AI45" s="15" t="s">
        <v>46</v>
      </c>
      <c r="AJ45" s="61">
        <f t="shared" si="1"/>
        <v>0</v>
      </c>
      <c r="AK45" s="61">
        <f>IF(AJ45=0,IF(COUNTIF($E$42:$E$49,AI45)&gt;0,-3,-1),AJ45)</f>
        <v>-1</v>
      </c>
    </row>
    <row r="46" spans="1:37">
      <c r="A46" s="1" t="s">
        <v>45</v>
      </c>
      <c r="B46" t="str">
        <f>REPT("●",IFERROR(INDEX($P$42:$P$69,MATCH(tblCharDataMac[[#This Row],[Field]],$E$42:$E$69,0)),0))&amp;REPT("○",IFERROR(INDEX($V$42:$V$69,MATCH(tblCharDataMac[[#This Row],[Field]],$E$42:$E$69,0)),0))&amp;IF(IFERROR(INDEX($W$42:$W$69,MATCH(tblCharDataMac[[#This Row],[Field]],$E$42:$E$69,0)),0)=1,"†","")</f>
        <v/>
      </c>
      <c r="D46" s="18"/>
      <c r="E46" s="15" t="s">
        <v>29</v>
      </c>
      <c r="F46" s="18"/>
      <c r="G46" s="3"/>
      <c r="H46" s="18"/>
      <c r="I46" s="18"/>
      <c r="L46" s="4"/>
      <c r="M46" s="60"/>
      <c r="N46" s="4"/>
      <c r="O46" s="61">
        <f t="shared" si="6"/>
        <v>0</v>
      </c>
      <c r="P46" s="60">
        <f t="shared" si="4"/>
        <v>0</v>
      </c>
      <c r="R46" s="61">
        <v>5</v>
      </c>
      <c r="T46" s="4"/>
      <c r="U46" s="4"/>
      <c r="V46" s="61">
        <f t="shared" si="5"/>
        <v>0</v>
      </c>
      <c r="W46" s="4"/>
      <c r="Y46" s="15">
        <v>3</v>
      </c>
      <c r="Z46" s="61" t="s">
        <v>236</v>
      </c>
      <c r="AA46" s="60" t="str" cm="1">
        <f t="array" ref="AA46">IF(OR(Y46=0,Y46=""),"",IF(VLOOKUP(Z46,$AI$1:$AJ$58,2,FALSE)&gt;=Y46,INDEX(tblDisciplines[Name],MATCH(1,(tblDisciplines[Discipline]=Z46)*(tblDisciplines[Rank]=Y46),0)),""))</f>
        <v/>
      </c>
      <c r="AC46" s="60" t="str">
        <v>Spirit's Touch</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Auspex ●●● | Spirit's Touch</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Free (1 WP for clash / 1 V for Insight)  •  Pool: - v Resolve + Stealth + Obf  •  Reflexive  •  Immediate</v>
      </c>
      <c r="AF46" s="20" t="str">
        <f>IF(AC46="","",IFERROR(VLOOKUP(AC46,tblDisciplines[],12,FALSE),VLOOKUP(AC46,tblPacts[],5,FALSE)))</f>
        <v xml:space="preserve">Passively scan for anyone under Obfuscate 1 or 3, can provoke a challenge. Access to Tier 3 Auspex Insight questions. </v>
      </c>
      <c r="AI46" s="15" t="s">
        <v>354</v>
      </c>
      <c r="AJ46" s="61">
        <f t="shared" ca="1" si="1"/>
        <v>14</v>
      </c>
      <c r="AK46" s="61">
        <f ca="1">AJ46</f>
        <v>14</v>
      </c>
    </row>
    <row r="47" spans="1:37">
      <c r="A47" s="1" t="s">
        <v>46</v>
      </c>
      <c r="B47" t="str">
        <f>REPT("●",IFERROR(INDEX($P$42:$P$69,MATCH(tblCharDataMac[[#This Row],[Field]],$E$42:$E$69,0)),0))&amp;REPT("○",IFERROR(INDEX($V$42:$V$69,MATCH(tblCharDataMac[[#This Row],[Field]],$E$42:$E$69,0)),0))&amp;IF(IFERROR(INDEX($W$42:$W$69,MATCH(tblCharDataMac[[#This Row],[Field]],$E$42:$E$69,0)),0)=1,"†","")</f>
        <v/>
      </c>
      <c r="D47" s="18"/>
      <c r="E47" s="15" t="s">
        <v>30</v>
      </c>
      <c r="F47" s="18"/>
      <c r="G47" s="3"/>
      <c r="H47" s="18"/>
      <c r="I47" s="18"/>
      <c r="L47" s="4">
        <v>1</v>
      </c>
      <c r="M47" s="60"/>
      <c r="N47" s="4"/>
      <c r="O47" s="61">
        <f t="shared" si="6"/>
        <v>0</v>
      </c>
      <c r="P47" s="60">
        <f t="shared" si="4"/>
        <v>1</v>
      </c>
      <c r="R47" s="61">
        <v>5</v>
      </c>
      <c r="T47" s="4"/>
      <c r="U47" s="4"/>
      <c r="V47" s="61">
        <f t="shared" si="5"/>
        <v>0</v>
      </c>
      <c r="W47" s="4"/>
      <c r="Y47" s="15">
        <v>4</v>
      </c>
      <c r="Z47" s="61" t="s">
        <v>236</v>
      </c>
      <c r="AA47" s="60" t="str" cm="1">
        <f t="array" ref="AA47">IF(OR(Y47=0,Y47=""),"",IF(VLOOKUP(Z47,$AI$1:$AJ$58,2,FALSE)&gt;=Y47,INDEX(tblDisciplines[Name],MATCH(1,(tblDisciplines[Discipline]=Z47)*(tblDisciplines[Rank]=Y47),0)),""))</f>
        <v/>
      </c>
      <c r="AC47" s="60" t="str">
        <v>Celerity 2</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Celerity ●●</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Cost: 1 V per effect  •  Pool: -  •  Reflexive  •  1 turn</v>
      </c>
      <c r="AF47" s="20" t="str">
        <f>IF(AC47="","",IFERROR(VLOOKUP(AC47,tblDisciplines[],12,FALSE),VLOOKUP(AC47,tblPacts[],5,FALSE)))</f>
        <v>Persistent improved Defence or Dodge. Activate for supernatural speed benefits. Unnatural Grace: add Celerity dots as bonus dice to non-combat speed-based pools.</v>
      </c>
      <c r="AI47" s="15" t="s">
        <v>21</v>
      </c>
      <c r="AJ47" s="61">
        <f t="shared" si="1"/>
        <v>2</v>
      </c>
      <c r="AK47" s="61">
        <f>AJ47+IFERROR(INDEX($V$26:$V$38,MATCH(AI47,$E$26:$E$38,0)),0)</f>
        <v>2</v>
      </c>
    </row>
    <row r="48" spans="1:37">
      <c r="A48" s="1" t="s">
        <v>47</v>
      </c>
      <c r="B48" t="str">
        <f>REPT("●",IFERROR(INDEX($P$42:$P$69,MATCH(tblCharDataMac[[#This Row],[Field]],$E$42:$E$69,0)),0))&amp;REPT("○",IFERROR(INDEX($V$42:$V$69,MATCH(tblCharDataMac[[#This Row],[Field]],$E$42:$E$69,0)),0))&amp;IF(IFERROR(INDEX($W$42:$W$69,MATCH(tblCharDataMac[[#This Row],[Field]],$E$42:$E$69,0)),0)=1,"†","")</f>
        <v>●●</v>
      </c>
      <c r="D48" s="18"/>
      <c r="E48" s="15" t="s">
        <v>31</v>
      </c>
      <c r="F48" s="18"/>
      <c r="G48" s="3"/>
      <c r="H48" s="18"/>
      <c r="I48" s="18"/>
      <c r="L48" s="4"/>
      <c r="M48" s="60"/>
      <c r="N48" s="4"/>
      <c r="O48" s="61">
        <f t="shared" si="6"/>
        <v>0</v>
      </c>
      <c r="P48" s="60">
        <f t="shared" si="4"/>
        <v>0</v>
      </c>
      <c r="R48" s="61">
        <v>5</v>
      </c>
      <c r="T48" s="4"/>
      <c r="U48" s="4"/>
      <c r="V48" s="61">
        <f t="shared" si="5"/>
        <v>0</v>
      </c>
      <c r="W48" s="4"/>
      <c r="Y48" s="15">
        <v>5</v>
      </c>
      <c r="Z48" s="61" t="s">
        <v>236</v>
      </c>
      <c r="AA48" s="60" t="str" cm="1">
        <f t="array" ref="AA48">IF(OR(Y48=0,Y48=""),"",IF(VLOOKUP(Z48,$AI$1:$AJ$58,2,FALSE)&gt;=Y48,INDEX(tblDisciplines[Name],MATCH(1,(tblDisciplines[Discipline]=Z48)*(tblDisciplines[Rank]=Y48),0)),""))</f>
        <v/>
      </c>
      <c r="AC48" s="60" t="str">
        <v>Face in the Crowd</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Obfuscate ● | Face in the Crowd</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Cost: -  •  Pool: -  •  Instant  •  Scene</v>
      </c>
      <c r="AF48" s="20" t="str">
        <f>IF(AC48="","",IFERROR(VLOOKUP(AC48,tblDisciplines[],12,FALSE),VLOOKUP(AC48,tblPacts[],5,FALSE)))</f>
        <v>Blend into surroundings, visible but unnoticeable. Predatory aura fully on or off. Leaving combat: Wits + Composure - Obfuscate to notice; auto Clash of Wills vs Auspex.</v>
      </c>
      <c r="AI48" s="15" t="s">
        <v>38</v>
      </c>
      <c r="AJ48" s="61">
        <f t="shared" si="1"/>
        <v>2</v>
      </c>
      <c r="AK48" s="61">
        <f>IF(AJ48=0,IF(COUNTIF($E$42:$E$49,AI48)&gt;0,-3,-1),AJ48)</f>
        <v>2</v>
      </c>
    </row>
    <row r="49" spans="1:37">
      <c r="A49" s="1" t="s">
        <v>48</v>
      </c>
      <c r="B49" t="str">
        <f>REPT("●",IFERROR(INDEX($P$42:$P$69,MATCH(tblCharDataMac[[#This Row],[Field]],$E$42:$E$69,0)),0))&amp;REPT("○",IFERROR(INDEX($V$42:$V$69,MATCH(tblCharDataMac[[#This Row],[Field]],$E$42:$E$69,0)),0))&amp;IF(IFERROR(INDEX($W$42:$W$69,MATCH(tblCharDataMac[[#This Row],[Field]],$E$42:$E$69,0)),0)=1,"†","")</f>
        <v>●</v>
      </c>
      <c r="D49" s="18"/>
      <c r="E49" s="15" t="s">
        <v>32</v>
      </c>
      <c r="F49" s="18"/>
      <c r="G49" s="3"/>
      <c r="H49" s="18"/>
      <c r="I49" s="18"/>
      <c r="L49" s="4"/>
      <c r="M49" s="60"/>
      <c r="N49" s="4"/>
      <c r="O49" s="61">
        <f t="shared" si="6"/>
        <v>0</v>
      </c>
      <c r="P49" s="60">
        <f t="shared" si="4"/>
        <v>0</v>
      </c>
      <c r="R49" s="61">
        <v>5</v>
      </c>
      <c r="T49" s="4"/>
      <c r="U49" s="4"/>
      <c r="V49" s="61">
        <f t="shared" si="5"/>
        <v>0</v>
      </c>
      <c r="W49" s="4"/>
      <c r="Y49" s="15">
        <v>1</v>
      </c>
      <c r="Z49" s="61" t="s">
        <v>237</v>
      </c>
      <c r="AA49" s="60" t="str" cm="1">
        <f t="array" ref="AA49">IF(OR(Y49=0,Y49=""),"",IF(VLOOKUP(Z49,$AI$1:$AJ$58,2,FALSE)&gt;=Y49,INDEX(tblDisciplines[Name],MATCH(1,(tblDisciplines[Discipline]=Z49)*(tblDisciplines[Rank]=Y49),0)),""))</f>
        <v>Beast's Hackles</v>
      </c>
      <c r="AC49" s="60" t="str">
        <v>Unmarked Grave</v>
      </c>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Protean ● | Unmarked Grave</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Cost: Varies  •  Pool: -  •  Instant  •  Indefinite</v>
      </c>
      <c r="AF49" s="20" t="str">
        <f>IF(AC49="","",IFERROR(VLOOKUP(AC49,tblDisciplines[],12,FALSE),VLOOKUP(AC49,tblPacts[],5,FALSE)))</f>
        <v>Merge with soil.</v>
      </c>
      <c r="AI49" s="15" t="s">
        <v>47</v>
      </c>
      <c r="AJ49" s="61">
        <f t="shared" si="1"/>
        <v>2</v>
      </c>
      <c r="AK49" s="61">
        <f>IF(AJ49=0,IF(COUNTIF($E$42:$E$49,AI49)&gt;0,-3,-1),AJ49)</f>
        <v>2</v>
      </c>
    </row>
    <row r="50" spans="1:37">
      <c r="A50" s="1" t="s">
        <v>49</v>
      </c>
      <c r="B50" t="str">
        <f ca="1">REPT("●",VLOOKUP(tblCharDataMac[[#This Row],[Field]],INDIRECT($AH$1),2,FALSE)) &amp; REPT("○",10-VLOOKUP(tblCharDataMac[[#This Row],[Field]],INDIRECT($AH$1),2,FALSE)) &amp; REPT("○",10-VLOOKUP(tblCharDataMac[[#This Row],[Field]],INDIRECT($AH$1),2,FALSE))</f>
        <v>●●○○○○○○○○○○○○○○○○</v>
      </c>
      <c r="Y50" s="15">
        <v>2</v>
      </c>
      <c r="Z50" s="61" t="s">
        <v>237</v>
      </c>
      <c r="AA50" s="60" t="str" cm="1">
        <f t="array" ref="AA50">IF(OR(Y50=0,Y50=""),"",IF(VLOOKUP(Z50,$AI$1:$AJ$58,2,FALSE)&gt;=Y50,INDEX(tblDisciplines[Name],MATCH(1,(tblDisciplines[Discipline]=Z50)*(tblDisciplines[Rank]=Y50),0)),""))</f>
        <v>Uncanny Perception</v>
      </c>
      <c r="AC50" s="60" t="str">
        <v>Vigour 3</v>
      </c>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Vigour ●●●</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Cost: 1 V per effect  •  Pool: -  •  Reflexive  •  1 turn</v>
      </c>
      <c r="AF50" s="20" t="str">
        <f>IF(AC50="","",IFERROR(VLOOKUP(AC50,tblDisciplines[],12,FALSE),VLOOKUP(AC50,tblPacts[],5,FALSE)))</f>
        <v>Improve Strength. Add Vigour dots as bonus successes only if at least one net success achieved.</v>
      </c>
      <c r="AI50" s="15" t="s">
        <v>19</v>
      </c>
      <c r="AJ50" s="61">
        <f t="shared" si="1"/>
        <v>3</v>
      </c>
      <c r="AK50" s="61">
        <f>AJ50+IFERROR(INDEX($V$26:$V$38,MATCH(AI50,$E$26:$E$38,0)),0)</f>
        <v>6</v>
      </c>
    </row>
    <row r="51" spans="1:37">
      <c r="A51" s="1" t="s">
        <v>50</v>
      </c>
      <c r="B51">
        <f>P72</f>
        <v>2</v>
      </c>
      <c r="D51" s="16" t="s">
        <v>1453</v>
      </c>
      <c r="E51" s="17"/>
      <c r="F51" s="17"/>
      <c r="G51" s="17" t="s">
        <v>1467</v>
      </c>
      <c r="H51" s="16" t="s">
        <v>1446</v>
      </c>
      <c r="I51" s="3" t="s">
        <v>1565</v>
      </c>
      <c r="L51" s="60">
        <f>IF(I51="",0,VLOOKUP(I51,tblPriority[#Data],3,FALSE))-SUM(L52:L59)</f>
        <v>0</v>
      </c>
      <c r="Y51" s="15">
        <v>3</v>
      </c>
      <c r="Z51" s="61" t="s">
        <v>237</v>
      </c>
      <c r="AA51" s="60" t="str" cm="1">
        <f t="array" ref="AA51">IF(OR(Y51=0,Y51=""),"",IF(VLOOKUP(Z51,$AI$1:$AJ$58,2,FALSE)&gt;=Y51,INDEX(tblDisciplines[Name],MATCH(1,(tblDisciplines[Discipline]=Z51)*(tblDisciplines[Rank]=Y51),0)),""))</f>
        <v>Spirit's Touch</v>
      </c>
      <c r="AC51" s="60" t="str">
        <v>Vitae Spines</v>
      </c>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Devotion  | Vitae Spines</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Cost: 1 V per effect Norvegi Bloodline  •  Pool: -  •  Reflexive  •  Scene</v>
      </c>
      <c r="AF51" s="20" t="str">
        <f>IF(AC51="","",IFERROR(VLOOKUP(AC51,tblDisciplines[],12,FALSE),VLOOKUP(AC51,tblPacts[],5,FALSE)))</f>
        <v>Choose one: feed through fingertip spines as if by fangs (requires touch or grapple; leaves dry, calloused skin); or extend organic blades (1L supernatural weapon, Strength + Brawl to attack, -2 to Dexterity-based manipulation; fine manipulation impossible).</v>
      </c>
      <c r="AI51" s="15" t="s">
        <v>48</v>
      </c>
      <c r="AJ51" s="61">
        <f t="shared" si="1"/>
        <v>1</v>
      </c>
      <c r="AK51" s="61">
        <f>IF(AJ51=0,IF(COUNTIF($E$42:$E$49,AI51)&gt;0,-3,-1),AJ51)</f>
        <v>1</v>
      </c>
    </row>
    <row r="52" spans="1:37">
      <c r="A52" s="1" t="s">
        <v>51</v>
      </c>
      <c r="B52" t="str">
        <f>_xlfn.IFNA(VLOOKUP(P72,tblBloodPotency[#Data],5,FALSE),"")</f>
        <v>†</v>
      </c>
      <c r="D52" s="18"/>
      <c r="E52" s="15" t="s">
        <v>33</v>
      </c>
      <c r="F52" s="18"/>
      <c r="G52" s="3"/>
      <c r="H52" s="18"/>
      <c r="I52" s="18"/>
      <c r="L52" s="4">
        <v>3</v>
      </c>
      <c r="M52" s="60"/>
      <c r="N52" s="4"/>
      <c r="O52" s="61">
        <f>ROUNDDOWN(N52/2,0)</f>
        <v>0</v>
      </c>
      <c r="P52" s="60">
        <f t="shared" ref="P52:P59" si="7">MIN(SUM(L52,M52,O52),R52)</f>
        <v>3</v>
      </c>
      <c r="R52" s="61">
        <v>5</v>
      </c>
      <c r="T52" s="4"/>
      <c r="U52" s="4"/>
      <c r="V52" s="61">
        <f t="shared" ref="V52:V59" si="8">U52</f>
        <v>0</v>
      </c>
      <c r="W52" s="4"/>
      <c r="Y52" s="15">
        <v>4</v>
      </c>
      <c r="Z52" s="61" t="s">
        <v>237</v>
      </c>
      <c r="AA52" s="60" t="str" cm="1">
        <f t="array" ref="AA52">IF(OR(Y52=0,Y52=""),"",IF(VLOOKUP(Z52,$AI$1:$AJ$58,2,FALSE)&gt;=Y52,INDEX(tblDisciplines[Name],MATCH(1,(tblDisciplines[Discipline]=Z52)*(tblDisciplines[Rank]=Y52),0)),""))</f>
        <v/>
      </c>
      <c r="AC52" s="60" t="str">
        <v/>
      </c>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
      </c>
      <c r="AF52" s="20" t="str">
        <f>IF(AC52="","",IFERROR(VLOOKUP(AC52,tblDisciplines[],12,FALSE),VLOOKUP(AC52,tblPacts[],5,FALSE)))</f>
        <v/>
      </c>
      <c r="AI52" s="15" t="s">
        <v>39</v>
      </c>
      <c r="AJ52" s="61">
        <f t="shared" si="1"/>
        <v>0</v>
      </c>
      <c r="AK52" s="61">
        <f>IF(AJ52=0,IF(COUNTIF($E$42:$E$49,AI52)&gt;0,-3,-1),AJ52)</f>
        <v>-1</v>
      </c>
    </row>
    <row r="53" spans="1:37">
      <c r="A53" s="1" t="s">
        <v>52</v>
      </c>
      <c r="B53" t="str">
        <f ca="1">REPT("□",P221) &amp; REPT("■",15-P221)</f>
        <v>□□□□□□□■■■■■■■■</v>
      </c>
      <c r="D53" s="18" t="s">
        <v>1673</v>
      </c>
      <c r="E53" s="15" t="s">
        <v>34</v>
      </c>
      <c r="F53" s="18"/>
      <c r="G53" s="3" t="s">
        <v>1182</v>
      </c>
      <c r="H53" s="18"/>
      <c r="I53" s="18"/>
      <c r="L53" s="4">
        <v>4</v>
      </c>
      <c r="M53" s="60"/>
      <c r="N53" s="4"/>
      <c r="O53" s="61">
        <f t="shared" ref="O53:O59" si="9">ROUNDDOWN(N53/2,0)</f>
        <v>0</v>
      </c>
      <c r="P53" s="60">
        <f t="shared" si="7"/>
        <v>4</v>
      </c>
      <c r="R53" s="61">
        <v>5</v>
      </c>
      <c r="T53" s="4"/>
      <c r="U53" s="4">
        <v>1</v>
      </c>
      <c r="V53" s="61">
        <f t="shared" si="8"/>
        <v>1</v>
      </c>
      <c r="W53" s="4">
        <v>1</v>
      </c>
      <c r="Y53" s="15">
        <v>5</v>
      </c>
      <c r="Z53" s="61" t="s">
        <v>237</v>
      </c>
      <c r="AA53" s="60" t="str" cm="1">
        <f t="array" ref="AA53">IF(OR(Y53=0,Y53=""),"",IF(VLOOKUP(Z53,$AI$1:$AJ$58,2,FALSE)&gt;=Y53,INDEX(tblDisciplines[Name],MATCH(1,(tblDisciplines[Discipline]=Z53)*(tblDisciplines[Rank]=Y53),0)),""))</f>
        <v/>
      </c>
      <c r="AC53" s="60"/>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
      </c>
      <c r="AF53" s="20" t="str">
        <f>IF(AC53="","",IFERROR(VLOOKUP(AC53,tblDisciplines[],12,FALSE),VLOOKUP(AC53,tblPacts[],5,FALSE)))</f>
        <v/>
      </c>
      <c r="AI53" s="15" t="s">
        <v>247</v>
      </c>
      <c r="AJ53" s="61">
        <f t="shared" si="1"/>
        <v>0</v>
      </c>
      <c r="AK53" s="61">
        <f>AJ53</f>
        <v>0</v>
      </c>
    </row>
    <row r="54" spans="1:37">
      <c r="A54" s="1" t="s">
        <v>53</v>
      </c>
      <c r="B54" t="str">
        <f>_xlfn.CONCAT(P74-L224," / ",P74)</f>
        <v>6 / 6</v>
      </c>
      <c r="D54" s="18"/>
      <c r="E54" s="15" t="s">
        <v>35</v>
      </c>
      <c r="F54" s="18"/>
      <c r="G54" s="3"/>
      <c r="H54" s="18"/>
      <c r="I54" s="18"/>
      <c r="L54" s="4"/>
      <c r="M54" s="60"/>
      <c r="N54" s="4"/>
      <c r="O54" s="61">
        <f t="shared" si="9"/>
        <v>0</v>
      </c>
      <c r="P54" s="60">
        <f t="shared" si="7"/>
        <v>0</v>
      </c>
      <c r="R54" s="61">
        <v>5</v>
      </c>
      <c r="T54" s="4"/>
      <c r="U54" s="4"/>
      <c r="V54" s="61">
        <f t="shared" si="8"/>
        <v>0</v>
      </c>
      <c r="W54" s="4"/>
      <c r="Y54" s="15">
        <f>P167</f>
        <v>2</v>
      </c>
      <c r="Z54" s="61" t="s">
        <v>238</v>
      </c>
      <c r="AA54" s="60" t="str" cm="1">
        <f t="array" ref="AA54">IF(OR(Y54=0,Y54=""),"",IF(VLOOKUP(Z54,$AI$1:$AJ$58,2,FALSE)&gt;=Y54,INDEX(tblDisciplines[Name],MATCH(1,(tblDisciplines[Discipline]=Z54)*(tblDisciplines[Rank]=Y54),0)),""))</f>
        <v>Celerity 2</v>
      </c>
      <c r="AC54" s="60"/>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
      </c>
      <c r="AF54" s="20" t="str">
        <f>IF(AC54="","",IFERROR(VLOOKUP(AC54,tblDisciplines[],12,FALSE),VLOOKUP(AC54,tblPacts[],5,FALSE)))</f>
        <v/>
      </c>
      <c r="AI54" s="15" t="s">
        <v>252</v>
      </c>
      <c r="AJ54" s="61">
        <f t="shared" si="1"/>
        <v>0</v>
      </c>
      <c r="AK54" s="61">
        <f>AJ54</f>
        <v>0</v>
      </c>
    </row>
    <row r="55" spans="1:37">
      <c r="A55" s="1" t="s">
        <v>54</v>
      </c>
      <c r="B55" t="str">
        <f>REPT("□",P74) &amp; REPT("■",10-P74)</f>
        <v>□□□□□□■■■■</v>
      </c>
      <c r="D55" s="18"/>
      <c r="E55" s="15" t="s">
        <v>36</v>
      </c>
      <c r="F55" s="18"/>
      <c r="G55" s="3"/>
      <c r="H55" s="18"/>
      <c r="I55" s="18"/>
      <c r="L55" s="4"/>
      <c r="M55" s="60"/>
      <c r="N55" s="4"/>
      <c r="O55" s="61">
        <f t="shared" si="9"/>
        <v>0</v>
      </c>
      <c r="P55" s="60">
        <f t="shared" si="7"/>
        <v>0</v>
      </c>
      <c r="R55" s="61">
        <v>5</v>
      </c>
      <c r="T55" s="4"/>
      <c r="U55" s="4"/>
      <c r="V55" s="61">
        <f t="shared" si="8"/>
        <v>0</v>
      </c>
      <c r="W55" s="4"/>
      <c r="Y55" s="15">
        <v>1</v>
      </c>
      <c r="Z55" s="61" t="s">
        <v>239</v>
      </c>
      <c r="AA55" s="60" t="str" cm="1">
        <f t="array" ref="AA55">IF(OR(Y55=0,Y55=""),"",IF(VLOOKUP(Z55,$AI$1:$AJ$58,2,FALSE)&gt;=Y55,INDEX(tblDisciplines[Name],MATCH(1,(tblDisciplines[Discipline]=Z55)*(tblDisciplines[Rank]=Y55),0)),""))</f>
        <v/>
      </c>
      <c r="AC55" s="60"/>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
      </c>
      <c r="AF55" s="20" t="str">
        <f>IF(AC55="","",IFERROR(VLOOKUP(AC55,tblDisciplines[],12,FALSE),VLOOKUP(AC55,tblPacts[],5,FALSE)))</f>
        <v/>
      </c>
      <c r="AI55" s="15" t="s">
        <v>245</v>
      </c>
      <c r="AJ55" s="61">
        <f t="shared" si="1"/>
        <v>3</v>
      </c>
      <c r="AK55" s="61">
        <f>AJ55+IFERROR(INDEX($V$26:$V$38,MATCH(AI55,$E$26:$E$38,0)),0)</f>
        <v>3</v>
      </c>
    </row>
    <row r="56" spans="1:37">
      <c r="A56" s="1" t="s">
        <v>55</v>
      </c>
      <c r="B56" t="str">
        <f ca="1">_xlfn.CONCAT(P75-L223," / ",P75)</f>
        <v>11 / 11</v>
      </c>
      <c r="D56" s="19"/>
      <c r="E56" s="15" t="s">
        <v>37</v>
      </c>
      <c r="F56" s="18"/>
      <c r="G56" s="3"/>
      <c r="H56" s="18"/>
      <c r="I56" s="18"/>
      <c r="L56" s="4">
        <v>2</v>
      </c>
      <c r="M56" s="60"/>
      <c r="N56" s="4"/>
      <c r="O56" s="61">
        <f t="shared" si="9"/>
        <v>0</v>
      </c>
      <c r="P56" s="60">
        <f t="shared" si="7"/>
        <v>2</v>
      </c>
      <c r="R56" s="61">
        <v>5</v>
      </c>
      <c r="T56" s="4"/>
      <c r="U56" s="4"/>
      <c r="V56" s="61">
        <f t="shared" si="8"/>
        <v>0</v>
      </c>
      <c r="W56" s="4"/>
      <c r="Y56" s="15">
        <v>2</v>
      </c>
      <c r="Z56" s="61" t="s">
        <v>239</v>
      </c>
      <c r="AA56" s="60" t="str" cm="1">
        <f t="array" ref="AA56">IF(OR(Y56=0,Y56=""),"",IF(VLOOKUP(Z56,$AI$1:$AJ$58,2,FALSE)&gt;=Y56,INDEX(tblDisciplines[Name],MATCH(1,(tblDisciplines[Discipline]=Z56)*(tblDisciplines[Rank]=Y56),0)),""))</f>
        <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1"/>
        <v>0</v>
      </c>
      <c r="AK56" s="61">
        <f>IF(AJ56=0,IF(COUNTIF($E$42:$E$49,AI56)&gt;0,-3,-1),AJ56)</f>
        <v>-1</v>
      </c>
    </row>
    <row r="57" spans="1:37">
      <c r="A57" s="1" t="s">
        <v>56</v>
      </c>
      <c r="B57" t="str">
        <f ca="1">REPT("□",P75-L223) &amp; REPT("■",20-P75+L223)</f>
        <v>□□□□□□□□□□□■■■■■■■■■</v>
      </c>
      <c r="D57" s="18" t="s">
        <v>1673</v>
      </c>
      <c r="E57" s="15" t="s">
        <v>38</v>
      </c>
      <c r="F57" s="18"/>
      <c r="G57" s="3" t="s">
        <v>1183</v>
      </c>
      <c r="H57" s="18"/>
      <c r="I57" s="18"/>
      <c r="L57" s="4">
        <v>2</v>
      </c>
      <c r="M57" s="60"/>
      <c r="N57" s="4"/>
      <c r="O57" s="61">
        <f t="shared" si="9"/>
        <v>0</v>
      </c>
      <c r="P57" s="60">
        <f t="shared" si="7"/>
        <v>2</v>
      </c>
      <c r="R57" s="61">
        <v>5</v>
      </c>
      <c r="T57" s="4"/>
      <c r="U57" s="4"/>
      <c r="V57" s="61">
        <f t="shared" si="8"/>
        <v>0</v>
      </c>
      <c r="W57" s="4">
        <v>1</v>
      </c>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1"/>
        <v>6</v>
      </c>
      <c r="AK57" s="61">
        <f>AJ57</f>
        <v>6</v>
      </c>
    </row>
    <row r="58" spans="1:37">
      <c r="A58" s="1" t="s">
        <v>57</v>
      </c>
      <c r="B58">
        <f ca="1">VLOOKUP(VLOOKUP("Blood Potency", INDIRECT($AH$1),2,FALSE),tblBloodPotency[#Data],3,FALSE)</f>
        <v>2</v>
      </c>
      <c r="D58" s="19"/>
      <c r="E58" s="15" t="s">
        <v>39</v>
      </c>
      <c r="F58" s="18"/>
      <c r="G58" s="3"/>
      <c r="H58" s="18"/>
      <c r="I58" s="18"/>
      <c r="L58" s="4"/>
      <c r="M58" s="60"/>
      <c r="N58" s="4"/>
      <c r="O58" s="61">
        <f t="shared" si="9"/>
        <v>0</v>
      </c>
      <c r="P58" s="60">
        <f t="shared" si="7"/>
        <v>0</v>
      </c>
      <c r="R58" s="61">
        <v>5</v>
      </c>
      <c r="T58" s="4"/>
      <c r="U58" s="4"/>
      <c r="V58" s="61">
        <f t="shared" si="8"/>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1"/>
        <v>3</v>
      </c>
      <c r="AK58" s="61">
        <f>AJ58+IFERROR(INDEX($V$26:$V$38,MATCH(AI58,$E$26:$E$38,0)),0)</f>
        <v>3</v>
      </c>
    </row>
    <row r="59" spans="1:37">
      <c r="A59" s="1" t="s">
        <v>58</v>
      </c>
      <c r="B59" t="str">
        <f ca="1">VLOOKUP(VLOOKUP("Blood Potency", INDIRECT($AH$1),2,FALSE),tblBloodPotency[#Data],4,FALSE)</f>
        <v>Animals</v>
      </c>
      <c r="D59" s="19"/>
      <c r="E59" s="15" t="s">
        <v>40</v>
      </c>
      <c r="F59" s="18"/>
      <c r="G59" s="3"/>
      <c r="H59" s="18"/>
      <c r="I59" s="18"/>
      <c r="L59" s="4"/>
      <c r="M59" s="60"/>
      <c r="N59" s="4"/>
      <c r="O59" s="61">
        <f t="shared" si="9"/>
        <v>0</v>
      </c>
      <c r="P59" s="60">
        <f t="shared" si="7"/>
        <v>0</v>
      </c>
      <c r="R59" s="61">
        <v>5</v>
      </c>
      <c r="T59" s="4"/>
      <c r="U59" s="4"/>
      <c r="V59" s="61">
        <f t="shared" si="8"/>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0">IFERROR(IF(VLOOKUP(SUBSTITUTE(A60," Spec",""),$E$42:$G$69,3,FALSE)=0,"",VLOOKUP(SUBSTITUTE(A60," Spec",""),$E$42:$G$69,3,FALSE)),"")</f>
        <v/>
      </c>
      <c r="Y60" s="15">
        <v>1</v>
      </c>
      <c r="Z60" s="61" t="s">
        <v>240</v>
      </c>
      <c r="AA60" s="60" t="str" cm="1">
        <f t="array" ref="AA60">IF(OR(Y60=0,Y60=""),"",IF(VLOOKUP(Z60,$AI$1:$AJ$58,2,FALSE)&gt;=Y60,INDEX(tblDisciplines[Name],MATCH(1,(tblDisciplines[Discipline]=Z60)*(tblDisciplines[Rank]=Y60),0)),""))</f>
        <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0"/>
        <v/>
      </c>
      <c r="D61" s="16" t="s">
        <v>1459</v>
      </c>
      <c r="E61" s="17"/>
      <c r="F61" s="17"/>
      <c r="G61" s="17" t="s">
        <v>1467</v>
      </c>
      <c r="H61" s="16" t="s">
        <v>1446</v>
      </c>
      <c r="I61" s="3" t="s">
        <v>1567</v>
      </c>
      <c r="L61" s="60">
        <f>IF(I61="",0,VLOOKUP(I61,tblPriority[#Data],3,FALSE))-SUM(L62:L69)</f>
        <v>0</v>
      </c>
      <c r="Y61" s="15">
        <v>2</v>
      </c>
      <c r="Z61" s="61" t="s">
        <v>240</v>
      </c>
      <c r="AA61" s="60" t="str" cm="1">
        <f t="array" ref="AA61">IF(OR(Y61=0,Y61=""),"",IF(VLOOKUP(Z61,$AI$1:$AJ$58,2,FALSE)&gt;=Y61,INDEX(tblDisciplines[Name],MATCH(1,(tblDisciplines[Discipline]=Z61)*(tblDisciplines[Rank]=Y61),0)),""))</f>
        <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0"/>
        <v/>
      </c>
      <c r="D62" s="18"/>
      <c r="E62" s="15" t="s">
        <v>41</v>
      </c>
      <c r="F62" s="18"/>
      <c r="G62" s="3"/>
      <c r="H62" s="18"/>
      <c r="I62" s="18"/>
      <c r="L62" s="4"/>
      <c r="M62" s="60"/>
      <c r="N62" s="4"/>
      <c r="O62" s="61">
        <f>ROUNDDOWN(N62/2,0)</f>
        <v>0</v>
      </c>
      <c r="P62" s="60">
        <f t="shared" ref="P62:P69" si="11">MIN(SUM(L62,M62,O62),R62)</f>
        <v>0</v>
      </c>
      <c r="R62" s="61">
        <v>5</v>
      </c>
      <c r="T62" s="4"/>
      <c r="U62" s="4"/>
      <c r="V62" s="61">
        <f t="shared" ref="V62:V69" si="12">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0"/>
        <v/>
      </c>
      <c r="D63" s="19"/>
      <c r="E63" s="15" t="s">
        <v>42</v>
      </c>
      <c r="F63" s="18"/>
      <c r="G63" s="3" t="s">
        <v>1184</v>
      </c>
      <c r="H63" s="18"/>
      <c r="I63" s="18"/>
      <c r="L63" s="4">
        <v>2</v>
      </c>
      <c r="M63" s="60"/>
      <c r="N63" s="4"/>
      <c r="O63" s="61">
        <f t="shared" ref="O63:O69" si="13">ROUNDDOWN(N63/2,0)</f>
        <v>0</v>
      </c>
      <c r="P63" s="60">
        <f t="shared" si="11"/>
        <v>2</v>
      </c>
      <c r="R63" s="61">
        <v>5</v>
      </c>
      <c r="T63" s="4"/>
      <c r="U63" s="4"/>
      <c r="V63" s="61">
        <f t="shared" si="12"/>
        <v>0</v>
      </c>
      <c r="W63" s="4"/>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0"/>
        <v/>
      </c>
      <c r="D64" s="19"/>
      <c r="E64" s="15" t="s">
        <v>43</v>
      </c>
      <c r="F64" s="18"/>
      <c r="G64" s="3"/>
      <c r="H64" s="18"/>
      <c r="I64" s="18"/>
      <c r="L64" s="4"/>
      <c r="M64" s="60"/>
      <c r="N64" s="4"/>
      <c r="O64" s="61">
        <f t="shared" si="13"/>
        <v>0</v>
      </c>
      <c r="P64" s="60">
        <f t="shared" si="11"/>
        <v>0</v>
      </c>
      <c r="R64" s="61">
        <v>5</v>
      </c>
      <c r="T64" s="4"/>
      <c r="U64" s="4"/>
      <c r="V64" s="61">
        <f t="shared" si="12"/>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0"/>
        <v/>
      </c>
      <c r="D65" s="19"/>
      <c r="E65" s="15" t="s">
        <v>44</v>
      </c>
      <c r="F65" s="18"/>
      <c r="G65" s="3" t="s">
        <v>1185</v>
      </c>
      <c r="H65" s="18"/>
      <c r="I65" s="18"/>
      <c r="L65" s="4">
        <v>2</v>
      </c>
      <c r="M65" s="60"/>
      <c r="N65" s="4"/>
      <c r="O65" s="61">
        <f t="shared" si="13"/>
        <v>0</v>
      </c>
      <c r="P65" s="60">
        <f t="shared" si="11"/>
        <v>2</v>
      </c>
      <c r="R65" s="61">
        <v>5</v>
      </c>
      <c r="T65" s="4"/>
      <c r="U65" s="4"/>
      <c r="V65" s="61">
        <f t="shared" si="12"/>
        <v>0</v>
      </c>
      <c r="W65" s="4"/>
      <c r="Y65" s="15">
        <v>1</v>
      </c>
      <c r="Z65" s="61" t="s">
        <v>241</v>
      </c>
      <c r="AA65" s="60" t="str" cm="1">
        <f t="array" ref="AA65">IF(OR(Y65=0,Y65=""),"",IF(VLOOKUP(Z65,$AI$1:$AJ$58,2,FALSE)&gt;=Y65,INDEX(tblDisciplines[Name],MATCH(1,(tblDisciplines[Discipline]=Z65)*(tblDisciplines[Rank]=Y65),0)),""))</f>
        <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0"/>
        <v/>
      </c>
      <c r="D66" s="19"/>
      <c r="E66" s="15" t="s">
        <v>45</v>
      </c>
      <c r="F66" s="18"/>
      <c r="G66" s="3"/>
      <c r="H66" s="18"/>
      <c r="I66" s="18"/>
      <c r="L66" s="4"/>
      <c r="M66" s="60"/>
      <c r="N66" s="4"/>
      <c r="O66" s="61">
        <f t="shared" si="13"/>
        <v>0</v>
      </c>
      <c r="P66" s="60">
        <f t="shared" si="11"/>
        <v>0</v>
      </c>
      <c r="R66" s="61">
        <v>5</v>
      </c>
      <c r="T66" s="4"/>
      <c r="U66" s="4"/>
      <c r="V66" s="61">
        <f t="shared" si="12"/>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0"/>
        <v/>
      </c>
      <c r="D67" s="19"/>
      <c r="E67" s="15" t="s">
        <v>46</v>
      </c>
      <c r="F67" s="18"/>
      <c r="G67" s="3"/>
      <c r="H67" s="18"/>
      <c r="I67" s="18"/>
      <c r="L67" s="4"/>
      <c r="M67" s="60"/>
      <c r="N67" s="4"/>
      <c r="O67" s="61">
        <f t="shared" si="13"/>
        <v>0</v>
      </c>
      <c r="P67" s="60">
        <f t="shared" si="11"/>
        <v>0</v>
      </c>
      <c r="R67" s="61">
        <v>5</v>
      </c>
      <c r="T67" s="4"/>
      <c r="U67" s="4"/>
      <c r="V67" s="61">
        <f t="shared" si="12"/>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0"/>
        <v/>
      </c>
      <c r="D68" s="18"/>
      <c r="E68" s="15" t="s">
        <v>47</v>
      </c>
      <c r="F68" s="18"/>
      <c r="G68" s="3"/>
      <c r="H68" s="18"/>
      <c r="I68" s="18"/>
      <c r="L68" s="4">
        <v>2</v>
      </c>
      <c r="M68" s="60"/>
      <c r="N68" s="4"/>
      <c r="O68" s="61">
        <f t="shared" si="13"/>
        <v>0</v>
      </c>
      <c r="P68" s="60">
        <f t="shared" si="11"/>
        <v>2</v>
      </c>
      <c r="R68" s="61">
        <v>5</v>
      </c>
      <c r="T68" s="4"/>
      <c r="U68" s="4"/>
      <c r="V68" s="61">
        <f t="shared" si="12"/>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0"/>
        <v xml:space="preserve"> grappling</v>
      </c>
      <c r="D69" s="18"/>
      <c r="E69" s="15" t="s">
        <v>48</v>
      </c>
      <c r="F69" s="18"/>
      <c r="G69" s="3" t="s">
        <v>1186</v>
      </c>
      <c r="H69" s="18"/>
      <c r="I69" s="18"/>
      <c r="L69" s="4">
        <v>1</v>
      </c>
      <c r="M69" s="60"/>
      <c r="N69" s="4"/>
      <c r="O69" s="61">
        <f t="shared" si="13"/>
        <v>0</v>
      </c>
      <c r="P69" s="60">
        <f t="shared" si="11"/>
        <v>1</v>
      </c>
      <c r="R69" s="61">
        <v>5</v>
      </c>
      <c r="T69" s="4"/>
      <c r="U69" s="4"/>
      <c r="V69" s="61">
        <f t="shared" si="12"/>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0"/>
        <v/>
      </c>
      <c r="Y70" s="15">
        <v>1</v>
      </c>
      <c r="Z70" s="61" t="s">
        <v>242</v>
      </c>
      <c r="AA70" s="60" t="str" cm="1">
        <f t="array" ref="AA70">IF(OR(Y70=0,Y70=""),"",IF(VLOOKUP(Z70,$AI$1:$AJ$58,2,FALSE)&gt;=Y70,INDEX(tblDisciplines[Name],MATCH(1,(tblDisciplines[Discipline]=Z70)*(tblDisciplines[Rank]=Y70),0)),""))</f>
        <v>Face in the Crowd</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0"/>
        <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0"/>
        <v/>
      </c>
      <c r="D72" s="19"/>
      <c r="E72" s="15" t="s">
        <v>49</v>
      </c>
      <c r="F72" s="19"/>
      <c r="G72" s="19"/>
      <c r="H72" s="19"/>
      <c r="I72" s="19"/>
      <c r="K72" s="4"/>
      <c r="L72" s="4">
        <v>5</v>
      </c>
      <c r="M72" s="60">
        <v>1</v>
      </c>
      <c r="N72" s="4"/>
      <c r="O72" s="61">
        <f>ROUNDDOWN(N72/5,0)</f>
        <v>0</v>
      </c>
      <c r="P72" s="60">
        <f>MIN(SUM(K72*-1,ROUNDDOWN(L72/5,0),M72,O72),R72)</f>
        <v>2</v>
      </c>
      <c r="R72" s="61">
        <v>2</v>
      </c>
      <c r="Y72" s="15">
        <v>3</v>
      </c>
      <c r="Z72" s="61" t="s">
        <v>242</v>
      </c>
      <c r="AA72" s="60" t="str" cm="1">
        <f t="array" ref="AA72">IF(OR(Y72=0,Y72=""),"",IF(VLOOKUP(Z72,$AI$1:$AJ$58,2,FALSE)&gt;=Y72,INDEX(tblDisciplines[Name],MATCH(1,(tblDisciplines[Discipline]=Z72)*(tblDisciplines[Rank]=Y72),0)),""))</f>
        <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0"/>
        <v>shadowing</v>
      </c>
      <c r="D73" s="19"/>
      <c r="E73" s="15" t="s">
        <v>1448</v>
      </c>
      <c r="F73" s="19"/>
      <c r="G73" s="19"/>
      <c r="H73" s="19"/>
      <c r="I73" s="19"/>
      <c r="K73" s="4">
        <v>2</v>
      </c>
      <c r="M73" s="60">
        <v>7</v>
      </c>
      <c r="N73" s="4"/>
      <c r="O73" s="61">
        <f>ROUNDDOWN(N73/2,0)</f>
        <v>0</v>
      </c>
      <c r="P73" s="60">
        <f>MIN(SUM(K73*-1,M73,O73),R73)</f>
        <v>5</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0"/>
        <v/>
      </c>
      <c r="D74" s="19"/>
      <c r="E74" s="15" t="s">
        <v>53</v>
      </c>
      <c r="F74" s="19"/>
      <c r="G74" s="19"/>
      <c r="H74" s="19"/>
      <c r="I74" s="19"/>
      <c r="K74" s="4"/>
      <c r="M74" s="60">
        <f>P28+P38</f>
        <v>6</v>
      </c>
      <c r="N74" s="4"/>
      <c r="O74" s="61">
        <f>N74</f>
        <v>0</v>
      </c>
      <c r="P74" s="60">
        <f>MIN(SUM(K74*-1,M74,O74),R74)</f>
        <v>6</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0"/>
        <v/>
      </c>
      <c r="D75" s="19"/>
      <c r="E75" s="15" t="s">
        <v>55</v>
      </c>
      <c r="F75" s="19"/>
      <c r="G75" s="19"/>
      <c r="H75" s="19"/>
      <c r="I75" s="19"/>
      <c r="P75" s="60">
        <f ca="1">VLOOKUP(VLOOKUP("Blood Potency",INDIRECT($AH$1),2,FALSE),tblBloodPotency[],2,FALSE)</f>
        <v>11</v>
      </c>
      <c r="Y75" s="15">
        <v>1</v>
      </c>
      <c r="Z75" s="61" t="s">
        <v>243</v>
      </c>
      <c r="AA75" s="60" t="str" cm="1">
        <f t="array" ref="AA75">IF(OR(Y75=0,Y75=""),"",IF(VLOOKUP(Z75,$AI$1:$AJ$58,2,FALSE)&gt;=Y75,INDEX(tblDisciplines[Name],MATCH(1,(tblDisciplines[Discipline]=Z75)*(tblDisciplines[Rank]=Y75),0)),""))</f>
        <v>Unmarked Grave</v>
      </c>
    </row>
    <row r="76" spans="1:32">
      <c r="A76" s="1" t="s">
        <v>75</v>
      </c>
      <c r="B76" t="str">
        <f t="shared" si="10"/>
        <v/>
      </c>
      <c r="Y76" s="15">
        <v>2</v>
      </c>
      <c r="Z76" s="61" t="s">
        <v>243</v>
      </c>
      <c r="AA76" s="60" t="str" cm="1">
        <f t="array" ref="AA76">IF(OR(Y76=0,Y76=""),"",IF(VLOOKUP(Z76,$AI$1:$AJ$58,2,FALSE)&gt;=Y76,INDEX(tblDisciplines[Name],MATCH(1,(tblDisciplines[Discipline]=Z76)*(tblDisciplines[Rank]=Y76),0)),""))</f>
        <v/>
      </c>
    </row>
    <row r="77" spans="1:32" ht="15.75" thickBot="1">
      <c r="A77" s="1" t="s">
        <v>76</v>
      </c>
      <c r="B77" t="str">
        <f t="shared" si="10"/>
        <v>weakness</v>
      </c>
      <c r="D77" s="14" t="s">
        <v>1470</v>
      </c>
      <c r="E77" s="14"/>
      <c r="F77" s="14"/>
      <c r="G77" s="14"/>
      <c r="H77" s="14"/>
      <c r="I77" s="14"/>
      <c r="N77" s="60">
        <f>SUM(N79:N98,N101:N120,N206:N215,N132:N135,N138:N157,N160:N161)</f>
        <v>7</v>
      </c>
      <c r="Y77" s="15">
        <v>3</v>
      </c>
      <c r="Z77" s="61" t="s">
        <v>243</v>
      </c>
      <c r="AA77" s="60" t="str" cm="1">
        <f t="array" ref="AA77">IF(OR(Y77=0,Y77=""),"",IF(VLOOKUP(Z77,$AI$1:$AJ$58,2,FALSE)&gt;=Y77,INDEX(tblDisciplines[Name],MATCH(1,(tblDisciplines[Discipline]=Z77)*(tblDisciplines[Rank]=Y77),0)),""))</f>
        <v/>
      </c>
    </row>
    <row r="78" spans="1:32">
      <c r="A78" s="1" t="s">
        <v>77</v>
      </c>
      <c r="B78" t="str">
        <f t="shared" si="10"/>
        <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0"/>
        <v>direct threats</v>
      </c>
      <c r="D79" s="19"/>
      <c r="E79" s="15" t="s">
        <v>114</v>
      </c>
      <c r="F79" s="3" t="s">
        <v>1675</v>
      </c>
      <c r="G79" s="3"/>
      <c r="H79" s="67" t="str">
        <f>_xlfn.IFNA(IF(VLOOKUP(F79,tblMerits[],6,FALSE)=0,"None",VLOOKUP(F79,tblMerits[],6,FALSE)),"None")</f>
        <v>Carthian Status 1</v>
      </c>
      <c r="I79" s="67"/>
      <c r="L79" s="4">
        <v>1</v>
      </c>
      <c r="M79" s="4"/>
      <c r="N79" s="4"/>
      <c r="O79" s="61">
        <f>N79</f>
        <v>0</v>
      </c>
      <c r="P79" s="60">
        <f t="shared" ref="P79:P98" si="14">MIN(SUM(L79,M79,O79),R79)</f>
        <v>1</v>
      </c>
      <c r="Q79" s="61">
        <f>_xlfn.IFNA(VLOOKUP($F79,tblMerits[],3,FALSE),"")</f>
        <v>1</v>
      </c>
      <c r="R79" s="61">
        <f>_xlfn.IFNA(VLOOKUP($F79,tblMerits[],4,FALSE),"")</f>
        <v>1</v>
      </c>
      <c r="Y79" s="15">
        <v>5</v>
      </c>
      <c r="Z79" s="61" t="s">
        <v>243</v>
      </c>
      <c r="AA79" s="60" t="str" cm="1">
        <f t="array" ref="AA79">IF(OR(Y79=0,Y79=""),"",IF(VLOOKUP(Z79,$AI$1:$AJ$58,2,FALSE)&gt;=Y79,INDEX(tblDisciplines[Name],MATCH(1,(tblDisciplines[Discipline]=Z79)*(tblDisciplines[Rank]=Y79),0)),""))</f>
        <v/>
      </c>
    </row>
    <row r="80" spans="1:32">
      <c r="A80" s="1" t="s">
        <v>79</v>
      </c>
      <c r="B80" t="str">
        <f t="shared" si="10"/>
        <v/>
      </c>
      <c r="D80" s="19"/>
      <c r="E80" s="15" t="s">
        <v>115</v>
      </c>
      <c r="F80" s="3"/>
      <c r="G80" s="3"/>
      <c r="H80" s="67" t="str">
        <f>_xlfn.IFNA(IF(VLOOKUP(F80,tblMerits[],6,FALSE)=0,"None",VLOOKUP(F80,tblMerits[],6,FALSE)),"None")</f>
        <v>None</v>
      </c>
      <c r="I80" s="67"/>
      <c r="L80" s="4"/>
      <c r="M80" s="4"/>
      <c r="N80" s="4"/>
      <c r="O80" s="61">
        <f t="shared" ref="O80:O98" si="15">N80</f>
        <v>0</v>
      </c>
      <c r="P80" s="60">
        <f t="shared" si="14"/>
        <v>0</v>
      </c>
      <c r="Q80" s="61" t="str">
        <f>_xlfn.IFNA(VLOOKUP($F80,tblMerits[],3,FALSE),"")</f>
        <v/>
      </c>
      <c r="R80" s="61" t="str">
        <f>_xlfn.IFNA(VLOOKUP($F80,tblMerits[],4,FALSE),"")</f>
        <v/>
      </c>
      <c r="Y80" s="15">
        <f>P173</f>
        <v>0</v>
      </c>
      <c r="Z80" s="61" t="s">
        <v>244</v>
      </c>
      <c r="AA80" s="60" t="str" cm="1">
        <f t="array" ref="AA80">IF(OR(Y80=0,Y80=""),"",IF(VLOOKUP(Z80,$AI$1:$AJ$58,2,FALSE)&gt;=Y80,INDEX(tblDisciplines[Name],MATCH(1,(tblDisciplines[Discipline]=Z80)*(tblDisciplines[Rank]=Y80),0)),""))</f>
        <v/>
      </c>
    </row>
    <row r="81" spans="1:27">
      <c r="A81" s="1" t="s">
        <v>80</v>
      </c>
      <c r="B81" t="str">
        <f t="shared" si="10"/>
        <v/>
      </c>
      <c r="D81" s="19"/>
      <c r="E81" s="15" t="s">
        <v>116</v>
      </c>
      <c r="F81" s="3"/>
      <c r="G81" s="3"/>
      <c r="H81" s="67" t="str">
        <f>_xlfn.IFNA(IF(VLOOKUP(F81,tblMerits[],6,FALSE)=0,"None",VLOOKUP(F81,tblMerits[],6,FALSE)),"None")</f>
        <v>None</v>
      </c>
      <c r="I81" s="67"/>
      <c r="L81" s="4"/>
      <c r="M81" s="4"/>
      <c r="N81" s="4"/>
      <c r="O81" s="61">
        <f t="shared" si="15"/>
        <v>0</v>
      </c>
      <c r="P81" s="60">
        <f t="shared" si="14"/>
        <v>0</v>
      </c>
      <c r="Q81" s="61" t="str">
        <f>_xlfn.IFNA(VLOOKUP($F81,tblMerits[],3,FALSE),"")</f>
        <v/>
      </c>
      <c r="R81" s="61" t="str">
        <f>_xlfn.IFNA(VLOOKUP($F81,tblMerits[],4,FALSE),"")</f>
        <v/>
      </c>
      <c r="Y81" s="15">
        <f>P174</f>
        <v>3</v>
      </c>
      <c r="Z81" s="61" t="s">
        <v>245</v>
      </c>
      <c r="AA81" s="60" t="str" cm="1">
        <f t="array" ref="AA81">IF(OR(Y81=0,Y81=""),"",IF(VLOOKUP(Z81,$AI$1:$AJ$58,2,FALSE)&gt;=Y81,INDEX(tblDisciplines[Name],MATCH(1,(tblDisciplines[Discipline]=Z81)*(tblDisciplines[Rank]=Y81),0)),""))</f>
        <v>Vigour 3</v>
      </c>
    </row>
    <row r="82" spans="1:27">
      <c r="A82" s="1" t="s">
        <v>81</v>
      </c>
      <c r="B82" t="str">
        <f t="shared" si="10"/>
        <v/>
      </c>
      <c r="D82" s="19"/>
      <c r="E82" s="15" t="s">
        <v>117</v>
      </c>
      <c r="F82" s="3"/>
      <c r="G82" s="3"/>
      <c r="H82" s="67" t="str">
        <f>_xlfn.IFNA(IF(VLOOKUP(F82,tblMerits[],6,FALSE)=0,"None",VLOOKUP(F82,tblMerits[],6,FALSE)),"None")</f>
        <v>None</v>
      </c>
      <c r="I82" s="67"/>
      <c r="L82" s="4"/>
      <c r="M82" s="4"/>
      <c r="N82" s="4"/>
      <c r="O82" s="61">
        <f t="shared" si="15"/>
        <v>0</v>
      </c>
      <c r="P82" s="60">
        <f t="shared" si="14"/>
        <v>0</v>
      </c>
      <c r="Q82" s="61" t="str">
        <f>_xlfn.IFNA(VLOOKUP($F82,tblMerits[],3,FALSE),"")</f>
        <v/>
      </c>
      <c r="R82" s="61" t="str">
        <f>_xlfn.IFNA(VLOOKUP($F82,tblMerits[],4,FALSE),"")</f>
        <v/>
      </c>
      <c r="Y82" s="61" t="s">
        <v>1472</v>
      </c>
      <c r="Z82" s="19"/>
      <c r="AA82" s="60" t="str">
        <f>IF(P177="","",F177)</f>
        <v>Vitae Spines</v>
      </c>
    </row>
    <row r="83" spans="1:27">
      <c r="A83" s="1" t="s">
        <v>82</v>
      </c>
      <c r="B83" t="str">
        <f t="shared" si="10"/>
        <v>hiding emotion</v>
      </c>
      <c r="D83" s="19"/>
      <c r="E83" s="15" t="s">
        <v>118</v>
      </c>
      <c r="F83" s="3"/>
      <c r="G83" s="3"/>
      <c r="H83" s="67" t="str">
        <f>_xlfn.IFNA(IF(VLOOKUP(F83,tblMerits[],6,FALSE)=0,"None",VLOOKUP(F83,tblMerits[],6,FALSE)),"None")</f>
        <v>None</v>
      </c>
      <c r="I83" s="67"/>
      <c r="L83" s="4"/>
      <c r="M83" s="4"/>
      <c r="N83" s="4"/>
      <c r="O83" s="61">
        <f t="shared" si="15"/>
        <v>0</v>
      </c>
      <c r="P83" s="60">
        <f t="shared" si="14"/>
        <v>0</v>
      </c>
      <c r="Q83" s="61" t="str">
        <f>_xlfn.IFNA(VLOOKUP($F83,tblMerits[],3,FALSE),"")</f>
        <v/>
      </c>
      <c r="R83" s="61" t="str">
        <f>_xlfn.IFNA(VLOOKUP($F83,tblMerits[],4,FALSE),"")</f>
        <v/>
      </c>
      <c r="Y83" s="61" t="s">
        <v>1472</v>
      </c>
      <c r="Z83" s="19"/>
      <c r="AA83" s="60" t="str">
        <f>IF(P178="","",F178)</f>
        <v/>
      </c>
    </row>
    <row r="84" spans="1:27">
      <c r="A84" s="1" t="s">
        <v>83</v>
      </c>
      <c r="B84">
        <f>P124</f>
        <v>2</v>
      </c>
      <c r="D84" s="19"/>
      <c r="E84" s="15" t="s">
        <v>119</v>
      </c>
      <c r="F84" s="3"/>
      <c r="G84" s="3"/>
      <c r="H84" s="67" t="str">
        <f>_xlfn.IFNA(IF(VLOOKUP(F84,tblMerits[],6,FALSE)=0,"None",VLOOKUP(F84,tblMerits[],6,FALSE)),"None")</f>
        <v>None</v>
      </c>
      <c r="I84" s="67"/>
      <c r="L84" s="4"/>
      <c r="M84" s="4"/>
      <c r="N84" s="4"/>
      <c r="O84" s="61">
        <f t="shared" si="15"/>
        <v>0</v>
      </c>
      <c r="P84" s="60">
        <f t="shared" si="14"/>
        <v>0</v>
      </c>
      <c r="Q84" s="61" t="str">
        <f>_xlfn.IFNA(VLOOKUP($F84,tblMerits[],3,FALSE),"")</f>
        <v/>
      </c>
      <c r="R84" s="61" t="str">
        <f>_xlfn.IFNA(VLOOKUP($F84,tblMerits[],4,FALSE),"")</f>
        <v/>
      </c>
      <c r="Y84" s="61" t="s">
        <v>1472</v>
      </c>
      <c r="Z84" s="19"/>
      <c r="AA84" s="60" t="str">
        <f>IF(P179="","",F179)</f>
        <v/>
      </c>
    </row>
    <row r="85" spans="1:27">
      <c r="A85" s="1" t="s">
        <v>84</v>
      </c>
      <c r="B85">
        <f>P125</f>
        <v>2</v>
      </c>
      <c r="D85" s="19"/>
      <c r="E85" s="15" t="s">
        <v>120</v>
      </c>
      <c r="F85" s="3"/>
      <c r="G85" s="3"/>
      <c r="H85" s="67" t="str">
        <f>_xlfn.IFNA(IF(VLOOKUP(F85,tblMerits[],6,FALSE)=0,"None",VLOOKUP(F85,tblMerits[],6,FALSE)),"None")</f>
        <v>None</v>
      </c>
      <c r="I85" s="67"/>
      <c r="L85" s="4"/>
      <c r="M85" s="4"/>
      <c r="N85" s="4"/>
      <c r="O85" s="61">
        <f t="shared" si="15"/>
        <v>0</v>
      </c>
      <c r="P85" s="60">
        <f t="shared" si="14"/>
        <v>0</v>
      </c>
      <c r="Q85" s="61" t="str">
        <f>_xlfn.IFNA(VLOOKUP($F85,tblMerits[],3,FALSE),"")</f>
        <v/>
      </c>
      <c r="R85" s="61" t="str">
        <f>_xlfn.IFNA(VLOOKUP($F85,tblMerits[],4,FALSE),"")</f>
        <v/>
      </c>
      <c r="Y85" s="61" t="s">
        <v>1472</v>
      </c>
      <c r="Z85" s="19"/>
      <c r="AA85" s="60" t="str">
        <f>IF(P180="","",F180)</f>
        <v/>
      </c>
    </row>
    <row r="86" spans="1:27">
      <c r="A86" s="1" t="s">
        <v>85</v>
      </c>
      <c r="B86">
        <f>P126</f>
        <v>3</v>
      </c>
      <c r="D86" s="19"/>
      <c r="E86" s="15" t="s">
        <v>121</v>
      </c>
      <c r="F86" s="3"/>
      <c r="G86" s="3"/>
      <c r="H86" s="67" t="str">
        <f>_xlfn.IFNA(IF(VLOOKUP(F86,tblMerits[],6,FALSE)=0,"None",VLOOKUP(F86,tblMerits[],6,FALSE)),"None")</f>
        <v>None</v>
      </c>
      <c r="I86" s="67"/>
      <c r="L86" s="4"/>
      <c r="M86" s="4"/>
      <c r="N86" s="4"/>
      <c r="O86" s="61">
        <f t="shared" si="15"/>
        <v>0</v>
      </c>
      <c r="P86" s="60">
        <f t="shared" si="14"/>
        <v>0</v>
      </c>
      <c r="Q86" s="61" t="str">
        <f>_xlfn.IFNA(VLOOKUP($F86,tblMerits[],3,FALSE),"")</f>
        <v/>
      </c>
      <c r="R86" s="61" t="str">
        <f>_xlfn.IFNA(VLOOKUP($F86,tblMerits[],4,FALSE),"")</f>
        <v/>
      </c>
      <c r="Y86" s="61" t="s">
        <v>1472</v>
      </c>
      <c r="Z86" s="19"/>
      <c r="AA86" s="60" t="str">
        <f>IF(P181="","",F181)</f>
        <v/>
      </c>
    </row>
    <row r="87" spans="1:27">
      <c r="A87" s="1" t="s">
        <v>86</v>
      </c>
      <c r="B87" t="str">
        <f>IF(F126="","¬",F126)</f>
        <v>Carthian</v>
      </c>
      <c r="D87" s="19"/>
      <c r="E87" s="15" t="s">
        <v>122</v>
      </c>
      <c r="F87" s="3"/>
      <c r="G87" s="3"/>
      <c r="H87" s="67" t="str">
        <f>_xlfn.IFNA(IF(VLOOKUP(F87,tblMerits[],6,FALSE)=0,"None",VLOOKUP(F87,tblMerits[],6,FALSE)),"None")</f>
        <v>None</v>
      </c>
      <c r="I87" s="67"/>
      <c r="L87" s="4"/>
      <c r="M87" s="4"/>
      <c r="N87" s="4"/>
      <c r="O87" s="61">
        <f t="shared" si="15"/>
        <v>0</v>
      </c>
      <c r="P87" s="60">
        <f t="shared" si="14"/>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
      </c>
    </row>
    <row r="88" spans="1:27">
      <c r="A88" s="1" t="s">
        <v>87</v>
      </c>
      <c r="B88" t="str">
        <f>REPT("●",P126)</f>
        <v>●●●</v>
      </c>
      <c r="D88" s="19"/>
      <c r="E88" s="15" t="s">
        <v>123</v>
      </c>
      <c r="F88" s="3"/>
      <c r="G88" s="3"/>
      <c r="H88" s="67" t="str">
        <f>_xlfn.IFNA(IF(VLOOKUP(F88,tblMerits[],6,FALSE)=0,"None",VLOOKUP(F88,tblMerits[],6,FALSE)),"None")</f>
        <v>None</v>
      </c>
      <c r="I88" s="67"/>
      <c r="L88" s="4"/>
      <c r="M88" s="4"/>
      <c r="N88" s="4"/>
      <c r="O88" s="61">
        <f t="shared" si="15"/>
        <v>0</v>
      </c>
      <c r="P88" s="60">
        <f t="shared" si="14"/>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Crone</v>
      </c>
      <c r="D89" s="19"/>
      <c r="E89" s="15" t="s">
        <v>124</v>
      </c>
      <c r="F89" s="3"/>
      <c r="G89" s="3"/>
      <c r="H89" s="67" t="str">
        <f>_xlfn.IFNA(IF(VLOOKUP(F89,tblMerits[],6,FALSE)=0,"None",VLOOKUP(F89,tblMerits[],6,FALSE)),"None")</f>
        <v>None</v>
      </c>
      <c r="I89" s="67"/>
      <c r="L89" s="4"/>
      <c r="M89" s="4"/>
      <c r="N89" s="4"/>
      <c r="O89" s="61">
        <f t="shared" si="15"/>
        <v>0</v>
      </c>
      <c r="P89" s="60">
        <f t="shared" si="14"/>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_xlfn.IFNA(IF(VLOOKUP(F90,tblMerits[],6,FALSE)=0,"None",VLOOKUP(F90,tblMerits[],6,FALSE)),"None")</f>
        <v>None</v>
      </c>
      <c r="I90" s="67"/>
      <c r="L90" s="4"/>
      <c r="M90" s="4"/>
      <c r="N90" s="4"/>
      <c r="O90" s="61">
        <f t="shared" si="15"/>
        <v>0</v>
      </c>
      <c r="P90" s="60">
        <f t="shared" si="14"/>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Invictus</v>
      </c>
      <c r="D91" s="19"/>
      <c r="E91" s="15" t="s">
        <v>126</v>
      </c>
      <c r="F91" s="3"/>
      <c r="G91" s="3"/>
      <c r="H91" s="67" t="str">
        <f>_xlfn.IFNA(IF(VLOOKUP(F91,tblMerits[],6,FALSE)=0,"None",VLOOKUP(F91,tblMerits[],6,FALSE)),"None")</f>
        <v>None</v>
      </c>
      <c r="I91" s="67"/>
      <c r="L91" s="4"/>
      <c r="M91" s="4"/>
      <c r="N91" s="4"/>
      <c r="O91" s="61">
        <f t="shared" si="15"/>
        <v>0</v>
      </c>
      <c r="P91" s="60">
        <f t="shared" si="14"/>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5"/>
        <v>0</v>
      </c>
      <c r="P92" s="60">
        <f t="shared" si="14"/>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Lance</v>
      </c>
      <c r="D93" s="19"/>
      <c r="E93" s="15" t="s">
        <v>128</v>
      </c>
      <c r="F93" s="3"/>
      <c r="G93" s="3"/>
      <c r="H93" s="67" t="str">
        <f>_xlfn.IFNA(IF(VLOOKUP(F93,tblMerits[],6,FALSE)=0,"None",VLOOKUP(F93,tblMerits[],6,FALSE)),"None")</f>
        <v>None</v>
      </c>
      <c r="I93" s="67"/>
      <c r="L93" s="4"/>
      <c r="M93" s="4"/>
      <c r="N93" s="4"/>
      <c r="O93" s="61">
        <f t="shared" si="15"/>
        <v>0</v>
      </c>
      <c r="P93" s="60">
        <f t="shared" si="14"/>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5"/>
        <v>0</v>
      </c>
      <c r="P94" s="60">
        <f t="shared" si="14"/>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5"/>
        <v>0</v>
      </c>
      <c r="P95" s="60">
        <f t="shared" si="14"/>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5"/>
        <v>0</v>
      </c>
      <c r="P96" s="60">
        <f t="shared" si="14"/>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5"/>
        <v>0</v>
      </c>
      <c r="P97" s="60">
        <f t="shared" si="14"/>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5"/>
        <v>0</v>
      </c>
      <c r="P98" s="60">
        <f t="shared" si="14"/>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t="s">
        <v>1782</v>
      </c>
      <c r="G101" s="60" t="str">
        <f>IFERROR(VLOOKUP(F101,tblManoeuvre[],2,FALSE)&amp;" "&amp;VLOOKUP(F101,tblManoeuvre[],3,FALSE),"")</f>
        <v>Regular 1</v>
      </c>
      <c r="H101" s="67" t="str">
        <f>IFERROR(IF(VLOOKUP(F101,tblManoeuvre[],8,FALSE)=0,"None",VLOOKUP(F101,tblManoeuvre[],8,FALSE)),"None")</f>
        <v>Brawl 2</v>
      </c>
      <c r="I101" s="67"/>
      <c r="L101" s="4">
        <v>1</v>
      </c>
      <c r="M101" s="4"/>
      <c r="N101" s="4"/>
      <c r="O101" s="61">
        <f t="shared" ref="O101:O120" si="16">N101</f>
        <v>0</v>
      </c>
      <c r="P101" s="60">
        <f t="shared" ref="P101:P120" si="17">MIN(SUM(L101,M101,O101),R101)</f>
        <v>1</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Urban Guerilla</v>
      </c>
      <c r="D102" s="19"/>
      <c r="E102" s="15" t="s">
        <v>1441</v>
      </c>
      <c r="F102" s="3" t="s">
        <v>1687</v>
      </c>
      <c r="G102" s="60" t="str">
        <f>IFERROR(VLOOKUP(F102,tblManoeuvre[],2,FALSE)&amp;" "&amp;VLOOKUP(F102,tblManoeuvre[],3,FALSE),"")</f>
        <v>Mobilise Outrage 1</v>
      </c>
      <c r="H102" s="67" t="str">
        <f>IFERROR(IF(VLOOKUP(F102,tblManoeuvre[],8,FALSE)=0,"None",VLOOKUP(F102,tblManoeuvre[],8,FALSE)),"None")</f>
        <v>Willpower 5, Brawl 2, Carthian Status 1</v>
      </c>
      <c r="I102" s="67"/>
      <c r="L102" s="4">
        <v>1</v>
      </c>
      <c r="M102" s="4"/>
      <c r="N102" s="4"/>
      <c r="O102" s="61">
        <f t="shared" si="16"/>
        <v>0</v>
      </c>
      <c r="P102" s="60">
        <f t="shared" si="17"/>
        <v>1</v>
      </c>
      <c r="Q102" s="61">
        <v>1</v>
      </c>
      <c r="R102" s="61">
        <v>1</v>
      </c>
      <c r="Y102" s="15">
        <v>1</v>
      </c>
      <c r="Z102" s="61" t="s">
        <v>251</v>
      </c>
      <c r="AA102" s="60" t="str" cm="1">
        <f t="array" ref="AA102">IF(VLOOKUP(Z102,$AI$1:$AJ$58,2,FALSE)&gt;=Y102,INDEX(tblDisciplines[Name],MATCH(1,(tblDisciplines[Discipline]=Z102)*(tblDisciplines[Rank]=Y102),0)),"")</f>
        <v/>
      </c>
    </row>
    <row r="103" spans="1:27">
      <c r="A103" s="1" t="s">
        <v>102</v>
      </c>
      <c r="B103">
        <f>P73</f>
        <v>5</v>
      </c>
      <c r="D103" s="19"/>
      <c r="E103" s="15" t="s">
        <v>1443</v>
      </c>
      <c r="F103" s="3" t="s">
        <v>1688</v>
      </c>
      <c r="G103" s="60" t="str">
        <f>IFERROR(VLOOKUP(F103,tblManoeuvre[],2,FALSE)&amp;" "&amp;VLOOKUP(F103,tblManoeuvre[],3,FALSE),"")</f>
        <v>Mobilise Outrage 2</v>
      </c>
      <c r="H103" s="67" t="str">
        <f>IFERROR(IF(VLOOKUP(F103,tblManoeuvre[],8,FALSE)=0,"None",VLOOKUP(F103,tblManoeuvre[],8,FALSE)),"None")</f>
        <v>Willpower 5, Brawl 2, Carthian Status 1</v>
      </c>
      <c r="I103" s="67"/>
      <c r="L103" s="4">
        <v>1</v>
      </c>
      <c r="M103" s="4"/>
      <c r="N103" s="4"/>
      <c r="O103" s="61">
        <f t="shared" si="16"/>
        <v>0</v>
      </c>
      <c r="P103" s="60">
        <f t="shared" si="17"/>
        <v>1</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t="s">
        <v>1689</v>
      </c>
      <c r="G104" s="60" t="str">
        <f>IFERROR(VLOOKUP(F104,tblManoeuvre[],2,FALSE)&amp;" "&amp;VLOOKUP(F104,tblManoeuvre[],3,FALSE),"")</f>
        <v>Mobilise Outrage 3</v>
      </c>
      <c r="H104" s="67" t="str">
        <f>IFERROR(IF(VLOOKUP(F104,tblManoeuvre[],8,FALSE)=0,"None",VLOOKUP(F104,tblManoeuvre[],8,FALSE)),"None")</f>
        <v>Willpower 5, Brawl 2, Carthian Status 1</v>
      </c>
      <c r="I104" s="67"/>
      <c r="L104" s="4"/>
      <c r="M104" s="4"/>
      <c r="N104" s="4">
        <v>1</v>
      </c>
      <c r="O104" s="61">
        <f t="shared" si="16"/>
        <v>1</v>
      </c>
      <c r="P104" s="60">
        <f t="shared" si="17"/>
        <v>1</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c r="G105" s="60" t="str">
        <f>IFERROR(VLOOKUP(F105,tblManoeuvre[],2,FALSE)&amp;" "&amp;VLOOKUP(F105,tblManoeuvre[],3,FALSE),"")</f>
        <v/>
      </c>
      <c r="H105" s="67" t="str">
        <f>IFERROR(IF(VLOOKUP(F105,tblManoeuvre[],8,FALSE)=0,"None",VLOOKUP(F105,tblManoeuvre[],8,FALSE)),"None")</f>
        <v>None</v>
      </c>
      <c r="I105" s="67"/>
      <c r="L105" s="4"/>
      <c r="M105" s="4"/>
      <c r="N105" s="4"/>
      <c r="O105" s="61">
        <f t="shared" si="16"/>
        <v>0</v>
      </c>
      <c r="P105" s="60">
        <f t="shared" si="17"/>
        <v>0</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IFERROR(VLOOKUP(F106,tblManoeuvre[],2,FALSE)&amp;" "&amp;VLOOKUP(F106,tblManoeuvre[],3,FALSE),"")</f>
        <v/>
      </c>
      <c r="H106" s="67" t="str">
        <f>IFERROR(IF(VLOOKUP(F106,tblManoeuvre[],8,FALSE)=0,"None",VLOOKUP(F106,tblManoeuvre[],8,FALSE)),"None")</f>
        <v>None</v>
      </c>
      <c r="I106" s="67"/>
      <c r="L106" s="4"/>
      <c r="M106" s="4"/>
      <c r="N106" s="4"/>
      <c r="O106" s="61">
        <f t="shared" si="16"/>
        <v>0</v>
      </c>
      <c r="P106" s="60">
        <f t="shared" si="17"/>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IFERROR(VLOOKUP(F107,tblManoeuvre[],2,FALSE)&amp;" "&amp;VLOOKUP(F107,tblManoeuvre[],3,FALSE),"")</f>
        <v/>
      </c>
      <c r="H107" s="67" t="str">
        <f>IFERROR(IF(VLOOKUP(F107,tblManoeuvre[],8,FALSE)=0,"None",VLOOKUP(F107,tblManoeuvre[],8,FALSE)),"None")</f>
        <v>None</v>
      </c>
      <c r="I107" s="67"/>
      <c r="L107" s="4"/>
      <c r="M107" s="4"/>
      <c r="N107" s="4"/>
      <c r="O107" s="61">
        <f t="shared" si="16"/>
        <v>0</v>
      </c>
      <c r="P107" s="60">
        <f t="shared" si="17"/>
        <v>0</v>
      </c>
      <c r="Q107" s="61">
        <v>1</v>
      </c>
      <c r="R107" s="61">
        <v>1</v>
      </c>
      <c r="Y107" s="15">
        <v>1</v>
      </c>
      <c r="Z107" s="61" t="s">
        <v>252</v>
      </c>
      <c r="AA107" s="60" t="str" cm="1">
        <f t="array" ref="AA107">IF(VLOOKUP(Z107,$AI$1:$AJ$58,2,FALSE)&gt;=Y107,INDEX(tblDisciplines[Name],MATCH(1,(tblDisciplines[Discipline]=Z107)*(tblDisciplines[Rank]=Y107),0)),"")</f>
        <v/>
      </c>
    </row>
    <row r="108" spans="1:27">
      <c r="A108" s="1" t="s">
        <v>107</v>
      </c>
      <c r="B108" t="str">
        <f>IF($P$73&gt;=7,"●","○") &amp; IF(F226&lt;&gt;""," (" &amp; F226 &amp; ")","")</f>
        <v>○</v>
      </c>
      <c r="D108" s="19"/>
      <c r="E108" s="15" t="s">
        <v>1452</v>
      </c>
      <c r="F108" s="3"/>
      <c r="G108" s="60" t="str">
        <f>IFERROR(VLOOKUP(F108,tblManoeuvre[],2,FALSE)&amp;" "&amp;VLOOKUP(F108,tblManoeuvre[],3,FALSE),"")</f>
        <v/>
      </c>
      <c r="H108" s="67" t="str">
        <f>IFERROR(IF(VLOOKUP(F108,tblManoeuvre[],8,FALSE)=0,"None",VLOOKUP(F108,tblManoeuvre[],8,FALSE)),"None")</f>
        <v>None</v>
      </c>
      <c r="I108" s="67"/>
      <c r="L108" s="4"/>
      <c r="M108" s="4"/>
      <c r="N108" s="4"/>
      <c r="O108" s="61">
        <f t="shared" si="16"/>
        <v>0</v>
      </c>
      <c r="P108" s="60">
        <f t="shared" si="17"/>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 (Fiona (conditional) or union activist)</v>
      </c>
      <c r="D109" s="19"/>
      <c r="E109" s="15" t="s">
        <v>1454</v>
      </c>
      <c r="F109" s="3"/>
      <c r="G109" s="60" t="str">
        <f>IFERROR(VLOOKUP(F109,tblManoeuvre[],2,FALSE)&amp;" "&amp;VLOOKUP(F109,tblManoeuvre[],3,FALSE),"")</f>
        <v/>
      </c>
      <c r="H109" s="67" t="str">
        <f>IFERROR(IF(VLOOKUP(F109,tblManoeuvre[],8,FALSE)=0,"None",VLOOKUP(F109,tblManoeuvre[],8,FALSE)),"None")</f>
        <v>None</v>
      </c>
      <c r="I109" s="67"/>
      <c r="L109" s="4"/>
      <c r="M109" s="4"/>
      <c r="N109" s="4"/>
      <c r="O109" s="61">
        <f t="shared" si="16"/>
        <v>0</v>
      </c>
      <c r="P109" s="60">
        <f t="shared" si="17"/>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v>
      </c>
      <c r="D110" s="19"/>
      <c r="E110" s="15" t="s">
        <v>1455</v>
      </c>
      <c r="F110" s="3"/>
      <c r="G110" s="60" t="str">
        <f>IFERROR(VLOOKUP(F110,tblManoeuvre[],2,FALSE)&amp;" "&amp;VLOOKUP(F110,tblManoeuvre[],3,FALSE),"")</f>
        <v/>
      </c>
      <c r="H110" s="67" t="str">
        <f>IFERROR(IF(VLOOKUP(F110,tblManoeuvre[],8,FALSE)=0,"None",VLOOKUP(F110,tblManoeuvre[],8,FALSE)),"None")</f>
        <v>None</v>
      </c>
      <c r="I110" s="67"/>
      <c r="L110" s="4"/>
      <c r="M110" s="4"/>
      <c r="N110" s="4"/>
      <c r="O110" s="61">
        <f t="shared" si="16"/>
        <v>0</v>
      </c>
      <c r="P110" s="60">
        <f t="shared" si="17"/>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t="str">
        <f>IFERROR(VLOOKUP(F111,tblManoeuvre[],2,FALSE)&amp;" "&amp;VLOOKUP(F111,tblManoeuvre[],3,FALSE),"")</f>
        <v/>
      </c>
      <c r="H111" s="67" t="str">
        <f>IFERROR(IF(VLOOKUP(F111,tblManoeuvre[],8,FALSE)=0,"None",VLOOKUP(F111,tblManoeuvre[],8,FALSE)),"None")</f>
        <v>None</v>
      </c>
      <c r="I111" s="67"/>
      <c r="L111" s="4"/>
      <c r="M111" s="4"/>
      <c r="N111" s="4"/>
      <c r="O111" s="61">
        <f t="shared" si="16"/>
        <v>0</v>
      </c>
      <c r="P111" s="60">
        <f t="shared" si="17"/>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t="str">
        <f>IFERROR(VLOOKUP(F112,tblManoeuvre[],2,FALSE)&amp;" "&amp;VLOOKUP(F112,tblManoeuvre[],3,FALSE),"")</f>
        <v/>
      </c>
      <c r="H112" s="67" t="str">
        <f>IFERROR(IF(VLOOKUP(F112,tblManoeuvre[],8,FALSE)=0,"None",VLOOKUP(F112,tblManoeuvre[],8,FALSE)),"None")</f>
        <v>None</v>
      </c>
      <c r="I112" s="67"/>
      <c r="L112" s="4"/>
      <c r="M112" s="4"/>
      <c r="N112" s="4"/>
      <c r="O112" s="61">
        <f t="shared" si="16"/>
        <v>0</v>
      </c>
      <c r="P112" s="60">
        <f t="shared" si="17"/>
        <v>0</v>
      </c>
      <c r="Q112" s="61">
        <v>1</v>
      </c>
      <c r="R112" s="61">
        <v>1</v>
      </c>
      <c r="Y112" s="61" t="s">
        <v>1474</v>
      </c>
      <c r="Z112" s="61" t="str">
        <f t="shared" ref="Z112:Z121" si="18">G194</f>
        <v/>
      </c>
      <c r="AA112" s="60" t="str">
        <f t="shared" ref="AA112:AA121" si="19">IF(P194="","",F194)</f>
        <v/>
      </c>
    </row>
    <row r="113" spans="1:27">
      <c r="A113" s="1" t="s">
        <v>112</v>
      </c>
      <c r="B113" t="str">
        <f>IF($P$73&gt;=2,"●","○") &amp; IF(F231&lt;&gt;""," (" &amp; F231 &amp; ")","")</f>
        <v>●</v>
      </c>
      <c r="D113" s="19"/>
      <c r="E113" s="15" t="s">
        <v>1458</v>
      </c>
      <c r="F113" s="3"/>
      <c r="G113" s="60" t="str">
        <f>IFERROR(VLOOKUP(F113,tblManoeuvre[],2,FALSE)&amp;" "&amp;VLOOKUP(F113,tblManoeuvre[],3,FALSE),"")</f>
        <v/>
      </c>
      <c r="H113" s="67" t="str">
        <f>IFERROR(IF(VLOOKUP(F113,tblManoeuvre[],8,FALSE)=0,"None",VLOOKUP(F113,tblManoeuvre[],8,FALSE)),"None")</f>
        <v>None</v>
      </c>
      <c r="I113" s="67"/>
      <c r="L113" s="4"/>
      <c r="M113" s="4"/>
      <c r="N113" s="4"/>
      <c r="O113" s="61">
        <f t="shared" si="16"/>
        <v>0</v>
      </c>
      <c r="P113" s="60">
        <f t="shared" si="17"/>
        <v>0</v>
      </c>
      <c r="Q113" s="61">
        <v>1</v>
      </c>
      <c r="R113" s="61">
        <v>1</v>
      </c>
      <c r="Y113" s="61" t="s">
        <v>1474</v>
      </c>
      <c r="Z113" s="61" t="str">
        <f t="shared" si="18"/>
        <v/>
      </c>
      <c r="AA113" s="60" t="str">
        <f t="shared" si="19"/>
        <v/>
      </c>
    </row>
    <row r="114" spans="1:27">
      <c r="A114" s="1" t="s">
        <v>113</v>
      </c>
      <c r="B114" t="str">
        <f>IF($P$73&gt;=1,"●","○") &amp; IF(F232&lt;&gt;""," (" &amp; F232 &amp; ")","")</f>
        <v>●</v>
      </c>
      <c r="D114" s="19"/>
      <c r="E114" s="15" t="s">
        <v>1460</v>
      </c>
      <c r="F114" s="3"/>
      <c r="G114" s="60" t="str">
        <f>IFERROR(VLOOKUP(F114,tblManoeuvre[],2,FALSE)&amp;" "&amp;VLOOKUP(F114,tblManoeuvre[],3,FALSE),"")</f>
        <v/>
      </c>
      <c r="H114" s="67" t="str">
        <f>IFERROR(IF(VLOOKUP(F114,tblManoeuvre[],8,FALSE)=0,"None",VLOOKUP(F114,tblManoeuvre[],8,FALSE)),"None")</f>
        <v>None</v>
      </c>
      <c r="I114" s="67"/>
      <c r="L114" s="4"/>
      <c r="M114" s="4"/>
      <c r="N114" s="4"/>
      <c r="O114" s="61">
        <f t="shared" si="16"/>
        <v>0</v>
      </c>
      <c r="P114" s="60">
        <f t="shared" si="17"/>
        <v>0</v>
      </c>
      <c r="Q114" s="61">
        <v>1</v>
      </c>
      <c r="R114" s="61">
        <v>1</v>
      </c>
      <c r="Y114" s="61" t="s">
        <v>1474</v>
      </c>
      <c r="Z114" s="61" t="str">
        <f t="shared" si="18"/>
        <v/>
      </c>
      <c r="AA114" s="60" t="str">
        <f t="shared" si="19"/>
        <v/>
      </c>
    </row>
    <row r="115" spans="1:27">
      <c r="A115" s="1" t="s">
        <v>114</v>
      </c>
      <c r="B115" t="str">
        <f t="shared" ref="B115:B144" si="20">IF(AD2="","¬",AD2)</f>
        <v>Carthian Pull ●</v>
      </c>
      <c r="D115" s="19"/>
      <c r="E115" s="15" t="s">
        <v>1461</v>
      </c>
      <c r="F115" s="3"/>
      <c r="G115" s="60" t="str">
        <f>IFERROR(VLOOKUP(F115,tblManoeuvre[],2,FALSE)&amp;" "&amp;VLOOKUP(F115,tblManoeuvre[],3,FALSE),"")</f>
        <v/>
      </c>
      <c r="H115" s="67" t="str">
        <f>IFERROR(IF(VLOOKUP(F115,tblManoeuvre[],8,FALSE)=0,"None",VLOOKUP(F115,tblManoeuvre[],8,FALSE)),"None")</f>
        <v>None</v>
      </c>
      <c r="I115" s="67"/>
      <c r="L115" s="4"/>
      <c r="M115" s="4"/>
      <c r="N115" s="4"/>
      <c r="O115" s="61">
        <f t="shared" si="16"/>
        <v>0</v>
      </c>
      <c r="P115" s="60">
        <f t="shared" si="17"/>
        <v>0</v>
      </c>
      <c r="Q115" s="61">
        <v>1</v>
      </c>
      <c r="R115" s="61">
        <v>1</v>
      </c>
      <c r="Y115" s="61" t="s">
        <v>1474</v>
      </c>
      <c r="Z115" s="61" t="str">
        <f t="shared" si="18"/>
        <v/>
      </c>
      <c r="AA115" s="60" t="str">
        <f t="shared" si="19"/>
        <v/>
      </c>
    </row>
    <row r="116" spans="1:27">
      <c r="A116" s="1" t="s">
        <v>115</v>
      </c>
      <c r="B116" t="str">
        <f t="shared" si="20"/>
        <v>Mobilise Outrage ● | Strike to Preempt</v>
      </c>
      <c r="D116" s="19"/>
      <c r="E116" s="15" t="s">
        <v>1462</v>
      </c>
      <c r="F116" s="3"/>
      <c r="G116" s="60" t="str">
        <f>IFERROR(VLOOKUP(F116,tblManoeuvre[],2,FALSE)&amp;" "&amp;VLOOKUP(F116,tblManoeuvre[],3,FALSE),"")</f>
        <v/>
      </c>
      <c r="H116" s="67" t="str">
        <f>IFERROR(IF(VLOOKUP(F116,tblManoeuvre[],8,FALSE)=0,"None",VLOOKUP(F116,tblManoeuvre[],8,FALSE)),"None")</f>
        <v>None</v>
      </c>
      <c r="I116" s="67"/>
      <c r="L116" s="4"/>
      <c r="M116" s="4"/>
      <c r="N116" s="4"/>
      <c r="O116" s="61">
        <f t="shared" si="16"/>
        <v>0</v>
      </c>
      <c r="P116" s="60">
        <f t="shared" si="17"/>
        <v>0</v>
      </c>
      <c r="Q116" s="61">
        <v>1</v>
      </c>
      <c r="R116" s="61">
        <v>1</v>
      </c>
      <c r="Y116" s="61" t="s">
        <v>1474</v>
      </c>
      <c r="Z116" s="61" t="str">
        <f t="shared" si="18"/>
        <v/>
      </c>
      <c r="AA116" s="60" t="str">
        <f t="shared" si="19"/>
        <v/>
      </c>
    </row>
    <row r="117" spans="1:27">
      <c r="A117" s="1" t="s">
        <v>116</v>
      </c>
      <c r="B117" t="str">
        <f t="shared" si="20"/>
        <v>Mobilise Outrage ●● | Unbreakable</v>
      </c>
      <c r="D117" s="19"/>
      <c r="E117" s="15" t="s">
        <v>1463</v>
      </c>
      <c r="F117" s="3"/>
      <c r="G117" s="60" t="str">
        <f>IFERROR(VLOOKUP(F117,tblManoeuvre[],2,FALSE)&amp;" "&amp;VLOOKUP(F117,tblManoeuvre[],3,FALSE),"")</f>
        <v/>
      </c>
      <c r="H117" s="67" t="str">
        <f>IFERROR(IF(VLOOKUP(F117,tblManoeuvre[],8,FALSE)=0,"None",VLOOKUP(F117,tblManoeuvre[],8,FALSE)),"None")</f>
        <v>None</v>
      </c>
      <c r="I117" s="67"/>
      <c r="L117" s="4"/>
      <c r="M117" s="4"/>
      <c r="N117" s="4"/>
      <c r="O117" s="61">
        <f t="shared" si="16"/>
        <v>0</v>
      </c>
      <c r="P117" s="60">
        <f t="shared" si="17"/>
        <v>0</v>
      </c>
      <c r="Q117" s="61">
        <v>1</v>
      </c>
      <c r="R117" s="61">
        <v>1</v>
      </c>
      <c r="Y117" s="61" t="s">
        <v>1474</v>
      </c>
      <c r="Z117" s="61" t="str">
        <f t="shared" si="18"/>
        <v/>
      </c>
      <c r="AA117" s="60" t="str">
        <f t="shared" si="19"/>
        <v/>
      </c>
    </row>
    <row r="118" spans="1:27">
      <c r="A118" s="1" t="s">
        <v>117</v>
      </c>
      <c r="B118" t="str">
        <f t="shared" si="20"/>
        <v>Mobilise Outrage ●●● | Dying on Your Feet</v>
      </c>
      <c r="D118" s="19"/>
      <c r="E118" s="15" t="s">
        <v>1464</v>
      </c>
      <c r="F118" s="3"/>
      <c r="G118" s="60" t="str">
        <f>IFERROR(VLOOKUP(F118,tblManoeuvre[],2,FALSE)&amp;" "&amp;VLOOKUP(F118,tblManoeuvre[],3,FALSE),"")</f>
        <v/>
      </c>
      <c r="H118" s="67" t="str">
        <f>IFERROR(IF(VLOOKUP(F118,tblManoeuvre[],8,FALSE)=0,"None",VLOOKUP(F118,tblManoeuvre[],8,FALSE)),"None")</f>
        <v>None</v>
      </c>
      <c r="I118" s="67"/>
      <c r="L118" s="4"/>
      <c r="M118" s="4"/>
      <c r="N118" s="4"/>
      <c r="O118" s="61">
        <f t="shared" si="16"/>
        <v>0</v>
      </c>
      <c r="P118" s="60">
        <f t="shared" si="17"/>
        <v>0</v>
      </c>
      <c r="Q118" s="61">
        <v>1</v>
      </c>
      <c r="R118" s="61">
        <v>1</v>
      </c>
      <c r="Y118" s="61" t="s">
        <v>1474</v>
      </c>
      <c r="Z118" s="61" t="str">
        <f t="shared" si="18"/>
        <v/>
      </c>
      <c r="AA118" s="60" t="str">
        <f t="shared" si="19"/>
        <v/>
      </c>
    </row>
    <row r="119" spans="1:27">
      <c r="A119" s="1" t="s">
        <v>118</v>
      </c>
      <c r="B119" t="str">
        <f t="shared" si="20"/>
        <v>Regular ● | Clinch Strike</v>
      </c>
      <c r="D119" s="19"/>
      <c r="E119" s="15" t="s">
        <v>1466</v>
      </c>
      <c r="F119" s="3"/>
      <c r="G119" s="60" t="str">
        <f>IFERROR(VLOOKUP(F119,tblManoeuvre[],2,FALSE)&amp;" "&amp;VLOOKUP(F119,tblManoeuvre[],3,FALSE),"")</f>
        <v/>
      </c>
      <c r="H119" s="67" t="str">
        <f>IFERROR(IF(VLOOKUP(F119,tblManoeuvre[],8,FALSE)=0,"None",VLOOKUP(F119,tblManoeuvre[],8,FALSE)),"None")</f>
        <v>None</v>
      </c>
      <c r="I119" s="67"/>
      <c r="L119" s="4"/>
      <c r="M119" s="4"/>
      <c r="N119" s="4"/>
      <c r="O119" s="61">
        <f t="shared" si="16"/>
        <v>0</v>
      </c>
      <c r="P119" s="60">
        <f t="shared" si="17"/>
        <v>0</v>
      </c>
      <c r="Q119" s="61">
        <v>1</v>
      </c>
      <c r="R119" s="61">
        <v>1</v>
      </c>
      <c r="Y119" s="61" t="s">
        <v>1474</v>
      </c>
      <c r="Z119" s="61" t="str">
        <f t="shared" si="18"/>
        <v/>
      </c>
      <c r="AA119" s="60" t="str">
        <f t="shared" si="19"/>
        <v/>
      </c>
    </row>
    <row r="120" spans="1:27">
      <c r="A120" s="1" t="s">
        <v>119</v>
      </c>
      <c r="B120" t="str">
        <f t="shared" si="20"/>
        <v>¬</v>
      </c>
      <c r="D120" s="19"/>
      <c r="E120" s="15" t="s">
        <v>1468</v>
      </c>
      <c r="F120" s="3"/>
      <c r="G120" s="60" t="str">
        <f>IFERROR(VLOOKUP(F120,tblManoeuvre[],2,FALSE)&amp;" "&amp;VLOOKUP(F120,tblManoeuvre[],3,FALSE),"")</f>
        <v/>
      </c>
      <c r="H120" s="67" t="str">
        <f>IFERROR(IF(VLOOKUP(F120,tblManoeuvre[],8,FALSE)=0,"None",VLOOKUP(F120,tblManoeuvre[],8,FALSE)),"None")</f>
        <v>None</v>
      </c>
      <c r="I120" s="67"/>
      <c r="L120" s="4"/>
      <c r="M120" s="4"/>
      <c r="N120" s="4"/>
      <c r="O120" s="61">
        <f t="shared" si="16"/>
        <v>0</v>
      </c>
      <c r="P120" s="60">
        <f t="shared" si="17"/>
        <v>0</v>
      </c>
      <c r="Q120" s="61">
        <v>1</v>
      </c>
      <c r="R120" s="61">
        <v>1</v>
      </c>
      <c r="Y120" s="61" t="s">
        <v>1474</v>
      </c>
      <c r="Z120" s="61" t="str">
        <f t="shared" si="18"/>
        <v/>
      </c>
      <c r="AA120" s="60" t="str">
        <f t="shared" si="19"/>
        <v/>
      </c>
    </row>
    <row r="121" spans="1:27">
      <c r="A121" s="1" t="s">
        <v>120</v>
      </c>
      <c r="B121" t="str">
        <f t="shared" si="20"/>
        <v>¬</v>
      </c>
      <c r="Y121" s="61" t="s">
        <v>1474</v>
      </c>
      <c r="Z121" s="61" t="str">
        <f t="shared" si="18"/>
        <v/>
      </c>
      <c r="AA121" s="60" t="str">
        <f t="shared" si="19"/>
        <v/>
      </c>
    </row>
    <row r="122" spans="1:27" ht="15.75" thickBot="1">
      <c r="A122" s="1" t="s">
        <v>121</v>
      </c>
      <c r="B122" t="str">
        <f t="shared" si="20"/>
        <v>¬</v>
      </c>
      <c r="D122" s="14" t="s">
        <v>1475</v>
      </c>
      <c r="E122" s="14"/>
      <c r="F122" s="14"/>
      <c r="G122" s="14"/>
      <c r="H122" s="14"/>
      <c r="I122" s="14"/>
    </row>
    <row r="123" spans="1:27">
      <c r="A123" s="1" t="s">
        <v>122</v>
      </c>
      <c r="B123" t="str">
        <f t="shared" si="20"/>
        <v>¬</v>
      </c>
      <c r="D123" s="16" t="s">
        <v>927</v>
      </c>
      <c r="E123" s="17"/>
      <c r="F123" s="17"/>
      <c r="G123" s="17"/>
      <c r="H123" s="17"/>
      <c r="I123" s="17"/>
      <c r="Y123" s="15" t="s">
        <v>1476</v>
      </c>
      <c r="Z123" s="19"/>
      <c r="AA123" s="61" t="str">
        <f t="shared" ref="AA123:AA132" si="21">_xlfn.LET(_xlpm.name,VLOOKUP(Y123,$E$2:$F$362,2,FALSE),_xlpm.paid,_xlfn.IFNA(VLOOKUP(_xlpm.name,$F$121:$Q$215,11,FALSE)&gt;=VLOOKUP(_xlpm.name,$F$121:$Q$215,12,FALSE),FALSE),IF(AND(_xlpm.name&lt;&gt;"",_xlpm.paid),_xlpm.name,""))</f>
        <v/>
      </c>
    </row>
    <row r="124" spans="1:27">
      <c r="A124" s="1" t="s">
        <v>123</v>
      </c>
      <c r="B124" t="str">
        <f t="shared" si="20"/>
        <v>¬</v>
      </c>
      <c r="D124" s="19"/>
      <c r="E124" s="15" t="s">
        <v>83</v>
      </c>
      <c r="F124" s="19"/>
      <c r="G124" s="19"/>
      <c r="H124" s="19"/>
      <c r="I124" s="19"/>
      <c r="L124" s="4">
        <v>2</v>
      </c>
      <c r="M124" s="61">
        <f>IFERROR(VLOOKUP(G13,tblEffectiveStatus[#Data],2,FALSE),0)</f>
        <v>0</v>
      </c>
      <c r="P124" s="60">
        <f>MIN(L124+M124,R124)</f>
        <v>2</v>
      </c>
      <c r="R124" s="61">
        <v>10</v>
      </c>
      <c r="Y124" s="15" t="s">
        <v>1477</v>
      </c>
      <c r="Z124" s="19"/>
      <c r="AA124" s="61" t="str">
        <f t="shared" si="21"/>
        <v/>
      </c>
    </row>
    <row r="125" spans="1:27">
      <c r="A125" s="1" t="s">
        <v>124</v>
      </c>
      <c r="B125" t="str">
        <f t="shared" si="20"/>
        <v>¬</v>
      </c>
      <c r="D125" s="19"/>
      <c r="E125" s="15" t="str">
        <f>IF(F7="","Clan Status",F7&amp;" Status")</f>
        <v>Mekhet Status</v>
      </c>
      <c r="F125" s="19"/>
      <c r="G125" s="19"/>
      <c r="H125" s="19"/>
      <c r="I125" s="19"/>
      <c r="L125" s="4">
        <v>2</v>
      </c>
      <c r="P125" s="60">
        <f>IF(L125="",0,MIN(L125,R125))</f>
        <v>2</v>
      </c>
      <c r="R125" s="61">
        <v>5</v>
      </c>
      <c r="Y125" s="15" t="s">
        <v>1478</v>
      </c>
      <c r="Z125" s="19"/>
      <c r="AA125" s="61" t="str">
        <f t="shared" si="21"/>
        <v/>
      </c>
    </row>
    <row r="126" spans="1:27">
      <c r="A126" s="1" t="s">
        <v>125</v>
      </c>
      <c r="B126" t="str">
        <f t="shared" si="20"/>
        <v>¬</v>
      </c>
      <c r="D126" s="19"/>
      <c r="E126" s="15" t="str">
        <f>IF(F9="","",F9&amp;" Status")</f>
        <v>Carthian Movement Status</v>
      </c>
      <c r="F126" s="19" t="str">
        <f>IF(F9="","",VLOOKUP(F9,tblCovenantShortName[#Data],2,FALSE))</f>
        <v>Carthian</v>
      </c>
      <c r="G126" s="19"/>
      <c r="H126" s="19"/>
      <c r="I126" s="19"/>
      <c r="L126" s="4">
        <v>3</v>
      </c>
      <c r="P126" s="60">
        <f>L126</f>
        <v>3</v>
      </c>
      <c r="R126" s="61">
        <f>5-SUM(L127:L129)</f>
        <v>5</v>
      </c>
      <c r="Y126" s="15" t="s">
        <v>1479</v>
      </c>
      <c r="Z126" s="19"/>
      <c r="AA126" s="61" t="str">
        <f t="shared" si="21"/>
        <v/>
      </c>
    </row>
    <row r="127" spans="1:27">
      <c r="A127" s="1" t="s">
        <v>126</v>
      </c>
      <c r="B127" t="str">
        <f t="shared" si="20"/>
        <v>¬</v>
      </c>
      <c r="D127" s="19"/>
      <c r="E127" s="15" t="str" cm="1">
        <f t="array" ref="E127">IF(F9="","",IFERROR(INDEX(Lists!$F$2:$F$5,SMALL(IF(Lists!$F$2:$F$5&lt;&gt;$F$9,ROW(Lists!$F$2:$F$5)-ROW(Lists!$F$2)+1),1))&amp;" Status",""))</f>
        <v>Circle of the Crone Status</v>
      </c>
      <c r="F127" s="19" t="str" cm="1">
        <f t="array" ref="F127">IF(F9="","",IFERROR(VLOOKUP(INDEX(Lists!$F$2:$F$5,SMALL(IF(Lists!$F$2:$F$5&lt;&gt;$F$9,ROW(Lists!$F$2:$F$5)-ROW(Lists!$F$2)+1),1)),tblCovenantShortName[],2,FALSE),""))</f>
        <v>Crone</v>
      </c>
      <c r="G127" s="19"/>
      <c r="H127" s="19"/>
      <c r="I127" s="19"/>
      <c r="L127" s="4"/>
      <c r="P127" s="60">
        <f>L127</f>
        <v>0</v>
      </c>
      <c r="R127" s="61">
        <f>MAX(0,MIN(P126-1,5-L126-L128-L129))</f>
        <v>2</v>
      </c>
      <c r="Y127" s="15" t="s">
        <v>1480</v>
      </c>
      <c r="Z127" s="19"/>
      <c r="AA127" s="61" t="str">
        <f t="shared" si="21"/>
        <v/>
      </c>
    </row>
    <row r="128" spans="1:27">
      <c r="A128" s="1" t="s">
        <v>127</v>
      </c>
      <c r="B128" t="str">
        <f t="shared" si="20"/>
        <v>¬</v>
      </c>
      <c r="D128" s="19"/>
      <c r="E128" s="15" t="str" cm="1">
        <f t="array" ref="E128">IF(F9="","",IFERROR(INDEX(Lists!$F$2:$F$5,SMALL(IF(Lists!$F$2:$F$5&lt;&gt;$F$9,ROW(Lists!$F$2:$F$5)-ROW(Lists!$F$2)+1),2))&amp;" Status",""))</f>
        <v>Invictus Status</v>
      </c>
      <c r="F128" s="19" t="str" cm="1">
        <f t="array" ref="F128">IF(F9="","",IFERROR(VLOOKUP(INDEX(Lists!$F$2:$F$5,SMALL(IF(Lists!$F$2:$F$5&lt;&gt;$F$9,ROW(Lists!$F$2:$F$5)-ROW(Lists!$F$2)+1),2)),tblCovenantShortName[],2,FALSE),""))</f>
        <v>Invictus</v>
      </c>
      <c r="G128" s="19"/>
      <c r="H128" s="19"/>
      <c r="I128" s="19"/>
      <c r="L128" s="4"/>
      <c r="P128" s="60">
        <f>L128</f>
        <v>0</v>
      </c>
      <c r="R128" s="61">
        <f>MAX(0,MIN(P126-1,5-L126-L127-L129))</f>
        <v>2</v>
      </c>
      <c r="Y128" s="15" t="s">
        <v>1481</v>
      </c>
      <c r="Z128" s="19"/>
      <c r="AA128" s="61" t="str">
        <f t="shared" si="21"/>
        <v/>
      </c>
    </row>
    <row r="129" spans="1:32">
      <c r="A129" s="1" t="s">
        <v>128</v>
      </c>
      <c r="B129" t="str">
        <f t="shared" si="20"/>
        <v>¬</v>
      </c>
      <c r="D129" s="19"/>
      <c r="E129" s="15" t="str" cm="1">
        <f t="array" ref="E129">IF(F9="","",IFERROR(INDEX(Lists!$F$2:$F$5,SMALL(IF(Lists!$F$2:$F$5&lt;&gt;$F$9,ROW(Lists!$F$2:$F$5)-ROW(Lists!$F$2)+1),3))&amp;" Status",""))</f>
        <v>Lancea et Sanctum Status</v>
      </c>
      <c r="F129" s="19" t="str" cm="1">
        <f t="array" ref="F129">IF(F9="","",IFERROR(VLOOKUP(INDEX(Lists!$F$2:$F$5,SMALL(IF(Lists!$F$2:$F$5&lt;&gt;$F$9,ROW(Lists!$F$2:$F$5)-ROW(Lists!$F$2)+1),3)),tblCovenantShortName[],2,FALSE),""))</f>
        <v>Lance</v>
      </c>
      <c r="G129" s="19"/>
      <c r="H129" s="19"/>
      <c r="I129" s="19"/>
      <c r="L129" s="4"/>
      <c r="P129" s="60">
        <f>L129</f>
        <v>0</v>
      </c>
      <c r="R129" s="61">
        <f>MAX(0,MIN(P126-1,5-L126-L127-L128))</f>
        <v>2</v>
      </c>
      <c r="Y129" s="15" t="s">
        <v>1482</v>
      </c>
      <c r="Z129" s="19"/>
      <c r="AA129" s="61" t="str">
        <f t="shared" si="21"/>
        <v/>
      </c>
    </row>
    <row r="130" spans="1:32">
      <c r="A130" s="1" t="s">
        <v>129</v>
      </c>
      <c r="B130" t="str">
        <f t="shared" si="20"/>
        <v>¬</v>
      </c>
      <c r="Y130" s="15" t="s">
        <v>1483</v>
      </c>
      <c r="Z130" s="19"/>
      <c r="AA130" s="61" t="str">
        <f t="shared" si="21"/>
        <v/>
      </c>
    </row>
    <row r="131" spans="1:32">
      <c r="A131" s="1" t="s">
        <v>130</v>
      </c>
      <c r="B131" t="str">
        <f t="shared" si="20"/>
        <v>¬</v>
      </c>
      <c r="D131" s="16" t="s">
        <v>1475</v>
      </c>
      <c r="E131" s="17"/>
      <c r="F131" s="16" t="s">
        <v>1446</v>
      </c>
      <c r="G131" s="17"/>
      <c r="H131" s="17"/>
      <c r="I131" s="17"/>
      <c r="Y131" s="15" t="s">
        <v>1484</v>
      </c>
      <c r="Z131" s="19"/>
      <c r="AA131" s="61" t="str">
        <f t="shared" si="21"/>
        <v/>
      </c>
    </row>
    <row r="132" spans="1:32">
      <c r="A132" s="1" t="s">
        <v>131</v>
      </c>
      <c r="B132" t="str">
        <f t="shared" si="20"/>
        <v>¬</v>
      </c>
      <c r="D132" s="19"/>
      <c r="E132" s="15" t="s">
        <v>94</v>
      </c>
      <c r="F132" s="3"/>
      <c r="G132" s="19"/>
      <c r="H132" s="19"/>
      <c r="I132" s="19"/>
      <c r="L132" s="4"/>
      <c r="M132" s="4"/>
      <c r="N132" s="4"/>
      <c r="O132" s="61">
        <f>N132</f>
        <v>0</v>
      </c>
      <c r="P132" s="60">
        <f>MIN(SUM(L132,M132,O132),R132)</f>
        <v>0</v>
      </c>
      <c r="Q132" s="61">
        <f>_xlfn.IFNA(VLOOKUP($E132,tblDomain[],3,FALSE),"")</f>
        <v>1</v>
      </c>
      <c r="R132" s="61">
        <f>_xlfn.IFNA(VLOOKUP($E132,tblDomain[],4,FALSE),"")</f>
        <v>5</v>
      </c>
      <c r="Y132" s="15" t="s">
        <v>1485</v>
      </c>
      <c r="Z132" s="19"/>
      <c r="AA132" s="61" t="str">
        <f t="shared" si="21"/>
        <v/>
      </c>
    </row>
    <row r="133" spans="1:32">
      <c r="A133" s="1" t="s">
        <v>132</v>
      </c>
      <c r="B133" t="str">
        <f t="shared" si="20"/>
        <v>¬</v>
      </c>
      <c r="D133" s="19"/>
      <c r="E133" s="15" t="s">
        <v>95</v>
      </c>
      <c r="F133" s="3"/>
      <c r="G133" s="19"/>
      <c r="H133" s="19"/>
      <c r="I133" s="19"/>
      <c r="L133" s="4"/>
      <c r="M133" s="4"/>
      <c r="N133" s="4"/>
      <c r="O133" s="61">
        <f>N133</f>
        <v>0</v>
      </c>
      <c r="P133" s="60">
        <f>MIN(SUM(L133,M133,O133),R133)</f>
        <v>0</v>
      </c>
      <c r="Q133" s="61">
        <f>_xlfn.IFNA(VLOOKUP($E133,tblDomain[],3,FALSE),"")</f>
        <v>1</v>
      </c>
      <c r="R133" s="61">
        <f>_xlfn.IFNA(VLOOKUP($E133,tblDomain[],4,FALSE),"")</f>
        <v>5</v>
      </c>
    </row>
    <row r="134" spans="1:32">
      <c r="A134" s="1" t="s">
        <v>133</v>
      </c>
      <c r="B134" t="str">
        <f t="shared" si="20"/>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2">_xlfn.LET(_xlpm.name,VLOOKUP(Y134,$E$2:$F$362,2,FALSE),_xlpm.note,VLOOKUP(Y134,$E$2:$G$362,3,FALSE),_xlpm.row,MATCH(Y134,$E$138:$E$157,0),_xlpm.dots,INDEX($P$138:$P$157,_xlpm.row),_xlpm.max,INDEX($Q$138:$Q$157,_xlpm.row),_xlpm.paid,_xlfn.IFNA(_xlpm.dots&gt;=_xlpm.max,FALSE),IF(AND(_xlpm.name&lt;&gt;"",_xlpm.paid),IF(_xlpm.note="",_xlpm.name,_xlpm.name&amp;" ("&amp;_xlpm.note&amp;")"),""))</f>
        <v>Contacts (street, transport, underworld)</v>
      </c>
      <c r="AC134" s="60" t="str" cm="1">
        <f t="array" ref="AC134:AC135">_xlfn.LET(_xlpm.raw,IFERROR(_xlfn.VSTACK(IFERROR(_xlfn._xlws.SORT(_xlfn._xlws.FILTER(AA134:AA211,AA134:AA211&lt;&gt;"")),""),IFERROR(_xlfn._xlws.SORT(_xlfn._xlws.FILTER(AA213:AA222,AA213:AA222&lt;&gt;"")),"")),""),_xlpm.sorted,IFERROR(_xlfn._xlws.FILTER(_xlpm.raw,_xlpm.raw&lt;&gt;""),""),IFERROR(LEFT(_xlpm.sorted,FIND(" (",_xlpm.sorted)-1),_xlpm.sorted))</f>
        <v>Allies</v>
      </c>
      <c r="AD134" s="20" t="str" cm="1">
        <f t="array" ref="AD134:AD135">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street</v>
      </c>
      <c r="AE134" s="20">
        <f t="shared" ref="AE134:AE153" si="23">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0</v>
      </c>
      <c r="AF134" s="61" cm="1">
        <f t="array" ref="AF134">IF(AC134="","",SUMPRODUCT(($F$138:$F$157=AC134)*($G$138:$G$157=IF(AD134="","",AD134))*$P$138:$P$157))</f>
        <v>1</v>
      </c>
    </row>
    <row r="135" spans="1:32">
      <c r="A135" s="1" t="s">
        <v>134</v>
      </c>
      <c r="B135" t="str">
        <f t="shared" si="20"/>
        <v>¬</v>
      </c>
      <c r="D135" s="19"/>
      <c r="E135" s="15" t="s">
        <v>97</v>
      </c>
      <c r="F135" s="19"/>
      <c r="G135" s="19"/>
      <c r="H135" s="19"/>
      <c r="I135" s="19"/>
      <c r="L135" s="4"/>
      <c r="M135" s="4"/>
      <c r="N135" s="4"/>
      <c r="O135" s="61">
        <f>N135</f>
        <v>0</v>
      </c>
      <c r="P135" s="60">
        <f>MIN(SUM(L135,M135,O135),R135)</f>
        <v>0</v>
      </c>
      <c r="Q135" s="61">
        <f>_xlfn.IFNA(VLOOKUP($E135,tblDomain[],3,FALSE),"")</f>
        <v>1</v>
      </c>
      <c r="R135" s="61">
        <f>_xlfn.IFNA(VLOOKUP($E135,tblDomain[],4,FALSE),"")</f>
        <v>5</v>
      </c>
      <c r="Y135" s="15" t="s">
        <v>177</v>
      </c>
      <c r="Z135" s="19"/>
      <c r="AA135" s="61" t="str">
        <f t="shared" si="22"/>
        <v>Allies (street)</v>
      </c>
      <c r="AC135" s="60" t="str">
        <v>Contacts</v>
      </c>
      <c r="AD135" s="20" t="str">
        <v>street, transport, underworld</v>
      </c>
      <c r="AE135" s="20">
        <f t="shared" si="23"/>
        <v>0</v>
      </c>
      <c r="AF135" s="61" cm="1">
        <f t="array" ref="AF135">IF(AC135="","",SUMPRODUCT(($F$138:$F$157=AC135)*($G$138:$G$157=IF(AD135="","",AD135))*$P$138:$P$157))</f>
        <v>3</v>
      </c>
    </row>
    <row r="136" spans="1:32">
      <c r="A136" s="1" t="s">
        <v>135</v>
      </c>
      <c r="B136" t="str">
        <f t="shared" si="20"/>
        <v>¬</v>
      </c>
      <c r="Y136" s="15" t="s">
        <v>178</v>
      </c>
      <c r="Z136" s="19"/>
      <c r="AA136" s="61" t="str">
        <f t="shared" si="22"/>
        <v/>
      </c>
      <c r="AC136" s="60"/>
      <c r="AD136" s="20"/>
      <c r="AE136" s="20" t="str">
        <f t="shared" si="23"/>
        <v/>
      </c>
      <c r="AF136" s="61" t="str" cm="1">
        <f t="array" ref="AF136">IF(AC136="","",SUMPRODUCT(($F$138:$F$157=AC136)*($G$138:$G$157=IF(AD136="","",AD136))*$P$138:$P$157))</f>
        <v/>
      </c>
    </row>
    <row r="137" spans="1:32">
      <c r="A137" s="1" t="s">
        <v>136</v>
      </c>
      <c r="B137" t="str">
        <f t="shared" si="20"/>
        <v>¬</v>
      </c>
      <c r="D137" s="16" t="s">
        <v>174</v>
      </c>
      <c r="E137" s="17"/>
      <c r="F137" s="17"/>
      <c r="G137" s="17"/>
      <c r="H137" s="61">
        <f>L225</f>
        <v>0</v>
      </c>
      <c r="I137" s="61">
        <f>SUM(AE134:AE155)+SUM(P125:P129)</f>
        <v>5</v>
      </c>
      <c r="Y137" s="15" t="s">
        <v>179</v>
      </c>
      <c r="Z137" s="19"/>
      <c r="AA137" s="61" t="str">
        <f t="shared" si="22"/>
        <v/>
      </c>
      <c r="AC137" s="60"/>
      <c r="AD137" s="20"/>
      <c r="AE137" s="20" t="str">
        <f t="shared" si="23"/>
        <v/>
      </c>
      <c r="AF137" s="61" t="str" cm="1">
        <f t="array" ref="AF137">IF(AC137="","",SUMPRODUCT(($F$138:$F$157=AC137)*($G$138:$G$157=IF(AD137="","",AD137))*$P$138:$P$157))</f>
        <v/>
      </c>
    </row>
    <row r="138" spans="1:32">
      <c r="A138" s="1" t="s">
        <v>137</v>
      </c>
      <c r="B138" t="str">
        <f t="shared" si="20"/>
        <v>¬</v>
      </c>
      <c r="D138" s="58" t="s">
        <v>1673</v>
      </c>
      <c r="E138" s="15" t="s">
        <v>176</v>
      </c>
      <c r="F138" s="3" t="s">
        <v>413</v>
      </c>
      <c r="G138" s="3" t="s">
        <v>1192</v>
      </c>
      <c r="H138" s="67" t="str">
        <f>IFERROR(IF(VLOOKUP(F138,tblManoeuvre[],8,FALSE)=0,"None",VLOOKUP(F138,tblManoeuvre[],8,FALSE)),"None")</f>
        <v>None</v>
      </c>
      <c r="I138" s="67"/>
      <c r="L138" s="4"/>
      <c r="M138" s="4">
        <v>2</v>
      </c>
      <c r="N138" s="4">
        <v>1</v>
      </c>
      <c r="O138" s="61">
        <f t="shared" ref="O138:O157" si="24">N138</f>
        <v>1</v>
      </c>
      <c r="P138" s="60">
        <f t="shared" ref="P138:P157" si="25">MIN(SUM(L138,M138,O138),R138)</f>
        <v>3</v>
      </c>
      <c r="Q138" s="61">
        <f>_xlfn.IFNA(VLOOKUP($F138,tblInfluence[],3,FALSE),"")</f>
        <v>1</v>
      </c>
      <c r="R138" s="61">
        <f>_xlfn.IFNA(VLOOKUP($F138,tblInfluence[],4,FALSE),"")</f>
        <v>5</v>
      </c>
      <c r="Y138" s="15" t="s">
        <v>180</v>
      </c>
      <c r="Z138" s="19"/>
      <c r="AA138" s="61" t="str">
        <f t="shared" si="22"/>
        <v/>
      </c>
      <c r="AC138" s="60"/>
      <c r="AD138" s="20"/>
      <c r="AE138" s="20" t="str">
        <f t="shared" si="23"/>
        <v/>
      </c>
      <c r="AF138" s="61" t="str" cm="1">
        <f t="array" ref="AF138">IF(AC138="","",SUMPRODUCT(($F$138:$F$157=AC138)*($G$138:$G$157=IF(AD138="","",AD138))*$P$138:$P$157))</f>
        <v/>
      </c>
    </row>
    <row r="139" spans="1:32">
      <c r="A139" s="1" t="s">
        <v>138</v>
      </c>
      <c r="B139" t="str">
        <f t="shared" si="20"/>
        <v>¬</v>
      </c>
      <c r="D139" s="19"/>
      <c r="E139" s="15" t="s">
        <v>177</v>
      </c>
      <c r="F139" s="3" t="s">
        <v>412</v>
      </c>
      <c r="G139" s="3" t="s">
        <v>1191</v>
      </c>
      <c r="H139" s="67" t="str">
        <f>IFERROR(IF(VLOOKUP(F139,tblManoeuvre[],8,FALSE)=0,"None",VLOOKUP(F139,tblManoeuvre[],8,FALSE)),"None")</f>
        <v>None</v>
      </c>
      <c r="I139" s="67"/>
      <c r="L139" s="4"/>
      <c r="M139" s="4"/>
      <c r="N139" s="4">
        <v>1</v>
      </c>
      <c r="O139" s="61">
        <f t="shared" si="24"/>
        <v>1</v>
      </c>
      <c r="P139" s="60">
        <f t="shared" si="25"/>
        <v>1</v>
      </c>
      <c r="Q139" s="61">
        <f>_xlfn.IFNA(VLOOKUP($F139,tblInfluence[],3,FALSE),"")</f>
        <v>1</v>
      </c>
      <c r="R139" s="61">
        <f>_xlfn.IFNA(VLOOKUP($F139,tblInfluence[],4,FALSE),"")</f>
        <v>5</v>
      </c>
      <c r="Y139" s="15" t="s">
        <v>181</v>
      </c>
      <c r="Z139" s="19"/>
      <c r="AA139" s="61" t="str">
        <f t="shared" si="22"/>
        <v/>
      </c>
      <c r="AC139" s="60"/>
      <c r="AD139" s="20"/>
      <c r="AE139" s="20" t="str">
        <f t="shared" si="23"/>
        <v/>
      </c>
      <c r="AF139" s="61" t="str" cm="1">
        <f t="array" ref="AF139">IF(AC139="","",SUMPRODUCT(($F$138:$F$157=AC139)*($G$138:$G$157=IF(AD139="","",AD139))*$P$138:$P$157))</f>
        <v/>
      </c>
    </row>
    <row r="140" spans="1:32">
      <c r="A140" s="1" t="s">
        <v>139</v>
      </c>
      <c r="B140" t="str">
        <f t="shared" si="20"/>
        <v>¬</v>
      </c>
      <c r="D140" s="19"/>
      <c r="E140" s="15" t="s">
        <v>178</v>
      </c>
      <c r="F140" s="3"/>
      <c r="G140" s="3"/>
      <c r="H140" s="67" t="str">
        <f>IFERROR(IF(VLOOKUP(F140,tblManoeuvre[],8,FALSE)=0,"None",VLOOKUP(F140,tblManoeuvre[],8,FALSE)),"None")</f>
        <v>None</v>
      </c>
      <c r="I140" s="67"/>
      <c r="L140" s="4"/>
      <c r="M140" s="4"/>
      <c r="N140" s="4"/>
      <c r="O140" s="61">
        <f t="shared" si="24"/>
        <v>0</v>
      </c>
      <c r="P140" s="60">
        <f t="shared" si="25"/>
        <v>0</v>
      </c>
      <c r="Q140" s="61" t="str">
        <f>_xlfn.IFNA(VLOOKUP($F140,tblInfluence[],3,FALSE),"")</f>
        <v/>
      </c>
      <c r="R140" s="61" t="str">
        <f>_xlfn.IFNA(VLOOKUP($F140,tblInfluence[],4,FALSE),"")</f>
        <v/>
      </c>
      <c r="Y140" s="15" t="s">
        <v>182</v>
      </c>
      <c r="Z140" s="19"/>
      <c r="AA140" s="61" t="str">
        <f t="shared" si="22"/>
        <v/>
      </c>
      <c r="AC140" s="60"/>
      <c r="AD140" s="20"/>
      <c r="AE140" s="20" t="str">
        <f t="shared" si="23"/>
        <v/>
      </c>
      <c r="AF140" s="61" t="str" cm="1">
        <f t="array" ref="AF140">IF(AC140="","",SUMPRODUCT(($F$138:$F$157=AC140)*($G$138:$G$157=IF(AD140="","",AD140))*$P$138:$P$157))</f>
        <v/>
      </c>
    </row>
    <row r="141" spans="1:32">
      <c r="A141" s="1" t="s">
        <v>140</v>
      </c>
      <c r="B141" t="str">
        <f t="shared" si="20"/>
        <v>¬</v>
      </c>
      <c r="D141" s="19"/>
      <c r="E141" s="15" t="s">
        <v>179</v>
      </c>
      <c r="F141" s="3"/>
      <c r="G141" s="3"/>
      <c r="H141" s="67" t="str">
        <f>IFERROR(IF(VLOOKUP(F141,tblManoeuvre[],8,FALSE)=0,"None",VLOOKUP(F141,tblManoeuvre[],8,FALSE)),"None")</f>
        <v>None</v>
      </c>
      <c r="I141" s="67"/>
      <c r="L141" s="4"/>
      <c r="M141" s="4"/>
      <c r="N141" s="4"/>
      <c r="O141" s="61">
        <f t="shared" si="24"/>
        <v>0</v>
      </c>
      <c r="P141" s="60">
        <f t="shared" si="25"/>
        <v>0</v>
      </c>
      <c r="Q141" s="61" t="str">
        <f>_xlfn.IFNA(VLOOKUP($F141,tblInfluence[],3,FALSE),"")</f>
        <v/>
      </c>
      <c r="R141" s="61" t="str">
        <f>_xlfn.IFNA(VLOOKUP($F141,tblInfluence[],4,FALSE),"")</f>
        <v/>
      </c>
      <c r="Y141" s="15" t="s">
        <v>183</v>
      </c>
      <c r="Z141" s="19"/>
      <c r="AA141" s="61" t="str">
        <f t="shared" si="22"/>
        <v/>
      </c>
      <c r="AC141" s="60"/>
      <c r="AD141" s="20"/>
      <c r="AE141" s="20" t="str">
        <f t="shared" si="23"/>
        <v/>
      </c>
      <c r="AF141" s="61" t="str" cm="1">
        <f t="array" ref="AF141">IF(AC141="","",SUMPRODUCT(($F$138:$F$157=AC141)*($G$138:$G$157=IF(AD141="","",AD141))*$P$138:$P$157))</f>
        <v/>
      </c>
    </row>
    <row r="142" spans="1:32">
      <c r="A142" s="1" t="s">
        <v>141</v>
      </c>
      <c r="B142" t="str">
        <f t="shared" si="20"/>
        <v>¬</v>
      </c>
      <c r="D142" s="19"/>
      <c r="E142" s="15" t="s">
        <v>180</v>
      </c>
      <c r="F142" s="3"/>
      <c r="G142" s="3"/>
      <c r="H142" s="67" t="str">
        <f>IFERROR(IF(VLOOKUP(F142,tblManoeuvre[],8,FALSE)=0,"None",VLOOKUP(F142,tblManoeuvre[],8,FALSE)),"None")</f>
        <v>None</v>
      </c>
      <c r="I142" s="67"/>
      <c r="L142" s="4"/>
      <c r="M142" s="4"/>
      <c r="N142" s="4"/>
      <c r="O142" s="61">
        <f t="shared" si="24"/>
        <v>0</v>
      </c>
      <c r="P142" s="60">
        <f t="shared" si="25"/>
        <v>0</v>
      </c>
      <c r="Q142" s="61" t="str">
        <f>_xlfn.IFNA(VLOOKUP($F142,tblInfluence[],3,FALSE),"")</f>
        <v/>
      </c>
      <c r="R142" s="61" t="str">
        <f>_xlfn.IFNA(VLOOKUP($F142,tblInfluence[],4,FALSE),"")</f>
        <v/>
      </c>
      <c r="Y142" s="15" t="s">
        <v>184</v>
      </c>
      <c r="Z142" s="19"/>
      <c r="AA142" s="61" t="str">
        <f t="shared" si="22"/>
        <v/>
      </c>
      <c r="AC142" s="60"/>
      <c r="AD142" s="20"/>
      <c r="AE142" s="20" t="str">
        <f t="shared" si="23"/>
        <v/>
      </c>
      <c r="AF142" s="61" t="str" cm="1">
        <f t="array" ref="AF142">IF(AC142="","",SUMPRODUCT(($F$138:$F$157=AC142)*($G$138:$G$157=IF(AD142="","",AD142))*$P$138:$P$157))</f>
        <v/>
      </c>
    </row>
    <row r="143" spans="1:32">
      <c r="A143" s="1" t="s">
        <v>142</v>
      </c>
      <c r="B143" t="str">
        <f t="shared" si="20"/>
        <v>¬</v>
      </c>
      <c r="D143" s="19"/>
      <c r="E143" s="15" t="s">
        <v>181</v>
      </c>
      <c r="F143" s="3"/>
      <c r="G143" s="3" t="str">
        <f>IFERROR(VLOOKUP(F143,tblManoeuvre[],2,FALSE)&amp;" "&amp;VLOOKUP(F143,tblManoeuvre[],3,FALSE),"")</f>
        <v/>
      </c>
      <c r="H143" s="67" t="str">
        <f>IFERROR(IF(VLOOKUP(F143,tblManoeuvre[],8,FALSE)=0,"None",VLOOKUP(F143,tblManoeuvre[],8,FALSE)),"None")</f>
        <v>None</v>
      </c>
      <c r="I143" s="67"/>
      <c r="L143" s="4"/>
      <c r="M143" s="4"/>
      <c r="N143" s="4"/>
      <c r="O143" s="61">
        <f t="shared" si="24"/>
        <v>0</v>
      </c>
      <c r="P143" s="60">
        <f t="shared" si="25"/>
        <v>0</v>
      </c>
      <c r="Q143" s="61" t="str">
        <f>_xlfn.IFNA(VLOOKUP($F143,tblInfluence[],3,FALSE),"")</f>
        <v/>
      </c>
      <c r="R143" s="61" t="str">
        <f>_xlfn.IFNA(VLOOKUP($F143,tblInfluence[],4,FALSE),"")</f>
        <v/>
      </c>
      <c r="Y143" s="15" t="s">
        <v>185</v>
      </c>
      <c r="Z143" s="19"/>
      <c r="AA143" s="61" t="str">
        <f t="shared" si="22"/>
        <v/>
      </c>
      <c r="AC143" s="60"/>
      <c r="AD143" s="20"/>
      <c r="AE143" s="20" t="str">
        <f t="shared" si="23"/>
        <v/>
      </c>
      <c r="AF143" s="61" t="str" cm="1">
        <f t="array" ref="AF143">IF(AC143="","",SUMPRODUCT(($F$138:$F$157=AC143)*($G$138:$G$157=IF(AD143="","",AD143))*$P$138:$P$157))</f>
        <v/>
      </c>
    </row>
    <row r="144" spans="1:32">
      <c r="A144" s="1" t="s">
        <v>143</v>
      </c>
      <c r="B144" t="str">
        <f t="shared" si="20"/>
        <v>¬</v>
      </c>
      <c r="D144" s="19"/>
      <c r="E144" s="15" t="s">
        <v>182</v>
      </c>
      <c r="F144" s="3"/>
      <c r="G144" s="3"/>
      <c r="H144" s="67" t="str">
        <f>IFERROR(IF(VLOOKUP(F144,tblManoeuvre[],8,FALSE)=0,"None",VLOOKUP(F144,tblManoeuvre[],8,FALSE)),"None")</f>
        <v>None</v>
      </c>
      <c r="I144" s="67"/>
      <c r="L144" s="4"/>
      <c r="M144" s="4"/>
      <c r="N144" s="4"/>
      <c r="O144" s="61">
        <f t="shared" si="24"/>
        <v>0</v>
      </c>
      <c r="P144" s="60">
        <f t="shared" si="25"/>
        <v>0</v>
      </c>
      <c r="Q144" s="61" t="str">
        <f>_xlfn.IFNA(VLOOKUP($F144,tblInfluence[],3,FALSE),"")</f>
        <v/>
      </c>
      <c r="R144" s="61" t="str">
        <f>_xlfn.IFNA(VLOOKUP($F144,tblInfluence[],4,FALSE),"")</f>
        <v/>
      </c>
      <c r="Y144" s="15" t="s">
        <v>186</v>
      </c>
      <c r="Z144" s="19"/>
      <c r="AA144" s="61" t="str">
        <f t="shared" si="22"/>
        <v/>
      </c>
      <c r="AC144" s="60"/>
      <c r="AD144" s="20"/>
      <c r="AE144" s="20" t="str">
        <f t="shared" si="23"/>
        <v/>
      </c>
      <c r="AF144" s="61" t="str" cm="1">
        <f t="array" ref="AF144">IF(AC144="","",SUMPRODUCT(($F$138:$F$157=AC144)*($G$138:$G$157=IF(AD144="","",AD144))*$P$138:$P$157))</f>
        <v/>
      </c>
    </row>
    <row r="145" spans="1:32">
      <c r="A145" s="1" t="s">
        <v>144</v>
      </c>
      <c r="B145" t="str">
        <f t="shared" ref="B145:B174" si="26">IF(AF2="","¬",AF2)</f>
        <v>Monthly, access Carthian Status in dots of Allies, Contacts, Haven or Herd.</v>
      </c>
      <c r="D145" s="19"/>
      <c r="E145" s="15" t="s">
        <v>183</v>
      </c>
      <c r="F145" s="3"/>
      <c r="G145" s="3" t="str">
        <f>IFERROR(VLOOKUP(F145,tblManoeuvre[],2,FALSE)&amp;" "&amp;VLOOKUP(F145,tblManoeuvre[],3,FALSE),"")</f>
        <v/>
      </c>
      <c r="H145" s="67" t="str">
        <f>IFERROR(IF(VLOOKUP(F145,tblManoeuvre[],8,FALSE)=0,"None",VLOOKUP(F145,tblManoeuvre[],8,FALSE)),"None")</f>
        <v>None</v>
      </c>
      <c r="I145" s="67"/>
      <c r="L145" s="4"/>
      <c r="M145" s="4"/>
      <c r="N145" s="4"/>
      <c r="O145" s="61">
        <f t="shared" si="24"/>
        <v>0</v>
      </c>
      <c r="P145" s="60">
        <f t="shared" si="25"/>
        <v>0</v>
      </c>
      <c r="Q145" s="61" t="str">
        <f>_xlfn.IFNA(VLOOKUP($F145,tblInfluence[],3,FALSE),"")</f>
        <v/>
      </c>
      <c r="R145" s="61" t="str">
        <f>_xlfn.IFNA(VLOOKUP($F145,tblInfluence[],4,FALSE),"")</f>
        <v/>
      </c>
      <c r="Y145" s="15" t="s">
        <v>187</v>
      </c>
      <c r="Z145" s="19"/>
      <c r="AA145" s="61" t="str">
        <f t="shared" si="22"/>
        <v/>
      </c>
      <c r="AC145" s="60"/>
      <c r="AD145" s="20"/>
      <c r="AE145" s="20" t="str">
        <f t="shared" si="23"/>
        <v/>
      </c>
      <c r="AF145" s="61" t="str" cm="1">
        <f t="array" ref="AF145">IF(AC145="","",SUMPRODUCT(($F$138:$F$157=AC145)*($G$138:$G$157=IF(AD145="","",AD145))*$P$138:$P$157))</f>
        <v/>
      </c>
    </row>
    <row r="146" spans="1:32">
      <c r="A146" s="1" t="s">
        <v>145</v>
      </c>
      <c r="B146" t="str">
        <f t="shared" si="26"/>
        <v>Sacrifice your Defence and your second turn to add your Willpower as bonus dice to attack on your first turn.</v>
      </c>
      <c r="D146" s="19"/>
      <c r="E146" s="15" t="s">
        <v>184</v>
      </c>
      <c r="F146" s="3"/>
      <c r="G146" s="3" t="str">
        <f>IFERROR(VLOOKUP(F146,tblManoeuvre[],2,FALSE)&amp;" "&amp;VLOOKUP(F146,tblManoeuvre[],3,FALSE),"")</f>
        <v/>
      </c>
      <c r="H146" s="67" t="str">
        <f>IFERROR(IF(VLOOKUP(F146,tblManoeuvre[],8,FALSE)=0,"None",VLOOKUP(F146,tblManoeuvre[],8,FALSE)),"None")</f>
        <v>None</v>
      </c>
      <c r="I146" s="67"/>
      <c r="L146" s="4"/>
      <c r="M146" s="4"/>
      <c r="N146" s="4"/>
      <c r="O146" s="61">
        <f t="shared" si="24"/>
        <v>0</v>
      </c>
      <c r="P146" s="60">
        <f t="shared" si="25"/>
        <v>0</v>
      </c>
      <c r="Q146" s="61" t="str">
        <f>_xlfn.IFNA(VLOOKUP($F146,tblInfluence[],3,FALSE),"")</f>
        <v/>
      </c>
      <c r="R146" s="61" t="str">
        <f>_xlfn.IFNA(VLOOKUP($F146,tblInfluence[],4,FALSE),"")</f>
        <v/>
      </c>
      <c r="Y146" s="15" t="s">
        <v>188</v>
      </c>
      <c r="Z146" s="19"/>
      <c r="AA146" s="61" t="str">
        <f t="shared" si="22"/>
        <v/>
      </c>
      <c r="AC146" s="60"/>
      <c r="AD146" s="20"/>
      <c r="AE146" s="20" t="str">
        <f t="shared" si="23"/>
        <v/>
      </c>
      <c r="AF146" s="61" t="str" cm="1">
        <f t="array" ref="AF146">IF(AC146="","",SUMPRODUCT(($F$138:$F$157=AC146)*($G$138:$G$157=IF(AD146="","",AD146))*$P$138:$P$157))</f>
        <v/>
      </c>
    </row>
    <row r="147" spans="1:32">
      <c r="A147" s="1" t="s">
        <v>146</v>
      </c>
      <c r="B147" t="str">
        <f t="shared" si="26"/>
        <v>Add your full Willpower value when spending a point to contest or resist social or mental coercion in a combat situation.</v>
      </c>
      <c r="D147" s="19"/>
      <c r="E147" s="15" t="s">
        <v>185</v>
      </c>
      <c r="F147" s="3"/>
      <c r="G147" s="3" t="str">
        <f>IFERROR(VLOOKUP(F147,tblManoeuvre[],2,FALSE)&amp;" "&amp;VLOOKUP(F147,tblManoeuvre[],3,FALSE),"")</f>
        <v/>
      </c>
      <c r="H147" s="67" t="str">
        <f>IFERROR(IF(VLOOKUP(F147,tblManoeuvre[],8,FALSE)=0,"None",VLOOKUP(F147,tblManoeuvre[],8,FALSE)),"None")</f>
        <v>None</v>
      </c>
      <c r="I147" s="67"/>
      <c r="L147" s="4"/>
      <c r="M147" s="4"/>
      <c r="N147" s="4"/>
      <c r="O147" s="61">
        <f t="shared" si="24"/>
        <v>0</v>
      </c>
      <c r="P147" s="60">
        <f t="shared" si="25"/>
        <v>0</v>
      </c>
      <c r="Q147" s="61" t="str">
        <f>_xlfn.IFNA(VLOOKUP($F147,tblInfluence[],3,FALSE),"")</f>
        <v/>
      </c>
      <c r="R147" s="61" t="str">
        <f>_xlfn.IFNA(VLOOKUP($F147,tblInfluence[],4,FALSE),"")</f>
        <v/>
      </c>
      <c r="Y147" s="15" t="s">
        <v>189</v>
      </c>
      <c r="Z147" s="19"/>
      <c r="AA147" s="61" t="str">
        <f t="shared" si="22"/>
        <v/>
      </c>
      <c r="AC147" s="60"/>
      <c r="AD147" s="20"/>
      <c r="AE147" s="20" t="str">
        <f t="shared" si="23"/>
        <v/>
      </c>
      <c r="AF147" s="61" t="str" cm="1">
        <f t="array" ref="AF147">IF(AC147="","",SUMPRODUCT(($F$138:$F$157=AC147)*($G$138:$G$157=IF(AD147="","",AD147))*$P$138:$P$157))</f>
        <v/>
      </c>
    </row>
    <row r="148" spans="1:32">
      <c r="A148" s="1" t="s">
        <v>147</v>
      </c>
      <c r="B148" t="str">
        <f t="shared" si="26"/>
        <v>During combat only, ignore wound penalties and do not fall to torpor from injury.</v>
      </c>
      <c r="D148" s="19"/>
      <c r="E148" s="15" t="s">
        <v>186</v>
      </c>
      <c r="F148" s="3"/>
      <c r="G148" s="3" t="str">
        <f>IFERROR(VLOOKUP(F148,tblManoeuvre[],2,FALSE)&amp;" "&amp;VLOOKUP(F148,tblManoeuvre[],3,FALSE),"")</f>
        <v/>
      </c>
      <c r="H148" s="67" t="str">
        <f>IFERROR(IF(VLOOKUP(F148,tblManoeuvre[],8,FALSE)=0,"None",VLOOKUP(F148,tblManoeuvre[],8,FALSE)),"None")</f>
        <v>None</v>
      </c>
      <c r="I148" s="67"/>
      <c r="L148" s="4"/>
      <c r="M148" s="4"/>
      <c r="N148" s="4"/>
      <c r="O148" s="61">
        <f t="shared" si="24"/>
        <v>0</v>
      </c>
      <c r="P148" s="60">
        <f t="shared" si="25"/>
        <v>0</v>
      </c>
      <c r="Q148" s="61" t="str">
        <f>_xlfn.IFNA(VLOOKUP($F148,tblInfluence[],3,FALSE),"")</f>
        <v/>
      </c>
      <c r="R148" s="61" t="str">
        <f>_xlfn.IFNA(VLOOKUP($F148,tblInfluence[],4,FALSE),"")</f>
        <v/>
      </c>
      <c r="Y148" s="15" t="s">
        <v>190</v>
      </c>
      <c r="Z148" s="19"/>
      <c r="AA148" s="61" t="str">
        <f t="shared" si="22"/>
        <v/>
      </c>
      <c r="AC148" s="60"/>
      <c r="AD148" s="20"/>
      <c r="AE148" s="20" t="str">
        <f t="shared" si="23"/>
        <v/>
      </c>
      <c r="AF148" s="61" t="str" cm="1">
        <f t="array" ref="AF148">IF(AC148="","",SUMPRODUCT(($F$138:$F$157=AC148)*($G$138:$G$157=IF(AD148="","",AD148))*$P$138:$P$157))</f>
        <v/>
      </c>
    </row>
    <row r="149" spans="1:32">
      <c r="A149" s="1" t="s">
        <v>148</v>
      </c>
      <c r="B149" t="str">
        <f t="shared" si="26"/>
        <v>Use Damage manoeuvre instantly in a grapple.</v>
      </c>
      <c r="D149" s="19"/>
      <c r="E149" s="15" t="s">
        <v>187</v>
      </c>
      <c r="F149" s="3"/>
      <c r="G149" s="3" t="str">
        <f>IFERROR(VLOOKUP(F149,tblManoeuvre[],2,FALSE)&amp;" "&amp;VLOOKUP(F149,tblManoeuvre[],3,FALSE),"")</f>
        <v/>
      </c>
      <c r="H149" s="67" t="str">
        <f>IFERROR(IF(VLOOKUP(F149,tblManoeuvre[],8,FALSE)=0,"None",VLOOKUP(F149,tblManoeuvre[],8,FALSE)),"None")</f>
        <v>None</v>
      </c>
      <c r="I149" s="67"/>
      <c r="L149" s="4"/>
      <c r="M149" s="4"/>
      <c r="N149" s="4"/>
      <c r="O149" s="61">
        <f t="shared" si="24"/>
        <v>0</v>
      </c>
      <c r="P149" s="60">
        <f t="shared" si="25"/>
        <v>0</v>
      </c>
      <c r="Q149" s="61" t="str">
        <f>_xlfn.IFNA(VLOOKUP($F149,tblInfluence[],3,FALSE),"")</f>
        <v/>
      </c>
      <c r="R149" s="61" t="str">
        <f>_xlfn.IFNA(VLOOKUP($F149,tblInfluence[],4,FALSE),"")</f>
        <v/>
      </c>
      <c r="Y149" s="15" t="s">
        <v>191</v>
      </c>
      <c r="Z149" s="19"/>
      <c r="AA149" s="61" t="str">
        <f t="shared" si="22"/>
        <v/>
      </c>
      <c r="AC149" s="60"/>
      <c r="AD149" s="20"/>
      <c r="AE149" s="20" t="str">
        <f t="shared" si="23"/>
        <v/>
      </c>
      <c r="AF149" s="61" t="str" cm="1">
        <f t="array" ref="AF149">IF(AC149="","",SUMPRODUCT(($F$138:$F$157=AC149)*($G$138:$G$157=IF(AD149="","",AD149))*$P$138:$P$157))</f>
        <v/>
      </c>
    </row>
    <row r="150" spans="1:32">
      <c r="A150" s="1" t="s">
        <v>149</v>
      </c>
      <c r="B150" t="str">
        <f t="shared" si="26"/>
        <v>¬</v>
      </c>
      <c r="D150" s="19"/>
      <c r="E150" s="15" t="s">
        <v>188</v>
      </c>
      <c r="F150" s="3"/>
      <c r="G150" s="3" t="str">
        <f>IFERROR(VLOOKUP(F150,tblManoeuvre[],2,FALSE)&amp;" "&amp;VLOOKUP(F150,tblManoeuvre[],3,FALSE),"")</f>
        <v/>
      </c>
      <c r="H150" s="67" t="str">
        <f>IFERROR(IF(VLOOKUP(F150,tblManoeuvre[],8,FALSE)=0,"None",VLOOKUP(F150,tblManoeuvre[],8,FALSE)),"None")</f>
        <v>None</v>
      </c>
      <c r="I150" s="67"/>
      <c r="L150" s="4"/>
      <c r="M150" s="4"/>
      <c r="N150" s="4"/>
      <c r="O150" s="61">
        <f t="shared" si="24"/>
        <v>0</v>
      </c>
      <c r="P150" s="60">
        <f t="shared" si="25"/>
        <v>0</v>
      </c>
      <c r="Q150" s="61" t="str">
        <f>_xlfn.IFNA(VLOOKUP($F150,tblInfluence[],3,FALSE),"")</f>
        <v/>
      </c>
      <c r="R150" s="61" t="str">
        <f>_xlfn.IFNA(VLOOKUP($F150,tblInfluence[],4,FALSE),"")</f>
        <v/>
      </c>
      <c r="Y150" s="15" t="s">
        <v>192</v>
      </c>
      <c r="Z150" s="19"/>
      <c r="AA150" s="61" t="str">
        <f t="shared" si="22"/>
        <v/>
      </c>
      <c r="AC150" s="60"/>
      <c r="AD150" s="20"/>
      <c r="AE150" s="20" t="str">
        <f t="shared" si="23"/>
        <v/>
      </c>
      <c r="AF150" s="61" t="str" cm="1">
        <f t="array" ref="AF150">IF(AC150="","",SUMPRODUCT(($F$138:$F$157=AC150)*($G$138:$G$157=IF(AD150="","",AD150))*$P$138:$P$157))</f>
        <v/>
      </c>
    </row>
    <row r="151" spans="1:32">
      <c r="A151" s="1" t="s">
        <v>150</v>
      </c>
      <c r="B151" t="str">
        <f t="shared" si="26"/>
        <v>¬</v>
      </c>
      <c r="D151" s="19"/>
      <c r="E151" s="15" t="s">
        <v>189</v>
      </c>
      <c r="F151" s="3"/>
      <c r="G151" s="3" t="str">
        <f>IFERROR(VLOOKUP(F151,tblManoeuvre[],2,FALSE)&amp;" "&amp;VLOOKUP(F151,tblManoeuvre[],3,FALSE),"")</f>
        <v/>
      </c>
      <c r="H151" s="67" t="str">
        <f>IFERROR(IF(VLOOKUP(F151,tblManoeuvre[],8,FALSE)=0,"None",VLOOKUP(F151,tblManoeuvre[],8,FALSE)),"None")</f>
        <v>None</v>
      </c>
      <c r="I151" s="67"/>
      <c r="L151" s="4"/>
      <c r="M151" s="4"/>
      <c r="N151" s="4"/>
      <c r="O151" s="61">
        <f t="shared" si="24"/>
        <v>0</v>
      </c>
      <c r="P151" s="60">
        <f t="shared" si="25"/>
        <v>0</v>
      </c>
      <c r="Q151" s="61" t="str">
        <f>_xlfn.IFNA(VLOOKUP($F151,tblInfluence[],3,FALSE),"")</f>
        <v/>
      </c>
      <c r="R151" s="61" t="str">
        <f>_xlfn.IFNA(VLOOKUP($F151,tblInfluence[],4,FALSE),"")</f>
        <v/>
      </c>
      <c r="Y151" s="15" t="s">
        <v>193</v>
      </c>
      <c r="Z151" s="19"/>
      <c r="AA151" s="61" t="str">
        <f t="shared" si="22"/>
        <v/>
      </c>
      <c r="AC151" s="60"/>
      <c r="AD151" s="20"/>
      <c r="AE151" s="20" t="str">
        <f t="shared" si="23"/>
        <v/>
      </c>
      <c r="AF151" s="61" t="str" cm="1">
        <f t="array" ref="AF151">IF(AC151="","",SUMPRODUCT(($F$138:$F$157=AC151)*($G$138:$G$157=IF(AD151="","",AD151))*$P$138:$P$157))</f>
        <v/>
      </c>
    </row>
    <row r="152" spans="1:32">
      <c r="A152" s="1" t="s">
        <v>151</v>
      </c>
      <c r="B152" t="str">
        <f t="shared" si="26"/>
        <v>¬</v>
      </c>
      <c r="D152" s="19"/>
      <c r="E152" s="15" t="s">
        <v>190</v>
      </c>
      <c r="F152" s="3"/>
      <c r="G152" s="3" t="str">
        <f>IFERROR(VLOOKUP(F152,tblManoeuvre[],2,FALSE)&amp;" "&amp;VLOOKUP(F152,tblManoeuvre[],3,FALSE),"")</f>
        <v/>
      </c>
      <c r="H152" s="67" t="str">
        <f>IFERROR(IF(VLOOKUP(F152,tblManoeuvre[],8,FALSE)=0,"None",VLOOKUP(F152,tblManoeuvre[],8,FALSE)),"None")</f>
        <v>None</v>
      </c>
      <c r="I152" s="67"/>
      <c r="L152" s="4"/>
      <c r="M152" s="4"/>
      <c r="N152" s="4"/>
      <c r="O152" s="61">
        <f t="shared" si="24"/>
        <v>0</v>
      </c>
      <c r="P152" s="60">
        <f t="shared" si="25"/>
        <v>0</v>
      </c>
      <c r="Q152" s="61" t="str">
        <f>_xlfn.IFNA(VLOOKUP($F152,tblInfluence[],3,FALSE),"")</f>
        <v/>
      </c>
      <c r="R152" s="61" t="str">
        <f>_xlfn.IFNA(VLOOKUP($F152,tblInfluence[],4,FALSE),"")</f>
        <v/>
      </c>
      <c r="Y152" s="15" t="s">
        <v>194</v>
      </c>
      <c r="Z152" s="19"/>
      <c r="AA152" s="61" t="str">
        <f t="shared" si="22"/>
        <v/>
      </c>
      <c r="AC152" s="60"/>
      <c r="AD152" s="20"/>
      <c r="AE152" s="20" t="str">
        <f t="shared" si="23"/>
        <v/>
      </c>
      <c r="AF152" s="61" t="str" cm="1">
        <f t="array" ref="AF152">IF(AC152="","",SUMPRODUCT(($F$138:$F$157=AC152)*($G$138:$G$157=IF(AD152="","",AD152))*$P$138:$P$157))</f>
        <v/>
      </c>
    </row>
    <row r="153" spans="1:32">
      <c r="A153" s="1" t="s">
        <v>152</v>
      </c>
      <c r="B153" t="str">
        <f t="shared" si="26"/>
        <v>¬</v>
      </c>
      <c r="D153" s="19"/>
      <c r="E153" s="15" t="s">
        <v>191</v>
      </c>
      <c r="F153" s="3"/>
      <c r="G153" s="3" t="str">
        <f>IFERROR(VLOOKUP(F153,tblManoeuvre[],2,FALSE)&amp;" "&amp;VLOOKUP(F153,tblManoeuvre[],3,FALSE),"")</f>
        <v/>
      </c>
      <c r="H153" s="67" t="str">
        <f>IFERROR(IF(VLOOKUP(F153,tblManoeuvre[],8,FALSE)=0,"None",VLOOKUP(F153,tblManoeuvre[],8,FALSE)),"None")</f>
        <v>None</v>
      </c>
      <c r="I153" s="67"/>
      <c r="L153" s="4"/>
      <c r="M153" s="4"/>
      <c r="N153" s="4"/>
      <c r="O153" s="61">
        <f t="shared" si="24"/>
        <v>0</v>
      </c>
      <c r="P153" s="60">
        <f t="shared" si="25"/>
        <v>0</v>
      </c>
      <c r="Q153" s="61" t="str">
        <f>_xlfn.IFNA(VLOOKUP($F153,tblInfluence[],3,FALSE),"")</f>
        <v/>
      </c>
      <c r="R153" s="61" t="str">
        <f>_xlfn.IFNA(VLOOKUP($F153,tblInfluence[],4,FALSE),"")</f>
        <v/>
      </c>
      <c r="Y153" s="15" t="s">
        <v>195</v>
      </c>
      <c r="Z153" s="19"/>
      <c r="AA153" s="61" t="str">
        <f t="shared" si="22"/>
        <v/>
      </c>
      <c r="AC153" s="60"/>
      <c r="AD153" s="20"/>
      <c r="AE153" s="20" t="str">
        <f t="shared" si="23"/>
        <v/>
      </c>
      <c r="AF153" s="61" t="str" cm="1">
        <f t="array" ref="AF153">IF(AC153="","",SUMPRODUCT(($F$138:$F$157=AC153)*($G$138:$G$157=IF(AD153="","",AD153))*$P$138:$P$157))</f>
        <v/>
      </c>
    </row>
    <row r="154" spans="1:32">
      <c r="A154" s="1" t="s">
        <v>153</v>
      </c>
      <c r="B154" t="str">
        <f t="shared" si="26"/>
        <v>¬</v>
      </c>
      <c r="D154" s="19"/>
      <c r="E154" s="15" t="s">
        <v>192</v>
      </c>
      <c r="F154" s="3"/>
      <c r="G154" s="3" t="str">
        <f>IFERROR(VLOOKUP(F154,tblManoeuvre[],2,FALSE)&amp;" "&amp;VLOOKUP(F154,tblManoeuvre[],3,FALSE),"")</f>
        <v/>
      </c>
      <c r="H154" s="67" t="str">
        <f>IFERROR(IF(VLOOKUP(F154,tblManoeuvre[],8,FALSE)=0,"None",VLOOKUP(F154,tblManoeuvre[],8,FALSE)),"None")</f>
        <v>None</v>
      </c>
      <c r="I154" s="67"/>
      <c r="L154" s="4"/>
      <c r="M154" s="4"/>
      <c r="N154" s="4"/>
      <c r="O154" s="61">
        <f t="shared" si="24"/>
        <v>0</v>
      </c>
      <c r="P154" s="60">
        <f t="shared" si="25"/>
        <v>0</v>
      </c>
      <c r="Q154" s="61" t="str">
        <f>_xlfn.IFNA(VLOOKUP($F154,tblInfluence[],3,FALSE),"")</f>
        <v/>
      </c>
      <c r="R154" s="61" t="str">
        <f>_xlfn.IFNA(VLOOKUP($F154,tblInfluence[],4,FALSE),"")</f>
        <v/>
      </c>
    </row>
    <row r="155" spans="1:32">
      <c r="A155" s="1" t="s">
        <v>154</v>
      </c>
      <c r="B155" t="str">
        <f t="shared" si="26"/>
        <v>¬</v>
      </c>
      <c r="D155" s="19"/>
      <c r="E155" s="15" t="s">
        <v>193</v>
      </c>
      <c r="F155" s="3"/>
      <c r="G155" s="3" t="str">
        <f>IFERROR(VLOOKUP(F155,tblManoeuvre[],2,FALSE)&amp;" "&amp;VLOOKUP(F155,tblManoeuvre[],3,FALSE),"")</f>
        <v/>
      </c>
      <c r="H155" s="67" t="str">
        <f>IFERROR(IF(VLOOKUP(F155,tblManoeuvre[],8,FALSE)=0,"None",VLOOKUP(F155,tblManoeuvre[],8,FALSE)),"None")</f>
        <v>None</v>
      </c>
      <c r="I155" s="67"/>
      <c r="L155" s="4"/>
      <c r="M155" s="4"/>
      <c r="N155" s="4"/>
      <c r="O155" s="61">
        <f t="shared" si="24"/>
        <v>0</v>
      </c>
      <c r="P155" s="60">
        <f t="shared" si="25"/>
        <v>0</v>
      </c>
      <c r="Q155" s="61" t="str">
        <f>_xlfn.IFNA(VLOOKUP($F155,tblInfluence[],3,FALSE),"")</f>
        <v/>
      </c>
      <c r="R155" s="61" t="str">
        <f>_xlfn.IFNA(VLOOKUP($F155,tblInfluence[],4,FALSE),"")</f>
        <v/>
      </c>
      <c r="AE155" s="61">
        <f>IF(P160=5,1,0)</f>
        <v>0</v>
      </c>
    </row>
    <row r="156" spans="1:32">
      <c r="A156" s="1" t="s">
        <v>155</v>
      </c>
      <c r="B156" t="str">
        <f t="shared" si="26"/>
        <v>¬</v>
      </c>
      <c r="D156" s="19"/>
      <c r="E156" s="15" t="s">
        <v>194</v>
      </c>
      <c r="F156" s="3"/>
      <c r="G156" s="3" t="str">
        <f>IFERROR(VLOOKUP(F156,tblManoeuvre[],2,FALSE)&amp;" "&amp;VLOOKUP(F156,tblManoeuvre[],3,FALSE),"")</f>
        <v/>
      </c>
      <c r="H156" s="67" t="str">
        <f>IFERROR(IF(VLOOKUP(F156,tblManoeuvre[],8,FALSE)=0,"None",VLOOKUP(F156,tblManoeuvre[],8,FALSE)),"None")</f>
        <v>None</v>
      </c>
      <c r="I156" s="67"/>
      <c r="L156" s="4"/>
      <c r="M156" s="4"/>
      <c r="N156" s="4"/>
      <c r="O156" s="61">
        <f t="shared" si="24"/>
        <v>0</v>
      </c>
      <c r="P156" s="60">
        <f t="shared" si="25"/>
        <v>0</v>
      </c>
      <c r="Q156" s="61" t="str">
        <f>_xlfn.IFNA(VLOOKUP($F156,tblInfluence[],3,FALSE),"")</f>
        <v/>
      </c>
      <c r="R156" s="61" t="str">
        <f>_xlfn.IFNA(VLOOKUP($F156,tblInfluence[],4,FALSE),"")</f>
        <v/>
      </c>
      <c r="AE156" s="61" t="b">
        <f>COUNTIF(AA2:AA21,"*Honey With Vinegar*")&gt;0</f>
        <v>0</v>
      </c>
    </row>
    <row r="157" spans="1:32">
      <c r="A157" s="1" t="s">
        <v>156</v>
      </c>
      <c r="B157" t="str">
        <f t="shared" si="26"/>
        <v>¬</v>
      </c>
      <c r="D157" s="19"/>
      <c r="E157" s="15" t="s">
        <v>195</v>
      </c>
      <c r="F157" s="3"/>
      <c r="G157" s="3" t="str">
        <f>IFERROR(VLOOKUP(F157,tblManoeuvre[],2,FALSE)&amp;" "&amp;VLOOKUP(F157,tblManoeuvre[],3,FALSE),"")</f>
        <v/>
      </c>
      <c r="H157" s="67" t="str">
        <f>IFERROR(IF(VLOOKUP(F157,tblManoeuvre[],8,FALSE)=0,"None",VLOOKUP(F157,tblManoeuvre[],8,FALSE)),"None")</f>
        <v>None</v>
      </c>
      <c r="I157" s="67"/>
      <c r="L157" s="4"/>
      <c r="M157" s="4"/>
      <c r="N157" s="4"/>
      <c r="O157" s="61">
        <f t="shared" si="24"/>
        <v>0</v>
      </c>
      <c r="P157" s="60">
        <f t="shared" si="25"/>
        <v>0</v>
      </c>
      <c r="Q157" s="61" t="str">
        <f>_xlfn.IFNA(VLOOKUP($F157,tblInfluence[],3,FALSE),"")</f>
        <v/>
      </c>
      <c r="R157" s="61" t="str">
        <f>_xlfn.IFNA(VLOOKUP($F157,tblInfluence[],4,FALSE),"")</f>
        <v/>
      </c>
    </row>
    <row r="158" spans="1:32">
      <c r="A158" s="1" t="s">
        <v>157</v>
      </c>
      <c r="B158" t="str">
        <f t="shared" si="26"/>
        <v>¬</v>
      </c>
    </row>
    <row r="159" spans="1:32">
      <c r="A159" s="1" t="s">
        <v>158</v>
      </c>
      <c r="B159" t="str">
        <f t="shared" si="26"/>
        <v>¬</v>
      </c>
      <c r="D159" s="16" t="s">
        <v>1486</v>
      </c>
      <c r="E159" s="17"/>
      <c r="F159" s="17" t="s">
        <v>1487</v>
      </c>
      <c r="G159" s="17"/>
      <c r="H159" s="17"/>
      <c r="I159" s="17"/>
    </row>
    <row r="160" spans="1:32">
      <c r="A160" s="1" t="s">
        <v>159</v>
      </c>
      <c r="B160" t="str">
        <f t="shared" si="26"/>
        <v>¬</v>
      </c>
      <c r="D160" s="19"/>
      <c r="E160" s="15" t="s">
        <v>98</v>
      </c>
      <c r="F160" s="3" t="str">
        <f>IFERROR(VLOOKUP(E160,tblManoeuvre[#Data],2,FALSE)&amp;" "&amp;VLOOKUP(E160,tblManoeuvre[#Data],3,FALSE),"")</f>
        <v/>
      </c>
      <c r="G160" s="60"/>
      <c r="H160" s="60"/>
      <c r="I160" s="60"/>
      <c r="L160" s="4"/>
      <c r="M160" s="4"/>
      <c r="N160" s="4"/>
      <c r="O160" s="61">
        <f>N160</f>
        <v>0</v>
      </c>
      <c r="P160" s="60">
        <f>MIN(SUM(L160,M160,O160),R160)</f>
        <v>0</v>
      </c>
      <c r="Q160" s="61">
        <v>1</v>
      </c>
      <c r="R160" s="61">
        <v>5</v>
      </c>
    </row>
    <row r="161" spans="1:18">
      <c r="A161" s="1" t="s">
        <v>160</v>
      </c>
      <c r="B161" t="str">
        <f t="shared" si="26"/>
        <v>¬</v>
      </c>
      <c r="D161" s="19"/>
      <c r="E161" s="15" t="s">
        <v>100</v>
      </c>
      <c r="F161" s="3" t="s">
        <v>1783</v>
      </c>
      <c r="G161" s="60"/>
      <c r="H161" s="60"/>
      <c r="I161" s="60"/>
      <c r="L161" s="4">
        <v>1</v>
      </c>
      <c r="M161" s="4"/>
      <c r="N161" s="4">
        <v>4</v>
      </c>
      <c r="O161" s="61">
        <f>N161</f>
        <v>4</v>
      </c>
      <c r="P161" s="60">
        <f>MIN(SUM(L161,M161,O161),R161)</f>
        <v>5</v>
      </c>
      <c r="Q161" s="61">
        <v>1</v>
      </c>
      <c r="R161" s="61">
        <v>5</v>
      </c>
    </row>
    <row r="162" spans="1:18">
      <c r="A162" s="1" t="s">
        <v>161</v>
      </c>
      <c r="B162" t="str">
        <f t="shared" si="26"/>
        <v>¬</v>
      </c>
    </row>
    <row r="163" spans="1:18" ht="15.75" thickBot="1">
      <c r="A163" s="1" t="s">
        <v>162</v>
      </c>
      <c r="B163" t="str">
        <f t="shared" si="26"/>
        <v>¬</v>
      </c>
      <c r="D163" s="14" t="s">
        <v>1488</v>
      </c>
      <c r="E163" s="14"/>
      <c r="F163" s="14"/>
      <c r="G163" s="14"/>
      <c r="H163" s="14"/>
      <c r="I163" s="14"/>
      <c r="N163" s="60">
        <f>SUM(N165:N174)+SUM(N177:N181)+SUM(N184:N185)+SUM(N187:N191)+SUM(N194:N203)</f>
        <v>23</v>
      </c>
    </row>
    <row r="164" spans="1:18">
      <c r="A164" s="1" t="s">
        <v>163</v>
      </c>
      <c r="B164" t="str">
        <f t="shared" si="26"/>
        <v>¬</v>
      </c>
      <c r="D164" s="16" t="s">
        <v>1489</v>
      </c>
      <c r="E164" s="15" t="s">
        <v>1490</v>
      </c>
      <c r="F164" s="61" t="str">
        <f>IFERROR(IF($F$8="",VLOOKUP($F$7,tblClans[],5,FALSE),VLOOKUP($F$8,tblBloodlines[],5,FALSE)),"")</f>
        <v>Auspex</v>
      </c>
      <c r="G164" s="61" t="str">
        <f>IFERROR(IF($F$8="",VLOOKUP($F$7,tblClans[],6,FALSE),VLOOKUP($F$8,tblBloodlines[],6,FALSE)),"")</f>
        <v>Celerity</v>
      </c>
      <c r="H164" s="61" t="str">
        <f>IFERROR(IF($F$8="",VLOOKUP($F$7,tblClans[],7,FALSE),VLOOKUP($F$8,tblBloodlines[],7,FALSE)),"")</f>
        <v>Obfuscate</v>
      </c>
      <c r="I164" s="61" t="str">
        <f>IFERROR(IF($F$8="",VLOOKUP($F$7,tblClans[],8,FALSE),VLOOKUP($F$8,tblBloodlines[],8,FALSE)),"")</f>
        <v>Vigour</v>
      </c>
      <c r="L164" s="60">
        <f>3-SUM(L165:L174)-SUM(L184:L185)</f>
        <v>0</v>
      </c>
    </row>
    <row r="165" spans="1:18">
      <c r="A165" s="1" t="s">
        <v>164</v>
      </c>
      <c r="B165" t="str">
        <f t="shared" si="26"/>
        <v>¬</v>
      </c>
      <c r="D165" s="19"/>
      <c r="E165" s="15" t="s">
        <v>236</v>
      </c>
      <c r="F165" s="19"/>
      <c r="G165" s="19"/>
      <c r="H165" s="19"/>
      <c r="I165" s="19"/>
      <c r="L165" s="4"/>
      <c r="N165" s="4"/>
      <c r="O165" s="61">
        <f t="shared" ref="O165:O174" si="27">ROUNDDOWN(IF(COUNTIF($F$164:$I$164,$E165)&gt;0,N165/3,N165/4),0)</f>
        <v>0</v>
      </c>
      <c r="P165" s="60">
        <f>MIN(SUM(L165,O165),R165)</f>
        <v>0</v>
      </c>
      <c r="Q165" s="61">
        <v>0</v>
      </c>
      <c r="R165" s="61">
        <v>5</v>
      </c>
    </row>
    <row r="166" spans="1:18">
      <c r="A166" s="1" t="s">
        <v>165</v>
      </c>
      <c r="B166" t="str">
        <f t="shared" si="26"/>
        <v>¬</v>
      </c>
      <c r="D166" s="19"/>
      <c r="E166" s="15" t="s">
        <v>237</v>
      </c>
      <c r="F166" s="19"/>
      <c r="G166" s="19"/>
      <c r="H166" s="19"/>
      <c r="I166" s="19"/>
      <c r="L166" s="4"/>
      <c r="N166" s="4">
        <v>9</v>
      </c>
      <c r="O166" s="61">
        <f t="shared" si="27"/>
        <v>3</v>
      </c>
      <c r="P166" s="60">
        <f t="shared" ref="P166:P174" si="28">MIN(SUM(L166,O166),R166)</f>
        <v>3</v>
      </c>
      <c r="Q166" s="61">
        <v>0</v>
      </c>
      <c r="R166" s="61">
        <v>5</v>
      </c>
    </row>
    <row r="167" spans="1:18">
      <c r="A167" s="1" t="s">
        <v>166</v>
      </c>
      <c r="B167" t="str">
        <f t="shared" si="26"/>
        <v>¬</v>
      </c>
      <c r="D167" s="19"/>
      <c r="E167" s="15" t="s">
        <v>238</v>
      </c>
      <c r="F167" s="19"/>
      <c r="G167" s="19"/>
      <c r="H167" s="19"/>
      <c r="I167" s="19"/>
      <c r="L167" s="4">
        <v>1</v>
      </c>
      <c r="N167" s="4">
        <v>3</v>
      </c>
      <c r="O167" s="61">
        <f t="shared" si="27"/>
        <v>1</v>
      </c>
      <c r="P167" s="60">
        <f t="shared" si="28"/>
        <v>2</v>
      </c>
      <c r="Q167" s="61">
        <v>0</v>
      </c>
      <c r="R167" s="61">
        <v>5</v>
      </c>
    </row>
    <row r="168" spans="1:18">
      <c r="A168" s="1" t="s">
        <v>167</v>
      </c>
      <c r="B168" t="str">
        <f t="shared" si="26"/>
        <v>¬</v>
      </c>
      <c r="D168" s="19"/>
      <c r="E168" s="15" t="s">
        <v>239</v>
      </c>
      <c r="F168" s="19"/>
      <c r="G168" s="19"/>
      <c r="H168" s="19"/>
      <c r="I168" s="19"/>
      <c r="L168" s="4"/>
      <c r="N168" s="4"/>
      <c r="O168" s="61">
        <f t="shared" si="27"/>
        <v>0</v>
      </c>
      <c r="P168" s="60">
        <f t="shared" si="28"/>
        <v>0</v>
      </c>
      <c r="Q168" s="61">
        <v>0</v>
      </c>
      <c r="R168" s="61">
        <v>5</v>
      </c>
    </row>
    <row r="169" spans="1:18">
      <c r="A169" s="1" t="s">
        <v>168</v>
      </c>
      <c r="B169" t="str">
        <f t="shared" si="26"/>
        <v>¬</v>
      </c>
      <c r="D169" s="19"/>
      <c r="E169" s="15" t="s">
        <v>240</v>
      </c>
      <c r="F169" s="19"/>
      <c r="G169" s="19"/>
      <c r="H169" s="19"/>
      <c r="I169" s="19"/>
      <c r="L169" s="4"/>
      <c r="N169" s="4"/>
      <c r="O169" s="61">
        <f t="shared" si="27"/>
        <v>0</v>
      </c>
      <c r="P169" s="60">
        <f t="shared" si="28"/>
        <v>0</v>
      </c>
      <c r="Q169" s="61">
        <v>0</v>
      </c>
      <c r="R169" s="61">
        <v>5</v>
      </c>
    </row>
    <row r="170" spans="1:18">
      <c r="A170" s="1" t="s">
        <v>169</v>
      </c>
      <c r="B170" t="str">
        <f t="shared" si="26"/>
        <v>¬</v>
      </c>
      <c r="D170" s="19"/>
      <c r="E170" s="15" t="s">
        <v>241</v>
      </c>
      <c r="F170" s="19"/>
      <c r="G170" s="19"/>
      <c r="H170" s="19"/>
      <c r="I170" s="19"/>
      <c r="L170" s="4"/>
      <c r="N170" s="4"/>
      <c r="O170" s="61">
        <f t="shared" si="27"/>
        <v>0</v>
      </c>
      <c r="P170" s="60">
        <f t="shared" si="28"/>
        <v>0</v>
      </c>
      <c r="Q170" s="61">
        <v>0</v>
      </c>
      <c r="R170" s="61">
        <v>5</v>
      </c>
    </row>
    <row r="171" spans="1:18">
      <c r="A171" s="1" t="s">
        <v>170</v>
      </c>
      <c r="B171" t="str">
        <f t="shared" si="26"/>
        <v>¬</v>
      </c>
      <c r="D171" s="19"/>
      <c r="E171" s="15" t="s">
        <v>242</v>
      </c>
      <c r="F171" s="19"/>
      <c r="G171" s="19"/>
      <c r="H171" s="19"/>
      <c r="I171" s="19"/>
      <c r="L171" s="4"/>
      <c r="N171" s="4">
        <v>3</v>
      </c>
      <c r="O171" s="61">
        <f t="shared" si="27"/>
        <v>1</v>
      </c>
      <c r="P171" s="60">
        <f t="shared" si="28"/>
        <v>1</v>
      </c>
      <c r="Q171" s="61">
        <v>0</v>
      </c>
      <c r="R171" s="61">
        <v>5</v>
      </c>
    </row>
    <row r="172" spans="1:18">
      <c r="A172" s="1" t="s">
        <v>171</v>
      </c>
      <c r="B172" t="str">
        <f t="shared" si="26"/>
        <v>¬</v>
      </c>
      <c r="D172" s="19"/>
      <c r="E172" s="15" t="s">
        <v>243</v>
      </c>
      <c r="F172" s="19"/>
      <c r="G172" s="19"/>
      <c r="H172" s="19"/>
      <c r="I172" s="19"/>
      <c r="L172" s="4">
        <v>1</v>
      </c>
      <c r="N172" s="4"/>
      <c r="O172" s="61">
        <f t="shared" si="27"/>
        <v>0</v>
      </c>
      <c r="P172" s="60">
        <f t="shared" si="28"/>
        <v>1</v>
      </c>
      <c r="Q172" s="61">
        <v>0</v>
      </c>
      <c r="R172" s="61">
        <v>5</v>
      </c>
    </row>
    <row r="173" spans="1:18">
      <c r="A173" s="1" t="s">
        <v>172</v>
      </c>
      <c r="B173" t="str">
        <f t="shared" si="26"/>
        <v>¬</v>
      </c>
      <c r="D173" s="19"/>
      <c r="E173" s="15" t="s">
        <v>244</v>
      </c>
      <c r="F173" s="19"/>
      <c r="G173" s="19"/>
      <c r="H173" s="19"/>
      <c r="I173" s="19"/>
      <c r="L173" s="4"/>
      <c r="N173" s="4"/>
      <c r="O173" s="61">
        <f t="shared" si="27"/>
        <v>0</v>
      </c>
      <c r="P173" s="60">
        <f t="shared" si="28"/>
        <v>0</v>
      </c>
      <c r="Q173" s="61">
        <v>0</v>
      </c>
      <c r="R173" s="61">
        <v>5</v>
      </c>
    </row>
    <row r="174" spans="1:18">
      <c r="A174" s="1" t="s">
        <v>173</v>
      </c>
      <c r="B174" t="str">
        <f t="shared" si="26"/>
        <v>¬</v>
      </c>
      <c r="D174" s="19"/>
      <c r="E174" s="15" t="s">
        <v>245</v>
      </c>
      <c r="F174" s="19"/>
      <c r="G174" s="19"/>
      <c r="H174" s="19"/>
      <c r="I174" s="19"/>
      <c r="L174" s="4">
        <v>1</v>
      </c>
      <c r="N174" s="4">
        <v>6</v>
      </c>
      <c r="O174" s="61">
        <f t="shared" si="27"/>
        <v>2</v>
      </c>
      <c r="P174" s="60">
        <f t="shared" si="28"/>
        <v>3</v>
      </c>
      <c r="Q174" s="61">
        <v>0</v>
      </c>
      <c r="R174" s="61">
        <v>5</v>
      </c>
    </row>
    <row r="175" spans="1:18">
      <c r="A175" s="1" t="s">
        <v>174</v>
      </c>
      <c r="B175" t="str">
        <f>_xlfn.CONCAT(I137-H137," / ",I137)</f>
        <v>5 / 5</v>
      </c>
    </row>
    <row r="176" spans="1:18">
      <c r="A176" s="1" t="s">
        <v>175</v>
      </c>
      <c r="B176" t="str">
        <f>REPT("□",I137-H137) &amp; REPT("■",H137)</f>
        <v>□□□□□</v>
      </c>
      <c r="D176" s="16" t="s">
        <v>1491</v>
      </c>
      <c r="E176" s="16"/>
      <c r="F176" s="16"/>
      <c r="G176" s="16"/>
      <c r="H176" s="16"/>
      <c r="I176" s="16"/>
    </row>
    <row r="177" spans="1:18">
      <c r="A177" s="1" t="s">
        <v>176</v>
      </c>
      <c r="B177" t="str">
        <f t="shared" ref="B177:B196" si="29">IF(AC134="","¬",AC134)</f>
        <v>Allies</v>
      </c>
      <c r="D177" s="19"/>
      <c r="E177" s="15" t="s">
        <v>1492</v>
      </c>
      <c r="F177" s="3" t="s">
        <v>1784</v>
      </c>
      <c r="G177" s="19"/>
      <c r="H177" s="72" t="str">
        <f>IFERROR(IF(VLOOKUP(F177,tblDisciplines[],14,FALSE)=0,"None",VLOOKUP(F177,tblDisciplines[],14,FALSE)),"None")</f>
        <v>Vigr 2, Clty 2</v>
      </c>
      <c r="I177" s="73"/>
      <c r="N177" s="4">
        <v>2</v>
      </c>
      <c r="O177" s="61">
        <f>N177</f>
        <v>2</v>
      </c>
      <c r="P177" s="60">
        <f>IF(O177=R177,O177,"")</f>
        <v>2</v>
      </c>
      <c r="R177" s="61">
        <f>_xlfn.IFNA(VLOOKUP(F177,tblDisciplines[],15,FALSE),"")</f>
        <v>2</v>
      </c>
    </row>
    <row r="178" spans="1:18">
      <c r="A178" s="1" t="s">
        <v>177</v>
      </c>
      <c r="B178" t="str">
        <f t="shared" si="29"/>
        <v>Contacts</v>
      </c>
      <c r="D178" s="19"/>
      <c r="E178" s="15" t="s">
        <v>1493</v>
      </c>
      <c r="F178" s="3"/>
      <c r="G178" s="19"/>
      <c r="H178" s="72" t="str">
        <f>IFERROR(IF(VLOOKUP(F178,tblDisciplines[],14,FALSE)=0,"None",VLOOKUP(F178,tblDisciplines[],14,FALSE)),"None")</f>
        <v>None</v>
      </c>
      <c r="I178" s="73"/>
      <c r="N178" s="4"/>
      <c r="O178" s="61">
        <f>N178</f>
        <v>0</v>
      </c>
      <c r="P178" s="60" t="str">
        <f>IF(O178=R178,O178,"")</f>
        <v/>
      </c>
      <c r="R178" s="61" t="str">
        <f>_xlfn.IFNA(VLOOKUP(F178,tblDisciplines[],15,FALSE),"")</f>
        <v/>
      </c>
    </row>
    <row r="179" spans="1:18">
      <c r="A179" s="1" t="s">
        <v>178</v>
      </c>
      <c r="B179" t="str">
        <f t="shared" si="29"/>
        <v>¬</v>
      </c>
      <c r="D179" s="19"/>
      <c r="E179" s="15" t="s">
        <v>1494</v>
      </c>
      <c r="F179" s="3"/>
      <c r="G179" s="19"/>
      <c r="H179" s="72" t="str">
        <f>IFERROR(IF(VLOOKUP(F179,tblDisciplines[],14,FALSE)=0,"None",VLOOKUP(F179,tblDisciplines[],14,FALSE)),"None")</f>
        <v>None</v>
      </c>
      <c r="I179" s="73"/>
      <c r="N179" s="4"/>
      <c r="O179" s="61">
        <f>N179</f>
        <v>0</v>
      </c>
      <c r="P179" s="60" t="str">
        <f>IF(O179=R179,O179,"")</f>
        <v/>
      </c>
      <c r="R179" s="61" t="str">
        <f>_xlfn.IFNA(VLOOKUP(F179,tblDisciplines[],15,FALSE),"")</f>
        <v/>
      </c>
    </row>
    <row r="180" spans="1:18">
      <c r="A180" s="1" t="s">
        <v>179</v>
      </c>
      <c r="B180" t="str">
        <f t="shared" si="29"/>
        <v>¬</v>
      </c>
      <c r="D180" s="19"/>
      <c r="E180" s="15" t="s">
        <v>1495</v>
      </c>
      <c r="F180" s="3"/>
      <c r="G180" s="19"/>
      <c r="H180" s="72" t="str">
        <f>IFERROR(IF(VLOOKUP(F180,tblDisciplines[],14,FALSE)=0,"None",VLOOKUP(F180,tblDisciplines[],14,FALSE)),"None")</f>
        <v>None</v>
      </c>
      <c r="I180" s="73"/>
      <c r="N180" s="4"/>
      <c r="O180" s="61">
        <f>N180</f>
        <v>0</v>
      </c>
      <c r="P180" s="60" t="str">
        <f>IF(O180=R180,O180,"")</f>
        <v/>
      </c>
      <c r="R180" s="61" t="str">
        <f>_xlfn.IFNA(VLOOKUP(F180,tblDisciplines[],15,FALSE),"")</f>
        <v/>
      </c>
    </row>
    <row r="181" spans="1:18">
      <c r="A181" s="1" t="s">
        <v>180</v>
      </c>
      <c r="B181" t="str">
        <f t="shared" si="29"/>
        <v>¬</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29"/>
        <v>¬</v>
      </c>
    </row>
    <row r="183" spans="1:18">
      <c r="A183" s="1" t="s">
        <v>182</v>
      </c>
      <c r="B183" t="str">
        <f t="shared" si="29"/>
        <v>¬</v>
      </c>
      <c r="D183" s="16" t="s">
        <v>1497</v>
      </c>
      <c r="E183" s="16"/>
      <c r="F183" s="16"/>
      <c r="G183" s="16"/>
      <c r="H183" s="16"/>
      <c r="I183" s="16"/>
    </row>
    <row r="184" spans="1:18">
      <c r="A184" s="1" t="s">
        <v>183</v>
      </c>
      <c r="B184" t="str">
        <f t="shared" si="29"/>
        <v>¬</v>
      </c>
      <c r="D184" s="19"/>
      <c r="E184" s="15" t="s">
        <v>246</v>
      </c>
      <c r="F184" s="19"/>
      <c r="G184" s="19"/>
      <c r="H184" s="19"/>
      <c r="I184" s="60" t="b">
        <f>IF(OR(F$9="Circle of the Crone",COUNTIF(F$79:F$93,"Chorister")&gt;0),TRUE,FALSE)</f>
        <v>0</v>
      </c>
      <c r="L184" s="4"/>
      <c r="N184" s="4"/>
      <c r="O184" s="61">
        <f>ROUNDDOWN(N184/4,0)</f>
        <v>0</v>
      </c>
      <c r="P184" s="60">
        <f>SUM(L184,O184)</f>
        <v>0</v>
      </c>
      <c r="Q184" s="61">
        <v>0</v>
      </c>
      <c r="R184" s="61">
        <v>5</v>
      </c>
    </row>
    <row r="185" spans="1:18">
      <c r="A185" s="1" t="s">
        <v>184</v>
      </c>
      <c r="B185" t="str">
        <f t="shared" si="29"/>
        <v>¬</v>
      </c>
      <c r="D185" s="19"/>
      <c r="E185" s="15" t="s">
        <v>247</v>
      </c>
      <c r="F185" s="19"/>
      <c r="G185" s="19"/>
      <c r="H185" s="19"/>
      <c r="I185" s="60" t="b">
        <f>IF(OR(F$9="Lancea et Sanctum",COUNTIF(F$79:F$93,"Laity")&gt;0),TRUE,FALSE)</f>
        <v>0</v>
      </c>
      <c r="L185" s="4"/>
      <c r="N185" s="4"/>
      <c r="O185" s="61">
        <f>ROUNDDOWN(N185/4,0)</f>
        <v>0</v>
      </c>
      <c r="P185" s="60">
        <f>SUM(L185,O185)</f>
        <v>0</v>
      </c>
      <c r="Q185" s="61">
        <v>0</v>
      </c>
      <c r="R185" s="61">
        <v>5</v>
      </c>
    </row>
    <row r="186" spans="1:18">
      <c r="A186" s="1" t="s">
        <v>185</v>
      </c>
      <c r="B186" t="str">
        <f t="shared" si="29"/>
        <v>¬</v>
      </c>
      <c r="D186" s="19"/>
      <c r="E186" s="19"/>
      <c r="F186" s="19"/>
      <c r="G186" s="19"/>
      <c r="H186" s="19"/>
      <c r="I186" s="19"/>
      <c r="L186" s="60">
        <f>SUM(P184:P185)-SUM(L187:L191)</f>
        <v>0</v>
      </c>
    </row>
    <row r="187" spans="1:18">
      <c r="A187" s="1" t="s">
        <v>186</v>
      </c>
      <c r="B187" t="str">
        <f t="shared" si="29"/>
        <v>¬</v>
      </c>
      <c r="D187" s="19"/>
      <c r="E187" s="15" t="s">
        <v>248</v>
      </c>
      <c r="F187" s="19"/>
      <c r="G187" s="19"/>
      <c r="H187" s="19"/>
      <c r="I187" s="19"/>
      <c r="L187" s="4"/>
      <c r="M187" s="61">
        <f>IF(AND(I184,L184&gt;=1),1,0)</f>
        <v>0</v>
      </c>
      <c r="N187" s="4"/>
      <c r="O187" s="61">
        <f>ROUNDDOWN(N187/2,0)</f>
        <v>0</v>
      </c>
      <c r="P187" s="60">
        <f>MIN(SUM(L187,M187,O187),R187)</f>
        <v>0</v>
      </c>
      <c r="Q187" s="61">
        <v>0</v>
      </c>
      <c r="R187" s="61">
        <f>MAX(P$184,P$185)</f>
        <v>0</v>
      </c>
    </row>
    <row r="188" spans="1:18">
      <c r="A188" s="1" t="s">
        <v>187</v>
      </c>
      <c r="B188" t="str">
        <f t="shared" si="29"/>
        <v>¬</v>
      </c>
      <c r="D188" s="19"/>
      <c r="E188" s="15" t="s">
        <v>249</v>
      </c>
      <c r="F188" s="19"/>
      <c r="G188" s="19"/>
      <c r="H188" s="19"/>
      <c r="I188" s="19"/>
      <c r="L188" s="4"/>
      <c r="M188" s="61"/>
      <c r="N188" s="4"/>
      <c r="O188" s="61">
        <f>ROUNDDOWN(N188/2,0)</f>
        <v>0</v>
      </c>
      <c r="P188" s="60">
        <f>MIN(SUM(L188,M188,O188),R188)</f>
        <v>0</v>
      </c>
      <c r="Q188" s="61">
        <v>0</v>
      </c>
      <c r="R188" s="61">
        <f>MAX(P$184,P$185)</f>
        <v>0</v>
      </c>
    </row>
    <row r="189" spans="1:18">
      <c r="A189" s="1" t="s">
        <v>188</v>
      </c>
      <c r="B189" t="str">
        <f t="shared" si="29"/>
        <v>¬</v>
      </c>
      <c r="D189" s="19"/>
      <c r="E189" s="15" t="s">
        <v>250</v>
      </c>
      <c r="F189" s="19"/>
      <c r="G189" s="19"/>
      <c r="H189" s="19"/>
      <c r="I189" s="19"/>
      <c r="L189" s="4"/>
      <c r="M189" s="61">
        <f>IF(AND(I185,L185&gt;=1),1,0)</f>
        <v>0</v>
      </c>
      <c r="N189" s="4"/>
      <c r="O189" s="61">
        <f>ROUNDDOWN(N189/2,0)</f>
        <v>0</v>
      </c>
      <c r="P189" s="60">
        <f>MIN(SUM(L189,M189,O189),R189)</f>
        <v>0</v>
      </c>
      <c r="Q189" s="61">
        <v>0</v>
      </c>
      <c r="R189" s="61">
        <f>MAX(P$184,P$185)</f>
        <v>0</v>
      </c>
    </row>
    <row r="190" spans="1:18">
      <c r="A190" s="1" t="s">
        <v>189</v>
      </c>
      <c r="B190" t="str">
        <f t="shared" si="29"/>
        <v>¬</v>
      </c>
      <c r="D190" s="19"/>
      <c r="E190" s="15" t="s">
        <v>251</v>
      </c>
      <c r="F190" s="19"/>
      <c r="G190" s="19"/>
      <c r="H190" s="19"/>
      <c r="I190" s="19"/>
      <c r="L190" s="4"/>
      <c r="M190" s="61">
        <f>IF(AND(I184,L184&gt;=1),1,0)</f>
        <v>0</v>
      </c>
      <c r="N190" s="4"/>
      <c r="O190" s="61">
        <f>ROUNDDOWN(N190/2,0)</f>
        <v>0</v>
      </c>
      <c r="P190" s="60">
        <f>MIN(SUM(L190,M190,O190),R190)</f>
        <v>0</v>
      </c>
      <c r="Q190" s="61">
        <v>0</v>
      </c>
      <c r="R190" s="61">
        <f>MAX(P$184,P$185)</f>
        <v>0</v>
      </c>
    </row>
    <row r="191" spans="1:18">
      <c r="A191" s="1" t="s">
        <v>190</v>
      </c>
      <c r="B191" t="str">
        <f t="shared" si="29"/>
        <v>¬</v>
      </c>
      <c r="D191" s="19"/>
      <c r="E191" s="15" t="s">
        <v>252</v>
      </c>
      <c r="F191" s="19"/>
      <c r="G191" s="19"/>
      <c r="H191" s="19"/>
      <c r="I191" s="19"/>
      <c r="L191" s="4"/>
      <c r="M191" s="61">
        <f>IF(AND(I185,L185&gt;=1),1,0)</f>
        <v>0</v>
      </c>
      <c r="N191" s="4"/>
      <c r="O191" s="61">
        <f>ROUNDDOWN(N191/2,0)</f>
        <v>0</v>
      </c>
      <c r="P191" s="60">
        <f>MIN(SUM(L191,M191,O191),R191)</f>
        <v>0</v>
      </c>
      <c r="Q191" s="61">
        <v>0</v>
      </c>
      <c r="R191" s="61">
        <f>MAX(P$184,P$185)</f>
        <v>0</v>
      </c>
    </row>
    <row r="192" spans="1:18">
      <c r="A192" s="1" t="s">
        <v>191</v>
      </c>
      <c r="B192" t="str">
        <f t="shared" si="29"/>
        <v>¬</v>
      </c>
    </row>
    <row r="193" spans="1:18">
      <c r="A193" s="1" t="s">
        <v>192</v>
      </c>
      <c r="B193" t="str">
        <f t="shared" si="29"/>
        <v>¬</v>
      </c>
      <c r="D193" s="16" t="s">
        <v>1474</v>
      </c>
      <c r="E193" s="16"/>
      <c r="F193" s="16"/>
      <c r="G193" s="16"/>
      <c r="H193" s="16"/>
      <c r="I193" s="16"/>
      <c r="L193" s="60">
        <f>SUM(P184:P185)+SUM(O187:O191)</f>
        <v>0</v>
      </c>
    </row>
    <row r="194" spans="1:18">
      <c r="A194" s="1" t="s">
        <v>193</v>
      </c>
      <c r="B194" t="str">
        <f t="shared" si="29"/>
        <v>¬</v>
      </c>
      <c r="D194" s="19"/>
      <c r="E194" s="15" t="s">
        <v>1498</v>
      </c>
      <c r="F194" s="3"/>
      <c r="G194" s="61" t="str">
        <f>_xlfn.IFNA(VLOOKUP(F194,tblDisciplines[],2,FALSE),"")</f>
        <v/>
      </c>
      <c r="H194" s="19"/>
      <c r="I194" s="19"/>
      <c r="L194" s="4"/>
      <c r="N194" s="4"/>
      <c r="O194" s="61">
        <f>N194</f>
        <v>0</v>
      </c>
      <c r="P194" s="60" t="str">
        <f>IF(OR(L194=R194,O194=R194),R194,MIN(SUM(L194,O194),R194))</f>
        <v/>
      </c>
      <c r="R194" s="61" t="str">
        <f>_xlfn.IFNA(VLOOKUP(F194,tblDisciplines[],3,FALSE),"")</f>
        <v/>
      </c>
    </row>
    <row r="195" spans="1:18">
      <c r="A195" s="1" t="s">
        <v>194</v>
      </c>
      <c r="B195" t="str">
        <f t="shared" si="29"/>
        <v>¬</v>
      </c>
      <c r="D195" s="19"/>
      <c r="E195" s="15" t="s">
        <v>1499</v>
      </c>
      <c r="F195" s="3"/>
      <c r="G195" s="61" t="str">
        <f>_xlfn.IFNA(VLOOKUP(F195,tblDisciplines[],2,FALSE),"")</f>
        <v/>
      </c>
      <c r="H195" s="19"/>
      <c r="I195" s="19"/>
      <c r="L195" s="4"/>
      <c r="N195" s="4"/>
      <c r="O195" s="61">
        <f t="shared" ref="O195:O203" si="30">N195</f>
        <v>0</v>
      </c>
      <c r="P195" s="60" t="str">
        <f t="shared" ref="P195:P203" si="31">IF(OR(L195=R195,O195=R195),R195,MIN(SUM(L195,O195),R195))</f>
        <v/>
      </c>
      <c r="R195" s="61" t="str">
        <f>_xlfn.IFNA(VLOOKUP(F195,tblDisciplines[],3,FALSE),"")</f>
        <v/>
      </c>
    </row>
    <row r="196" spans="1:18">
      <c r="A196" s="1" t="s">
        <v>195</v>
      </c>
      <c r="B196" t="str">
        <f t="shared" si="29"/>
        <v>¬</v>
      </c>
      <c r="D196" s="19"/>
      <c r="E196" s="15" t="s">
        <v>1500</v>
      </c>
      <c r="F196" s="3"/>
      <c r="G196" s="61" t="str">
        <f>_xlfn.IFNA(VLOOKUP(F196,tblDisciplines[],2,FALSE),"")</f>
        <v/>
      </c>
      <c r="H196" s="19"/>
      <c r="I196" s="19"/>
      <c r="L196" s="4"/>
      <c r="N196" s="4"/>
      <c r="O196" s="61">
        <f t="shared" si="30"/>
        <v>0</v>
      </c>
      <c r="P196" s="60" t="str">
        <f t="shared" si="31"/>
        <v/>
      </c>
      <c r="R196" s="61" t="str">
        <f>_xlfn.IFNA(VLOOKUP(F196,tblDisciplines[],3,FALSE),"")</f>
        <v/>
      </c>
    </row>
    <row r="197" spans="1:18">
      <c r="A197" s="1" t="s">
        <v>196</v>
      </c>
      <c r="B197" t="str">
        <f>IF(AD134="","¬",AD134)</f>
        <v>street</v>
      </c>
      <c r="D197" s="19"/>
      <c r="E197" s="15" t="s">
        <v>1501</v>
      </c>
      <c r="F197" s="3"/>
      <c r="G197" s="61" t="str">
        <f>_xlfn.IFNA(VLOOKUP(F197,tblDisciplines[],2,FALSE),"")</f>
        <v/>
      </c>
      <c r="H197" s="19"/>
      <c r="I197" s="19"/>
      <c r="L197" s="4"/>
      <c r="N197" s="4"/>
      <c r="O197" s="61">
        <f t="shared" si="30"/>
        <v>0</v>
      </c>
      <c r="P197" s="60" t="str">
        <f t="shared" si="31"/>
        <v/>
      </c>
      <c r="R197" s="61" t="str">
        <f>_xlfn.IFNA(VLOOKUP(F197,tblDisciplines[],3,FALSE),"")</f>
        <v/>
      </c>
    </row>
    <row r="198" spans="1:18">
      <c r="A198" s="1" t="s">
        <v>197</v>
      </c>
      <c r="B198" t="str">
        <f t="shared" ref="B198:B216" si="32">IF(AD135="","¬",AD135)</f>
        <v>street, transport, underworld</v>
      </c>
      <c r="D198" s="19"/>
      <c r="E198" s="15" t="s">
        <v>1502</v>
      </c>
      <c r="F198" s="3"/>
      <c r="G198" s="61" t="str">
        <f>_xlfn.IFNA(VLOOKUP(F198,tblDisciplines[],2,FALSE),"")</f>
        <v/>
      </c>
      <c r="H198" s="19"/>
      <c r="I198" s="19"/>
      <c r="L198" s="4"/>
      <c r="N198" s="4"/>
      <c r="O198" s="61">
        <f t="shared" si="30"/>
        <v>0</v>
      </c>
      <c r="P198" s="60" t="str">
        <f t="shared" si="31"/>
        <v/>
      </c>
      <c r="R198" s="61" t="str">
        <f>_xlfn.IFNA(VLOOKUP(F198,tblDisciplines[],3,FALSE),"")</f>
        <v/>
      </c>
    </row>
    <row r="199" spans="1:18">
      <c r="A199" s="1" t="s">
        <v>198</v>
      </c>
      <c r="B199" t="str">
        <f t="shared" si="32"/>
        <v>¬</v>
      </c>
      <c r="D199" s="19"/>
      <c r="E199" s="15" t="s">
        <v>1503</v>
      </c>
      <c r="F199" s="3"/>
      <c r="G199" s="61" t="str">
        <f>_xlfn.IFNA(VLOOKUP(F199,tblDisciplines[],2,FALSE),"")</f>
        <v/>
      </c>
      <c r="H199" s="19"/>
      <c r="I199" s="19"/>
      <c r="L199" s="4"/>
      <c r="N199" s="4"/>
      <c r="O199" s="61">
        <f t="shared" si="30"/>
        <v>0</v>
      </c>
      <c r="P199" s="60" t="str">
        <f t="shared" si="31"/>
        <v/>
      </c>
      <c r="R199" s="61" t="str">
        <f>_xlfn.IFNA(VLOOKUP(F199,tblDisciplines[],3,FALSE),"")</f>
        <v/>
      </c>
    </row>
    <row r="200" spans="1:18">
      <c r="A200" s="1" t="s">
        <v>199</v>
      </c>
      <c r="B200" t="str">
        <f t="shared" si="32"/>
        <v>¬</v>
      </c>
      <c r="D200" s="19"/>
      <c r="E200" s="15" t="s">
        <v>1504</v>
      </c>
      <c r="F200" s="3"/>
      <c r="G200" s="61" t="str">
        <f>_xlfn.IFNA(VLOOKUP(F200,tblDisciplines[],2,FALSE),"")</f>
        <v/>
      </c>
      <c r="H200" s="19"/>
      <c r="I200" s="19"/>
      <c r="L200" s="4"/>
      <c r="N200" s="4"/>
      <c r="O200" s="61">
        <f t="shared" si="30"/>
        <v>0</v>
      </c>
      <c r="P200" s="60" t="str">
        <f t="shared" si="31"/>
        <v/>
      </c>
      <c r="R200" s="61" t="str">
        <f>_xlfn.IFNA(VLOOKUP(F200,tblDisciplines[],3,FALSE),"")</f>
        <v/>
      </c>
    </row>
    <row r="201" spans="1:18">
      <c r="A201" s="1" t="s">
        <v>200</v>
      </c>
      <c r="B201" t="str">
        <f t="shared" si="32"/>
        <v>¬</v>
      </c>
      <c r="D201" s="19"/>
      <c r="E201" s="15" t="s">
        <v>1505</v>
      </c>
      <c r="F201" s="3"/>
      <c r="G201" s="61" t="str">
        <f>_xlfn.IFNA(VLOOKUP(F201,tblDisciplines[],2,FALSE),"")</f>
        <v/>
      </c>
      <c r="H201" s="19"/>
      <c r="I201" s="19"/>
      <c r="L201" s="4"/>
      <c r="N201" s="4"/>
      <c r="O201" s="61">
        <f t="shared" si="30"/>
        <v>0</v>
      </c>
      <c r="P201" s="60" t="str">
        <f t="shared" si="31"/>
        <v/>
      </c>
      <c r="R201" s="61" t="str">
        <f>_xlfn.IFNA(VLOOKUP(F201,tblDisciplines[],3,FALSE),"")</f>
        <v/>
      </c>
    </row>
    <row r="202" spans="1:18">
      <c r="A202" s="1" t="s">
        <v>201</v>
      </c>
      <c r="B202" t="str">
        <f t="shared" si="32"/>
        <v>¬</v>
      </c>
      <c r="D202" s="19"/>
      <c r="E202" s="15" t="s">
        <v>1506</v>
      </c>
      <c r="F202" s="3"/>
      <c r="G202" s="61" t="str">
        <f>_xlfn.IFNA(VLOOKUP(F202,tblDisciplines[],2,FALSE),"")</f>
        <v/>
      </c>
      <c r="H202" s="19"/>
      <c r="I202" s="19"/>
      <c r="L202" s="4"/>
      <c r="N202" s="4"/>
      <c r="O202" s="61">
        <f t="shared" si="30"/>
        <v>0</v>
      </c>
      <c r="P202" s="60" t="str">
        <f t="shared" si="31"/>
        <v/>
      </c>
      <c r="R202" s="61" t="str">
        <f>_xlfn.IFNA(VLOOKUP(F202,tblDisciplines[],3,FALSE),"")</f>
        <v/>
      </c>
    </row>
    <row r="203" spans="1:18">
      <c r="A203" s="1" t="s">
        <v>202</v>
      </c>
      <c r="B203" t="str">
        <f t="shared" si="32"/>
        <v>¬</v>
      </c>
      <c r="D203" s="19"/>
      <c r="E203" s="15" t="s">
        <v>1507</v>
      </c>
      <c r="F203" s="3"/>
      <c r="G203" s="61" t="str">
        <f>_xlfn.IFNA(VLOOKUP(F203,tblDisciplines[],2,FALSE),"")</f>
        <v/>
      </c>
      <c r="H203" s="19"/>
      <c r="I203" s="19"/>
      <c r="L203" s="4"/>
      <c r="N203" s="4"/>
      <c r="O203" s="61">
        <f t="shared" si="30"/>
        <v>0</v>
      </c>
      <c r="P203" s="60" t="str">
        <f t="shared" si="31"/>
        <v/>
      </c>
      <c r="R203" s="61" t="str">
        <f>_xlfn.IFNA(VLOOKUP(F203,tblDisciplines[],3,FALSE),"")</f>
        <v/>
      </c>
    </row>
    <row r="204" spans="1:18">
      <c r="A204" s="1" t="s">
        <v>203</v>
      </c>
      <c r="B204" t="str">
        <f t="shared" si="32"/>
        <v>¬</v>
      </c>
    </row>
    <row r="205" spans="1:18">
      <c r="A205" s="1" t="s">
        <v>204</v>
      </c>
      <c r="B205" t="str">
        <f t="shared" si="32"/>
        <v>¬</v>
      </c>
      <c r="D205" s="16" t="s">
        <v>1508</v>
      </c>
      <c r="E205" s="17"/>
      <c r="F205" s="17"/>
      <c r="G205" s="17"/>
      <c r="H205" s="17"/>
      <c r="I205" s="17"/>
    </row>
    <row r="206" spans="1:18">
      <c r="A206" s="1" t="s">
        <v>205</v>
      </c>
      <c r="B206" t="str">
        <f t="shared" si="32"/>
        <v>¬</v>
      </c>
      <c r="D206" s="19"/>
      <c r="E206" s="15" t="s">
        <v>1476</v>
      </c>
      <c r="F206" s="3" t="s">
        <v>1785</v>
      </c>
      <c r="G206" s="19" t="str">
        <f>IFERROR(VLOOKUP(F206,tblManoeuvre[],2,FALSE)&amp;" "&amp;VLOOKUP(F206,tblManoeuvre[],3,FALSE),"")</f>
        <v/>
      </c>
      <c r="H206" s="68" t="str">
        <f>_xlfn.IFNA(IF(VLOOKUP(F206,tblMerits[],6,FALSE)=0,"None",VLOOKUP(F206,tblMerits[],6,FALSE)),"None")</f>
        <v>None</v>
      </c>
      <c r="I206" s="69"/>
      <c r="L206" s="4"/>
      <c r="M206" s="4"/>
      <c r="N206" s="4"/>
      <c r="O206" s="61">
        <f t="shared" ref="O206:O215" si="33">N206</f>
        <v>0</v>
      </c>
      <c r="P206" s="60">
        <f t="shared" ref="P206:P215" si="34">MIN(SUM(L206,M206,O206),R206)</f>
        <v>0</v>
      </c>
      <c r="Q206" s="61">
        <f>_xlfn.IFNA(VLOOKUP($F206,tblPacts[],3,FALSE),"")</f>
        <v>4</v>
      </c>
      <c r="R206" s="61">
        <f>_xlfn.IFNA(VLOOKUP($F206,tblPacts[],4,FALSE),"")</f>
        <v>4</v>
      </c>
    </row>
    <row r="207" spans="1:18">
      <c r="A207" s="1" t="s">
        <v>206</v>
      </c>
      <c r="B207" t="str">
        <f t="shared" si="32"/>
        <v>¬</v>
      </c>
      <c r="D207" s="19"/>
      <c r="E207" s="15" t="s">
        <v>1477</v>
      </c>
      <c r="F207" s="3"/>
      <c r="G207" s="19" t="str">
        <f>IFERROR(VLOOKUP(F207,tblManoeuvre[],2,FALSE)&amp;" "&amp;VLOOKUP(F207,tblManoeuvre[],3,FALSE),"")</f>
        <v/>
      </c>
      <c r="H207" s="68" t="str">
        <f>_xlfn.IFNA(IF(VLOOKUP(F207,tblMerits[],6,FALSE)=0,"None",VLOOKUP(F207,tblMerits[],6,FALSE)),"None")</f>
        <v>None</v>
      </c>
      <c r="I207" s="69"/>
      <c r="L207" s="4"/>
      <c r="M207" s="4"/>
      <c r="N207" s="4"/>
      <c r="O207" s="61">
        <f t="shared" si="33"/>
        <v>0</v>
      </c>
      <c r="P207" s="60">
        <f t="shared" si="34"/>
        <v>0</v>
      </c>
      <c r="Q207" s="61" t="str">
        <f>_xlfn.IFNA(VLOOKUP($F207,tblPacts[],3,FALSE),"")</f>
        <v/>
      </c>
      <c r="R207" s="61" t="str">
        <f>_xlfn.IFNA(VLOOKUP($F207,tblPacts[],4,FALSE),"")</f>
        <v/>
      </c>
    </row>
    <row r="208" spans="1:18">
      <c r="A208" s="1" t="s">
        <v>207</v>
      </c>
      <c r="B208" t="str">
        <f t="shared" si="32"/>
        <v>¬</v>
      </c>
      <c r="D208" s="19"/>
      <c r="E208" s="15" t="s">
        <v>1478</v>
      </c>
      <c r="F208" s="3"/>
      <c r="G208" s="19" t="str">
        <f>IFERROR(VLOOKUP(F208,tblManoeuvre[],2,FALSE)&amp;" "&amp;VLOOKUP(F208,tblManoeuvre[],3,FALSE),"")</f>
        <v/>
      </c>
      <c r="H208" s="68" t="str">
        <f>_xlfn.IFNA(IF(VLOOKUP(F208,tblMerits[],6,FALSE)=0,"None",VLOOKUP(F208,tblMerits[],6,FALSE)),"None")</f>
        <v>None</v>
      </c>
      <c r="I208" s="69"/>
      <c r="L208" s="4"/>
      <c r="M208" s="4"/>
      <c r="N208" s="4"/>
      <c r="O208" s="61">
        <f t="shared" si="33"/>
        <v>0</v>
      </c>
      <c r="P208" s="60">
        <f t="shared" si="34"/>
        <v>0</v>
      </c>
      <c r="Q208" s="61" t="str">
        <f>_xlfn.IFNA(VLOOKUP($F208,tblPacts[],3,FALSE),"")</f>
        <v/>
      </c>
      <c r="R208" s="61" t="str">
        <f>_xlfn.IFNA(VLOOKUP($F208,tblPacts[],4,FALSE),"")</f>
        <v/>
      </c>
    </row>
    <row r="209" spans="1:18">
      <c r="A209" s="1" t="s">
        <v>208</v>
      </c>
      <c r="B209" t="str">
        <f t="shared" si="32"/>
        <v>¬</v>
      </c>
      <c r="D209" s="19"/>
      <c r="E209" s="15" t="s">
        <v>1479</v>
      </c>
      <c r="F209" s="3"/>
      <c r="G209" s="19" t="str">
        <f>IFERROR(VLOOKUP(F209,tblManoeuvre[],2,FALSE)&amp;" "&amp;VLOOKUP(F209,tblManoeuvre[],3,FALSE),"")</f>
        <v/>
      </c>
      <c r="H209" s="68" t="str">
        <f>_xlfn.IFNA(IF(VLOOKUP(F209,tblMerits[],6,FALSE)=0,"None",VLOOKUP(F209,tblMerits[],6,FALSE)),"None")</f>
        <v>None</v>
      </c>
      <c r="I209" s="69"/>
      <c r="L209" s="4"/>
      <c r="M209" s="4"/>
      <c r="N209" s="4"/>
      <c r="O209" s="61">
        <f t="shared" si="33"/>
        <v>0</v>
      </c>
      <c r="P209" s="60">
        <f t="shared" si="34"/>
        <v>0</v>
      </c>
      <c r="Q209" s="61" t="str">
        <f>_xlfn.IFNA(VLOOKUP($F209,tblPacts[],3,FALSE),"")</f>
        <v/>
      </c>
      <c r="R209" s="61" t="str">
        <f>_xlfn.IFNA(VLOOKUP($F209,tblPacts[],4,FALSE),"")</f>
        <v/>
      </c>
    </row>
    <row r="210" spans="1:18">
      <c r="A210" s="1" t="s">
        <v>209</v>
      </c>
      <c r="B210" t="str">
        <f t="shared" si="32"/>
        <v>¬</v>
      </c>
      <c r="D210" s="19"/>
      <c r="E210" s="15" t="s">
        <v>1480</v>
      </c>
      <c r="F210" s="3"/>
      <c r="G210" s="19" t="str">
        <f>IFERROR(VLOOKUP(F210,tblManoeuvre[],2,FALSE)&amp;" "&amp;VLOOKUP(F210,tblManoeuvre[],3,FALSE),"")</f>
        <v/>
      </c>
      <c r="H210" s="68" t="str">
        <f>_xlfn.IFNA(IF(VLOOKUP(F210,tblMerits[],6,FALSE)=0,"None",VLOOKUP(F210,tblMerits[],6,FALSE)),"None")</f>
        <v>None</v>
      </c>
      <c r="I210" s="69"/>
      <c r="L210" s="4"/>
      <c r="M210" s="4"/>
      <c r="N210" s="4"/>
      <c r="O210" s="61">
        <f t="shared" si="33"/>
        <v>0</v>
      </c>
      <c r="P210" s="60">
        <f t="shared" si="34"/>
        <v>0</v>
      </c>
      <c r="Q210" s="61" t="str">
        <f>_xlfn.IFNA(VLOOKUP($F210,tblPacts[],3,FALSE),"")</f>
        <v/>
      </c>
      <c r="R210" s="61" t="str">
        <f>_xlfn.IFNA(VLOOKUP($F210,tblPacts[],4,FALSE),"")</f>
        <v/>
      </c>
    </row>
    <row r="211" spans="1:18">
      <c r="A211" s="1" t="s">
        <v>210</v>
      </c>
      <c r="B211" t="str">
        <f t="shared" si="32"/>
        <v>¬</v>
      </c>
      <c r="D211" s="19"/>
      <c r="E211" s="15" t="s">
        <v>1481</v>
      </c>
      <c r="F211" s="3"/>
      <c r="G211" s="19" t="str">
        <f>IFERROR(VLOOKUP(F211,tblManoeuvre[],2,FALSE)&amp;" "&amp;VLOOKUP(F211,tblManoeuvre[],3,FALSE),"")</f>
        <v/>
      </c>
      <c r="H211" s="68" t="str">
        <f>_xlfn.IFNA(IF(VLOOKUP(F211,tblMerits[],6,FALSE)=0,"None",VLOOKUP(F211,tblMerits[],6,FALSE)),"None")</f>
        <v>None</v>
      </c>
      <c r="I211" s="69"/>
      <c r="L211" s="4"/>
      <c r="M211" s="4"/>
      <c r="N211" s="4"/>
      <c r="O211" s="61">
        <f t="shared" si="33"/>
        <v>0</v>
      </c>
      <c r="P211" s="60">
        <f t="shared" si="34"/>
        <v>0</v>
      </c>
      <c r="Q211" s="61" t="str">
        <f>_xlfn.IFNA(VLOOKUP($F211,tblPacts[],3,FALSE),"")</f>
        <v/>
      </c>
      <c r="R211" s="61" t="str">
        <f>_xlfn.IFNA(VLOOKUP($F211,tblPacts[],4,FALSE),"")</f>
        <v/>
      </c>
    </row>
    <row r="212" spans="1:18">
      <c r="A212" s="1" t="s">
        <v>211</v>
      </c>
      <c r="B212" t="str">
        <f t="shared" si="32"/>
        <v>¬</v>
      </c>
      <c r="D212" s="19"/>
      <c r="E212" s="15" t="s">
        <v>1482</v>
      </c>
      <c r="F212" s="3"/>
      <c r="G212" s="19" t="str">
        <f>IFERROR(VLOOKUP(F212,tblManoeuvre[],2,FALSE)&amp;" "&amp;VLOOKUP(F212,tblManoeuvre[],3,FALSE),"")</f>
        <v/>
      </c>
      <c r="H212" s="68" t="str">
        <f>_xlfn.IFNA(IF(VLOOKUP(F212,tblMerits[],6,FALSE)=0,"None",VLOOKUP(F212,tblMerits[],6,FALSE)),"None")</f>
        <v>None</v>
      </c>
      <c r="I212" s="69"/>
      <c r="L212" s="4"/>
      <c r="M212" s="4"/>
      <c r="N212" s="4"/>
      <c r="O212" s="61">
        <f t="shared" si="33"/>
        <v>0</v>
      </c>
      <c r="P212" s="60">
        <f t="shared" si="34"/>
        <v>0</v>
      </c>
      <c r="Q212" s="61" t="str">
        <f>_xlfn.IFNA(VLOOKUP($F212,tblPacts[],3,FALSE),"")</f>
        <v/>
      </c>
      <c r="R212" s="61" t="str">
        <f>_xlfn.IFNA(VLOOKUP($F212,tblPacts[],4,FALSE),"")</f>
        <v/>
      </c>
    </row>
    <row r="213" spans="1:18">
      <c r="A213" s="1" t="s">
        <v>212</v>
      </c>
      <c r="B213" t="str">
        <f t="shared" si="32"/>
        <v>¬</v>
      </c>
      <c r="D213" s="19"/>
      <c r="E213" s="15" t="s">
        <v>1483</v>
      </c>
      <c r="F213" s="3"/>
      <c r="G213" s="19" t="str">
        <f>IFERROR(VLOOKUP(F213,tblManoeuvre[],2,FALSE)&amp;" "&amp;VLOOKUP(F213,tblManoeuvre[],3,FALSE),"")</f>
        <v/>
      </c>
      <c r="H213" s="68" t="str">
        <f>_xlfn.IFNA(IF(VLOOKUP(F213,tblMerits[],6,FALSE)=0,"None",VLOOKUP(F213,tblMerits[],6,FALSE)),"None")</f>
        <v>None</v>
      </c>
      <c r="I213" s="69"/>
      <c r="L213" s="4"/>
      <c r="M213" s="4"/>
      <c r="N213" s="4"/>
      <c r="O213" s="61">
        <f t="shared" si="33"/>
        <v>0</v>
      </c>
      <c r="P213" s="60">
        <f t="shared" si="34"/>
        <v>0</v>
      </c>
      <c r="Q213" s="61" t="str">
        <f>_xlfn.IFNA(VLOOKUP($F213,tblPacts[],3,FALSE),"")</f>
        <v/>
      </c>
      <c r="R213" s="61" t="str">
        <f>_xlfn.IFNA(VLOOKUP($F213,tblPacts[],4,FALSE),"")</f>
        <v/>
      </c>
    </row>
    <row r="214" spans="1:18">
      <c r="A214" s="1" t="s">
        <v>213</v>
      </c>
      <c r="B214" t="str">
        <f t="shared" si="32"/>
        <v>¬</v>
      </c>
      <c r="D214" s="19"/>
      <c r="E214" s="15" t="s">
        <v>1484</v>
      </c>
      <c r="F214" s="3"/>
      <c r="G214" s="19" t="str">
        <f>IFERROR(VLOOKUP(F214,tblManoeuvre[],2,FALSE)&amp;" "&amp;VLOOKUP(F214,tblManoeuvre[],3,FALSE),"")</f>
        <v/>
      </c>
      <c r="H214" s="68" t="str">
        <f>_xlfn.IFNA(IF(VLOOKUP(F214,tblMerits[],6,FALSE)=0,"None",VLOOKUP(F214,tblMerits[],6,FALSE)),"None")</f>
        <v>None</v>
      </c>
      <c r="I214" s="69"/>
      <c r="L214" s="4"/>
      <c r="M214" s="4"/>
      <c r="N214" s="4"/>
      <c r="O214" s="61">
        <f t="shared" si="33"/>
        <v>0</v>
      </c>
      <c r="P214" s="60">
        <f t="shared" si="34"/>
        <v>0</v>
      </c>
      <c r="Q214" s="61" t="str">
        <f>_xlfn.IFNA(VLOOKUP($F214,tblPacts[],3,FALSE),"")</f>
        <v/>
      </c>
      <c r="R214" s="61" t="str">
        <f>_xlfn.IFNA(VLOOKUP($F214,tblPacts[],4,FALSE),"")</f>
        <v/>
      </c>
    </row>
    <row r="215" spans="1:18">
      <c r="A215" s="1" t="s">
        <v>214</v>
      </c>
      <c r="B215" t="str">
        <f t="shared" si="32"/>
        <v>¬</v>
      </c>
      <c r="D215" s="19"/>
      <c r="E215" s="15" t="s">
        <v>1485</v>
      </c>
      <c r="F215" s="3"/>
      <c r="G215" s="19" t="str">
        <f>IFERROR(VLOOKUP(F215,tblManoeuvre[],2,FALSE)&amp;" "&amp;VLOOKUP(F215,tblManoeuvre[],3,FALSE),"")</f>
        <v/>
      </c>
      <c r="H215" s="68" t="str">
        <f>_xlfn.IFNA(IF(VLOOKUP(F215,tblMerits[],6,FALSE)=0,"None",VLOOKUP(F215,tblMerits[],6,FALSE)),"None")</f>
        <v>None</v>
      </c>
      <c r="I215" s="69"/>
      <c r="L215" s="4"/>
      <c r="M215" s="4"/>
      <c r="N215" s="4"/>
      <c r="O215" s="61">
        <f t="shared" si="33"/>
        <v>0</v>
      </c>
      <c r="P215" s="60">
        <f t="shared" si="34"/>
        <v>0</v>
      </c>
      <c r="Q215" s="61" t="str">
        <f>_xlfn.IFNA(VLOOKUP($F215,tblPacts[],3,FALSE),"")</f>
        <v/>
      </c>
      <c r="R215" s="61" t="str">
        <f>_xlfn.IFNA(VLOOKUP($F215,tblPacts[],4,FALSE),"")</f>
        <v/>
      </c>
    </row>
    <row r="216" spans="1:18">
      <c r="A216" s="1" t="s">
        <v>215</v>
      </c>
      <c r="B216" t="str">
        <f t="shared" si="32"/>
        <v>¬</v>
      </c>
    </row>
    <row r="217" spans="1:18">
      <c r="A217" s="1" t="s">
        <v>216</v>
      </c>
      <c r="B217" t="str">
        <f>IF(OR(AF134=0,AF134=""),"",REPT("●",AF134))</f>
        <v>●</v>
      </c>
      <c r="D217" s="16" t="s">
        <v>1509</v>
      </c>
      <c r="E217" s="16"/>
      <c r="F217" s="16"/>
      <c r="G217" s="16"/>
      <c r="H217" s="16"/>
      <c r="I217" s="16"/>
    </row>
    <row r="218" spans="1:18">
      <c r="A218" s="1" t="s">
        <v>217</v>
      </c>
      <c r="B218" t="str">
        <f t="shared" ref="B218:B236" si="35">IF(OR(AF135=0,AF135=""),"",REPT("●",AF135))</f>
        <v>●●●</v>
      </c>
      <c r="D218" s="19"/>
      <c r="E218" s="15" t="s">
        <v>353</v>
      </c>
      <c r="F218" s="19"/>
      <c r="G218" s="19"/>
      <c r="H218" s="19"/>
      <c r="I218" s="19"/>
      <c r="M218" s="61">
        <f>IF(COUNTIF(F79:F93,"Giant")&gt;0,1,0)+IF(COUNTIF(F79:F93,"Small-Framed")&gt;0,-1,0)</f>
        <v>0</v>
      </c>
      <c r="P218" s="60">
        <f>5+M218</f>
        <v>5</v>
      </c>
    </row>
    <row r="219" spans="1:18">
      <c r="A219" s="1" t="s">
        <v>218</v>
      </c>
      <c r="B219" t="str">
        <f t="shared" si="35"/>
        <v/>
      </c>
      <c r="D219" s="19"/>
      <c r="E219" s="15" t="s">
        <v>354</v>
      </c>
      <c r="F219" s="19"/>
      <c r="G219" s="19"/>
      <c r="H219" s="19"/>
      <c r="I219" s="19"/>
      <c r="P219" s="60">
        <f ca="1">VLOOKUP("Size",INDIRECT($AH$1),2,FALSE)+VLOOKUP("Strength",INDIRECT($AH$1),2,FALSE)+VLOOKUP("Dexterity",INDIRECT($AH$1),2,FALSE)+VLOOKUP("Vigour",INDIRECT($AH$1),2,FALSE)</f>
        <v>14</v>
      </c>
    </row>
    <row r="220" spans="1:18">
      <c r="A220" s="1" t="s">
        <v>219</v>
      </c>
      <c r="B220" t="str">
        <f t="shared" si="35"/>
        <v/>
      </c>
      <c r="D220" s="19"/>
      <c r="E220" s="15" t="s">
        <v>355</v>
      </c>
      <c r="F220" s="19"/>
      <c r="G220" s="19"/>
      <c r="H220" s="19"/>
      <c r="I220" s="19"/>
      <c r="P220" s="60">
        <f ca="1">MIN(VLOOKUP("Dexterity",INDIRECT($AH$1),2,FALSE),VLOOKUP("Wits",INDIRECT($AH$1),2,FALSE))+VLOOKUP("Athletics",INDIRECT($AH$1),2,FALSE)</f>
        <v>6</v>
      </c>
    </row>
    <row r="221" spans="1:18">
      <c r="A221" s="1" t="s">
        <v>220</v>
      </c>
      <c r="B221" t="str">
        <f t="shared" si="35"/>
        <v/>
      </c>
      <c r="D221" s="19"/>
      <c r="E221" s="15" t="s">
        <v>52</v>
      </c>
      <c r="F221" s="19"/>
      <c r="G221" s="19"/>
      <c r="H221" s="19"/>
      <c r="I221" s="19"/>
      <c r="P221" s="60">
        <f ca="1">VLOOKUP("Size",INDIRECT($AH$1),2,FALSE)+VLOOKUP("Stamina",INDIRECT($AH$1),2,FALSE)+VLOOKUP("Resilience",INDIRECT($AH$1),2,FALSE)</f>
        <v>7</v>
      </c>
    </row>
    <row r="222" spans="1:18">
      <c r="A222" s="1" t="s">
        <v>221</v>
      </c>
      <c r="B222" t="str">
        <f t="shared" si="35"/>
        <v/>
      </c>
      <c r="D222" s="19"/>
      <c r="E222" s="19"/>
      <c r="F222" s="19"/>
      <c r="G222" s="19"/>
      <c r="H222" s="15" t="s">
        <v>1510</v>
      </c>
      <c r="I222" s="19"/>
      <c r="L222" s="4"/>
    </row>
    <row r="223" spans="1:18">
      <c r="A223" s="1" t="s">
        <v>222</v>
      </c>
      <c r="B223" t="str">
        <f t="shared" si="35"/>
        <v/>
      </c>
      <c r="D223" s="19"/>
      <c r="E223" s="15" t="s">
        <v>1511</v>
      </c>
      <c r="F223" s="7"/>
      <c r="G223" s="19"/>
      <c r="H223" s="15" t="s">
        <v>1512</v>
      </c>
      <c r="I223" s="19"/>
      <c r="L223" s="4"/>
    </row>
    <row r="224" spans="1:18">
      <c r="A224" s="1" t="s">
        <v>223</v>
      </c>
      <c r="B224" t="str">
        <f t="shared" si="35"/>
        <v/>
      </c>
      <c r="D224" s="19"/>
      <c r="E224" s="15" t="s">
        <v>1513</v>
      </c>
      <c r="F224" s="7"/>
      <c r="G224" s="19"/>
      <c r="H224" s="15" t="s">
        <v>1514</v>
      </c>
      <c r="I224" s="19"/>
      <c r="L224" s="4"/>
    </row>
    <row r="225" spans="1:12">
      <c r="A225" s="1" t="s">
        <v>224</v>
      </c>
      <c r="B225" t="str">
        <f t="shared" si="35"/>
        <v/>
      </c>
      <c r="D225" s="19"/>
      <c r="E225" s="15" t="s">
        <v>1515</v>
      </c>
      <c r="F225" s="7"/>
      <c r="G225" s="19"/>
      <c r="H225" s="15" t="s">
        <v>1516</v>
      </c>
      <c r="I225" s="19"/>
      <c r="L225" s="4"/>
    </row>
    <row r="226" spans="1:12">
      <c r="A226" s="1" t="s">
        <v>225</v>
      </c>
      <c r="B226" t="str">
        <f t="shared" si="35"/>
        <v/>
      </c>
      <c r="D226" s="19"/>
      <c r="E226" s="15" t="s">
        <v>1517</v>
      </c>
      <c r="F226" s="7"/>
      <c r="G226" s="19"/>
      <c r="H226" s="19"/>
      <c r="I226" s="19"/>
    </row>
    <row r="227" spans="1:12">
      <c r="A227" s="1" t="s">
        <v>226</v>
      </c>
      <c r="B227" t="str">
        <f t="shared" si="35"/>
        <v/>
      </c>
      <c r="D227" s="19"/>
      <c r="E227" s="15" t="s">
        <v>1518</v>
      </c>
      <c r="F227" s="7" t="s">
        <v>1786</v>
      </c>
      <c r="G227" s="19"/>
      <c r="H227" s="19"/>
      <c r="I227" s="19"/>
    </row>
    <row r="228" spans="1:12">
      <c r="A228" s="1" t="s">
        <v>227</v>
      </c>
      <c r="B228" t="str">
        <f t="shared" si="35"/>
        <v/>
      </c>
      <c r="D228" s="19"/>
      <c r="E228" s="15" t="s">
        <v>1519</v>
      </c>
      <c r="F228" s="7"/>
      <c r="G228" s="19"/>
      <c r="H228" s="19"/>
      <c r="I228" s="19"/>
    </row>
    <row r="229" spans="1:12">
      <c r="A229" s="1" t="s">
        <v>228</v>
      </c>
      <c r="B229" t="str">
        <f t="shared" si="35"/>
        <v/>
      </c>
      <c r="D229" s="19"/>
      <c r="E229" s="15" t="s">
        <v>1520</v>
      </c>
      <c r="F229" s="7"/>
      <c r="G229" s="19"/>
      <c r="H229" s="19"/>
      <c r="I229" s="19"/>
    </row>
    <row r="230" spans="1:12">
      <c r="A230" s="1" t="s">
        <v>229</v>
      </c>
      <c r="B230" t="str">
        <f t="shared" si="35"/>
        <v/>
      </c>
      <c r="D230" s="19"/>
      <c r="E230" s="15" t="s">
        <v>1521</v>
      </c>
      <c r="F230" s="7"/>
      <c r="G230" s="19"/>
      <c r="H230" s="19"/>
      <c r="I230" s="19"/>
    </row>
    <row r="231" spans="1:12">
      <c r="A231" s="1" t="s">
        <v>230</v>
      </c>
      <c r="B231" t="str">
        <f t="shared" si="35"/>
        <v/>
      </c>
      <c r="D231" s="19"/>
      <c r="E231" s="15" t="s">
        <v>1522</v>
      </c>
      <c r="F231" s="7"/>
      <c r="G231" s="19"/>
      <c r="H231" s="19"/>
      <c r="I231" s="19"/>
    </row>
    <row r="232" spans="1:12">
      <c r="A232" s="1" t="s">
        <v>231</v>
      </c>
      <c r="B232" t="str">
        <f t="shared" si="35"/>
        <v/>
      </c>
      <c r="D232" s="19"/>
      <c r="E232" s="15" t="s">
        <v>1523</v>
      </c>
      <c r="F232" s="7"/>
      <c r="G232" s="19"/>
      <c r="H232" s="19"/>
      <c r="I232" s="19"/>
    </row>
    <row r="233" spans="1:12">
      <c r="A233" s="1" t="s">
        <v>232</v>
      </c>
      <c r="B233" t="str">
        <f t="shared" si="35"/>
        <v/>
      </c>
      <c r="D233" s="19"/>
      <c r="E233" s="19"/>
      <c r="F233" s="19"/>
      <c r="G233" s="19"/>
      <c r="H233" s="19"/>
      <c r="I233" s="19"/>
    </row>
    <row r="234" spans="1:12">
      <c r="A234" s="1" t="s">
        <v>233</v>
      </c>
      <c r="B234" t="str">
        <f t="shared" si="35"/>
        <v/>
      </c>
      <c r="D234" s="19"/>
      <c r="E234" s="15" t="s">
        <v>343</v>
      </c>
      <c r="F234" s="61" t="str">
        <f>_xlfn.IFNA(VLOOKUP(F7,tblClans[],4,FALSE),"")</f>
        <v>Tenebrous Curse</v>
      </c>
      <c r="G234" s="19"/>
      <c r="H234" s="74" t="str">
        <f>_xlfn.IFNA(VLOOKUP(F234,tblBanes[],2,FALSE),"")</f>
        <v>Gain an extra bane at Humanity 6 (doesn't count towards cap); Humanity counts –1 for all Humanity-based banes.</v>
      </c>
      <c r="I234" s="74"/>
    </row>
    <row r="235" spans="1:12">
      <c r="A235" s="1" t="s">
        <v>234</v>
      </c>
      <c r="B235" t="str">
        <f t="shared" si="35"/>
        <v/>
      </c>
      <c r="D235" s="19"/>
      <c r="E235" s="15" t="s">
        <v>344</v>
      </c>
      <c r="F235" s="19"/>
      <c r="G235" s="19"/>
      <c r="H235" s="19"/>
      <c r="I235" s="19"/>
    </row>
    <row r="236" spans="1:12">
      <c r="A236" s="1" t="s">
        <v>235</v>
      </c>
      <c r="B236" t="str">
        <f t="shared" si="35"/>
        <v/>
      </c>
      <c r="D236" s="19"/>
      <c r="E236" s="15" t="s">
        <v>345</v>
      </c>
      <c r="F236" s="3"/>
      <c r="G236" s="19"/>
      <c r="H236" s="70" t="str">
        <f>_xlfn.IFNA(VLOOKUP(F236,tblBanes[],2,FALSE),"")</f>
        <v/>
      </c>
      <c r="I236" s="71"/>
    </row>
    <row r="237" spans="1:12">
      <c r="A237" s="1" t="s">
        <v>236</v>
      </c>
      <c r="B237" t="str">
        <f ca="1">_xlfn.LET(_xlpm.v,VLOOKUP(tblCharDataMac[[#This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_xlfn.LET(_xlpm.v,VLOOKUP(tblCharDataMac[[#This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_xlfn.LET(_xlpm.v,VLOOKUP(tblCharDataMac[[#This Row],[Field]],INDIRECT($AH$1),2,FALSE),IF(OR(_xlpm.v=0,_xlpm.v=""),"-",REPT("●",_xlpm.v)))</f>
        <v>●●</v>
      </c>
      <c r="D239" s="19"/>
      <c r="E239" s="19"/>
      <c r="F239" s="19"/>
      <c r="G239" s="19"/>
      <c r="H239" s="19"/>
      <c r="I239" s="19"/>
    </row>
    <row r="240" spans="1:12">
      <c r="A240" s="1" t="s">
        <v>239</v>
      </c>
      <c r="B240" t="str">
        <f ca="1">_xlfn.LET(_xlpm.v,VLOOKUP(tblCharDataMac[[#This Row],[Field]],INDIRECT($AH$1),2,FALSE),IF(OR(_xlpm.v=0,_xlpm.v=""),"-",REPT("●",_xlpm.v)))</f>
        <v>-</v>
      </c>
      <c r="D240" s="19"/>
      <c r="E240" s="15" t="s">
        <v>360</v>
      </c>
      <c r="F240" s="62"/>
      <c r="G240" s="63"/>
      <c r="H240" s="63"/>
      <c r="I240" s="64"/>
    </row>
    <row r="241" spans="1:9">
      <c r="A241" s="1" t="s">
        <v>240</v>
      </c>
      <c r="B241" t="str">
        <f ca="1">_xlfn.LET(_xlpm.v,VLOOKUP(tblCharDataMac[[#This Row],[Field]],INDIRECT($AH$1),2,FALSE),IF(OR(_xlpm.v=0,_xlpm.v=""),"-",REPT("●",_xlpm.v)))</f>
        <v>-</v>
      </c>
      <c r="D241" s="19"/>
      <c r="E241" s="15" t="s">
        <v>361</v>
      </c>
      <c r="F241" s="62"/>
      <c r="G241" s="63"/>
      <c r="H241" s="63"/>
      <c r="I241" s="64"/>
    </row>
    <row r="242" spans="1:9">
      <c r="A242" s="1" t="s">
        <v>241</v>
      </c>
      <c r="B242" t="str">
        <f ca="1">_xlfn.LET(_xlpm.v,VLOOKUP(tblCharDataMac[[#This Row],[Field]],INDIRECT($AH$1),2,FALSE),IF(OR(_xlpm.v=0,_xlpm.v=""),"-",REPT("●",_xlpm.v)))</f>
        <v>-</v>
      </c>
      <c r="D242" s="19"/>
      <c r="E242" s="15" t="s">
        <v>362</v>
      </c>
      <c r="F242" s="62"/>
      <c r="G242" s="63"/>
      <c r="H242" s="63"/>
      <c r="I242" s="64"/>
    </row>
    <row r="243" spans="1:9">
      <c r="A243" s="1" t="s">
        <v>242</v>
      </c>
      <c r="B243" t="str">
        <f ca="1">_xlfn.LET(_xlpm.v,VLOOKUP(tblCharDataMac[[#This Row],[Field]],INDIRECT($AH$1),2,FALSE),IF(OR(_xlpm.v=0,_xlpm.v=""),"-",REPT("●",_xlpm.v)))</f>
        <v>●</v>
      </c>
      <c r="D243" s="19"/>
      <c r="E243" s="19"/>
      <c r="F243" s="19"/>
      <c r="G243" s="19"/>
      <c r="H243" s="19"/>
      <c r="I243" s="19"/>
    </row>
    <row r="244" spans="1:9">
      <c r="A244" s="1" t="s">
        <v>243</v>
      </c>
      <c r="B244" t="str">
        <f ca="1">_xlfn.LET(_xlpm.v,VLOOKUP(tblCharDataMac[[#This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_xlfn.LET(_xlpm.v,VLOOKUP(tblCharDataMac[[#This Row],[Field]],INDIRECT($AH$1),2,FALSE),IF(OR(_xlpm.v=0,_xlpm.v=""),"-",REPT("●",_xlpm.v)))</f>
        <v>-</v>
      </c>
      <c r="D245" s="19"/>
      <c r="E245" s="15" t="s">
        <v>1524</v>
      </c>
      <c r="F245" s="62"/>
      <c r="G245" s="63"/>
      <c r="H245" s="63"/>
      <c r="I245" s="64"/>
    </row>
    <row r="246" spans="1:9">
      <c r="A246" s="1" t="s">
        <v>245</v>
      </c>
      <c r="B246" t="str">
        <f ca="1">_xlfn.LET(_xlpm.v,VLOOKUP(tblCharDataMac[[#This Row],[Field]],INDIRECT($AH$1),2,FALSE),IF(OR(_xlpm.v=0,_xlpm.v=""),"-",REPT("●",_xlpm.v)))</f>
        <v>●●●</v>
      </c>
    </row>
    <row r="247" spans="1:9">
      <c r="A247" s="1" t="s">
        <v>246</v>
      </c>
      <c r="B247" t="str">
        <f ca="1">_xlfn.LET(_xlpm.v,VLOOKUP(tblCharDataMac[[#This Row],[Field]],INDIRECT($AH$1),2,FALSE),IF(OR(_xlpm.v=0,_xlpm.v=""),"-",REPT("●",_xlpm.v)))</f>
        <v>-</v>
      </c>
      <c r="D247" s="16" t="s">
        <v>1525</v>
      </c>
      <c r="E247" s="16"/>
      <c r="F247" s="16" t="s">
        <v>1526</v>
      </c>
      <c r="G247" s="16" t="s">
        <v>1527</v>
      </c>
      <c r="H247" s="16"/>
      <c r="I247" s="16"/>
    </row>
    <row r="248" spans="1:9">
      <c r="A248" s="1" t="s">
        <v>247</v>
      </c>
      <c r="B248" t="str">
        <f ca="1">_xlfn.LET(_xlpm.v,VLOOKUP(tblCharDataMac[[#This Row],[Field]],INDIRECT($AH$1),2,FALSE),IF(OR(_xlpm.v=0,_xlpm.v=""),"-",REPT("●",_xlpm.v)))</f>
        <v>-</v>
      </c>
      <c r="D248" s="19"/>
      <c r="E248" s="15" t="s">
        <v>1528</v>
      </c>
      <c r="F248" s="7"/>
      <c r="G248" s="7"/>
      <c r="H248" s="19"/>
      <c r="I248" s="19" t="s">
        <v>1529</v>
      </c>
    </row>
    <row r="249" spans="1:9">
      <c r="A249" s="1" t="s">
        <v>248</v>
      </c>
      <c r="B249" t="str">
        <f ca="1">_xlfn.LET(_xlpm.v,VLOOKUP(tblCharDataMac[[#This Row],[Field]],INDIRECT($AH$1),2,FALSE),IF(OR(_xlpm.v=0,_xlpm.v=""),"-",REPT("●",_xlpm.v)))</f>
        <v>-</v>
      </c>
      <c r="D249" s="19"/>
      <c r="E249" s="15" t="s">
        <v>1530</v>
      </c>
      <c r="F249" s="7"/>
      <c r="G249" s="7"/>
      <c r="H249" s="19"/>
      <c r="I249" s="19" t="s">
        <v>1531</v>
      </c>
    </row>
    <row r="250" spans="1:9">
      <c r="A250" s="1" t="s">
        <v>249</v>
      </c>
      <c r="B250" t="str">
        <f ca="1">_xlfn.LET(_xlpm.v,VLOOKUP(tblCharDataMac[[#This Row],[Field]],INDIRECT($AH$1),2,FALSE),IF(OR(_xlpm.v=0,_xlpm.v=""),"-",REPT("●",_xlpm.v)))</f>
        <v>-</v>
      </c>
      <c r="D250" s="19" t="s">
        <v>1532</v>
      </c>
      <c r="E250" s="15" t="s">
        <v>1533</v>
      </c>
      <c r="F250" s="7"/>
      <c r="G250" s="7"/>
      <c r="H250" s="19"/>
      <c r="I250" s="19"/>
    </row>
    <row r="251" spans="1:9">
      <c r="A251" s="1" t="s">
        <v>250</v>
      </c>
      <c r="B251" t="str">
        <f ca="1">_xlfn.LET(_xlpm.v,VLOOKUP(tblCharDataMac[[#This Row],[Field]],INDIRECT($AH$1),2,FALSE),IF(OR(_xlpm.v=0,_xlpm.v=""),"-",REPT("●",_xlpm.v)))</f>
        <v>-</v>
      </c>
      <c r="D251" s="19" t="s">
        <v>1532</v>
      </c>
      <c r="E251" s="15" t="s">
        <v>1534</v>
      </c>
      <c r="F251" s="7"/>
      <c r="G251" s="7"/>
      <c r="H251" s="19"/>
      <c r="I251" s="19"/>
    </row>
    <row r="252" spans="1:9">
      <c r="A252" s="1" t="s">
        <v>251</v>
      </c>
      <c r="B252" t="str">
        <f ca="1">_xlfn.LET(_xlpm.v,VLOOKUP(tblCharDataMac[[#This Row],[Field]],INDIRECT($AH$1),2,FALSE),IF(OR(_xlpm.v=0,_xlpm.v=""),"-",REPT("●",_xlpm.v)))</f>
        <v>-</v>
      </c>
      <c r="D252" s="19" t="s">
        <v>1532</v>
      </c>
      <c r="E252" s="15" t="s">
        <v>1535</v>
      </c>
      <c r="F252" s="7"/>
      <c r="G252" s="7"/>
      <c r="H252" s="19"/>
      <c r="I252" s="19"/>
    </row>
    <row r="253" spans="1:9">
      <c r="A253" s="1" t="s">
        <v>252</v>
      </c>
      <c r="B253" t="str">
        <f ca="1">_xlfn.LET(_xlpm.v,VLOOKUP(tblCharDataMac[[#This Row],[Field]],INDIRECT($AH$1),2,FALSE),IF(OR(_xlpm.v=0,_xlpm.v=""),"-",REPT("●",_xlpm.v)))</f>
        <v>-</v>
      </c>
      <c r="D253" s="19" t="s">
        <v>1532</v>
      </c>
      <c r="E253" s="15" t="s">
        <v>1536</v>
      </c>
      <c r="F253" s="7"/>
      <c r="G253" s="7"/>
      <c r="H253" s="19"/>
      <c r="I253" s="19"/>
    </row>
    <row r="254" spans="1:9">
      <c r="A254" s="1" t="s">
        <v>253</v>
      </c>
      <c r="B254" t="str">
        <f t="shared" ref="B254:B283" si="36">IF(AD44="","¬",AD44)</f>
        <v>Auspex ● | Beast's Hackles</v>
      </c>
      <c r="D254" s="19" t="s">
        <v>1532</v>
      </c>
      <c r="E254" s="15" t="s">
        <v>1537</v>
      </c>
      <c r="F254" s="7"/>
      <c r="G254" s="7"/>
      <c r="H254" s="19"/>
      <c r="I254" s="19"/>
    </row>
    <row r="255" spans="1:9">
      <c r="A255" s="1" t="s">
        <v>254</v>
      </c>
      <c r="B255" t="str">
        <f t="shared" si="36"/>
        <v>Auspex ●● | Uncanny Perception</v>
      </c>
      <c r="D255" s="19" t="s">
        <v>1532</v>
      </c>
      <c r="E255" s="15" t="s">
        <v>1538</v>
      </c>
      <c r="F255" s="7"/>
      <c r="G255" s="7"/>
      <c r="H255" s="19"/>
      <c r="I255" s="19"/>
    </row>
    <row r="256" spans="1:9">
      <c r="A256" s="1" t="s">
        <v>255</v>
      </c>
      <c r="B256" t="str">
        <f t="shared" si="36"/>
        <v>Auspex ●●● | Spirit's Touch</v>
      </c>
      <c r="D256" s="19" t="s">
        <v>1532</v>
      </c>
      <c r="E256" s="15" t="s">
        <v>1539</v>
      </c>
      <c r="F256" s="7"/>
      <c r="G256" s="7"/>
      <c r="H256" s="19"/>
      <c r="I256" s="19"/>
    </row>
    <row r="257" spans="1:9">
      <c r="A257" s="1" t="s">
        <v>256</v>
      </c>
      <c r="B257" t="str">
        <f t="shared" si="36"/>
        <v>Celerity ●●</v>
      </c>
      <c r="D257" s="19" t="s">
        <v>1532</v>
      </c>
      <c r="E257" s="15" t="s">
        <v>1540</v>
      </c>
      <c r="F257" s="7"/>
      <c r="G257" s="7"/>
      <c r="H257" s="19"/>
      <c r="I257" s="19"/>
    </row>
    <row r="258" spans="1:9">
      <c r="A258" s="1" t="s">
        <v>257</v>
      </c>
      <c r="B258" t="str">
        <f t="shared" si="36"/>
        <v>Obfuscate ● | Face in the Crowd</v>
      </c>
      <c r="D258" s="19" t="s">
        <v>1532</v>
      </c>
      <c r="E258" s="15" t="s">
        <v>1541</v>
      </c>
      <c r="F258" s="7"/>
      <c r="G258" s="7"/>
      <c r="H258" s="19"/>
      <c r="I258" s="19"/>
    </row>
    <row r="259" spans="1:9">
      <c r="A259" s="1" t="s">
        <v>258</v>
      </c>
      <c r="B259" t="str">
        <f t="shared" si="36"/>
        <v>Protean ● | Unmarked Grave</v>
      </c>
      <c r="D259" s="19" t="s">
        <v>1532</v>
      </c>
      <c r="E259" s="15" t="s">
        <v>1542</v>
      </c>
      <c r="F259" s="7"/>
      <c r="G259" s="7"/>
      <c r="H259" s="19"/>
      <c r="I259" s="19"/>
    </row>
    <row r="260" spans="1:9">
      <c r="A260" s="1" t="s">
        <v>259</v>
      </c>
      <c r="B260" t="str">
        <f t="shared" si="36"/>
        <v>Vigour ●●●</v>
      </c>
      <c r="D260" s="19" t="s">
        <v>1532</v>
      </c>
      <c r="E260" s="15" t="s">
        <v>1543</v>
      </c>
      <c r="F260" s="7"/>
      <c r="G260" s="7"/>
      <c r="H260" s="19"/>
      <c r="I260" s="19"/>
    </row>
    <row r="261" spans="1:9">
      <c r="A261" s="1" t="s">
        <v>260</v>
      </c>
      <c r="B261" t="str">
        <f t="shared" si="36"/>
        <v>Devotion  | Vitae Spines</v>
      </c>
      <c r="D261" s="19" t="s">
        <v>1532</v>
      </c>
      <c r="E261" s="15" t="s">
        <v>1544</v>
      </c>
      <c r="F261" s="7"/>
      <c r="G261" s="7"/>
      <c r="H261" s="19"/>
      <c r="I261" s="19"/>
    </row>
    <row r="262" spans="1:9">
      <c r="A262" s="1" t="s">
        <v>261</v>
      </c>
      <c r="B262" t="str">
        <f t="shared" si="36"/>
        <v>¬</v>
      </c>
      <c r="D262" s="19" t="s">
        <v>1532</v>
      </c>
      <c r="E262" s="15" t="s">
        <v>1545</v>
      </c>
      <c r="F262" s="7"/>
      <c r="G262" s="7"/>
      <c r="H262" s="19"/>
      <c r="I262" s="19"/>
    </row>
    <row r="263" spans="1:9">
      <c r="A263" s="1" t="s">
        <v>262</v>
      </c>
      <c r="B263" t="str">
        <f t="shared" si="36"/>
        <v>¬</v>
      </c>
      <c r="D263" s="19" t="s">
        <v>1532</v>
      </c>
      <c r="E263" s="15" t="s">
        <v>1546</v>
      </c>
      <c r="F263" s="7"/>
      <c r="G263" s="7"/>
      <c r="H263" s="19"/>
      <c r="I263" s="19"/>
    </row>
    <row r="264" spans="1:9">
      <c r="A264" s="1" t="s">
        <v>263</v>
      </c>
      <c r="B264" t="str">
        <f t="shared" si="36"/>
        <v>¬</v>
      </c>
      <c r="D264" s="19" t="s">
        <v>1532</v>
      </c>
      <c r="E264" s="15" t="s">
        <v>1547</v>
      </c>
      <c r="F264" s="7"/>
      <c r="G264" s="7"/>
      <c r="H264" s="19"/>
      <c r="I264" s="19"/>
    </row>
    <row r="265" spans="1:9">
      <c r="A265" s="1" t="s">
        <v>264</v>
      </c>
      <c r="B265" t="str">
        <f t="shared" si="36"/>
        <v>¬</v>
      </c>
      <c r="D265" s="19" t="s">
        <v>1532</v>
      </c>
      <c r="E265" s="15" t="s">
        <v>1548</v>
      </c>
      <c r="F265" s="7"/>
      <c r="G265" s="7"/>
      <c r="H265" s="19"/>
      <c r="I265" s="19"/>
    </row>
    <row r="266" spans="1:9">
      <c r="A266" s="1" t="s">
        <v>265</v>
      </c>
      <c r="B266" t="str">
        <f t="shared" si="36"/>
        <v>¬</v>
      </c>
      <c r="D266" s="19" t="s">
        <v>1532</v>
      </c>
      <c r="E266" s="15" t="s">
        <v>1549</v>
      </c>
      <c r="F266" s="7"/>
      <c r="G266" s="7"/>
      <c r="H266" s="19"/>
      <c r="I266" s="19"/>
    </row>
    <row r="267" spans="1:9">
      <c r="A267" s="1" t="s">
        <v>266</v>
      </c>
      <c r="B267" t="str">
        <f t="shared" si="36"/>
        <v>¬</v>
      </c>
      <c r="D267" s="19" t="s">
        <v>1532</v>
      </c>
      <c r="E267" s="15" t="s">
        <v>1550</v>
      </c>
      <c r="F267" s="7"/>
      <c r="G267" s="7"/>
      <c r="H267" s="19"/>
      <c r="I267" s="19"/>
    </row>
    <row r="268" spans="1:9">
      <c r="A268" s="1" t="s">
        <v>267</v>
      </c>
      <c r="B268" t="str">
        <f t="shared" si="36"/>
        <v>¬</v>
      </c>
      <c r="D268" s="19" t="s">
        <v>1532</v>
      </c>
      <c r="E268" s="15" t="s">
        <v>1551</v>
      </c>
      <c r="F268" s="7"/>
      <c r="G268" s="7"/>
      <c r="H268" s="19"/>
      <c r="I268" s="19"/>
    </row>
    <row r="269" spans="1:9">
      <c r="A269" s="1" t="s">
        <v>268</v>
      </c>
      <c r="B269" t="str">
        <f t="shared" si="36"/>
        <v>¬</v>
      </c>
      <c r="D269" s="19" t="s">
        <v>1532</v>
      </c>
      <c r="E269" s="15" t="s">
        <v>1552</v>
      </c>
      <c r="F269" s="7"/>
      <c r="G269" s="7"/>
      <c r="H269" s="19"/>
      <c r="I269" s="19"/>
    </row>
    <row r="270" spans="1:9">
      <c r="A270" s="1" t="s">
        <v>269</v>
      </c>
      <c r="B270" t="str">
        <f t="shared" si="36"/>
        <v>¬</v>
      </c>
      <c r="D270" s="19" t="s">
        <v>1532</v>
      </c>
      <c r="E270" s="15" t="s">
        <v>1553</v>
      </c>
      <c r="F270" s="7"/>
      <c r="G270" s="7"/>
      <c r="H270" s="19"/>
      <c r="I270" s="19"/>
    </row>
    <row r="271" spans="1:9">
      <c r="A271" s="1" t="s">
        <v>270</v>
      </c>
      <c r="B271" t="str">
        <f t="shared" si="36"/>
        <v>¬</v>
      </c>
      <c r="D271" s="19" t="s">
        <v>1532</v>
      </c>
      <c r="E271" s="15" t="s">
        <v>1554</v>
      </c>
      <c r="F271" s="7"/>
      <c r="G271" s="7"/>
      <c r="H271" s="19"/>
      <c r="I271" s="19"/>
    </row>
    <row r="272" spans="1:9">
      <c r="A272" s="1" t="s">
        <v>271</v>
      </c>
      <c r="B272" t="str">
        <f t="shared" si="36"/>
        <v>¬</v>
      </c>
      <c r="D272" s="19" t="s">
        <v>1532</v>
      </c>
      <c r="E272" s="15" t="s">
        <v>1555</v>
      </c>
      <c r="F272" s="7"/>
      <c r="G272" s="7"/>
      <c r="H272" s="19"/>
      <c r="I272" s="19"/>
    </row>
    <row r="273" spans="1:14">
      <c r="A273" s="1" t="s">
        <v>272</v>
      </c>
      <c r="B273" t="str">
        <f t="shared" si="36"/>
        <v>¬</v>
      </c>
      <c r="D273" s="19" t="s">
        <v>1532</v>
      </c>
      <c r="E273" s="15" t="s">
        <v>1556</v>
      </c>
      <c r="F273" s="7"/>
      <c r="G273" s="7"/>
      <c r="H273" s="19"/>
      <c r="I273" s="19"/>
    </row>
    <row r="274" spans="1:14">
      <c r="A274" s="1" t="s">
        <v>273</v>
      </c>
      <c r="B274" t="str">
        <f t="shared" si="36"/>
        <v>¬</v>
      </c>
      <c r="D274" s="19" t="s">
        <v>1532</v>
      </c>
      <c r="E274" s="15" t="s">
        <v>1557</v>
      </c>
      <c r="F274" s="7"/>
      <c r="G274" s="7"/>
      <c r="H274" s="19"/>
      <c r="I274" s="19"/>
    </row>
    <row r="275" spans="1:14">
      <c r="A275" s="1" t="s">
        <v>274</v>
      </c>
      <c r="B275" t="str">
        <f t="shared" si="36"/>
        <v>¬</v>
      </c>
      <c r="D275" s="19" t="s">
        <v>1532</v>
      </c>
      <c r="E275" s="15" t="s">
        <v>1558</v>
      </c>
      <c r="F275" s="7"/>
      <c r="G275" s="7"/>
      <c r="H275" s="19"/>
      <c r="I275" s="19"/>
    </row>
    <row r="276" spans="1:14">
      <c r="A276" s="1" t="s">
        <v>275</v>
      </c>
      <c r="B276" t="str">
        <f t="shared" si="36"/>
        <v>¬</v>
      </c>
      <c r="D276" s="19" t="s">
        <v>1532</v>
      </c>
      <c r="E276" s="15" t="s">
        <v>1559</v>
      </c>
      <c r="F276" s="7"/>
      <c r="G276" s="7"/>
      <c r="H276" s="19"/>
      <c r="I276" s="19"/>
    </row>
    <row r="277" spans="1:14">
      <c r="A277" s="1" t="s">
        <v>276</v>
      </c>
      <c r="B277" t="str">
        <f t="shared" si="36"/>
        <v>¬</v>
      </c>
      <c r="D277" s="19" t="s">
        <v>1532</v>
      </c>
      <c r="E277" s="15" t="s">
        <v>1560</v>
      </c>
      <c r="F277" s="7"/>
      <c r="G277" s="7"/>
      <c r="H277" s="19"/>
      <c r="I277" s="19"/>
    </row>
    <row r="278" spans="1:14">
      <c r="A278" s="1" t="s">
        <v>277</v>
      </c>
      <c r="B278" t="str">
        <f t="shared" si="36"/>
        <v>¬</v>
      </c>
    </row>
    <row r="279" spans="1:14">
      <c r="A279" s="1" t="s">
        <v>278</v>
      </c>
      <c r="B279" t="str">
        <f t="shared" si="36"/>
        <v>¬</v>
      </c>
      <c r="D279" s="16" t="s">
        <v>1561</v>
      </c>
      <c r="E279" s="16"/>
      <c r="F279" s="16" t="s">
        <v>1347</v>
      </c>
      <c r="G279" s="16" t="s">
        <v>1348</v>
      </c>
      <c r="H279" s="16" t="s">
        <v>1349</v>
      </c>
      <c r="I279" s="16" t="s">
        <v>1350</v>
      </c>
      <c r="N279" s="60">
        <f ca="1">SUM(N280:N282)</f>
        <v>3</v>
      </c>
    </row>
    <row r="280" spans="1:14">
      <c r="A280" s="1" t="s">
        <v>279</v>
      </c>
      <c r="B280" t="str">
        <f t="shared" si="36"/>
        <v>¬</v>
      </c>
      <c r="D280" s="61" t="str" cm="1">
        <f t="array" aca="1" ref="D280" ca="1">INDEX(Attendance!$C$14:$GP$44,
       MATCH($F$4, Attendance!$C$14:$C$44, 0),
       MATCH(1, (Attendance!$C$12:$GP$12=$E280) * (Attendance!$C$13:$GP$13="Paid"), 0)
)</f>
        <v>Cash</v>
      </c>
      <c r="E280" s="41">
        <v>46054</v>
      </c>
      <c r="F280" s="61" cm="1">
        <f t="array" aca="1" ref="F280" ca="1">N(INDEX(Attendance!$C$14:$GP$104,
       MATCH($F$4, Attendance!$C$14:$C$104, 0),
       MATCH(1, (Attendance!$C$12:$GP$12=$E280) * (Attendance!$C$13:$GP$13=$F$279), 0)
))</f>
        <v>3</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0</v>
      </c>
      <c r="I280" s="61" t="str" cm="1">
        <f t="array" aca="1" ref="I280" ca="1">INDEX(Attendance!$C$14:$GP$44,
       MATCH($F$4, Attendance!$C$14:$C$44, 0),
       MATCH(1, (Attendance!$C$12:$GP$12=$E280) * (Attendance!$C$13:$GP$13=$I$279), 0)
)</f>
        <v>Quiet</v>
      </c>
      <c r="K280" s="18"/>
      <c r="L280" s="18"/>
      <c r="M280" s="18" t="s">
        <v>1562</v>
      </c>
      <c r="N280" s="61">
        <f ca="1">SUM(F$280:F$316)</f>
        <v>3</v>
      </c>
    </row>
    <row r="281" spans="1:14">
      <c r="A281" s="1" t="s">
        <v>280</v>
      </c>
      <c r="B281" t="str">
        <f t="shared" si="36"/>
        <v>¬</v>
      </c>
      <c r="D281" s="61" t="str" cm="1">
        <f t="array" aca="1" ref="D281" ca="1">INDEX(Attendance!$C$14:$GP$44,
       MATCH($F$4, Attendance!$C$14:$C$44, 0),
       MATCH(1, (Attendance!$C$12:$GP$12=$E281) * (Attendance!$C$13:$GP$13="Paid"), 0)
)</f>
        <v> </v>
      </c>
      <c r="E281" s="42">
        <f t="shared" ref="E281:E316" si="37">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6"/>
        <v>¬</v>
      </c>
      <c r="D282" s="61" t="str" cm="1">
        <f t="array" aca="1" ref="D282" ca="1">INDEX(Attendance!$C$14:$GP$44,
       MATCH($F$4, Attendance!$C$14:$C$44, 0),
       MATCH(1, (Attendance!$C$12:$GP$12=$E282) * (Attendance!$C$13:$GP$13="Paid"), 0)
)</f>
        <v> </v>
      </c>
      <c r="E282" s="42">
        <f t="shared" si="37"/>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0</v>
      </c>
    </row>
    <row r="283" spans="1:14">
      <c r="A283" s="1" t="s">
        <v>282</v>
      </c>
      <c r="B283" t="str">
        <f t="shared" si="36"/>
        <v>¬</v>
      </c>
      <c r="D283" s="61" t="str" cm="1">
        <f t="array" aca="1" ref="D283" ca="1">INDEX(Attendance!$C$14:$GP$44,
       MATCH($F$4, Attendance!$C$14:$C$44, 0),
       MATCH(1, (Attendance!$C$12:$GP$12=$E283) * (Attendance!$C$13:$GP$13="Paid"), 0)
)</f>
        <v> </v>
      </c>
      <c r="E283" s="42">
        <f t="shared" si="37"/>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8">IF(AE44="","¬",AE44)</f>
        <v>Cost: Free (1 V for Insight)  •  Pool: - - Composure &amp; Closed Book  •  Instant  •  Scene</v>
      </c>
      <c r="D284" s="61" t="str" cm="1">
        <f t="array" aca="1" ref="D284" ca="1">INDEX(Attendance!$C$14:$GP$44,
       MATCH($F$4, Attendance!$C$14:$C$44, 0),
       MATCH(1, (Attendance!$C$12:$GP$12=$E284) * (Attendance!$C$13:$GP$13="Paid"), 0)
)</f>
        <v> </v>
      </c>
      <c r="E284" s="42">
        <f t="shared" si="37"/>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8"/>
        <v>Cost: Free (1 V for Insight) Must perceive target  •  Pool: -  •  Instant  •  Scene</v>
      </c>
      <c r="D285" s="61" t="str" cm="1">
        <f t="array" aca="1" ref="D285" ca="1">INDEX(Attendance!$C$14:$GP$44,
       MATCH($F$4, Attendance!$C$14:$C$44, 0),
       MATCH(1, (Attendance!$C$12:$GP$12=$E285) * (Attendance!$C$13:$GP$13="Paid"), 0)
)</f>
        <v> </v>
      </c>
      <c r="E285" s="42">
        <f t="shared" si="37"/>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8"/>
        <v>Cost: Free (1 WP for clash / 1 V for Insight)  •  Pool: - v Resolve + Stealth + Obf  •  Reflexive  •  Immediate</v>
      </c>
      <c r="D286" s="61" t="str" cm="1">
        <f t="array" aca="1" ref="D286" ca="1">INDEX(Attendance!$C$14:$GP$44,
       MATCH($F$4, Attendance!$C$14:$C$44, 0),
       MATCH(1, (Attendance!$C$12:$GP$12=$E286) * (Attendance!$C$13:$GP$13="Paid"), 0)
)</f>
        <v> </v>
      </c>
      <c r="E286" s="42">
        <f t="shared" si="37"/>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8"/>
        <v>Cost: 1 V per effect  •  Pool: -  •  Reflexive  •  1 turn</v>
      </c>
      <c r="D287" s="61" t="str" cm="1">
        <f t="array" aca="1" ref="D287" ca="1">INDEX(Attendance!$C$14:$GP$44,
       MATCH($F$4, Attendance!$C$14:$C$44, 0),
       MATCH(1, (Attendance!$C$12:$GP$12=$E287) * (Attendance!$C$13:$GP$13="Paid"), 0)
)</f>
        <v> </v>
      </c>
      <c r="E287" s="42">
        <f t="shared" si="37"/>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8"/>
        <v>Cost: -  •  Pool: -  •  Instant  •  Scene</v>
      </c>
      <c r="D288" s="61" t="str" cm="1">
        <f t="array" aca="1" ref="D288" ca="1">INDEX(Attendance!$C$14:$GP$44,
       MATCH($F$4, Attendance!$C$14:$C$44, 0),
       MATCH(1, (Attendance!$C$12:$GP$12=$E288) * (Attendance!$C$13:$GP$13="Paid"), 0)
)</f>
        <v> </v>
      </c>
      <c r="E288" s="42">
        <f t="shared" si="37"/>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8"/>
        <v>Cost: Varies  •  Pool: -  •  Instant  •  Indefinite</v>
      </c>
      <c r="D289" s="61" t="str" cm="1">
        <f t="array" aca="1" ref="D289" ca="1">INDEX(Attendance!$C$14:$GP$44,
       MATCH($F$4, Attendance!$C$14:$C$44, 0),
       MATCH(1, (Attendance!$C$12:$GP$12=$E289) * (Attendance!$C$13:$GP$13="Paid"), 0)
)</f>
        <v> </v>
      </c>
      <c r="E289" s="42">
        <f t="shared" si="37"/>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8"/>
        <v>Cost: 1 V per effect  •  Pool: -  •  Reflexive  •  1 turn</v>
      </c>
      <c r="D290" s="61" t="str" cm="1">
        <f t="array" aca="1" ref="D290" ca="1">INDEX(Attendance!$C$14:$GP$44,
       MATCH($F$4, Attendance!$C$14:$C$44, 0),
       MATCH(1, (Attendance!$C$12:$GP$12=$E290) * (Attendance!$C$13:$GP$13="Paid"), 0)
)</f>
        <v> </v>
      </c>
      <c r="E290" s="42">
        <f t="shared" si="37"/>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8"/>
        <v>Cost: 1 V per effect Norvegi Bloodline  •  Pool: -  •  Reflexive  •  Scene</v>
      </c>
      <c r="D291" s="61" t="str" cm="1">
        <f t="array" aca="1" ref="D291" ca="1">INDEX(Attendance!$C$14:$GP$44,
       MATCH($F$4, Attendance!$C$14:$C$44, 0),
       MATCH(1, (Attendance!$C$12:$GP$12=$E291) * (Attendance!$C$13:$GP$13="Paid"), 0)
)</f>
        <v> </v>
      </c>
      <c r="E291" s="42">
        <f t="shared" si="37"/>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8"/>
        <v>¬</v>
      </c>
      <c r="D292" s="61" t="str" cm="1">
        <f t="array" aca="1" ref="D292" ca="1">INDEX(Attendance!$C$14:$GP$44,
       MATCH($F$4, Attendance!$C$14:$C$44, 0),
       MATCH(1, (Attendance!$C$12:$GP$12=$E292) * (Attendance!$C$13:$GP$13="Paid"), 0)
)</f>
        <v> </v>
      </c>
      <c r="E292" s="42">
        <f t="shared" si="37"/>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8"/>
        <v>¬</v>
      </c>
      <c r="D293" s="61" t="str" cm="1">
        <f t="array" aca="1" ref="D293" ca="1">INDEX(Attendance!$C$14:$GP$44,
       MATCH($F$4, Attendance!$C$14:$C$44, 0),
       MATCH(1, (Attendance!$C$12:$GP$12=$E293) * (Attendance!$C$13:$GP$13="Paid"), 0)
)</f>
        <v> </v>
      </c>
      <c r="E293" s="42">
        <f t="shared" si="37"/>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8"/>
        <v>¬</v>
      </c>
      <c r="D294" s="61" t="str" cm="1">
        <f t="array" aca="1" ref="D294" ca="1">INDEX(Attendance!$C$14:$GP$44,
       MATCH($F$4, Attendance!$C$14:$C$44, 0),
       MATCH(1, (Attendance!$C$12:$GP$12=$E294) * (Attendance!$C$13:$GP$13="Paid"), 0)
)</f>
        <v> </v>
      </c>
      <c r="E294" s="42">
        <f t="shared" si="37"/>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8"/>
        <v>¬</v>
      </c>
      <c r="D295" s="61" t="str" cm="1">
        <f t="array" aca="1" ref="D295" ca="1">INDEX(Attendance!$C$14:$GP$44,
       MATCH($F$4, Attendance!$C$14:$C$44, 0),
       MATCH(1, (Attendance!$C$12:$GP$12=$E295) * (Attendance!$C$13:$GP$13="Paid"), 0)
)</f>
        <v> </v>
      </c>
      <c r="E295" s="42">
        <f t="shared" si="37"/>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8"/>
        <v>¬</v>
      </c>
      <c r="D296" s="61" t="str" cm="1">
        <f t="array" aca="1" ref="D296" ca="1">INDEX(Attendance!$C$14:$GP$44,
       MATCH($F$4, Attendance!$C$14:$C$44, 0),
       MATCH(1, (Attendance!$C$12:$GP$12=$E296) * (Attendance!$C$13:$GP$13="Paid"), 0)
)</f>
        <v> </v>
      </c>
      <c r="E296" s="42">
        <f t="shared" si="37"/>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8"/>
        <v>¬</v>
      </c>
      <c r="D297" s="61" t="str" cm="1">
        <f t="array" aca="1" ref="D297" ca="1">INDEX(Attendance!$C$14:$GP$44,
       MATCH($F$4, Attendance!$C$14:$C$44, 0),
       MATCH(1, (Attendance!$C$12:$GP$12=$E297) * (Attendance!$C$13:$GP$13="Paid"), 0)
)</f>
        <v> </v>
      </c>
      <c r="E297" s="42">
        <f t="shared" si="37"/>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8"/>
        <v>¬</v>
      </c>
      <c r="D298" s="61" t="str" cm="1">
        <f t="array" aca="1" ref="D298" ca="1">INDEX(Attendance!$C$14:$GP$44,
       MATCH($F$4, Attendance!$C$14:$C$44, 0),
       MATCH(1, (Attendance!$C$12:$GP$12=$E298) * (Attendance!$C$13:$GP$13="Paid"), 0)
)</f>
        <v> </v>
      </c>
      <c r="E298" s="42">
        <f t="shared" si="37"/>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8"/>
        <v>¬</v>
      </c>
      <c r="D299" s="61" t="str" cm="1">
        <f t="array" aca="1" ref="D299" ca="1">INDEX(Attendance!$C$14:$GP$44,
       MATCH($F$4, Attendance!$C$14:$C$44, 0),
       MATCH(1, (Attendance!$C$12:$GP$12=$E299) * (Attendance!$C$13:$GP$13="Paid"), 0)
)</f>
        <v> </v>
      </c>
      <c r="E299" s="42">
        <f t="shared" si="37"/>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8"/>
        <v>¬</v>
      </c>
      <c r="D300" s="61" t="str" cm="1">
        <f t="array" aca="1" ref="D300" ca="1">INDEX(Attendance!$C$14:$GP$44,
       MATCH($F$4, Attendance!$C$14:$C$44, 0),
       MATCH(1, (Attendance!$C$12:$GP$12=$E300) * (Attendance!$C$13:$GP$13="Paid"), 0)
)</f>
        <v> </v>
      </c>
      <c r="E300" s="42">
        <f t="shared" si="37"/>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8"/>
        <v>¬</v>
      </c>
      <c r="D301" s="61" t="str" cm="1">
        <f t="array" aca="1" ref="D301" ca="1">INDEX(Attendance!$C$14:$GP$44,
       MATCH($F$4, Attendance!$C$14:$C$44, 0),
       MATCH(1, (Attendance!$C$12:$GP$12=$E301) * (Attendance!$C$13:$GP$13="Paid"), 0)
)</f>
        <v> </v>
      </c>
      <c r="E301" s="42">
        <f t="shared" si="37"/>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8"/>
        <v>¬</v>
      </c>
      <c r="D302" s="61" t="str" cm="1">
        <f t="array" aca="1" ref="D302" ca="1">INDEX(Attendance!$C$14:$GP$44,
       MATCH($F$4, Attendance!$C$14:$C$44, 0),
       MATCH(1, (Attendance!$C$12:$GP$12=$E302) * (Attendance!$C$13:$GP$13="Paid"), 0)
)</f>
        <v> </v>
      </c>
      <c r="E302" s="42">
        <f t="shared" si="37"/>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8"/>
        <v>¬</v>
      </c>
      <c r="D303" s="61" t="str" cm="1">
        <f t="array" aca="1" ref="D303" ca="1">INDEX(Attendance!$C$14:$GP$44,
       MATCH($F$4, Attendance!$C$14:$C$44, 0),
       MATCH(1, (Attendance!$C$12:$GP$12=$E303) * (Attendance!$C$13:$GP$13="Paid"), 0)
)</f>
        <v> </v>
      </c>
      <c r="E303" s="42">
        <f t="shared" si="37"/>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8"/>
        <v>¬</v>
      </c>
      <c r="D304" s="61" t="str" cm="1">
        <f t="array" aca="1" ref="D304" ca="1">INDEX(Attendance!$C$14:$GP$44,
       MATCH($F$4, Attendance!$C$14:$C$44, 0),
       MATCH(1, (Attendance!$C$12:$GP$12=$E304) * (Attendance!$C$13:$GP$13="Paid"), 0)
)</f>
        <v> </v>
      </c>
      <c r="E304" s="42">
        <f t="shared" si="37"/>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8"/>
        <v>¬</v>
      </c>
      <c r="D305" s="61" t="str" cm="1">
        <f t="array" aca="1" ref="D305" ca="1">INDEX(Attendance!$C$14:$GP$44,
       MATCH($F$4, Attendance!$C$14:$C$44, 0),
       MATCH(1, (Attendance!$C$12:$GP$12=$E305) * (Attendance!$C$13:$GP$13="Paid"), 0)
)</f>
        <v> </v>
      </c>
      <c r="E305" s="42">
        <f t="shared" si="37"/>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8"/>
        <v>¬</v>
      </c>
      <c r="D306" s="61" t="str" cm="1">
        <f t="array" aca="1" ref="D306" ca="1">INDEX(Attendance!$C$14:$GP$44,
       MATCH($F$4, Attendance!$C$14:$C$44, 0),
       MATCH(1, (Attendance!$C$12:$GP$12=$E306) * (Attendance!$C$13:$GP$13="Paid"), 0)
)</f>
        <v> </v>
      </c>
      <c r="E306" s="42">
        <f t="shared" si="37"/>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8"/>
        <v>¬</v>
      </c>
      <c r="D307" s="61" t="str" cm="1">
        <f t="array" aca="1" ref="D307" ca="1">INDEX(Attendance!$C$14:$GP$44,
       MATCH($F$4, Attendance!$C$14:$C$44, 0),
       MATCH(1, (Attendance!$C$12:$GP$12=$E307) * (Attendance!$C$13:$GP$13="Paid"), 0)
)</f>
        <v> </v>
      </c>
      <c r="E307" s="42">
        <f t="shared" si="37"/>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8"/>
        <v>¬</v>
      </c>
      <c r="D308" s="61" t="str" cm="1">
        <f t="array" aca="1" ref="D308" ca="1">INDEX(Attendance!$C$14:$GP$44,
       MATCH($F$4, Attendance!$C$14:$C$44, 0),
       MATCH(1, (Attendance!$C$12:$GP$12=$E308) * (Attendance!$C$13:$GP$13="Paid"), 0)
)</f>
        <v> </v>
      </c>
      <c r="E308" s="42">
        <f t="shared" si="37"/>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8"/>
        <v>¬</v>
      </c>
      <c r="D309" s="61" t="str" cm="1">
        <f t="array" aca="1" ref="D309" ca="1">INDEX(Attendance!$C$14:$GP$44,
       MATCH($F$4, Attendance!$C$14:$C$44, 0),
       MATCH(1, (Attendance!$C$12:$GP$12=$E309) * (Attendance!$C$13:$GP$13="Paid"), 0)
)</f>
        <v> </v>
      </c>
      <c r="E309" s="42">
        <f t="shared" si="37"/>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8"/>
        <v>¬</v>
      </c>
      <c r="D310" s="61" t="str" cm="1">
        <f t="array" aca="1" ref="D310" ca="1">INDEX(Attendance!$C$14:$GP$44,
       MATCH($F$4, Attendance!$C$14:$C$44, 0),
       MATCH(1, (Attendance!$C$12:$GP$12=$E310) * (Attendance!$C$13:$GP$13="Paid"), 0)
)</f>
        <v> </v>
      </c>
      <c r="E310" s="42">
        <f t="shared" si="37"/>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8"/>
        <v>¬</v>
      </c>
      <c r="D311" s="61" t="str" cm="1">
        <f t="array" aca="1" ref="D311" ca="1">INDEX(Attendance!$C$14:$GP$44,
       MATCH($F$4, Attendance!$C$14:$C$44, 0),
       MATCH(1, (Attendance!$C$12:$GP$12=$E311) * (Attendance!$C$13:$GP$13="Paid"), 0)
)</f>
        <v> </v>
      </c>
      <c r="E311" s="42">
        <f t="shared" si="37"/>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8"/>
        <v>¬</v>
      </c>
      <c r="D312" s="61" t="str" cm="1">
        <f t="array" aca="1" ref="D312" ca="1">INDEX(Attendance!$C$14:$GP$44,
       MATCH($F$4, Attendance!$C$14:$C$44, 0),
       MATCH(1, (Attendance!$C$12:$GP$12=$E312) * (Attendance!$C$13:$GP$13="Paid"), 0)
)</f>
        <v> </v>
      </c>
      <c r="E312" s="42">
        <f t="shared" si="37"/>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8"/>
        <v>¬</v>
      </c>
      <c r="D313" s="61" t="str" cm="1">
        <f t="array" aca="1" ref="D313" ca="1">INDEX(Attendance!$C$14:$GP$44,
       MATCH($F$4, Attendance!$C$14:$C$44, 0),
       MATCH(1, (Attendance!$C$12:$GP$12=$E313) * (Attendance!$C$13:$GP$13="Paid"), 0)
)</f>
        <v> </v>
      </c>
      <c r="E313" s="42">
        <f t="shared" si="37"/>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39">IF(AF44="","¬",AF44)</f>
        <v>Add Auspex dots to any rolls to resist surprise. Access to Tier 1 Auspex Insight questions.</v>
      </c>
      <c r="D314" s="61" t="str" cm="1">
        <f t="array" aca="1" ref="D314" ca="1">INDEX(Attendance!$C$14:$GP$44,
       MATCH($F$4, Attendance!$C$14:$C$44, 0),
       MATCH(1, (Attendance!$C$12:$GP$12=$E314) * (Attendance!$C$13:$GP$13="Paid"), 0)
)</f>
        <v> </v>
      </c>
      <c r="E314" s="42">
        <f t="shared" si="37"/>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39"/>
        <v>Persistent Acute Senses Merit, doubles actual merit. Access to Tier 2 Auspex Insight questions.</v>
      </c>
      <c r="D315" s="61" t="str" cm="1">
        <f t="array" aca="1" ref="D315" ca="1">INDEX(Attendance!$C$14:$GP$44,
       MATCH($F$4, Attendance!$C$14:$C$44, 0),
       MATCH(1, (Attendance!$C$12:$GP$12=$E315) * (Attendance!$C$13:$GP$13="Paid"), 0)
)</f>
        <v> </v>
      </c>
      <c r="E315" s="42">
        <f t="shared" si="37"/>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39"/>
        <v xml:space="preserve">Passively scan for anyone under Obfuscate 1 or 3, can provoke a challenge. Access to Tier 3 Auspex Insight questions. </v>
      </c>
      <c r="D316" s="61" t="str" cm="1">
        <f t="array" aca="1" ref="D316" ca="1">INDEX(Attendance!$C$14:$GP$44,
       MATCH($F$4, Attendance!$C$14:$C$44, 0),
       MATCH(1, (Attendance!$C$12:$GP$12=$E316) * (Attendance!$C$13:$GP$13="Paid"), 0)
)</f>
        <v> </v>
      </c>
      <c r="E316" s="42">
        <f t="shared" si="37"/>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39"/>
        <v>Persistent improved Defence or Dodge. Activate for supernatural speed benefits. Unnatural Grace: add Celerity dots as bonus dice to non-combat speed-based pools.</v>
      </c>
    </row>
    <row r="318" spans="1:9">
      <c r="A318" s="1" t="s">
        <v>317</v>
      </c>
      <c r="B318" t="str">
        <f t="shared" si="39"/>
        <v>Blend into surroundings, visible but unnoticeable. Predatory aura fully on or off. Leaving combat: Wits + Composure - Obfuscate to notice; auto Clash of Wills vs Auspex.</v>
      </c>
    </row>
    <row r="319" spans="1:9">
      <c r="A319" s="1" t="s">
        <v>318</v>
      </c>
      <c r="B319" t="str">
        <f t="shared" si="39"/>
        <v>Merge with soil.</v>
      </c>
    </row>
    <row r="320" spans="1:9">
      <c r="A320" s="1" t="s">
        <v>319</v>
      </c>
      <c r="B320" t="str">
        <f t="shared" si="39"/>
        <v>Improve Strength. Add Vigour dots as bonus successes only if at least one net success achieved.</v>
      </c>
    </row>
    <row r="321" spans="1:2">
      <c r="A321" s="1" t="s">
        <v>320</v>
      </c>
      <c r="B321" t="str">
        <f t="shared" si="39"/>
        <v>Choose one: feed through fingertip spines as if by fangs (requires touch or grapple; leaves dry, calloused skin); or extend organic blades (1L supernatural weapon, Strength + Brawl to attack, -2 to Dexterity-based manipulation; fine manipulation impossible).</v>
      </c>
    </row>
    <row r="322" spans="1:2">
      <c r="A322" s="1" t="s">
        <v>321</v>
      </c>
      <c r="B322" t="str">
        <f t="shared" si="39"/>
        <v>¬</v>
      </c>
    </row>
    <row r="323" spans="1:2">
      <c r="A323" s="1" t="s">
        <v>322</v>
      </c>
      <c r="B323" t="str">
        <f t="shared" si="39"/>
        <v>¬</v>
      </c>
    </row>
    <row r="324" spans="1:2">
      <c r="A324" s="1" t="s">
        <v>323</v>
      </c>
      <c r="B324" t="str">
        <f t="shared" si="39"/>
        <v>¬</v>
      </c>
    </row>
    <row r="325" spans="1:2">
      <c r="A325" s="1" t="s">
        <v>324</v>
      </c>
      <c r="B325" t="str">
        <f t="shared" si="39"/>
        <v>¬</v>
      </c>
    </row>
    <row r="326" spans="1:2">
      <c r="A326" s="1" t="s">
        <v>325</v>
      </c>
      <c r="B326" t="str">
        <f t="shared" si="39"/>
        <v>¬</v>
      </c>
    </row>
    <row r="327" spans="1:2">
      <c r="A327" s="1" t="s">
        <v>326</v>
      </c>
      <c r="B327" t="str">
        <f t="shared" si="39"/>
        <v>¬</v>
      </c>
    </row>
    <row r="328" spans="1:2">
      <c r="A328" s="1" t="s">
        <v>327</v>
      </c>
      <c r="B328" t="str">
        <f t="shared" si="39"/>
        <v>¬</v>
      </c>
    </row>
    <row r="329" spans="1:2">
      <c r="A329" s="1" t="s">
        <v>328</v>
      </c>
      <c r="B329" t="str">
        <f t="shared" si="39"/>
        <v>¬</v>
      </c>
    </row>
    <row r="330" spans="1:2">
      <c r="A330" s="1" t="s">
        <v>329</v>
      </c>
      <c r="B330" t="str">
        <f t="shared" si="39"/>
        <v>¬</v>
      </c>
    </row>
    <row r="331" spans="1:2">
      <c r="A331" s="1" t="s">
        <v>330</v>
      </c>
      <c r="B331" t="str">
        <f t="shared" si="39"/>
        <v>¬</v>
      </c>
    </row>
    <row r="332" spans="1:2">
      <c r="A332" s="1" t="s">
        <v>331</v>
      </c>
      <c r="B332" t="str">
        <f t="shared" si="39"/>
        <v>¬</v>
      </c>
    </row>
    <row r="333" spans="1:2">
      <c r="A333" s="1" t="s">
        <v>332</v>
      </c>
      <c r="B333" t="str">
        <f t="shared" si="39"/>
        <v>¬</v>
      </c>
    </row>
    <row r="334" spans="1:2">
      <c r="A334" s="1" t="s">
        <v>333</v>
      </c>
      <c r="B334" t="str">
        <f t="shared" si="39"/>
        <v>¬</v>
      </c>
    </row>
    <row r="335" spans="1:2">
      <c r="A335" s="1" t="s">
        <v>334</v>
      </c>
      <c r="B335" t="str">
        <f t="shared" si="39"/>
        <v>¬</v>
      </c>
    </row>
    <row r="336" spans="1:2">
      <c r="A336" s="1" t="s">
        <v>335</v>
      </c>
      <c r="B336" t="str">
        <f t="shared" si="39"/>
        <v>¬</v>
      </c>
    </row>
    <row r="337" spans="1:2">
      <c r="A337" s="1" t="s">
        <v>336</v>
      </c>
      <c r="B337" t="str">
        <f t="shared" si="39"/>
        <v>¬</v>
      </c>
    </row>
    <row r="338" spans="1:2">
      <c r="A338" s="1" t="s">
        <v>337</v>
      </c>
      <c r="B338" t="str">
        <f t="shared" si="39"/>
        <v>¬</v>
      </c>
    </row>
    <row r="339" spans="1:2">
      <c r="A339" s="1" t="s">
        <v>338</v>
      </c>
      <c r="B339" t="str">
        <f t="shared" si="39"/>
        <v>¬</v>
      </c>
    </row>
    <row r="340" spans="1:2">
      <c r="A340" s="1" t="s">
        <v>339</v>
      </c>
      <c r="B340" t="str">
        <f t="shared" si="39"/>
        <v>¬</v>
      </c>
    </row>
    <row r="341" spans="1:2">
      <c r="A341" s="1" t="s">
        <v>340</v>
      </c>
      <c r="B341" t="str">
        <f t="shared" si="39"/>
        <v>¬</v>
      </c>
    </row>
    <row r="342" spans="1:2">
      <c r="A342" s="1" t="s">
        <v>341</v>
      </c>
      <c r="B342" t="str">
        <f t="shared" si="39"/>
        <v>¬</v>
      </c>
    </row>
    <row r="343" spans="1:2">
      <c r="A343" s="1" t="s">
        <v>342</v>
      </c>
      <c r="B343" t="str">
        <f t="shared" si="39"/>
        <v>¬</v>
      </c>
    </row>
    <row r="344" spans="1:2">
      <c r="A344" s="1" t="s">
        <v>343</v>
      </c>
      <c r="B344" s="8" t="str">
        <f>IF(VLOOKUP(tblCharDataMac[[#This Row],[Field]],$E$2:$F$361,2,FALSE)="","¬",VLOOKUP(tblCharDataMac[[#This Row],[Field]],$E$2:$F$361,2,FALSE))</f>
        <v>Tenebrous Curse</v>
      </c>
    </row>
    <row r="345" spans="1:2">
      <c r="A345" s="1" t="s">
        <v>344</v>
      </c>
      <c r="B345" s="8" t="str">
        <f>IF(VLOOKUP(tblCharDataMac[[#This Row],[Field]],$E$2:$F$361,2,FALSE)="","¬",VLOOKUP(tblCharDataMac[[#This Row],[Field]],$E$2:$F$361,2,FALSE))</f>
        <v>¬</v>
      </c>
    </row>
    <row r="346" spans="1:2">
      <c r="A346" s="1" t="s">
        <v>345</v>
      </c>
      <c r="B346" s="8" t="str">
        <f>IF(VLOOKUP(tblCharDataMac[[#This Row],[Field]],$E$2:$F$361,2,FALSE)="","¬",VLOOKUP(tblCharDataMac[[#This Row],[Field]],$E$2:$F$361,2,FALSE))</f>
        <v>¬</v>
      </c>
    </row>
    <row r="347" spans="1:2">
      <c r="A347" s="1" t="s">
        <v>346</v>
      </c>
      <c r="B347" s="8" t="str">
        <f>IF(VLOOKUP(tblCharDataMac[[#This Row],[Field]],$E$2:$F$361,2,FALSE)="","¬",VLOOKUP(tblCharDataMac[[#This Row],[Field]],$E$2:$F$361,2,FALSE))</f>
        <v>¬</v>
      </c>
    </row>
    <row r="348" spans="1:2">
      <c r="A348" s="1" t="s">
        <v>347</v>
      </c>
      <c r="B348" s="8" t="str">
        <f>IF(VLOOKUP(tblCharDataMac[[#This Row],[Field]],$E$2:$F$361,2,FALSE)="","¬",VLOOKUP(tblCharDataMac[[#This Row],[Field]],$E$2:$F$361,2,FALSE))</f>
        <v>¬</v>
      </c>
    </row>
    <row r="349" spans="1:2">
      <c r="A349" s="1" t="s">
        <v>348</v>
      </c>
      <c r="B349" t="str">
        <f>_xlfn.IFNA(VLOOKUP(B344,$F$234:$I$238,3,FALSE),"")</f>
        <v>Gain an extra bane at Humanity 6 (doesn't count towards cap); Humanity counts –1 for all Humanity-based banes.</v>
      </c>
    </row>
    <row r="350" spans="1:2">
      <c r="A350" s="1" t="s">
        <v>349</v>
      </c>
      <c r="B350" t="str">
        <f>_xlfn.IFNA(VLOOKUP(B345,$F$234:$I$238,3,FALSE),"¬")</f>
        <v>¬</v>
      </c>
    </row>
    <row r="351" spans="1:2">
      <c r="A351" s="1" t="s">
        <v>350</v>
      </c>
      <c r="B351" t="str">
        <f>_xlfn.IFNA(VLOOKUP(B346,$F$234:$I$238,3,FALSE),"")</f>
        <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14</v>
      </c>
    </row>
    <row r="356" spans="1:2">
      <c r="A356" s="1" t="s">
        <v>355</v>
      </c>
      <c r="B356">
        <f ca="1">P220</f>
        <v>6</v>
      </c>
    </row>
    <row r="357" spans="1:2">
      <c r="A357" s="1" t="s">
        <v>356</v>
      </c>
      <c r="B357" t="str">
        <f>IF(F10="","¬",VLOOKUP(F10,tblAnchors[],2,FALSE))</f>
        <v>Openly flout a tradition.</v>
      </c>
    </row>
    <row r="358" spans="1:2">
      <c r="A358" s="1" t="s">
        <v>357</v>
      </c>
      <c r="B358" t="str">
        <f>IF(F10="","¬",VLOOKUP(F10,tblAnchors[],3,FALSE))</f>
        <v>Openly flout a Kindred Tradition or a covenant taboo.</v>
      </c>
    </row>
    <row r="359" spans="1:2">
      <c r="A359" s="1" t="s">
        <v>358</v>
      </c>
      <c r="B359" t="str">
        <f>IF(F11="","¬",VLOOKUP(F11,tblAnchors[],2,FALSE))</f>
        <v>Deny a compromise that would water down your ideal.</v>
      </c>
    </row>
    <row r="360" spans="1:2">
      <c r="A360" s="1" t="s">
        <v>359</v>
      </c>
      <c r="B360" t="str">
        <f>IF(F11="","¬",VLOOKUP(F11,tblAnchors[],3,FALSE))</f>
        <v>Refuse safety for fear of abandoning your ideal's purity.</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
      </c>
    </row>
    <row r="365" spans="1:2">
      <c r="A365" s="1" t="s">
        <v>364</v>
      </c>
      <c r="B365" t="str">
        <f>_xlfn.LET(_xlpm.a,IF(F244="","",F244),_xlpm.b,IF(F245="","",F245),IF(AND(_xlpm.a&lt;&gt;"",_xlpm.b&lt;&gt;""),_xlpm.a&amp;", "&amp;_xlpm.b,IF(_xlpm.a&lt;&gt;"",_xlpm.a,IF(_xlpm.b&lt;&gt;"",_xlpm.b,""))))</f>
        <v/>
      </c>
    </row>
  </sheetData>
  <mergeCells count="89">
    <mergeCell ref="F240:I240"/>
    <mergeCell ref="F241:I241"/>
    <mergeCell ref="F242:I242"/>
    <mergeCell ref="F244:I244"/>
    <mergeCell ref="F245:I245"/>
    <mergeCell ref="H238:I238"/>
    <mergeCell ref="H208:I208"/>
    <mergeCell ref="H209:I209"/>
    <mergeCell ref="H210:I210"/>
    <mergeCell ref="H211:I211"/>
    <mergeCell ref="H212:I212"/>
    <mergeCell ref="H213:I213"/>
    <mergeCell ref="H214:I214"/>
    <mergeCell ref="H215:I215"/>
    <mergeCell ref="H234:I234"/>
    <mergeCell ref="H236:I236"/>
    <mergeCell ref="H237:I237"/>
    <mergeCell ref="H207:I207"/>
    <mergeCell ref="H153:I153"/>
    <mergeCell ref="H154:I154"/>
    <mergeCell ref="H155:I155"/>
    <mergeCell ref="H156:I156"/>
    <mergeCell ref="H157:I157"/>
    <mergeCell ref="H177:I177"/>
    <mergeCell ref="H178:I178"/>
    <mergeCell ref="H179:I179"/>
    <mergeCell ref="H180:I180"/>
    <mergeCell ref="H181:I181"/>
    <mergeCell ref="H206:I206"/>
    <mergeCell ref="H152:I152"/>
    <mergeCell ref="H141:I141"/>
    <mergeCell ref="H142:I142"/>
    <mergeCell ref="H143:I143"/>
    <mergeCell ref="H144:I144"/>
    <mergeCell ref="H145:I145"/>
    <mergeCell ref="H146:I146"/>
    <mergeCell ref="H147:I147"/>
    <mergeCell ref="H148:I148"/>
    <mergeCell ref="H149:I149"/>
    <mergeCell ref="H150:I150"/>
    <mergeCell ref="H151:I151"/>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11:I111"/>
    <mergeCell ref="H98:I98"/>
    <mergeCell ref="H101:I101"/>
    <mergeCell ref="H102:I102"/>
    <mergeCell ref="H103:I103"/>
    <mergeCell ref="H104:I104"/>
    <mergeCell ref="H105:I105"/>
    <mergeCell ref="H106:I106"/>
    <mergeCell ref="H107:I107"/>
    <mergeCell ref="H108:I108"/>
    <mergeCell ref="H109:I109"/>
    <mergeCell ref="H110:I110"/>
    <mergeCell ref="H97:I97"/>
    <mergeCell ref="H86:I86"/>
    <mergeCell ref="H87:I87"/>
    <mergeCell ref="H88:I88"/>
    <mergeCell ref="H89:I89"/>
    <mergeCell ref="H90:I90"/>
    <mergeCell ref="H91:I91"/>
    <mergeCell ref="H92:I92"/>
    <mergeCell ref="H93:I93"/>
    <mergeCell ref="H94:I94"/>
    <mergeCell ref="H95:I95"/>
    <mergeCell ref="H96:I96"/>
    <mergeCell ref="H85:I85"/>
    <mergeCell ref="O8:P8"/>
    <mergeCell ref="O9:P9"/>
    <mergeCell ref="O10:P10"/>
    <mergeCell ref="O11:P11"/>
    <mergeCell ref="O12:P12"/>
    <mergeCell ref="H79:I79"/>
    <mergeCell ref="H80:I80"/>
    <mergeCell ref="H81:I81"/>
    <mergeCell ref="H82:I82"/>
    <mergeCell ref="H83:I83"/>
    <mergeCell ref="H84:I84"/>
  </mergeCells>
  <dataValidations disablePrompts="1" count="15">
    <dataValidation type="list" allowBlank="1" showInputMessage="1" showErrorMessage="1" sqref="G248:G277" xr:uid="{57E712B1-01AC-4290-8BB8-7EDDAFE92E71}">
      <formula1>$I$248:$I$249</formula1>
    </dataValidation>
    <dataValidation type="list" allowBlank="1" showInputMessage="1" showErrorMessage="1" sqref="F105:F120" xr:uid="{F709A42A-5F4F-4C98-99E1-A5A9AE60124D}">
      <formula1>lstManoeuvres</formula1>
    </dataValidation>
    <dataValidation type="list" allowBlank="1" showInputMessage="1" showErrorMessage="1" sqref="F79:F98" xr:uid="{BFB7914E-5B25-44DA-BCED-94D8EE4CA8AB}">
      <formula1>lstMerits</formula1>
    </dataValidation>
    <dataValidation type="list" allowBlank="1" showInputMessage="1" showErrorMessage="1" sqref="F236:F238" xr:uid="{0757BB3E-FCC8-4AB7-97F3-431D12B28456}">
      <formula1>lstBanes</formula1>
    </dataValidation>
    <dataValidation type="list" allowBlank="1" showInputMessage="1" showErrorMessage="1" sqref="F206:F215" xr:uid="{56435518-617D-4DC2-A12C-9001A2980F2C}">
      <formula1>lstPacts</formula1>
    </dataValidation>
    <dataValidation type="list" allowBlank="1" showInputMessage="1" showErrorMessage="1" sqref="G12:G13" xr:uid="{FF4684FC-88BE-4AAE-B3AA-08FAACC70283}">
      <formula1>lstStatus</formula1>
    </dataValidation>
    <dataValidation type="list" allowBlank="1" showInputMessage="1" showErrorMessage="1" sqref="F194:F205 F207:F215" xr:uid="{41FEC911-4703-40DB-A749-353FAB1F756D}">
      <formula1>lstRites</formula1>
    </dataValidation>
    <dataValidation type="list" allowBlank="1" showInputMessage="1" showErrorMessage="1" sqref="F177:F181" xr:uid="{452AF2DB-5535-4DC8-BDE3-55695AB43FC3}">
      <formula1>lstDevotions</formula1>
    </dataValidation>
    <dataValidation type="list" allowBlank="1" showInputMessage="1" showErrorMessage="1" sqref="F17:F21" xr:uid="{0222C152-0F9B-4180-A9DD-3E179CDD97CF}">
      <formula1>"TRUE,FALSE"</formula1>
    </dataValidation>
    <dataValidation type="list" allowBlank="1" showInputMessage="1" showErrorMessage="1" sqref="F24" xr:uid="{218883B2-0063-4DA2-8EB6-A752EFF52D19}">
      <formula1>$D$7:$D$8</formula1>
    </dataValidation>
    <dataValidation type="list" allowBlank="1" showInputMessage="1" showErrorMessage="1" sqref="I25 I30 I35 I41 I51 I61" xr:uid="{7FB173C4-2C9D-4967-AB3D-C3B38ED48344}">
      <formula1>lstPriority</formula1>
    </dataValidation>
    <dataValidation type="list" allowBlank="1" showInputMessage="1" showErrorMessage="1" sqref="F10:F11" xr:uid="{ED6BBC76-F498-4927-9C3C-6586456C9DE3}">
      <formula1>lstNature</formula1>
    </dataValidation>
    <dataValidation type="list" allowBlank="1" showInputMessage="1" showErrorMessage="1" sqref="F8" xr:uid="{08CF1A85-B8AB-4EB3-AAEA-9D12AFA68B67}">
      <formula1>lstBloodlines</formula1>
    </dataValidation>
    <dataValidation type="list" allowBlank="1" showInputMessage="1" showErrorMessage="1" sqref="F9" xr:uid="{AFFCA2DA-2075-473A-B6D3-CDEA8DADFFBC}">
      <formula1>lstCovenant</formula1>
    </dataValidation>
    <dataValidation type="list" allowBlank="1" showInputMessage="1" showErrorMessage="1" sqref="F7" xr:uid="{8FDF218E-A1C7-476D-8769-20D614760810}">
      <formula1>lstClan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4F11D0F6-4BAD-4968-B2AB-83EF4622C038}">
          <x14:formula1>
            <xm:f>'Lookup-Domain'!$A$2:$A$8</xm:f>
          </x14:formula1>
          <xm:sqref>F140:F157</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04733-83A6-43CF-A18A-CB9A2100389C}">
  <dimension ref="A1:AK365"/>
  <sheetViews>
    <sheetView zoomScale="70" zoomScaleNormal="70" workbookViewId="0">
      <pane ySplit="1" topLeftCell="A74" activePane="bottomLeft" state="frozen"/>
      <selection pane="bottomLeft" activeCell="F161" sqref="F161"/>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Honey With Vinegar</v>
      </c>
      <c r="AC2" s="60" t="str" cm="1">
        <f t="array" ref="AC2:AC6">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Air of Menace</v>
      </c>
      <c r="AD2" s="20" t="str">
        <f>IF(AC2="","¬",_xlfn.LET(_xlpm.base,IFERROR(LEFT(AC2,FIND(" (",AC2)-1),AC2),IFERROR(VLOOKUP(_xlpm.base,tblManoeuvre[],2,FALSE) &amp; " " &amp; REPT("●",VLOOKUP(_xlpm.base,tblManoeuvre[],3,FALSE)) &amp; " | " &amp; AC2,AC2 &amp; " " &amp; REPT("●",VLOOKUP(_xlpm.base,$F$79:$P$120,11,FALSE)))))</f>
        <v>Air of Menace ●●</v>
      </c>
      <c r="AE2" s="20"/>
      <c r="AF2" s="20" t="str">
        <f>IF(LEN(AC2)=0,"¬",_xlfn.LET(_xlpm.base,IFERROR(LEFT(AC2,FIND(" (",AC2)-1),AC2),IFERROR(VLOOKUP(_xlpm.base,tblMerits[],5,FALSE),IFERROR(VLOOKUP(_xlpm.base,tblManoeuvre[],9,FALSE),"¬"))))</f>
        <v>+2 to menace; others spend Willpower to pick fights. Social manoeuvring harder.</v>
      </c>
      <c r="AI2" s="15" t="s">
        <v>25</v>
      </c>
      <c r="AJ2" s="61">
        <f t="shared" ref="AJ2:AJ58" si="1">VLOOKUP(AI2,$E$3:$P$221,12,FALSE)</f>
        <v>0</v>
      </c>
      <c r="AK2" s="61">
        <f>IF(AJ2=0,IF(COUNTIF($E$42:$E$49,AI2)&gt;0,-3,-1),AJ2)</f>
        <v>-3</v>
      </c>
    </row>
    <row r="3" spans="1:37">
      <c r="A3" s="1" t="s">
        <v>2</v>
      </c>
      <c r="B3">
        <f ca="1">N3</f>
        <v>1</v>
      </c>
      <c r="D3" s="19"/>
      <c r="E3" s="15" t="s">
        <v>4</v>
      </c>
      <c r="F3" s="3" t="s">
        <v>1212</v>
      </c>
      <c r="G3" s="18"/>
      <c r="H3" s="18"/>
      <c r="I3" s="18" t="s">
        <v>1425</v>
      </c>
      <c r="N3" s="60">
        <f ca="1">10+SUM(N4:N6)-SUM(N7)</f>
        <v>1</v>
      </c>
      <c r="Y3" s="15" t="s">
        <v>115</v>
      </c>
      <c r="Z3" s="19"/>
      <c r="AA3" s="61" t="str">
        <f t="shared" si="0"/>
        <v>Indomitable</v>
      </c>
      <c r="AC3" s="60" t="str">
        <v>Fucking Thief</v>
      </c>
      <c r="AD3" s="20" t="str">
        <f>IF(AC3="","¬",_xlfn.LET(_xlpm.base,IFERROR(LEFT(AC3,FIND(" (",AC3)-1),AC3),IFERROR(VLOOKUP(_xlpm.base,tblManoeuvre[],2,FALSE) &amp; " " &amp; REPT("●",VLOOKUP(_xlpm.base,tblManoeuvre[],3,FALSE)) &amp; " | " &amp; AC3,AC3 &amp; " " &amp; REPT("●",VLOOKUP(_xlpm.base,$F$79:$P$120,11,FALSE)))))</f>
        <v>Fucking Thief ●</v>
      </c>
      <c r="AE3" s="20"/>
      <c r="AF3" s="20" t="str">
        <f>IF(LEN(AC3)=0,"¬",_xlfn.LET(_xlpm.base,IFERROR(LEFT(AC3,FIND(" (",AC3)-1),AC3),IFERROR(VLOOKUP(_xlpm.base,tblMerits[],5,FALSE),IFERROR(VLOOKUP(_xlpm.base,tblManoeuvre[],9,FALSE),"¬"))))</f>
        <v>Steal flawed knowledge of a single one-dot advantage restricted to another covenant.</v>
      </c>
      <c r="AI3" s="15" t="s">
        <v>41</v>
      </c>
      <c r="AJ3" s="61">
        <f t="shared" si="1"/>
        <v>0</v>
      </c>
      <c r="AK3" s="61">
        <f>IF(AJ3=0,IF(COUNTIF($E$42:$E$49,AI3)&gt;0,-3,-1),AJ3)</f>
        <v>-1</v>
      </c>
    </row>
    <row r="4" spans="1:37">
      <c r="A4" s="1" t="s">
        <v>3</v>
      </c>
      <c r="B4">
        <f ca="1">SUM(N3:N9)</f>
        <v>54</v>
      </c>
      <c r="D4" s="19"/>
      <c r="E4" s="15" t="s">
        <v>5</v>
      </c>
      <c r="F4" s="3" t="s">
        <v>1213</v>
      </c>
      <c r="G4" s="18"/>
      <c r="H4" s="18"/>
      <c r="I4" s="18" t="s">
        <v>1426</v>
      </c>
      <c r="N4" s="61">
        <f>K73*2</f>
        <v>6</v>
      </c>
      <c r="Y4" s="15" t="s">
        <v>116</v>
      </c>
      <c r="Z4" s="19"/>
      <c r="AA4" s="61" t="str">
        <f t="shared" si="0"/>
        <v/>
      </c>
      <c r="AC4" s="60" t="str">
        <v>Honey With Vinegar</v>
      </c>
      <c r="AD4" s="20" t="str">
        <f>IF(AC4="","¬",_xlfn.LET(_xlpm.base,IFERROR(LEFT(AC4,FIND(" (",AC4)-1),AC4),IFERROR(VLOOKUP(_xlpm.base,tblManoeuvre[],2,FALSE) &amp; " " &amp; REPT("●",VLOOKUP(_xlpm.base,tblManoeuvre[],3,FALSE)) &amp; " | " &amp; AC4,AC4 &amp; " " &amp; REPT("●",VLOOKUP(_xlpm.base,$F$79:$P$120,11,FALSE)))))</f>
        <v>Honey With Vinegar ●</v>
      </c>
      <c r="AE4" s="20"/>
      <c r="AF4" s="20" t="str">
        <f>IF(LEN(AC4)=0,"¬",_xlfn.LET(_xlpm.base,IFERROR(LEFT(AC4,FIND(" (",AC4)-1),AC4),IFERROR(VLOOKUP(_xlpm.base,tblMerits[],5,FALSE),IFERROR(VLOOKUP(_xlpm.base,tblManoeuvre[],9,FALSE),"¬"))))</f>
        <v>You earn influence from Allies, Contacts, and wide Mortal Status one step lower than normal. 1 point of influence at 2 dots or 4 dots respectively.</v>
      </c>
      <c r="AI4" s="15" t="s">
        <v>236</v>
      </c>
      <c r="AJ4" s="61">
        <f t="shared" si="1"/>
        <v>0</v>
      </c>
      <c r="AK4" s="61">
        <f>AJ4</f>
        <v>0</v>
      </c>
    </row>
    <row r="5" spans="1:37">
      <c r="A5" s="1" t="s">
        <v>4</v>
      </c>
      <c r="B5" t="str">
        <f>IF(VLOOKUP(tblCharDataMammon[[#This Row],[Field]],$E$2:$F$362,2,FALSE)="","¬",VLOOKUP(tblCharDataMammon[[#This Row],[Field]],$E$2:$F$362,2,FALSE))</f>
        <v>Peter K</v>
      </c>
      <c r="D5" s="19"/>
      <c r="E5" s="15" t="s">
        <v>6</v>
      </c>
      <c r="F5" s="3" t="s">
        <v>1214</v>
      </c>
      <c r="G5" s="18"/>
      <c r="H5" s="18"/>
      <c r="I5" s="18" t="s">
        <v>1427</v>
      </c>
      <c r="N5" s="61">
        <f>N16</f>
        <v>15</v>
      </c>
      <c r="Y5" s="15" t="s">
        <v>117</v>
      </c>
      <c r="Z5" s="19"/>
      <c r="AA5" s="61" t="str">
        <f t="shared" si="0"/>
        <v>Air of Menace</v>
      </c>
      <c r="AC5" s="60" t="str">
        <v>Indomitable</v>
      </c>
      <c r="AD5" s="20" t="str">
        <f>IF(AC5="","¬",_xlfn.LET(_xlpm.base,IFERROR(LEFT(AC5,FIND(" (",AC5)-1),AC5),IFERROR(VLOOKUP(_xlpm.base,tblManoeuvre[],2,FALSE) &amp; " " &amp; REPT("●",VLOOKUP(_xlpm.base,tblManoeuvre[],3,FALSE)) &amp; " | " &amp; AC5,AC5 &amp; " " &amp; REPT("●",VLOOKUP(_xlpm.base,$F$79:$P$120,11,FALSE)))))</f>
        <v>Indomitable ●●</v>
      </c>
      <c r="AE5" s="20"/>
      <c r="AF5" s="20" t="str">
        <f>IF(LEN(AC5)=0,"¬",_xlfn.LET(_xlpm.base,IFERROR(LEFT(AC5,FIND(" (",AC5)-1),AC5),IFERROR(VLOOKUP(_xlpm.base,tblMerits[],5,FALSE),IFERROR(VLOOKUP(_xlpm.base,tblManoeuvre[],9,FALSE),"¬"))))</f>
        <v>+2 to contest or resist supernatural mental influence.</v>
      </c>
      <c r="AI5" s="15" t="s">
        <v>33</v>
      </c>
      <c r="AJ5" s="61">
        <f t="shared" si="1"/>
        <v>2</v>
      </c>
      <c r="AK5" s="61">
        <f>IF(AJ5=0,IF(COUNTIF($E$42:$E$49,AI5)&gt;0,-3,-1),AJ5)</f>
        <v>2</v>
      </c>
    </row>
    <row r="6" spans="1:37">
      <c r="A6" s="1" t="s">
        <v>5</v>
      </c>
      <c r="B6" t="str">
        <f>IF(VLOOKUP(tblCharDataMammon[[#This Row],[Field]],$E$2:$F$362,2,FALSE)="","¬",VLOOKUP(tblCharDataMammon[[#This Row],[Field]],$E$2:$F$362,2,FALSE))</f>
        <v>Yusuf 'Mammon' Kalusicj</v>
      </c>
      <c r="D6" s="19"/>
      <c r="E6" s="15" t="s">
        <v>7</v>
      </c>
      <c r="F6" s="3" t="s">
        <v>552</v>
      </c>
      <c r="G6" s="18"/>
      <c r="H6" s="18"/>
      <c r="I6" s="18" t="s">
        <v>1347</v>
      </c>
      <c r="N6" s="61">
        <f ca="1">N279</f>
        <v>1</v>
      </c>
      <c r="Y6" s="15" t="s">
        <v>118</v>
      </c>
      <c r="Z6" s="19"/>
      <c r="AA6" s="61" t="str">
        <f t="shared" si="0"/>
        <v>Fucking Thief</v>
      </c>
      <c r="AC6" s="60" t="str">
        <v>Secret Society Junkie</v>
      </c>
      <c r="AD6" s="20" t="str">
        <f>IF(AC6="","¬",_xlfn.LET(_xlpm.base,IFERROR(LEFT(AC6,FIND(" (",AC6)-1),AC6),IFERROR(VLOOKUP(_xlpm.base,tblManoeuvre[],2,FALSE) &amp; " " &amp; REPT("●",VLOOKUP(_xlpm.base,tblManoeuvre[],3,FALSE)) &amp; " | " &amp; AC6,AC6 &amp; " " &amp; REPT("●",VLOOKUP(_xlpm.base,$F$79:$P$120,11,FALSE)))))</f>
        <v>Secret Society Junkie ●</v>
      </c>
      <c r="AE6" s="20"/>
      <c r="AF6" s="20" t="str">
        <f>IF(LEN(AC6)=0,"¬",_xlfn.LET(_xlpm.base,IFERROR(LEFT(AC6,FIND(" (",AC6)-1),AC6),IFERROR(VLOOKUP(_xlpm.base,tblMerits[],5,FALSE),IFERROR(VLOOKUP(_xlpm.base,tblManoeuvre[],9,FALSE),"¬"))))</f>
        <v>Dots in Status or Mystery Cult Initiation representing human secret societies also count as dots of Herd.</v>
      </c>
      <c r="AI6" s="15" t="s">
        <v>237</v>
      </c>
      <c r="AJ6" s="61">
        <f t="shared" si="1"/>
        <v>1</v>
      </c>
      <c r="AK6" s="61">
        <f>AJ6</f>
        <v>1</v>
      </c>
    </row>
    <row r="7" spans="1:37">
      <c r="A7" s="1" t="s">
        <v>6</v>
      </c>
      <c r="B7" t="str">
        <f>IF(VLOOKUP(tblCharDataMammon[[#This Row],[Field]],$E$2:$F$362,2,FALSE)="","¬",VLOOKUP(tblCharDataMammon[[#This Row],[Field]],$E$2:$F$362,2,FALSE))</f>
        <v>Nightmate Shadow Broker</v>
      </c>
      <c r="D7" s="19" t="str">
        <f>VLOOKUP(F7,tblClans[],3,FALSE)</f>
        <v>Strength</v>
      </c>
      <c r="E7" s="15" t="s">
        <v>8</v>
      </c>
      <c r="F7" s="3" t="s">
        <v>680</v>
      </c>
      <c r="G7" s="18"/>
      <c r="H7" s="18"/>
      <c r="I7" s="18"/>
      <c r="N7" s="60">
        <f>SUM(N8:N12)</f>
        <v>31</v>
      </c>
      <c r="Y7" s="15" t="s">
        <v>119</v>
      </c>
      <c r="Z7" s="19"/>
      <c r="AA7" s="61" t="str">
        <f t="shared" si="0"/>
        <v>Secret Society Junkie</v>
      </c>
      <c r="AC7" s="60"/>
      <c r="AD7" s="20" t="str">
        <f>IF(AC7="","¬",_xlfn.LET(_xlpm.base,IFERROR(LEFT(AC7,FIND(" (",AC7)-1),AC7),IFERROR(VLOOKUP(_xlpm.base,tblManoeuvre[],2,FALSE) &amp; " " &amp; REPT("●",VLOOKUP(_xlpm.base,tblManoeuvre[],3,FALSE)) &amp; " | " &amp; AC7,AC7 &amp; " " &amp; REPT("●",VLOOKUP(_xlpm.base,$F$79:$P$120,11,FALSE)))))</f>
        <v>¬</v>
      </c>
      <c r="AE7" s="20"/>
      <c r="AF7" s="20" t="str">
        <f>IF(LEN(AC7)=0,"¬",_xlfn.LET(_xlpm.base,IFERROR(LEFT(AC7,FIND(" (",AC7)-1),AC7),IFERROR(VLOOKUP(_xlpm.base,tblMerits[],5,FALSE),IFERROR(VLOOKUP(_xlpm.base,tblManoeuvre[],9,FALSE),"¬"))))</f>
        <v>¬</v>
      </c>
      <c r="AI7" s="15" t="s">
        <v>49</v>
      </c>
      <c r="AJ7" s="61">
        <f t="shared" si="1"/>
        <v>2</v>
      </c>
      <c r="AK7" s="61">
        <f>AJ7</f>
        <v>2</v>
      </c>
    </row>
    <row r="8" spans="1:37">
      <c r="A8" s="1" t="s">
        <v>7</v>
      </c>
      <c r="B8" t="str">
        <f>IF(VLOOKUP(tblCharDataMammon[[#This Row],[Field]],$E$2:$F$362,2,FALSE)="","¬",LOWER(VLOOKUP(tblCharDataMammon[[#This Row],[Field]],$E$2:$F$362,2,FALSE)))</f>
        <v>he/him</v>
      </c>
      <c r="D8" s="19" t="str">
        <f>VLOOKUP(F7,tblClans[],2,FALSE)</f>
        <v>Composure</v>
      </c>
      <c r="E8" s="15" t="s">
        <v>10</v>
      </c>
      <c r="F8" s="3"/>
      <c r="G8" s="61" t="str">
        <f>IFERROR(IF(OR(AND(VLOOKUP(F8,tblBloodlines[],2,FALSE)="",VLOOKUP(F8,tblBloodlines[],3,FALSE)="",VLOOKUP(F8,tblBloodlines[],4,FALSE)=""),AND(VLOOKUP(F8,tblBloodlines[],2,FALSE)="",VLOOKUP(F8,tblBloodlines[],3,FALSE)="",F9=VLOOKUP(F8,tblBloodlines[],4,FALSE)),F7=VLOOKUP(F8,tblBloodlines[],2,FALSE),F7=VLOOKUP(F8,tblBloodlines[],3,FALSE)),TRUE,FALSE),"")</f>
        <v/>
      </c>
      <c r="H8" s="18"/>
      <c r="I8" s="18" t="s">
        <v>1428</v>
      </c>
      <c r="N8" s="61">
        <f>N23</f>
        <v>0</v>
      </c>
      <c r="O8" s="65">
        <f>N8/SUM(N$7:N$12)</f>
        <v>0</v>
      </c>
      <c r="P8" s="66"/>
      <c r="Y8" s="15" t="s">
        <v>120</v>
      </c>
      <c r="Z8" s="19"/>
      <c r="AA8" s="61" t="str">
        <f t="shared" si="0"/>
        <v/>
      </c>
      <c r="AC8" s="60"/>
      <c r="AD8" s="20" t="str">
        <f>IF(AC8="","¬",_xlfn.LET(_xlpm.base,IFERROR(LEFT(AC8,FIND(" (",AC8)-1),AC8),IFERROR(VLOOKUP(_xlpm.base,tblManoeuvre[],2,FALSE) &amp; " " &amp; REPT("●",VLOOKUP(_xlpm.base,tblManoeuvre[],3,FALSE)) &amp; " | " &amp; AC8,AC8 &amp; " " &amp; REPT("●",VLOOKUP(_xlpm.base,$F$79:$P$120,11,FALSE)))))</f>
        <v>¬</v>
      </c>
      <c r="AE8" s="20"/>
      <c r="AF8" s="20" t="str">
        <f>IF(LEN(AC8)=0,"¬",_xlfn.LET(_xlpm.base,IFERROR(LEFT(AC8,FIND(" (",AC8)-1),AC8),IFERROR(VLOOKUP(_xlpm.base,tblMerits[],5,FALSE),IFERROR(VLOOKUP(_xlpm.base,tblManoeuvre[],9,FALSE),"¬"))))</f>
        <v>¬</v>
      </c>
      <c r="AI8" s="15" t="s">
        <v>34</v>
      </c>
      <c r="AJ8" s="61">
        <f t="shared" si="1"/>
        <v>0</v>
      </c>
      <c r="AK8" s="61">
        <f>IF(AJ8=0,IF(COUNTIF($E$42:$E$49,AI8)&gt;0,-3,-1),AJ8)</f>
        <v>-1</v>
      </c>
    </row>
    <row r="9" spans="1:37">
      <c r="A9" s="1" t="s">
        <v>8</v>
      </c>
      <c r="B9" t="str">
        <f>IF(VLOOKUP(tblCharDataMammon[[#This Row],[Field]],$E$2:$F$362,2,FALSE)="","¬",VLOOKUP(tblCharDataMammon[[#This Row],[Field]],$E$2:$F$362,2,FALSE))</f>
        <v>Nosferatu</v>
      </c>
      <c r="D9" s="19"/>
      <c r="E9" s="15" t="s">
        <v>11</v>
      </c>
      <c r="F9" s="3" t="s">
        <v>607</v>
      </c>
      <c r="G9" s="18"/>
      <c r="H9" s="18"/>
      <c r="I9" s="18" t="s">
        <v>1429</v>
      </c>
      <c r="N9" s="61">
        <f>N40+T40</f>
        <v>0</v>
      </c>
      <c r="O9" s="65">
        <f>N9/SUM(N$7:N$12)</f>
        <v>0</v>
      </c>
      <c r="P9" s="66"/>
      <c r="Y9" s="15" t="s">
        <v>121</v>
      </c>
      <c r="Z9" s="19"/>
      <c r="AA9" s="61" t="str">
        <f t="shared" si="0"/>
        <v/>
      </c>
      <c r="AC9" s="60"/>
      <c r="AD9" s="20" t="str">
        <f>IF(AC9="","¬",_xlfn.LET(_xlpm.base,IFERROR(LEFT(AC9,FIND(" (",AC9)-1),AC9),IFERROR(VLOOKUP(_xlpm.base,tblManoeuvre[],2,FALSE) &amp; " " &amp; REPT("●",VLOOKUP(_xlpm.base,tblManoeuvre[],3,FALSE)) &amp; " | " &amp; AC9,AC9 &amp; " " &amp; REPT("●",VLOOKUP(_xlpm.base,$F$79:$P$120,11,FALSE)))))</f>
        <v>¬</v>
      </c>
      <c r="AE9" s="20"/>
      <c r="AF9" s="20" t="str">
        <f>IF(LEN(AC9)=0,"¬",_xlfn.LET(_xlpm.base,IFERROR(LEFT(AC9,FIND(" (",AC9)-1),AC9),IFERROR(VLOOKUP(_xlpm.base,tblMerits[],5,FALSE),IFERROR(VLOOKUP(_xlpm.base,tblManoeuvre[],9,FALSE),"¬"))))</f>
        <v>¬</v>
      </c>
      <c r="AI9" s="15" t="s">
        <v>238</v>
      </c>
      <c r="AJ9" s="61">
        <f t="shared" si="1"/>
        <v>0</v>
      </c>
      <c r="AK9" s="61">
        <f>AJ9</f>
        <v>0</v>
      </c>
    </row>
    <row r="10" spans="1:37">
      <c r="A10" s="1" t="s">
        <v>9</v>
      </c>
      <c r="B10" t="str">
        <f>CONCATENATE(Elements,B9," icon.svg")</f>
        <v>D:\Terra Mortis\Character Sheets\Sheet Elements\Nosferatu icon.svg</v>
      </c>
      <c r="D10" s="19"/>
      <c r="E10" s="15" t="s">
        <v>13</v>
      </c>
      <c r="F10" s="3" t="s">
        <v>638</v>
      </c>
      <c r="G10" s="18"/>
      <c r="H10" s="18"/>
      <c r="I10" s="18" t="s">
        <v>1430</v>
      </c>
      <c r="N10" s="61">
        <f>N77</f>
        <v>13</v>
      </c>
      <c r="O10" s="65">
        <f>N10/SUM(N$7:N$12)</f>
        <v>0.20967741935483872</v>
      </c>
      <c r="P10" s="66"/>
      <c r="Y10" s="15" t="s">
        <v>122</v>
      </c>
      <c r="Z10" s="19"/>
      <c r="AA10" s="61" t="str">
        <f t="shared" si="0"/>
        <v/>
      </c>
      <c r="AC10" s="60"/>
      <c r="AD10" s="20" t="str">
        <f>IF(AC10="","¬",_xlfn.LET(_xlpm.base,IFERROR(LEFT(AC10,FIND(" (",AC10)-1),AC10),IFERROR(VLOOKUP(_xlpm.base,tblManoeuvre[],2,FALSE) &amp; " " &amp; REPT("●",VLOOKUP(_xlpm.base,tblManoeuvre[],3,FALSE)) &amp; " | " &amp; AC10,AC10 &amp; " " &amp; REPT("●",VLOOKUP(_xlpm.base,$F$79:$P$120,11,FALSE)))))</f>
        <v>¬</v>
      </c>
      <c r="AE10" s="20"/>
      <c r="AF10" s="20" t="str">
        <f>IF(LEN(AC10)=0,"¬",_xlfn.LET(_xlpm.base,IFERROR(LEFT(AC10,FIND(" (",AC10)-1),AC10),IFERROR(VLOOKUP(_xlpm.base,tblMerits[],5,FALSE),IFERROR(VLOOKUP(_xlpm.base,tblManoeuvre[],9,FALSE),"¬"))))</f>
        <v>¬</v>
      </c>
      <c r="AI10" s="15" t="s">
        <v>24</v>
      </c>
      <c r="AJ10" s="61">
        <f t="shared" si="1"/>
        <v>2</v>
      </c>
      <c r="AK10" s="61">
        <f>AJ10+IFERROR(INDEX($V$26:$V$38,MATCH(AI10,$E$26:$E$38,0)),0)</f>
        <v>2</v>
      </c>
    </row>
    <row r="11" spans="1:37">
      <c r="A11" s="1" t="s">
        <v>10</v>
      </c>
      <c r="B11" t="str">
        <f>IF(VLOOKUP(tblCharDataMammon[[#This Row],[Field]],$E$2:$F$362,2,FALSE)="","¬",VLOOKUP(tblCharDataMammon[[#This Row],[Field]],$E$2:$F$362,2,FALSE))</f>
        <v>¬</v>
      </c>
      <c r="D11" s="19"/>
      <c r="E11" s="15" t="s">
        <v>14</v>
      </c>
      <c r="F11" s="3" t="s">
        <v>954</v>
      </c>
      <c r="G11" s="18"/>
      <c r="H11" s="18"/>
      <c r="I11" s="18" t="s">
        <v>1431</v>
      </c>
      <c r="N11" s="61">
        <f>N163</f>
        <v>18</v>
      </c>
      <c r="O11" s="65">
        <f>N11/SUM(N$7:N$12)</f>
        <v>0.29032258064516131</v>
      </c>
      <c r="P11" s="66"/>
      <c r="Y11" s="15" t="s">
        <v>123</v>
      </c>
      <c r="Z11" s="19"/>
      <c r="AA11" s="61" t="str">
        <f t="shared" si="0"/>
        <v/>
      </c>
      <c r="AC11" s="60"/>
      <c r="AD11" s="20" t="str">
        <f>IF(AC11="","¬",_xlfn.LET(_xlpm.base,IFERROR(LEFT(AC11,FIND(" (",AC11)-1),AC11),IFERROR(VLOOKUP(_xlpm.base,tblManoeuvre[],2,FALSE) &amp; " " &amp; REPT("●",VLOOKUP(_xlpm.base,tblManoeuvre[],3,FALSE)) &amp; " | " &amp; AC11,AC11 &amp; " " &amp; REPT("●",VLOOKUP(_xlpm.base,$F$79:$P$120,11,FALSE)))))</f>
        <v>¬</v>
      </c>
      <c r="AE11" s="20"/>
      <c r="AF11" s="20" t="str">
        <f>IF(LEN(AC11)=0,"¬",_xlfn.LET(_xlpm.base,IFERROR(LEFT(AC11,FIND(" (",AC11)-1),AC11),IFERROR(VLOOKUP(_xlpm.base,tblMerits[],5,FALSE),IFERROR(VLOOKUP(_xlpm.base,tblManoeuvre[],9,FALSE),"¬"))))</f>
        <v>¬</v>
      </c>
      <c r="AI11" s="15" t="s">
        <v>26</v>
      </c>
      <c r="AJ11" s="61">
        <f t="shared" si="1"/>
        <v>0</v>
      </c>
      <c r="AK11" s="61">
        <f>IF(AJ11=0,IF(COUNTIF($E$42:$E$49,AI11)&gt;0,-3,-1),AJ11)</f>
        <v>-3</v>
      </c>
    </row>
    <row r="12" spans="1:37">
      <c r="A12" s="1" t="s">
        <v>11</v>
      </c>
      <c r="B12" t="str">
        <f>IF(VLOOKUP(tblCharDataMammon[[#This Row],[Field]],$E$2:$F$362,2,FALSE)="","¬",VLOOKUP(tblCharDataMammon[[#This Row],[Field]],$E$2:$F$362,2,FALSE))</f>
        <v>Carthian Movement</v>
      </c>
      <c r="D12" s="19"/>
      <c r="E12" s="15" t="s">
        <v>15</v>
      </c>
      <c r="F12" s="3"/>
      <c r="G12" s="3"/>
      <c r="H12" s="18"/>
      <c r="I12" s="18" t="s">
        <v>1432</v>
      </c>
      <c r="N12" s="61">
        <f>N71</f>
        <v>0</v>
      </c>
      <c r="O12" s="65">
        <f>N12/SUM(N$7:N$12)</f>
        <v>0</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0</v>
      </c>
      <c r="AK12" s="61">
        <f>IF(AJ12=0,IF(COUNTIF($E$42:$E$49,AI12)&gt;0,-3,-1),AJ12)</f>
        <v>-3</v>
      </c>
    </row>
    <row r="13" spans="1:37">
      <c r="A13" s="1" t="s">
        <v>12</v>
      </c>
      <c r="B13" t="str">
        <f>_xlfn.IFNA(CONCATENATE(Elements,VLOOKUP(B12,tblCovenantShortName[#Data],2,FALSE)," icon.svg"),"")</f>
        <v>D:\Terra Mortis\Character Sheets\Sheet Elements\Carthian icon.svg</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0</v>
      </c>
      <c r="AK13" s="61">
        <f t="shared" ref="AK13:AK19" si="2">AJ13</f>
        <v>0</v>
      </c>
    </row>
    <row r="14" spans="1:37">
      <c r="A14" s="1" t="s">
        <v>13</v>
      </c>
      <c r="B14" t="str">
        <f>IF(VLOOKUP(tblCharDataMammon[[#This Row],[Field]],$E$2:$F$362,2,FALSE)="","¬",VLOOKUP(tblCharDataMammon[[#This Row],[Field]],$E$2:$F$362,2,FALSE))</f>
        <v>Cult Leader</v>
      </c>
      <c r="D14" s="19"/>
      <c r="E14" s="15" t="s">
        <v>1433</v>
      </c>
      <c r="F14" s="54" t="s">
        <v>1787</v>
      </c>
      <c r="G14" s="3" t="s">
        <v>754</v>
      </c>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0</v>
      </c>
      <c r="AK14" s="61">
        <f t="shared" si="2"/>
        <v>0</v>
      </c>
    </row>
    <row r="15" spans="1:37">
      <c r="A15" s="1" t="s">
        <v>14</v>
      </c>
      <c r="B15" t="str">
        <f>IF(VLOOKUP(tblCharDataMammon[[#This Row],[Field]],$E$2:$F$362,2,FALSE)="","¬",VLOOKUP(tblCharDataMammon[[#This Row],[Field]],$E$2:$F$362,2,FALSE))</f>
        <v>Penitent</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4</v>
      </c>
      <c r="AK15" s="61">
        <f t="shared" ca="1" si="2"/>
        <v>4</v>
      </c>
    </row>
    <row r="16" spans="1:37" ht="15.75" thickBot="1">
      <c r="A16" s="1" t="s">
        <v>15</v>
      </c>
      <c r="B16" t="str">
        <f ca="1">_xlfn.LET(_xlpm.a,VLOOKUP(tblCharDataMammon[[#This Row],[Field]],$E$2:$F$362,2,FALSE),_xlpm.b,VLOOKUP(OFFSET(tblCharDataMammon[[#This Row],[Field]],1,0),$E$2:$F$362,2,FALSE),IF(AND(_xlpm.a&lt;&gt;"",_xlpm.b&lt;&gt;""),_xlpm.a&amp;" &amp; "&amp;_xlpm.b,IF(_xlpm.a&lt;&gt;"",_xlpm.a,IF(_xlpm.b&lt;&gt;"",_xlpm.b,"¬"))))</f>
        <v>¬</v>
      </c>
      <c r="D16" s="14" t="s">
        <v>1427</v>
      </c>
      <c r="E16" s="14"/>
      <c r="F16" s="14"/>
      <c r="G16" s="14"/>
      <c r="H16" s="14"/>
      <c r="I16" s="14"/>
      <c r="N16" s="60">
        <f>SUM(N17:N21)</f>
        <v>15</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REPT("●",IFERROR(INDEX($P$26:$P$38,MATCH(tblCharDataMammon[[#This Row],[Field]],$E$26:$E$38,0)),0))&amp;REPT("○",IFERROR(INDEX($V$26:$V$38,MATCH(tblCharDataMammon[[#This Row],[Field]],$E$26:$E$38,0)),0))</f>
        <v>●●</v>
      </c>
      <c r="D17" s="19"/>
      <c r="E17" s="15" t="s">
        <v>1435</v>
      </c>
      <c r="F17" s="3" t="b">
        <v>1</v>
      </c>
      <c r="G17" s="19"/>
      <c r="H17" s="19"/>
      <c r="I17" s="19"/>
      <c r="N17" s="61">
        <f>IF(F17=TRUE,3,0)</f>
        <v>3</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3</v>
      </c>
      <c r="AK17" s="61">
        <f>AJ17+IFERROR(INDEX($V$26:$V$38,MATCH(AI17,$E$26:$E$38,0)),0)</f>
        <v>3</v>
      </c>
    </row>
    <row r="18" spans="1:37">
      <c r="A18" s="1" t="s">
        <v>17</v>
      </c>
      <c r="B18" t="str">
        <f>REPT("●",IFERROR(INDEX($P$26:$P$38,MATCH(tblCharDataMammon[[#This Row],[Field]],$E$26:$E$38,0)),0))&amp;REPT("○",IFERROR(INDEX($V$26:$V$38,MATCH(tblCharDataMammon[[#This Row],[Field]],$E$26:$E$38,0)),0))</f>
        <v>●●</v>
      </c>
      <c r="D18" s="19"/>
      <c r="E18" s="15" t="s">
        <v>1436</v>
      </c>
      <c r="F18" s="3" t="b">
        <v>1</v>
      </c>
      <c r="G18" s="19"/>
      <c r="H18" s="19"/>
      <c r="I18" s="19"/>
      <c r="N18" s="61">
        <f>IF(F18=TRUE,3,0)</f>
        <v>3</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0</v>
      </c>
      <c r="AK18" s="61">
        <f t="shared" si="2"/>
        <v>0</v>
      </c>
    </row>
    <row r="19" spans="1:37">
      <c r="A19" s="1" t="s">
        <v>18</v>
      </c>
      <c r="B19" t="str">
        <f>REPT("●",IFERROR(INDEX($P$26:$P$38,MATCH(tblCharDataMammon[[#This Row],[Field]],$E$26:$E$38,0)),0))&amp;REPT("○",IFERROR(INDEX($V$26:$V$38,MATCH(tblCharDataMammon[[#This Row],[Field]],$E$26:$E$38,0)),0))</f>
        <v>●●●</v>
      </c>
      <c r="D19" s="19"/>
      <c r="E19" s="15" t="s">
        <v>1437</v>
      </c>
      <c r="F19" s="3" t="b">
        <v>1</v>
      </c>
      <c r="G19" s="19"/>
      <c r="H19" s="19"/>
      <c r="I19" s="19"/>
      <c r="N19" s="61">
        <f>IF(F19=TRUE,3,0)</f>
        <v>3</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0</v>
      </c>
      <c r="AK19" s="61">
        <f t="shared" si="2"/>
        <v>0</v>
      </c>
    </row>
    <row r="20" spans="1:37">
      <c r="A20" s="1" t="s">
        <v>19</v>
      </c>
      <c r="B20" t="str">
        <f>REPT("●",IFERROR(INDEX($P$26:$P$38,MATCH(tblCharDataMammon[[#This Row],[Field]],$E$26:$E$38,0)),0))&amp;REPT("○",IFERROR(INDEX($V$26:$V$38,MATCH(tblCharDataMammon[[#This Row],[Field]],$E$26:$E$38,0)),0))</f>
        <v>●</v>
      </c>
      <c r="D20" s="19"/>
      <c r="E20" s="15" t="s">
        <v>1438</v>
      </c>
      <c r="F20" s="3" t="b">
        <v>1</v>
      </c>
      <c r="G20" s="19"/>
      <c r="H20" s="19"/>
      <c r="I20" s="19"/>
      <c r="N20" s="61">
        <f>IF(F20=TRUE,3,0)</f>
        <v>3</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REPT("●",IFERROR(INDEX($P$26:$P$38,MATCH(tblCharDataMammon[[#This Row],[Field]],$E$26:$E$38,0)),0))&amp;REPT("○",IFERROR(INDEX($V$26:$V$38,MATCH(tblCharDataMammon[[#This Row],[Field]],$E$26:$E$38,0)),0))</f>
        <v>●●●</v>
      </c>
      <c r="D21" s="19"/>
      <c r="E21" s="15" t="s">
        <v>11</v>
      </c>
      <c r="F21" s="3" t="b">
        <v>1</v>
      </c>
      <c r="G21" s="19"/>
      <c r="H21" s="19"/>
      <c r="I21" s="19"/>
      <c r="N21" s="61">
        <f>IF(F21=TRUE,3,0)</f>
        <v>3</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4</v>
      </c>
      <c r="AK21" s="61">
        <f>IF(AJ21=0,IF(COUNTIF($E$42:$E$49,AI21)&gt;0,-3,-1),AJ21)</f>
        <v>4</v>
      </c>
    </row>
    <row r="22" spans="1:37">
      <c r="A22" s="1" t="s">
        <v>21</v>
      </c>
      <c r="B22" t="str">
        <f>REPT("●",IFERROR(INDEX($P$26:$P$38,MATCH(tblCharDataMammon[[#This Row],[Field]],$E$26:$E$38,0)),0))&amp;REPT("○",IFERROR(INDEX($V$26:$V$38,MATCH(tblCharDataMammon[[#This Row],[Field]],$E$26:$E$38,0)),0))</f>
        <v>●●</v>
      </c>
      <c r="Y22" s="15" t="s">
        <v>1439</v>
      </c>
      <c r="Z22" s="61" t="str">
        <f>IFERROR(VLOOKUP(AA22,tblManoeuvre[],2,FALSE),"")</f>
        <v/>
      </c>
      <c r="AA22" s="61" t="str">
        <f t="shared" ref="AA22:AA41" si="3">_xlfn.LET(_xlpm.name,VLOOKUP(Y22,$E$2:$F$362,2,FALSE),_xlpm.paid,_xlfn.IFNA(VLOOKUP(_xlpm.name,$F$79:$Q$120,11,FALSE)&gt;=VLOOKUP(_xlpm.name,$F$79:$Q$120,12,FALSE),FALSE),IF(AND(_xlpm.name&lt;&gt;"",_xlpm.paid),_xlpm.name,""))</f>
        <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0</v>
      </c>
      <c r="AK22" s="61">
        <f>IF(AJ22=0,IF(COUNTIF($E$42:$E$49,AI22)&gt;0,-3,-1),AJ22)</f>
        <v>-1</v>
      </c>
    </row>
    <row r="23" spans="1:37" ht="15.75" thickBot="1">
      <c r="A23" s="1" t="s">
        <v>22</v>
      </c>
      <c r="B23" t="str">
        <f>REPT("●",IFERROR(INDEX($P$26:$P$38,MATCH(tblCharDataMammon[[#This Row],[Field]],$E$26:$E$38,0)),0))&amp;REPT("○",IFERROR(INDEX($V$26:$V$38,MATCH(tblCharDataMammon[[#This Row],[Field]],$E$26:$E$38,0)),0))</f>
        <v>●●●●</v>
      </c>
      <c r="D23" s="14" t="s">
        <v>1440</v>
      </c>
      <c r="E23" s="14"/>
      <c r="F23" s="14"/>
      <c r="G23" s="14"/>
      <c r="H23" s="14"/>
      <c r="I23" s="14"/>
      <c r="N23" s="60">
        <f>SUM(N26:N28,N31:N33,N36:N38)</f>
        <v>0</v>
      </c>
      <c r="Y23" s="15" t="s">
        <v>1441</v>
      </c>
      <c r="Z23" s="61" t="str">
        <f>IFERROR(VLOOKUP(AA23,tblManoeuvre[],2,FALSE),"")</f>
        <v/>
      </c>
      <c r="AA23" s="61" t="str">
        <f t="shared" si="3"/>
        <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0</v>
      </c>
      <c r="AK23" s="61">
        <f>IF(AJ23=0,VLOOKUP(AI23,$E$42:$Q$69,13,FALSE),AJ23)</f>
        <v>0</v>
      </c>
    </row>
    <row r="24" spans="1:37">
      <c r="A24" s="1" t="s">
        <v>23</v>
      </c>
      <c r="B24" t="str">
        <f>REPT("●",IFERROR(INDEX($P$26:$P$38,MATCH(tblCharDataMammon[[#This Row],[Field]],$E$26:$E$38,0)),0))&amp;REPT("○",IFERROR(INDEX($V$26:$V$38,MATCH(tblCharDataMammon[[#This Row],[Field]],$E$26:$E$38,0)),0))</f>
        <v>●●●</v>
      </c>
      <c r="E24" s="15" t="s">
        <v>1442</v>
      </c>
      <c r="F24" s="3" t="s">
        <v>24</v>
      </c>
      <c r="Y24" s="15" t="s">
        <v>1443</v>
      </c>
      <c r="Z24" s="61" t="str">
        <f>IFERROR(VLOOKUP(AA24,tblManoeuvre[],2,FALSE),"")</f>
        <v/>
      </c>
      <c r="AA24" s="61" t="str">
        <f t="shared" si="3"/>
        <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7</v>
      </c>
      <c r="AK24" s="61">
        <f ca="1">AJ24</f>
        <v>7</v>
      </c>
    </row>
    <row r="25" spans="1:37">
      <c r="A25" s="1" t="s">
        <v>24</v>
      </c>
      <c r="B25" t="str">
        <f>REPT("●",IFERROR(INDEX($P$26:$P$38,MATCH(tblCharDataMammon[[#This Row],[Field]],$E$26:$E$38,0)),0))&amp;REPT("○",IFERROR(INDEX($V$26:$V$38,MATCH(tblCharDataMammon[[#This Row],[Field]],$E$26:$E$38,0)),0))</f>
        <v>●●</v>
      </c>
      <c r="D25" s="16" t="s">
        <v>1444</v>
      </c>
      <c r="E25" s="17"/>
      <c r="F25" s="17"/>
      <c r="G25" s="17" t="s">
        <v>1445</v>
      </c>
      <c r="H25" s="16" t="s">
        <v>1446</v>
      </c>
      <c r="I25" s="3" t="s">
        <v>1567</v>
      </c>
      <c r="L25" s="60">
        <f>IF(I25="",0,VLOOKUP(I25,tblPriority[#Data],2,FALSE))-SUM(L26:L28)</f>
        <v>0</v>
      </c>
      <c r="Y25" s="15" t="s">
        <v>1447</v>
      </c>
      <c r="Z25" s="61" t="str">
        <f>IFERROR(VLOOKUP(AA25,tblManoeuvre[],2,FALSE),"")</f>
        <v/>
      </c>
      <c r="AA25" s="61" t="str">
        <f t="shared" si="3"/>
        <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4</v>
      </c>
      <c r="AK25" s="61">
        <f>AJ25</f>
        <v>4</v>
      </c>
    </row>
    <row r="26" spans="1:37">
      <c r="A26" s="1" t="s">
        <v>25</v>
      </c>
      <c r="B26" t="str">
        <f>REPT("●",IFERROR(INDEX($P$42:$P$69,MATCH(tblCharDataMammon[[#This Row],[Field]],$E$42:$E$69,0)),0))&amp;REPT("○",IFERROR(INDEX($V$42:$V$69,MATCH(tblCharDataMammon[[#This Row],[Field]],$E$42:$E$69,0)),0))&amp;IF(IFERROR(INDEX($W$42:$W$69,MATCH(tblCharDataMammon[[#This Row],[Field]],$E$42:$E$69,0)),0)=1,"†","")</f>
        <v/>
      </c>
      <c r="D26" s="18"/>
      <c r="E26" s="15" t="s">
        <v>16</v>
      </c>
      <c r="F26" s="18"/>
      <c r="G26" s="3"/>
      <c r="H26" s="18"/>
      <c r="I26" s="18"/>
      <c r="L26" s="3">
        <v>1</v>
      </c>
      <c r="M26" s="60">
        <f>IF(E26=$F$24,2,1)</f>
        <v>1</v>
      </c>
      <c r="N26" s="3"/>
      <c r="O26" s="61">
        <f>ROUNDDOWN(N26/4,0)</f>
        <v>0</v>
      </c>
      <c r="P26" s="60">
        <f>MIN(SUM(L26,M26,O26),R26)</f>
        <v>2</v>
      </c>
      <c r="R26" s="61">
        <v>5</v>
      </c>
      <c r="U26" s="4"/>
      <c r="V26" s="61">
        <f>U26</f>
        <v>0</v>
      </c>
      <c r="Y26" s="15" t="s">
        <v>1449</v>
      </c>
      <c r="Z26" s="61" t="str">
        <f>IFERROR(VLOOKUP(AA26,tblManoeuvre[],2,FALSE),"")</f>
        <v/>
      </c>
      <c r="AA26" s="61" t="str">
        <f t="shared" si="3"/>
        <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2</v>
      </c>
      <c r="AK26" s="61">
        <f>AJ26+IFERROR(INDEX($V$26:$V$38,MATCH(AI26,$E$26:$E$38,0)),0)</f>
        <v>2</v>
      </c>
    </row>
    <row r="27" spans="1:37">
      <c r="A27" s="1" t="s">
        <v>26</v>
      </c>
      <c r="B27" t="str">
        <f>REPT("●",IFERROR(INDEX($P$42:$P$69,MATCH(tblCharDataMammon[[#This Row],[Field]],$E$42:$E$69,0)),0))&amp;REPT("○",IFERROR(INDEX($V$42:$V$69,MATCH(tblCharDataMammon[[#This Row],[Field]],$E$42:$E$69,0)),0))&amp;IF(IFERROR(INDEX($W$42:$W$69,MATCH(tblCharDataMammon[[#This Row],[Field]],$E$42:$E$69,0)),0)=1,"†","")</f>
        <v/>
      </c>
      <c r="D27" s="18"/>
      <c r="E27" s="15" t="s">
        <v>17</v>
      </c>
      <c r="F27" s="18"/>
      <c r="G27" s="3"/>
      <c r="H27" s="18"/>
      <c r="I27" s="18"/>
      <c r="L27" s="3">
        <v>1</v>
      </c>
      <c r="M27" s="60">
        <f>IF(E27=$F$24,2,1)</f>
        <v>1</v>
      </c>
      <c r="N27" s="3"/>
      <c r="O27" s="61">
        <f>ROUNDDOWN(N27/4,0)</f>
        <v>0</v>
      </c>
      <c r="P27" s="60">
        <f>MIN(SUM(L27,M27,O27),R27)</f>
        <v>2</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4</v>
      </c>
      <c r="AK27" s="61">
        <f>IF(AJ27=0,IF(COUNTIF($E$42:$E$49,AI27)&gt;0,-3,-1),AJ27)</f>
        <v>4</v>
      </c>
    </row>
    <row r="28" spans="1:37">
      <c r="A28" s="1" t="s">
        <v>27</v>
      </c>
      <c r="B28" t="str">
        <f>REPT("●",IFERROR(INDEX($P$42:$P$69,MATCH(tblCharDataMammon[[#This Row],[Field]],$E$42:$E$69,0)),0))&amp;REPT("○",IFERROR(INDEX($V$42:$V$69,MATCH(tblCharDataMammon[[#This Row],[Field]],$E$42:$E$69,0)),0))&amp;IF(IFERROR(INDEX($W$42:$W$69,MATCH(tblCharDataMammon[[#This Row],[Field]],$E$42:$E$69,0)),0)=1,"†","")</f>
        <v/>
      </c>
      <c r="D28" s="18"/>
      <c r="E28" s="15" t="s">
        <v>18</v>
      </c>
      <c r="F28" s="18"/>
      <c r="G28" s="3"/>
      <c r="H28" s="18"/>
      <c r="I28" s="18"/>
      <c r="L28" s="3">
        <v>2</v>
      </c>
      <c r="M28" s="60">
        <f>IF(E28=$F$24,2,1)</f>
        <v>1</v>
      </c>
      <c r="N28" s="3"/>
      <c r="O28" s="61">
        <f>ROUNDDOWN(N28/4,0)</f>
        <v>0</v>
      </c>
      <c r="P28" s="60">
        <f>MIN(SUM(L28,M28,O28),R28)</f>
        <v>3</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3</v>
      </c>
      <c r="AK28" s="61">
        <f>IF(AJ28=0,IF(COUNTIF($E$42:$E$49,AI28)&gt;0,-3,-1),AJ28)</f>
        <v>3</v>
      </c>
    </row>
    <row r="29" spans="1:37">
      <c r="A29" s="1" t="s">
        <v>28</v>
      </c>
      <c r="B29" t="str">
        <f>REPT("●",IFERROR(INDEX($P$42:$P$69,MATCH(tblCharDataMammon[[#This Row],[Field]],$E$42:$E$69,0)),0))&amp;REPT("○",IFERROR(INDEX($V$42:$V$69,MATCH(tblCharDataMammon[[#This Row],[Field]],$E$42:$E$69,0)),0))&amp;IF(IFERROR(INDEX($W$42:$W$69,MATCH(tblCharDataMammon[[#This Row],[Field]],$E$42:$E$69,0)),0)=1,"†","")</f>
        <v>●●●</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0</v>
      </c>
      <c r="AK29" s="61">
        <f>IF(AJ29=0,IF(COUNTIF($E$42:$E$49,AI29)&gt;0,-3,-1),AJ29)</f>
        <v>-1</v>
      </c>
    </row>
    <row r="30" spans="1:37">
      <c r="A30" s="1" t="s">
        <v>29</v>
      </c>
      <c r="B30" t="str">
        <f>REPT("●",IFERROR(INDEX($P$42:$P$69,MATCH(tblCharDataMammon[[#This Row],[Field]],$E$42:$E$69,0)),0))&amp;REPT("○",IFERROR(INDEX($V$42:$V$69,MATCH(tblCharDataMammon[[#This Row],[Field]],$E$42:$E$69,0)),0))&amp;IF(IFERROR(INDEX($W$42:$W$69,MATCH(tblCharDataMammon[[#This Row],[Field]],$E$42:$E$69,0)),0)=1,"†","")</f>
        <v/>
      </c>
      <c r="D30" s="16" t="s">
        <v>1453</v>
      </c>
      <c r="E30" s="17"/>
      <c r="F30" s="17"/>
      <c r="G30" s="17" t="s">
        <v>1445</v>
      </c>
      <c r="H30" s="16" t="s">
        <v>1446</v>
      </c>
      <c r="I30" s="3" t="s">
        <v>1566</v>
      </c>
      <c r="L30" s="60">
        <f>IF(I30="",0,VLOOKUP(I30,tblPriority[#Data],2,FALSE))-SUM(L31:L33)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0</v>
      </c>
      <c r="AK30" s="61">
        <f>AJ30</f>
        <v>0</v>
      </c>
    </row>
    <row r="31" spans="1:37">
      <c r="A31" s="1" t="s">
        <v>30</v>
      </c>
      <c r="B31" t="str">
        <f>REPT("●",IFERROR(INDEX($P$42:$P$69,MATCH(tblCharDataMammon[[#This Row],[Field]],$E$42:$E$69,0)),0))&amp;REPT("○",IFERROR(INDEX($V$42:$V$69,MATCH(tblCharDataMammon[[#This Row],[Field]],$E$42:$E$69,0)),0))&amp;IF(IFERROR(INDEX($W$42:$W$69,MATCH(tblCharDataMammon[[#This Row],[Field]],$E$42:$E$69,0)),0)=1,"†","")</f>
        <v>●●</v>
      </c>
      <c r="D31" s="18"/>
      <c r="E31" s="15" t="s">
        <v>19</v>
      </c>
      <c r="F31" s="18"/>
      <c r="G31" s="3"/>
      <c r="H31" s="18"/>
      <c r="I31" s="18"/>
      <c r="L31" s="3"/>
      <c r="M31" s="60">
        <f>IF(E31=$F$24,2,1)</f>
        <v>1</v>
      </c>
      <c r="N31" s="3"/>
      <c r="O31" s="61">
        <f>ROUNDDOWN(N31/4,0)</f>
        <v>0</v>
      </c>
      <c r="P31" s="60">
        <f>MIN(SUM(L31,M31,O31),R31)</f>
        <v>1</v>
      </c>
      <c r="R31" s="61">
        <v>5</v>
      </c>
      <c r="U31" s="4"/>
      <c r="V31" s="61">
        <f>$P$174+U31</f>
        <v>0</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3</v>
      </c>
      <c r="AK31" s="61">
        <f>AJ31+IFERROR(INDEX($V$26:$V$38,MATCH(AI31,$E$26:$E$38,0)),0)</f>
        <v>3</v>
      </c>
    </row>
    <row r="32" spans="1:37">
      <c r="A32" s="1" t="s">
        <v>31</v>
      </c>
      <c r="B32" t="str">
        <f>REPT("●",IFERROR(INDEX($P$42:$P$69,MATCH(tblCharDataMammon[[#This Row],[Field]],$E$42:$E$69,0)),0))&amp;REPT("○",IFERROR(INDEX($V$42:$V$69,MATCH(tblCharDataMammon[[#This Row],[Field]],$E$42:$E$69,0)),0))&amp;IF(IFERROR(INDEX($W$42:$W$69,MATCH(tblCharDataMammon[[#This Row],[Field]],$E$42:$E$69,0)),0)=1,"†","")</f>
        <v>●●</v>
      </c>
      <c r="D32" s="18"/>
      <c r="E32" s="15" t="s">
        <v>20</v>
      </c>
      <c r="F32" s="18"/>
      <c r="G32" s="3"/>
      <c r="H32" s="18"/>
      <c r="I32" s="18"/>
      <c r="L32" s="3">
        <v>2</v>
      </c>
      <c r="M32" s="60">
        <f>IF(E32=$F$24,2,1)</f>
        <v>1</v>
      </c>
      <c r="N32" s="3"/>
      <c r="O32" s="61">
        <f>ROUNDDOWN(N32/4,0)</f>
        <v>0</v>
      </c>
      <c r="P32" s="60">
        <f>MIN(SUM(L32,M32,O32),R32)</f>
        <v>3</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REPT("●",IFERROR(INDEX($P$42:$P$69,MATCH(tblCharDataMammon[[#This Row],[Field]],$E$42:$E$69,0)),0))&amp;REPT("○",IFERROR(INDEX($V$42:$V$69,MATCH(tblCharDataMammon[[#This Row],[Field]],$E$42:$E$69,0)),0))&amp;IF(IFERROR(INDEX($W$42:$W$69,MATCH(tblCharDataMammon[[#This Row],[Field]],$E$42:$E$69,0)),0)=1,"†","")</f>
        <v/>
      </c>
      <c r="D33" s="18"/>
      <c r="E33" s="15" t="s">
        <v>21</v>
      </c>
      <c r="F33" s="18"/>
      <c r="G33" s="3"/>
      <c r="H33" s="18"/>
      <c r="I33" s="18"/>
      <c r="L33" s="3">
        <v>1</v>
      </c>
      <c r="M33" s="60">
        <f>IF(E33=$F$24,2,1)</f>
        <v>1</v>
      </c>
      <c r="N33" s="3"/>
      <c r="O33" s="61">
        <f>ROUNDDOWN(N33/4,0)</f>
        <v>0</v>
      </c>
      <c r="P33" s="60">
        <f>MIN(SUM(L33,M33,O33),R33)</f>
        <v>2</v>
      </c>
      <c r="R33" s="61">
        <v>5</v>
      </c>
      <c r="U33" s="4"/>
      <c r="V33" s="61">
        <f>$P$173+U33</f>
        <v>0</v>
      </c>
      <c r="Y33" s="15" t="s">
        <v>1457</v>
      </c>
      <c r="Z33" s="61" t="str">
        <f>IFERROR(VLOOKUP(AA33,tblManoeuvre[],2,FALSE),"")</f>
        <v/>
      </c>
      <c r="AA33" s="61" t="str">
        <f t="shared" si="3"/>
        <v/>
      </c>
      <c r="AI33" s="15" t="s">
        <v>241</v>
      </c>
      <c r="AJ33" s="61">
        <f t="shared" si="1"/>
        <v>4</v>
      </c>
      <c r="AK33" s="61">
        <f>AJ33</f>
        <v>4</v>
      </c>
    </row>
    <row r="34" spans="1:37">
      <c r="A34" s="1" t="s">
        <v>33</v>
      </c>
      <c r="B34" t="str">
        <f>REPT("●",IFERROR(INDEX($P$42:$P$69,MATCH(tblCharDataMammon[[#This Row],[Field]],$E$42:$E$69,0)),0))&amp;REPT("○",IFERROR(INDEX($V$42:$V$69,MATCH(tblCharDataMammon[[#This Row],[Field]],$E$42:$E$69,0)),0))&amp;IF(IFERROR(INDEX($W$42:$W$69,MATCH(tblCharDataMammon[[#This Row],[Field]],$E$42:$E$69,0)),0)=1,"†","")</f>
        <v>●●</v>
      </c>
      <c r="Y34" s="15" t="s">
        <v>1458</v>
      </c>
      <c r="Z34" s="61" t="str">
        <f>IFERROR(VLOOKUP(AA34,tblManoeuvre[],2,FALSE),"")</f>
        <v/>
      </c>
      <c r="AA34" s="61" t="str">
        <f t="shared" si="3"/>
        <v/>
      </c>
      <c r="AI34" s="15" t="s">
        <v>242</v>
      </c>
      <c r="AJ34" s="61">
        <f t="shared" si="1"/>
        <v>4</v>
      </c>
      <c r="AK34" s="61">
        <f>AJ34</f>
        <v>4</v>
      </c>
    </row>
    <row r="35" spans="1:37">
      <c r="A35" s="1" t="s">
        <v>34</v>
      </c>
      <c r="B35" t="str">
        <f>REPT("●",IFERROR(INDEX($P$42:$P$69,MATCH(tblCharDataMammon[[#This Row],[Field]],$E$42:$E$69,0)),0))&amp;REPT("○",IFERROR(INDEX($V$42:$V$69,MATCH(tblCharDataMammon[[#This Row],[Field]],$E$42:$E$69,0)),0))&amp;IF(IFERROR(INDEX($W$42:$W$69,MATCH(tblCharDataMammon[[#This Row],[Field]],$E$42:$E$69,0)),0)=1,"†","")</f>
        <v/>
      </c>
      <c r="D35" s="16" t="s">
        <v>1459</v>
      </c>
      <c r="E35" s="17"/>
      <c r="F35" s="17"/>
      <c r="G35" s="17" t="s">
        <v>1445</v>
      </c>
      <c r="H35" s="16" t="s">
        <v>1446</v>
      </c>
      <c r="I35" s="3" t="s">
        <v>1565</v>
      </c>
      <c r="L35" s="60">
        <f>IF(I35="",0,VLOOKUP(I35,tblPriority[#Data],2,FALSE))-SUM(L36:L38)</f>
        <v>0</v>
      </c>
      <c r="Y35" s="15" t="s">
        <v>1460</v>
      </c>
      <c r="Z35" s="61" t="str">
        <f>IFERROR(VLOOKUP(AA35,tblManoeuvre[],2,FALSE),"")</f>
        <v/>
      </c>
      <c r="AA35" s="61" t="str">
        <f t="shared" si="3"/>
        <v/>
      </c>
      <c r="AI35" s="15" t="s">
        <v>30</v>
      </c>
      <c r="AJ35" s="61">
        <f t="shared" si="1"/>
        <v>2</v>
      </c>
      <c r="AK35" s="61">
        <f>IF(AJ35=0,IF(COUNTIF($E$42:$E$49,AI35)&gt;0,-3,-1),AJ35)</f>
        <v>2</v>
      </c>
    </row>
    <row r="36" spans="1:37">
      <c r="A36" s="1" t="s">
        <v>35</v>
      </c>
      <c r="B36" t="str">
        <f>REPT("●",IFERROR(INDEX($P$42:$P$69,MATCH(tblCharDataMammon[[#This Row],[Field]],$E$42:$E$69,0)),0))&amp;REPT("○",IFERROR(INDEX($V$42:$V$69,MATCH(tblCharDataMammon[[#This Row],[Field]],$E$42:$E$69,0)),0))&amp;IF(IFERROR(INDEX($W$42:$W$69,MATCH(tblCharDataMammon[[#This Row],[Field]],$E$42:$E$69,0)),0)=1,"†","")</f>
        <v/>
      </c>
      <c r="D36" s="18"/>
      <c r="E36" s="15" t="s">
        <v>22</v>
      </c>
      <c r="F36" s="18"/>
      <c r="G36" s="3"/>
      <c r="H36" s="18"/>
      <c r="I36" s="18"/>
      <c r="L36" s="3">
        <v>3</v>
      </c>
      <c r="M36" s="60">
        <f>IF(E36=$F$24,2,1)</f>
        <v>1</v>
      </c>
      <c r="N36" s="3"/>
      <c r="O36" s="61">
        <f>ROUNDDOWN(N36/4,0)</f>
        <v>0</v>
      </c>
      <c r="P36" s="60">
        <f>MIN(SUM(L36,M36,O36),R36)</f>
        <v>4</v>
      </c>
      <c r="R36" s="61">
        <v>5</v>
      </c>
      <c r="U36" s="4"/>
      <c r="V36" s="61">
        <f>U36</f>
        <v>0</v>
      </c>
      <c r="Y36" s="15" t="s">
        <v>1461</v>
      </c>
      <c r="Z36" s="61" t="str">
        <f>IFERROR(VLOOKUP(AA36,tblManoeuvre[],2,FALSE),"")</f>
        <v/>
      </c>
      <c r="AA36" s="61" t="str">
        <f t="shared" si="3"/>
        <v/>
      </c>
      <c r="AI36" s="15" t="s">
        <v>45</v>
      </c>
      <c r="AJ36" s="61">
        <f t="shared" si="1"/>
        <v>0</v>
      </c>
      <c r="AK36" s="61">
        <f>IF(AJ36=0,IF(COUNTIF($E$42:$E$49,AI36)&gt;0,-3,-1),AJ36)</f>
        <v>-1</v>
      </c>
    </row>
    <row r="37" spans="1:37">
      <c r="A37" s="1" t="s">
        <v>36</v>
      </c>
      <c r="B37" t="str">
        <f>REPT("●",IFERROR(INDEX($P$42:$P$69,MATCH(tblCharDataMammon[[#This Row],[Field]],$E$42:$E$69,0)),0))&amp;REPT("○",IFERROR(INDEX($V$42:$V$69,MATCH(tblCharDataMammon[[#This Row],[Field]],$E$42:$E$69,0)),0))&amp;IF(IFERROR(INDEX($W$42:$W$69,MATCH(tblCharDataMammon[[#This Row],[Field]],$E$42:$E$69,0)),0)=1,"†","")</f>
        <v/>
      </c>
      <c r="D37" s="18"/>
      <c r="E37" s="15" t="s">
        <v>23</v>
      </c>
      <c r="F37" s="18"/>
      <c r="G37" s="3"/>
      <c r="H37" s="18"/>
      <c r="I37" s="18"/>
      <c r="L37" s="3">
        <v>2</v>
      </c>
      <c r="M37" s="60">
        <f>IF(E37=$F$24,2,1)</f>
        <v>1</v>
      </c>
      <c r="N37" s="3"/>
      <c r="O37" s="61">
        <f>ROUNDDOWN(N37/4,0)</f>
        <v>0</v>
      </c>
      <c r="P37" s="60">
        <f>MIN(SUM(L37,M37,O37),R37)</f>
        <v>3</v>
      </c>
      <c r="R37" s="61">
        <v>5</v>
      </c>
      <c r="U37" s="4"/>
      <c r="V37" s="61">
        <f>U37</f>
        <v>0</v>
      </c>
      <c r="Y37" s="15" t="s">
        <v>1462</v>
      </c>
      <c r="Z37" s="61" t="str">
        <f>IFERROR(VLOOKUP(AA37,tblManoeuvre[],2,FALSE),"")</f>
        <v/>
      </c>
      <c r="AA37" s="61" t="str">
        <f t="shared" si="3"/>
        <v/>
      </c>
      <c r="AI37" s="15" t="s">
        <v>31</v>
      </c>
      <c r="AJ37" s="61">
        <f t="shared" si="1"/>
        <v>2</v>
      </c>
      <c r="AK37" s="61">
        <f>IF(AJ37=0,IF(COUNTIF($E$42:$E$49,AI37)&gt;0,-3,-1),AJ37)</f>
        <v>2</v>
      </c>
    </row>
    <row r="38" spans="1:37">
      <c r="A38" s="1" t="s">
        <v>37</v>
      </c>
      <c r="B38" t="str">
        <f>REPT("●",IFERROR(INDEX($P$42:$P$69,MATCH(tblCharDataMammon[[#This Row],[Field]],$E$42:$E$69,0)),0))&amp;REPT("○",IFERROR(INDEX($V$42:$V$69,MATCH(tblCharDataMammon[[#This Row],[Field]],$E$42:$E$69,0)),0))&amp;IF(IFERROR(INDEX($W$42:$W$69,MATCH(tblCharDataMammon[[#This Row],[Field]],$E$42:$E$69,0)),0)=1,"†","")</f>
        <v/>
      </c>
      <c r="D38" s="18"/>
      <c r="E38" s="15" t="s">
        <v>24</v>
      </c>
      <c r="F38" s="18"/>
      <c r="G38" s="3"/>
      <c r="H38" s="18"/>
      <c r="I38" s="18"/>
      <c r="L38" s="3">
        <v>0</v>
      </c>
      <c r="M38" s="60">
        <f>IF(E38=$F$24,2,1)</f>
        <v>2</v>
      </c>
      <c r="N38" s="3"/>
      <c r="O38" s="61">
        <f>ROUNDDOWN(N38/4,0)</f>
        <v>0</v>
      </c>
      <c r="P38" s="60">
        <f>MIN(SUM(L38,M38,O38),R38)</f>
        <v>2</v>
      </c>
      <c r="R38" s="61">
        <v>5</v>
      </c>
      <c r="U38" s="4"/>
      <c r="V38" s="61">
        <f>U38</f>
        <v>0</v>
      </c>
      <c r="Y38" s="15" t="s">
        <v>1463</v>
      </c>
      <c r="Z38" s="61" t="str">
        <f>IFERROR(VLOOKUP(AA38,tblManoeuvre[],2,FALSE),"")</f>
        <v/>
      </c>
      <c r="AA38" s="61" t="str">
        <f t="shared" si="3"/>
        <v/>
      </c>
      <c r="AI38" s="15" t="s">
        <v>22</v>
      </c>
      <c r="AJ38" s="61">
        <f t="shared" si="1"/>
        <v>4</v>
      </c>
      <c r="AK38" s="61">
        <f>AJ38+IFERROR(INDEX($V$26:$V$38,MATCH(AI38,$E$26:$E$38,0)),0)</f>
        <v>4</v>
      </c>
    </row>
    <row r="39" spans="1:37">
      <c r="A39" s="1" t="s">
        <v>38</v>
      </c>
      <c r="B39" t="str">
        <f>REPT("●",IFERROR(INDEX($P$42:$P$69,MATCH(tblCharDataMammon[[#This Row],[Field]],$E$42:$E$69,0)),0))&amp;REPT("○",IFERROR(INDEX($V$42:$V$69,MATCH(tblCharDataMammon[[#This Row],[Field]],$E$42:$E$69,0)),0))&amp;IF(IFERROR(INDEX($W$42:$W$69,MATCH(tblCharDataMammon[[#This Row],[Field]],$E$42:$E$69,0)),0)=1,"†","")</f>
        <v>●●</v>
      </c>
      <c r="Y39" s="15" t="s">
        <v>1464</v>
      </c>
      <c r="Z39" s="61" t="str">
        <f>IFERROR(VLOOKUP(AA39,tblManoeuvre[],2,FALSE),"")</f>
        <v/>
      </c>
      <c r="AA39" s="61" t="str">
        <f t="shared" si="3"/>
        <v/>
      </c>
      <c r="AI39" s="15" t="s">
        <v>243</v>
      </c>
      <c r="AJ39" s="61">
        <f t="shared" si="1"/>
        <v>0</v>
      </c>
      <c r="AK39" s="61">
        <f>AJ39</f>
        <v>0</v>
      </c>
    </row>
    <row r="40" spans="1:37" ht="15.75" thickBot="1">
      <c r="A40" s="1" t="s">
        <v>39</v>
      </c>
      <c r="B40" t="str">
        <f>REPT("●",IFERROR(INDEX($P$42:$P$69,MATCH(tblCharDataMammon[[#This Row],[Field]],$E$42:$E$69,0)),0))&amp;REPT("○",IFERROR(INDEX($V$42:$V$69,MATCH(tblCharDataMammon[[#This Row],[Field]],$E$42:$E$69,0)),0))&amp;IF(IFERROR(INDEX($W$42:$W$69,MATCH(tblCharDataMammon[[#This Row],[Field]],$E$42:$E$69,0)),0)=1,"†","")</f>
        <v/>
      </c>
      <c r="D40" s="14" t="s">
        <v>1465</v>
      </c>
      <c r="E40" s="14"/>
      <c r="F40" s="14"/>
      <c r="G40" s="14"/>
      <c r="H40" s="14"/>
      <c r="I40" s="14"/>
      <c r="N40" s="60">
        <f>SUM(N42:N49,N52:N59,N62:N69)</f>
        <v>0</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1"/>
        <v>0</v>
      </c>
      <c r="AK40" s="61">
        <f>AJ40</f>
        <v>0</v>
      </c>
    </row>
    <row r="41" spans="1:37">
      <c r="A41" s="1" t="s">
        <v>40</v>
      </c>
      <c r="B41" t="str">
        <f>REPT("●",IFERROR(INDEX($P$42:$P$69,MATCH(tblCharDataMammon[[#This Row],[Field]],$E$42:$E$69,0)),0))&amp;REPT("○",IFERROR(INDEX($V$42:$V$69,MATCH(tblCharDataMammon[[#This Row],[Field]],$E$42:$E$69,0)),0))&amp;IF(IFERROR(INDEX($W$42:$W$69,MATCH(tblCharDataMammon[[#This Row],[Field]],$E$42:$E$69,0)),0)=1,"†","")</f>
        <v/>
      </c>
      <c r="D41" s="16" t="s">
        <v>1444</v>
      </c>
      <c r="E41" s="17"/>
      <c r="F41" s="17"/>
      <c r="G41" s="17" t="s">
        <v>1467</v>
      </c>
      <c r="H41" s="16" t="s">
        <v>1446</v>
      </c>
      <c r="I41" s="3" t="s">
        <v>1567</v>
      </c>
      <c r="L41" s="60">
        <f>IF(I41="",0,VLOOKUP(I41,tblPriority[#Data],3,FALSE))-SUM(L42:L49)</f>
        <v>0</v>
      </c>
      <c r="T41" s="60">
        <f>MAX(3+IF(P161&gt;=3,2,0)-SUM(T42:T49,T52:T59,T62:T69),0)</f>
        <v>3</v>
      </c>
      <c r="Y41" s="15" t="s">
        <v>1468</v>
      </c>
      <c r="Z41" s="61" t="str">
        <f>IFERROR(VLOOKUP(AA41,tblManoeuvre[],2,FALSE),"")</f>
        <v/>
      </c>
      <c r="AA41" s="61" t="str">
        <f t="shared" si="3"/>
        <v/>
      </c>
      <c r="AI41" s="15" t="s">
        <v>244</v>
      </c>
      <c r="AJ41" s="61">
        <f t="shared" si="1"/>
        <v>0</v>
      </c>
      <c r="AK41" s="61">
        <f>AJ41</f>
        <v>0</v>
      </c>
    </row>
    <row r="42" spans="1:37">
      <c r="A42" s="1" t="s">
        <v>41</v>
      </c>
      <c r="B42" t="str">
        <f>REPT("●",IFERROR(INDEX($P$42:$P$69,MATCH(tblCharDataMammon[[#This Row],[Field]],$E$42:$E$69,0)),0))&amp;REPT("○",IFERROR(INDEX($V$42:$V$69,MATCH(tblCharDataMammon[[#This Row],[Field]],$E$42:$E$69,0)),0))&amp;IF(IFERROR(INDEX($W$42:$W$69,MATCH(tblCharDataMammon[[#This Row],[Field]],$E$42:$E$69,0)),0)=1,"†","")</f>
        <v/>
      </c>
      <c r="D42" s="18"/>
      <c r="E42" s="15" t="s">
        <v>25</v>
      </c>
      <c r="F42" s="18"/>
      <c r="G42" s="3"/>
      <c r="H42" s="18"/>
      <c r="I42" s="18"/>
      <c r="L42" s="4"/>
      <c r="M42" s="60"/>
      <c r="N42" s="4"/>
      <c r="O42" s="61">
        <f>ROUNDDOWN(N42/2,0)</f>
        <v>0</v>
      </c>
      <c r="P42" s="60">
        <f t="shared" ref="P42:P49" si="4">MIN(SUM(L42,M42,O42),R42)</f>
        <v>0</v>
      </c>
      <c r="R42" s="61">
        <v>5</v>
      </c>
      <c r="T42" s="4"/>
      <c r="U42" s="4"/>
      <c r="V42" s="61">
        <f t="shared" ref="V42:V49" si="5">U42</f>
        <v>0</v>
      </c>
      <c r="W42" s="4"/>
      <c r="AI42" s="15" t="s">
        <v>18</v>
      </c>
      <c r="AJ42" s="61">
        <f t="shared" si="1"/>
        <v>3</v>
      </c>
      <c r="AK42" s="61">
        <f>AJ42+IFERROR(INDEX($V$26:$V$38,MATCH(AI42,$E$26:$E$38,0)),0)</f>
        <v>3</v>
      </c>
    </row>
    <row r="43" spans="1:37">
      <c r="A43" s="1" t="s">
        <v>42</v>
      </c>
      <c r="B43" t="str">
        <f>REPT("●",IFERROR(INDEX($P$42:$P$69,MATCH(tblCharDataMammon[[#This Row],[Field]],$E$42:$E$69,0)),0))&amp;REPT("○",IFERROR(INDEX($V$42:$V$69,MATCH(tblCharDataMammon[[#This Row],[Field]],$E$42:$E$69,0)),0))&amp;IF(IFERROR(INDEX($W$42:$W$69,MATCH(tblCharDataMammon[[#This Row],[Field]],$E$42:$E$69,0)),0)=1,"†","")</f>
        <v>●●●●</v>
      </c>
      <c r="D43" s="18"/>
      <c r="E43" s="15" t="s">
        <v>26</v>
      </c>
      <c r="F43" s="18"/>
      <c r="G43" s="3"/>
      <c r="H43" s="18"/>
      <c r="I43" s="18"/>
      <c r="L43" s="4"/>
      <c r="M43" s="60"/>
      <c r="N43" s="4"/>
      <c r="O43" s="61">
        <f t="shared" ref="O43:O49" si="6">ROUNDDOWN(N43/2,0)</f>
        <v>0</v>
      </c>
      <c r="P43" s="60">
        <f t="shared" si="4"/>
        <v>0</v>
      </c>
      <c r="R43" s="61">
        <v>5</v>
      </c>
      <c r="T43" s="4"/>
      <c r="U43" s="4"/>
      <c r="V43" s="61">
        <f t="shared" si="5"/>
        <v>0</v>
      </c>
      <c r="W43" s="4"/>
      <c r="AI43" s="15" t="s">
        <v>32</v>
      </c>
      <c r="AJ43" s="61">
        <f t="shared" si="1"/>
        <v>0</v>
      </c>
      <c r="AK43" s="61">
        <f>IF(AJ43=0,IF(COUNTIF($E$42:$E$49,AI43)&gt;0,-3,-1),AJ43)</f>
        <v>-3</v>
      </c>
    </row>
    <row r="44" spans="1:37">
      <c r="A44" s="1" t="s">
        <v>43</v>
      </c>
      <c r="B44" t="str">
        <f>REPT("●",IFERROR(INDEX($P$42:$P$69,MATCH(tblCharDataMammon[[#This Row],[Field]],$E$42:$E$69,0)),0))&amp;REPT("○",IFERROR(INDEX($V$42:$V$69,MATCH(tblCharDataMammon[[#This Row],[Field]],$E$42:$E$69,0)),0))&amp;IF(IFERROR(INDEX($W$42:$W$69,MATCH(tblCharDataMammon[[#This Row],[Field]],$E$42:$E$69,0)),0)=1,"†","")</f>
        <v/>
      </c>
      <c r="D44" s="18"/>
      <c r="E44" s="15" t="s">
        <v>27</v>
      </c>
      <c r="F44" s="18"/>
      <c r="G44" s="3"/>
      <c r="H44" s="18"/>
      <c r="I44" s="18"/>
      <c r="L44" s="4"/>
      <c r="M44" s="60"/>
      <c r="N44" s="4"/>
      <c r="O44" s="61">
        <f t="shared" si="6"/>
        <v>0</v>
      </c>
      <c r="P44" s="60">
        <f t="shared" si="4"/>
        <v>0</v>
      </c>
      <c r="R44" s="61">
        <v>5</v>
      </c>
      <c r="T44" s="4"/>
      <c r="U44" s="4"/>
      <c r="V44" s="61">
        <f t="shared" si="5"/>
        <v>0</v>
      </c>
      <c r="W44" s="4"/>
      <c r="Y44" s="15">
        <v>1</v>
      </c>
      <c r="Z44" s="61" t="s">
        <v>236</v>
      </c>
      <c r="AA44" s="60" t="str" cm="1">
        <f t="array" ref="AA44">IF(OR(Y44=0,Y44=""),"",IF(VLOOKUP(Z44,$AI$1:$AJ$58,2,FALSE)&gt;=Y44,INDEX(tblDisciplines[Name],MATCH(1,(tblDisciplines[Discipline]=Z44)*(tblDisciplines[Rank]=Y44),0)),""))</f>
        <v/>
      </c>
      <c r="AC44" s="60" t="str" cm="1">
        <f t="array" ref="AC44:AC53">IFERROR(_xlfn.VSTACK(IFERROR(_xlfn._xlws.FILTER(AA44:AA121,AA44:AA121&lt;&gt;""),""),IFERROR(_xlfn._xlws.SORT(_xlfn._xlws.FILTER(AA123:AA132,AA123:AA132&lt;&gt;"")),"")),"")</f>
        <v>Beast's Hackles</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Auspex ● | Beast's Hackles</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Free (1 V for Insight)  •  Pool: - - Composure &amp; Closed Book  •  Instant  •  Scene</v>
      </c>
      <c r="AF44" s="20" t="str">
        <f>IF(AC44="","",IFERROR(VLOOKUP(AC44,tblDisciplines[],12,FALSE),VLOOKUP(AC44,tblPacts[],5,FALSE)))</f>
        <v>Add Auspex dots to any rolls to resist surprise. Access to Tier 1 Auspex Insight questions.</v>
      </c>
      <c r="AI44" s="15" t="s">
        <v>353</v>
      </c>
      <c r="AJ44" s="61">
        <f t="shared" si="1"/>
        <v>5</v>
      </c>
      <c r="AK44" s="61">
        <f>AJ44</f>
        <v>5</v>
      </c>
    </row>
    <row r="45" spans="1:37">
      <c r="A45" s="1" t="s">
        <v>44</v>
      </c>
      <c r="B45" t="str">
        <f>REPT("●",IFERROR(INDEX($P$42:$P$69,MATCH(tblCharDataMammon[[#This Row],[Field]],$E$42:$E$69,0)),0))&amp;REPT("○",IFERROR(INDEX($V$42:$V$69,MATCH(tblCharDataMammon[[#This Row],[Field]],$E$42:$E$69,0)),0))&amp;IF(IFERROR(INDEX($W$42:$W$69,MATCH(tblCharDataMammon[[#This Row],[Field]],$E$42:$E$69,0)),0)=1,"†","")</f>
        <v>●●●●</v>
      </c>
      <c r="D45" s="18"/>
      <c r="E45" s="15" t="s">
        <v>28</v>
      </c>
      <c r="F45" s="18"/>
      <c r="G45" s="3" t="s">
        <v>1215</v>
      </c>
      <c r="H45" s="18"/>
      <c r="I45" s="18"/>
      <c r="L45" s="4">
        <v>3</v>
      </c>
      <c r="M45" s="60"/>
      <c r="N45" s="4"/>
      <c r="O45" s="61">
        <f t="shared" si="6"/>
        <v>0</v>
      </c>
      <c r="P45" s="60">
        <f t="shared" si="4"/>
        <v>3</v>
      </c>
      <c r="R45" s="61">
        <v>5</v>
      </c>
      <c r="T45" s="4"/>
      <c r="U45" s="4"/>
      <c r="V45" s="61">
        <f t="shared" si="5"/>
        <v>0</v>
      </c>
      <c r="W45" s="4"/>
      <c r="Y45" s="15">
        <v>2</v>
      </c>
      <c r="Z45" s="61" t="s">
        <v>236</v>
      </c>
      <c r="AA45" s="60" t="str" cm="1">
        <f t="array" ref="AA45">IF(OR(Y45=0,Y45=""),"",IF(VLOOKUP(Z45,$AI$1:$AJ$58,2,FALSE)&gt;=Y45,INDEX(tblDisciplines[Name],MATCH(1,(tblDisciplines[Discipline]=Z45)*(tblDisciplines[Rank]=Y45),0)),""))</f>
        <v/>
      </c>
      <c r="AC45" s="60" t="str">
        <v>Dread Presence</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Nightmare ● | Dread Presence</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  •  Pool: -  •  Instant  •  Scene</v>
      </c>
      <c r="AF45" s="20" t="str">
        <f>IF(AC45="","",IFERROR(VLOOKUP(AC45,tblDisciplines[],12,FALSE),VLOOKUP(AC45,tblPacts[],5,FALSE)))</f>
        <v>Conjure brief illusions. Improve Intimidation. Prevent foes spending Willpower.</v>
      </c>
      <c r="AI45" s="15" t="s">
        <v>46</v>
      </c>
      <c r="AJ45" s="61">
        <f t="shared" si="1"/>
        <v>0</v>
      </c>
      <c r="AK45" s="61">
        <f>IF(AJ45=0,IF(COUNTIF($E$42:$E$49,AI45)&gt;0,-3,-1),AJ45)</f>
        <v>-1</v>
      </c>
    </row>
    <row r="46" spans="1:37">
      <c r="A46" s="1" t="s">
        <v>45</v>
      </c>
      <c r="B46" t="str">
        <f>REPT("●",IFERROR(INDEX($P$42:$P$69,MATCH(tblCharDataMammon[[#This Row],[Field]],$E$42:$E$69,0)),0))&amp;REPT("○",IFERROR(INDEX($V$42:$V$69,MATCH(tblCharDataMammon[[#This Row],[Field]],$E$42:$E$69,0)),0))&amp;IF(IFERROR(INDEX($W$42:$W$69,MATCH(tblCharDataMammon[[#This Row],[Field]],$E$42:$E$69,0)),0)=1,"†","")</f>
        <v/>
      </c>
      <c r="D46" s="18"/>
      <c r="E46" s="15" t="s">
        <v>29</v>
      </c>
      <c r="F46" s="18"/>
      <c r="G46" s="3"/>
      <c r="H46" s="18"/>
      <c r="I46" s="18"/>
      <c r="L46" s="4"/>
      <c r="M46" s="60"/>
      <c r="N46" s="4"/>
      <c r="O46" s="61">
        <f t="shared" si="6"/>
        <v>0</v>
      </c>
      <c r="P46" s="60">
        <f t="shared" si="4"/>
        <v>0</v>
      </c>
      <c r="R46" s="61">
        <v>5</v>
      </c>
      <c r="T46" s="4"/>
      <c r="U46" s="4"/>
      <c r="V46" s="61">
        <f t="shared" si="5"/>
        <v>0</v>
      </c>
      <c r="W46" s="4"/>
      <c r="Y46" s="15">
        <v>3</v>
      </c>
      <c r="Z46" s="61" t="s">
        <v>236</v>
      </c>
      <c r="AA46" s="60" t="str" cm="1">
        <f t="array" ref="AA46">IF(OR(Y46=0,Y46=""),"",IF(VLOOKUP(Z46,$AI$1:$AJ$58,2,FALSE)&gt;=Y46,INDEX(tblDisciplines[Name],MATCH(1,(tblDisciplines[Discipline]=Z46)*(tblDisciplines[Rank]=Y46),0)),""))</f>
        <v/>
      </c>
      <c r="AC46" s="60" t="str">
        <v>Face of the Beast</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Nightmare ●● | Face of the Beast</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1 V  •  Pool: 12  v Composure + BP  •  Contested  •  Instant</v>
      </c>
      <c r="AF46" s="20" t="str">
        <f>IF(AC46="","",IFERROR(VLOOKUP(AC46,tblDisciplines[],12,FALSE),VLOOKUP(AC46,tblPacts[],5,FALSE)))</f>
        <v>Impose Frightened Condition. Cause fleeing.</v>
      </c>
      <c r="AI46" s="15" t="s">
        <v>354</v>
      </c>
      <c r="AJ46" s="61">
        <f t="shared" ca="1" si="1"/>
        <v>9</v>
      </c>
      <c r="AK46" s="61">
        <f ca="1">AJ46</f>
        <v>9</v>
      </c>
    </row>
    <row r="47" spans="1:37">
      <c r="A47" s="1" t="s">
        <v>46</v>
      </c>
      <c r="B47" t="str">
        <f>REPT("●",IFERROR(INDEX($P$42:$P$69,MATCH(tblCharDataMammon[[#This Row],[Field]],$E$42:$E$69,0)),0))&amp;REPT("○",IFERROR(INDEX($V$42:$V$69,MATCH(tblCharDataMammon[[#This Row],[Field]],$E$42:$E$69,0)),0))&amp;IF(IFERROR(INDEX($W$42:$W$69,MATCH(tblCharDataMammon[[#This Row],[Field]],$E$42:$E$69,0)),0)=1,"†","")</f>
        <v/>
      </c>
      <c r="D47" s="18"/>
      <c r="E47" s="15" t="s">
        <v>30</v>
      </c>
      <c r="F47" s="18"/>
      <c r="G47" s="3"/>
      <c r="H47" s="18"/>
      <c r="I47" s="18"/>
      <c r="L47" s="4">
        <v>2</v>
      </c>
      <c r="M47" s="60"/>
      <c r="N47" s="4"/>
      <c r="O47" s="61">
        <f t="shared" si="6"/>
        <v>0</v>
      </c>
      <c r="P47" s="60">
        <f t="shared" si="4"/>
        <v>2</v>
      </c>
      <c r="R47" s="61">
        <v>5</v>
      </c>
      <c r="T47" s="4"/>
      <c r="U47" s="4"/>
      <c r="V47" s="61">
        <f t="shared" si="5"/>
        <v>0</v>
      </c>
      <c r="W47" s="4"/>
      <c r="Y47" s="15">
        <v>4</v>
      </c>
      <c r="Z47" s="61" t="s">
        <v>236</v>
      </c>
      <c r="AA47" s="60" t="str" cm="1">
        <f t="array" ref="AA47">IF(OR(Y47=0,Y47=""),"",IF(VLOOKUP(Z47,$AI$1:$AJ$58,2,FALSE)&gt;=Y47,INDEX(tblDisciplines[Name],MATCH(1,(tblDisciplines[Discipline]=Z47)*(tblDisciplines[Rank]=Y47),0)),""))</f>
        <v/>
      </c>
      <c r="AC47" s="60" t="str">
        <v>Grand Delusion</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Nightmare ●●● | Grand Delusion</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Cost: 2 V  •  Pool: 11  v Composure + BP  •  Contested  •  1 night</v>
      </c>
      <c r="AF47" s="20" t="str">
        <f>IF(AC47="","",IFERROR(VLOOKUP(AC47,tblDisciplines[],12,FALSE),VLOOKUP(AC47,tblPacts[],5,FALSE)))</f>
        <v>Impose Delusional Condition.</v>
      </c>
      <c r="AI47" s="15" t="s">
        <v>21</v>
      </c>
      <c r="AJ47" s="61">
        <f t="shared" si="1"/>
        <v>2</v>
      </c>
      <c r="AK47" s="61">
        <f>AJ47+IFERROR(INDEX($V$26:$V$38,MATCH(AI47,$E$26:$E$38,0)),0)</f>
        <v>2</v>
      </c>
    </row>
    <row r="48" spans="1:37">
      <c r="A48" s="1" t="s">
        <v>47</v>
      </c>
      <c r="B48" t="str">
        <f>REPT("●",IFERROR(INDEX($P$42:$P$69,MATCH(tblCharDataMammon[[#This Row],[Field]],$E$42:$E$69,0)),0))&amp;REPT("○",IFERROR(INDEX($V$42:$V$69,MATCH(tblCharDataMammon[[#This Row],[Field]],$E$42:$E$69,0)),0))&amp;IF(IFERROR(INDEX($W$42:$W$69,MATCH(tblCharDataMammon[[#This Row],[Field]],$E$42:$E$69,0)),0)=1,"†","")</f>
        <v/>
      </c>
      <c r="D48" s="18"/>
      <c r="E48" s="15" t="s">
        <v>31</v>
      </c>
      <c r="F48" s="18"/>
      <c r="G48" s="3"/>
      <c r="H48" s="18"/>
      <c r="I48" s="18"/>
      <c r="L48" s="4">
        <v>2</v>
      </c>
      <c r="M48" s="60"/>
      <c r="N48" s="4"/>
      <c r="O48" s="61">
        <f t="shared" si="6"/>
        <v>0</v>
      </c>
      <c r="P48" s="60">
        <f t="shared" si="4"/>
        <v>2</v>
      </c>
      <c r="R48" s="61">
        <v>5</v>
      </c>
      <c r="T48" s="4"/>
      <c r="U48" s="4"/>
      <c r="V48" s="61">
        <f t="shared" si="5"/>
        <v>0</v>
      </c>
      <c r="W48" s="4"/>
      <c r="Y48" s="15">
        <v>5</v>
      </c>
      <c r="Z48" s="61" t="s">
        <v>236</v>
      </c>
      <c r="AA48" s="60" t="str" cm="1">
        <f t="array" ref="AA48">IF(OR(Y48=0,Y48=""),"",IF(VLOOKUP(Z48,$AI$1:$AJ$58,2,FALSE)&gt;=Y48,INDEX(tblDisciplines[Name],MATCH(1,(tblDisciplines[Discipline]=Z48)*(tblDisciplines[Rank]=Y48),0)),""))</f>
        <v/>
      </c>
      <c r="AC48" s="60" t="str">
        <v>Waking Nightmare</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Nightmare ●●●● | Waking Nightmare</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Cost: 1 V  •  Pool: 12  v highest Composure + BP  •  Contested  •  Scene</v>
      </c>
      <c r="AF48" s="20" t="str">
        <f>IF(AC48="","",IFERROR(VLOOKUP(AC48,tblDisciplines[],12,FALSE),VLOOKUP(AC48,tblPacts[],5,FALSE)))</f>
        <v>Create and control hallucinations.</v>
      </c>
      <c r="AI48" s="15" t="s">
        <v>38</v>
      </c>
      <c r="AJ48" s="61">
        <f t="shared" si="1"/>
        <v>2</v>
      </c>
      <c r="AK48" s="61">
        <f>IF(AJ48=0,IF(COUNTIF($E$42:$E$49,AI48)&gt;0,-3,-1),AJ48)</f>
        <v>2</v>
      </c>
    </row>
    <row r="49" spans="1:37">
      <c r="A49" s="1" t="s">
        <v>48</v>
      </c>
      <c r="B49" t="str">
        <f>REPT("●",IFERROR(INDEX($P$42:$P$69,MATCH(tblCharDataMammon[[#This Row],[Field]],$E$42:$E$69,0)),0))&amp;REPT("○",IFERROR(INDEX($V$42:$V$69,MATCH(tblCharDataMammon[[#This Row],[Field]],$E$42:$E$69,0)),0))&amp;IF(IFERROR(INDEX($W$42:$W$69,MATCH(tblCharDataMammon[[#This Row],[Field]],$E$42:$E$69,0)),0)=1,"†","")</f>
        <v>●●●</v>
      </c>
      <c r="D49" s="18"/>
      <c r="E49" s="15" t="s">
        <v>32</v>
      </c>
      <c r="F49" s="18"/>
      <c r="G49" s="3"/>
      <c r="H49" s="18"/>
      <c r="I49" s="18"/>
      <c r="L49" s="4"/>
      <c r="M49" s="60"/>
      <c r="N49" s="4"/>
      <c r="O49" s="61">
        <f t="shared" si="6"/>
        <v>0</v>
      </c>
      <c r="P49" s="60">
        <f t="shared" si="4"/>
        <v>0</v>
      </c>
      <c r="R49" s="61">
        <v>5</v>
      </c>
      <c r="T49" s="4"/>
      <c r="U49" s="4"/>
      <c r="V49" s="61">
        <f t="shared" si="5"/>
        <v>0</v>
      </c>
      <c r="W49" s="4"/>
      <c r="Y49" s="15">
        <v>1</v>
      </c>
      <c r="Z49" s="61" t="s">
        <v>237</v>
      </c>
      <c r="AA49" s="60" t="str" cm="1">
        <f t="array" ref="AA49">IF(OR(Y49=0,Y49=""),"",IF(VLOOKUP(Z49,$AI$1:$AJ$58,2,FALSE)&gt;=Y49,INDEX(tblDisciplines[Name],MATCH(1,(tblDisciplines[Discipline]=Z49)*(tblDisciplines[Rank]=Y49),0)),""))</f>
        <v>Beast's Hackles</v>
      </c>
      <c r="AC49" s="60" t="str">
        <v>Face in the Crowd</v>
      </c>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Obfuscate ● | Face in the Crowd</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Cost: -  •  Pool: -  •  Instant  •  Scene</v>
      </c>
      <c r="AF49" s="20" t="str">
        <f>IF(AC49="","",IFERROR(VLOOKUP(AC49,tblDisciplines[],12,FALSE),VLOOKUP(AC49,tblPacts[],5,FALSE)))</f>
        <v>Blend into surroundings, visible but unnoticeable. Predatory aura fully on or off. Leaving combat: Wits + Composure - Obfuscate to notice; auto Clash of Wills vs Auspex.</v>
      </c>
      <c r="AI49" s="15" t="s">
        <v>47</v>
      </c>
      <c r="AJ49" s="61">
        <f t="shared" si="1"/>
        <v>0</v>
      </c>
      <c r="AK49" s="61">
        <f>IF(AJ49=0,IF(COUNTIF($E$42:$E$49,AI49)&gt;0,-3,-1),AJ49)</f>
        <v>-1</v>
      </c>
    </row>
    <row r="50" spans="1:37">
      <c r="A50" s="1" t="s">
        <v>49</v>
      </c>
      <c r="B50" t="str">
        <f ca="1">REPT("●",VLOOKUP(tblCharDataMammon[[#This Row],[Field]],INDIRECT($AH$1),2,FALSE)) &amp; REPT("○",10-VLOOKUP(tblCharDataMammon[[#This Row],[Field]],INDIRECT($AH$1),2,FALSE)) &amp; REPT("○",10-VLOOKUP(tblCharDataMammon[[#This Row],[Field]],INDIRECT($AH$1),2,FALSE))</f>
        <v>●●○○○○○○○○○○○○○○○○</v>
      </c>
      <c r="Y50" s="15">
        <v>2</v>
      </c>
      <c r="Z50" s="61" t="s">
        <v>237</v>
      </c>
      <c r="AA50" s="60" t="str" cm="1">
        <f t="array" ref="AA50">IF(OR(Y50=0,Y50=""),"",IF(VLOOKUP(Z50,$AI$1:$AJ$58,2,FALSE)&gt;=Y50,INDEX(tblDisciplines[Name],MATCH(1,(tblDisciplines[Discipline]=Z50)*(tblDisciplines[Rank]=Y50),0)),""))</f>
        <v/>
      </c>
      <c r="AC50" s="60" t="str">
        <v>Touch of Shadow</v>
      </c>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Obfuscate ●● | Touch of Shadow</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Cost: 1 V  •  Pool: 5  •  Instant  •  Scene</v>
      </c>
      <c r="AF50" s="20" t="str">
        <f>IF(AC50="","",IFERROR(VLOOKUP(AC50,tblDisciplines[],12,FALSE),VLOOKUP(AC50,tblPacts[],5,FALSE)))</f>
        <v>Cast Face in the Crowd on object or person. Free and unlimited duration on carried/worn objects if not drawing attention.</v>
      </c>
      <c r="AI50" s="15" t="s">
        <v>19</v>
      </c>
      <c r="AJ50" s="61">
        <f t="shared" si="1"/>
        <v>1</v>
      </c>
      <c r="AK50" s="61">
        <f>AJ50+IFERROR(INDEX($V$26:$V$38,MATCH(AI50,$E$26:$E$38,0)),0)</f>
        <v>1</v>
      </c>
    </row>
    <row r="51" spans="1:37">
      <c r="A51" s="1" t="s">
        <v>50</v>
      </c>
      <c r="B51">
        <f>P72</f>
        <v>2</v>
      </c>
      <c r="D51" s="16" t="s">
        <v>1453</v>
      </c>
      <c r="E51" s="17"/>
      <c r="F51" s="17"/>
      <c r="G51" s="17" t="s">
        <v>1467</v>
      </c>
      <c r="H51" s="16" t="s">
        <v>1446</v>
      </c>
      <c r="I51" s="3" t="s">
        <v>1566</v>
      </c>
      <c r="L51" s="60">
        <f>IF(I51="",0,VLOOKUP(I51,tblPriority[#Data],3,FALSE))-SUM(L52:L59)</f>
        <v>0</v>
      </c>
      <c r="Y51" s="15">
        <v>3</v>
      </c>
      <c r="Z51" s="61" t="s">
        <v>237</v>
      </c>
      <c r="AA51" s="60" t="str" cm="1">
        <f t="array" ref="AA51">IF(OR(Y51=0,Y51=""),"",IF(VLOOKUP(Z51,$AI$1:$AJ$58,2,FALSE)&gt;=Y51,INDEX(tblDisciplines[Name],MATCH(1,(tblDisciplines[Discipline]=Z51)*(tblDisciplines[Rank]=Y51),0)),""))</f>
        <v/>
      </c>
      <c r="AC51" s="60" t="str">
        <v>Cloak of Night</v>
      </c>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Obfuscate ●●● | Cloak of Night</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Cost: 1 V  •  Pool: -  •  None</v>
      </c>
      <c r="AF51" s="20" t="str">
        <f>IF(AC51="","",IFERROR(VLOOKUP(AC51,tblDisciplines[],12,FALSE),VLOOKUP(AC51,tblPacts[],5,FALSE)))</f>
        <v>Become invisible. Leaving combat: auto Clash of Wills vs Auspex 2.</v>
      </c>
      <c r="AI51" s="15" t="s">
        <v>48</v>
      </c>
      <c r="AJ51" s="61">
        <f t="shared" si="1"/>
        <v>3</v>
      </c>
      <c r="AK51" s="61">
        <f>IF(AJ51=0,IF(COUNTIF($E$42:$E$49,AI51)&gt;0,-3,-1),AJ51)</f>
        <v>3</v>
      </c>
    </row>
    <row r="52" spans="1:37">
      <c r="A52" s="1" t="s">
        <v>51</v>
      </c>
      <c r="B52" t="str">
        <f>_xlfn.IFNA(VLOOKUP(P72,tblBloodPotency[#Data],5,FALSE),"")</f>
        <v>†</v>
      </c>
      <c r="D52" s="18"/>
      <c r="E52" s="15" t="s">
        <v>33</v>
      </c>
      <c r="F52" s="18"/>
      <c r="G52" s="3"/>
      <c r="H52" s="18"/>
      <c r="I52" s="18"/>
      <c r="L52" s="4">
        <v>2</v>
      </c>
      <c r="M52" s="60"/>
      <c r="N52" s="4"/>
      <c r="O52" s="61">
        <f>ROUNDDOWN(N52/2,0)</f>
        <v>0</v>
      </c>
      <c r="P52" s="60">
        <f t="shared" ref="P52:P59" si="7">MIN(SUM(L52,M52,O52),R52)</f>
        <v>2</v>
      </c>
      <c r="R52" s="61">
        <v>5</v>
      </c>
      <c r="T52" s="4"/>
      <c r="U52" s="4"/>
      <c r="V52" s="61">
        <f t="shared" ref="V52:V59" si="8">U52</f>
        <v>0</v>
      </c>
      <c r="W52" s="4"/>
      <c r="Y52" s="15">
        <v>4</v>
      </c>
      <c r="Z52" s="61" t="s">
        <v>237</v>
      </c>
      <c r="AA52" s="60" t="str" cm="1">
        <f t="array" ref="AA52">IF(OR(Y52=0,Y52=""),"",IF(VLOOKUP(Z52,$AI$1:$AJ$58,2,FALSE)&gt;=Y52,INDEX(tblDisciplines[Name],MATCH(1,(tblDisciplines[Discipline]=Z52)*(tblDisciplines[Rank]=Y52),0)),""))</f>
        <v/>
      </c>
      <c r="AC52" s="60" t="str">
        <v>The Familiar Stranger</v>
      </c>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Obfuscate ●●●● | The Familiar Stranger</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Cost: 2 V  •  Pool: -  •  None</v>
      </c>
      <c r="AF52" s="20" t="str">
        <f>IF(AC52="","",IFERROR(VLOOKUP(AC52,tblDisciplines[],12,FALSE),VLOOKUP(AC52,tblPacts[],5,FALSE)))</f>
        <v>Disguise self or other as a desired person. Free unlimited duration to reskin carried/worn objects, but no equipment bonus without Vitae.</v>
      </c>
      <c r="AI52" s="15" t="s">
        <v>39</v>
      </c>
      <c r="AJ52" s="61">
        <f t="shared" si="1"/>
        <v>0</v>
      </c>
      <c r="AK52" s="61">
        <f>IF(AJ52=0,IF(COUNTIF($E$42:$E$49,AI52)&gt;0,-3,-1),AJ52)</f>
        <v>-1</v>
      </c>
    </row>
    <row r="53" spans="1:37">
      <c r="A53" s="1" t="s">
        <v>52</v>
      </c>
      <c r="B53" t="str">
        <f ca="1">REPT("□",P221) &amp; REPT("■",15-P221)</f>
        <v>□□□□□□□■■■■■■■■</v>
      </c>
      <c r="D53" s="18"/>
      <c r="E53" s="15" t="s">
        <v>34</v>
      </c>
      <c r="F53" s="18"/>
      <c r="G53" s="3"/>
      <c r="H53" s="18"/>
      <c r="I53" s="18"/>
      <c r="L53" s="4"/>
      <c r="M53" s="60"/>
      <c r="N53" s="4"/>
      <c r="O53" s="61">
        <f t="shared" ref="O53:O59" si="9">ROUNDDOWN(N53/2,0)</f>
        <v>0</v>
      </c>
      <c r="P53" s="60">
        <f t="shared" si="7"/>
        <v>0</v>
      </c>
      <c r="R53" s="61">
        <v>5</v>
      </c>
      <c r="T53" s="4"/>
      <c r="U53" s="4"/>
      <c r="V53" s="61">
        <f t="shared" si="8"/>
        <v>0</v>
      </c>
      <c r="W53" s="4"/>
      <c r="Y53" s="15">
        <v>5</v>
      </c>
      <c r="Z53" s="61" t="s">
        <v>237</v>
      </c>
      <c r="AA53" s="60" t="str" cm="1">
        <f t="array" ref="AA53">IF(OR(Y53=0,Y53=""),"",IF(VLOOKUP(Z53,$AI$1:$AJ$58,2,FALSE)&gt;=Y53,INDEX(tblDisciplines[Name],MATCH(1,(tblDisciplines[Discipline]=Z53)*(tblDisciplines[Rank]=Y53),0)),""))</f>
        <v/>
      </c>
      <c r="AC53" s="60" t="str">
        <v/>
      </c>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
      </c>
      <c r="AF53" s="20" t="str">
        <f>IF(AC53="","",IFERROR(VLOOKUP(AC53,tblDisciplines[],12,FALSE),VLOOKUP(AC53,tblPacts[],5,FALSE)))</f>
        <v/>
      </c>
      <c r="AI53" s="15" t="s">
        <v>247</v>
      </c>
      <c r="AJ53" s="61">
        <f t="shared" si="1"/>
        <v>0</v>
      </c>
      <c r="AK53" s="61">
        <f>AJ53</f>
        <v>0</v>
      </c>
    </row>
    <row r="54" spans="1:37">
      <c r="A54" s="1" t="s">
        <v>53</v>
      </c>
      <c r="B54" t="str">
        <f>_xlfn.CONCAT(P74-L224," / ",P74)</f>
        <v>5 / 5</v>
      </c>
      <c r="D54" s="18"/>
      <c r="E54" s="15" t="s">
        <v>35</v>
      </c>
      <c r="F54" s="18"/>
      <c r="G54" s="3"/>
      <c r="H54" s="18"/>
      <c r="I54" s="18"/>
      <c r="L54" s="4"/>
      <c r="M54" s="60"/>
      <c r="N54" s="4"/>
      <c r="O54" s="61">
        <f t="shared" si="9"/>
        <v>0</v>
      </c>
      <c r="P54" s="60">
        <f t="shared" si="7"/>
        <v>0</v>
      </c>
      <c r="R54" s="61">
        <v>5</v>
      </c>
      <c r="T54" s="4"/>
      <c r="U54" s="4"/>
      <c r="V54" s="61">
        <f t="shared" si="8"/>
        <v>0</v>
      </c>
      <c r="W54" s="4"/>
      <c r="Y54" s="15">
        <f>P167</f>
        <v>0</v>
      </c>
      <c r="Z54" s="61" t="s">
        <v>238</v>
      </c>
      <c r="AA54" s="60" t="str" cm="1">
        <f t="array" ref="AA54">IF(OR(Y54=0,Y54=""),"",IF(VLOOKUP(Z54,$AI$1:$AJ$58,2,FALSE)&gt;=Y54,INDEX(tblDisciplines[Name],MATCH(1,(tblDisciplines[Discipline]=Z54)*(tblDisciplines[Rank]=Y54),0)),""))</f>
        <v/>
      </c>
      <c r="AC54" s="60"/>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
      </c>
      <c r="AF54" s="20" t="str">
        <f>IF(AC54="","",IFERROR(VLOOKUP(AC54,tblDisciplines[],12,FALSE),VLOOKUP(AC54,tblPacts[],5,FALSE)))</f>
        <v/>
      </c>
      <c r="AI54" s="15" t="s">
        <v>252</v>
      </c>
      <c r="AJ54" s="61">
        <f t="shared" si="1"/>
        <v>0</v>
      </c>
      <c r="AK54" s="61">
        <f>AJ54</f>
        <v>0</v>
      </c>
    </row>
    <row r="55" spans="1:37">
      <c r="A55" s="1" t="s">
        <v>54</v>
      </c>
      <c r="B55" t="str">
        <f>REPT("□",P74) &amp; REPT("■",10-P74)</f>
        <v>□□□□□■■■■■</v>
      </c>
      <c r="D55" s="18"/>
      <c r="E55" s="15" t="s">
        <v>36</v>
      </c>
      <c r="F55" s="18"/>
      <c r="G55" s="3"/>
      <c r="H55" s="18"/>
      <c r="I55" s="18"/>
      <c r="L55" s="4"/>
      <c r="M55" s="60"/>
      <c r="N55" s="4"/>
      <c r="O55" s="61">
        <f t="shared" si="9"/>
        <v>0</v>
      </c>
      <c r="P55" s="60">
        <f t="shared" si="7"/>
        <v>0</v>
      </c>
      <c r="R55" s="61">
        <v>5</v>
      </c>
      <c r="T55" s="4"/>
      <c r="U55" s="4"/>
      <c r="V55" s="61">
        <f t="shared" si="8"/>
        <v>0</v>
      </c>
      <c r="W55" s="4"/>
      <c r="Y55" s="15">
        <v>1</v>
      </c>
      <c r="Z55" s="61" t="s">
        <v>239</v>
      </c>
      <c r="AA55" s="60" t="str" cm="1">
        <f t="array" ref="AA55">IF(OR(Y55=0,Y55=""),"",IF(VLOOKUP(Z55,$AI$1:$AJ$58,2,FALSE)&gt;=Y55,INDEX(tblDisciplines[Name],MATCH(1,(tblDisciplines[Discipline]=Z55)*(tblDisciplines[Rank]=Y55),0)),""))</f>
        <v/>
      </c>
      <c r="AC55" s="60"/>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
      </c>
      <c r="AF55" s="20" t="str">
        <f>IF(AC55="","",IFERROR(VLOOKUP(AC55,tblDisciplines[],12,FALSE),VLOOKUP(AC55,tblPacts[],5,FALSE)))</f>
        <v/>
      </c>
      <c r="AI55" s="15" t="s">
        <v>245</v>
      </c>
      <c r="AJ55" s="61">
        <f t="shared" si="1"/>
        <v>0</v>
      </c>
      <c r="AK55" s="61">
        <f>AJ55+IFERROR(INDEX($V$26:$V$38,MATCH(AI55,$E$26:$E$38,0)),0)</f>
        <v>0</v>
      </c>
    </row>
    <row r="56" spans="1:37">
      <c r="A56" s="1" t="s">
        <v>55</v>
      </c>
      <c r="B56" t="str">
        <f ca="1">_xlfn.CONCAT(P75-L223," / ",P75)</f>
        <v>11 / 11</v>
      </c>
      <c r="D56" s="19"/>
      <c r="E56" s="15" t="s">
        <v>37</v>
      </c>
      <c r="F56" s="18"/>
      <c r="G56" s="3"/>
      <c r="H56" s="18"/>
      <c r="I56" s="18"/>
      <c r="L56" s="4"/>
      <c r="M56" s="60"/>
      <c r="N56" s="4"/>
      <c r="O56" s="61">
        <f t="shared" si="9"/>
        <v>0</v>
      </c>
      <c r="P56" s="60">
        <f t="shared" si="7"/>
        <v>0</v>
      </c>
      <c r="R56" s="61">
        <v>5</v>
      </c>
      <c r="T56" s="4"/>
      <c r="U56" s="4"/>
      <c r="V56" s="61">
        <f t="shared" si="8"/>
        <v>0</v>
      </c>
      <c r="W56" s="4"/>
      <c r="Y56" s="15">
        <v>2</v>
      </c>
      <c r="Z56" s="61" t="s">
        <v>239</v>
      </c>
      <c r="AA56" s="60" t="str" cm="1">
        <f t="array" ref="AA56">IF(OR(Y56=0,Y56=""),"",IF(VLOOKUP(Z56,$AI$1:$AJ$58,2,FALSE)&gt;=Y56,INDEX(tblDisciplines[Name],MATCH(1,(tblDisciplines[Discipline]=Z56)*(tblDisciplines[Rank]=Y56),0)),""))</f>
        <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1"/>
        <v>0</v>
      </c>
      <c r="AK56" s="61">
        <f>IF(AJ56=0,IF(COUNTIF($E$42:$E$49,AI56)&gt;0,-3,-1),AJ56)</f>
        <v>-1</v>
      </c>
    </row>
    <row r="57" spans="1:37">
      <c r="A57" s="1" t="s">
        <v>56</v>
      </c>
      <c r="B57" t="str">
        <f ca="1">REPT("□",P75-L223) &amp; REPT("■",20-P75+L223)</f>
        <v>□□□□□□□□□□□■■■■■■■■■</v>
      </c>
      <c r="D57" s="19"/>
      <c r="E57" s="15" t="s">
        <v>38</v>
      </c>
      <c r="F57" s="18"/>
      <c r="G57" s="3"/>
      <c r="H57" s="18"/>
      <c r="I57" s="18"/>
      <c r="L57" s="4">
        <v>2</v>
      </c>
      <c r="M57" s="60"/>
      <c r="N57" s="4"/>
      <c r="O57" s="61">
        <f t="shared" si="9"/>
        <v>0</v>
      </c>
      <c r="P57" s="60">
        <f t="shared" si="7"/>
        <v>2</v>
      </c>
      <c r="R57" s="61">
        <v>5</v>
      </c>
      <c r="T57" s="4"/>
      <c r="U57" s="4"/>
      <c r="V57" s="61">
        <f t="shared" si="8"/>
        <v>0</v>
      </c>
      <c r="W57" s="4"/>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1"/>
        <v>5</v>
      </c>
      <c r="AK57" s="61">
        <f>AJ57</f>
        <v>5</v>
      </c>
    </row>
    <row r="58" spans="1:37">
      <c r="A58" s="1" t="s">
        <v>57</v>
      </c>
      <c r="B58">
        <f ca="1">VLOOKUP(VLOOKUP("Blood Potency", INDIRECT($AH$1),2,FALSE),tblBloodPotency[#Data],3,FALSE)</f>
        <v>2</v>
      </c>
      <c r="D58" s="19"/>
      <c r="E58" s="15" t="s">
        <v>39</v>
      </c>
      <c r="F58" s="18"/>
      <c r="G58" s="3"/>
      <c r="H58" s="18"/>
      <c r="I58" s="18"/>
      <c r="L58" s="4"/>
      <c r="M58" s="60"/>
      <c r="N58" s="4"/>
      <c r="O58" s="61">
        <f t="shared" si="9"/>
        <v>0</v>
      </c>
      <c r="P58" s="60">
        <f t="shared" si="7"/>
        <v>0</v>
      </c>
      <c r="R58" s="61">
        <v>5</v>
      </c>
      <c r="T58" s="4"/>
      <c r="U58" s="4"/>
      <c r="V58" s="61">
        <f t="shared" si="8"/>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1"/>
        <v>2</v>
      </c>
      <c r="AK58" s="61">
        <f>AJ58+IFERROR(INDEX($V$26:$V$38,MATCH(AI58,$E$26:$E$38,0)),0)</f>
        <v>2</v>
      </c>
    </row>
    <row r="59" spans="1:37">
      <c r="A59" s="1" t="s">
        <v>58</v>
      </c>
      <c r="B59" t="str">
        <f ca="1">VLOOKUP(VLOOKUP("Blood Potency", INDIRECT($AH$1),2,FALSE),tblBloodPotency[#Data],4,FALSE)</f>
        <v>Animals</v>
      </c>
      <c r="D59" s="19"/>
      <c r="E59" s="15" t="s">
        <v>40</v>
      </c>
      <c r="F59" s="18"/>
      <c r="G59" s="3"/>
      <c r="H59" s="18"/>
      <c r="I59" s="18"/>
      <c r="L59" s="4"/>
      <c r="M59" s="60"/>
      <c r="N59" s="4"/>
      <c r="O59" s="61">
        <f t="shared" si="9"/>
        <v>0</v>
      </c>
      <c r="P59" s="60">
        <f t="shared" si="7"/>
        <v>0</v>
      </c>
      <c r="R59" s="61">
        <v>5</v>
      </c>
      <c r="T59" s="4"/>
      <c r="U59" s="4"/>
      <c r="V59" s="61">
        <f t="shared" si="8"/>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0">IFERROR(IF(VLOOKUP(SUBSTITUTE(A60," Spec",""),$E$42:$G$69,3,FALSE)=0,"",VLOOKUP(SUBSTITUTE(A60," Spec",""),$E$42:$G$69,3,FALSE)),"")</f>
        <v/>
      </c>
      <c r="Y60" s="15">
        <v>1</v>
      </c>
      <c r="Z60" s="61" t="s">
        <v>240</v>
      </c>
      <c r="AA60" s="60" t="str" cm="1">
        <f t="array" ref="AA60">IF(OR(Y60=0,Y60=""),"",IF(VLOOKUP(Z60,$AI$1:$AJ$58,2,FALSE)&gt;=Y60,INDEX(tblDisciplines[Name],MATCH(1,(tblDisciplines[Discipline]=Z60)*(tblDisciplines[Rank]=Y60),0)),""))</f>
        <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0"/>
        <v/>
      </c>
      <c r="D61" s="16" t="s">
        <v>1459</v>
      </c>
      <c r="E61" s="17"/>
      <c r="F61" s="17"/>
      <c r="G61" s="17" t="s">
        <v>1467</v>
      </c>
      <c r="H61" s="16" t="s">
        <v>1446</v>
      </c>
      <c r="I61" s="3" t="s">
        <v>1565</v>
      </c>
      <c r="L61" s="60">
        <f>IF(I61="",0,VLOOKUP(I61,tblPriority[#Data],3,FALSE))-SUM(L62:L69)</f>
        <v>0</v>
      </c>
      <c r="Y61" s="15">
        <v>2</v>
      </c>
      <c r="Z61" s="61" t="s">
        <v>240</v>
      </c>
      <c r="AA61" s="60" t="str" cm="1">
        <f t="array" ref="AA61">IF(OR(Y61=0,Y61=""),"",IF(VLOOKUP(Z61,$AI$1:$AJ$58,2,FALSE)&gt;=Y61,INDEX(tblDisciplines[Name],MATCH(1,(tblDisciplines[Discipline]=Z61)*(tblDisciplines[Rank]=Y61),0)),""))</f>
        <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0"/>
        <v/>
      </c>
      <c r="D62" s="18"/>
      <c r="E62" s="15" t="s">
        <v>41</v>
      </c>
      <c r="F62" s="18"/>
      <c r="G62" s="3"/>
      <c r="H62" s="18"/>
      <c r="I62" s="18"/>
      <c r="L62" s="4"/>
      <c r="M62" s="60"/>
      <c r="N62" s="4"/>
      <c r="O62" s="61">
        <f>ROUNDDOWN(N62/2,0)</f>
        <v>0</v>
      </c>
      <c r="P62" s="60">
        <f t="shared" ref="P62:P69" si="11">MIN(SUM(L62,M62,O62),R62)</f>
        <v>0</v>
      </c>
      <c r="R62" s="61">
        <v>5</v>
      </c>
      <c r="T62" s="4"/>
      <c r="U62" s="4"/>
      <c r="V62" s="61">
        <f t="shared" ref="V62:V69" si="12">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0"/>
        <v>Forensic Accounting</v>
      </c>
      <c r="D63" s="19"/>
      <c r="E63" s="15" t="s">
        <v>42</v>
      </c>
      <c r="F63" s="18"/>
      <c r="G63" s="3" t="s">
        <v>392</v>
      </c>
      <c r="H63" s="18"/>
      <c r="I63" s="18"/>
      <c r="L63" s="4">
        <v>4</v>
      </c>
      <c r="M63" s="60"/>
      <c r="N63" s="4"/>
      <c r="O63" s="61">
        <f t="shared" ref="O63:O69" si="13">ROUNDDOWN(N63/2,0)</f>
        <v>0</v>
      </c>
      <c r="P63" s="60">
        <f t="shared" si="11"/>
        <v>4</v>
      </c>
      <c r="R63" s="61">
        <v>5</v>
      </c>
      <c r="T63" s="4"/>
      <c r="U63" s="4"/>
      <c r="V63" s="61">
        <f t="shared" si="12"/>
        <v>0</v>
      </c>
      <c r="W63" s="4"/>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0"/>
        <v/>
      </c>
      <c r="D64" s="19"/>
      <c r="E64" s="15" t="s">
        <v>43</v>
      </c>
      <c r="F64" s="18"/>
      <c r="G64" s="3"/>
      <c r="H64" s="18"/>
      <c r="I64" s="18"/>
      <c r="L64" s="4"/>
      <c r="M64" s="60"/>
      <c r="N64" s="4"/>
      <c r="O64" s="61">
        <f t="shared" si="13"/>
        <v>0</v>
      </c>
      <c r="P64" s="60">
        <f t="shared" si="11"/>
        <v>0</v>
      </c>
      <c r="R64" s="61">
        <v>5</v>
      </c>
      <c r="T64" s="4"/>
      <c r="U64" s="4"/>
      <c r="V64" s="61">
        <f t="shared" si="12"/>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0"/>
        <v/>
      </c>
      <c r="D65" s="19"/>
      <c r="E65" s="15" t="s">
        <v>44</v>
      </c>
      <c r="F65" s="18"/>
      <c r="G65" s="3" t="s">
        <v>829</v>
      </c>
      <c r="H65" s="18"/>
      <c r="I65" s="18"/>
      <c r="L65" s="4">
        <v>4</v>
      </c>
      <c r="M65" s="60"/>
      <c r="N65" s="4"/>
      <c r="O65" s="61">
        <f t="shared" si="13"/>
        <v>0</v>
      </c>
      <c r="P65" s="60">
        <f t="shared" si="11"/>
        <v>4</v>
      </c>
      <c r="R65" s="61">
        <v>5</v>
      </c>
      <c r="T65" s="4"/>
      <c r="U65" s="4"/>
      <c r="V65" s="61">
        <f t="shared" si="12"/>
        <v>0</v>
      </c>
      <c r="W65" s="4"/>
      <c r="Y65" s="15">
        <v>1</v>
      </c>
      <c r="Z65" s="61" t="s">
        <v>241</v>
      </c>
      <c r="AA65" s="60" t="str" cm="1">
        <f t="array" ref="AA65">IF(OR(Y65=0,Y65=""),"",IF(VLOOKUP(Z65,$AI$1:$AJ$58,2,FALSE)&gt;=Y65,INDEX(tblDisciplines[Name],MATCH(1,(tblDisciplines[Discipline]=Z65)*(tblDisciplines[Rank]=Y65),0)),""))</f>
        <v>Dread Presence</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0"/>
        <v/>
      </c>
      <c r="D66" s="19"/>
      <c r="E66" s="15" t="s">
        <v>45</v>
      </c>
      <c r="F66" s="18"/>
      <c r="G66" s="3"/>
      <c r="H66" s="18"/>
      <c r="I66" s="18"/>
      <c r="L66" s="4"/>
      <c r="M66" s="60"/>
      <c r="N66" s="4"/>
      <c r="O66" s="61">
        <f t="shared" si="13"/>
        <v>0</v>
      </c>
      <c r="P66" s="60">
        <f t="shared" si="11"/>
        <v>0</v>
      </c>
      <c r="R66" s="61">
        <v>5</v>
      </c>
      <c r="T66" s="4"/>
      <c r="U66" s="4"/>
      <c r="V66" s="61">
        <f t="shared" si="12"/>
        <v>0</v>
      </c>
      <c r="W66" s="4"/>
      <c r="Y66" s="15">
        <v>2</v>
      </c>
      <c r="Z66" s="61" t="s">
        <v>241</v>
      </c>
      <c r="AA66" s="60" t="str" cm="1">
        <f t="array" ref="AA66">IF(OR(Y66=0,Y66=""),"",IF(VLOOKUP(Z66,$AI$1:$AJ$58,2,FALSE)&gt;=Y66,INDEX(tblDisciplines[Name],MATCH(1,(tblDisciplines[Discipline]=Z66)*(tblDisciplines[Rank]=Y66),0)),""))</f>
        <v>Face of the Beast</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0"/>
        <v/>
      </c>
      <c r="D67" s="19"/>
      <c r="E67" s="15" t="s">
        <v>46</v>
      </c>
      <c r="F67" s="18"/>
      <c r="G67" s="3"/>
      <c r="H67" s="18"/>
      <c r="I67" s="18"/>
      <c r="L67" s="4"/>
      <c r="M67" s="60"/>
      <c r="N67" s="4"/>
      <c r="O67" s="61">
        <f t="shared" si="13"/>
        <v>0</v>
      </c>
      <c r="P67" s="60">
        <f t="shared" si="11"/>
        <v>0</v>
      </c>
      <c r="R67" s="61">
        <v>5</v>
      </c>
      <c r="T67" s="4"/>
      <c r="U67" s="4"/>
      <c r="V67" s="61">
        <f t="shared" si="12"/>
        <v>0</v>
      </c>
      <c r="W67" s="4"/>
      <c r="Y67" s="15">
        <v>3</v>
      </c>
      <c r="Z67" s="61" t="s">
        <v>241</v>
      </c>
      <c r="AA67" s="60" t="str" cm="1">
        <f t="array" ref="AA67">IF(OR(Y67=0,Y67=""),"",IF(VLOOKUP(Z67,$AI$1:$AJ$58,2,FALSE)&gt;=Y67,INDEX(tblDisciplines[Name],MATCH(1,(tblDisciplines[Discipline]=Z67)*(tblDisciplines[Rank]=Y67),0)),""))</f>
        <v>Grand Delusion</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0"/>
        <v/>
      </c>
      <c r="D68" s="18"/>
      <c r="E68" s="15" t="s">
        <v>47</v>
      </c>
      <c r="F68" s="18"/>
      <c r="G68" s="3"/>
      <c r="H68" s="18"/>
      <c r="I68" s="18"/>
      <c r="L68" s="4"/>
      <c r="M68" s="60"/>
      <c r="N68" s="4"/>
      <c r="O68" s="61">
        <f t="shared" si="13"/>
        <v>0</v>
      </c>
      <c r="P68" s="60">
        <f t="shared" si="11"/>
        <v>0</v>
      </c>
      <c r="R68" s="61">
        <v>5</v>
      </c>
      <c r="T68" s="4"/>
      <c r="U68" s="4"/>
      <c r="V68" s="61">
        <f t="shared" si="12"/>
        <v>0</v>
      </c>
      <c r="W68" s="4"/>
      <c r="Y68" s="15">
        <v>4</v>
      </c>
      <c r="Z68" s="61" t="s">
        <v>241</v>
      </c>
      <c r="AA68" s="60" t="str" cm="1">
        <f t="array" ref="AA68">IF(OR(Y68=0,Y68=""),"",IF(VLOOKUP(Z68,$AI$1:$AJ$58,2,FALSE)&gt;=Y68,INDEX(tblDisciplines[Name],MATCH(1,(tblDisciplines[Discipline]=Z68)*(tblDisciplines[Rank]=Y68),0)),""))</f>
        <v>Waking Nightmare</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0"/>
        <v/>
      </c>
      <c r="D69" s="18"/>
      <c r="E69" s="15" t="s">
        <v>48</v>
      </c>
      <c r="F69" s="18"/>
      <c r="G69" s="3"/>
      <c r="H69" s="18"/>
      <c r="I69" s="18"/>
      <c r="L69" s="4">
        <v>3</v>
      </c>
      <c r="M69" s="60"/>
      <c r="N69" s="4"/>
      <c r="O69" s="61">
        <f t="shared" si="13"/>
        <v>0</v>
      </c>
      <c r="P69" s="60">
        <f t="shared" si="11"/>
        <v>3</v>
      </c>
      <c r="R69" s="61">
        <v>5</v>
      </c>
      <c r="T69" s="4"/>
      <c r="U69" s="4"/>
      <c r="V69" s="61">
        <f t="shared" si="12"/>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0"/>
        <v/>
      </c>
      <c r="Y70" s="15">
        <v>1</v>
      </c>
      <c r="Z70" s="61" t="s">
        <v>242</v>
      </c>
      <c r="AA70" s="60" t="str" cm="1">
        <f t="array" ref="AA70">IF(OR(Y70=0,Y70=""),"",IF(VLOOKUP(Z70,$AI$1:$AJ$58,2,FALSE)&gt;=Y70,INDEX(tblDisciplines[Name],MATCH(1,(tblDisciplines[Discipline]=Z70)*(tblDisciplines[Rank]=Y70),0)),""))</f>
        <v>Face in the Crowd</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0"/>
        <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Touch of Shadow</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0"/>
        <v/>
      </c>
      <c r="D72" s="19"/>
      <c r="E72" s="15" t="s">
        <v>49</v>
      </c>
      <c r="F72" s="19"/>
      <c r="G72" s="19"/>
      <c r="H72" s="19"/>
      <c r="I72" s="19"/>
      <c r="K72" s="4"/>
      <c r="L72" s="4">
        <v>5</v>
      </c>
      <c r="M72" s="60">
        <v>1</v>
      </c>
      <c r="N72" s="4"/>
      <c r="O72" s="61">
        <f>ROUNDDOWN(N72/5,0)</f>
        <v>0</v>
      </c>
      <c r="P72" s="60">
        <f>MIN(SUM(K72*-1,ROUNDDOWN(L72/5,0),M72,O72),R72)</f>
        <v>2</v>
      </c>
      <c r="R72" s="61">
        <v>2</v>
      </c>
      <c r="Y72" s="15">
        <v>3</v>
      </c>
      <c r="Z72" s="61" t="s">
        <v>242</v>
      </c>
      <c r="AA72" s="60" t="str" cm="1">
        <f t="array" ref="AA72">IF(OR(Y72=0,Y72=""),"",IF(VLOOKUP(Z72,$AI$1:$AJ$58,2,FALSE)&gt;=Y72,INDEX(tblDisciplines[Name],MATCH(1,(tblDisciplines[Discipline]=Z72)*(tblDisciplines[Rank]=Y72),0)),""))</f>
        <v>Cloak of Night</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0"/>
        <v/>
      </c>
      <c r="D73" s="19"/>
      <c r="E73" s="15" t="s">
        <v>1448</v>
      </c>
      <c r="F73" s="19"/>
      <c r="G73" s="19"/>
      <c r="H73" s="19"/>
      <c r="I73" s="19"/>
      <c r="K73" s="4">
        <v>3</v>
      </c>
      <c r="M73" s="60">
        <v>7</v>
      </c>
      <c r="N73" s="4"/>
      <c r="O73" s="61">
        <f>ROUNDDOWN(N73/2,0)</f>
        <v>0</v>
      </c>
      <c r="P73" s="60">
        <f>MIN(SUM(K73*-1,M73,O73),R73)</f>
        <v>4</v>
      </c>
      <c r="R73" s="61">
        <v>10</v>
      </c>
      <c r="Y73" s="15">
        <v>4</v>
      </c>
      <c r="Z73" s="61" t="s">
        <v>242</v>
      </c>
      <c r="AA73" s="60" t="str" cm="1">
        <f t="array" ref="AA73">IF(OR(Y73=0,Y73=""),"",IF(VLOOKUP(Z73,$AI$1:$AJ$58,2,FALSE)&gt;=Y73,INDEX(tblDisciplines[Name],MATCH(1,(tblDisciplines[Discipline]=Z73)*(tblDisciplines[Rank]=Y73),0)),""))</f>
        <v>The Familiar Stranger</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0"/>
        <v/>
      </c>
      <c r="D74" s="19"/>
      <c r="E74" s="15" t="s">
        <v>53</v>
      </c>
      <c r="F74" s="19"/>
      <c r="G74" s="19"/>
      <c r="H74" s="19"/>
      <c r="I74" s="19"/>
      <c r="K74" s="4"/>
      <c r="M74" s="60">
        <f>P28+P38</f>
        <v>5</v>
      </c>
      <c r="N74" s="4"/>
      <c r="O74" s="61">
        <f>N74</f>
        <v>0</v>
      </c>
      <c r="P74" s="60">
        <f>MIN(SUM(K74*-1,M74,O74),R74)</f>
        <v>5</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0"/>
        <v/>
      </c>
      <c r="D75" s="19"/>
      <c r="E75" s="15" t="s">
        <v>55</v>
      </c>
      <c r="F75" s="19"/>
      <c r="G75" s="19"/>
      <c r="H75" s="19"/>
      <c r="I75" s="19"/>
      <c r="P75" s="60">
        <f ca="1">VLOOKUP(VLOOKUP("Blood Potency",INDIRECT($AH$1),2,FALSE),tblBloodPotency[],2,FALSE)</f>
        <v>11</v>
      </c>
      <c r="Y75" s="15">
        <v>1</v>
      </c>
      <c r="Z75" s="61" t="s">
        <v>243</v>
      </c>
      <c r="AA75" s="60" t="str" cm="1">
        <f t="array" ref="AA75">IF(OR(Y75=0,Y75=""),"",IF(VLOOKUP(Z75,$AI$1:$AJ$58,2,FALSE)&gt;=Y75,INDEX(tblDisciplines[Name],MATCH(1,(tblDisciplines[Discipline]=Z75)*(tblDisciplines[Rank]=Y75),0)),""))</f>
        <v/>
      </c>
    </row>
    <row r="76" spans="1:32">
      <c r="A76" s="1" t="s">
        <v>75</v>
      </c>
      <c r="B76" t="str">
        <f t="shared" si="10"/>
        <v/>
      </c>
      <c r="Y76" s="15">
        <v>2</v>
      </c>
      <c r="Z76" s="61" t="s">
        <v>243</v>
      </c>
      <c r="AA76" s="60" t="str" cm="1">
        <f t="array" ref="AA76">IF(OR(Y76=0,Y76=""),"",IF(VLOOKUP(Z76,$AI$1:$AJ$58,2,FALSE)&gt;=Y76,INDEX(tblDisciplines[Name],MATCH(1,(tblDisciplines[Discipline]=Z76)*(tblDisciplines[Rank]=Y76),0)),""))</f>
        <v/>
      </c>
    </row>
    <row r="77" spans="1:32" ht="15.75" thickBot="1">
      <c r="A77" s="1" t="s">
        <v>76</v>
      </c>
      <c r="B77" t="str">
        <f t="shared" si="10"/>
        <v>Motives</v>
      </c>
      <c r="D77" s="14" t="s">
        <v>1470</v>
      </c>
      <c r="E77" s="14"/>
      <c r="F77" s="14"/>
      <c r="G77" s="14"/>
      <c r="H77" s="14"/>
      <c r="I77" s="14"/>
      <c r="N77" s="60">
        <f>SUM(N79:N98,N101:N120,N206:N215,N132:N135,N138:N157,N160:N161)</f>
        <v>13</v>
      </c>
      <c r="Y77" s="15">
        <v>3</v>
      </c>
      <c r="Z77" s="61" t="s">
        <v>243</v>
      </c>
      <c r="AA77" s="60" t="str" cm="1">
        <f t="array" ref="AA77">IF(OR(Y77=0,Y77=""),"",IF(VLOOKUP(Z77,$AI$1:$AJ$58,2,FALSE)&gt;=Y77,INDEX(tblDisciplines[Name],MATCH(1,(tblDisciplines[Discipline]=Z77)*(tblDisciplines[Rank]=Y77),0)),""))</f>
        <v/>
      </c>
    </row>
    <row r="78" spans="1:32">
      <c r="A78" s="1" t="s">
        <v>77</v>
      </c>
      <c r="B78" t="str">
        <f t="shared" si="10"/>
        <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0"/>
        <v>Veiled Threats</v>
      </c>
      <c r="D79" s="19"/>
      <c r="E79" s="15" t="s">
        <v>114</v>
      </c>
      <c r="F79" s="3" t="s">
        <v>1695</v>
      </c>
      <c r="G79" s="3"/>
      <c r="H79" s="67" t="str">
        <f>_xlfn.IFNA(IF(VLOOKUP(F79,tblMerits[],6,FALSE)=0,"None",VLOOKUP(F79,tblMerits[],6,FALSE)),"None")</f>
        <v>Carthian Status 1</v>
      </c>
      <c r="I79" s="67"/>
      <c r="L79" s="4"/>
      <c r="M79" s="4"/>
      <c r="N79" s="4">
        <v>1</v>
      </c>
      <c r="O79" s="61">
        <f>N79</f>
        <v>1</v>
      </c>
      <c r="P79" s="60">
        <f t="shared" ref="P79:P98" si="14">MIN(SUM(L79,M79,O79),R79)</f>
        <v>1</v>
      </c>
      <c r="Q79" s="61">
        <f>_xlfn.IFNA(VLOOKUP($F79,tblMerits[],3,FALSE),"")</f>
        <v>1</v>
      </c>
      <c r="R79" s="61">
        <f>_xlfn.IFNA(VLOOKUP($F79,tblMerits[],4,FALSE),"")</f>
        <v>1</v>
      </c>
      <c r="Y79" s="15">
        <v>5</v>
      </c>
      <c r="Z79" s="61" t="s">
        <v>243</v>
      </c>
      <c r="AA79" s="60" t="str" cm="1">
        <f t="array" ref="AA79">IF(OR(Y79=0,Y79=""),"",IF(VLOOKUP(Z79,$AI$1:$AJ$58,2,FALSE)&gt;=Y79,INDEX(tblDisciplines[Name],MATCH(1,(tblDisciplines[Discipline]=Z79)*(tblDisciplines[Rank]=Y79),0)),""))</f>
        <v/>
      </c>
    </row>
    <row r="80" spans="1:32">
      <c r="A80" s="1" t="s">
        <v>79</v>
      </c>
      <c r="B80" t="str">
        <f t="shared" si="10"/>
        <v/>
      </c>
      <c r="D80" s="19"/>
      <c r="E80" s="15" t="s">
        <v>115</v>
      </c>
      <c r="F80" s="3" t="s">
        <v>1590</v>
      </c>
      <c r="G80" s="3"/>
      <c r="H80" s="67" t="str">
        <f>_xlfn.IFNA(IF(VLOOKUP(F80,tblMerits[],6,FALSE)=0,"None",VLOOKUP(F80,tblMerits[],6,FALSE)),"None")</f>
        <v>Resolve 3</v>
      </c>
      <c r="I80" s="67"/>
      <c r="L80" s="4"/>
      <c r="M80" s="4"/>
      <c r="N80" s="4">
        <v>2</v>
      </c>
      <c r="O80" s="61">
        <f t="shared" ref="O80:O98" si="15">N80</f>
        <v>2</v>
      </c>
      <c r="P80" s="60">
        <f t="shared" si="14"/>
        <v>2</v>
      </c>
      <c r="Q80" s="61">
        <f>_xlfn.IFNA(VLOOKUP($F80,tblMerits[],3,FALSE),"")</f>
        <v>2</v>
      </c>
      <c r="R80" s="61">
        <f>_xlfn.IFNA(VLOOKUP($F80,tblMerits[],4,FALSE),"")</f>
        <v>2</v>
      </c>
      <c r="Y80" s="15">
        <f>P173</f>
        <v>0</v>
      </c>
      <c r="Z80" s="61" t="s">
        <v>244</v>
      </c>
      <c r="AA80" s="60" t="str" cm="1">
        <f t="array" ref="AA80">IF(OR(Y80=0,Y80=""),"",IF(VLOOKUP(Z80,$AI$1:$AJ$58,2,FALSE)&gt;=Y80,INDEX(tblDisciplines[Name],MATCH(1,(tblDisciplines[Discipline]=Z80)*(tblDisciplines[Rank]=Y80),0)),""))</f>
        <v/>
      </c>
    </row>
    <row r="81" spans="1:27">
      <c r="A81" s="1" t="s">
        <v>80</v>
      </c>
      <c r="B81" t="str">
        <f t="shared" si="10"/>
        <v/>
      </c>
      <c r="D81" s="19"/>
      <c r="E81" s="15" t="s">
        <v>116</v>
      </c>
      <c r="F81" s="3"/>
      <c r="G81" s="3"/>
      <c r="H81" s="67" t="str">
        <f>_xlfn.IFNA(IF(VLOOKUP(F81,tblMerits[],6,FALSE)=0,"None",VLOOKUP(F81,tblMerits[],6,FALSE)),"None")</f>
        <v>None</v>
      </c>
      <c r="I81" s="67"/>
      <c r="L81" s="4"/>
      <c r="M81" s="4"/>
      <c r="N81" s="4"/>
      <c r="O81" s="61">
        <f t="shared" si="15"/>
        <v>0</v>
      </c>
      <c r="P81" s="60">
        <f t="shared" si="14"/>
        <v>0</v>
      </c>
      <c r="Q81" s="61" t="str">
        <f>_xlfn.IFNA(VLOOKUP($F81,tblMerits[],3,FALSE),"")</f>
        <v/>
      </c>
      <c r="R81" s="61" t="str">
        <f>_xlfn.IFNA(VLOOKUP($F81,tblMerits[],4,FALSE),"")</f>
        <v/>
      </c>
      <c r="Y81" s="15">
        <f>P174</f>
        <v>0</v>
      </c>
      <c r="Z81" s="61" t="s">
        <v>245</v>
      </c>
      <c r="AA81" s="60" t="str" cm="1">
        <f t="array" ref="AA81">IF(OR(Y81=0,Y81=""),"",IF(VLOOKUP(Z81,$AI$1:$AJ$58,2,FALSE)&gt;=Y81,INDEX(tblDisciplines[Name],MATCH(1,(tblDisciplines[Discipline]=Z81)*(tblDisciplines[Rank]=Y81),0)),""))</f>
        <v/>
      </c>
    </row>
    <row r="82" spans="1:27">
      <c r="A82" s="1" t="s">
        <v>81</v>
      </c>
      <c r="B82" t="str">
        <f t="shared" si="10"/>
        <v/>
      </c>
      <c r="D82" s="61" t="s">
        <v>1578</v>
      </c>
      <c r="E82" s="15" t="s">
        <v>117</v>
      </c>
      <c r="F82" s="3" t="s">
        <v>1788</v>
      </c>
      <c r="G82" s="3"/>
      <c r="H82" s="67" t="str">
        <f>_xlfn.IFNA(IF(VLOOKUP(F82,tblMerits[],6,FALSE)=0,"None",VLOOKUP(F82,tblMerits[],6,FALSE)),"None")</f>
        <v>Intimidation 2</v>
      </c>
      <c r="I82" s="67"/>
      <c r="L82" s="4"/>
      <c r="M82" s="4">
        <v>2</v>
      </c>
      <c r="N82" s="4"/>
      <c r="O82" s="61">
        <f t="shared" si="15"/>
        <v>0</v>
      </c>
      <c r="P82" s="60">
        <f t="shared" si="14"/>
        <v>2</v>
      </c>
      <c r="Q82" s="61">
        <f>_xlfn.IFNA(VLOOKUP($F82,tblMerits[],3,FALSE),"")</f>
        <v>2</v>
      </c>
      <c r="R82" s="61">
        <f>_xlfn.IFNA(VLOOKUP($F82,tblMerits[],4,FALSE),"")</f>
        <v>2</v>
      </c>
      <c r="Y82" s="61" t="s">
        <v>1472</v>
      </c>
      <c r="Z82" s="19"/>
      <c r="AA82" s="60" t="str">
        <f>IF(P177="","",F177)</f>
        <v/>
      </c>
    </row>
    <row r="83" spans="1:27">
      <c r="A83" s="1" t="s">
        <v>82</v>
      </c>
      <c r="B83" t="str">
        <f t="shared" si="10"/>
        <v/>
      </c>
      <c r="D83" s="61"/>
      <c r="E83" s="15" t="s">
        <v>118</v>
      </c>
      <c r="F83" s="3" t="s">
        <v>1696</v>
      </c>
      <c r="G83" s="3"/>
      <c r="H83" s="67" t="str">
        <f>_xlfn.IFNA(IF(VLOOKUP(F83,tblMerits[],6,FALSE)=0,"None",VLOOKUP(F83,tblMerits[],6,FALSE)),"None")</f>
        <v>Subterfuge 3</v>
      </c>
      <c r="I83" s="67"/>
      <c r="L83" s="4"/>
      <c r="M83" s="4"/>
      <c r="N83" s="4">
        <v>1</v>
      </c>
      <c r="O83" s="61">
        <f t="shared" si="15"/>
        <v>1</v>
      </c>
      <c r="P83" s="60">
        <f t="shared" si="14"/>
        <v>1</v>
      </c>
      <c r="Q83" s="61">
        <f>_xlfn.IFNA(VLOOKUP($F83,tblMerits[],3,FALSE),"")</f>
        <v>1</v>
      </c>
      <c r="R83" s="61">
        <f>_xlfn.IFNA(VLOOKUP($F83,tblMerits[],4,FALSE),"")</f>
        <v>1</v>
      </c>
      <c r="Y83" s="61" t="s">
        <v>1472</v>
      </c>
      <c r="Z83" s="19"/>
      <c r="AA83" s="60" t="str">
        <f>IF(P178="","",F178)</f>
        <v/>
      </c>
    </row>
    <row r="84" spans="1:27">
      <c r="A84" s="1" t="s">
        <v>83</v>
      </c>
      <c r="B84">
        <f>P124</f>
        <v>2</v>
      </c>
      <c r="D84" s="61" t="s">
        <v>1696</v>
      </c>
      <c r="E84" s="15" t="s">
        <v>119</v>
      </c>
      <c r="F84" s="3" t="s">
        <v>1569</v>
      </c>
      <c r="G84" s="3"/>
      <c r="H84" s="67" t="str">
        <f>_xlfn.IFNA(IF(VLOOKUP(F84,tblMerits[],6,FALSE)=0,"None",VLOOKUP(F84,tblMerits[],6,FALSE)),"None")</f>
        <v>Crone Status 2 or Invictus Status 2</v>
      </c>
      <c r="I84" s="67"/>
      <c r="L84" s="4"/>
      <c r="M84" s="4"/>
      <c r="N84" s="4">
        <v>1</v>
      </c>
      <c r="O84" s="61">
        <f t="shared" si="15"/>
        <v>1</v>
      </c>
      <c r="P84" s="60">
        <f t="shared" si="14"/>
        <v>1</v>
      </c>
      <c r="Q84" s="61">
        <f>_xlfn.IFNA(VLOOKUP($F84,tblMerits[],3,FALSE),"")</f>
        <v>1</v>
      </c>
      <c r="R84" s="61">
        <f>_xlfn.IFNA(VLOOKUP($F84,tblMerits[],4,FALSE),"")</f>
        <v>1</v>
      </c>
      <c r="Y84" s="61" t="s">
        <v>1472</v>
      </c>
      <c r="Z84" s="19"/>
      <c r="AA84" s="60" t="str">
        <f>IF(P179="","",F179)</f>
        <v/>
      </c>
    </row>
    <row r="85" spans="1:27">
      <c r="A85" s="1" t="s">
        <v>84</v>
      </c>
      <c r="B85">
        <f>P125</f>
        <v>2</v>
      </c>
      <c r="D85" s="61"/>
      <c r="E85" s="15" t="s">
        <v>120</v>
      </c>
      <c r="F85" s="3"/>
      <c r="G85" s="3"/>
      <c r="H85" s="67" t="str">
        <f>_xlfn.IFNA(IF(VLOOKUP(F85,tblMerits[],6,FALSE)=0,"None",VLOOKUP(F85,tblMerits[],6,FALSE)),"None")</f>
        <v>None</v>
      </c>
      <c r="I85" s="67"/>
      <c r="L85" s="4"/>
      <c r="M85" s="4"/>
      <c r="N85" s="4"/>
      <c r="O85" s="61">
        <f t="shared" si="15"/>
        <v>0</v>
      </c>
      <c r="P85" s="60">
        <f t="shared" si="14"/>
        <v>0</v>
      </c>
      <c r="Q85" s="61" t="str">
        <f>_xlfn.IFNA(VLOOKUP($F85,tblMerits[],3,FALSE),"")</f>
        <v/>
      </c>
      <c r="R85" s="61" t="str">
        <f>_xlfn.IFNA(VLOOKUP($F85,tblMerits[],4,FALSE),"")</f>
        <v/>
      </c>
      <c r="Y85" s="61" t="s">
        <v>1472</v>
      </c>
      <c r="Z85" s="19"/>
      <c r="AA85" s="60" t="str">
        <f>IF(P180="","",F180)</f>
        <v/>
      </c>
    </row>
    <row r="86" spans="1:27">
      <c r="A86" s="1" t="s">
        <v>85</v>
      </c>
      <c r="B86">
        <f>P126</f>
        <v>1</v>
      </c>
      <c r="D86" s="19"/>
      <c r="E86" s="15" t="s">
        <v>121</v>
      </c>
      <c r="F86" s="3"/>
      <c r="G86" s="3"/>
      <c r="H86" s="67" t="str">
        <f>_xlfn.IFNA(IF(VLOOKUP(F86,tblMerits[],6,FALSE)=0,"None",VLOOKUP(F86,tblMerits[],6,FALSE)),"None")</f>
        <v>None</v>
      </c>
      <c r="I86" s="67"/>
      <c r="L86" s="4"/>
      <c r="M86" s="4"/>
      <c r="N86" s="4"/>
      <c r="O86" s="61">
        <f t="shared" si="15"/>
        <v>0</v>
      </c>
      <c r="P86" s="60">
        <f t="shared" si="14"/>
        <v>0</v>
      </c>
      <c r="Q86" s="61" t="str">
        <f>_xlfn.IFNA(VLOOKUP($F86,tblMerits[],3,FALSE),"")</f>
        <v/>
      </c>
      <c r="R86" s="61" t="str">
        <f>_xlfn.IFNA(VLOOKUP($F86,tblMerits[],4,FALSE),"")</f>
        <v/>
      </c>
      <c r="Y86" s="61" t="s">
        <v>1472</v>
      </c>
      <c r="Z86" s="19"/>
      <c r="AA86" s="60" t="str">
        <f>IF(P181="","",F181)</f>
        <v/>
      </c>
    </row>
    <row r="87" spans="1:27">
      <c r="A87" s="1" t="s">
        <v>86</v>
      </c>
      <c r="B87" t="str">
        <f>IF(F126="","¬",F126)</f>
        <v>Carthian</v>
      </c>
      <c r="D87" s="19"/>
      <c r="E87" s="15" t="s">
        <v>122</v>
      </c>
      <c r="F87" s="3"/>
      <c r="G87" s="3"/>
      <c r="H87" s="67" t="str">
        <f>_xlfn.IFNA(IF(VLOOKUP(F87,tblMerits[],6,FALSE)=0,"None",VLOOKUP(F87,tblMerits[],6,FALSE)),"None")</f>
        <v>None</v>
      </c>
      <c r="I87" s="67"/>
      <c r="L87" s="4"/>
      <c r="M87" s="4"/>
      <c r="N87" s="4"/>
      <c r="O87" s="61">
        <f t="shared" si="15"/>
        <v>0</v>
      </c>
      <c r="P87" s="60">
        <f t="shared" si="14"/>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
      </c>
    </row>
    <row r="88" spans="1:27">
      <c r="A88" s="1" t="s">
        <v>87</v>
      </c>
      <c r="B88" t="str">
        <f>REPT("●",P126)</f>
        <v>●</v>
      </c>
      <c r="D88" s="19"/>
      <c r="E88" s="15" t="s">
        <v>123</v>
      </c>
      <c r="F88" s="3"/>
      <c r="G88" s="3"/>
      <c r="H88" s="67" t="str">
        <f>_xlfn.IFNA(IF(VLOOKUP(F88,tblMerits[],6,FALSE)=0,"None",VLOOKUP(F88,tblMerits[],6,FALSE)),"None")</f>
        <v>None</v>
      </c>
      <c r="I88" s="67"/>
      <c r="L88" s="4"/>
      <c r="M88" s="4"/>
      <c r="N88" s="4"/>
      <c r="O88" s="61">
        <f t="shared" si="15"/>
        <v>0</v>
      </c>
      <c r="P88" s="60">
        <f t="shared" si="14"/>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Crone</v>
      </c>
      <c r="D89" s="19"/>
      <c r="E89" s="15" t="s">
        <v>124</v>
      </c>
      <c r="F89" s="3"/>
      <c r="G89" s="3"/>
      <c r="H89" s="67" t="str">
        <f>_xlfn.IFNA(IF(VLOOKUP(F89,tblMerits[],6,FALSE)=0,"None",VLOOKUP(F89,tblMerits[],6,FALSE)),"None")</f>
        <v>None</v>
      </c>
      <c r="I89" s="67"/>
      <c r="L89" s="4"/>
      <c r="M89" s="4"/>
      <c r="N89" s="4"/>
      <c r="O89" s="61">
        <f t="shared" si="15"/>
        <v>0</v>
      </c>
      <c r="P89" s="60">
        <f t="shared" si="14"/>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_xlfn.IFNA(IF(VLOOKUP(F90,tblMerits[],6,FALSE)=0,"None",VLOOKUP(F90,tblMerits[],6,FALSE)),"None")</f>
        <v>None</v>
      </c>
      <c r="I90" s="67"/>
      <c r="L90" s="4"/>
      <c r="M90" s="4"/>
      <c r="N90" s="4"/>
      <c r="O90" s="61">
        <f t="shared" si="15"/>
        <v>0</v>
      </c>
      <c r="P90" s="60">
        <f t="shared" si="14"/>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Invictus</v>
      </c>
      <c r="D91" s="19"/>
      <c r="E91" s="15" t="s">
        <v>126</v>
      </c>
      <c r="F91" s="3"/>
      <c r="G91" s="3"/>
      <c r="H91" s="67" t="str">
        <f>_xlfn.IFNA(IF(VLOOKUP(F91,tblMerits[],6,FALSE)=0,"None",VLOOKUP(F91,tblMerits[],6,FALSE)),"None")</f>
        <v>None</v>
      </c>
      <c r="I91" s="67"/>
      <c r="L91" s="4"/>
      <c r="M91" s="4"/>
      <c r="N91" s="4"/>
      <c r="O91" s="61">
        <f t="shared" si="15"/>
        <v>0</v>
      </c>
      <c r="P91" s="60">
        <f t="shared" si="14"/>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5"/>
        <v>0</v>
      </c>
      <c r="P92" s="60">
        <f t="shared" si="14"/>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Lance</v>
      </c>
      <c r="D93" s="19"/>
      <c r="E93" s="15" t="s">
        <v>128</v>
      </c>
      <c r="F93" s="3"/>
      <c r="G93" s="3"/>
      <c r="H93" s="67" t="str">
        <f>_xlfn.IFNA(IF(VLOOKUP(F93,tblMerits[],6,FALSE)=0,"None",VLOOKUP(F93,tblMerits[],6,FALSE)),"None")</f>
        <v>None</v>
      </c>
      <c r="I93" s="67"/>
      <c r="L93" s="4"/>
      <c r="M93" s="4"/>
      <c r="N93" s="4"/>
      <c r="O93" s="61">
        <f t="shared" si="15"/>
        <v>0</v>
      </c>
      <c r="P93" s="60">
        <f t="shared" si="14"/>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5"/>
        <v>0</v>
      </c>
      <c r="P94" s="60">
        <f t="shared" si="14"/>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5"/>
        <v>0</v>
      </c>
      <c r="P95" s="60">
        <f t="shared" si="14"/>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5"/>
        <v>0</v>
      </c>
      <c r="P96" s="60">
        <f t="shared" si="14"/>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5"/>
        <v>0</v>
      </c>
      <c r="P97" s="60">
        <f t="shared" si="14"/>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5"/>
        <v>0</v>
      </c>
      <c r="P98" s="60">
        <f t="shared" si="14"/>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NAME GOES HERE</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c r="G101" s="60" t="str">
        <f>IFERROR(VLOOKUP(F101,tblManoeuvre[],2,FALSE)&amp;" "&amp;VLOOKUP(F101,tblManoeuvre[],3,FALSE),"")</f>
        <v/>
      </c>
      <c r="H101" s="67" t="str">
        <f>IFERROR(IF(VLOOKUP(F101,tblManoeuvre[],8,FALSE)=0,"None",VLOOKUP(F101,tblManoeuvre[],8,FALSE)),"None")</f>
        <v>None</v>
      </c>
      <c r="I101" s="67"/>
      <c r="L101" s="4"/>
      <c r="M101" s="4"/>
      <c r="N101" s="4"/>
      <c r="O101" s="61">
        <f t="shared" ref="O101:O120" si="16">N101</f>
        <v>0</v>
      </c>
      <c r="P101" s="60">
        <f t="shared" ref="P101:P120" si="17">MIN(SUM(L101,M101,O101),R101)</f>
        <v>0</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
      </c>
      <c r="D102" s="19"/>
      <c r="E102" s="15" t="s">
        <v>1441</v>
      </c>
      <c r="F102" s="3"/>
      <c r="G102" s="60" t="str">
        <f>IFERROR(VLOOKUP(F102,tblManoeuvre[],2,FALSE)&amp;" "&amp;VLOOKUP(F102,tblManoeuvre[],3,FALSE),"")</f>
        <v/>
      </c>
      <c r="H102" s="67" t="str">
        <f>IFERROR(IF(VLOOKUP(F102,tblManoeuvre[],8,FALSE)=0,"None",VLOOKUP(F102,tblManoeuvre[],8,FALSE)),"None")</f>
        <v>None</v>
      </c>
      <c r="I102" s="67"/>
      <c r="L102" s="4"/>
      <c r="M102" s="4"/>
      <c r="N102" s="4"/>
      <c r="O102" s="61">
        <f t="shared" si="16"/>
        <v>0</v>
      </c>
      <c r="P102" s="60">
        <f t="shared" si="17"/>
        <v>0</v>
      </c>
      <c r="Q102" s="61">
        <v>1</v>
      </c>
      <c r="R102" s="61">
        <v>1</v>
      </c>
      <c r="Y102" s="15">
        <v>1</v>
      </c>
      <c r="Z102" s="61" t="s">
        <v>251</v>
      </c>
      <c r="AA102" s="60" t="str" cm="1">
        <f t="array" ref="AA102">IF(VLOOKUP(Z102,$AI$1:$AJ$58,2,FALSE)&gt;=Y102,INDEX(tblDisciplines[Name],MATCH(1,(tblDisciplines[Discipline]=Z102)*(tblDisciplines[Rank]=Y102),0)),"")</f>
        <v/>
      </c>
    </row>
    <row r="103" spans="1:27">
      <c r="A103" s="1" t="s">
        <v>102</v>
      </c>
      <c r="B103">
        <f>P73</f>
        <v>4</v>
      </c>
      <c r="D103" s="19"/>
      <c r="E103" s="15" t="s">
        <v>1443</v>
      </c>
      <c r="F103" s="3"/>
      <c r="G103" s="60" t="str">
        <f>IFERROR(VLOOKUP(F103,tblManoeuvre[],2,FALSE)&amp;" "&amp;VLOOKUP(F103,tblManoeuvre[],3,FALSE),"")</f>
        <v/>
      </c>
      <c r="H103" s="67" t="str">
        <f>IFERROR(IF(VLOOKUP(F103,tblManoeuvre[],8,FALSE)=0,"None",VLOOKUP(F103,tblManoeuvre[],8,FALSE)),"None")</f>
        <v>None</v>
      </c>
      <c r="I103" s="67"/>
      <c r="L103" s="4"/>
      <c r="M103" s="4"/>
      <c r="N103" s="4"/>
      <c r="O103" s="61">
        <f t="shared" si="16"/>
        <v>0</v>
      </c>
      <c r="P103" s="60">
        <f t="shared" si="17"/>
        <v>0</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c r="G104" s="60" t="str">
        <f>IFERROR(VLOOKUP(F104,tblManoeuvre[],2,FALSE)&amp;" "&amp;VLOOKUP(F104,tblManoeuvre[],3,FALSE),"")</f>
        <v/>
      </c>
      <c r="H104" s="67" t="str">
        <f>IFERROR(IF(VLOOKUP(F104,tblManoeuvre[],8,FALSE)=0,"None",VLOOKUP(F104,tblManoeuvre[],8,FALSE)),"None")</f>
        <v>None</v>
      </c>
      <c r="I104" s="67"/>
      <c r="L104" s="4"/>
      <c r="M104" s="4"/>
      <c r="N104" s="4"/>
      <c r="O104" s="61">
        <f t="shared" si="16"/>
        <v>0</v>
      </c>
      <c r="P104" s="60">
        <f t="shared" si="17"/>
        <v>0</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c r="G105" s="60" t="str">
        <f>IFERROR(VLOOKUP(F105,tblManoeuvre[],2,FALSE)&amp;" "&amp;VLOOKUP(F105,tblManoeuvre[],3,FALSE),"")</f>
        <v/>
      </c>
      <c r="H105" s="67" t="str">
        <f>IFERROR(IF(VLOOKUP(F105,tblManoeuvre[],8,FALSE)=0,"None",VLOOKUP(F105,tblManoeuvre[],8,FALSE)),"None")</f>
        <v>None</v>
      </c>
      <c r="I105" s="67"/>
      <c r="L105" s="4"/>
      <c r="M105" s="4"/>
      <c r="N105" s="4"/>
      <c r="O105" s="61">
        <f t="shared" si="16"/>
        <v>0</v>
      </c>
      <c r="P105" s="60">
        <f t="shared" si="17"/>
        <v>0</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IFERROR(VLOOKUP(F106,tblManoeuvre[],2,FALSE)&amp;" "&amp;VLOOKUP(F106,tblManoeuvre[],3,FALSE),"")</f>
        <v/>
      </c>
      <c r="H106" s="67" t="str">
        <f>IFERROR(IF(VLOOKUP(F106,tblManoeuvre[],8,FALSE)=0,"None",VLOOKUP(F106,tblManoeuvre[],8,FALSE)),"None")</f>
        <v>None</v>
      </c>
      <c r="I106" s="67"/>
      <c r="L106" s="4"/>
      <c r="M106" s="4"/>
      <c r="N106" s="4"/>
      <c r="O106" s="61">
        <f t="shared" si="16"/>
        <v>0</v>
      </c>
      <c r="P106" s="60">
        <f t="shared" si="17"/>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IFERROR(VLOOKUP(F107,tblManoeuvre[],2,FALSE)&amp;" "&amp;VLOOKUP(F107,tblManoeuvre[],3,FALSE),"")</f>
        <v/>
      </c>
      <c r="H107" s="67" t="str">
        <f>IFERROR(IF(VLOOKUP(F107,tblManoeuvre[],8,FALSE)=0,"None",VLOOKUP(F107,tblManoeuvre[],8,FALSE)),"None")</f>
        <v>None</v>
      </c>
      <c r="I107" s="67"/>
      <c r="L107" s="4"/>
      <c r="M107" s="4"/>
      <c r="N107" s="4"/>
      <c r="O107" s="61">
        <f t="shared" si="16"/>
        <v>0</v>
      </c>
      <c r="P107" s="60">
        <f t="shared" si="17"/>
        <v>0</v>
      </c>
      <c r="Q107" s="61">
        <v>1</v>
      </c>
      <c r="R107" s="61">
        <v>1</v>
      </c>
      <c r="Y107" s="15">
        <v>1</v>
      </c>
      <c r="Z107" s="61" t="s">
        <v>252</v>
      </c>
      <c r="AA107" s="60" t="str" cm="1">
        <f t="array" ref="AA107">IF(VLOOKUP(Z107,$AI$1:$AJ$58,2,FALSE)&gt;=Y107,INDEX(tblDisciplines[Name],MATCH(1,(tblDisciplines[Discipline]=Z107)*(tblDisciplines[Rank]=Y107),0)),"")</f>
        <v/>
      </c>
    </row>
    <row r="108" spans="1:27">
      <c r="A108" s="1" t="s">
        <v>107</v>
      </c>
      <c r="B108" t="str">
        <f>IF($P$73&gt;=7,"●","○") &amp; IF(F226&lt;&gt;""," (" &amp; F226 &amp; ")","")</f>
        <v>○</v>
      </c>
      <c r="D108" s="19"/>
      <c r="E108" s="15" t="s">
        <v>1452</v>
      </c>
      <c r="F108" s="3"/>
      <c r="G108" s="60" t="str">
        <f>IFERROR(VLOOKUP(F108,tblManoeuvre[],2,FALSE)&amp;" "&amp;VLOOKUP(F108,tblManoeuvre[],3,FALSE),"")</f>
        <v/>
      </c>
      <c r="H108" s="67" t="str">
        <f>IFERROR(IF(VLOOKUP(F108,tblManoeuvre[],8,FALSE)=0,"None",VLOOKUP(F108,tblManoeuvre[],8,FALSE)),"None")</f>
        <v>None</v>
      </c>
      <c r="I108" s="67"/>
      <c r="L108" s="4"/>
      <c r="M108" s="4"/>
      <c r="N108" s="4"/>
      <c r="O108" s="61">
        <f t="shared" si="16"/>
        <v>0</v>
      </c>
      <c r="P108" s="60">
        <f t="shared" si="17"/>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 (Portrait of my Wife)</v>
      </c>
      <c r="D109" s="19"/>
      <c r="E109" s="15" t="s">
        <v>1454</v>
      </c>
      <c r="F109" s="3"/>
      <c r="G109" s="60" t="str">
        <f>IFERROR(VLOOKUP(F109,tblManoeuvre[],2,FALSE)&amp;" "&amp;VLOOKUP(F109,tblManoeuvre[],3,FALSE),"")</f>
        <v/>
      </c>
      <c r="H109" s="67" t="str">
        <f>IFERROR(IF(VLOOKUP(F109,tblManoeuvre[],8,FALSE)=0,"None",VLOOKUP(F109,tblManoeuvre[],8,FALSE)),"None")</f>
        <v>None</v>
      </c>
      <c r="I109" s="67"/>
      <c r="L109" s="4"/>
      <c r="M109" s="4"/>
      <c r="N109" s="4"/>
      <c r="O109" s="61">
        <f t="shared" si="16"/>
        <v>0</v>
      </c>
      <c r="P109" s="60">
        <f t="shared" si="17"/>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 (Turkish Laundrette Woman)</v>
      </c>
      <c r="D110" s="19"/>
      <c r="E110" s="15" t="s">
        <v>1455</v>
      </c>
      <c r="F110" s="3"/>
      <c r="G110" s="60" t="str">
        <f>IFERROR(VLOOKUP(F110,tblManoeuvre[],2,FALSE)&amp;" "&amp;VLOOKUP(F110,tblManoeuvre[],3,FALSE),"")</f>
        <v/>
      </c>
      <c r="H110" s="67" t="str">
        <f>IFERROR(IF(VLOOKUP(F110,tblManoeuvre[],8,FALSE)=0,"None",VLOOKUP(F110,tblManoeuvre[],8,FALSE)),"None")</f>
        <v>None</v>
      </c>
      <c r="I110" s="67"/>
      <c r="L110" s="4"/>
      <c r="M110" s="4"/>
      <c r="N110" s="4"/>
      <c r="O110" s="61">
        <f t="shared" si="16"/>
        <v>0</v>
      </c>
      <c r="P110" s="60">
        <f t="shared" si="17"/>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t="str">
        <f>IFERROR(VLOOKUP(F111,tblManoeuvre[],2,FALSE)&amp;" "&amp;VLOOKUP(F111,tblManoeuvre[],3,FALSE),"")</f>
        <v/>
      </c>
      <c r="H111" s="67" t="str">
        <f>IFERROR(IF(VLOOKUP(F111,tblManoeuvre[],8,FALSE)=0,"None",VLOOKUP(F111,tblManoeuvre[],8,FALSE)),"None")</f>
        <v>None</v>
      </c>
      <c r="I111" s="67"/>
      <c r="L111" s="4"/>
      <c r="M111" s="4"/>
      <c r="N111" s="4"/>
      <c r="O111" s="61">
        <f t="shared" si="16"/>
        <v>0</v>
      </c>
      <c r="P111" s="60">
        <f t="shared" si="17"/>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t="str">
        <f>IFERROR(VLOOKUP(F112,tblManoeuvre[],2,FALSE)&amp;" "&amp;VLOOKUP(F112,tblManoeuvre[],3,FALSE),"")</f>
        <v/>
      </c>
      <c r="H112" s="67" t="str">
        <f>IFERROR(IF(VLOOKUP(F112,tblManoeuvre[],8,FALSE)=0,"None",VLOOKUP(F112,tblManoeuvre[],8,FALSE)),"None")</f>
        <v>None</v>
      </c>
      <c r="I112" s="67"/>
      <c r="L112" s="4"/>
      <c r="M112" s="4"/>
      <c r="N112" s="4"/>
      <c r="O112" s="61">
        <f t="shared" si="16"/>
        <v>0</v>
      </c>
      <c r="P112" s="60">
        <f t="shared" si="17"/>
        <v>0</v>
      </c>
      <c r="Q112" s="61">
        <v>1</v>
      </c>
      <c r="R112" s="61">
        <v>1</v>
      </c>
      <c r="Y112" s="61" t="s">
        <v>1474</v>
      </c>
      <c r="Z112" s="61" t="str">
        <f t="shared" ref="Z112:Z121" si="18">G194</f>
        <v/>
      </c>
      <c r="AA112" s="60" t="str">
        <f t="shared" ref="AA112:AA121" si="19">IF(P194="","",F194)</f>
        <v/>
      </c>
    </row>
    <row r="113" spans="1:27">
      <c r="A113" s="1" t="s">
        <v>112</v>
      </c>
      <c r="B113" t="str">
        <f>IF($P$73&gt;=2,"●","○") &amp; IF(F231&lt;&gt;""," (" &amp; F231 &amp; ")","")</f>
        <v>●</v>
      </c>
      <c r="D113" s="19"/>
      <c r="E113" s="15" t="s">
        <v>1458</v>
      </c>
      <c r="F113" s="3"/>
      <c r="G113" s="60" t="str">
        <f>IFERROR(VLOOKUP(F113,tblManoeuvre[],2,FALSE)&amp;" "&amp;VLOOKUP(F113,tblManoeuvre[],3,FALSE),"")</f>
        <v/>
      </c>
      <c r="H113" s="67" t="str">
        <f>IFERROR(IF(VLOOKUP(F113,tblManoeuvre[],8,FALSE)=0,"None",VLOOKUP(F113,tblManoeuvre[],8,FALSE)),"None")</f>
        <v>None</v>
      </c>
      <c r="I113" s="67"/>
      <c r="L113" s="4"/>
      <c r="M113" s="4"/>
      <c r="N113" s="4"/>
      <c r="O113" s="61">
        <f t="shared" si="16"/>
        <v>0</v>
      </c>
      <c r="P113" s="60">
        <f t="shared" si="17"/>
        <v>0</v>
      </c>
      <c r="Q113" s="61">
        <v>1</v>
      </c>
      <c r="R113" s="61">
        <v>1</v>
      </c>
      <c r="Y113" s="61" t="s">
        <v>1474</v>
      </c>
      <c r="Z113" s="61" t="str">
        <f t="shared" si="18"/>
        <v/>
      </c>
      <c r="AA113" s="60" t="str">
        <f t="shared" si="19"/>
        <v/>
      </c>
    </row>
    <row r="114" spans="1:27">
      <c r="A114" s="1" t="s">
        <v>113</v>
      </c>
      <c r="B114" t="str">
        <f>IF($P$73&gt;=1,"●","○") &amp; IF(F232&lt;&gt;""," (" &amp; F232 &amp; ")","")</f>
        <v>●</v>
      </c>
      <c r="D114" s="19"/>
      <c r="E114" s="15" t="s">
        <v>1460</v>
      </c>
      <c r="F114" s="3"/>
      <c r="G114" s="60" t="str">
        <f>IFERROR(VLOOKUP(F114,tblManoeuvre[],2,FALSE)&amp;" "&amp;VLOOKUP(F114,tblManoeuvre[],3,FALSE),"")</f>
        <v/>
      </c>
      <c r="H114" s="67" t="str">
        <f>IFERROR(IF(VLOOKUP(F114,tblManoeuvre[],8,FALSE)=0,"None",VLOOKUP(F114,tblManoeuvre[],8,FALSE)),"None")</f>
        <v>None</v>
      </c>
      <c r="I114" s="67"/>
      <c r="L114" s="4"/>
      <c r="M114" s="4"/>
      <c r="N114" s="4"/>
      <c r="O114" s="61">
        <f t="shared" si="16"/>
        <v>0</v>
      </c>
      <c r="P114" s="60">
        <f t="shared" si="17"/>
        <v>0</v>
      </c>
      <c r="Q114" s="61">
        <v>1</v>
      </c>
      <c r="R114" s="61">
        <v>1</v>
      </c>
      <c r="Y114" s="61" t="s">
        <v>1474</v>
      </c>
      <c r="Z114" s="61" t="str">
        <f t="shared" si="18"/>
        <v/>
      </c>
      <c r="AA114" s="60" t="str">
        <f t="shared" si="19"/>
        <v/>
      </c>
    </row>
    <row r="115" spans="1:27">
      <c r="A115" s="1" t="s">
        <v>114</v>
      </c>
      <c r="B115" t="str">
        <f t="shared" ref="B115:B144" si="20">IF(AD2="","¬",AD2)</f>
        <v>Air of Menace ●●</v>
      </c>
      <c r="D115" s="19"/>
      <c r="E115" s="15" t="s">
        <v>1461</v>
      </c>
      <c r="F115" s="3"/>
      <c r="G115" s="60" t="str">
        <f>IFERROR(VLOOKUP(F115,tblManoeuvre[],2,FALSE)&amp;" "&amp;VLOOKUP(F115,tblManoeuvre[],3,FALSE),"")</f>
        <v/>
      </c>
      <c r="H115" s="67" t="str">
        <f>IFERROR(IF(VLOOKUP(F115,tblManoeuvre[],8,FALSE)=0,"None",VLOOKUP(F115,tblManoeuvre[],8,FALSE)),"None")</f>
        <v>None</v>
      </c>
      <c r="I115" s="67"/>
      <c r="L115" s="4"/>
      <c r="M115" s="4"/>
      <c r="N115" s="4"/>
      <c r="O115" s="61">
        <f t="shared" si="16"/>
        <v>0</v>
      </c>
      <c r="P115" s="60">
        <f t="shared" si="17"/>
        <v>0</v>
      </c>
      <c r="Q115" s="61">
        <v>1</v>
      </c>
      <c r="R115" s="61">
        <v>1</v>
      </c>
      <c r="Y115" s="61" t="s">
        <v>1474</v>
      </c>
      <c r="Z115" s="61" t="str">
        <f t="shared" si="18"/>
        <v/>
      </c>
      <c r="AA115" s="60" t="str">
        <f t="shared" si="19"/>
        <v/>
      </c>
    </row>
    <row r="116" spans="1:27">
      <c r="A116" s="1" t="s">
        <v>115</v>
      </c>
      <c r="B116" t="str">
        <f t="shared" si="20"/>
        <v>Fucking Thief ●</v>
      </c>
      <c r="D116" s="19"/>
      <c r="E116" s="15" t="s">
        <v>1462</v>
      </c>
      <c r="F116" s="3"/>
      <c r="G116" s="60" t="str">
        <f>IFERROR(VLOOKUP(F116,tblManoeuvre[],2,FALSE)&amp;" "&amp;VLOOKUP(F116,tblManoeuvre[],3,FALSE),"")</f>
        <v/>
      </c>
      <c r="H116" s="67" t="str">
        <f>IFERROR(IF(VLOOKUP(F116,tblManoeuvre[],8,FALSE)=0,"None",VLOOKUP(F116,tblManoeuvre[],8,FALSE)),"None")</f>
        <v>None</v>
      </c>
      <c r="I116" s="67"/>
      <c r="L116" s="4"/>
      <c r="M116" s="4"/>
      <c r="N116" s="4"/>
      <c r="O116" s="61">
        <f t="shared" si="16"/>
        <v>0</v>
      </c>
      <c r="P116" s="60">
        <f t="shared" si="17"/>
        <v>0</v>
      </c>
      <c r="Q116" s="61">
        <v>1</v>
      </c>
      <c r="R116" s="61">
        <v>1</v>
      </c>
      <c r="Y116" s="61" t="s">
        <v>1474</v>
      </c>
      <c r="Z116" s="61" t="str">
        <f t="shared" si="18"/>
        <v/>
      </c>
      <c r="AA116" s="60" t="str">
        <f t="shared" si="19"/>
        <v/>
      </c>
    </row>
    <row r="117" spans="1:27">
      <c r="A117" s="1" t="s">
        <v>116</v>
      </c>
      <c r="B117" t="str">
        <f t="shared" si="20"/>
        <v>Honey With Vinegar ●</v>
      </c>
      <c r="D117" s="19"/>
      <c r="E117" s="15" t="s">
        <v>1463</v>
      </c>
      <c r="F117" s="3"/>
      <c r="G117" s="60" t="str">
        <f>IFERROR(VLOOKUP(F117,tblManoeuvre[],2,FALSE)&amp;" "&amp;VLOOKUP(F117,tblManoeuvre[],3,FALSE),"")</f>
        <v/>
      </c>
      <c r="H117" s="67" t="str">
        <f>IFERROR(IF(VLOOKUP(F117,tblManoeuvre[],8,FALSE)=0,"None",VLOOKUP(F117,tblManoeuvre[],8,FALSE)),"None")</f>
        <v>None</v>
      </c>
      <c r="I117" s="67"/>
      <c r="L117" s="4"/>
      <c r="M117" s="4"/>
      <c r="N117" s="4"/>
      <c r="O117" s="61">
        <f t="shared" si="16"/>
        <v>0</v>
      </c>
      <c r="P117" s="60">
        <f t="shared" si="17"/>
        <v>0</v>
      </c>
      <c r="Q117" s="61">
        <v>1</v>
      </c>
      <c r="R117" s="61">
        <v>1</v>
      </c>
      <c r="Y117" s="61" t="s">
        <v>1474</v>
      </c>
      <c r="Z117" s="61" t="str">
        <f t="shared" si="18"/>
        <v/>
      </c>
      <c r="AA117" s="60" t="str">
        <f t="shared" si="19"/>
        <v/>
      </c>
    </row>
    <row r="118" spans="1:27">
      <c r="A118" s="1" t="s">
        <v>117</v>
      </c>
      <c r="B118" t="str">
        <f t="shared" si="20"/>
        <v>Indomitable ●●</v>
      </c>
      <c r="D118" s="19"/>
      <c r="E118" s="15" t="s">
        <v>1464</v>
      </c>
      <c r="F118" s="3"/>
      <c r="G118" s="60" t="str">
        <f>IFERROR(VLOOKUP(F118,tblManoeuvre[],2,FALSE)&amp;" "&amp;VLOOKUP(F118,tblManoeuvre[],3,FALSE),"")</f>
        <v/>
      </c>
      <c r="H118" s="67" t="str">
        <f>IFERROR(IF(VLOOKUP(F118,tblManoeuvre[],8,FALSE)=0,"None",VLOOKUP(F118,tblManoeuvre[],8,FALSE)),"None")</f>
        <v>None</v>
      </c>
      <c r="I118" s="67"/>
      <c r="L118" s="4"/>
      <c r="M118" s="4"/>
      <c r="N118" s="4"/>
      <c r="O118" s="61">
        <f t="shared" si="16"/>
        <v>0</v>
      </c>
      <c r="P118" s="60">
        <f t="shared" si="17"/>
        <v>0</v>
      </c>
      <c r="Q118" s="61">
        <v>1</v>
      </c>
      <c r="R118" s="61">
        <v>1</v>
      </c>
      <c r="Y118" s="61" t="s">
        <v>1474</v>
      </c>
      <c r="Z118" s="61" t="str">
        <f t="shared" si="18"/>
        <v/>
      </c>
      <c r="AA118" s="60" t="str">
        <f t="shared" si="19"/>
        <v/>
      </c>
    </row>
    <row r="119" spans="1:27">
      <c r="A119" s="1" t="s">
        <v>118</v>
      </c>
      <c r="B119" t="str">
        <f t="shared" si="20"/>
        <v>Secret Society Junkie ●</v>
      </c>
      <c r="D119" s="19"/>
      <c r="E119" s="15" t="s">
        <v>1466</v>
      </c>
      <c r="F119" s="3"/>
      <c r="G119" s="60" t="str">
        <f>IFERROR(VLOOKUP(F119,tblManoeuvre[],2,FALSE)&amp;" "&amp;VLOOKUP(F119,tblManoeuvre[],3,FALSE),"")</f>
        <v/>
      </c>
      <c r="H119" s="67" t="str">
        <f>IFERROR(IF(VLOOKUP(F119,tblManoeuvre[],8,FALSE)=0,"None",VLOOKUP(F119,tblManoeuvre[],8,FALSE)),"None")</f>
        <v>None</v>
      </c>
      <c r="I119" s="67"/>
      <c r="L119" s="4"/>
      <c r="M119" s="4"/>
      <c r="N119" s="4"/>
      <c r="O119" s="61">
        <f t="shared" si="16"/>
        <v>0</v>
      </c>
      <c r="P119" s="60">
        <f t="shared" si="17"/>
        <v>0</v>
      </c>
      <c r="Q119" s="61">
        <v>1</v>
      </c>
      <c r="R119" s="61">
        <v>1</v>
      </c>
      <c r="Y119" s="61" t="s">
        <v>1474</v>
      </c>
      <c r="Z119" s="61" t="str">
        <f t="shared" si="18"/>
        <v/>
      </c>
      <c r="AA119" s="60" t="str">
        <f t="shared" si="19"/>
        <v/>
      </c>
    </row>
    <row r="120" spans="1:27">
      <c r="A120" s="1" t="s">
        <v>119</v>
      </c>
      <c r="B120" t="str">
        <f t="shared" si="20"/>
        <v>¬</v>
      </c>
      <c r="D120" s="19"/>
      <c r="E120" s="15" t="s">
        <v>1468</v>
      </c>
      <c r="F120" s="3"/>
      <c r="G120" s="60" t="str">
        <f>IFERROR(VLOOKUP(F120,tblManoeuvre[],2,FALSE)&amp;" "&amp;VLOOKUP(F120,tblManoeuvre[],3,FALSE),"")</f>
        <v/>
      </c>
      <c r="H120" s="67" t="str">
        <f>IFERROR(IF(VLOOKUP(F120,tblManoeuvre[],8,FALSE)=0,"None",VLOOKUP(F120,tblManoeuvre[],8,FALSE)),"None")</f>
        <v>None</v>
      </c>
      <c r="I120" s="67"/>
      <c r="L120" s="4"/>
      <c r="M120" s="4"/>
      <c r="N120" s="4"/>
      <c r="O120" s="61">
        <f t="shared" si="16"/>
        <v>0</v>
      </c>
      <c r="P120" s="60">
        <f t="shared" si="17"/>
        <v>0</v>
      </c>
      <c r="Q120" s="61">
        <v>1</v>
      </c>
      <c r="R120" s="61">
        <v>1</v>
      </c>
      <c r="Y120" s="61" t="s">
        <v>1474</v>
      </c>
      <c r="Z120" s="61" t="str">
        <f t="shared" si="18"/>
        <v/>
      </c>
      <c r="AA120" s="60" t="str">
        <f t="shared" si="19"/>
        <v/>
      </c>
    </row>
    <row r="121" spans="1:27">
      <c r="A121" s="1" t="s">
        <v>120</v>
      </c>
      <c r="B121" t="str">
        <f t="shared" si="20"/>
        <v>¬</v>
      </c>
      <c r="Y121" s="61" t="s">
        <v>1474</v>
      </c>
      <c r="Z121" s="61" t="str">
        <f t="shared" si="18"/>
        <v/>
      </c>
      <c r="AA121" s="60" t="str">
        <f t="shared" si="19"/>
        <v/>
      </c>
    </row>
    <row r="122" spans="1:27" ht="15.75" thickBot="1">
      <c r="A122" s="1" t="s">
        <v>121</v>
      </c>
      <c r="B122" t="str">
        <f t="shared" si="20"/>
        <v>¬</v>
      </c>
      <c r="D122" s="14" t="s">
        <v>1475</v>
      </c>
      <c r="E122" s="14"/>
      <c r="F122" s="14"/>
      <c r="G122" s="14"/>
      <c r="H122" s="14"/>
      <c r="I122" s="14"/>
    </row>
    <row r="123" spans="1:27">
      <c r="A123" s="1" t="s">
        <v>122</v>
      </c>
      <c r="B123" t="str">
        <f t="shared" si="20"/>
        <v>¬</v>
      </c>
      <c r="D123" s="16" t="s">
        <v>927</v>
      </c>
      <c r="E123" s="17"/>
      <c r="F123" s="17"/>
      <c r="G123" s="17"/>
      <c r="H123" s="17"/>
      <c r="I123" s="17"/>
      <c r="Y123" s="15" t="s">
        <v>1476</v>
      </c>
      <c r="Z123" s="19"/>
      <c r="AA123" s="61" t="str">
        <f t="shared" ref="AA123:AA132" si="21">_xlfn.LET(_xlpm.name,VLOOKUP(Y123,$E$2:$F$362,2,FALSE),_xlpm.paid,_xlfn.IFNA(VLOOKUP(_xlpm.name,$F$121:$Q$215,11,FALSE)&gt;=VLOOKUP(_xlpm.name,$F$121:$Q$215,12,FALSE),FALSE),IF(AND(_xlpm.name&lt;&gt;"",_xlpm.paid),_xlpm.name,""))</f>
        <v/>
      </c>
    </row>
    <row r="124" spans="1:27">
      <c r="A124" s="1" t="s">
        <v>123</v>
      </c>
      <c r="B124" t="str">
        <f t="shared" si="20"/>
        <v>¬</v>
      </c>
      <c r="D124" s="19"/>
      <c r="E124" s="15" t="s">
        <v>83</v>
      </c>
      <c r="F124" s="19"/>
      <c r="G124" s="19"/>
      <c r="H124" s="19"/>
      <c r="I124" s="19"/>
      <c r="L124" s="4">
        <v>2</v>
      </c>
      <c r="M124" s="61">
        <f>IFERROR(VLOOKUP(G13,tblEffectiveStatus[#Data],2,FALSE),0)</f>
        <v>0</v>
      </c>
      <c r="P124" s="60">
        <f>MIN(L124+M124,R124)</f>
        <v>2</v>
      </c>
      <c r="R124" s="61">
        <v>10</v>
      </c>
      <c r="Y124" s="15" t="s">
        <v>1477</v>
      </c>
      <c r="Z124" s="19"/>
      <c r="AA124" s="61" t="str">
        <f t="shared" si="21"/>
        <v/>
      </c>
    </row>
    <row r="125" spans="1:27">
      <c r="A125" s="1" t="s">
        <v>124</v>
      </c>
      <c r="B125" t="str">
        <f t="shared" si="20"/>
        <v>¬</v>
      </c>
      <c r="D125" s="19"/>
      <c r="E125" s="15" t="str">
        <f>IF(F7="","Clan Status",F7&amp;" Status")</f>
        <v>Nosferatu Status</v>
      </c>
      <c r="F125" s="19"/>
      <c r="G125" s="19"/>
      <c r="H125" s="19"/>
      <c r="I125" s="19"/>
      <c r="L125" s="4">
        <v>2</v>
      </c>
      <c r="P125" s="60">
        <f>IF(L125="",0,MIN(L125,R125))</f>
        <v>2</v>
      </c>
      <c r="R125" s="61">
        <v>5</v>
      </c>
      <c r="Y125" s="15" t="s">
        <v>1478</v>
      </c>
      <c r="Z125" s="19"/>
      <c r="AA125" s="61" t="str">
        <f t="shared" si="21"/>
        <v/>
      </c>
    </row>
    <row r="126" spans="1:27">
      <c r="A126" s="1" t="s">
        <v>125</v>
      </c>
      <c r="B126" t="str">
        <f t="shared" si="20"/>
        <v>¬</v>
      </c>
      <c r="D126" s="19"/>
      <c r="E126" s="15" t="str">
        <f>IF(F9="","",F9&amp;" Status")</f>
        <v>Carthian Movement Status</v>
      </c>
      <c r="F126" s="19" t="str">
        <f>IF(F9="","",VLOOKUP(F9,tblCovenantShortName[#Data],2,FALSE))</f>
        <v>Carthian</v>
      </c>
      <c r="G126" s="19"/>
      <c r="H126" s="19"/>
      <c r="I126" s="19"/>
      <c r="L126" s="4">
        <v>1</v>
      </c>
      <c r="P126" s="60">
        <f>L126</f>
        <v>1</v>
      </c>
      <c r="R126" s="61">
        <f>5-SUM(L127:L129)</f>
        <v>5</v>
      </c>
      <c r="Y126" s="15" t="s">
        <v>1479</v>
      </c>
      <c r="Z126" s="19"/>
      <c r="AA126" s="61" t="str">
        <f t="shared" si="21"/>
        <v/>
      </c>
    </row>
    <row r="127" spans="1:27">
      <c r="A127" s="1" t="s">
        <v>126</v>
      </c>
      <c r="B127" t="str">
        <f t="shared" si="20"/>
        <v>¬</v>
      </c>
      <c r="D127" s="19"/>
      <c r="E127" s="15" t="str" cm="1">
        <f t="array" ref="E127">IF(F9="","",IFERROR(INDEX(Lists!$F$2:$F$5,SMALL(IF(Lists!$F$2:$F$5&lt;&gt;$F$9,ROW(Lists!$F$2:$F$5)-ROW(Lists!$F$2)+1),1))&amp;" Status",""))</f>
        <v>Circle of the Crone Status</v>
      </c>
      <c r="F127" s="19" t="str" cm="1">
        <f t="array" ref="F127">IF(F9="","",IFERROR(VLOOKUP(INDEX(Lists!$F$2:$F$5,SMALL(IF(Lists!$F$2:$F$5&lt;&gt;$F$9,ROW(Lists!$F$2:$F$5)-ROW(Lists!$F$2)+1),1)),tblCovenantShortName[],2,FALSE),""))</f>
        <v>Crone</v>
      </c>
      <c r="G127" s="19"/>
      <c r="H127" s="19"/>
      <c r="I127" s="19"/>
      <c r="L127" s="4"/>
      <c r="P127" s="60">
        <f>L127</f>
        <v>0</v>
      </c>
      <c r="R127" s="61">
        <f>MAX(0,MIN(P126-1,5-L126-L128-L129))</f>
        <v>0</v>
      </c>
      <c r="Y127" s="15" t="s">
        <v>1480</v>
      </c>
      <c r="Z127" s="19"/>
      <c r="AA127" s="61" t="str">
        <f t="shared" si="21"/>
        <v/>
      </c>
    </row>
    <row r="128" spans="1:27">
      <c r="A128" s="1" t="s">
        <v>127</v>
      </c>
      <c r="B128" t="str">
        <f t="shared" si="20"/>
        <v>¬</v>
      </c>
      <c r="D128" s="19"/>
      <c r="E128" s="15" t="str" cm="1">
        <f t="array" ref="E128">IF(F9="","",IFERROR(INDEX(Lists!$F$2:$F$5,SMALL(IF(Lists!$F$2:$F$5&lt;&gt;$F$9,ROW(Lists!$F$2:$F$5)-ROW(Lists!$F$2)+1),2))&amp;" Status",""))</f>
        <v>Invictus Status</v>
      </c>
      <c r="F128" s="19" t="str" cm="1">
        <f t="array" ref="F128">IF(F9="","",IFERROR(VLOOKUP(INDEX(Lists!$F$2:$F$5,SMALL(IF(Lists!$F$2:$F$5&lt;&gt;$F$9,ROW(Lists!$F$2:$F$5)-ROW(Lists!$F$2)+1),2)),tblCovenantShortName[],2,FALSE),""))</f>
        <v>Invictus</v>
      </c>
      <c r="G128" s="19"/>
      <c r="H128" s="19"/>
      <c r="I128" s="19"/>
      <c r="L128" s="4"/>
      <c r="P128" s="60">
        <f>L128</f>
        <v>0</v>
      </c>
      <c r="R128" s="61">
        <f>MAX(0,MIN(P126-1,5-L126-L127-L129))</f>
        <v>0</v>
      </c>
      <c r="Y128" s="15" t="s">
        <v>1481</v>
      </c>
      <c r="Z128" s="19"/>
      <c r="AA128" s="61" t="str">
        <f t="shared" si="21"/>
        <v/>
      </c>
    </row>
    <row r="129" spans="1:32">
      <c r="A129" s="1" t="s">
        <v>128</v>
      </c>
      <c r="B129" t="str">
        <f t="shared" si="20"/>
        <v>¬</v>
      </c>
      <c r="D129" s="19"/>
      <c r="E129" s="15" t="str" cm="1">
        <f t="array" ref="E129">IF(F9="","",IFERROR(INDEX(Lists!$F$2:$F$5,SMALL(IF(Lists!$F$2:$F$5&lt;&gt;$F$9,ROW(Lists!$F$2:$F$5)-ROW(Lists!$F$2)+1),3))&amp;" Status",""))</f>
        <v>Lancea et Sanctum Status</v>
      </c>
      <c r="F129" s="19" t="str" cm="1">
        <f t="array" ref="F129">IF(F9="","",IFERROR(VLOOKUP(INDEX(Lists!$F$2:$F$5,SMALL(IF(Lists!$F$2:$F$5&lt;&gt;$F$9,ROW(Lists!$F$2:$F$5)-ROW(Lists!$F$2)+1),3)),tblCovenantShortName[],2,FALSE),""))</f>
        <v>Lance</v>
      </c>
      <c r="G129" s="19"/>
      <c r="H129" s="19"/>
      <c r="I129" s="19"/>
      <c r="L129" s="4"/>
      <c r="P129" s="60">
        <f>L129</f>
        <v>0</v>
      </c>
      <c r="R129" s="61">
        <f>MAX(0,MIN(P126-1,5-L126-L127-L128))</f>
        <v>0</v>
      </c>
      <c r="Y129" s="15" t="s">
        <v>1482</v>
      </c>
      <c r="Z129" s="19"/>
      <c r="AA129" s="61" t="str">
        <f t="shared" si="21"/>
        <v/>
      </c>
    </row>
    <row r="130" spans="1:32">
      <c r="A130" s="1" t="s">
        <v>129</v>
      </c>
      <c r="B130" t="str">
        <f t="shared" si="20"/>
        <v>¬</v>
      </c>
      <c r="Y130" s="15" t="s">
        <v>1483</v>
      </c>
      <c r="Z130" s="19"/>
      <c r="AA130" s="61" t="str">
        <f t="shared" si="21"/>
        <v/>
      </c>
    </row>
    <row r="131" spans="1:32">
      <c r="A131" s="1" t="s">
        <v>130</v>
      </c>
      <c r="B131" t="str">
        <f t="shared" si="20"/>
        <v>¬</v>
      </c>
      <c r="D131" s="16" t="s">
        <v>1475</v>
      </c>
      <c r="E131" s="17"/>
      <c r="F131" s="16" t="s">
        <v>1446</v>
      </c>
      <c r="G131" s="17"/>
      <c r="H131" s="17"/>
      <c r="I131" s="17"/>
      <c r="Y131" s="15" t="s">
        <v>1484</v>
      </c>
      <c r="Z131" s="19"/>
      <c r="AA131" s="61" t="str">
        <f t="shared" si="21"/>
        <v/>
      </c>
    </row>
    <row r="132" spans="1:32">
      <c r="A132" s="1" t="s">
        <v>131</v>
      </c>
      <c r="B132" t="str">
        <f t="shared" si="20"/>
        <v>¬</v>
      </c>
      <c r="D132" s="19"/>
      <c r="E132" s="15" t="s">
        <v>94</v>
      </c>
      <c r="F132" s="3"/>
      <c r="G132" s="19"/>
      <c r="H132" s="19"/>
      <c r="I132" s="19"/>
      <c r="L132" s="4"/>
      <c r="M132" s="4"/>
      <c r="N132" s="4">
        <v>1</v>
      </c>
      <c r="O132" s="61">
        <f>N132</f>
        <v>1</v>
      </c>
      <c r="P132" s="60">
        <f>MIN(SUM(L132,M132,O132),R132)</f>
        <v>1</v>
      </c>
      <c r="Q132" s="61">
        <f>_xlfn.IFNA(VLOOKUP($E132,tblDomain[],3,FALSE),"")</f>
        <v>1</v>
      </c>
      <c r="R132" s="61">
        <f>_xlfn.IFNA(VLOOKUP($E132,tblDomain[],4,FALSE),"")</f>
        <v>5</v>
      </c>
      <c r="Y132" s="15" t="s">
        <v>1485</v>
      </c>
      <c r="Z132" s="19"/>
      <c r="AA132" s="61" t="str">
        <f t="shared" si="21"/>
        <v/>
      </c>
    </row>
    <row r="133" spans="1:32">
      <c r="A133" s="1" t="s">
        <v>132</v>
      </c>
      <c r="B133" t="str">
        <f t="shared" si="20"/>
        <v>¬</v>
      </c>
      <c r="D133" s="19"/>
      <c r="E133" s="15" t="s">
        <v>95</v>
      </c>
      <c r="F133" s="3"/>
      <c r="G133" s="19"/>
      <c r="H133" s="19"/>
      <c r="I133" s="19"/>
      <c r="L133" s="4"/>
      <c r="M133" s="4"/>
      <c r="N133" s="4"/>
      <c r="O133" s="61">
        <f>N133</f>
        <v>0</v>
      </c>
      <c r="P133" s="60">
        <f>MIN(SUM(L133,M133,O133),R133)</f>
        <v>0</v>
      </c>
      <c r="Q133" s="61">
        <f>_xlfn.IFNA(VLOOKUP($E133,tblDomain[],3,FALSE),"")</f>
        <v>1</v>
      </c>
      <c r="R133" s="61">
        <f>_xlfn.IFNA(VLOOKUP($E133,tblDomain[],4,FALSE),"")</f>
        <v>5</v>
      </c>
    </row>
    <row r="134" spans="1:32">
      <c r="A134" s="1" t="s">
        <v>133</v>
      </c>
      <c r="B134" t="str">
        <f t="shared" si="20"/>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2">_xlfn.LET(_xlpm.name,VLOOKUP(Y134,$E$2:$F$362,2,FALSE),_xlpm.note,VLOOKUP(Y134,$E$2:$G$362,3,FALSE),_xlpm.row,MATCH(Y134,$E$138:$E$157,0),_xlpm.dots,INDEX($P$138:$P$157,_xlpm.row),_xlpm.max,INDEX($Q$138:$Q$157,_xlpm.row),_xlpm.paid,_xlfn.IFNA(_xlpm.dots&gt;=_xlpm.max,FALSE),IF(AND(_xlpm.name&lt;&gt;"",_xlpm.paid),IF(_xlpm.note="",_xlpm.name,_xlpm.name&amp;" ("&amp;_xlpm.note&amp;")"),""))</f>
        <v>Allies (Finance)</v>
      </c>
      <c r="AC134" s="60" t="str" cm="1">
        <f t="array" ref="AC134:AC138">_xlfn.LET(_xlpm.raw,IFERROR(_xlfn.VSTACK(IFERROR(_xlfn._xlws.SORT(_xlfn._xlws.FILTER(AA134:AA211,AA134:AA211&lt;&gt;"")),""),IFERROR(_xlfn._xlws.SORT(_xlfn._xlws.FILTER(AA213:AA222,AA213:AA222&lt;&gt;"")),"")),""),_xlpm.sorted,IFERROR(_xlfn._xlws.FILTER(_xlpm.raw,_xlpm.raw&lt;&gt;""),""),IFERROR(LEFT(_xlpm.sorted,FIND(" (",_xlpm.sorted)-1),_xlpm.sorted))</f>
        <v>Allies</v>
      </c>
      <c r="AD134" s="20" t="str" cm="1">
        <f t="array" ref="AD134:AD138">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Finance</v>
      </c>
      <c r="AE134" s="20">
        <f t="shared" ref="AE134:AE153" si="23">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1</v>
      </c>
      <c r="AF134" s="61" cm="1">
        <f t="array" ref="AF134">IF(AC134="","",SUMPRODUCT(($F$138:$F$157=AC134)*($G$138:$G$157=IF(AD134="","",AD134))*$P$138:$P$157))</f>
        <v>3</v>
      </c>
    </row>
    <row r="135" spans="1:32">
      <c r="A135" s="1" t="s">
        <v>134</v>
      </c>
      <c r="B135" t="str">
        <f t="shared" si="20"/>
        <v>¬</v>
      </c>
      <c r="D135" s="58" t="s">
        <v>1575</v>
      </c>
      <c r="E135" s="15" t="s">
        <v>97</v>
      </c>
      <c r="F135" s="19"/>
      <c r="G135" s="19"/>
      <c r="H135" s="19"/>
      <c r="I135" s="19"/>
      <c r="L135" s="4"/>
      <c r="M135" s="4">
        <v>5</v>
      </c>
      <c r="N135" s="4"/>
      <c r="O135" s="61">
        <f>N135</f>
        <v>0</v>
      </c>
      <c r="P135" s="60">
        <f>MIN(SUM(L135,M135,O135),R135)</f>
        <v>5</v>
      </c>
      <c r="Q135" s="61">
        <f>_xlfn.IFNA(VLOOKUP($E135,tblDomain[],3,FALSE),"")</f>
        <v>1</v>
      </c>
      <c r="R135" s="61">
        <f>_xlfn.IFNA(VLOOKUP($E135,tblDomain[],4,FALSE),"")</f>
        <v>5</v>
      </c>
      <c r="Y135" s="15" t="s">
        <v>177</v>
      </c>
      <c r="Z135" s="19"/>
      <c r="AA135" s="61" t="str">
        <f t="shared" si="22"/>
        <v>Resources</v>
      </c>
      <c r="AC135" s="60" t="str">
        <v>Allies</v>
      </c>
      <c r="AD135" s="20" t="str">
        <v>Politics</v>
      </c>
      <c r="AE135" s="20">
        <f t="shared" si="23"/>
        <v>1</v>
      </c>
      <c r="AF135" s="61" cm="1">
        <f t="array" ref="AF135">IF(AC135="","",SUMPRODUCT(($F$138:$F$157=AC135)*($G$138:$G$157=IF(AD135="","",AD135))*$P$138:$P$157))</f>
        <v>2</v>
      </c>
    </row>
    <row r="136" spans="1:32">
      <c r="A136" s="1" t="s">
        <v>135</v>
      </c>
      <c r="B136" t="str">
        <f t="shared" si="20"/>
        <v>¬</v>
      </c>
      <c r="Y136" s="15" t="s">
        <v>178</v>
      </c>
      <c r="Z136" s="19"/>
      <c r="AA136" s="61" t="str">
        <f t="shared" si="22"/>
        <v>Contacts (Police, High Society, Occult, Media, Street)</v>
      </c>
      <c r="AC136" s="60" t="str">
        <v>Allies</v>
      </c>
      <c r="AD136" s="20" t="str">
        <v>Underworld</v>
      </c>
      <c r="AE136" s="20">
        <f t="shared" si="23"/>
        <v>1</v>
      </c>
      <c r="AF136" s="61" cm="1">
        <f t="array" ref="AF136">IF(AC136="","",SUMPRODUCT(($F$138:$F$157=AC136)*($G$138:$G$157=IF(AD136="","",AD136))*$P$138:$P$157))</f>
        <v>2</v>
      </c>
    </row>
    <row r="137" spans="1:32">
      <c r="A137" s="1" t="s">
        <v>136</v>
      </c>
      <c r="B137" t="str">
        <f t="shared" si="20"/>
        <v>¬</v>
      </c>
      <c r="D137" s="16" t="s">
        <v>174</v>
      </c>
      <c r="E137" s="17"/>
      <c r="F137" s="17"/>
      <c r="G137" s="17"/>
      <c r="H137" s="61">
        <f>L225</f>
        <v>0</v>
      </c>
      <c r="I137" s="61">
        <f>SUM(AE134:AE155)+SUM(P125:P129)</f>
        <v>10</v>
      </c>
      <c r="Y137" s="15" t="s">
        <v>179</v>
      </c>
      <c r="Z137" s="19"/>
      <c r="AA137" s="61" t="str">
        <f t="shared" si="22"/>
        <v>Allies (Underworld)</v>
      </c>
      <c r="AC137" s="60" t="str">
        <v>Contacts</v>
      </c>
      <c r="AD137" s="20" t="str">
        <v>Police, High Society, Occult, Media, Street</v>
      </c>
      <c r="AE137" s="20">
        <f t="shared" si="23"/>
        <v>2</v>
      </c>
      <c r="AF137" s="61" cm="1">
        <f t="array" ref="AF137">IF(AC137="","",SUMPRODUCT(($F$138:$F$157=AC137)*($G$138:$G$157=IF(AD137="","",AD137))*$P$138:$P$157))</f>
        <v>5</v>
      </c>
    </row>
    <row r="138" spans="1:32">
      <c r="A138" s="1" t="s">
        <v>137</v>
      </c>
      <c r="B138" t="str">
        <f t="shared" si="20"/>
        <v>¬</v>
      </c>
      <c r="D138" s="61" t="s">
        <v>1576</v>
      </c>
      <c r="E138" s="15" t="s">
        <v>176</v>
      </c>
      <c r="F138" s="3" t="s">
        <v>412</v>
      </c>
      <c r="G138" s="3" t="s">
        <v>1221</v>
      </c>
      <c r="H138" s="67" t="str">
        <f>IFERROR(IF(VLOOKUP(F138,tblManoeuvre[],8,FALSE)=0,"None",VLOOKUP(F138,tblManoeuvre[],8,FALSE)),"None")</f>
        <v>None</v>
      </c>
      <c r="I138" s="67"/>
      <c r="L138" s="4"/>
      <c r="M138" s="4">
        <v>3</v>
      </c>
      <c r="N138" s="4"/>
      <c r="O138" s="61">
        <f t="shared" ref="O138:O157" si="24">N138</f>
        <v>0</v>
      </c>
      <c r="P138" s="60">
        <f t="shared" ref="P138:P157" si="25">MIN(SUM(L138,M138,O138),R138)</f>
        <v>3</v>
      </c>
      <c r="Q138" s="61">
        <f>_xlfn.IFNA(VLOOKUP($F138,tblInfluence[],3,FALSE),"")</f>
        <v>1</v>
      </c>
      <c r="R138" s="61">
        <f>_xlfn.IFNA(VLOOKUP($F138,tblInfluence[],4,FALSE),"")</f>
        <v>5</v>
      </c>
      <c r="Y138" s="15" t="s">
        <v>180</v>
      </c>
      <c r="Z138" s="19"/>
      <c r="AA138" s="61" t="str">
        <f t="shared" si="22"/>
        <v>Allies (Politics)</v>
      </c>
      <c r="AC138" s="60" t="str">
        <v>Resources</v>
      </c>
      <c r="AD138" s="20" t="str">
        <v/>
      </c>
      <c r="AE138" s="20">
        <f t="shared" si="23"/>
        <v>1</v>
      </c>
      <c r="AF138" s="61" cm="1">
        <f t="array" ref="AF138">IF(AC138="","",SUMPRODUCT(($F$138:$F$157=AC138)*($G$138:$G$157=IF(AD138="","",AD138))*$P$138:$P$157))</f>
        <v>3</v>
      </c>
    </row>
    <row r="139" spans="1:32">
      <c r="A139" s="1" t="s">
        <v>138</v>
      </c>
      <c r="B139" t="str">
        <f t="shared" si="20"/>
        <v>¬</v>
      </c>
      <c r="D139" s="61" t="s">
        <v>1577</v>
      </c>
      <c r="E139" s="15" t="s">
        <v>177</v>
      </c>
      <c r="F139" s="3" t="s">
        <v>525</v>
      </c>
      <c r="G139" s="3"/>
      <c r="H139" s="67" t="str">
        <f>IFERROR(IF(VLOOKUP(F139,tblManoeuvre[],8,FALSE)=0,"None",VLOOKUP(F139,tblManoeuvre[],8,FALSE)),"None")</f>
        <v>None</v>
      </c>
      <c r="I139" s="67"/>
      <c r="L139" s="4"/>
      <c r="M139" s="4">
        <v>3</v>
      </c>
      <c r="N139" s="4"/>
      <c r="O139" s="61">
        <f t="shared" si="24"/>
        <v>0</v>
      </c>
      <c r="P139" s="60">
        <f t="shared" si="25"/>
        <v>3</v>
      </c>
      <c r="Q139" s="61">
        <f>_xlfn.IFNA(VLOOKUP($F139,tblInfluence[],3,FALSE),"")</f>
        <v>1</v>
      </c>
      <c r="R139" s="61">
        <f>_xlfn.IFNA(VLOOKUP($F139,tblInfluence[],4,FALSE),"")</f>
        <v>5</v>
      </c>
      <c r="Y139" s="15" t="s">
        <v>181</v>
      </c>
      <c r="Z139" s="19"/>
      <c r="AA139" s="61" t="str">
        <f t="shared" si="22"/>
        <v/>
      </c>
      <c r="AC139" s="60"/>
      <c r="AD139" s="20"/>
      <c r="AE139" s="20" t="str">
        <f t="shared" si="23"/>
        <v/>
      </c>
      <c r="AF139" s="61" t="str" cm="1">
        <f t="array" ref="AF139">IF(AC139="","",SUMPRODUCT(($F$138:$F$157=AC139)*($G$138:$G$157=IF(AD139="","",AD139))*$P$138:$P$157))</f>
        <v/>
      </c>
    </row>
    <row r="140" spans="1:32">
      <c r="A140" s="1" t="s">
        <v>139</v>
      </c>
      <c r="B140" t="str">
        <f t="shared" si="20"/>
        <v>¬</v>
      </c>
      <c r="D140" s="61" t="s">
        <v>1571</v>
      </c>
      <c r="E140" s="15" t="s">
        <v>178</v>
      </c>
      <c r="F140" s="3" t="s">
        <v>413</v>
      </c>
      <c r="G140" s="3" t="s">
        <v>1222</v>
      </c>
      <c r="H140" s="67" t="str">
        <f>IFERROR(IF(VLOOKUP(F140,tblManoeuvre[],8,FALSE)=0,"None",VLOOKUP(F140,tblManoeuvre[],8,FALSE)),"None")</f>
        <v>None</v>
      </c>
      <c r="I140" s="67"/>
      <c r="L140" s="4"/>
      <c r="M140" s="4">
        <v>1</v>
      </c>
      <c r="N140" s="4">
        <v>4</v>
      </c>
      <c r="O140" s="61">
        <f t="shared" si="24"/>
        <v>4</v>
      </c>
      <c r="P140" s="60">
        <f t="shared" si="25"/>
        <v>5</v>
      </c>
      <c r="Q140" s="61">
        <f>_xlfn.IFNA(VLOOKUP($F140,tblInfluence[],3,FALSE),"")</f>
        <v>1</v>
      </c>
      <c r="R140" s="61">
        <f>_xlfn.IFNA(VLOOKUP($F140,tblInfluence[],4,FALSE),"")</f>
        <v>5</v>
      </c>
      <c r="Y140" s="15" t="s">
        <v>182</v>
      </c>
      <c r="Z140" s="19"/>
      <c r="AA140" s="61" t="str">
        <f t="shared" si="22"/>
        <v/>
      </c>
      <c r="AC140" s="60"/>
      <c r="AD140" s="20"/>
      <c r="AE140" s="20" t="str">
        <f t="shared" si="23"/>
        <v/>
      </c>
      <c r="AF140" s="61" t="str" cm="1">
        <f t="array" ref="AF140">IF(AC140="","",SUMPRODUCT(($F$138:$F$157=AC140)*($G$138:$G$157=IF(AD140="","",AD140))*$P$138:$P$157))</f>
        <v/>
      </c>
    </row>
    <row r="141" spans="1:32">
      <c r="A141" s="1" t="s">
        <v>140</v>
      </c>
      <c r="B141" t="str">
        <f t="shared" si="20"/>
        <v>¬</v>
      </c>
      <c r="D141" s="61" t="s">
        <v>1574</v>
      </c>
      <c r="E141" s="15" t="s">
        <v>179</v>
      </c>
      <c r="F141" s="3" t="s">
        <v>412</v>
      </c>
      <c r="G141" s="3" t="s">
        <v>415</v>
      </c>
      <c r="H141" s="67" t="str">
        <f>IFERROR(IF(VLOOKUP(F141,tblManoeuvre[],8,FALSE)=0,"None",VLOOKUP(F141,tblManoeuvre[],8,FALSE)),"None")</f>
        <v>None</v>
      </c>
      <c r="I141" s="67"/>
      <c r="L141" s="4"/>
      <c r="M141" s="4">
        <v>1</v>
      </c>
      <c r="N141" s="4">
        <v>1</v>
      </c>
      <c r="O141" s="61">
        <f t="shared" si="24"/>
        <v>1</v>
      </c>
      <c r="P141" s="60">
        <f t="shared" si="25"/>
        <v>2</v>
      </c>
      <c r="Q141" s="61">
        <f>_xlfn.IFNA(VLOOKUP($F141,tblInfluence[],3,FALSE),"")</f>
        <v>1</v>
      </c>
      <c r="R141" s="61">
        <f>_xlfn.IFNA(VLOOKUP($F141,tblInfluence[],4,FALSE),"")</f>
        <v>5</v>
      </c>
      <c r="Y141" s="15" t="s">
        <v>183</v>
      </c>
      <c r="Z141" s="19"/>
      <c r="AA141" s="61" t="str">
        <f t="shared" si="22"/>
        <v/>
      </c>
      <c r="AC141" s="60"/>
      <c r="AD141" s="20"/>
      <c r="AE141" s="20" t="str">
        <f t="shared" si="23"/>
        <v/>
      </c>
      <c r="AF141" s="61" t="str" cm="1">
        <f t="array" ref="AF141">IF(AC141="","",SUMPRODUCT(($F$138:$F$157=AC141)*($G$138:$G$157=IF(AD141="","",AD141))*$P$138:$P$157))</f>
        <v/>
      </c>
    </row>
    <row r="142" spans="1:32">
      <c r="A142" s="1" t="s">
        <v>141</v>
      </c>
      <c r="B142" t="str">
        <f t="shared" si="20"/>
        <v>¬</v>
      </c>
      <c r="D142" s="19"/>
      <c r="E142" s="15" t="s">
        <v>180</v>
      </c>
      <c r="F142" s="3" t="s">
        <v>412</v>
      </c>
      <c r="G142" s="3" t="s">
        <v>31</v>
      </c>
      <c r="H142" s="67" t="str">
        <f>IFERROR(IF(VLOOKUP(F142,tblManoeuvre[],8,FALSE)=0,"None",VLOOKUP(F142,tblManoeuvre[],8,FALSE)),"None")</f>
        <v>None</v>
      </c>
      <c r="I142" s="67"/>
      <c r="L142" s="4"/>
      <c r="M142" s="4"/>
      <c r="N142" s="4">
        <v>2</v>
      </c>
      <c r="O142" s="61">
        <f t="shared" si="24"/>
        <v>2</v>
      </c>
      <c r="P142" s="60">
        <f t="shared" si="25"/>
        <v>2</v>
      </c>
      <c r="Q142" s="61">
        <f>_xlfn.IFNA(VLOOKUP($F142,tblInfluence[],3,FALSE),"")</f>
        <v>1</v>
      </c>
      <c r="R142" s="61">
        <f>_xlfn.IFNA(VLOOKUP($F142,tblInfluence[],4,FALSE),"")</f>
        <v>5</v>
      </c>
      <c r="Y142" s="15" t="s">
        <v>184</v>
      </c>
      <c r="Z142" s="19"/>
      <c r="AA142" s="61" t="str">
        <f t="shared" si="22"/>
        <v/>
      </c>
      <c r="AC142" s="60"/>
      <c r="AD142" s="20"/>
      <c r="AE142" s="20" t="str">
        <f t="shared" si="23"/>
        <v/>
      </c>
      <c r="AF142" s="61" t="str" cm="1">
        <f t="array" ref="AF142">IF(AC142="","",SUMPRODUCT(($F$138:$F$157=AC142)*($G$138:$G$157=IF(AD142="","",AD142))*$P$138:$P$157))</f>
        <v/>
      </c>
    </row>
    <row r="143" spans="1:32">
      <c r="A143" s="1" t="s">
        <v>142</v>
      </c>
      <c r="B143" t="str">
        <f t="shared" si="20"/>
        <v>¬</v>
      </c>
      <c r="D143" s="19"/>
      <c r="E143" s="15" t="s">
        <v>181</v>
      </c>
      <c r="F143" s="3"/>
      <c r="G143" s="3" t="str">
        <f>IFERROR(VLOOKUP(F143,tblManoeuvre[],2,FALSE)&amp;" "&amp;VLOOKUP(F143,tblManoeuvre[],3,FALSE),"")</f>
        <v/>
      </c>
      <c r="H143" s="67" t="str">
        <f>IFERROR(IF(VLOOKUP(F143,tblManoeuvre[],8,FALSE)=0,"None",VLOOKUP(F143,tblManoeuvre[],8,FALSE)),"None")</f>
        <v>None</v>
      </c>
      <c r="I143" s="67"/>
      <c r="L143" s="4"/>
      <c r="M143" s="4"/>
      <c r="N143" s="4"/>
      <c r="O143" s="61">
        <f t="shared" si="24"/>
        <v>0</v>
      </c>
      <c r="P143" s="60">
        <f t="shared" si="25"/>
        <v>0</v>
      </c>
      <c r="Q143" s="61" t="str">
        <f>_xlfn.IFNA(VLOOKUP($F143,tblInfluence[],3,FALSE),"")</f>
        <v/>
      </c>
      <c r="R143" s="61" t="str">
        <f>_xlfn.IFNA(VLOOKUP($F143,tblInfluence[],4,FALSE),"")</f>
        <v/>
      </c>
      <c r="Y143" s="15" t="s">
        <v>185</v>
      </c>
      <c r="Z143" s="19"/>
      <c r="AA143" s="61" t="str">
        <f t="shared" si="22"/>
        <v/>
      </c>
      <c r="AC143" s="60"/>
      <c r="AD143" s="20"/>
      <c r="AE143" s="20" t="str">
        <f t="shared" si="23"/>
        <v/>
      </c>
      <c r="AF143" s="61" t="str" cm="1">
        <f t="array" ref="AF143">IF(AC143="","",SUMPRODUCT(($F$138:$F$157=AC143)*($G$138:$G$157=IF(AD143="","",AD143))*$P$138:$P$157))</f>
        <v/>
      </c>
    </row>
    <row r="144" spans="1:32">
      <c r="A144" s="1" t="s">
        <v>143</v>
      </c>
      <c r="B144" t="str">
        <f t="shared" si="20"/>
        <v>¬</v>
      </c>
      <c r="D144" s="19"/>
      <c r="E144" s="15" t="s">
        <v>182</v>
      </c>
      <c r="F144" s="3"/>
      <c r="G144" s="3"/>
      <c r="H144" s="67" t="str">
        <f>IFERROR(IF(VLOOKUP(F144,tblManoeuvre[],8,FALSE)=0,"None",VLOOKUP(F144,tblManoeuvre[],8,FALSE)),"None")</f>
        <v>None</v>
      </c>
      <c r="I144" s="67"/>
      <c r="L144" s="4"/>
      <c r="M144" s="4"/>
      <c r="N144" s="4"/>
      <c r="O144" s="61">
        <f t="shared" si="24"/>
        <v>0</v>
      </c>
      <c r="P144" s="60">
        <f t="shared" si="25"/>
        <v>0</v>
      </c>
      <c r="Q144" s="61" t="str">
        <f>_xlfn.IFNA(VLOOKUP($F144,tblInfluence[],3,FALSE),"")</f>
        <v/>
      </c>
      <c r="R144" s="61" t="str">
        <f>_xlfn.IFNA(VLOOKUP($F144,tblInfluence[],4,FALSE),"")</f>
        <v/>
      </c>
      <c r="Y144" s="15" t="s">
        <v>186</v>
      </c>
      <c r="Z144" s="19"/>
      <c r="AA144" s="61" t="str">
        <f t="shared" si="22"/>
        <v/>
      </c>
      <c r="AC144" s="60"/>
      <c r="AD144" s="20"/>
      <c r="AE144" s="20" t="str">
        <f t="shared" si="23"/>
        <v/>
      </c>
      <c r="AF144" s="61" t="str" cm="1">
        <f t="array" ref="AF144">IF(AC144="","",SUMPRODUCT(($F$138:$F$157=AC144)*($G$138:$G$157=IF(AD144="","",AD144))*$P$138:$P$157))</f>
        <v/>
      </c>
    </row>
    <row r="145" spans="1:32">
      <c r="A145" s="1" t="s">
        <v>144</v>
      </c>
      <c r="B145" t="str">
        <f t="shared" ref="B145:B174" si="26">IF(AF2="","¬",AF2)</f>
        <v>+2 to menace; others spend Willpower to pick fights. Social manoeuvring harder.</v>
      </c>
      <c r="D145" s="19"/>
      <c r="E145" s="15" t="s">
        <v>183</v>
      </c>
      <c r="F145" s="3"/>
      <c r="G145" s="3" t="str">
        <f>IFERROR(VLOOKUP(F145,tblManoeuvre[],2,FALSE)&amp;" "&amp;VLOOKUP(F145,tblManoeuvre[],3,FALSE),"")</f>
        <v/>
      </c>
      <c r="H145" s="67" t="str">
        <f>IFERROR(IF(VLOOKUP(F145,tblManoeuvre[],8,FALSE)=0,"None",VLOOKUP(F145,tblManoeuvre[],8,FALSE)),"None")</f>
        <v>None</v>
      </c>
      <c r="I145" s="67"/>
      <c r="L145" s="4"/>
      <c r="M145" s="4"/>
      <c r="N145" s="4"/>
      <c r="O145" s="61">
        <f t="shared" si="24"/>
        <v>0</v>
      </c>
      <c r="P145" s="60">
        <f t="shared" si="25"/>
        <v>0</v>
      </c>
      <c r="Q145" s="61" t="str">
        <f>_xlfn.IFNA(VLOOKUP($F145,tblInfluence[],3,FALSE),"")</f>
        <v/>
      </c>
      <c r="R145" s="61" t="str">
        <f>_xlfn.IFNA(VLOOKUP($F145,tblInfluence[],4,FALSE),"")</f>
        <v/>
      </c>
      <c r="Y145" s="15" t="s">
        <v>187</v>
      </c>
      <c r="Z145" s="19"/>
      <c r="AA145" s="61" t="str">
        <f t="shared" si="22"/>
        <v/>
      </c>
      <c r="AC145" s="60"/>
      <c r="AD145" s="20"/>
      <c r="AE145" s="20" t="str">
        <f t="shared" si="23"/>
        <v/>
      </c>
      <c r="AF145" s="61" t="str" cm="1">
        <f t="array" ref="AF145">IF(AC145="","",SUMPRODUCT(($F$138:$F$157=AC145)*($G$138:$G$157=IF(AD145="","",AD145))*$P$138:$P$157))</f>
        <v/>
      </c>
    </row>
    <row r="146" spans="1:32">
      <c r="A146" s="1" t="s">
        <v>145</v>
      </c>
      <c r="B146" t="str">
        <f t="shared" si="26"/>
        <v>Steal flawed knowledge of a single one-dot advantage restricted to another covenant.</v>
      </c>
      <c r="D146" s="19"/>
      <c r="E146" s="15" t="s">
        <v>184</v>
      </c>
      <c r="F146" s="3"/>
      <c r="G146" s="3" t="str">
        <f>IFERROR(VLOOKUP(F146,tblManoeuvre[],2,FALSE)&amp;" "&amp;VLOOKUP(F146,tblManoeuvre[],3,FALSE),"")</f>
        <v/>
      </c>
      <c r="H146" s="67" t="str">
        <f>IFERROR(IF(VLOOKUP(F146,tblManoeuvre[],8,FALSE)=0,"None",VLOOKUP(F146,tblManoeuvre[],8,FALSE)),"None")</f>
        <v>None</v>
      </c>
      <c r="I146" s="67"/>
      <c r="L146" s="4"/>
      <c r="M146" s="4"/>
      <c r="N146" s="4"/>
      <c r="O146" s="61">
        <f t="shared" si="24"/>
        <v>0</v>
      </c>
      <c r="P146" s="60">
        <f t="shared" si="25"/>
        <v>0</v>
      </c>
      <c r="Q146" s="61" t="str">
        <f>_xlfn.IFNA(VLOOKUP($F146,tblInfluence[],3,FALSE),"")</f>
        <v/>
      </c>
      <c r="R146" s="61" t="str">
        <f>_xlfn.IFNA(VLOOKUP($F146,tblInfluence[],4,FALSE),"")</f>
        <v/>
      </c>
      <c r="Y146" s="15" t="s">
        <v>188</v>
      </c>
      <c r="Z146" s="19"/>
      <c r="AA146" s="61" t="str">
        <f t="shared" si="22"/>
        <v/>
      </c>
      <c r="AC146" s="60"/>
      <c r="AD146" s="20"/>
      <c r="AE146" s="20" t="str">
        <f t="shared" si="23"/>
        <v/>
      </c>
      <c r="AF146" s="61" t="str" cm="1">
        <f t="array" ref="AF146">IF(AC146="","",SUMPRODUCT(($F$138:$F$157=AC146)*($G$138:$G$157=IF(AD146="","",AD146))*$P$138:$P$157))</f>
        <v/>
      </c>
    </row>
    <row r="147" spans="1:32">
      <c r="A147" s="1" t="s">
        <v>146</v>
      </c>
      <c r="B147" t="str">
        <f t="shared" si="26"/>
        <v>You earn influence from Allies, Contacts, and wide Mortal Status one step lower than normal. 1 point of influence at 2 dots or 4 dots respectively.</v>
      </c>
      <c r="D147" s="19"/>
      <c r="E147" s="15" t="s">
        <v>185</v>
      </c>
      <c r="F147" s="3"/>
      <c r="G147" s="3" t="str">
        <f>IFERROR(VLOOKUP(F147,tblManoeuvre[],2,FALSE)&amp;" "&amp;VLOOKUP(F147,tblManoeuvre[],3,FALSE),"")</f>
        <v/>
      </c>
      <c r="H147" s="67" t="str">
        <f>IFERROR(IF(VLOOKUP(F147,tblManoeuvre[],8,FALSE)=0,"None",VLOOKUP(F147,tblManoeuvre[],8,FALSE)),"None")</f>
        <v>None</v>
      </c>
      <c r="I147" s="67"/>
      <c r="L147" s="4"/>
      <c r="M147" s="4"/>
      <c r="N147" s="4"/>
      <c r="O147" s="61">
        <f t="shared" si="24"/>
        <v>0</v>
      </c>
      <c r="P147" s="60">
        <f t="shared" si="25"/>
        <v>0</v>
      </c>
      <c r="Q147" s="61" t="str">
        <f>_xlfn.IFNA(VLOOKUP($F147,tblInfluence[],3,FALSE),"")</f>
        <v/>
      </c>
      <c r="R147" s="61" t="str">
        <f>_xlfn.IFNA(VLOOKUP($F147,tblInfluence[],4,FALSE),"")</f>
        <v/>
      </c>
      <c r="Y147" s="15" t="s">
        <v>189</v>
      </c>
      <c r="Z147" s="19"/>
      <c r="AA147" s="61" t="str">
        <f t="shared" si="22"/>
        <v/>
      </c>
      <c r="AC147" s="60"/>
      <c r="AD147" s="20"/>
      <c r="AE147" s="20" t="str">
        <f t="shared" si="23"/>
        <v/>
      </c>
      <c r="AF147" s="61" t="str" cm="1">
        <f t="array" ref="AF147">IF(AC147="","",SUMPRODUCT(($F$138:$F$157=AC147)*($G$138:$G$157=IF(AD147="","",AD147))*$P$138:$P$157))</f>
        <v/>
      </c>
    </row>
    <row r="148" spans="1:32">
      <c r="A148" s="1" t="s">
        <v>147</v>
      </c>
      <c r="B148" t="str">
        <f t="shared" si="26"/>
        <v>+2 to contest or resist supernatural mental influence.</v>
      </c>
      <c r="D148" s="19"/>
      <c r="E148" s="15" t="s">
        <v>186</v>
      </c>
      <c r="F148" s="3"/>
      <c r="G148" s="3" t="str">
        <f>IFERROR(VLOOKUP(F148,tblManoeuvre[],2,FALSE)&amp;" "&amp;VLOOKUP(F148,tblManoeuvre[],3,FALSE),"")</f>
        <v/>
      </c>
      <c r="H148" s="67" t="str">
        <f>IFERROR(IF(VLOOKUP(F148,tblManoeuvre[],8,FALSE)=0,"None",VLOOKUP(F148,tblManoeuvre[],8,FALSE)),"None")</f>
        <v>None</v>
      </c>
      <c r="I148" s="67"/>
      <c r="L148" s="4"/>
      <c r="M148" s="4"/>
      <c r="N148" s="4"/>
      <c r="O148" s="61">
        <f t="shared" si="24"/>
        <v>0</v>
      </c>
      <c r="P148" s="60">
        <f t="shared" si="25"/>
        <v>0</v>
      </c>
      <c r="Q148" s="61" t="str">
        <f>_xlfn.IFNA(VLOOKUP($F148,tblInfluence[],3,FALSE),"")</f>
        <v/>
      </c>
      <c r="R148" s="61" t="str">
        <f>_xlfn.IFNA(VLOOKUP($F148,tblInfluence[],4,FALSE),"")</f>
        <v/>
      </c>
      <c r="Y148" s="15" t="s">
        <v>190</v>
      </c>
      <c r="Z148" s="19"/>
      <c r="AA148" s="61" t="str">
        <f t="shared" si="22"/>
        <v/>
      </c>
      <c r="AC148" s="60"/>
      <c r="AD148" s="20"/>
      <c r="AE148" s="20" t="str">
        <f t="shared" si="23"/>
        <v/>
      </c>
      <c r="AF148" s="61" t="str" cm="1">
        <f t="array" ref="AF148">IF(AC148="","",SUMPRODUCT(($F$138:$F$157=AC148)*($G$138:$G$157=IF(AD148="","",AD148))*$P$138:$P$157))</f>
        <v/>
      </c>
    </row>
    <row r="149" spans="1:32">
      <c r="A149" s="1" t="s">
        <v>148</v>
      </c>
      <c r="B149" t="str">
        <f t="shared" si="26"/>
        <v>Dots in Status or Mystery Cult Initiation representing human secret societies also count as dots of Herd.</v>
      </c>
      <c r="D149" s="19"/>
      <c r="E149" s="15" t="s">
        <v>187</v>
      </c>
      <c r="F149" s="3"/>
      <c r="G149" s="3" t="str">
        <f>IFERROR(VLOOKUP(F149,tblManoeuvre[],2,FALSE)&amp;" "&amp;VLOOKUP(F149,tblManoeuvre[],3,FALSE),"")</f>
        <v/>
      </c>
      <c r="H149" s="67" t="str">
        <f>IFERROR(IF(VLOOKUP(F149,tblManoeuvre[],8,FALSE)=0,"None",VLOOKUP(F149,tblManoeuvre[],8,FALSE)),"None")</f>
        <v>None</v>
      </c>
      <c r="I149" s="67"/>
      <c r="L149" s="4"/>
      <c r="M149" s="4"/>
      <c r="N149" s="4"/>
      <c r="O149" s="61">
        <f t="shared" si="24"/>
        <v>0</v>
      </c>
      <c r="P149" s="60">
        <f t="shared" si="25"/>
        <v>0</v>
      </c>
      <c r="Q149" s="61" t="str">
        <f>_xlfn.IFNA(VLOOKUP($F149,tblInfluence[],3,FALSE),"")</f>
        <v/>
      </c>
      <c r="R149" s="61" t="str">
        <f>_xlfn.IFNA(VLOOKUP($F149,tblInfluence[],4,FALSE),"")</f>
        <v/>
      </c>
      <c r="Y149" s="15" t="s">
        <v>191</v>
      </c>
      <c r="Z149" s="19"/>
      <c r="AA149" s="61" t="str">
        <f t="shared" si="22"/>
        <v/>
      </c>
      <c r="AC149" s="60"/>
      <c r="AD149" s="20"/>
      <c r="AE149" s="20" t="str">
        <f t="shared" si="23"/>
        <v/>
      </c>
      <c r="AF149" s="61" t="str" cm="1">
        <f t="array" ref="AF149">IF(AC149="","",SUMPRODUCT(($F$138:$F$157=AC149)*($G$138:$G$157=IF(AD149="","",AD149))*$P$138:$P$157))</f>
        <v/>
      </c>
    </row>
    <row r="150" spans="1:32">
      <c r="A150" s="1" t="s">
        <v>149</v>
      </c>
      <c r="B150" t="str">
        <f t="shared" si="26"/>
        <v>¬</v>
      </c>
      <c r="D150" s="19"/>
      <c r="E150" s="15" t="s">
        <v>188</v>
      </c>
      <c r="F150" s="3"/>
      <c r="G150" s="3" t="str">
        <f>IFERROR(VLOOKUP(F150,tblManoeuvre[],2,FALSE)&amp;" "&amp;VLOOKUP(F150,tblManoeuvre[],3,FALSE),"")</f>
        <v/>
      </c>
      <c r="H150" s="67" t="str">
        <f>IFERROR(IF(VLOOKUP(F150,tblManoeuvre[],8,FALSE)=0,"None",VLOOKUP(F150,tblManoeuvre[],8,FALSE)),"None")</f>
        <v>None</v>
      </c>
      <c r="I150" s="67"/>
      <c r="L150" s="4"/>
      <c r="M150" s="4"/>
      <c r="N150" s="4"/>
      <c r="O150" s="61">
        <f t="shared" si="24"/>
        <v>0</v>
      </c>
      <c r="P150" s="60">
        <f t="shared" si="25"/>
        <v>0</v>
      </c>
      <c r="Q150" s="61" t="str">
        <f>_xlfn.IFNA(VLOOKUP($F150,tblInfluence[],3,FALSE),"")</f>
        <v/>
      </c>
      <c r="R150" s="61" t="str">
        <f>_xlfn.IFNA(VLOOKUP($F150,tblInfluence[],4,FALSE),"")</f>
        <v/>
      </c>
      <c r="Y150" s="15" t="s">
        <v>192</v>
      </c>
      <c r="Z150" s="19"/>
      <c r="AA150" s="61" t="str">
        <f t="shared" si="22"/>
        <v/>
      </c>
      <c r="AC150" s="60"/>
      <c r="AD150" s="20"/>
      <c r="AE150" s="20" t="str">
        <f t="shared" si="23"/>
        <v/>
      </c>
      <c r="AF150" s="61" t="str" cm="1">
        <f t="array" ref="AF150">IF(AC150="","",SUMPRODUCT(($F$138:$F$157=AC150)*($G$138:$G$157=IF(AD150="","",AD150))*$P$138:$P$157))</f>
        <v/>
      </c>
    </row>
    <row r="151" spans="1:32">
      <c r="A151" s="1" t="s">
        <v>150</v>
      </c>
      <c r="B151" t="str">
        <f t="shared" si="26"/>
        <v>¬</v>
      </c>
      <c r="D151" s="19"/>
      <c r="E151" s="15" t="s">
        <v>189</v>
      </c>
      <c r="F151" s="3"/>
      <c r="G151" s="3" t="str">
        <f>IFERROR(VLOOKUP(F151,tblManoeuvre[],2,FALSE)&amp;" "&amp;VLOOKUP(F151,tblManoeuvre[],3,FALSE),"")</f>
        <v/>
      </c>
      <c r="H151" s="67" t="str">
        <f>IFERROR(IF(VLOOKUP(F151,tblManoeuvre[],8,FALSE)=0,"None",VLOOKUP(F151,tblManoeuvre[],8,FALSE)),"None")</f>
        <v>None</v>
      </c>
      <c r="I151" s="67"/>
      <c r="L151" s="4"/>
      <c r="M151" s="4"/>
      <c r="N151" s="4"/>
      <c r="O151" s="61">
        <f t="shared" si="24"/>
        <v>0</v>
      </c>
      <c r="P151" s="60">
        <f t="shared" si="25"/>
        <v>0</v>
      </c>
      <c r="Q151" s="61" t="str">
        <f>_xlfn.IFNA(VLOOKUP($F151,tblInfluence[],3,FALSE),"")</f>
        <v/>
      </c>
      <c r="R151" s="61" t="str">
        <f>_xlfn.IFNA(VLOOKUP($F151,tblInfluence[],4,FALSE),"")</f>
        <v/>
      </c>
      <c r="Y151" s="15" t="s">
        <v>193</v>
      </c>
      <c r="Z151" s="19"/>
      <c r="AA151" s="61" t="str">
        <f t="shared" si="22"/>
        <v/>
      </c>
      <c r="AC151" s="60"/>
      <c r="AD151" s="20"/>
      <c r="AE151" s="20" t="str">
        <f t="shared" si="23"/>
        <v/>
      </c>
      <c r="AF151" s="61" t="str" cm="1">
        <f t="array" ref="AF151">IF(AC151="","",SUMPRODUCT(($F$138:$F$157=AC151)*($G$138:$G$157=IF(AD151="","",AD151))*$P$138:$P$157))</f>
        <v/>
      </c>
    </row>
    <row r="152" spans="1:32">
      <c r="A152" s="1" t="s">
        <v>151</v>
      </c>
      <c r="B152" t="str">
        <f t="shared" si="26"/>
        <v>¬</v>
      </c>
      <c r="D152" s="19"/>
      <c r="E152" s="15" t="s">
        <v>190</v>
      </c>
      <c r="F152" s="3"/>
      <c r="G152" s="3" t="str">
        <f>IFERROR(VLOOKUP(F152,tblManoeuvre[],2,FALSE)&amp;" "&amp;VLOOKUP(F152,tblManoeuvre[],3,FALSE),"")</f>
        <v/>
      </c>
      <c r="H152" s="67" t="str">
        <f>IFERROR(IF(VLOOKUP(F152,tblManoeuvre[],8,FALSE)=0,"None",VLOOKUP(F152,tblManoeuvre[],8,FALSE)),"None")</f>
        <v>None</v>
      </c>
      <c r="I152" s="67"/>
      <c r="L152" s="4"/>
      <c r="M152" s="4"/>
      <c r="N152" s="4"/>
      <c r="O152" s="61">
        <f t="shared" si="24"/>
        <v>0</v>
      </c>
      <c r="P152" s="60">
        <f t="shared" si="25"/>
        <v>0</v>
      </c>
      <c r="Q152" s="61" t="str">
        <f>_xlfn.IFNA(VLOOKUP($F152,tblInfluence[],3,FALSE),"")</f>
        <v/>
      </c>
      <c r="R152" s="61" t="str">
        <f>_xlfn.IFNA(VLOOKUP($F152,tblInfluence[],4,FALSE),"")</f>
        <v/>
      </c>
      <c r="Y152" s="15" t="s">
        <v>194</v>
      </c>
      <c r="Z152" s="19"/>
      <c r="AA152" s="61" t="str">
        <f t="shared" si="22"/>
        <v/>
      </c>
      <c r="AC152" s="60"/>
      <c r="AD152" s="20"/>
      <c r="AE152" s="20" t="str">
        <f t="shared" si="23"/>
        <v/>
      </c>
      <c r="AF152" s="61" t="str" cm="1">
        <f t="array" ref="AF152">IF(AC152="","",SUMPRODUCT(($F$138:$F$157=AC152)*($G$138:$G$157=IF(AD152="","",AD152))*$P$138:$P$157))</f>
        <v/>
      </c>
    </row>
    <row r="153" spans="1:32">
      <c r="A153" s="1" t="s">
        <v>152</v>
      </c>
      <c r="B153" t="str">
        <f t="shared" si="26"/>
        <v>¬</v>
      </c>
      <c r="D153" s="19"/>
      <c r="E153" s="15" t="s">
        <v>191</v>
      </c>
      <c r="F153" s="3"/>
      <c r="G153" s="3" t="str">
        <f>IFERROR(VLOOKUP(F153,tblManoeuvre[],2,FALSE)&amp;" "&amp;VLOOKUP(F153,tblManoeuvre[],3,FALSE),"")</f>
        <v/>
      </c>
      <c r="H153" s="67" t="str">
        <f>IFERROR(IF(VLOOKUP(F153,tblManoeuvre[],8,FALSE)=0,"None",VLOOKUP(F153,tblManoeuvre[],8,FALSE)),"None")</f>
        <v>None</v>
      </c>
      <c r="I153" s="67"/>
      <c r="L153" s="4"/>
      <c r="M153" s="4"/>
      <c r="N153" s="4"/>
      <c r="O153" s="61">
        <f t="shared" si="24"/>
        <v>0</v>
      </c>
      <c r="P153" s="60">
        <f t="shared" si="25"/>
        <v>0</v>
      </c>
      <c r="Q153" s="61" t="str">
        <f>_xlfn.IFNA(VLOOKUP($F153,tblInfluence[],3,FALSE),"")</f>
        <v/>
      </c>
      <c r="R153" s="61" t="str">
        <f>_xlfn.IFNA(VLOOKUP($F153,tblInfluence[],4,FALSE),"")</f>
        <v/>
      </c>
      <c r="Y153" s="15" t="s">
        <v>195</v>
      </c>
      <c r="Z153" s="19"/>
      <c r="AA153" s="61" t="str">
        <f t="shared" si="22"/>
        <v/>
      </c>
      <c r="AC153" s="60"/>
      <c r="AD153" s="20"/>
      <c r="AE153" s="20" t="str">
        <f t="shared" si="23"/>
        <v/>
      </c>
      <c r="AF153" s="61" t="str" cm="1">
        <f t="array" ref="AF153">IF(AC153="","",SUMPRODUCT(($F$138:$F$157=AC153)*($G$138:$G$157=IF(AD153="","",AD153))*$P$138:$P$157))</f>
        <v/>
      </c>
    </row>
    <row r="154" spans="1:32">
      <c r="A154" s="1" t="s">
        <v>153</v>
      </c>
      <c r="B154" t="str">
        <f t="shared" si="26"/>
        <v>¬</v>
      </c>
      <c r="D154" s="19"/>
      <c r="E154" s="15" t="s">
        <v>192</v>
      </c>
      <c r="F154" s="3"/>
      <c r="G154" s="3" t="str">
        <f>IFERROR(VLOOKUP(F154,tblManoeuvre[],2,FALSE)&amp;" "&amp;VLOOKUP(F154,tblManoeuvre[],3,FALSE),"")</f>
        <v/>
      </c>
      <c r="H154" s="67" t="str">
        <f>IFERROR(IF(VLOOKUP(F154,tblManoeuvre[],8,FALSE)=0,"None",VLOOKUP(F154,tblManoeuvre[],8,FALSE)),"None")</f>
        <v>None</v>
      </c>
      <c r="I154" s="67"/>
      <c r="L154" s="4"/>
      <c r="M154" s="4"/>
      <c r="N154" s="4"/>
      <c r="O154" s="61">
        <f t="shared" si="24"/>
        <v>0</v>
      </c>
      <c r="P154" s="60">
        <f t="shared" si="25"/>
        <v>0</v>
      </c>
      <c r="Q154" s="61" t="str">
        <f>_xlfn.IFNA(VLOOKUP($F154,tblInfluence[],3,FALSE),"")</f>
        <v/>
      </c>
      <c r="R154" s="61" t="str">
        <f>_xlfn.IFNA(VLOOKUP($F154,tblInfluence[],4,FALSE),"")</f>
        <v/>
      </c>
    </row>
    <row r="155" spans="1:32">
      <c r="A155" s="1" t="s">
        <v>154</v>
      </c>
      <c r="B155" t="str">
        <f t="shared" si="26"/>
        <v>¬</v>
      </c>
      <c r="D155" s="19"/>
      <c r="E155" s="15" t="s">
        <v>193</v>
      </c>
      <c r="F155" s="3"/>
      <c r="G155" s="3" t="str">
        <f>IFERROR(VLOOKUP(F155,tblManoeuvre[],2,FALSE)&amp;" "&amp;VLOOKUP(F155,tblManoeuvre[],3,FALSE),"")</f>
        <v/>
      </c>
      <c r="H155" s="67" t="str">
        <f>IFERROR(IF(VLOOKUP(F155,tblManoeuvre[],8,FALSE)=0,"None",VLOOKUP(F155,tblManoeuvre[],8,FALSE)),"None")</f>
        <v>None</v>
      </c>
      <c r="I155" s="67"/>
      <c r="L155" s="4"/>
      <c r="M155" s="4"/>
      <c r="N155" s="4"/>
      <c r="O155" s="61">
        <f t="shared" si="24"/>
        <v>0</v>
      </c>
      <c r="P155" s="60">
        <f t="shared" si="25"/>
        <v>0</v>
      </c>
      <c r="Q155" s="61" t="str">
        <f>_xlfn.IFNA(VLOOKUP($F155,tblInfluence[],3,FALSE),"")</f>
        <v/>
      </c>
      <c r="R155" s="61" t="str">
        <f>_xlfn.IFNA(VLOOKUP($F155,tblInfluence[],4,FALSE),"")</f>
        <v/>
      </c>
      <c r="AE155" s="61">
        <f>IF(P160=5,1,0)</f>
        <v>1</v>
      </c>
    </row>
    <row r="156" spans="1:32">
      <c r="A156" s="1" t="s">
        <v>155</v>
      </c>
      <c r="B156" t="str">
        <f t="shared" si="26"/>
        <v>¬</v>
      </c>
      <c r="D156" s="19"/>
      <c r="E156" s="15" t="s">
        <v>194</v>
      </c>
      <c r="F156" s="3"/>
      <c r="G156" s="3" t="str">
        <f>IFERROR(VLOOKUP(F156,tblManoeuvre[],2,FALSE)&amp;" "&amp;VLOOKUP(F156,tblManoeuvre[],3,FALSE),"")</f>
        <v/>
      </c>
      <c r="H156" s="67" t="str">
        <f>IFERROR(IF(VLOOKUP(F156,tblManoeuvre[],8,FALSE)=0,"None",VLOOKUP(F156,tblManoeuvre[],8,FALSE)),"None")</f>
        <v>None</v>
      </c>
      <c r="I156" s="67"/>
      <c r="L156" s="4"/>
      <c r="M156" s="4"/>
      <c r="N156" s="4"/>
      <c r="O156" s="61">
        <f t="shared" si="24"/>
        <v>0</v>
      </c>
      <c r="P156" s="60">
        <f t="shared" si="25"/>
        <v>0</v>
      </c>
      <c r="Q156" s="61" t="str">
        <f>_xlfn.IFNA(VLOOKUP($F156,tblInfluence[],3,FALSE),"")</f>
        <v/>
      </c>
      <c r="R156" s="61" t="str">
        <f>_xlfn.IFNA(VLOOKUP($F156,tblInfluence[],4,FALSE),"")</f>
        <v/>
      </c>
      <c r="AE156" s="61" t="b">
        <f>COUNTIF(AA2:AA21,"*Honey With Vinegar*")&gt;0</f>
        <v>1</v>
      </c>
    </row>
    <row r="157" spans="1:32">
      <c r="A157" s="1" t="s">
        <v>156</v>
      </c>
      <c r="B157" t="str">
        <f t="shared" si="26"/>
        <v>¬</v>
      </c>
      <c r="D157" s="19"/>
      <c r="E157" s="15" t="s">
        <v>195</v>
      </c>
      <c r="F157" s="3"/>
      <c r="G157" s="3" t="str">
        <f>IFERROR(VLOOKUP(F157,tblManoeuvre[],2,FALSE)&amp;" "&amp;VLOOKUP(F157,tblManoeuvre[],3,FALSE),"")</f>
        <v/>
      </c>
      <c r="H157" s="67" t="str">
        <f>IFERROR(IF(VLOOKUP(F157,tblManoeuvre[],8,FALSE)=0,"None",VLOOKUP(F157,tblManoeuvre[],8,FALSE)),"None")</f>
        <v>None</v>
      </c>
      <c r="I157" s="67"/>
      <c r="L157" s="4"/>
      <c r="M157" s="4"/>
      <c r="N157" s="4"/>
      <c r="O157" s="61">
        <f t="shared" si="24"/>
        <v>0</v>
      </c>
      <c r="P157" s="60">
        <f t="shared" si="25"/>
        <v>0</v>
      </c>
      <c r="Q157" s="61" t="str">
        <f>_xlfn.IFNA(VLOOKUP($F157,tblInfluence[],3,FALSE),"")</f>
        <v/>
      </c>
      <c r="R157" s="61" t="str">
        <f>_xlfn.IFNA(VLOOKUP($F157,tblInfluence[],4,FALSE),"")</f>
        <v/>
      </c>
    </row>
    <row r="158" spans="1:32">
      <c r="A158" s="1" t="s">
        <v>157</v>
      </c>
      <c r="B158" t="str">
        <f t="shared" si="26"/>
        <v>¬</v>
      </c>
    </row>
    <row r="159" spans="1:32">
      <c r="A159" s="1" t="s">
        <v>158</v>
      </c>
      <c r="B159" t="str">
        <f t="shared" si="26"/>
        <v>¬</v>
      </c>
      <c r="D159" s="16" t="s">
        <v>1486</v>
      </c>
      <c r="E159" s="17"/>
      <c r="F159" s="17" t="s">
        <v>1487</v>
      </c>
      <c r="G159" s="17"/>
      <c r="H159" s="17"/>
      <c r="I159" s="17"/>
    </row>
    <row r="160" spans="1:32">
      <c r="A160" s="1" t="s">
        <v>159</v>
      </c>
      <c r="B160" t="str">
        <f t="shared" si="26"/>
        <v>¬</v>
      </c>
      <c r="D160" s="19"/>
      <c r="E160" s="15" t="s">
        <v>98</v>
      </c>
      <c r="F160" s="3" t="s">
        <v>1789</v>
      </c>
      <c r="G160" s="60"/>
      <c r="H160" s="60"/>
      <c r="I160" s="60"/>
      <c r="L160" s="4">
        <v>5</v>
      </c>
      <c r="M160" s="4"/>
      <c r="N160" s="4"/>
      <c r="O160" s="61">
        <f>N160</f>
        <v>0</v>
      </c>
      <c r="P160" s="60">
        <f>MIN(SUM(L160,M160,O160),R160)</f>
        <v>5</v>
      </c>
      <c r="Q160" s="61">
        <v>1</v>
      </c>
      <c r="R160" s="61">
        <v>5</v>
      </c>
    </row>
    <row r="161" spans="1:18">
      <c r="A161" s="1" t="s">
        <v>160</v>
      </c>
      <c r="B161" t="str">
        <f t="shared" si="26"/>
        <v>¬</v>
      </c>
      <c r="D161" s="19"/>
      <c r="E161" s="15" t="s">
        <v>100</v>
      </c>
      <c r="F161" s="3"/>
      <c r="G161" s="60"/>
      <c r="H161" s="60"/>
      <c r="I161" s="60"/>
      <c r="L161" s="4"/>
      <c r="M161" s="4"/>
      <c r="N161" s="4"/>
      <c r="O161" s="61">
        <f>N161</f>
        <v>0</v>
      </c>
      <c r="P161" s="60">
        <f>MIN(SUM(L161,M161,O161),R161)</f>
        <v>0</v>
      </c>
      <c r="Q161" s="61">
        <v>1</v>
      </c>
      <c r="R161" s="61">
        <v>5</v>
      </c>
    </row>
    <row r="162" spans="1:18">
      <c r="A162" s="1" t="s">
        <v>161</v>
      </c>
      <c r="B162" t="str">
        <f t="shared" si="26"/>
        <v>¬</v>
      </c>
    </row>
    <row r="163" spans="1:18" ht="15.75" thickBot="1">
      <c r="A163" s="1" t="s">
        <v>162</v>
      </c>
      <c r="B163" t="str">
        <f t="shared" si="26"/>
        <v>¬</v>
      </c>
      <c r="D163" s="14" t="s">
        <v>1488</v>
      </c>
      <c r="E163" s="14"/>
      <c r="F163" s="14"/>
      <c r="G163" s="14"/>
      <c r="H163" s="14"/>
      <c r="I163" s="14"/>
      <c r="N163" s="60">
        <f>SUM(N165:N174)+SUM(N177:N181)+SUM(N184:N185)+SUM(N187:N191)+SUM(N194:N203)</f>
        <v>18</v>
      </c>
    </row>
    <row r="164" spans="1:18">
      <c r="A164" s="1" t="s">
        <v>163</v>
      </c>
      <c r="B164" t="str">
        <f t="shared" si="26"/>
        <v>¬</v>
      </c>
      <c r="D164" s="16" t="s">
        <v>1489</v>
      </c>
      <c r="E164" s="15" t="s">
        <v>1490</v>
      </c>
      <c r="F164" s="61" t="str">
        <f>IFERROR(IF($F$8="",VLOOKUP($F$7,tblClans[],5,FALSE),VLOOKUP($F$8,tblBloodlines[],5,FALSE)),"")</f>
        <v>Nightmare</v>
      </c>
      <c r="G164" s="61" t="str">
        <f>IFERROR(IF($F$8="",VLOOKUP($F$7,tblClans[],6,FALSE),VLOOKUP($F$8,tblBloodlines[],6,FALSE)),"")</f>
        <v>Obfuscate</v>
      </c>
      <c r="H164" s="61" t="str">
        <f>IFERROR(IF($F$8="",VLOOKUP($F$7,tblClans[],7,FALSE),VLOOKUP($F$8,tblBloodlines[],7,FALSE)),"")</f>
        <v>Vigour</v>
      </c>
      <c r="I164" s="61" t="str">
        <f>IFERROR(IF($F$8="",VLOOKUP($F$7,tblClans[],8,FALSE),VLOOKUP($F$8,tblBloodlines[],8,FALSE)),"")</f>
        <v/>
      </c>
      <c r="L164" s="60">
        <f>3-SUM(L165:L174)-SUM(L184:L185)</f>
        <v>0</v>
      </c>
    </row>
    <row r="165" spans="1:18">
      <c r="A165" s="1" t="s">
        <v>164</v>
      </c>
      <c r="B165" t="str">
        <f t="shared" si="26"/>
        <v>¬</v>
      </c>
      <c r="D165" s="19"/>
      <c r="E165" s="15" t="s">
        <v>236</v>
      </c>
      <c r="F165" s="19"/>
      <c r="G165" s="19"/>
      <c r="H165" s="19"/>
      <c r="I165" s="19"/>
      <c r="L165" s="4"/>
      <c r="N165" s="4"/>
      <c r="O165" s="61">
        <f t="shared" ref="O165:O174" si="27">ROUNDDOWN(IF(COUNTIF($F$164:$I$164,$E165)&gt;0,N165/3,N165/4),0)</f>
        <v>0</v>
      </c>
      <c r="P165" s="60">
        <f>MIN(SUM(L165,O165),R165)</f>
        <v>0</v>
      </c>
      <c r="Q165" s="61">
        <v>0</v>
      </c>
      <c r="R165" s="61">
        <v>5</v>
      </c>
    </row>
    <row r="166" spans="1:18">
      <c r="A166" s="1" t="s">
        <v>165</v>
      </c>
      <c r="B166" t="str">
        <f t="shared" si="26"/>
        <v>¬</v>
      </c>
      <c r="D166" s="19"/>
      <c r="E166" s="15" t="s">
        <v>237</v>
      </c>
      <c r="F166" s="19"/>
      <c r="G166" s="19"/>
      <c r="H166" s="19"/>
      <c r="I166" s="19"/>
      <c r="L166" s="4">
        <v>1</v>
      </c>
      <c r="N166" s="4"/>
      <c r="O166" s="61">
        <f t="shared" si="27"/>
        <v>0</v>
      </c>
      <c r="P166" s="60">
        <f t="shared" ref="P166:P174" si="28">MIN(SUM(L166,O166),R166)</f>
        <v>1</v>
      </c>
      <c r="Q166" s="61">
        <v>0</v>
      </c>
      <c r="R166" s="61">
        <v>5</v>
      </c>
    </row>
    <row r="167" spans="1:18">
      <c r="A167" s="1" t="s">
        <v>166</v>
      </c>
      <c r="B167" t="str">
        <f t="shared" si="26"/>
        <v>¬</v>
      </c>
      <c r="D167" s="19"/>
      <c r="E167" s="15" t="s">
        <v>238</v>
      </c>
      <c r="F167" s="19"/>
      <c r="G167" s="19"/>
      <c r="H167" s="19"/>
      <c r="I167" s="19"/>
      <c r="L167" s="4"/>
      <c r="N167" s="4"/>
      <c r="O167" s="61">
        <f t="shared" si="27"/>
        <v>0</v>
      </c>
      <c r="P167" s="60">
        <f t="shared" si="28"/>
        <v>0</v>
      </c>
      <c r="Q167" s="61">
        <v>0</v>
      </c>
      <c r="R167" s="61">
        <v>5</v>
      </c>
    </row>
    <row r="168" spans="1:18">
      <c r="A168" s="1" t="s">
        <v>167</v>
      </c>
      <c r="B168" t="str">
        <f t="shared" si="26"/>
        <v>¬</v>
      </c>
      <c r="D168" s="19"/>
      <c r="E168" s="15" t="s">
        <v>239</v>
      </c>
      <c r="F168" s="19"/>
      <c r="G168" s="19"/>
      <c r="H168" s="19"/>
      <c r="I168" s="19"/>
      <c r="L168" s="4"/>
      <c r="N168" s="4"/>
      <c r="O168" s="61">
        <f t="shared" si="27"/>
        <v>0</v>
      </c>
      <c r="P168" s="60">
        <f t="shared" si="28"/>
        <v>0</v>
      </c>
      <c r="Q168" s="61">
        <v>0</v>
      </c>
      <c r="R168" s="61">
        <v>5</v>
      </c>
    </row>
    <row r="169" spans="1:18">
      <c r="A169" s="1" t="s">
        <v>168</v>
      </c>
      <c r="B169" t="str">
        <f t="shared" si="26"/>
        <v>¬</v>
      </c>
      <c r="D169" s="19"/>
      <c r="E169" s="15" t="s">
        <v>240</v>
      </c>
      <c r="F169" s="19"/>
      <c r="G169" s="19"/>
      <c r="H169" s="19"/>
      <c r="I169" s="19"/>
      <c r="L169" s="4"/>
      <c r="N169" s="4"/>
      <c r="O169" s="61">
        <f t="shared" si="27"/>
        <v>0</v>
      </c>
      <c r="P169" s="60">
        <f t="shared" si="28"/>
        <v>0</v>
      </c>
      <c r="Q169" s="61">
        <v>0</v>
      </c>
      <c r="R169" s="61">
        <v>5</v>
      </c>
    </row>
    <row r="170" spans="1:18">
      <c r="A170" s="1" t="s">
        <v>169</v>
      </c>
      <c r="B170" t="str">
        <f t="shared" si="26"/>
        <v>¬</v>
      </c>
      <c r="D170" s="19"/>
      <c r="E170" s="15" t="s">
        <v>241</v>
      </c>
      <c r="F170" s="19"/>
      <c r="G170" s="19"/>
      <c r="H170" s="19"/>
      <c r="I170" s="19"/>
      <c r="L170" s="4">
        <v>2</v>
      </c>
      <c r="N170" s="4">
        <v>6</v>
      </c>
      <c r="O170" s="61">
        <f t="shared" si="27"/>
        <v>2</v>
      </c>
      <c r="P170" s="60">
        <f t="shared" si="28"/>
        <v>4</v>
      </c>
      <c r="Q170" s="61">
        <v>0</v>
      </c>
      <c r="R170" s="61">
        <v>5</v>
      </c>
    </row>
    <row r="171" spans="1:18">
      <c r="A171" s="1" t="s">
        <v>170</v>
      </c>
      <c r="B171" t="str">
        <f t="shared" si="26"/>
        <v>¬</v>
      </c>
      <c r="D171" s="19"/>
      <c r="E171" s="15" t="s">
        <v>242</v>
      </c>
      <c r="F171" s="19"/>
      <c r="G171" s="19"/>
      <c r="H171" s="19"/>
      <c r="I171" s="19"/>
      <c r="L171" s="4"/>
      <c r="N171" s="4">
        <v>12</v>
      </c>
      <c r="O171" s="61">
        <f t="shared" si="27"/>
        <v>4</v>
      </c>
      <c r="P171" s="60">
        <f t="shared" si="28"/>
        <v>4</v>
      </c>
      <c r="Q171" s="61">
        <v>0</v>
      </c>
      <c r="R171" s="61">
        <v>5</v>
      </c>
    </row>
    <row r="172" spans="1:18">
      <c r="A172" s="1" t="s">
        <v>171</v>
      </c>
      <c r="B172" t="str">
        <f t="shared" si="26"/>
        <v>¬</v>
      </c>
      <c r="D172" s="19"/>
      <c r="E172" s="15" t="s">
        <v>243</v>
      </c>
      <c r="F172" s="19"/>
      <c r="G172" s="19"/>
      <c r="H172" s="19"/>
      <c r="I172" s="19"/>
      <c r="L172" s="4"/>
      <c r="N172" s="4"/>
      <c r="O172" s="61">
        <f t="shared" si="27"/>
        <v>0</v>
      </c>
      <c r="P172" s="60">
        <f t="shared" si="28"/>
        <v>0</v>
      </c>
      <c r="Q172" s="61">
        <v>0</v>
      </c>
      <c r="R172" s="61">
        <v>5</v>
      </c>
    </row>
    <row r="173" spans="1:18">
      <c r="A173" s="1" t="s">
        <v>172</v>
      </c>
      <c r="B173" t="str">
        <f t="shared" si="26"/>
        <v>¬</v>
      </c>
      <c r="D173" s="19"/>
      <c r="E173" s="15" t="s">
        <v>244</v>
      </c>
      <c r="F173" s="19"/>
      <c r="G173" s="19"/>
      <c r="H173" s="19"/>
      <c r="I173" s="19"/>
      <c r="L173" s="4"/>
      <c r="N173" s="4"/>
      <c r="O173" s="61">
        <f t="shared" si="27"/>
        <v>0</v>
      </c>
      <c r="P173" s="60">
        <f t="shared" si="28"/>
        <v>0</v>
      </c>
      <c r="Q173" s="61">
        <v>0</v>
      </c>
      <c r="R173" s="61">
        <v>5</v>
      </c>
    </row>
    <row r="174" spans="1:18">
      <c r="A174" s="1" t="s">
        <v>173</v>
      </c>
      <c r="B174" t="str">
        <f t="shared" si="26"/>
        <v>¬</v>
      </c>
      <c r="D174" s="19"/>
      <c r="E174" s="15" t="s">
        <v>245</v>
      </c>
      <c r="F174" s="19"/>
      <c r="G174" s="19"/>
      <c r="H174" s="19"/>
      <c r="I174" s="19"/>
      <c r="L174" s="4"/>
      <c r="N174" s="4"/>
      <c r="O174" s="61">
        <f t="shared" si="27"/>
        <v>0</v>
      </c>
      <c r="P174" s="60">
        <f t="shared" si="28"/>
        <v>0</v>
      </c>
      <c r="Q174" s="61">
        <v>0</v>
      </c>
      <c r="R174" s="61">
        <v>5</v>
      </c>
    </row>
    <row r="175" spans="1:18">
      <c r="A175" s="1" t="s">
        <v>174</v>
      </c>
      <c r="B175" t="str">
        <f>_xlfn.CONCAT(I137-H137," / ",I137)</f>
        <v>10 / 10</v>
      </c>
    </row>
    <row r="176" spans="1:18">
      <c r="A176" s="1" t="s">
        <v>175</v>
      </c>
      <c r="B176" t="str">
        <f>REPT("□",I137-H137) &amp; REPT("■",H137)</f>
        <v>□□□□□□□□□□</v>
      </c>
      <c r="D176" s="16" t="s">
        <v>1491</v>
      </c>
      <c r="E176" s="16"/>
      <c r="F176" s="16"/>
      <c r="G176" s="16"/>
      <c r="H176" s="16"/>
      <c r="I176" s="16"/>
    </row>
    <row r="177" spans="1:18">
      <c r="A177" s="1" t="s">
        <v>176</v>
      </c>
      <c r="B177" t="str">
        <f t="shared" ref="B177:B196" si="29">IF(AC134="","¬",AC134)</f>
        <v>Allies</v>
      </c>
      <c r="D177" s="19"/>
      <c r="E177" s="15" t="s">
        <v>1492</v>
      </c>
      <c r="F177" s="3"/>
      <c r="G177" s="19"/>
      <c r="H177" s="72" t="str">
        <f>IFERROR(IF(VLOOKUP(F177,tblDisciplines[],14,FALSE)=0,"None",VLOOKUP(F177,tblDisciplines[],14,FALSE)),"None")</f>
        <v>None</v>
      </c>
      <c r="I177" s="73"/>
      <c r="N177" s="4"/>
      <c r="O177" s="61">
        <f>N177</f>
        <v>0</v>
      </c>
      <c r="P177" s="60" t="str">
        <f>IF(O177=R177,O177,"")</f>
        <v/>
      </c>
      <c r="R177" s="61" t="str">
        <f>_xlfn.IFNA(VLOOKUP(F177,tblDisciplines[],15,FALSE),"")</f>
        <v/>
      </c>
    </row>
    <row r="178" spans="1:18">
      <c r="A178" s="1" t="s">
        <v>177</v>
      </c>
      <c r="B178" t="str">
        <f t="shared" si="29"/>
        <v>Allies</v>
      </c>
      <c r="D178" s="19"/>
      <c r="E178" s="15" t="s">
        <v>1493</v>
      </c>
      <c r="F178" s="3"/>
      <c r="G178" s="19"/>
      <c r="H178" s="72" t="str">
        <f>IFERROR(IF(VLOOKUP(F178,tblDisciplines[],14,FALSE)=0,"None",VLOOKUP(F178,tblDisciplines[],14,FALSE)),"None")</f>
        <v>None</v>
      </c>
      <c r="I178" s="73"/>
      <c r="N178" s="4"/>
      <c r="O178" s="61">
        <f>N178</f>
        <v>0</v>
      </c>
      <c r="P178" s="60" t="str">
        <f>IF(O178=R178,O178,"")</f>
        <v/>
      </c>
      <c r="R178" s="61" t="str">
        <f>_xlfn.IFNA(VLOOKUP(F178,tblDisciplines[],15,FALSE),"")</f>
        <v/>
      </c>
    </row>
    <row r="179" spans="1:18">
      <c r="A179" s="1" t="s">
        <v>178</v>
      </c>
      <c r="B179" t="str">
        <f t="shared" si="29"/>
        <v>Allies</v>
      </c>
      <c r="D179" s="19"/>
      <c r="E179" s="15" t="s">
        <v>1494</v>
      </c>
      <c r="F179" s="3"/>
      <c r="G179" s="19"/>
      <c r="H179" s="72" t="str">
        <f>IFERROR(IF(VLOOKUP(F179,tblDisciplines[],14,FALSE)=0,"None",VLOOKUP(F179,tblDisciplines[],14,FALSE)),"None")</f>
        <v>None</v>
      </c>
      <c r="I179" s="73"/>
      <c r="N179" s="4"/>
      <c r="O179" s="61">
        <f>N179</f>
        <v>0</v>
      </c>
      <c r="P179" s="60" t="str">
        <f>IF(O179=R179,O179,"")</f>
        <v/>
      </c>
      <c r="R179" s="61" t="str">
        <f>_xlfn.IFNA(VLOOKUP(F179,tblDisciplines[],15,FALSE),"")</f>
        <v/>
      </c>
    </row>
    <row r="180" spans="1:18">
      <c r="A180" s="1" t="s">
        <v>179</v>
      </c>
      <c r="B180" t="str">
        <f t="shared" si="29"/>
        <v>Contacts</v>
      </c>
      <c r="D180" s="19"/>
      <c r="E180" s="15" t="s">
        <v>1495</v>
      </c>
      <c r="F180" s="3"/>
      <c r="G180" s="19"/>
      <c r="H180" s="72" t="str">
        <f>IFERROR(IF(VLOOKUP(F180,tblDisciplines[],14,FALSE)=0,"None",VLOOKUP(F180,tblDisciplines[],14,FALSE)),"None")</f>
        <v>None</v>
      </c>
      <c r="I180" s="73"/>
      <c r="N180" s="4"/>
      <c r="O180" s="61">
        <f>N180</f>
        <v>0</v>
      </c>
      <c r="P180" s="60" t="str">
        <f>IF(O180=R180,O180,"")</f>
        <v/>
      </c>
      <c r="R180" s="61" t="str">
        <f>_xlfn.IFNA(VLOOKUP(F180,tblDisciplines[],15,FALSE),"")</f>
        <v/>
      </c>
    </row>
    <row r="181" spans="1:18">
      <c r="A181" s="1" t="s">
        <v>180</v>
      </c>
      <c r="B181" t="str">
        <f t="shared" si="29"/>
        <v>Resources</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29"/>
        <v>¬</v>
      </c>
    </row>
    <row r="183" spans="1:18">
      <c r="A183" s="1" t="s">
        <v>182</v>
      </c>
      <c r="B183" t="str">
        <f t="shared" si="29"/>
        <v>¬</v>
      </c>
      <c r="D183" s="16" t="s">
        <v>1497</v>
      </c>
      <c r="E183" s="16"/>
      <c r="F183" s="16"/>
      <c r="G183" s="16"/>
      <c r="H183" s="16"/>
      <c r="I183" s="16"/>
    </row>
    <row r="184" spans="1:18">
      <c r="A184" s="1" t="s">
        <v>183</v>
      </c>
      <c r="B184" t="str">
        <f t="shared" si="29"/>
        <v>¬</v>
      </c>
      <c r="D184" s="19"/>
      <c r="E184" s="15" t="s">
        <v>246</v>
      </c>
      <c r="F184" s="19"/>
      <c r="G184" s="19"/>
      <c r="H184" s="19"/>
      <c r="I184" s="60" t="b">
        <f>IF(OR(F$9="Circle of the Crone",COUNTIF(F$79:F$93,"Chorister")&gt;0),TRUE,FALSE)</f>
        <v>0</v>
      </c>
      <c r="L184" s="4"/>
      <c r="N184" s="4"/>
      <c r="O184" s="61">
        <f>ROUNDDOWN(N184/4,0)</f>
        <v>0</v>
      </c>
      <c r="P184" s="60">
        <f>SUM(L184,O184)</f>
        <v>0</v>
      </c>
      <c r="Q184" s="61">
        <v>0</v>
      </c>
      <c r="R184" s="61">
        <v>5</v>
      </c>
    </row>
    <row r="185" spans="1:18">
      <c r="A185" s="1" t="s">
        <v>184</v>
      </c>
      <c r="B185" t="str">
        <f t="shared" si="29"/>
        <v>¬</v>
      </c>
      <c r="D185" s="19"/>
      <c r="E185" s="15" t="s">
        <v>247</v>
      </c>
      <c r="F185" s="19"/>
      <c r="G185" s="19"/>
      <c r="H185" s="19"/>
      <c r="I185" s="60" t="b">
        <f>IF(OR(F$9="Lancea et Sanctum",COUNTIF(F$79:F$93,"Laity")&gt;0),TRUE,FALSE)</f>
        <v>0</v>
      </c>
      <c r="L185" s="4"/>
      <c r="N185" s="4"/>
      <c r="O185" s="61">
        <f>ROUNDDOWN(N185/4,0)</f>
        <v>0</v>
      </c>
      <c r="P185" s="60">
        <f>SUM(L185,O185)</f>
        <v>0</v>
      </c>
      <c r="Q185" s="61">
        <v>0</v>
      </c>
      <c r="R185" s="61">
        <v>5</v>
      </c>
    </row>
    <row r="186" spans="1:18">
      <c r="A186" s="1" t="s">
        <v>185</v>
      </c>
      <c r="B186" t="str">
        <f t="shared" si="29"/>
        <v>¬</v>
      </c>
      <c r="D186" s="19"/>
      <c r="E186" s="19"/>
      <c r="F186" s="19"/>
      <c r="G186" s="19"/>
      <c r="H186" s="19"/>
      <c r="I186" s="19"/>
      <c r="L186" s="60">
        <f>SUM(P184:P185)-SUM(L187:L191)</f>
        <v>0</v>
      </c>
    </row>
    <row r="187" spans="1:18">
      <c r="A187" s="1" t="s">
        <v>186</v>
      </c>
      <c r="B187" t="str">
        <f t="shared" si="29"/>
        <v>¬</v>
      </c>
      <c r="D187" s="19"/>
      <c r="E187" s="15" t="s">
        <v>248</v>
      </c>
      <c r="F187" s="19"/>
      <c r="G187" s="19"/>
      <c r="H187" s="19"/>
      <c r="I187" s="19"/>
      <c r="L187" s="4"/>
      <c r="M187" s="61">
        <f>IF(AND(I184,L184&gt;=1),1,0)</f>
        <v>0</v>
      </c>
      <c r="N187" s="4"/>
      <c r="O187" s="61">
        <f>ROUNDDOWN(N187/2,0)</f>
        <v>0</v>
      </c>
      <c r="P187" s="60">
        <f>MIN(SUM(L187,M187,O187),R187)</f>
        <v>0</v>
      </c>
      <c r="Q187" s="61">
        <v>0</v>
      </c>
      <c r="R187" s="61">
        <f>MAX(P$184,P$185)</f>
        <v>0</v>
      </c>
    </row>
    <row r="188" spans="1:18">
      <c r="A188" s="1" t="s">
        <v>187</v>
      </c>
      <c r="B188" t="str">
        <f t="shared" si="29"/>
        <v>¬</v>
      </c>
      <c r="D188" s="19"/>
      <c r="E188" s="15" t="s">
        <v>249</v>
      </c>
      <c r="F188" s="19"/>
      <c r="G188" s="19"/>
      <c r="H188" s="19"/>
      <c r="I188" s="19"/>
      <c r="L188" s="4"/>
      <c r="M188" s="61"/>
      <c r="N188" s="4"/>
      <c r="O188" s="61">
        <f>ROUNDDOWN(N188/2,0)</f>
        <v>0</v>
      </c>
      <c r="P188" s="60">
        <f>MIN(SUM(L188,M188,O188),R188)</f>
        <v>0</v>
      </c>
      <c r="Q188" s="61">
        <v>0</v>
      </c>
      <c r="R188" s="61">
        <f>MAX(P$184,P$185)</f>
        <v>0</v>
      </c>
    </row>
    <row r="189" spans="1:18">
      <c r="A189" s="1" t="s">
        <v>188</v>
      </c>
      <c r="B189" t="str">
        <f t="shared" si="29"/>
        <v>¬</v>
      </c>
      <c r="D189" s="19"/>
      <c r="E189" s="15" t="s">
        <v>250</v>
      </c>
      <c r="F189" s="19"/>
      <c r="G189" s="19"/>
      <c r="H189" s="19"/>
      <c r="I189" s="19"/>
      <c r="L189" s="4"/>
      <c r="M189" s="61">
        <f>IF(AND(I185,L185&gt;=1),1,0)</f>
        <v>0</v>
      </c>
      <c r="N189" s="4"/>
      <c r="O189" s="61">
        <f>ROUNDDOWN(N189/2,0)</f>
        <v>0</v>
      </c>
      <c r="P189" s="60">
        <f>MIN(SUM(L189,M189,O189),R189)</f>
        <v>0</v>
      </c>
      <c r="Q189" s="61">
        <v>0</v>
      </c>
      <c r="R189" s="61">
        <f>MAX(P$184,P$185)</f>
        <v>0</v>
      </c>
    </row>
    <row r="190" spans="1:18">
      <c r="A190" s="1" t="s">
        <v>189</v>
      </c>
      <c r="B190" t="str">
        <f t="shared" si="29"/>
        <v>¬</v>
      </c>
      <c r="D190" s="19"/>
      <c r="E190" s="15" t="s">
        <v>251</v>
      </c>
      <c r="F190" s="19"/>
      <c r="G190" s="19"/>
      <c r="H190" s="19"/>
      <c r="I190" s="19"/>
      <c r="L190" s="4"/>
      <c r="M190" s="61">
        <f>IF(AND(I184,L184&gt;=1),1,0)</f>
        <v>0</v>
      </c>
      <c r="N190" s="4"/>
      <c r="O190" s="61">
        <f>ROUNDDOWN(N190/2,0)</f>
        <v>0</v>
      </c>
      <c r="P190" s="60">
        <f>MIN(SUM(L190,M190,O190),R190)</f>
        <v>0</v>
      </c>
      <c r="Q190" s="61">
        <v>0</v>
      </c>
      <c r="R190" s="61">
        <f>MAX(P$184,P$185)</f>
        <v>0</v>
      </c>
    </row>
    <row r="191" spans="1:18">
      <c r="A191" s="1" t="s">
        <v>190</v>
      </c>
      <c r="B191" t="str">
        <f t="shared" si="29"/>
        <v>¬</v>
      </c>
      <c r="D191" s="19"/>
      <c r="E191" s="15" t="s">
        <v>252</v>
      </c>
      <c r="F191" s="19"/>
      <c r="G191" s="19"/>
      <c r="H191" s="19"/>
      <c r="I191" s="19"/>
      <c r="L191" s="4"/>
      <c r="M191" s="61">
        <f>IF(AND(I185,L185&gt;=1),1,0)</f>
        <v>0</v>
      </c>
      <c r="N191" s="4"/>
      <c r="O191" s="61">
        <f>ROUNDDOWN(N191/2,0)</f>
        <v>0</v>
      </c>
      <c r="P191" s="60">
        <f>MIN(SUM(L191,M191,O191),R191)</f>
        <v>0</v>
      </c>
      <c r="Q191" s="61">
        <v>0</v>
      </c>
      <c r="R191" s="61">
        <f>MAX(P$184,P$185)</f>
        <v>0</v>
      </c>
    </row>
    <row r="192" spans="1:18">
      <c r="A192" s="1" t="s">
        <v>191</v>
      </c>
      <c r="B192" t="str">
        <f t="shared" si="29"/>
        <v>¬</v>
      </c>
    </row>
    <row r="193" spans="1:18">
      <c r="A193" s="1" t="s">
        <v>192</v>
      </c>
      <c r="B193" t="str">
        <f t="shared" si="29"/>
        <v>¬</v>
      </c>
      <c r="D193" s="16" t="s">
        <v>1474</v>
      </c>
      <c r="E193" s="16"/>
      <c r="F193" s="16"/>
      <c r="G193" s="16"/>
      <c r="H193" s="16"/>
      <c r="I193" s="16"/>
      <c r="L193" s="60">
        <f>SUM(P184:P185)+SUM(O187:O191)-SUM(L194:L203)</f>
        <v>0</v>
      </c>
    </row>
    <row r="194" spans="1:18">
      <c r="A194" s="1" t="s">
        <v>193</v>
      </c>
      <c r="B194" t="str">
        <f t="shared" si="29"/>
        <v>¬</v>
      </c>
      <c r="D194" s="19"/>
      <c r="E194" s="15" t="s">
        <v>1498</v>
      </c>
      <c r="F194" s="3"/>
      <c r="G194" s="61" t="str">
        <f>_xlfn.IFNA(VLOOKUP(F194,tblDisciplines[],2,FALSE),"")</f>
        <v/>
      </c>
      <c r="H194" s="19"/>
      <c r="I194" s="19"/>
      <c r="L194" s="4"/>
      <c r="N194" s="4"/>
      <c r="O194" s="61">
        <f>N194</f>
        <v>0</v>
      </c>
      <c r="P194" s="60" t="str">
        <f>IF(OR(L194=R194,O194=R194),R194,MIN(SUM(L194,O194),R194))</f>
        <v/>
      </c>
      <c r="R194" s="61" t="str">
        <f>_xlfn.IFNA(VLOOKUP(F194,tblDisciplines[],3,FALSE),"")</f>
        <v/>
      </c>
    </row>
    <row r="195" spans="1:18">
      <c r="A195" s="1" t="s">
        <v>194</v>
      </c>
      <c r="B195" t="str">
        <f t="shared" si="29"/>
        <v>¬</v>
      </c>
      <c r="D195" s="19"/>
      <c r="E195" s="15" t="s">
        <v>1499</v>
      </c>
      <c r="F195" s="3"/>
      <c r="G195" s="61" t="str">
        <f>_xlfn.IFNA(VLOOKUP(F195,tblDisciplines[],2,FALSE),"")</f>
        <v/>
      </c>
      <c r="H195" s="19"/>
      <c r="I195" s="19"/>
      <c r="L195" s="4"/>
      <c r="N195" s="4"/>
      <c r="O195" s="61">
        <f t="shared" ref="O195:O203" si="30">N195</f>
        <v>0</v>
      </c>
      <c r="P195" s="60" t="str">
        <f t="shared" ref="P195:P203" si="31">IF(OR(L195=R195,O195=R195),R195,MIN(SUM(L195,O195),R195))</f>
        <v/>
      </c>
      <c r="R195" s="61" t="str">
        <f>_xlfn.IFNA(VLOOKUP(F195,tblDisciplines[],3,FALSE),"")</f>
        <v/>
      </c>
    </row>
    <row r="196" spans="1:18">
      <c r="A196" s="1" t="s">
        <v>195</v>
      </c>
      <c r="B196" t="str">
        <f t="shared" si="29"/>
        <v>¬</v>
      </c>
      <c r="D196" s="19"/>
      <c r="E196" s="15" t="s">
        <v>1500</v>
      </c>
      <c r="F196" s="3"/>
      <c r="G196" s="61" t="str">
        <f>_xlfn.IFNA(VLOOKUP(F196,tblDisciplines[],2,FALSE),"")</f>
        <v/>
      </c>
      <c r="H196" s="19"/>
      <c r="I196" s="19"/>
      <c r="L196" s="4"/>
      <c r="N196" s="4"/>
      <c r="O196" s="61">
        <f t="shared" si="30"/>
        <v>0</v>
      </c>
      <c r="P196" s="60" t="str">
        <f t="shared" si="31"/>
        <v/>
      </c>
      <c r="R196" s="61" t="str">
        <f>_xlfn.IFNA(VLOOKUP(F196,tblDisciplines[],3,FALSE),"")</f>
        <v/>
      </c>
    </row>
    <row r="197" spans="1:18">
      <c r="A197" s="1" t="s">
        <v>196</v>
      </c>
      <c r="B197" t="str">
        <f>IF(AD134="","¬",AD134)</f>
        <v>Finance</v>
      </c>
      <c r="D197" s="19"/>
      <c r="E197" s="15" t="s">
        <v>1501</v>
      </c>
      <c r="F197" s="3"/>
      <c r="G197" s="61" t="str">
        <f>_xlfn.IFNA(VLOOKUP(F197,tblDisciplines[],2,FALSE),"")</f>
        <v/>
      </c>
      <c r="H197" s="19"/>
      <c r="I197" s="19"/>
      <c r="L197" s="4"/>
      <c r="N197" s="4"/>
      <c r="O197" s="61">
        <f t="shared" si="30"/>
        <v>0</v>
      </c>
      <c r="P197" s="60" t="str">
        <f t="shared" si="31"/>
        <v/>
      </c>
      <c r="R197" s="61" t="str">
        <f>_xlfn.IFNA(VLOOKUP(F197,tblDisciplines[],3,FALSE),"")</f>
        <v/>
      </c>
    </row>
    <row r="198" spans="1:18">
      <c r="A198" s="1" t="s">
        <v>197</v>
      </c>
      <c r="B198" t="str">
        <f t="shared" ref="B198:B216" si="32">IF(AD135="","¬",AD135)</f>
        <v>Politics</v>
      </c>
      <c r="D198" s="19"/>
      <c r="E198" s="15" t="s">
        <v>1502</v>
      </c>
      <c r="F198" s="3"/>
      <c r="G198" s="61" t="str">
        <f>_xlfn.IFNA(VLOOKUP(F198,tblDisciplines[],2,FALSE),"")</f>
        <v/>
      </c>
      <c r="H198" s="19"/>
      <c r="I198" s="19"/>
      <c r="L198" s="4"/>
      <c r="N198" s="4"/>
      <c r="O198" s="61">
        <f t="shared" si="30"/>
        <v>0</v>
      </c>
      <c r="P198" s="60" t="str">
        <f t="shared" si="31"/>
        <v/>
      </c>
      <c r="R198" s="61" t="str">
        <f>_xlfn.IFNA(VLOOKUP(F198,tblDisciplines[],3,FALSE),"")</f>
        <v/>
      </c>
    </row>
    <row r="199" spans="1:18">
      <c r="A199" s="1" t="s">
        <v>198</v>
      </c>
      <c r="B199" t="str">
        <f t="shared" si="32"/>
        <v>Underworld</v>
      </c>
      <c r="D199" s="19"/>
      <c r="E199" s="15" t="s">
        <v>1503</v>
      </c>
      <c r="F199" s="3"/>
      <c r="G199" s="61" t="str">
        <f>_xlfn.IFNA(VLOOKUP(F199,tblDisciplines[],2,FALSE),"")</f>
        <v/>
      </c>
      <c r="H199" s="19"/>
      <c r="I199" s="19"/>
      <c r="L199" s="4"/>
      <c r="N199" s="4"/>
      <c r="O199" s="61">
        <f t="shared" si="30"/>
        <v>0</v>
      </c>
      <c r="P199" s="60" t="str">
        <f t="shared" si="31"/>
        <v/>
      </c>
      <c r="R199" s="61" t="str">
        <f>_xlfn.IFNA(VLOOKUP(F199,tblDisciplines[],3,FALSE),"")</f>
        <v/>
      </c>
    </row>
    <row r="200" spans="1:18">
      <c r="A200" s="1" t="s">
        <v>199</v>
      </c>
      <c r="B200" t="str">
        <f t="shared" si="32"/>
        <v>Police, High Society, Occult, Media, Street</v>
      </c>
      <c r="D200" s="19"/>
      <c r="E200" s="15" t="s">
        <v>1504</v>
      </c>
      <c r="F200" s="3"/>
      <c r="G200" s="61" t="str">
        <f>_xlfn.IFNA(VLOOKUP(F200,tblDisciplines[],2,FALSE),"")</f>
        <v/>
      </c>
      <c r="H200" s="19"/>
      <c r="I200" s="19"/>
      <c r="L200" s="4"/>
      <c r="N200" s="4"/>
      <c r="O200" s="61">
        <f t="shared" si="30"/>
        <v>0</v>
      </c>
      <c r="P200" s="60" t="str">
        <f t="shared" si="31"/>
        <v/>
      </c>
      <c r="R200" s="61" t="str">
        <f>_xlfn.IFNA(VLOOKUP(F200,tblDisciplines[],3,FALSE),"")</f>
        <v/>
      </c>
    </row>
    <row r="201" spans="1:18">
      <c r="A201" s="1" t="s">
        <v>200</v>
      </c>
      <c r="B201" t="str">
        <f t="shared" si="32"/>
        <v>¬</v>
      </c>
      <c r="D201" s="19"/>
      <c r="E201" s="15" t="s">
        <v>1505</v>
      </c>
      <c r="F201" s="3"/>
      <c r="G201" s="61" t="str">
        <f>_xlfn.IFNA(VLOOKUP(F201,tblDisciplines[],2,FALSE),"")</f>
        <v/>
      </c>
      <c r="H201" s="19"/>
      <c r="I201" s="19"/>
      <c r="L201" s="4"/>
      <c r="N201" s="4"/>
      <c r="O201" s="61">
        <f t="shared" si="30"/>
        <v>0</v>
      </c>
      <c r="P201" s="60" t="str">
        <f t="shared" si="31"/>
        <v/>
      </c>
      <c r="R201" s="61" t="str">
        <f>_xlfn.IFNA(VLOOKUP(F201,tblDisciplines[],3,FALSE),"")</f>
        <v/>
      </c>
    </row>
    <row r="202" spans="1:18">
      <c r="A202" s="1" t="s">
        <v>201</v>
      </c>
      <c r="B202" t="str">
        <f t="shared" si="32"/>
        <v>¬</v>
      </c>
      <c r="D202" s="19"/>
      <c r="E202" s="15" t="s">
        <v>1506</v>
      </c>
      <c r="F202" s="3"/>
      <c r="G202" s="61" t="str">
        <f>_xlfn.IFNA(VLOOKUP(F202,tblDisciplines[],2,FALSE),"")</f>
        <v/>
      </c>
      <c r="H202" s="19"/>
      <c r="I202" s="19"/>
      <c r="L202" s="4"/>
      <c r="N202" s="4"/>
      <c r="O202" s="61">
        <f t="shared" si="30"/>
        <v>0</v>
      </c>
      <c r="P202" s="60" t="str">
        <f t="shared" si="31"/>
        <v/>
      </c>
      <c r="R202" s="61" t="str">
        <f>_xlfn.IFNA(VLOOKUP(F202,tblDisciplines[],3,FALSE),"")</f>
        <v/>
      </c>
    </row>
    <row r="203" spans="1:18">
      <c r="A203" s="1" t="s">
        <v>202</v>
      </c>
      <c r="B203" t="str">
        <f t="shared" si="32"/>
        <v>¬</v>
      </c>
      <c r="D203" s="19"/>
      <c r="E203" s="15" t="s">
        <v>1507</v>
      </c>
      <c r="F203" s="3"/>
      <c r="G203" s="61" t="str">
        <f>_xlfn.IFNA(VLOOKUP(F203,tblDisciplines[],2,FALSE),"")</f>
        <v/>
      </c>
      <c r="H203" s="19"/>
      <c r="I203" s="19"/>
      <c r="L203" s="4"/>
      <c r="N203" s="4"/>
      <c r="O203" s="61">
        <f t="shared" si="30"/>
        <v>0</v>
      </c>
      <c r="P203" s="60" t="str">
        <f t="shared" si="31"/>
        <v/>
      </c>
      <c r="R203" s="61" t="str">
        <f>_xlfn.IFNA(VLOOKUP(F203,tblDisciplines[],3,FALSE),"")</f>
        <v/>
      </c>
    </row>
    <row r="204" spans="1:18">
      <c r="A204" s="1" t="s">
        <v>203</v>
      </c>
      <c r="B204" t="str">
        <f t="shared" si="32"/>
        <v>¬</v>
      </c>
    </row>
    <row r="205" spans="1:18">
      <c r="A205" s="1" t="s">
        <v>204</v>
      </c>
      <c r="B205" t="str">
        <f t="shared" si="32"/>
        <v>¬</v>
      </c>
      <c r="D205" s="16" t="s">
        <v>1508</v>
      </c>
      <c r="E205" s="17"/>
      <c r="F205" s="17"/>
      <c r="G205" s="17"/>
      <c r="H205" s="17"/>
      <c r="I205" s="17"/>
    </row>
    <row r="206" spans="1:18">
      <c r="A206" s="1" t="s">
        <v>205</v>
      </c>
      <c r="B206" t="str">
        <f t="shared" si="32"/>
        <v>¬</v>
      </c>
      <c r="D206" s="19"/>
      <c r="E206" s="15" t="s">
        <v>1476</v>
      </c>
      <c r="F206" s="3"/>
      <c r="G206" s="19" t="str">
        <f>IFERROR(VLOOKUP(F206,tblManoeuvre[],2,FALSE)&amp;" "&amp;VLOOKUP(F206,tblManoeuvre[],3,FALSE),"")</f>
        <v/>
      </c>
      <c r="H206" s="68" t="str">
        <f>_xlfn.IFNA(IF(VLOOKUP(F206,tblMerits[],6,FALSE)=0,"None",VLOOKUP(F206,tblMerits[],6,FALSE)),"None")</f>
        <v>None</v>
      </c>
      <c r="I206" s="69"/>
      <c r="L206" s="4"/>
      <c r="M206" s="4"/>
      <c r="N206" s="4"/>
      <c r="O206" s="61">
        <f t="shared" ref="O206:O215" si="33">N206</f>
        <v>0</v>
      </c>
      <c r="P206" s="60">
        <f t="shared" ref="P206:P215" si="34">MIN(SUM(L206,M206,O206),R206)</f>
        <v>0</v>
      </c>
      <c r="Q206" s="61" t="str">
        <f>_xlfn.IFNA(VLOOKUP($F206,tblPacts[],3,FALSE),"")</f>
        <v/>
      </c>
      <c r="R206" s="61" t="str">
        <f>_xlfn.IFNA(VLOOKUP($F206,tblPacts[],4,FALSE),"")</f>
        <v/>
      </c>
    </row>
    <row r="207" spans="1:18">
      <c r="A207" s="1" t="s">
        <v>206</v>
      </c>
      <c r="B207" t="str">
        <f t="shared" si="32"/>
        <v>¬</v>
      </c>
      <c r="D207" s="19"/>
      <c r="E207" s="15" t="s">
        <v>1477</v>
      </c>
      <c r="F207" s="3"/>
      <c r="G207" s="19" t="str">
        <f>IFERROR(VLOOKUP(F207,tblManoeuvre[],2,FALSE)&amp;" "&amp;VLOOKUP(F207,tblManoeuvre[],3,FALSE),"")</f>
        <v/>
      </c>
      <c r="H207" s="68" t="str">
        <f>_xlfn.IFNA(IF(VLOOKUP(F207,tblMerits[],6,FALSE)=0,"None",VLOOKUP(F207,tblMerits[],6,FALSE)),"None")</f>
        <v>None</v>
      </c>
      <c r="I207" s="69"/>
      <c r="L207" s="4"/>
      <c r="M207" s="4"/>
      <c r="N207" s="4"/>
      <c r="O207" s="61">
        <f t="shared" si="33"/>
        <v>0</v>
      </c>
      <c r="P207" s="60">
        <f t="shared" si="34"/>
        <v>0</v>
      </c>
      <c r="Q207" s="61" t="str">
        <f>_xlfn.IFNA(VLOOKUP($F207,tblPacts[],3,FALSE),"")</f>
        <v/>
      </c>
      <c r="R207" s="61" t="str">
        <f>_xlfn.IFNA(VLOOKUP($F207,tblPacts[],4,FALSE),"")</f>
        <v/>
      </c>
    </row>
    <row r="208" spans="1:18">
      <c r="A208" s="1" t="s">
        <v>207</v>
      </c>
      <c r="B208" t="str">
        <f t="shared" si="32"/>
        <v>¬</v>
      </c>
      <c r="D208" s="19"/>
      <c r="E208" s="15" t="s">
        <v>1478</v>
      </c>
      <c r="F208" s="3"/>
      <c r="G208" s="19" t="str">
        <f>IFERROR(VLOOKUP(F208,tblManoeuvre[],2,FALSE)&amp;" "&amp;VLOOKUP(F208,tblManoeuvre[],3,FALSE),"")</f>
        <v/>
      </c>
      <c r="H208" s="68" t="str">
        <f>_xlfn.IFNA(IF(VLOOKUP(F208,tblMerits[],6,FALSE)=0,"None",VLOOKUP(F208,tblMerits[],6,FALSE)),"None")</f>
        <v>None</v>
      </c>
      <c r="I208" s="69"/>
      <c r="L208" s="4"/>
      <c r="M208" s="4"/>
      <c r="N208" s="4"/>
      <c r="O208" s="61">
        <f t="shared" si="33"/>
        <v>0</v>
      </c>
      <c r="P208" s="60">
        <f t="shared" si="34"/>
        <v>0</v>
      </c>
      <c r="Q208" s="61" t="str">
        <f>_xlfn.IFNA(VLOOKUP($F208,tblPacts[],3,FALSE),"")</f>
        <v/>
      </c>
      <c r="R208" s="61" t="str">
        <f>_xlfn.IFNA(VLOOKUP($F208,tblPacts[],4,FALSE),"")</f>
        <v/>
      </c>
    </row>
    <row r="209" spans="1:18">
      <c r="A209" s="1" t="s">
        <v>208</v>
      </c>
      <c r="B209" t="str">
        <f t="shared" si="32"/>
        <v>¬</v>
      </c>
      <c r="D209" s="19"/>
      <c r="E209" s="15" t="s">
        <v>1479</v>
      </c>
      <c r="F209" s="3"/>
      <c r="G209" s="19" t="str">
        <f>IFERROR(VLOOKUP(F209,tblManoeuvre[],2,FALSE)&amp;" "&amp;VLOOKUP(F209,tblManoeuvre[],3,FALSE),"")</f>
        <v/>
      </c>
      <c r="H209" s="68" t="str">
        <f>_xlfn.IFNA(IF(VLOOKUP(F209,tblMerits[],6,FALSE)=0,"None",VLOOKUP(F209,tblMerits[],6,FALSE)),"None")</f>
        <v>None</v>
      </c>
      <c r="I209" s="69"/>
      <c r="L209" s="4"/>
      <c r="M209" s="4"/>
      <c r="N209" s="4"/>
      <c r="O209" s="61">
        <f t="shared" si="33"/>
        <v>0</v>
      </c>
      <c r="P209" s="60">
        <f t="shared" si="34"/>
        <v>0</v>
      </c>
      <c r="Q209" s="61" t="str">
        <f>_xlfn.IFNA(VLOOKUP($F209,tblPacts[],3,FALSE),"")</f>
        <v/>
      </c>
      <c r="R209" s="61" t="str">
        <f>_xlfn.IFNA(VLOOKUP($F209,tblPacts[],4,FALSE),"")</f>
        <v/>
      </c>
    </row>
    <row r="210" spans="1:18">
      <c r="A210" s="1" t="s">
        <v>209</v>
      </c>
      <c r="B210" t="str">
        <f t="shared" si="32"/>
        <v>¬</v>
      </c>
      <c r="D210" s="19"/>
      <c r="E210" s="15" t="s">
        <v>1480</v>
      </c>
      <c r="F210" s="3"/>
      <c r="G210" s="19" t="str">
        <f>IFERROR(VLOOKUP(F210,tblManoeuvre[],2,FALSE)&amp;" "&amp;VLOOKUP(F210,tblManoeuvre[],3,FALSE),"")</f>
        <v/>
      </c>
      <c r="H210" s="68" t="str">
        <f>_xlfn.IFNA(IF(VLOOKUP(F210,tblMerits[],6,FALSE)=0,"None",VLOOKUP(F210,tblMerits[],6,FALSE)),"None")</f>
        <v>None</v>
      </c>
      <c r="I210" s="69"/>
      <c r="L210" s="4"/>
      <c r="M210" s="4"/>
      <c r="N210" s="4"/>
      <c r="O210" s="61">
        <f t="shared" si="33"/>
        <v>0</v>
      </c>
      <c r="P210" s="60">
        <f t="shared" si="34"/>
        <v>0</v>
      </c>
      <c r="Q210" s="61" t="str">
        <f>_xlfn.IFNA(VLOOKUP($F210,tblPacts[],3,FALSE),"")</f>
        <v/>
      </c>
      <c r="R210" s="61" t="str">
        <f>_xlfn.IFNA(VLOOKUP($F210,tblPacts[],4,FALSE),"")</f>
        <v/>
      </c>
    </row>
    <row r="211" spans="1:18">
      <c r="A211" s="1" t="s">
        <v>210</v>
      </c>
      <c r="B211" t="str">
        <f t="shared" si="32"/>
        <v>¬</v>
      </c>
      <c r="D211" s="19"/>
      <c r="E211" s="15" t="s">
        <v>1481</v>
      </c>
      <c r="F211" s="3"/>
      <c r="G211" s="19" t="str">
        <f>IFERROR(VLOOKUP(F211,tblManoeuvre[],2,FALSE)&amp;" "&amp;VLOOKUP(F211,tblManoeuvre[],3,FALSE),"")</f>
        <v/>
      </c>
      <c r="H211" s="68" t="str">
        <f>_xlfn.IFNA(IF(VLOOKUP(F211,tblMerits[],6,FALSE)=0,"None",VLOOKUP(F211,tblMerits[],6,FALSE)),"None")</f>
        <v>None</v>
      </c>
      <c r="I211" s="69"/>
      <c r="L211" s="4"/>
      <c r="M211" s="4"/>
      <c r="N211" s="4"/>
      <c r="O211" s="61">
        <f t="shared" si="33"/>
        <v>0</v>
      </c>
      <c r="P211" s="60">
        <f t="shared" si="34"/>
        <v>0</v>
      </c>
      <c r="Q211" s="61" t="str">
        <f>_xlfn.IFNA(VLOOKUP($F211,tblPacts[],3,FALSE),"")</f>
        <v/>
      </c>
      <c r="R211" s="61" t="str">
        <f>_xlfn.IFNA(VLOOKUP($F211,tblPacts[],4,FALSE),"")</f>
        <v/>
      </c>
    </row>
    <row r="212" spans="1:18">
      <c r="A212" s="1" t="s">
        <v>211</v>
      </c>
      <c r="B212" t="str">
        <f t="shared" si="32"/>
        <v>¬</v>
      </c>
      <c r="D212" s="19"/>
      <c r="E212" s="15" t="s">
        <v>1482</v>
      </c>
      <c r="F212" s="3"/>
      <c r="G212" s="19" t="str">
        <f>IFERROR(VLOOKUP(F212,tblManoeuvre[],2,FALSE)&amp;" "&amp;VLOOKUP(F212,tblManoeuvre[],3,FALSE),"")</f>
        <v/>
      </c>
      <c r="H212" s="68" t="str">
        <f>_xlfn.IFNA(IF(VLOOKUP(F212,tblMerits[],6,FALSE)=0,"None",VLOOKUP(F212,tblMerits[],6,FALSE)),"None")</f>
        <v>None</v>
      </c>
      <c r="I212" s="69"/>
      <c r="L212" s="4"/>
      <c r="M212" s="4"/>
      <c r="N212" s="4"/>
      <c r="O212" s="61">
        <f t="shared" si="33"/>
        <v>0</v>
      </c>
      <c r="P212" s="60">
        <f t="shared" si="34"/>
        <v>0</v>
      </c>
      <c r="Q212" s="61" t="str">
        <f>_xlfn.IFNA(VLOOKUP($F212,tblPacts[],3,FALSE),"")</f>
        <v/>
      </c>
      <c r="R212" s="61" t="str">
        <f>_xlfn.IFNA(VLOOKUP($F212,tblPacts[],4,FALSE),"")</f>
        <v/>
      </c>
    </row>
    <row r="213" spans="1:18">
      <c r="A213" s="1" t="s">
        <v>212</v>
      </c>
      <c r="B213" t="str">
        <f t="shared" si="32"/>
        <v>¬</v>
      </c>
      <c r="D213" s="19"/>
      <c r="E213" s="15" t="s">
        <v>1483</v>
      </c>
      <c r="F213" s="3"/>
      <c r="G213" s="19" t="str">
        <f>IFERROR(VLOOKUP(F213,tblManoeuvre[],2,FALSE)&amp;" "&amp;VLOOKUP(F213,tblManoeuvre[],3,FALSE),"")</f>
        <v/>
      </c>
      <c r="H213" s="68" t="str">
        <f>_xlfn.IFNA(IF(VLOOKUP(F213,tblMerits[],6,FALSE)=0,"None",VLOOKUP(F213,tblMerits[],6,FALSE)),"None")</f>
        <v>None</v>
      </c>
      <c r="I213" s="69"/>
      <c r="L213" s="4"/>
      <c r="M213" s="4"/>
      <c r="N213" s="4"/>
      <c r="O213" s="61">
        <f t="shared" si="33"/>
        <v>0</v>
      </c>
      <c r="P213" s="60">
        <f t="shared" si="34"/>
        <v>0</v>
      </c>
      <c r="Q213" s="61" t="str">
        <f>_xlfn.IFNA(VLOOKUP($F213,tblPacts[],3,FALSE),"")</f>
        <v/>
      </c>
      <c r="R213" s="61" t="str">
        <f>_xlfn.IFNA(VLOOKUP($F213,tblPacts[],4,FALSE),"")</f>
        <v/>
      </c>
    </row>
    <row r="214" spans="1:18">
      <c r="A214" s="1" t="s">
        <v>213</v>
      </c>
      <c r="B214" t="str">
        <f t="shared" si="32"/>
        <v>¬</v>
      </c>
      <c r="D214" s="19"/>
      <c r="E214" s="15" t="s">
        <v>1484</v>
      </c>
      <c r="F214" s="3"/>
      <c r="G214" s="19" t="str">
        <f>IFERROR(VLOOKUP(F214,tblManoeuvre[],2,FALSE)&amp;" "&amp;VLOOKUP(F214,tblManoeuvre[],3,FALSE),"")</f>
        <v/>
      </c>
      <c r="H214" s="68" t="str">
        <f>_xlfn.IFNA(IF(VLOOKUP(F214,tblMerits[],6,FALSE)=0,"None",VLOOKUP(F214,tblMerits[],6,FALSE)),"None")</f>
        <v>None</v>
      </c>
      <c r="I214" s="69"/>
      <c r="L214" s="4"/>
      <c r="M214" s="4"/>
      <c r="N214" s="4"/>
      <c r="O214" s="61">
        <f t="shared" si="33"/>
        <v>0</v>
      </c>
      <c r="P214" s="60">
        <f t="shared" si="34"/>
        <v>0</v>
      </c>
      <c r="Q214" s="61" t="str">
        <f>_xlfn.IFNA(VLOOKUP($F214,tblPacts[],3,FALSE),"")</f>
        <v/>
      </c>
      <c r="R214" s="61" t="str">
        <f>_xlfn.IFNA(VLOOKUP($F214,tblPacts[],4,FALSE),"")</f>
        <v/>
      </c>
    </row>
    <row r="215" spans="1:18">
      <c r="A215" s="1" t="s">
        <v>214</v>
      </c>
      <c r="B215" t="str">
        <f t="shared" si="32"/>
        <v>¬</v>
      </c>
      <c r="D215" s="19"/>
      <c r="E215" s="15" t="s">
        <v>1485</v>
      </c>
      <c r="F215" s="3"/>
      <c r="G215" s="19" t="str">
        <f>IFERROR(VLOOKUP(F215,tblManoeuvre[],2,FALSE)&amp;" "&amp;VLOOKUP(F215,tblManoeuvre[],3,FALSE),"")</f>
        <v/>
      </c>
      <c r="H215" s="68" t="str">
        <f>_xlfn.IFNA(IF(VLOOKUP(F215,tblMerits[],6,FALSE)=0,"None",VLOOKUP(F215,tblMerits[],6,FALSE)),"None")</f>
        <v>None</v>
      </c>
      <c r="I215" s="69"/>
      <c r="L215" s="4"/>
      <c r="M215" s="4"/>
      <c r="N215" s="4"/>
      <c r="O215" s="61">
        <f t="shared" si="33"/>
        <v>0</v>
      </c>
      <c r="P215" s="60">
        <f t="shared" si="34"/>
        <v>0</v>
      </c>
      <c r="Q215" s="61" t="str">
        <f>_xlfn.IFNA(VLOOKUP($F215,tblPacts[],3,FALSE),"")</f>
        <v/>
      </c>
      <c r="R215" s="61" t="str">
        <f>_xlfn.IFNA(VLOOKUP($F215,tblPacts[],4,FALSE),"")</f>
        <v/>
      </c>
    </row>
    <row r="216" spans="1:18">
      <c r="A216" s="1" t="s">
        <v>215</v>
      </c>
      <c r="B216" t="str">
        <f t="shared" si="32"/>
        <v>¬</v>
      </c>
    </row>
    <row r="217" spans="1:18">
      <c r="A217" s="1" t="s">
        <v>216</v>
      </c>
      <c r="B217" t="str">
        <f>IF(OR(AF134=0,AF134=""),"",REPT("●",AF134))</f>
        <v>●●●</v>
      </c>
      <c r="D217" s="16" t="s">
        <v>1509</v>
      </c>
      <c r="E217" s="16"/>
      <c r="F217" s="16"/>
      <c r="G217" s="16"/>
      <c r="H217" s="16"/>
      <c r="I217" s="16"/>
    </row>
    <row r="218" spans="1:18">
      <c r="A218" s="1" t="s">
        <v>217</v>
      </c>
      <c r="B218" t="str">
        <f t="shared" ref="B218:B236" si="35">IF(OR(AF135=0,AF135=""),"",REPT("●",AF135))</f>
        <v>●●</v>
      </c>
      <c r="D218" s="19"/>
      <c r="E218" s="15" t="s">
        <v>353</v>
      </c>
      <c r="F218" s="19"/>
      <c r="G218" s="19"/>
      <c r="H218" s="19"/>
      <c r="I218" s="19"/>
      <c r="M218" s="61">
        <f>IF(COUNTIF(F79:F93,"Giant")&gt;0,1,0)+IF(COUNTIF(F79:F93,"Small-Framed")&gt;0,-1,0)</f>
        <v>0</v>
      </c>
      <c r="P218" s="60">
        <f>5+M218</f>
        <v>5</v>
      </c>
    </row>
    <row r="219" spans="1:18">
      <c r="A219" s="1" t="s">
        <v>218</v>
      </c>
      <c r="B219" t="str">
        <f t="shared" si="35"/>
        <v>●●</v>
      </c>
      <c r="D219" s="19"/>
      <c r="E219" s="15" t="s">
        <v>354</v>
      </c>
      <c r="F219" s="19"/>
      <c r="G219" s="19"/>
      <c r="H219" s="19"/>
      <c r="I219" s="19"/>
      <c r="P219" s="60">
        <f ca="1">VLOOKUP("Size",INDIRECT($AH$1),2,FALSE)+VLOOKUP("Strength",INDIRECT($AH$1),2,FALSE)+VLOOKUP("Dexterity",INDIRECT($AH$1),2,FALSE)+VLOOKUP("Vigour",INDIRECT($AH$1),2,FALSE)</f>
        <v>9</v>
      </c>
    </row>
    <row r="220" spans="1:18">
      <c r="A220" s="1" t="s">
        <v>219</v>
      </c>
      <c r="B220" t="str">
        <f t="shared" si="35"/>
        <v>●●●●●</v>
      </c>
      <c r="D220" s="19"/>
      <c r="E220" s="15" t="s">
        <v>355</v>
      </c>
      <c r="F220" s="19"/>
      <c r="G220" s="19"/>
      <c r="H220" s="19"/>
      <c r="I220" s="19"/>
      <c r="P220" s="60">
        <f ca="1">MIN(VLOOKUP("Dexterity",INDIRECT($AH$1),2,FALSE),VLOOKUP("Wits",INDIRECT($AH$1),2,FALSE))+VLOOKUP("Athletics",INDIRECT($AH$1),2,FALSE)</f>
        <v>4</v>
      </c>
    </row>
    <row r="221" spans="1:18">
      <c r="A221" s="1" t="s">
        <v>220</v>
      </c>
      <c r="B221" t="str">
        <f t="shared" si="35"/>
        <v>●●●</v>
      </c>
      <c r="D221" s="19"/>
      <c r="E221" s="15" t="s">
        <v>52</v>
      </c>
      <c r="F221" s="19"/>
      <c r="G221" s="19"/>
      <c r="H221" s="19"/>
      <c r="I221" s="19"/>
      <c r="P221" s="60">
        <f ca="1">VLOOKUP("Size",INDIRECT($AH$1),2,FALSE)+VLOOKUP("Stamina",INDIRECT($AH$1),2,FALSE)+VLOOKUP("Resilience",INDIRECT($AH$1),2,FALSE)</f>
        <v>7</v>
      </c>
    </row>
    <row r="222" spans="1:18">
      <c r="A222" s="1" t="s">
        <v>221</v>
      </c>
      <c r="B222" t="str">
        <f t="shared" si="35"/>
        <v/>
      </c>
      <c r="D222" s="19"/>
      <c r="E222" s="19"/>
      <c r="F222" s="19"/>
      <c r="G222" s="19"/>
      <c r="H222" s="15" t="s">
        <v>1510</v>
      </c>
      <c r="I222" s="19"/>
      <c r="L222" s="4"/>
    </row>
    <row r="223" spans="1:18">
      <c r="A223" s="1" t="s">
        <v>222</v>
      </c>
      <c r="B223" t="str">
        <f t="shared" si="35"/>
        <v/>
      </c>
      <c r="D223" s="19"/>
      <c r="E223" s="15" t="s">
        <v>1511</v>
      </c>
      <c r="F223" s="7"/>
      <c r="G223" s="19"/>
      <c r="H223" s="15" t="s">
        <v>1512</v>
      </c>
      <c r="I223" s="19"/>
      <c r="L223" s="4"/>
    </row>
    <row r="224" spans="1:18">
      <c r="A224" s="1" t="s">
        <v>223</v>
      </c>
      <c r="B224" t="str">
        <f t="shared" si="35"/>
        <v/>
      </c>
      <c r="D224" s="19"/>
      <c r="E224" s="15" t="s">
        <v>1513</v>
      </c>
      <c r="F224" s="7"/>
      <c r="G224" s="19"/>
      <c r="H224" s="15" t="s">
        <v>1514</v>
      </c>
      <c r="I224" s="19"/>
      <c r="L224" s="4"/>
    </row>
    <row r="225" spans="1:12">
      <c r="A225" s="1" t="s">
        <v>224</v>
      </c>
      <c r="B225" t="str">
        <f t="shared" si="35"/>
        <v/>
      </c>
      <c r="D225" s="19"/>
      <c r="E225" s="15" t="s">
        <v>1515</v>
      </c>
      <c r="F225" s="7"/>
      <c r="G225" s="19"/>
      <c r="H225" s="15" t="s">
        <v>1516</v>
      </c>
      <c r="I225" s="19"/>
      <c r="L225" s="4"/>
    </row>
    <row r="226" spans="1:12">
      <c r="A226" s="1" t="s">
        <v>225</v>
      </c>
      <c r="B226" t="str">
        <f t="shared" si="35"/>
        <v/>
      </c>
      <c r="D226" s="19"/>
      <c r="E226" s="15" t="s">
        <v>1517</v>
      </c>
      <c r="F226" s="7"/>
      <c r="G226" s="19"/>
      <c r="H226" s="19"/>
      <c r="I226" s="19"/>
    </row>
    <row r="227" spans="1:12">
      <c r="A227" s="1" t="s">
        <v>226</v>
      </c>
      <c r="B227" t="str">
        <f t="shared" si="35"/>
        <v/>
      </c>
      <c r="D227" s="19"/>
      <c r="E227" s="15" t="s">
        <v>1518</v>
      </c>
      <c r="F227" s="7" t="s">
        <v>1790</v>
      </c>
      <c r="G227" s="19"/>
      <c r="H227" s="19"/>
      <c r="I227" s="19"/>
    </row>
    <row r="228" spans="1:12">
      <c r="A228" s="1" t="s">
        <v>227</v>
      </c>
      <c r="B228" t="str">
        <f t="shared" si="35"/>
        <v/>
      </c>
      <c r="D228" s="19"/>
      <c r="E228" s="15" t="s">
        <v>1519</v>
      </c>
      <c r="F228" s="7" t="s">
        <v>1791</v>
      </c>
      <c r="G228" s="19"/>
      <c r="H228" s="19"/>
      <c r="I228" s="19"/>
    </row>
    <row r="229" spans="1:12">
      <c r="A229" s="1" t="s">
        <v>228</v>
      </c>
      <c r="B229" t="str">
        <f t="shared" si="35"/>
        <v/>
      </c>
      <c r="D229" s="19"/>
      <c r="E229" s="15" t="s">
        <v>1520</v>
      </c>
      <c r="F229" s="7"/>
      <c r="G229" s="19"/>
      <c r="H229" s="19"/>
      <c r="I229" s="19"/>
    </row>
    <row r="230" spans="1:12">
      <c r="A230" s="1" t="s">
        <v>229</v>
      </c>
      <c r="B230" t="str">
        <f t="shared" si="35"/>
        <v/>
      </c>
      <c r="D230" s="19"/>
      <c r="E230" s="15" t="s">
        <v>1521</v>
      </c>
      <c r="F230" s="7"/>
      <c r="G230" s="19"/>
      <c r="H230" s="19"/>
      <c r="I230" s="19"/>
    </row>
    <row r="231" spans="1:12">
      <c r="A231" s="1" t="s">
        <v>230</v>
      </c>
      <c r="B231" t="str">
        <f t="shared" si="35"/>
        <v/>
      </c>
      <c r="D231" s="19"/>
      <c r="E231" s="15" t="s">
        <v>1522</v>
      </c>
      <c r="F231" s="7"/>
      <c r="G231" s="19"/>
      <c r="H231" s="19"/>
      <c r="I231" s="19"/>
    </row>
    <row r="232" spans="1:12">
      <c r="A232" s="1" t="s">
        <v>231</v>
      </c>
      <c r="B232" t="str">
        <f t="shared" si="35"/>
        <v/>
      </c>
      <c r="D232" s="19"/>
      <c r="E232" s="15" t="s">
        <v>1523</v>
      </c>
      <c r="F232" s="7"/>
      <c r="G232" s="19"/>
      <c r="H232" s="19"/>
      <c r="I232" s="19"/>
    </row>
    <row r="233" spans="1:12">
      <c r="A233" s="1" t="s">
        <v>232</v>
      </c>
      <c r="B233" t="str">
        <f t="shared" si="35"/>
        <v/>
      </c>
      <c r="D233" s="19"/>
      <c r="E233" s="19"/>
      <c r="F233" s="19"/>
      <c r="G233" s="19"/>
      <c r="H233" s="19"/>
      <c r="I233" s="19"/>
    </row>
    <row r="234" spans="1:12">
      <c r="A234" s="1" t="s">
        <v>233</v>
      </c>
      <c r="B234" t="str">
        <f t="shared" si="35"/>
        <v/>
      </c>
      <c r="D234" s="19"/>
      <c r="E234" s="15" t="s">
        <v>343</v>
      </c>
      <c r="F234" s="61" t="str">
        <f>_xlfn.IFNA(VLOOKUP(F7,tblClans[],4,FALSE),"")</f>
        <v>Lonely Curse</v>
      </c>
      <c r="G234" s="19"/>
      <c r="H234" s="74" t="str">
        <f>_xlfn.IFNA(VLOOKUP(F234,tblBanes[],2,FALSE),"")</f>
        <v>With mortals, Humanity counts –2; Presence/Manipulation failures become dramatic failures. Intimidation and Subterfuge unaffected.</v>
      </c>
      <c r="I234" s="74"/>
    </row>
    <row r="235" spans="1:12">
      <c r="A235" s="1" t="s">
        <v>234</v>
      </c>
      <c r="B235" t="str">
        <f t="shared" si="35"/>
        <v/>
      </c>
      <c r="D235" s="19"/>
      <c r="E235" s="15" t="s">
        <v>344</v>
      </c>
      <c r="F235" s="19"/>
      <c r="G235" s="19"/>
      <c r="H235" s="19"/>
      <c r="I235" s="19"/>
    </row>
    <row r="236" spans="1:12">
      <c r="A236" s="1" t="s">
        <v>235</v>
      </c>
      <c r="B236" t="str">
        <f t="shared" si="35"/>
        <v/>
      </c>
      <c r="D236" s="19"/>
      <c r="E236" s="15" t="s">
        <v>345</v>
      </c>
      <c r="F236" s="3" t="s">
        <v>1060</v>
      </c>
      <c r="G236" s="7" t="s">
        <v>1792</v>
      </c>
      <c r="H236" s="70" t="str">
        <f>_xlfn.IFNA(VLOOKUP(F236,tblBanes[],2,FALSE),"")</f>
        <v>Touch by Integrity 8+ mortal causes (10 – Humanity) bashing damage.</v>
      </c>
      <c r="I236" s="71"/>
    </row>
    <row r="237" spans="1:12">
      <c r="A237" s="1" t="s">
        <v>236</v>
      </c>
      <c r="B237" t="str">
        <f ca="1">_xlfn.LET(_xlpm.v,VLOOKUP(tblCharDataMammon[[#This Row],[Field]],INDIRECT($AH$1),2,FALSE),IF(OR(_xlpm.v=0,_xlpm.v=""),"-",REPT("●",_xlpm.v)))</f>
        <v>-</v>
      </c>
      <c r="D237" s="19"/>
      <c r="E237" s="15" t="s">
        <v>346</v>
      </c>
      <c r="F237" s="3"/>
      <c r="G237" s="7"/>
      <c r="H237" s="70" t="str">
        <f>_xlfn.IFNA(VLOOKUP(F237,tblBanes[],2,FALSE),"")</f>
        <v/>
      </c>
      <c r="I237" s="71"/>
    </row>
    <row r="238" spans="1:12">
      <c r="A238" s="1" t="s">
        <v>237</v>
      </c>
      <c r="B238" t="str">
        <f ca="1">_xlfn.LET(_xlpm.v,VLOOKUP(tblCharDataMammon[[#This Row],[Field]],INDIRECT($AH$1),2,FALSE),IF(OR(_xlpm.v=0,_xlpm.v=""),"-",REPT("●",_xlpm.v)))</f>
        <v>●</v>
      </c>
      <c r="D238" s="19"/>
      <c r="E238" s="15" t="s">
        <v>347</v>
      </c>
      <c r="F238" s="3"/>
      <c r="G238" s="7"/>
      <c r="H238" s="70" t="str">
        <f>_xlfn.IFNA(VLOOKUP(F238,tblBanes[],2,FALSE),"")</f>
        <v/>
      </c>
      <c r="I238" s="71"/>
    </row>
    <row r="239" spans="1:12">
      <c r="A239" s="1" t="s">
        <v>238</v>
      </c>
      <c r="B239" t="str">
        <f ca="1">_xlfn.LET(_xlpm.v,VLOOKUP(tblCharDataMammon[[#This Row],[Field]],INDIRECT($AH$1),2,FALSE),IF(OR(_xlpm.v=0,_xlpm.v=""),"-",REPT("●",_xlpm.v)))</f>
        <v>-</v>
      </c>
      <c r="D239" s="19"/>
      <c r="E239" s="19"/>
      <c r="F239" s="19"/>
      <c r="G239" s="19"/>
      <c r="H239" s="19"/>
      <c r="I239" s="19"/>
    </row>
    <row r="240" spans="1:12">
      <c r="A240" s="1" t="s">
        <v>239</v>
      </c>
      <c r="B240" t="str">
        <f ca="1">_xlfn.LET(_xlpm.v,VLOOKUP(tblCharDataMammon[[#This Row],[Field]],INDIRECT($AH$1),2,FALSE),IF(OR(_xlpm.v=0,_xlpm.v=""),"-",REPT("●",_xlpm.v)))</f>
        <v>-</v>
      </c>
      <c r="D240" s="19"/>
      <c r="E240" s="15" t="s">
        <v>360</v>
      </c>
      <c r="F240" s="62"/>
      <c r="G240" s="63"/>
      <c r="H240" s="63"/>
      <c r="I240" s="64"/>
    </row>
    <row r="241" spans="1:9">
      <c r="A241" s="1" t="s">
        <v>240</v>
      </c>
      <c r="B241" t="str">
        <f ca="1">_xlfn.LET(_xlpm.v,VLOOKUP(tblCharDataMammon[[#This Row],[Field]],INDIRECT($AH$1),2,FALSE),IF(OR(_xlpm.v=0,_xlpm.v=""),"-",REPT("●",_xlpm.v)))</f>
        <v>-</v>
      </c>
      <c r="D241" s="19"/>
      <c r="E241" s="15" t="s">
        <v>361</v>
      </c>
      <c r="F241" s="62"/>
      <c r="G241" s="63"/>
      <c r="H241" s="63"/>
      <c r="I241" s="64"/>
    </row>
    <row r="242" spans="1:9">
      <c r="A242" s="1" t="s">
        <v>241</v>
      </c>
      <c r="B242" t="str">
        <f ca="1">_xlfn.LET(_xlpm.v,VLOOKUP(tblCharDataMammon[[#This Row],[Field]],INDIRECT($AH$1),2,FALSE),IF(OR(_xlpm.v=0,_xlpm.v=""),"-",REPT("●",_xlpm.v)))</f>
        <v>●●●●</v>
      </c>
      <c r="D242" s="19"/>
      <c r="E242" s="15" t="s">
        <v>362</v>
      </c>
      <c r="F242" s="62"/>
      <c r="G242" s="63"/>
      <c r="H242" s="63"/>
      <c r="I242" s="64"/>
    </row>
    <row r="243" spans="1:9">
      <c r="A243" s="1" t="s">
        <v>242</v>
      </c>
      <c r="B243" t="str">
        <f ca="1">_xlfn.LET(_xlpm.v,VLOOKUP(tblCharDataMammon[[#This Row],[Field]],INDIRECT($AH$1),2,FALSE),IF(OR(_xlpm.v=0,_xlpm.v=""),"-",REPT("●",_xlpm.v)))</f>
        <v>●●●●</v>
      </c>
      <c r="D243" s="19"/>
      <c r="E243" s="19"/>
      <c r="F243" s="19"/>
      <c r="G243" s="19"/>
      <c r="H243" s="19"/>
      <c r="I243" s="19"/>
    </row>
    <row r="244" spans="1:9">
      <c r="A244" s="1" t="s">
        <v>243</v>
      </c>
      <c r="B244" t="str">
        <f ca="1">_xlfn.LET(_xlpm.v,VLOOKUP(tblCharDataMammon[[#This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High Presence</v>
      </c>
      <c r="G244" s="63"/>
      <c r="H244" s="63"/>
      <c r="I244" s="64"/>
    </row>
    <row r="245" spans="1:9">
      <c r="A245" s="1" t="s">
        <v>244</v>
      </c>
      <c r="B245" t="str">
        <f ca="1">_xlfn.LET(_xlpm.v,VLOOKUP(tblCharDataMammon[[#This Row],[Field]],INDIRECT($AH$1),2,FALSE),IF(OR(_xlpm.v=0,_xlpm.v=""),"-",REPT("●",_xlpm.v)))</f>
        <v>-</v>
      </c>
      <c r="D245" s="19"/>
      <c r="E245" s="15" t="s">
        <v>1524</v>
      </c>
      <c r="F245" s="62"/>
      <c r="G245" s="63"/>
      <c r="H245" s="63"/>
      <c r="I245" s="64"/>
    </row>
    <row r="246" spans="1:9">
      <c r="A246" s="1" t="s">
        <v>245</v>
      </c>
      <c r="B246" t="str">
        <f ca="1">_xlfn.LET(_xlpm.v,VLOOKUP(tblCharDataMammon[[#This Row],[Field]],INDIRECT($AH$1),2,FALSE),IF(OR(_xlpm.v=0,_xlpm.v=""),"-",REPT("●",_xlpm.v)))</f>
        <v>-</v>
      </c>
    </row>
    <row r="247" spans="1:9">
      <c r="A247" s="1" t="s">
        <v>246</v>
      </c>
      <c r="B247" t="str">
        <f ca="1">_xlfn.LET(_xlpm.v,VLOOKUP(tblCharDataMammon[[#This Row],[Field]],INDIRECT($AH$1),2,FALSE),IF(OR(_xlpm.v=0,_xlpm.v=""),"-",REPT("●",_xlpm.v)))</f>
        <v>-</v>
      </c>
      <c r="D247" s="16" t="s">
        <v>1525</v>
      </c>
      <c r="E247" s="16"/>
      <c r="F247" s="16" t="s">
        <v>1526</v>
      </c>
      <c r="G247" s="16" t="s">
        <v>1527</v>
      </c>
      <c r="H247" s="16"/>
      <c r="I247" s="16"/>
    </row>
    <row r="248" spans="1:9">
      <c r="A248" s="1" t="s">
        <v>247</v>
      </c>
      <c r="B248" t="str">
        <f ca="1">_xlfn.LET(_xlpm.v,VLOOKUP(tblCharDataMammon[[#This Row],[Field]],INDIRECT($AH$1),2,FALSE),IF(OR(_xlpm.v=0,_xlpm.v=""),"-",REPT("●",_xlpm.v)))</f>
        <v>-</v>
      </c>
      <c r="D248" s="19"/>
      <c r="E248" s="15" t="s">
        <v>1528</v>
      </c>
      <c r="F248" s="7"/>
      <c r="G248" s="7"/>
      <c r="H248" s="19"/>
      <c r="I248" s="19" t="s">
        <v>1529</v>
      </c>
    </row>
    <row r="249" spans="1:9">
      <c r="A249" s="1" t="s">
        <v>248</v>
      </c>
      <c r="B249" t="str">
        <f ca="1">_xlfn.LET(_xlpm.v,VLOOKUP(tblCharDataMammon[[#This Row],[Field]],INDIRECT($AH$1),2,FALSE),IF(OR(_xlpm.v=0,_xlpm.v=""),"-",REPT("●",_xlpm.v)))</f>
        <v>-</v>
      </c>
      <c r="D249" s="19"/>
      <c r="E249" s="15" t="s">
        <v>1530</v>
      </c>
      <c r="F249" s="7"/>
      <c r="G249" s="7"/>
      <c r="H249" s="19"/>
      <c r="I249" s="19" t="s">
        <v>1531</v>
      </c>
    </row>
    <row r="250" spans="1:9">
      <c r="A250" s="1" t="s">
        <v>249</v>
      </c>
      <c r="B250" t="str">
        <f ca="1">_xlfn.LET(_xlpm.v,VLOOKUP(tblCharDataMammon[[#This Row],[Field]],INDIRECT($AH$1),2,FALSE),IF(OR(_xlpm.v=0,_xlpm.v=""),"-",REPT("●",_xlpm.v)))</f>
        <v>-</v>
      </c>
      <c r="D250" s="19" t="s">
        <v>1532</v>
      </c>
      <c r="E250" s="15" t="s">
        <v>1533</v>
      </c>
      <c r="F250" s="7"/>
      <c r="G250" s="7"/>
      <c r="H250" s="19"/>
      <c r="I250" s="19"/>
    </row>
    <row r="251" spans="1:9">
      <c r="A251" s="1" t="s">
        <v>250</v>
      </c>
      <c r="B251" t="str">
        <f ca="1">_xlfn.LET(_xlpm.v,VLOOKUP(tblCharDataMammon[[#This Row],[Field]],INDIRECT($AH$1),2,FALSE),IF(OR(_xlpm.v=0,_xlpm.v=""),"-",REPT("●",_xlpm.v)))</f>
        <v>-</v>
      </c>
      <c r="D251" s="19" t="s">
        <v>1532</v>
      </c>
      <c r="E251" s="15" t="s">
        <v>1534</v>
      </c>
      <c r="F251" s="7"/>
      <c r="G251" s="7"/>
      <c r="H251" s="19"/>
      <c r="I251" s="19"/>
    </row>
    <row r="252" spans="1:9">
      <c r="A252" s="1" t="s">
        <v>251</v>
      </c>
      <c r="B252" t="str">
        <f ca="1">_xlfn.LET(_xlpm.v,VLOOKUP(tblCharDataMammon[[#This Row],[Field]],INDIRECT($AH$1),2,FALSE),IF(OR(_xlpm.v=0,_xlpm.v=""),"-",REPT("●",_xlpm.v)))</f>
        <v>-</v>
      </c>
      <c r="D252" s="19" t="s">
        <v>1532</v>
      </c>
      <c r="E252" s="15" t="s">
        <v>1535</v>
      </c>
      <c r="F252" s="7"/>
      <c r="G252" s="7"/>
      <c r="H252" s="19"/>
      <c r="I252" s="19"/>
    </row>
    <row r="253" spans="1:9">
      <c r="A253" s="1" t="s">
        <v>252</v>
      </c>
      <c r="B253" t="str">
        <f ca="1">_xlfn.LET(_xlpm.v,VLOOKUP(tblCharDataMammon[[#This Row],[Field]],INDIRECT($AH$1),2,FALSE),IF(OR(_xlpm.v=0,_xlpm.v=""),"-",REPT("●",_xlpm.v)))</f>
        <v>-</v>
      </c>
      <c r="D253" s="19" t="s">
        <v>1532</v>
      </c>
      <c r="E253" s="15" t="s">
        <v>1536</v>
      </c>
      <c r="F253" s="7"/>
      <c r="G253" s="7"/>
      <c r="H253" s="19"/>
      <c r="I253" s="19"/>
    </row>
    <row r="254" spans="1:9">
      <c r="A254" s="1" t="s">
        <v>253</v>
      </c>
      <c r="B254" t="str">
        <f t="shared" ref="B254:B283" si="36">IF(AD44="","¬",AD44)</f>
        <v>Auspex ● | Beast's Hackles</v>
      </c>
      <c r="D254" s="19" t="s">
        <v>1532</v>
      </c>
      <c r="E254" s="15" t="s">
        <v>1537</v>
      </c>
      <c r="F254" s="7"/>
      <c r="G254" s="7"/>
      <c r="H254" s="19"/>
      <c r="I254" s="19"/>
    </row>
    <row r="255" spans="1:9">
      <c r="A255" s="1" t="s">
        <v>254</v>
      </c>
      <c r="B255" t="str">
        <f t="shared" si="36"/>
        <v>Nightmare ● | Dread Presence</v>
      </c>
      <c r="D255" s="19" t="s">
        <v>1532</v>
      </c>
      <c r="E255" s="15" t="s">
        <v>1538</v>
      </c>
      <c r="F255" s="7"/>
      <c r="G255" s="7"/>
      <c r="H255" s="19"/>
      <c r="I255" s="19"/>
    </row>
    <row r="256" spans="1:9">
      <c r="A256" s="1" t="s">
        <v>255</v>
      </c>
      <c r="B256" t="str">
        <f t="shared" si="36"/>
        <v>Nightmare ●● | Face of the Beast</v>
      </c>
      <c r="D256" s="19" t="s">
        <v>1532</v>
      </c>
      <c r="E256" s="15" t="s">
        <v>1539</v>
      </c>
      <c r="F256" s="7"/>
      <c r="G256" s="7"/>
      <c r="H256" s="19"/>
      <c r="I256" s="19"/>
    </row>
    <row r="257" spans="1:9">
      <c r="A257" s="1" t="s">
        <v>256</v>
      </c>
      <c r="B257" t="str">
        <f t="shared" si="36"/>
        <v>Nightmare ●●● | Grand Delusion</v>
      </c>
      <c r="D257" s="19" t="s">
        <v>1532</v>
      </c>
      <c r="E257" s="15" t="s">
        <v>1540</v>
      </c>
      <c r="F257" s="7"/>
      <c r="G257" s="7"/>
      <c r="H257" s="19"/>
      <c r="I257" s="19"/>
    </row>
    <row r="258" spans="1:9">
      <c r="A258" s="1" t="s">
        <v>257</v>
      </c>
      <c r="B258" t="str">
        <f t="shared" si="36"/>
        <v>Nightmare ●●●● | Waking Nightmare</v>
      </c>
      <c r="D258" s="19" t="s">
        <v>1532</v>
      </c>
      <c r="E258" s="15" t="s">
        <v>1541</v>
      </c>
      <c r="F258" s="7"/>
      <c r="G258" s="7"/>
      <c r="H258" s="19"/>
      <c r="I258" s="19"/>
    </row>
    <row r="259" spans="1:9">
      <c r="A259" s="1" t="s">
        <v>258</v>
      </c>
      <c r="B259" t="str">
        <f t="shared" si="36"/>
        <v>Obfuscate ● | Face in the Crowd</v>
      </c>
      <c r="D259" s="19" t="s">
        <v>1532</v>
      </c>
      <c r="E259" s="15" t="s">
        <v>1542</v>
      </c>
      <c r="F259" s="7"/>
      <c r="G259" s="7"/>
      <c r="H259" s="19"/>
      <c r="I259" s="19"/>
    </row>
    <row r="260" spans="1:9">
      <c r="A260" s="1" t="s">
        <v>259</v>
      </c>
      <c r="B260" t="str">
        <f t="shared" si="36"/>
        <v>Obfuscate ●● | Touch of Shadow</v>
      </c>
      <c r="D260" s="19" t="s">
        <v>1532</v>
      </c>
      <c r="E260" s="15" t="s">
        <v>1543</v>
      </c>
      <c r="F260" s="7"/>
      <c r="G260" s="7"/>
      <c r="H260" s="19"/>
      <c r="I260" s="19"/>
    </row>
    <row r="261" spans="1:9">
      <c r="A261" s="1" t="s">
        <v>260</v>
      </c>
      <c r="B261" t="str">
        <f t="shared" si="36"/>
        <v>Obfuscate ●●● | Cloak of Night</v>
      </c>
      <c r="D261" s="19" t="s">
        <v>1532</v>
      </c>
      <c r="E261" s="15" t="s">
        <v>1544</v>
      </c>
      <c r="F261" s="7"/>
      <c r="G261" s="7"/>
      <c r="H261" s="19"/>
      <c r="I261" s="19"/>
    </row>
    <row r="262" spans="1:9">
      <c r="A262" s="1" t="s">
        <v>261</v>
      </c>
      <c r="B262" t="str">
        <f t="shared" si="36"/>
        <v>Obfuscate ●●●● | The Familiar Stranger</v>
      </c>
      <c r="D262" s="19" t="s">
        <v>1532</v>
      </c>
      <c r="E262" s="15" t="s">
        <v>1545</v>
      </c>
      <c r="F262" s="7"/>
      <c r="G262" s="7"/>
      <c r="H262" s="19"/>
      <c r="I262" s="19"/>
    </row>
    <row r="263" spans="1:9">
      <c r="A263" s="1" t="s">
        <v>262</v>
      </c>
      <c r="B263" t="str">
        <f t="shared" si="36"/>
        <v>¬</v>
      </c>
      <c r="D263" s="19" t="s">
        <v>1532</v>
      </c>
      <c r="E263" s="15" t="s">
        <v>1546</v>
      </c>
      <c r="F263" s="7"/>
      <c r="G263" s="7"/>
      <c r="H263" s="19"/>
      <c r="I263" s="19"/>
    </row>
    <row r="264" spans="1:9">
      <c r="A264" s="1" t="s">
        <v>263</v>
      </c>
      <c r="B264" t="str">
        <f t="shared" si="36"/>
        <v>¬</v>
      </c>
      <c r="D264" s="19" t="s">
        <v>1532</v>
      </c>
      <c r="E264" s="15" t="s">
        <v>1547</v>
      </c>
      <c r="F264" s="7"/>
      <c r="G264" s="7"/>
      <c r="H264" s="19"/>
      <c r="I264" s="19"/>
    </row>
    <row r="265" spans="1:9">
      <c r="A265" s="1" t="s">
        <v>264</v>
      </c>
      <c r="B265" t="str">
        <f t="shared" si="36"/>
        <v>¬</v>
      </c>
      <c r="D265" s="19" t="s">
        <v>1532</v>
      </c>
      <c r="E265" s="15" t="s">
        <v>1548</v>
      </c>
      <c r="F265" s="7"/>
      <c r="G265" s="7"/>
      <c r="H265" s="19"/>
      <c r="I265" s="19"/>
    </row>
    <row r="266" spans="1:9">
      <c r="A266" s="1" t="s">
        <v>265</v>
      </c>
      <c r="B266" t="str">
        <f t="shared" si="36"/>
        <v>¬</v>
      </c>
      <c r="D266" s="19" t="s">
        <v>1532</v>
      </c>
      <c r="E266" s="15" t="s">
        <v>1549</v>
      </c>
      <c r="F266" s="7"/>
      <c r="G266" s="7"/>
      <c r="H266" s="19"/>
      <c r="I266" s="19"/>
    </row>
    <row r="267" spans="1:9">
      <c r="A267" s="1" t="s">
        <v>266</v>
      </c>
      <c r="B267" t="str">
        <f t="shared" si="36"/>
        <v>¬</v>
      </c>
      <c r="D267" s="19" t="s">
        <v>1532</v>
      </c>
      <c r="E267" s="15" t="s">
        <v>1550</v>
      </c>
      <c r="F267" s="7"/>
      <c r="G267" s="7"/>
      <c r="H267" s="19"/>
      <c r="I267" s="19"/>
    </row>
    <row r="268" spans="1:9">
      <c r="A268" s="1" t="s">
        <v>267</v>
      </c>
      <c r="B268" t="str">
        <f t="shared" si="36"/>
        <v>¬</v>
      </c>
      <c r="D268" s="19" t="s">
        <v>1532</v>
      </c>
      <c r="E268" s="15" t="s">
        <v>1551</v>
      </c>
      <c r="F268" s="7"/>
      <c r="G268" s="7"/>
      <c r="H268" s="19"/>
      <c r="I268" s="19"/>
    </row>
    <row r="269" spans="1:9">
      <c r="A269" s="1" t="s">
        <v>268</v>
      </c>
      <c r="B269" t="str">
        <f t="shared" si="36"/>
        <v>¬</v>
      </c>
      <c r="D269" s="19" t="s">
        <v>1532</v>
      </c>
      <c r="E269" s="15" t="s">
        <v>1552</v>
      </c>
      <c r="F269" s="7"/>
      <c r="G269" s="7"/>
      <c r="H269" s="19"/>
      <c r="I269" s="19"/>
    </row>
    <row r="270" spans="1:9">
      <c r="A270" s="1" t="s">
        <v>269</v>
      </c>
      <c r="B270" t="str">
        <f t="shared" si="36"/>
        <v>¬</v>
      </c>
      <c r="D270" s="19" t="s">
        <v>1532</v>
      </c>
      <c r="E270" s="15" t="s">
        <v>1553</v>
      </c>
      <c r="F270" s="7"/>
      <c r="G270" s="7"/>
      <c r="H270" s="19"/>
      <c r="I270" s="19"/>
    </row>
    <row r="271" spans="1:9">
      <c r="A271" s="1" t="s">
        <v>270</v>
      </c>
      <c r="B271" t="str">
        <f t="shared" si="36"/>
        <v>¬</v>
      </c>
      <c r="D271" s="19" t="s">
        <v>1532</v>
      </c>
      <c r="E271" s="15" t="s">
        <v>1554</v>
      </c>
      <c r="F271" s="7"/>
      <c r="G271" s="7"/>
      <c r="H271" s="19"/>
      <c r="I271" s="19"/>
    </row>
    <row r="272" spans="1:9">
      <c r="A272" s="1" t="s">
        <v>271</v>
      </c>
      <c r="B272" t="str">
        <f t="shared" si="36"/>
        <v>¬</v>
      </c>
      <c r="D272" s="19" t="s">
        <v>1532</v>
      </c>
      <c r="E272" s="15" t="s">
        <v>1555</v>
      </c>
      <c r="F272" s="7"/>
      <c r="G272" s="7"/>
      <c r="H272" s="19"/>
      <c r="I272" s="19"/>
    </row>
    <row r="273" spans="1:14">
      <c r="A273" s="1" t="s">
        <v>272</v>
      </c>
      <c r="B273" t="str">
        <f t="shared" si="36"/>
        <v>¬</v>
      </c>
      <c r="D273" s="19" t="s">
        <v>1532</v>
      </c>
      <c r="E273" s="15" t="s">
        <v>1556</v>
      </c>
      <c r="F273" s="7"/>
      <c r="G273" s="7"/>
      <c r="H273" s="19"/>
      <c r="I273" s="19"/>
    </row>
    <row r="274" spans="1:14">
      <c r="A274" s="1" t="s">
        <v>273</v>
      </c>
      <c r="B274" t="str">
        <f t="shared" si="36"/>
        <v>¬</v>
      </c>
      <c r="D274" s="19" t="s">
        <v>1532</v>
      </c>
      <c r="E274" s="15" t="s">
        <v>1557</v>
      </c>
      <c r="F274" s="7"/>
      <c r="G274" s="7"/>
      <c r="H274" s="19"/>
      <c r="I274" s="19"/>
    </row>
    <row r="275" spans="1:14">
      <c r="A275" s="1" t="s">
        <v>274</v>
      </c>
      <c r="B275" t="str">
        <f t="shared" si="36"/>
        <v>¬</v>
      </c>
      <c r="D275" s="19" t="s">
        <v>1532</v>
      </c>
      <c r="E275" s="15" t="s">
        <v>1558</v>
      </c>
      <c r="F275" s="7"/>
      <c r="G275" s="7"/>
      <c r="H275" s="19"/>
      <c r="I275" s="19"/>
    </row>
    <row r="276" spans="1:14">
      <c r="A276" s="1" t="s">
        <v>275</v>
      </c>
      <c r="B276" t="str">
        <f t="shared" si="36"/>
        <v>¬</v>
      </c>
      <c r="D276" s="19" t="s">
        <v>1532</v>
      </c>
      <c r="E276" s="15" t="s">
        <v>1559</v>
      </c>
      <c r="F276" s="7"/>
      <c r="G276" s="7"/>
      <c r="H276" s="19"/>
      <c r="I276" s="19"/>
    </row>
    <row r="277" spans="1:14">
      <c r="A277" s="1" t="s">
        <v>276</v>
      </c>
      <c r="B277" t="str">
        <f t="shared" si="36"/>
        <v>¬</v>
      </c>
      <c r="D277" s="19" t="s">
        <v>1532</v>
      </c>
      <c r="E277" s="15" t="s">
        <v>1560</v>
      </c>
      <c r="F277" s="7"/>
      <c r="G277" s="7"/>
      <c r="H277" s="19"/>
      <c r="I277" s="19"/>
    </row>
    <row r="278" spans="1:14">
      <c r="A278" s="1" t="s">
        <v>277</v>
      </c>
      <c r="B278" t="str">
        <f t="shared" si="36"/>
        <v>¬</v>
      </c>
    </row>
    <row r="279" spans="1:14">
      <c r="A279" s="1" t="s">
        <v>278</v>
      </c>
      <c r="B279" t="str">
        <f t="shared" si="36"/>
        <v>¬</v>
      </c>
      <c r="D279" s="16" t="s">
        <v>1561</v>
      </c>
      <c r="E279" s="16"/>
      <c r="F279" s="16" t="s">
        <v>1347</v>
      </c>
      <c r="G279" s="16" t="s">
        <v>1348</v>
      </c>
      <c r="H279" s="16" t="s">
        <v>1349</v>
      </c>
      <c r="I279" s="16" t="s">
        <v>1350</v>
      </c>
      <c r="N279" s="60">
        <f ca="1">SUM(N280:N282)</f>
        <v>1</v>
      </c>
    </row>
    <row r="280" spans="1:14">
      <c r="A280" s="1" t="s">
        <v>279</v>
      </c>
      <c r="B280" t="str">
        <f t="shared" si="36"/>
        <v>¬</v>
      </c>
      <c r="D280" s="61" t="str" cm="1">
        <f t="array" aca="1" ref="D280" ca="1">INDEX(Attendance!$C$14:$GP$44,
       MATCH($F$4, Attendance!$C$14:$C$44, 0),
       MATCH(1, (Attendance!$C$12:$GP$12=$E280) * (Attendance!$C$13:$GP$13="Paid"), 0)
)</f>
        <v>Absent</v>
      </c>
      <c r="E280" s="41">
        <v>46054</v>
      </c>
      <c r="F280" s="61" cm="1">
        <f t="array" aca="1" ref="F280" ca="1">N(INDEX(Attendance!$C$14:$GP$104,
       MATCH($F$4, Attendance!$C$14:$C$104, 0),
       MATCH(1, (Attendance!$C$12:$GP$12=$E280) * (Attendance!$C$13:$GP$13=$F$279), 0)
))</f>
        <v>0</v>
      </c>
      <c r="G280" s="61" cm="1">
        <f t="array" aca="1" ref="G280" ca="1">N(INDEX(Attendance!$C$14:$GP$104,
       MATCH($F$4, Attendance!$C$14:$C$104, 0),
       MATCH(1, (Attendance!$C$12:$GP$12=$E280) * (Attendance!$C$13:$GP$13=$G$279), 0)
))</f>
        <v>1</v>
      </c>
      <c r="H280" s="61" cm="1">
        <f t="array" aca="1" ref="H280" ca="1">N(INDEX(Attendance!$C$14:$GP$104,
       MATCH($F$4, Attendance!$C$14:$C$104, 0),
       MATCH(1, (Attendance!$C$12:$GP$12=$E280) * (Attendance!$C$13:$GP$13=$H$279), 0)
))</f>
        <v>0</v>
      </c>
      <c r="I280" s="61" t="str" cm="1">
        <f t="array" aca="1" ref="I280" ca="1">INDEX(Attendance!$C$14:$GP$44,
       MATCH($F$4, Attendance!$C$14:$C$44, 0),
       MATCH(1, (Attendance!$C$12:$GP$12=$E280) * (Attendance!$C$13:$GP$13=$I$279), 0)
)</f>
        <v>Quiet</v>
      </c>
      <c r="K280" s="18"/>
      <c r="L280" s="18"/>
      <c r="M280" s="18" t="s">
        <v>1562</v>
      </c>
      <c r="N280" s="61">
        <f ca="1">SUM(F$280:F$316)</f>
        <v>0</v>
      </c>
    </row>
    <row r="281" spans="1:14">
      <c r="A281" s="1" t="s">
        <v>280</v>
      </c>
      <c r="B281" t="str">
        <f t="shared" si="36"/>
        <v>¬</v>
      </c>
      <c r="D281" s="61" t="str" cm="1">
        <f t="array" aca="1" ref="D281" ca="1">INDEX(Attendance!$C$14:$GP$44,
       MATCH($F$4, Attendance!$C$14:$C$44, 0),
       MATCH(1, (Attendance!$C$12:$GP$12=$E281) * (Attendance!$C$13:$GP$13="Paid"), 0)
)</f>
        <v> </v>
      </c>
      <c r="E281" s="42">
        <f t="shared" ref="E281:E316" si="37">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1</v>
      </c>
    </row>
    <row r="282" spans="1:14">
      <c r="A282" s="1" t="s">
        <v>281</v>
      </c>
      <c r="B282" t="str">
        <f t="shared" si="36"/>
        <v>¬</v>
      </c>
      <c r="D282" s="61" t="str" cm="1">
        <f t="array" aca="1" ref="D282" ca="1">INDEX(Attendance!$C$14:$GP$44,
       MATCH($F$4, Attendance!$C$14:$C$44, 0),
       MATCH(1, (Attendance!$C$12:$GP$12=$E282) * (Attendance!$C$13:$GP$13="Paid"), 0)
)</f>
        <v> </v>
      </c>
      <c r="E282" s="42">
        <f t="shared" si="37"/>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0</v>
      </c>
    </row>
    <row r="283" spans="1:14">
      <c r="A283" s="1" t="s">
        <v>282</v>
      </c>
      <c r="B283" t="str">
        <f t="shared" si="36"/>
        <v>¬</v>
      </c>
      <c r="D283" s="61" t="str" cm="1">
        <f t="array" aca="1" ref="D283" ca="1">INDEX(Attendance!$C$14:$GP$44,
       MATCH($F$4, Attendance!$C$14:$C$44, 0),
       MATCH(1, (Attendance!$C$12:$GP$12=$E283) * (Attendance!$C$13:$GP$13="Paid"), 0)
)</f>
        <v> </v>
      </c>
      <c r="E283" s="42">
        <f t="shared" si="37"/>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8">IF(AE44="","¬",AE44)</f>
        <v>Cost: Free (1 V for Insight)  •  Pool: - - Composure &amp; Closed Book  •  Instant  •  Scene</v>
      </c>
      <c r="D284" s="61" t="str" cm="1">
        <f t="array" aca="1" ref="D284" ca="1">INDEX(Attendance!$C$14:$GP$44,
       MATCH($F$4, Attendance!$C$14:$C$44, 0),
       MATCH(1, (Attendance!$C$12:$GP$12=$E284) * (Attendance!$C$13:$GP$13="Paid"), 0)
)</f>
        <v> </v>
      </c>
      <c r="E284" s="42">
        <f t="shared" si="37"/>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8"/>
        <v>Cost: -  •  Pool: -  •  Instant  •  Scene</v>
      </c>
      <c r="D285" s="61" t="str" cm="1">
        <f t="array" aca="1" ref="D285" ca="1">INDEX(Attendance!$C$14:$GP$44,
       MATCH($F$4, Attendance!$C$14:$C$44, 0),
       MATCH(1, (Attendance!$C$12:$GP$12=$E285) * (Attendance!$C$13:$GP$13="Paid"), 0)
)</f>
        <v> </v>
      </c>
      <c r="E285" s="42">
        <f t="shared" si="37"/>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8"/>
        <v>Cost: 1 V  •  Pool: 12  v Composure + BP  •  Contested  •  Instant</v>
      </c>
      <c r="D286" s="61" t="str" cm="1">
        <f t="array" aca="1" ref="D286" ca="1">INDEX(Attendance!$C$14:$GP$44,
       MATCH($F$4, Attendance!$C$14:$C$44, 0),
       MATCH(1, (Attendance!$C$12:$GP$12=$E286) * (Attendance!$C$13:$GP$13="Paid"), 0)
)</f>
        <v> </v>
      </c>
      <c r="E286" s="42">
        <f t="shared" si="37"/>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8"/>
        <v>Cost: 2 V  •  Pool: 11  v Composure + BP  •  Contested  •  1 night</v>
      </c>
      <c r="D287" s="61" t="str" cm="1">
        <f t="array" aca="1" ref="D287" ca="1">INDEX(Attendance!$C$14:$GP$44,
       MATCH($F$4, Attendance!$C$14:$C$44, 0),
       MATCH(1, (Attendance!$C$12:$GP$12=$E287) * (Attendance!$C$13:$GP$13="Paid"), 0)
)</f>
        <v> </v>
      </c>
      <c r="E287" s="42">
        <f t="shared" si="37"/>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8"/>
        <v>Cost: 1 V  •  Pool: 12  v highest Composure + BP  •  Contested  •  Scene</v>
      </c>
      <c r="D288" s="61" t="str" cm="1">
        <f t="array" aca="1" ref="D288" ca="1">INDEX(Attendance!$C$14:$GP$44,
       MATCH($F$4, Attendance!$C$14:$C$44, 0),
       MATCH(1, (Attendance!$C$12:$GP$12=$E288) * (Attendance!$C$13:$GP$13="Paid"), 0)
)</f>
        <v> </v>
      </c>
      <c r="E288" s="42">
        <f t="shared" si="37"/>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8"/>
        <v>Cost: -  •  Pool: -  •  Instant  •  Scene</v>
      </c>
      <c r="D289" s="61" t="str" cm="1">
        <f t="array" aca="1" ref="D289" ca="1">INDEX(Attendance!$C$14:$GP$44,
       MATCH($F$4, Attendance!$C$14:$C$44, 0),
       MATCH(1, (Attendance!$C$12:$GP$12=$E289) * (Attendance!$C$13:$GP$13="Paid"), 0)
)</f>
        <v> </v>
      </c>
      <c r="E289" s="42">
        <f t="shared" si="37"/>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8"/>
        <v>Cost: 1 V  •  Pool: 5  •  Instant  •  Scene</v>
      </c>
      <c r="D290" s="61" t="str" cm="1">
        <f t="array" aca="1" ref="D290" ca="1">INDEX(Attendance!$C$14:$GP$44,
       MATCH($F$4, Attendance!$C$14:$C$44, 0),
       MATCH(1, (Attendance!$C$12:$GP$12=$E290) * (Attendance!$C$13:$GP$13="Paid"), 0)
)</f>
        <v> </v>
      </c>
      <c r="E290" s="42">
        <f t="shared" si="37"/>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8"/>
        <v>Cost: 1 V  •  Pool: -  •  None</v>
      </c>
      <c r="D291" s="61" t="str" cm="1">
        <f t="array" aca="1" ref="D291" ca="1">INDEX(Attendance!$C$14:$GP$44,
       MATCH($F$4, Attendance!$C$14:$C$44, 0),
       MATCH(1, (Attendance!$C$12:$GP$12=$E291) * (Attendance!$C$13:$GP$13="Paid"), 0)
)</f>
        <v> </v>
      </c>
      <c r="E291" s="42">
        <f t="shared" si="37"/>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8"/>
        <v>Cost: 2 V  •  Pool: -  •  None</v>
      </c>
      <c r="D292" s="61" t="str" cm="1">
        <f t="array" aca="1" ref="D292" ca="1">INDEX(Attendance!$C$14:$GP$44,
       MATCH($F$4, Attendance!$C$14:$C$44, 0),
       MATCH(1, (Attendance!$C$12:$GP$12=$E292) * (Attendance!$C$13:$GP$13="Paid"), 0)
)</f>
        <v> </v>
      </c>
      <c r="E292" s="42">
        <f t="shared" si="37"/>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8"/>
        <v>¬</v>
      </c>
      <c r="D293" s="61" t="str" cm="1">
        <f t="array" aca="1" ref="D293" ca="1">INDEX(Attendance!$C$14:$GP$44,
       MATCH($F$4, Attendance!$C$14:$C$44, 0),
       MATCH(1, (Attendance!$C$12:$GP$12=$E293) * (Attendance!$C$13:$GP$13="Paid"), 0)
)</f>
        <v> </v>
      </c>
      <c r="E293" s="42">
        <f t="shared" si="37"/>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8"/>
        <v>¬</v>
      </c>
      <c r="D294" s="61" t="str" cm="1">
        <f t="array" aca="1" ref="D294" ca="1">INDEX(Attendance!$C$14:$GP$44,
       MATCH($F$4, Attendance!$C$14:$C$44, 0),
       MATCH(1, (Attendance!$C$12:$GP$12=$E294) * (Attendance!$C$13:$GP$13="Paid"), 0)
)</f>
        <v> </v>
      </c>
      <c r="E294" s="42">
        <f t="shared" si="37"/>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8"/>
        <v>¬</v>
      </c>
      <c r="D295" s="61" t="str" cm="1">
        <f t="array" aca="1" ref="D295" ca="1">INDEX(Attendance!$C$14:$GP$44,
       MATCH($F$4, Attendance!$C$14:$C$44, 0),
       MATCH(1, (Attendance!$C$12:$GP$12=$E295) * (Attendance!$C$13:$GP$13="Paid"), 0)
)</f>
        <v> </v>
      </c>
      <c r="E295" s="42">
        <f t="shared" si="37"/>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8"/>
        <v>¬</v>
      </c>
      <c r="D296" s="61" t="str" cm="1">
        <f t="array" aca="1" ref="D296" ca="1">INDEX(Attendance!$C$14:$GP$44,
       MATCH($F$4, Attendance!$C$14:$C$44, 0),
       MATCH(1, (Attendance!$C$12:$GP$12=$E296) * (Attendance!$C$13:$GP$13="Paid"), 0)
)</f>
        <v> </v>
      </c>
      <c r="E296" s="42">
        <f t="shared" si="37"/>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8"/>
        <v>¬</v>
      </c>
      <c r="D297" s="61" t="str" cm="1">
        <f t="array" aca="1" ref="D297" ca="1">INDEX(Attendance!$C$14:$GP$44,
       MATCH($F$4, Attendance!$C$14:$C$44, 0),
       MATCH(1, (Attendance!$C$12:$GP$12=$E297) * (Attendance!$C$13:$GP$13="Paid"), 0)
)</f>
        <v> </v>
      </c>
      <c r="E297" s="42">
        <f t="shared" si="37"/>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8"/>
        <v>¬</v>
      </c>
      <c r="D298" s="61" t="str" cm="1">
        <f t="array" aca="1" ref="D298" ca="1">INDEX(Attendance!$C$14:$GP$44,
       MATCH($F$4, Attendance!$C$14:$C$44, 0),
       MATCH(1, (Attendance!$C$12:$GP$12=$E298) * (Attendance!$C$13:$GP$13="Paid"), 0)
)</f>
        <v> </v>
      </c>
      <c r="E298" s="42">
        <f t="shared" si="37"/>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8"/>
        <v>¬</v>
      </c>
      <c r="D299" s="61" t="str" cm="1">
        <f t="array" aca="1" ref="D299" ca="1">INDEX(Attendance!$C$14:$GP$44,
       MATCH($F$4, Attendance!$C$14:$C$44, 0),
       MATCH(1, (Attendance!$C$12:$GP$12=$E299) * (Attendance!$C$13:$GP$13="Paid"), 0)
)</f>
        <v> </v>
      </c>
      <c r="E299" s="42">
        <f t="shared" si="37"/>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8"/>
        <v>¬</v>
      </c>
      <c r="D300" s="61" t="str" cm="1">
        <f t="array" aca="1" ref="D300" ca="1">INDEX(Attendance!$C$14:$GP$44,
       MATCH($F$4, Attendance!$C$14:$C$44, 0),
       MATCH(1, (Attendance!$C$12:$GP$12=$E300) * (Attendance!$C$13:$GP$13="Paid"), 0)
)</f>
        <v> </v>
      </c>
      <c r="E300" s="42">
        <f t="shared" si="37"/>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8"/>
        <v>¬</v>
      </c>
      <c r="D301" s="61" t="str" cm="1">
        <f t="array" aca="1" ref="D301" ca="1">INDEX(Attendance!$C$14:$GP$44,
       MATCH($F$4, Attendance!$C$14:$C$44, 0),
       MATCH(1, (Attendance!$C$12:$GP$12=$E301) * (Attendance!$C$13:$GP$13="Paid"), 0)
)</f>
        <v> </v>
      </c>
      <c r="E301" s="42">
        <f t="shared" si="37"/>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8"/>
        <v>¬</v>
      </c>
      <c r="D302" s="61" t="str" cm="1">
        <f t="array" aca="1" ref="D302" ca="1">INDEX(Attendance!$C$14:$GP$44,
       MATCH($F$4, Attendance!$C$14:$C$44, 0),
       MATCH(1, (Attendance!$C$12:$GP$12=$E302) * (Attendance!$C$13:$GP$13="Paid"), 0)
)</f>
        <v> </v>
      </c>
      <c r="E302" s="42">
        <f t="shared" si="37"/>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8"/>
        <v>¬</v>
      </c>
      <c r="D303" s="61" t="str" cm="1">
        <f t="array" aca="1" ref="D303" ca="1">INDEX(Attendance!$C$14:$GP$44,
       MATCH($F$4, Attendance!$C$14:$C$44, 0),
       MATCH(1, (Attendance!$C$12:$GP$12=$E303) * (Attendance!$C$13:$GP$13="Paid"), 0)
)</f>
        <v> </v>
      </c>
      <c r="E303" s="42">
        <f t="shared" si="37"/>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8"/>
        <v>¬</v>
      </c>
      <c r="D304" s="61" t="str" cm="1">
        <f t="array" aca="1" ref="D304" ca="1">INDEX(Attendance!$C$14:$GP$44,
       MATCH($F$4, Attendance!$C$14:$C$44, 0),
       MATCH(1, (Attendance!$C$12:$GP$12=$E304) * (Attendance!$C$13:$GP$13="Paid"), 0)
)</f>
        <v> </v>
      </c>
      <c r="E304" s="42">
        <f t="shared" si="37"/>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8"/>
        <v>¬</v>
      </c>
      <c r="D305" s="61" t="str" cm="1">
        <f t="array" aca="1" ref="D305" ca="1">INDEX(Attendance!$C$14:$GP$44,
       MATCH($F$4, Attendance!$C$14:$C$44, 0),
       MATCH(1, (Attendance!$C$12:$GP$12=$E305) * (Attendance!$C$13:$GP$13="Paid"), 0)
)</f>
        <v> </v>
      </c>
      <c r="E305" s="42">
        <f t="shared" si="37"/>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8"/>
        <v>¬</v>
      </c>
      <c r="D306" s="61" t="str" cm="1">
        <f t="array" aca="1" ref="D306" ca="1">INDEX(Attendance!$C$14:$GP$44,
       MATCH($F$4, Attendance!$C$14:$C$44, 0),
       MATCH(1, (Attendance!$C$12:$GP$12=$E306) * (Attendance!$C$13:$GP$13="Paid"), 0)
)</f>
        <v> </v>
      </c>
      <c r="E306" s="42">
        <f t="shared" si="37"/>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8"/>
        <v>¬</v>
      </c>
      <c r="D307" s="61" t="str" cm="1">
        <f t="array" aca="1" ref="D307" ca="1">INDEX(Attendance!$C$14:$GP$44,
       MATCH($F$4, Attendance!$C$14:$C$44, 0),
       MATCH(1, (Attendance!$C$12:$GP$12=$E307) * (Attendance!$C$13:$GP$13="Paid"), 0)
)</f>
        <v> </v>
      </c>
      <c r="E307" s="42">
        <f t="shared" si="37"/>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8"/>
        <v>¬</v>
      </c>
      <c r="D308" s="61" t="str" cm="1">
        <f t="array" aca="1" ref="D308" ca="1">INDEX(Attendance!$C$14:$GP$44,
       MATCH($F$4, Attendance!$C$14:$C$44, 0),
       MATCH(1, (Attendance!$C$12:$GP$12=$E308) * (Attendance!$C$13:$GP$13="Paid"), 0)
)</f>
        <v> </v>
      </c>
      <c r="E308" s="42">
        <f t="shared" si="37"/>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8"/>
        <v>¬</v>
      </c>
      <c r="D309" s="61" t="str" cm="1">
        <f t="array" aca="1" ref="D309" ca="1">INDEX(Attendance!$C$14:$GP$44,
       MATCH($F$4, Attendance!$C$14:$C$44, 0),
       MATCH(1, (Attendance!$C$12:$GP$12=$E309) * (Attendance!$C$13:$GP$13="Paid"), 0)
)</f>
        <v> </v>
      </c>
      <c r="E309" s="42">
        <f t="shared" si="37"/>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8"/>
        <v>¬</v>
      </c>
      <c r="D310" s="61" t="str" cm="1">
        <f t="array" aca="1" ref="D310" ca="1">INDEX(Attendance!$C$14:$GP$44,
       MATCH($F$4, Attendance!$C$14:$C$44, 0),
       MATCH(1, (Attendance!$C$12:$GP$12=$E310) * (Attendance!$C$13:$GP$13="Paid"), 0)
)</f>
        <v> </v>
      </c>
      <c r="E310" s="42">
        <f t="shared" si="37"/>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8"/>
        <v>¬</v>
      </c>
      <c r="D311" s="61" t="str" cm="1">
        <f t="array" aca="1" ref="D311" ca="1">INDEX(Attendance!$C$14:$GP$44,
       MATCH($F$4, Attendance!$C$14:$C$44, 0),
       MATCH(1, (Attendance!$C$12:$GP$12=$E311) * (Attendance!$C$13:$GP$13="Paid"), 0)
)</f>
        <v> </v>
      </c>
      <c r="E311" s="42">
        <f t="shared" si="37"/>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8"/>
        <v>¬</v>
      </c>
      <c r="D312" s="61" t="str" cm="1">
        <f t="array" aca="1" ref="D312" ca="1">INDEX(Attendance!$C$14:$GP$44,
       MATCH($F$4, Attendance!$C$14:$C$44, 0),
       MATCH(1, (Attendance!$C$12:$GP$12=$E312) * (Attendance!$C$13:$GP$13="Paid"), 0)
)</f>
        <v> </v>
      </c>
      <c r="E312" s="42">
        <f t="shared" si="37"/>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8"/>
        <v>¬</v>
      </c>
      <c r="D313" s="61" t="str" cm="1">
        <f t="array" aca="1" ref="D313" ca="1">INDEX(Attendance!$C$14:$GP$44,
       MATCH($F$4, Attendance!$C$14:$C$44, 0),
       MATCH(1, (Attendance!$C$12:$GP$12=$E313) * (Attendance!$C$13:$GP$13="Paid"), 0)
)</f>
        <v> </v>
      </c>
      <c r="E313" s="42">
        <f t="shared" si="37"/>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39">IF(AF44="","¬",AF44)</f>
        <v>Add Auspex dots to any rolls to resist surprise. Access to Tier 1 Auspex Insight questions.</v>
      </c>
      <c r="D314" s="61" t="str" cm="1">
        <f t="array" aca="1" ref="D314" ca="1">INDEX(Attendance!$C$14:$GP$44,
       MATCH($F$4, Attendance!$C$14:$C$44, 0),
       MATCH(1, (Attendance!$C$12:$GP$12=$E314) * (Attendance!$C$13:$GP$13="Paid"), 0)
)</f>
        <v> </v>
      </c>
      <c r="E314" s="42">
        <f t="shared" si="37"/>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39"/>
        <v>Conjure brief illusions. Improve Intimidation. Prevent foes spending Willpower.</v>
      </c>
      <c r="D315" s="61" t="str" cm="1">
        <f t="array" aca="1" ref="D315" ca="1">INDEX(Attendance!$C$14:$GP$44,
       MATCH($F$4, Attendance!$C$14:$C$44, 0),
       MATCH(1, (Attendance!$C$12:$GP$12=$E315) * (Attendance!$C$13:$GP$13="Paid"), 0)
)</f>
        <v> </v>
      </c>
      <c r="E315" s="42">
        <f t="shared" si="37"/>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39"/>
        <v>Impose Frightened Condition. Cause fleeing.</v>
      </c>
      <c r="D316" s="61" t="str" cm="1">
        <f t="array" aca="1" ref="D316" ca="1">INDEX(Attendance!$C$14:$GP$44,
       MATCH($F$4, Attendance!$C$14:$C$44, 0),
       MATCH(1, (Attendance!$C$12:$GP$12=$E316) * (Attendance!$C$13:$GP$13="Paid"), 0)
)</f>
        <v> </v>
      </c>
      <c r="E316" s="42">
        <f t="shared" si="37"/>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39"/>
        <v>Impose Delusional Condition.</v>
      </c>
    </row>
    <row r="318" spans="1:9">
      <c r="A318" s="1" t="s">
        <v>317</v>
      </c>
      <c r="B318" t="str">
        <f t="shared" si="39"/>
        <v>Create and control hallucinations.</v>
      </c>
    </row>
    <row r="319" spans="1:9">
      <c r="A319" s="1" t="s">
        <v>318</v>
      </c>
      <c r="B319" t="str">
        <f t="shared" si="39"/>
        <v>Blend into surroundings, visible but unnoticeable. Predatory aura fully on or off. Leaving combat: Wits + Composure - Obfuscate to notice; auto Clash of Wills vs Auspex.</v>
      </c>
    </row>
    <row r="320" spans="1:9">
      <c r="A320" s="1" t="s">
        <v>319</v>
      </c>
      <c r="B320" t="str">
        <f t="shared" si="39"/>
        <v>Cast Face in the Crowd on object or person. Free and unlimited duration on carried/worn objects if not drawing attention.</v>
      </c>
    </row>
    <row r="321" spans="1:2">
      <c r="A321" s="1" t="s">
        <v>320</v>
      </c>
      <c r="B321" t="str">
        <f t="shared" si="39"/>
        <v>Become invisible. Leaving combat: auto Clash of Wills vs Auspex 2.</v>
      </c>
    </row>
    <row r="322" spans="1:2">
      <c r="A322" s="1" t="s">
        <v>321</v>
      </c>
      <c r="B322" t="str">
        <f t="shared" si="39"/>
        <v>Disguise self or other as a desired person. Free unlimited duration to reskin carried/worn objects, but no equipment bonus without Vitae.</v>
      </c>
    </row>
    <row r="323" spans="1:2">
      <c r="A323" s="1" t="s">
        <v>322</v>
      </c>
      <c r="B323" t="str">
        <f t="shared" si="39"/>
        <v>¬</v>
      </c>
    </row>
    <row r="324" spans="1:2">
      <c r="A324" s="1" t="s">
        <v>323</v>
      </c>
      <c r="B324" t="str">
        <f t="shared" si="39"/>
        <v>¬</v>
      </c>
    </row>
    <row r="325" spans="1:2">
      <c r="A325" s="1" t="s">
        <v>324</v>
      </c>
      <c r="B325" t="str">
        <f t="shared" si="39"/>
        <v>¬</v>
      </c>
    </row>
    <row r="326" spans="1:2">
      <c r="A326" s="1" t="s">
        <v>325</v>
      </c>
      <c r="B326" t="str">
        <f t="shared" si="39"/>
        <v>¬</v>
      </c>
    </row>
    <row r="327" spans="1:2">
      <c r="A327" s="1" t="s">
        <v>326</v>
      </c>
      <c r="B327" t="str">
        <f t="shared" si="39"/>
        <v>¬</v>
      </c>
    </row>
    <row r="328" spans="1:2">
      <c r="A328" s="1" t="s">
        <v>327</v>
      </c>
      <c r="B328" t="str">
        <f t="shared" si="39"/>
        <v>¬</v>
      </c>
    </row>
    <row r="329" spans="1:2">
      <c r="A329" s="1" t="s">
        <v>328</v>
      </c>
      <c r="B329" t="str">
        <f t="shared" si="39"/>
        <v>¬</v>
      </c>
    </row>
    <row r="330" spans="1:2">
      <c r="A330" s="1" t="s">
        <v>329</v>
      </c>
      <c r="B330" t="str">
        <f t="shared" si="39"/>
        <v>¬</v>
      </c>
    </row>
    <row r="331" spans="1:2">
      <c r="A331" s="1" t="s">
        <v>330</v>
      </c>
      <c r="B331" t="str">
        <f t="shared" si="39"/>
        <v>¬</v>
      </c>
    </row>
    <row r="332" spans="1:2">
      <c r="A332" s="1" t="s">
        <v>331</v>
      </c>
      <c r="B332" t="str">
        <f t="shared" si="39"/>
        <v>¬</v>
      </c>
    </row>
    <row r="333" spans="1:2">
      <c r="A333" s="1" t="s">
        <v>332</v>
      </c>
      <c r="B333" t="str">
        <f t="shared" si="39"/>
        <v>¬</v>
      </c>
    </row>
    <row r="334" spans="1:2">
      <c r="A334" s="1" t="s">
        <v>333</v>
      </c>
      <c r="B334" t="str">
        <f t="shared" si="39"/>
        <v>¬</v>
      </c>
    </row>
    <row r="335" spans="1:2">
      <c r="A335" s="1" t="s">
        <v>334</v>
      </c>
      <c r="B335" t="str">
        <f t="shared" si="39"/>
        <v>¬</v>
      </c>
    </row>
    <row r="336" spans="1:2">
      <c r="A336" s="1" t="s">
        <v>335</v>
      </c>
      <c r="B336" t="str">
        <f t="shared" si="39"/>
        <v>¬</v>
      </c>
    </row>
    <row r="337" spans="1:2">
      <c r="A337" s="1" t="s">
        <v>336</v>
      </c>
      <c r="B337" t="str">
        <f t="shared" si="39"/>
        <v>¬</v>
      </c>
    </row>
    <row r="338" spans="1:2">
      <c r="A338" s="1" t="s">
        <v>337</v>
      </c>
      <c r="B338" t="str">
        <f t="shared" si="39"/>
        <v>¬</v>
      </c>
    </row>
    <row r="339" spans="1:2">
      <c r="A339" s="1" t="s">
        <v>338</v>
      </c>
      <c r="B339" t="str">
        <f t="shared" si="39"/>
        <v>¬</v>
      </c>
    </row>
    <row r="340" spans="1:2">
      <c r="A340" s="1" t="s">
        <v>339</v>
      </c>
      <c r="B340" t="str">
        <f t="shared" si="39"/>
        <v>¬</v>
      </c>
    </row>
    <row r="341" spans="1:2">
      <c r="A341" s="1" t="s">
        <v>340</v>
      </c>
      <c r="B341" t="str">
        <f t="shared" si="39"/>
        <v>¬</v>
      </c>
    </row>
    <row r="342" spans="1:2">
      <c r="A342" s="1" t="s">
        <v>341</v>
      </c>
      <c r="B342" t="str">
        <f t="shared" si="39"/>
        <v>¬</v>
      </c>
    </row>
    <row r="343" spans="1:2">
      <c r="A343" s="1" t="s">
        <v>342</v>
      </c>
      <c r="B343" t="str">
        <f t="shared" si="39"/>
        <v>¬</v>
      </c>
    </row>
    <row r="344" spans="1:2">
      <c r="A344" s="1" t="s">
        <v>343</v>
      </c>
      <c r="B344" s="8" t="str">
        <f>IF(VLOOKUP(tblCharDataMammon[[#This Row],[Field]],$E$2:$F$361,2,FALSE)="","¬",VLOOKUP(tblCharDataMammon[[#This Row],[Field]],$E$2:$F$361,2,FALSE))</f>
        <v>Lonely Curse</v>
      </c>
    </row>
    <row r="345" spans="1:2">
      <c r="A345" s="1" t="s">
        <v>344</v>
      </c>
      <c r="B345" s="8" t="str">
        <f>IF(VLOOKUP(tblCharDataMammon[[#This Row],[Field]],$E$2:$F$361,2,FALSE)="","¬",VLOOKUP(tblCharDataMammon[[#This Row],[Field]],$E$2:$F$361,2,FALSE))</f>
        <v>¬</v>
      </c>
    </row>
    <row r="346" spans="1:2">
      <c r="A346" s="1" t="s">
        <v>345</v>
      </c>
      <c r="B346" s="8" t="str">
        <f>IF(VLOOKUP(tblCharDataMammon[[#This Row],[Field]],$E$2:$F$361,2,FALSE)="","¬",VLOOKUP(tblCharDataMammon[[#This Row],[Field]],$E$2:$F$361,2,FALSE))</f>
        <v>Plague of Purity</v>
      </c>
    </row>
    <row r="347" spans="1:2">
      <c r="A347" s="1" t="s">
        <v>346</v>
      </c>
      <c r="B347" s="8" t="str">
        <f>IF(VLOOKUP(tblCharDataMammon[[#This Row],[Field]],$E$2:$F$361,2,FALSE)="","¬",VLOOKUP(tblCharDataMammon[[#This Row],[Field]],$E$2:$F$361,2,FALSE))</f>
        <v>¬</v>
      </c>
    </row>
    <row r="348" spans="1:2">
      <c r="A348" s="1" t="s">
        <v>347</v>
      </c>
      <c r="B348" s="8" t="str">
        <f>IF(VLOOKUP(tblCharDataMammon[[#This Row],[Field]],$E$2:$F$361,2,FALSE)="","¬",VLOOKUP(tblCharDataMammon[[#This Row],[Field]],$E$2:$F$361,2,FALSE))</f>
        <v>¬</v>
      </c>
    </row>
    <row r="349" spans="1:2">
      <c r="A349" s="1" t="s">
        <v>348</v>
      </c>
      <c r="B349" t="str">
        <f>_xlfn.IFNA(VLOOKUP(B344,$F$234:$I$238,3,FALSE),"")</f>
        <v>With mortals, Humanity counts –2; Presence/Manipulation failures become dramatic failures. Intimidation and Subterfuge unaffected.</v>
      </c>
    </row>
    <row r="350" spans="1:2">
      <c r="A350" s="1" t="s">
        <v>349</v>
      </c>
      <c r="B350" t="str">
        <f>_xlfn.IFNA(VLOOKUP(B345,$F$234:$I$238,3,FALSE),"¬")</f>
        <v>¬</v>
      </c>
    </row>
    <row r="351" spans="1:2">
      <c r="A351" s="1" t="s">
        <v>350</v>
      </c>
      <c r="B351" t="str">
        <f>_xlfn.IFNA(VLOOKUP(B346,$F$234:$I$238,3,FALSE),"")</f>
        <v>Touch by Integrity 8+ mortal causes (10 – Humanity) bashing damage.</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9</v>
      </c>
    </row>
    <row r="356" spans="1:2">
      <c r="A356" s="1" t="s">
        <v>355</v>
      </c>
      <c r="B356">
        <f ca="1">P220</f>
        <v>4</v>
      </c>
    </row>
    <row r="357" spans="1:2">
      <c r="A357" s="1" t="s">
        <v>356</v>
      </c>
      <c r="B357" t="str">
        <f>IF(F10="","¬",VLOOKUP(F10,tblAnchors[],2,FALSE))</f>
        <v>Convince someone to deny logic because of your word.</v>
      </c>
    </row>
    <row r="358" spans="1:2">
      <c r="A358" s="1" t="s">
        <v>357</v>
      </c>
      <c r="B358" t="str">
        <f>IF(F10="","¬",VLOOKUP(F10,tblAnchors[],3,FALSE))</f>
        <v>Risk exile or death to defend your cult's belief system.</v>
      </c>
    </row>
    <row r="359" spans="1:2">
      <c r="A359" s="1" t="s">
        <v>358</v>
      </c>
      <c r="B359" t="str">
        <f>IF(F11="","¬",VLOOKUP(F11,tblAnchors[],2,FALSE))</f>
        <v>Punish yourself for a mistake.</v>
      </c>
    </row>
    <row r="360" spans="1:2">
      <c r="A360" s="1" t="s">
        <v>359</v>
      </c>
      <c r="B360" t="str">
        <f>IF(F11="","¬",VLOOKUP(F11,tblAnchors[],3,FALSE))</f>
        <v>Risk death to correct an egregious error in judgement.</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indeterminate</v>
      </c>
    </row>
    <row r="365" spans="1:2">
      <c r="A365" s="1" t="s">
        <v>364</v>
      </c>
      <c r="B365" t="str">
        <f>_xlfn.LET(_xlpm.a,IF(F244="","",F244),_xlpm.b,IF(F245="","",F245),IF(AND(_xlpm.a&lt;&gt;"",_xlpm.b&lt;&gt;""),_xlpm.a&amp;", "&amp;_xlpm.b,IF(_xlpm.a&lt;&gt;"",_xlpm.a,IF(_xlpm.b&lt;&gt;"",_xlpm.b,""))))</f>
        <v>High Presence</v>
      </c>
    </row>
  </sheetData>
  <mergeCells count="89">
    <mergeCell ref="F240:I240"/>
    <mergeCell ref="F241:I241"/>
    <mergeCell ref="F242:I242"/>
    <mergeCell ref="F244:I244"/>
    <mergeCell ref="F245:I245"/>
    <mergeCell ref="H238:I238"/>
    <mergeCell ref="H208:I208"/>
    <mergeCell ref="H209:I209"/>
    <mergeCell ref="H210:I210"/>
    <mergeCell ref="H211:I211"/>
    <mergeCell ref="H212:I212"/>
    <mergeCell ref="H213:I213"/>
    <mergeCell ref="H214:I214"/>
    <mergeCell ref="H215:I215"/>
    <mergeCell ref="H234:I234"/>
    <mergeCell ref="H236:I236"/>
    <mergeCell ref="H237:I237"/>
    <mergeCell ref="H207:I207"/>
    <mergeCell ref="H153:I153"/>
    <mergeCell ref="H154:I154"/>
    <mergeCell ref="H155:I155"/>
    <mergeCell ref="H156:I156"/>
    <mergeCell ref="H157:I157"/>
    <mergeCell ref="H177:I177"/>
    <mergeCell ref="H178:I178"/>
    <mergeCell ref="H179:I179"/>
    <mergeCell ref="H180:I180"/>
    <mergeCell ref="H181:I181"/>
    <mergeCell ref="H206:I206"/>
    <mergeCell ref="H152:I152"/>
    <mergeCell ref="H141:I141"/>
    <mergeCell ref="H142:I142"/>
    <mergeCell ref="H143:I143"/>
    <mergeCell ref="H144:I144"/>
    <mergeCell ref="H145:I145"/>
    <mergeCell ref="H146:I146"/>
    <mergeCell ref="H147:I147"/>
    <mergeCell ref="H148:I148"/>
    <mergeCell ref="H149:I149"/>
    <mergeCell ref="H150:I150"/>
    <mergeCell ref="H151:I151"/>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11:I111"/>
    <mergeCell ref="H98:I98"/>
    <mergeCell ref="H101:I101"/>
    <mergeCell ref="H102:I102"/>
    <mergeCell ref="H103:I103"/>
    <mergeCell ref="H104:I104"/>
    <mergeCell ref="H105:I105"/>
    <mergeCell ref="H106:I106"/>
    <mergeCell ref="H107:I107"/>
    <mergeCell ref="H108:I108"/>
    <mergeCell ref="H109:I109"/>
    <mergeCell ref="H110:I110"/>
    <mergeCell ref="H97:I97"/>
    <mergeCell ref="H86:I86"/>
    <mergeCell ref="H87:I87"/>
    <mergeCell ref="H88:I88"/>
    <mergeCell ref="H89:I89"/>
    <mergeCell ref="H90:I90"/>
    <mergeCell ref="H91:I91"/>
    <mergeCell ref="H92:I92"/>
    <mergeCell ref="H93:I93"/>
    <mergeCell ref="H94:I94"/>
    <mergeCell ref="H95:I95"/>
    <mergeCell ref="H96:I96"/>
    <mergeCell ref="H85:I85"/>
    <mergeCell ref="O8:P8"/>
    <mergeCell ref="O9:P9"/>
    <mergeCell ref="O10:P10"/>
    <mergeCell ref="O11:P11"/>
    <mergeCell ref="O12:P12"/>
    <mergeCell ref="H79:I79"/>
    <mergeCell ref="H80:I80"/>
    <mergeCell ref="H81:I81"/>
    <mergeCell ref="H82:I82"/>
    <mergeCell ref="H83:I83"/>
    <mergeCell ref="H84:I84"/>
  </mergeCells>
  <dataValidations count="15">
    <dataValidation type="list" allowBlank="1" showInputMessage="1" showErrorMessage="1" sqref="G248:G277" xr:uid="{71EF149C-1D69-470D-B3DF-C7511D7B92D4}">
      <formula1>$I$248:$I$249</formula1>
    </dataValidation>
    <dataValidation type="list" allowBlank="1" showInputMessage="1" showErrorMessage="1" sqref="F101:F120" xr:uid="{34A771B0-C734-4496-8059-716A8CC2BDCB}">
      <formula1>lstManoeuvres</formula1>
    </dataValidation>
    <dataValidation type="list" allowBlank="1" showInputMessage="1" showErrorMessage="1" sqref="F79:F98" xr:uid="{E00C4014-9E73-40CD-B42F-D2E135E5E4FB}">
      <formula1>lstMerits</formula1>
    </dataValidation>
    <dataValidation type="list" allowBlank="1" showInputMessage="1" showErrorMessage="1" sqref="F236:F238" xr:uid="{1B0D2975-A6D5-4068-A031-9DDE4222744D}">
      <formula1>lstBanes</formula1>
    </dataValidation>
    <dataValidation type="list" allowBlank="1" showInputMessage="1" showErrorMessage="1" sqref="F206:F215" xr:uid="{FFAF4DAB-FD23-4B54-B626-5D6EAB60F864}">
      <formula1>lstPacts</formula1>
    </dataValidation>
    <dataValidation type="list" allowBlank="1" showInputMessage="1" showErrorMessage="1" sqref="G12:G13" xr:uid="{4344AB1A-AB01-4793-9BB7-4278A46C842A}">
      <formula1>lstStatus</formula1>
    </dataValidation>
    <dataValidation type="list" allowBlank="1" showInputMessage="1" showErrorMessage="1" sqref="F194:F205 F207:F215" xr:uid="{EF737FB5-C638-4871-BE58-7CB7D4472F07}">
      <formula1>lstRites</formula1>
    </dataValidation>
    <dataValidation type="list" allowBlank="1" showInputMessage="1" showErrorMessage="1" sqref="F177:F181" xr:uid="{3CC0AD54-2C27-4EB4-B6C7-1B4DED74C47A}">
      <formula1>lstDevotions</formula1>
    </dataValidation>
    <dataValidation type="list" allowBlank="1" showInputMessage="1" showErrorMessage="1" sqref="F17:F21" xr:uid="{09319E39-35B4-4645-8564-922E0BC3D7BD}">
      <formula1>"TRUE,FALSE"</formula1>
    </dataValidation>
    <dataValidation type="list" allowBlank="1" showInputMessage="1" showErrorMessage="1" sqref="F24" xr:uid="{37E34A08-918C-4DA8-84F3-36B44303AA36}">
      <formula1>$D$7:$D$8</formula1>
    </dataValidation>
    <dataValidation type="list" allowBlank="1" showInputMessage="1" showErrorMessage="1" sqref="I25 I30 I35 I41 I51 I61" xr:uid="{10294421-873C-44A3-8212-5445A4906726}">
      <formula1>lstPriority</formula1>
    </dataValidation>
    <dataValidation type="list" allowBlank="1" showInputMessage="1" showErrorMessage="1" sqref="F10:F11" xr:uid="{8E7E0FB5-7F3A-443C-903D-93E7815FB338}">
      <formula1>lstNature</formula1>
    </dataValidation>
    <dataValidation type="list" allowBlank="1" showInputMessage="1" showErrorMessage="1" sqref="F8" xr:uid="{603A98A1-4112-4006-B2FB-C40F50BABFDD}">
      <formula1>lstBloodlines</formula1>
    </dataValidation>
    <dataValidation type="list" allowBlank="1" showInputMessage="1" showErrorMessage="1" sqref="F9" xr:uid="{A38B8CE9-0A52-44E5-939E-D580BF742204}">
      <formula1>lstCovenant</formula1>
    </dataValidation>
    <dataValidation type="list" allowBlank="1" showInputMessage="1" showErrorMessage="1" sqref="F7" xr:uid="{74777FBE-0109-4112-AA24-D3CEED5D3B00}">
      <formula1>lstClan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4656D581-A3D1-45DC-97E1-9C5D9E441E35}">
          <x14:formula1>
            <xm:f>'Lookup-Domain'!$A$2:$A$8</xm:f>
          </x14:formula1>
          <xm:sqref>F161 F143:F157</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D20D9-8081-4A90-A96C-27385468DBD6}">
  <dimension ref="A1:AK365"/>
  <sheetViews>
    <sheetView zoomScale="70" zoomScaleNormal="70" workbookViewId="0">
      <pane ySplit="1" topLeftCell="A2" activePane="bottomLeft" state="frozen"/>
      <selection pane="bottomLeft" activeCell="D26" sqref="D26"/>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Fighting Finesse (Weaponry)</v>
      </c>
      <c r="AC2" s="60" t="str" cm="1">
        <f t="array" ref="AC2:AC4">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Danger Sense</v>
      </c>
      <c r="AD2" s="20" t="str">
        <f>IF(AC2="","¬",_xlfn.LET(_xlpm.base,IFERROR(LEFT(AC2,FIND(" (",AC2)-1),AC2),IFERROR(VLOOKUP(_xlpm.base,tblManoeuvre[],2,FALSE) &amp; " " &amp; REPT("●",VLOOKUP(_xlpm.base,tblManoeuvre[],3,FALSE)) &amp; " | " &amp; AC2,AC2 &amp; " " &amp; REPT("●",VLOOKUP(_xlpm.base,$F$79:$P$120,11,FALSE)))))</f>
        <v>Danger Sense ●●</v>
      </c>
      <c r="AE2" s="20"/>
      <c r="AF2" s="20" t="str">
        <f>IF(LEN(AC2)=0,"¬",_xlfn.LET(_xlpm.base,IFERROR(LEFT(AC2,FIND(" (",AC2)-1),AC2),IFERROR(VLOOKUP(_xlpm.base,tblMerits[],5,FALSE),IFERROR(VLOOKUP(_xlpm.base,tblManoeuvre[],9,FALSE),"¬"))))</f>
        <v>+2 bonus to detect an ambush.</v>
      </c>
      <c r="AI2" s="15" t="s">
        <v>25</v>
      </c>
      <c r="AJ2" s="61">
        <f t="shared" ref="AJ2:AJ58" si="1">VLOOKUP(AI2,$E$3:$P$221,12,FALSE)</f>
        <v>4</v>
      </c>
      <c r="AK2" s="61">
        <f>IF(AJ2=0,IF(COUNTIF($E$42:$E$49,AI2)&gt;0,-3,-1),AJ2)</f>
        <v>4</v>
      </c>
    </row>
    <row r="3" spans="1:37">
      <c r="A3" s="1" t="s">
        <v>2</v>
      </c>
      <c r="B3">
        <f ca="1">N3</f>
        <v>0</v>
      </c>
      <c r="D3" s="19"/>
      <c r="E3" s="15" t="s">
        <v>4</v>
      </c>
      <c r="F3" s="3" t="s">
        <v>1198</v>
      </c>
      <c r="G3" s="18"/>
      <c r="H3" s="18"/>
      <c r="I3" s="18" t="s">
        <v>1425</v>
      </c>
      <c r="N3" s="60">
        <f ca="1">10+SUM(N4:N6)-SUM(N7)</f>
        <v>0</v>
      </c>
      <c r="Y3" s="15" t="s">
        <v>115</v>
      </c>
      <c r="Z3" s="19"/>
      <c r="AA3" s="61" t="str">
        <f t="shared" si="0"/>
        <v>Danger Sense</v>
      </c>
      <c r="AC3" s="60" t="str">
        <v>Fighting Finesse (Weaponry)</v>
      </c>
      <c r="AD3" s="20" t="str">
        <f>IF(AC3="","¬",_xlfn.LET(_xlpm.base,IFERROR(LEFT(AC3,FIND(" (",AC3)-1),AC3),IFERROR(VLOOKUP(_xlpm.base,tblManoeuvre[],2,FALSE) &amp; " " &amp; REPT("●",VLOOKUP(_xlpm.base,tblManoeuvre[],3,FALSE)) &amp; " | " &amp; AC3,AC3 &amp; " " &amp; REPT("●",VLOOKUP(_xlpm.base,$F$79:$P$120,11,FALSE)))))</f>
        <v>Fighting Finesse (Weaponry) ●●</v>
      </c>
      <c r="AE3" s="20"/>
      <c r="AF3" s="20" t="str">
        <f>IF(LEN(AC3)=0,"¬",_xlfn.LET(_xlpm.base,IFERROR(LEFT(AC3,FIND(" (",AC3)-1),AC3),IFERROR(VLOOKUP(_xlpm.base,tblMerits[],5,FALSE),IFERROR(VLOOKUP(_xlpm.base,tblManoeuvre[],9,FALSE),"¬"))))</f>
        <v>Substitute Dexterity for Strength with a chosen Brawl or Weaponry Specialty.</v>
      </c>
      <c r="AI3" s="15" t="s">
        <v>41</v>
      </c>
      <c r="AJ3" s="61">
        <f t="shared" si="1"/>
        <v>0</v>
      </c>
      <c r="AK3" s="61">
        <f>IF(AJ3=0,IF(COUNTIF($E$42:$E$49,AI3)&gt;0,-3,-1),AJ3)</f>
        <v>-1</v>
      </c>
    </row>
    <row r="4" spans="1:37">
      <c r="A4" s="1" t="s">
        <v>3</v>
      </c>
      <c r="B4">
        <f ca="1">SUM(N3:N9)</f>
        <v>17</v>
      </c>
      <c r="D4" s="19"/>
      <c r="E4" s="15" t="s">
        <v>5</v>
      </c>
      <c r="F4" s="3" t="s">
        <v>1199</v>
      </c>
      <c r="G4" s="18"/>
      <c r="H4" s="18"/>
      <c r="I4" s="18" t="s">
        <v>1426</v>
      </c>
      <c r="N4" s="61">
        <f>K73*2</f>
        <v>0</v>
      </c>
      <c r="Y4" s="15" t="s">
        <v>116</v>
      </c>
      <c r="Z4" s="19"/>
      <c r="AA4" s="61" t="str">
        <f t="shared" si="0"/>
        <v>Flock</v>
      </c>
      <c r="AC4" s="60" t="str">
        <v>Flock</v>
      </c>
      <c r="AD4" s="20" t="str">
        <f>IF(AC4="","¬",_xlfn.LET(_xlpm.base,IFERROR(LEFT(AC4,FIND(" (",AC4)-1),AC4),IFERROR(VLOOKUP(_xlpm.base,tblManoeuvre[],2,FALSE) &amp; " " &amp; REPT("●",VLOOKUP(_xlpm.base,tblManoeuvre[],3,FALSE)) &amp; " | " &amp; AC4,AC4 &amp; " " &amp; REPT("●",VLOOKUP(_xlpm.base,$F$79:$P$120,11,FALSE)))))</f>
        <v>Flock ●●</v>
      </c>
      <c r="AE4" s="20"/>
      <c r="AF4" s="20" t="str">
        <f>IF(LEN(AC4)=0,"¬",_xlfn.LET(_xlpm.base,IFERROR(LEFT(AC4,FIND(" (",AC4)-1),AC4),IFERROR(VLOOKUP(_xlpm.base,tblMerits[],5,FALSE),IFERROR(VLOOKUP(_xlpm.base,tblManoeuvre[],9,FALSE),"¬"))))</f>
        <v>Herd serves as Willpower source. Dots apply as additional Herd dots.</v>
      </c>
      <c r="AI4" s="15" t="s">
        <v>236</v>
      </c>
      <c r="AJ4" s="61">
        <f t="shared" si="1"/>
        <v>0</v>
      </c>
      <c r="AK4" s="61">
        <f>AJ4</f>
        <v>0</v>
      </c>
    </row>
    <row r="5" spans="1:37">
      <c r="A5" s="1" t="s">
        <v>4</v>
      </c>
      <c r="B5" t="str">
        <f>IF(VLOOKUP(tblCharDataMagda[[#This Row],[Field]],$E$2:$F$362,2,FALSE)="","¬",VLOOKUP(tblCharDataMagda[[#This Row],[Field]],$E$2:$F$362,2,FALSE))</f>
        <v>Tiana C</v>
      </c>
      <c r="D5" s="19"/>
      <c r="E5" s="15" t="s">
        <v>6</v>
      </c>
      <c r="F5" s="3" t="s">
        <v>1200</v>
      </c>
      <c r="G5" s="18"/>
      <c r="H5" s="18"/>
      <c r="I5" s="18" t="s">
        <v>1427</v>
      </c>
      <c r="N5" s="61">
        <f>N16</f>
        <v>0</v>
      </c>
      <c r="Y5" s="15" t="s">
        <v>117</v>
      </c>
      <c r="Z5" s="19"/>
      <c r="AA5" s="61" t="str">
        <f t="shared" si="0"/>
        <v/>
      </c>
      <c r="AC5" s="60"/>
      <c r="AD5" s="20" t="str">
        <f>IF(AC5="","¬",_xlfn.LET(_xlpm.base,IFERROR(LEFT(AC5,FIND(" (",AC5)-1),AC5),IFERROR(VLOOKUP(_xlpm.base,tblManoeuvre[],2,FALSE) &amp; " " &amp; REPT("●",VLOOKUP(_xlpm.base,tblManoeuvre[],3,FALSE)) &amp; " | " &amp; AC5,AC5 &amp; " " &amp; REPT("●",VLOOKUP(_xlpm.base,$F$79:$P$120,11,FALSE)))))</f>
        <v>¬</v>
      </c>
      <c r="AE5" s="20"/>
      <c r="AF5" s="20" t="str">
        <f>IF(LEN(AC5)=0,"¬",_xlfn.LET(_xlpm.base,IFERROR(LEFT(AC5,FIND(" (",AC5)-1),AC5),IFERROR(VLOOKUP(_xlpm.base,tblMerits[],5,FALSE),IFERROR(VLOOKUP(_xlpm.base,tblManoeuvre[],9,FALSE),"¬"))))</f>
        <v>¬</v>
      </c>
      <c r="AI5" s="15" t="s">
        <v>33</v>
      </c>
      <c r="AJ5" s="61">
        <f t="shared" si="1"/>
        <v>0</v>
      </c>
      <c r="AK5" s="61">
        <f>IF(AJ5=0,IF(COUNTIF($E$42:$E$49,AI5)&gt;0,-3,-1),AJ5)</f>
        <v>-1</v>
      </c>
    </row>
    <row r="6" spans="1:37">
      <c r="A6" s="1" t="s">
        <v>5</v>
      </c>
      <c r="B6" t="str">
        <f>IF(VLOOKUP(tblCharDataMagda[[#This Row],[Field]],$E$2:$F$362,2,FALSE)="","¬",VLOOKUP(tblCharDataMagda[[#This Row],[Field]],$E$2:$F$362,2,FALSE))</f>
        <v>Magda</v>
      </c>
      <c r="D6" s="19"/>
      <c r="E6" s="15" t="s">
        <v>7</v>
      </c>
      <c r="F6" s="3" t="s">
        <v>369</v>
      </c>
      <c r="G6" s="18"/>
      <c r="H6" s="18"/>
      <c r="I6" s="18" t="s">
        <v>1347</v>
      </c>
      <c r="N6" s="61">
        <f ca="1">N279</f>
        <v>3</v>
      </c>
      <c r="Y6" s="15" t="s">
        <v>118</v>
      </c>
      <c r="Z6" s="19"/>
      <c r="AA6" s="61" t="str">
        <f t="shared" si="0"/>
        <v/>
      </c>
      <c r="AC6" s="60"/>
      <c r="AD6" s="20" t="str">
        <f>IF(AC6="","¬",_xlfn.LET(_xlpm.base,IFERROR(LEFT(AC6,FIND(" (",AC6)-1),AC6),IFERROR(VLOOKUP(_xlpm.base,tblManoeuvre[],2,FALSE) &amp; " " &amp; REPT("●",VLOOKUP(_xlpm.base,tblManoeuvre[],3,FALSE)) &amp; " | " &amp; AC6,AC6 &amp; " " &amp; REPT("●",VLOOKUP(_xlpm.base,$F$79:$P$120,11,FALSE)))))</f>
        <v>¬</v>
      </c>
      <c r="AE6" s="20"/>
      <c r="AF6" s="20" t="str">
        <f>IF(LEN(AC6)=0,"¬",_xlfn.LET(_xlpm.base,IFERROR(LEFT(AC6,FIND(" (",AC6)-1),AC6),IFERROR(VLOOKUP(_xlpm.base,tblMerits[],5,FALSE),IFERROR(VLOOKUP(_xlpm.base,tblManoeuvre[],9,FALSE),"¬"))))</f>
        <v>¬</v>
      </c>
      <c r="AI6" s="15" t="s">
        <v>237</v>
      </c>
      <c r="AJ6" s="61">
        <f t="shared" si="1"/>
        <v>0</v>
      </c>
      <c r="AK6" s="61">
        <f>AJ6</f>
        <v>0</v>
      </c>
    </row>
    <row r="7" spans="1:37">
      <c r="A7" s="1" t="s">
        <v>6</v>
      </c>
      <c r="B7" t="str">
        <f>IF(VLOOKUP(tblCharDataMagda[[#This Row],[Field]],$E$2:$F$362,2,FALSE)="","¬",VLOOKUP(tblCharDataMagda[[#This Row],[Field]],$E$2:$F$362,2,FALSE))</f>
        <v>Faithful Militant</v>
      </c>
      <c r="D7" s="19" t="str">
        <f>VLOOKUP(F7,tblClans[],3,FALSE)</f>
        <v>Strength</v>
      </c>
      <c r="E7" s="15" t="s">
        <v>8</v>
      </c>
      <c r="F7" s="3" t="s">
        <v>680</v>
      </c>
      <c r="G7" s="18"/>
      <c r="H7" s="18"/>
      <c r="I7" s="18"/>
      <c r="N7" s="60">
        <f>SUM(N8:N12)</f>
        <v>13</v>
      </c>
      <c r="Y7" s="15" t="s">
        <v>119</v>
      </c>
      <c r="Z7" s="19"/>
      <c r="AA7" s="61" t="str">
        <f t="shared" si="0"/>
        <v/>
      </c>
      <c r="AC7" s="60"/>
      <c r="AD7" s="20" t="str">
        <f>IF(AC7="","¬",_xlfn.LET(_xlpm.base,IFERROR(LEFT(AC7,FIND(" (",AC7)-1),AC7),IFERROR(VLOOKUP(_xlpm.base,tblManoeuvre[],2,FALSE) &amp; " " &amp; REPT("●",VLOOKUP(_xlpm.base,tblManoeuvre[],3,FALSE)) &amp; " | " &amp; AC7,AC7 &amp; " " &amp; REPT("●",VLOOKUP(_xlpm.base,$F$79:$P$120,11,FALSE)))))</f>
        <v>¬</v>
      </c>
      <c r="AE7" s="20"/>
      <c r="AF7" s="20" t="str">
        <f>IF(LEN(AC7)=0,"¬",_xlfn.LET(_xlpm.base,IFERROR(LEFT(AC7,FIND(" (",AC7)-1),AC7),IFERROR(VLOOKUP(_xlpm.base,tblMerits[],5,FALSE),IFERROR(VLOOKUP(_xlpm.base,tblManoeuvre[],9,FALSE),"¬"))))</f>
        <v>¬</v>
      </c>
      <c r="AI7" s="15" t="s">
        <v>49</v>
      </c>
      <c r="AJ7" s="61">
        <f t="shared" si="1"/>
        <v>1</v>
      </c>
      <c r="AK7" s="61">
        <f>AJ7</f>
        <v>1</v>
      </c>
    </row>
    <row r="8" spans="1:37">
      <c r="A8" s="1" t="s">
        <v>7</v>
      </c>
      <c r="B8" t="str">
        <f>IF(VLOOKUP(tblCharDataMagda[[#This Row],[Field]],$E$2:$F$362,2,FALSE)="","¬",LOWER(VLOOKUP(tblCharDataMagda[[#This Row],[Field]],$E$2:$F$362,2,FALSE)))</f>
        <v>she/her</v>
      </c>
      <c r="D8" s="19" t="str">
        <f>VLOOKUP(F7,tblClans[],2,FALSE)</f>
        <v>Composure</v>
      </c>
      <c r="E8" s="15" t="s">
        <v>10</v>
      </c>
      <c r="F8" s="3"/>
      <c r="G8" s="61" t="str">
        <f>IFERROR(IF(OR(AND(VLOOKUP(F8,tblBloodlines[],2,FALSE)="",VLOOKUP(F8,tblBloodlines[],3,FALSE)="",VLOOKUP(F8,tblBloodlines[],4,FALSE)=""),AND(VLOOKUP(F8,tblBloodlines[],2,FALSE)="",VLOOKUP(F8,tblBloodlines[],3,FALSE)="",F9=VLOOKUP(F8,tblBloodlines[],4,FALSE)),F7=VLOOKUP(F8,tblBloodlines[],2,FALSE),F7=VLOOKUP(F8,tblBloodlines[],3,FALSE)),TRUE,FALSE),"")</f>
        <v/>
      </c>
      <c r="H8" s="18"/>
      <c r="I8" s="18" t="s">
        <v>1428</v>
      </c>
      <c r="N8" s="61">
        <f>N23</f>
        <v>0</v>
      </c>
      <c r="O8" s="65">
        <f>N8/SUM(N$7:N$12)</f>
        <v>0</v>
      </c>
      <c r="P8" s="66"/>
      <c r="Y8" s="15" t="s">
        <v>120</v>
      </c>
      <c r="Z8" s="19"/>
      <c r="AA8" s="61" t="str">
        <f t="shared" si="0"/>
        <v/>
      </c>
      <c r="AC8" s="60"/>
      <c r="AD8" s="20" t="str">
        <f>IF(AC8="","¬",_xlfn.LET(_xlpm.base,IFERROR(LEFT(AC8,FIND(" (",AC8)-1),AC8),IFERROR(VLOOKUP(_xlpm.base,tblManoeuvre[],2,FALSE) &amp; " " &amp; REPT("●",VLOOKUP(_xlpm.base,tblManoeuvre[],3,FALSE)) &amp; " | " &amp; AC8,AC8 &amp; " " &amp; REPT("●",VLOOKUP(_xlpm.base,$F$79:$P$120,11,FALSE)))))</f>
        <v>¬</v>
      </c>
      <c r="AE8" s="20"/>
      <c r="AF8" s="20" t="str">
        <f>IF(LEN(AC8)=0,"¬",_xlfn.LET(_xlpm.base,IFERROR(LEFT(AC8,FIND(" (",AC8)-1),AC8),IFERROR(VLOOKUP(_xlpm.base,tblMerits[],5,FALSE),IFERROR(VLOOKUP(_xlpm.base,tblManoeuvre[],9,FALSE),"¬"))))</f>
        <v>¬</v>
      </c>
      <c r="AI8" s="15" t="s">
        <v>34</v>
      </c>
      <c r="AJ8" s="61">
        <f t="shared" si="1"/>
        <v>2</v>
      </c>
      <c r="AK8" s="61">
        <f>IF(AJ8=0,IF(COUNTIF($E$42:$E$49,AI8)&gt;0,-3,-1),AJ8)</f>
        <v>2</v>
      </c>
    </row>
    <row r="9" spans="1:37">
      <c r="A9" s="1" t="s">
        <v>8</v>
      </c>
      <c r="B9" t="str">
        <f>IF(VLOOKUP(tblCharDataMagda[[#This Row],[Field]],$E$2:$F$362,2,FALSE)="","¬",VLOOKUP(tblCharDataMagda[[#This Row],[Field]],$E$2:$F$362,2,FALSE))</f>
        <v>Nosferatu</v>
      </c>
      <c r="D9" s="19"/>
      <c r="E9" s="15" t="s">
        <v>11</v>
      </c>
      <c r="F9" s="3" t="s">
        <v>556</v>
      </c>
      <c r="G9" s="18"/>
      <c r="H9" s="18"/>
      <c r="I9" s="18" t="s">
        <v>1429</v>
      </c>
      <c r="N9" s="61">
        <f>N40+T40</f>
        <v>1</v>
      </c>
      <c r="O9" s="65">
        <f>N9/SUM(N$7:N$12)</f>
        <v>3.8461538461538464E-2</v>
      </c>
      <c r="P9" s="66"/>
      <c r="Y9" s="15" t="s">
        <v>121</v>
      </c>
      <c r="Z9" s="19"/>
      <c r="AA9" s="61" t="str">
        <f t="shared" si="0"/>
        <v/>
      </c>
      <c r="AC9" s="60"/>
      <c r="AD9" s="20" t="str">
        <f>IF(AC9="","¬",_xlfn.LET(_xlpm.base,IFERROR(LEFT(AC9,FIND(" (",AC9)-1),AC9),IFERROR(VLOOKUP(_xlpm.base,tblManoeuvre[],2,FALSE) &amp; " " &amp; REPT("●",VLOOKUP(_xlpm.base,tblManoeuvre[],3,FALSE)) &amp; " | " &amp; AC9,AC9 &amp; " " &amp; REPT("●",VLOOKUP(_xlpm.base,$F$79:$P$120,11,FALSE)))))</f>
        <v>¬</v>
      </c>
      <c r="AE9" s="20"/>
      <c r="AF9" s="20" t="str">
        <f>IF(LEN(AC9)=0,"¬",_xlfn.LET(_xlpm.base,IFERROR(LEFT(AC9,FIND(" (",AC9)-1),AC9),IFERROR(VLOOKUP(_xlpm.base,tblMerits[],5,FALSE),IFERROR(VLOOKUP(_xlpm.base,tblManoeuvre[],9,FALSE),"¬"))))</f>
        <v>¬</v>
      </c>
      <c r="AI9" s="15" t="s">
        <v>238</v>
      </c>
      <c r="AJ9" s="61">
        <f t="shared" si="1"/>
        <v>0</v>
      </c>
      <c r="AK9" s="61">
        <f>AJ9</f>
        <v>0</v>
      </c>
    </row>
    <row r="10" spans="1:37">
      <c r="A10" s="1" t="s">
        <v>9</v>
      </c>
      <c r="B10" t="str">
        <f>CONCATENATE(Elements,B9," icon.svg")</f>
        <v>D:\Terra Mortis\Character Sheets\Sheet Elements\Nosferatu icon.svg</v>
      </c>
      <c r="D10" s="19"/>
      <c r="E10" s="15" t="s">
        <v>13</v>
      </c>
      <c r="F10" s="3" t="s">
        <v>1201</v>
      </c>
      <c r="G10" s="18"/>
      <c r="H10" s="18"/>
      <c r="I10" s="18" t="s">
        <v>1430</v>
      </c>
      <c r="N10" s="61">
        <f>N77</f>
        <v>0</v>
      </c>
      <c r="O10" s="65">
        <f>N10/SUM(N$7:N$12)</f>
        <v>0</v>
      </c>
      <c r="P10" s="66"/>
      <c r="Y10" s="15" t="s">
        <v>122</v>
      </c>
      <c r="Z10" s="19"/>
      <c r="AA10" s="61" t="str">
        <f t="shared" si="0"/>
        <v/>
      </c>
      <c r="AC10" s="60"/>
      <c r="AD10" s="20" t="str">
        <f>IF(AC10="","¬",_xlfn.LET(_xlpm.base,IFERROR(LEFT(AC10,FIND(" (",AC10)-1),AC10),IFERROR(VLOOKUP(_xlpm.base,tblManoeuvre[],2,FALSE) &amp; " " &amp; REPT("●",VLOOKUP(_xlpm.base,tblManoeuvre[],3,FALSE)) &amp; " | " &amp; AC10,AC10 &amp; " " &amp; REPT("●",VLOOKUP(_xlpm.base,$F$79:$P$120,11,FALSE)))))</f>
        <v>¬</v>
      </c>
      <c r="AE10" s="20"/>
      <c r="AF10" s="20" t="str">
        <f>IF(LEN(AC10)=0,"¬",_xlfn.LET(_xlpm.base,IFERROR(LEFT(AC10,FIND(" (",AC10)-1),AC10),IFERROR(VLOOKUP(_xlpm.base,tblMerits[],5,FALSE),IFERROR(VLOOKUP(_xlpm.base,tblManoeuvre[],9,FALSE),"¬"))))</f>
        <v>¬</v>
      </c>
      <c r="AI10" s="15" t="s">
        <v>24</v>
      </c>
      <c r="AJ10" s="61">
        <f t="shared" si="1"/>
        <v>2</v>
      </c>
      <c r="AK10" s="61">
        <f>AJ10+IFERROR(INDEX($V$26:$V$38,MATCH(AI10,$E$26:$E$38,0)),0)</f>
        <v>2</v>
      </c>
    </row>
    <row r="11" spans="1:37">
      <c r="A11" s="1" t="s">
        <v>10</v>
      </c>
      <c r="B11" t="str">
        <f>IF(VLOOKUP(tblCharDataMagda[[#This Row],[Field]],$E$2:$F$362,2,FALSE)="","¬",VLOOKUP(tblCharDataMagda[[#This Row],[Field]],$E$2:$F$362,2,FALSE))</f>
        <v>¬</v>
      </c>
      <c r="D11" s="19"/>
      <c r="E11" s="15" t="s">
        <v>14</v>
      </c>
      <c r="F11" s="3" t="s">
        <v>1072</v>
      </c>
      <c r="G11" s="18"/>
      <c r="H11" s="18"/>
      <c r="I11" s="18" t="s">
        <v>1431</v>
      </c>
      <c r="N11" s="61">
        <f>N163</f>
        <v>12</v>
      </c>
      <c r="O11" s="65">
        <f>N11/SUM(N$7:N$12)</f>
        <v>0.46153846153846156</v>
      </c>
      <c r="P11" s="66"/>
      <c r="Y11" s="15" t="s">
        <v>123</v>
      </c>
      <c r="Z11" s="19"/>
      <c r="AA11" s="61" t="str">
        <f t="shared" si="0"/>
        <v/>
      </c>
      <c r="AC11" s="60"/>
      <c r="AD11" s="20" t="str">
        <f>IF(AC11="","¬",_xlfn.LET(_xlpm.base,IFERROR(LEFT(AC11,FIND(" (",AC11)-1),AC11),IFERROR(VLOOKUP(_xlpm.base,tblManoeuvre[],2,FALSE) &amp; " " &amp; REPT("●",VLOOKUP(_xlpm.base,tblManoeuvre[],3,FALSE)) &amp; " | " &amp; AC11,AC11 &amp; " " &amp; REPT("●",VLOOKUP(_xlpm.base,$F$79:$P$120,11,FALSE)))))</f>
        <v>¬</v>
      </c>
      <c r="AE11" s="20"/>
      <c r="AF11" s="20" t="str">
        <f>IF(LEN(AC11)=0,"¬",_xlfn.LET(_xlpm.base,IFERROR(LEFT(AC11,FIND(" (",AC11)-1),AC11),IFERROR(VLOOKUP(_xlpm.base,tblMerits[],5,FALSE),IFERROR(VLOOKUP(_xlpm.base,tblManoeuvre[],9,FALSE),"¬"))))</f>
        <v>¬</v>
      </c>
      <c r="AI11" s="15" t="s">
        <v>26</v>
      </c>
      <c r="AJ11" s="61">
        <f t="shared" si="1"/>
        <v>0</v>
      </c>
      <c r="AK11" s="61">
        <f>IF(AJ11=0,IF(COUNTIF($E$42:$E$49,AI11)&gt;0,-3,-1),AJ11)</f>
        <v>-3</v>
      </c>
    </row>
    <row r="12" spans="1:37">
      <c r="A12" s="1" t="s">
        <v>11</v>
      </c>
      <c r="B12" t="str">
        <f>IF(VLOOKUP(tblCharDataMagda[[#This Row],[Field]],$E$2:$F$362,2,FALSE)="","¬",VLOOKUP(tblCharDataMagda[[#This Row],[Field]],$E$2:$F$362,2,FALSE))</f>
        <v>Lancea et Sanctum</v>
      </c>
      <c r="D12" s="19"/>
      <c r="E12" s="15" t="s">
        <v>15</v>
      </c>
      <c r="F12" s="3"/>
      <c r="G12" s="3"/>
      <c r="H12" s="18"/>
      <c r="I12" s="18" t="s">
        <v>1432</v>
      </c>
      <c r="N12" s="61">
        <f>N71</f>
        <v>0</v>
      </c>
      <c r="O12" s="65">
        <f>N12/SUM(N$7:N$12)</f>
        <v>0</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1</v>
      </c>
      <c r="AK12" s="61">
        <f>IF(AJ12=0,IF(COUNTIF($E$42:$E$49,AI12)&gt;0,-3,-1),AJ12)</f>
        <v>1</v>
      </c>
    </row>
    <row r="13" spans="1:37">
      <c r="A13" s="1" t="s">
        <v>12</v>
      </c>
      <c r="B13" t="str">
        <f>_xlfn.IFNA(CONCATENATE(Elements,VLOOKUP(B12,tblCovenantShortName[#Data],2,FALSE)," icon.svg"),"")</f>
        <v>D:\Terra Mortis\Character Sheets\Sheet Elements\Lance icon.svg</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0</v>
      </c>
      <c r="AK13" s="61">
        <f t="shared" ref="AK13:AK19" si="2">AJ13</f>
        <v>0</v>
      </c>
    </row>
    <row r="14" spans="1:37">
      <c r="A14" s="1" t="s">
        <v>13</v>
      </c>
      <c r="B14" t="str">
        <f>IF(VLOOKUP(tblCharDataMagda[[#This Row],[Field]],$E$2:$F$362,2,FALSE)="","¬",VLOOKUP(tblCharDataMagda[[#This Row],[Field]],$E$2:$F$362,2,FALSE))</f>
        <v>Martyr</v>
      </c>
      <c r="D14" s="19"/>
      <c r="E14" s="15" t="s">
        <v>1433</v>
      </c>
      <c r="F14" s="28"/>
      <c r="G14" s="3"/>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0</v>
      </c>
      <c r="AK14" s="61">
        <f t="shared" si="2"/>
        <v>0</v>
      </c>
    </row>
    <row r="15" spans="1:37">
      <c r="A15" s="1" t="s">
        <v>14</v>
      </c>
      <c r="B15" t="str">
        <f>IF(VLOOKUP(tblCharDataMagda[[#This Row],[Field]],$E$2:$F$362,2,FALSE)="","¬",VLOOKUP(tblCharDataMagda[[#This Row],[Field]],$E$2:$F$362,2,FALSE))</f>
        <v>Masochist</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2</v>
      </c>
      <c r="AK15" s="61">
        <f t="shared" ca="1" si="2"/>
        <v>2</v>
      </c>
    </row>
    <row r="16" spans="1:37" ht="15.75" thickBot="1">
      <c r="A16" s="1" t="s">
        <v>15</v>
      </c>
      <c r="B16" t="str">
        <f ca="1">_xlfn.LET(_xlpm.a,VLOOKUP(tblCharDataMagda[[#This Row],[Field]],$E$2:$F$362,2,FALSE),_xlpm.b,VLOOKUP(OFFSET(tblCharDataMagda[[#This Row],[Field]],1,0),$E$2:$F$362,2,FALSE),IF(AND(_xlpm.a&lt;&gt;"",_xlpm.b&lt;&gt;""),_xlpm.a&amp;" &amp; "&amp;_xlpm.b,IF(_xlpm.a&lt;&gt;"",_xlpm.a,IF(_xlpm.b&lt;&gt;"",_xlpm.b,"¬"))))</f>
        <v>¬</v>
      </c>
      <c r="D16" s="14" t="s">
        <v>1427</v>
      </c>
      <c r="E16" s="14"/>
      <c r="F16" s="14"/>
      <c r="G16" s="14"/>
      <c r="H16" s="14"/>
      <c r="I16" s="14"/>
      <c r="N16" s="60">
        <f>SUM(N17:N21)</f>
        <v>0</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REPT("●",IFERROR(INDEX($P$26:$P$38,MATCH(tblCharDataMagda[[#This Row],[Field]],$E$26:$E$38,0)),0))&amp;REPT("○",IFERROR(INDEX($V$26:$V$38,MATCH(tblCharDataMagda[[#This Row],[Field]],$E$26:$E$38,0)),0))</f>
        <v>●●●</v>
      </c>
      <c r="D17" s="19"/>
      <c r="E17" s="15" t="s">
        <v>1435</v>
      </c>
      <c r="F17" s="3"/>
      <c r="G17" s="19"/>
      <c r="H17" s="19"/>
      <c r="I17" s="19"/>
      <c r="N17" s="61">
        <f>IF(F17=TRUE,3,0)</f>
        <v>0</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3</v>
      </c>
      <c r="AK17" s="61">
        <f>AJ17+IFERROR(INDEX($V$26:$V$38,MATCH(AI17,$E$26:$E$38,0)),0)</f>
        <v>3</v>
      </c>
    </row>
    <row r="18" spans="1:37">
      <c r="A18" s="1" t="s">
        <v>17</v>
      </c>
      <c r="B18" t="str">
        <f>REPT("●",IFERROR(INDEX($P$26:$P$38,MATCH(tblCharDataMagda[[#This Row],[Field]],$E$26:$E$38,0)),0))&amp;REPT("○",IFERROR(INDEX($V$26:$V$38,MATCH(tblCharDataMagda[[#This Row],[Field]],$E$26:$E$38,0)),0))</f>
        <v>●●</v>
      </c>
      <c r="D18" s="19"/>
      <c r="E18" s="15" t="s">
        <v>1436</v>
      </c>
      <c r="F18" s="3"/>
      <c r="G18" s="19"/>
      <c r="H18" s="19"/>
      <c r="I18" s="19"/>
      <c r="N18" s="61">
        <f>IF(F18=TRUE,3,0)</f>
        <v>0</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1</v>
      </c>
      <c r="AK18" s="61">
        <f t="shared" si="2"/>
        <v>1</v>
      </c>
    </row>
    <row r="19" spans="1:37">
      <c r="A19" s="1" t="s">
        <v>18</v>
      </c>
      <c r="B19" t="str">
        <f>REPT("●",IFERROR(INDEX($P$26:$P$38,MATCH(tblCharDataMagda[[#This Row],[Field]],$E$26:$E$38,0)),0))&amp;REPT("○",IFERROR(INDEX($V$26:$V$38,MATCH(tblCharDataMagda[[#This Row],[Field]],$E$26:$E$38,0)),0))</f>
        <v>●●●</v>
      </c>
      <c r="D19" s="19"/>
      <c r="E19" s="15" t="s">
        <v>1437</v>
      </c>
      <c r="F19" s="3"/>
      <c r="G19" s="19"/>
      <c r="H19" s="19"/>
      <c r="I19" s="19"/>
      <c r="N19" s="61">
        <f>IF(F19=TRUE,3,0)</f>
        <v>0</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0</v>
      </c>
      <c r="AK19" s="61">
        <f t="shared" si="2"/>
        <v>0</v>
      </c>
    </row>
    <row r="20" spans="1:37">
      <c r="A20" s="1" t="s">
        <v>19</v>
      </c>
      <c r="B20" t="str">
        <f>REPT("●",IFERROR(INDEX($P$26:$P$38,MATCH(tblCharDataMagda[[#This Row],[Field]],$E$26:$E$38,0)),0))&amp;REPT("○",IFERROR(INDEX($V$26:$V$38,MATCH(tblCharDataMagda[[#This Row],[Field]],$E$26:$E$38,0)),0))</f>
        <v>●●</v>
      </c>
      <c r="D20" s="19"/>
      <c r="E20" s="15" t="s">
        <v>1438</v>
      </c>
      <c r="F20" s="3"/>
      <c r="G20" s="19"/>
      <c r="H20" s="19"/>
      <c r="I20" s="19"/>
      <c r="N20" s="61">
        <f>IF(F20=TRUE,3,0)</f>
        <v>0</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REPT("●",IFERROR(INDEX($P$26:$P$38,MATCH(tblCharDataMagda[[#This Row],[Field]],$E$26:$E$38,0)),0))&amp;REPT("○",IFERROR(INDEX($V$26:$V$38,MATCH(tblCharDataMagda[[#This Row],[Field]],$E$26:$E$38,0)),0))</f>
        <v>●●●</v>
      </c>
      <c r="D21" s="19"/>
      <c r="E21" s="15" t="s">
        <v>11</v>
      </c>
      <c r="F21" s="3"/>
      <c r="G21" s="19"/>
      <c r="H21" s="19"/>
      <c r="I21" s="19"/>
      <c r="N21" s="61">
        <f>IF(F21=TRUE,3,0)</f>
        <v>0</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2</v>
      </c>
      <c r="AK21" s="61">
        <f>IF(AJ21=0,IF(COUNTIF($E$42:$E$49,AI21)&gt;0,-3,-1),AJ21)</f>
        <v>2</v>
      </c>
    </row>
    <row r="22" spans="1:37">
      <c r="A22" s="1" t="s">
        <v>21</v>
      </c>
      <c r="B22" t="str">
        <f>REPT("●",IFERROR(INDEX($P$26:$P$38,MATCH(tblCharDataMagda[[#This Row],[Field]],$E$26:$E$38,0)),0))&amp;REPT("○",IFERROR(INDEX($V$26:$V$38,MATCH(tblCharDataMagda[[#This Row],[Field]],$E$26:$E$38,0)),0))</f>
        <v>●●</v>
      </c>
      <c r="Y22" s="15" t="s">
        <v>1439</v>
      </c>
      <c r="Z22" s="61" t="str">
        <f>IFERROR(VLOOKUP(AA22,tblManoeuvre[],2,FALSE),"")</f>
        <v/>
      </c>
      <c r="AA22" s="61" t="str">
        <f t="shared" ref="AA22:AA41" si="3">_xlfn.LET(_xlpm.name,VLOOKUP(Y22,$E$2:$F$362,2,FALSE),_xlpm.paid,_xlfn.IFNA(VLOOKUP(_xlpm.name,$F$79:$Q$120,11,FALSE)&gt;=VLOOKUP(_xlpm.name,$F$79:$Q$120,12,FALSE),FALSE),IF(AND(_xlpm.name&lt;&gt;"",_xlpm.paid),_xlpm.name,""))</f>
        <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0</v>
      </c>
      <c r="AK22" s="61">
        <f>IF(AJ22=0,IF(COUNTIF($E$42:$E$49,AI22)&gt;0,-3,-1),AJ22)</f>
        <v>-1</v>
      </c>
    </row>
    <row r="23" spans="1:37" ht="15.75" thickBot="1">
      <c r="A23" s="1" t="s">
        <v>22</v>
      </c>
      <c r="B23" t="str">
        <f>REPT("●",IFERROR(INDEX($P$26:$P$38,MATCH(tblCharDataMagda[[#This Row],[Field]],$E$26:$E$38,0)),0))&amp;REPT("○",IFERROR(INDEX($V$26:$V$38,MATCH(tblCharDataMagda[[#This Row],[Field]],$E$26:$E$38,0)),0))</f>
        <v>●●●</v>
      </c>
      <c r="D23" s="14" t="s">
        <v>1440</v>
      </c>
      <c r="E23" s="14"/>
      <c r="F23" s="14"/>
      <c r="G23" s="14"/>
      <c r="H23" s="14"/>
      <c r="I23" s="14"/>
      <c r="N23" s="60">
        <f>SUM(N26:N28,N31:N33,N36:N38)</f>
        <v>0</v>
      </c>
      <c r="Y23" s="15" t="s">
        <v>1441</v>
      </c>
      <c r="Z23" s="61" t="str">
        <f>IFERROR(VLOOKUP(AA23,tblManoeuvre[],2,FALSE),"")</f>
        <v/>
      </c>
      <c r="AA23" s="61" t="str">
        <f t="shared" si="3"/>
        <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3</v>
      </c>
      <c r="AK23" s="61">
        <f>IF(AJ23=0,VLOOKUP(AI23,$E$42:$Q$69,13,FALSE),AJ23)</f>
        <v>3</v>
      </c>
    </row>
    <row r="24" spans="1:37">
      <c r="A24" s="1" t="s">
        <v>23</v>
      </c>
      <c r="B24" t="str">
        <f>REPT("●",IFERROR(INDEX($P$26:$P$38,MATCH(tblCharDataMagda[[#This Row],[Field]],$E$26:$E$38,0)),0))&amp;REPT("○",IFERROR(INDEX($V$26:$V$38,MATCH(tblCharDataMagda[[#This Row],[Field]],$E$26:$E$38,0)),0))</f>
        <v>●●</v>
      </c>
      <c r="E24" s="15" t="s">
        <v>1442</v>
      </c>
      <c r="F24" s="3" t="s">
        <v>24</v>
      </c>
      <c r="Y24" s="15" t="s">
        <v>1443</v>
      </c>
      <c r="Z24" s="61" t="str">
        <f>IFERROR(VLOOKUP(AA24,tblManoeuvre[],2,FALSE),"")</f>
        <v/>
      </c>
      <c r="AA24" s="61" t="str">
        <f t="shared" si="3"/>
        <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7</v>
      </c>
      <c r="AK24" s="61">
        <f ca="1">AJ24</f>
        <v>7</v>
      </c>
    </row>
    <row r="25" spans="1:37">
      <c r="A25" s="1" t="s">
        <v>24</v>
      </c>
      <c r="B25" t="str">
        <f>REPT("●",IFERROR(INDEX($P$26:$P$38,MATCH(tblCharDataMagda[[#This Row],[Field]],$E$26:$E$38,0)),0))&amp;REPT("○",IFERROR(INDEX($V$26:$V$38,MATCH(tblCharDataMagda[[#This Row],[Field]],$E$26:$E$38,0)),0))</f>
        <v>●●</v>
      </c>
      <c r="D25" s="16" t="s">
        <v>1444</v>
      </c>
      <c r="E25" s="17"/>
      <c r="F25" s="17"/>
      <c r="G25" s="17" t="s">
        <v>1445</v>
      </c>
      <c r="H25" s="16" t="s">
        <v>1446</v>
      </c>
      <c r="I25" s="3" t="s">
        <v>1565</v>
      </c>
      <c r="L25" s="60">
        <v>0</v>
      </c>
      <c r="Y25" s="15" t="s">
        <v>1447</v>
      </c>
      <c r="Z25" s="61" t="str">
        <f>IFERROR(VLOOKUP(AA25,tblManoeuvre[],2,FALSE),"")</f>
        <v/>
      </c>
      <c r="AA25" s="61" t="str">
        <f t="shared" si="3"/>
        <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7</v>
      </c>
      <c r="AK25" s="61">
        <f>AJ25</f>
        <v>7</v>
      </c>
    </row>
    <row r="26" spans="1:37">
      <c r="A26" s="1" t="s">
        <v>25</v>
      </c>
      <c r="B26" t="str">
        <f>REPT("●",IFERROR(INDEX($P$42:$P$69,MATCH(tblCharDataMagda[[#This Row],[Field]],$E$42:$E$69,0)),0))&amp;REPT("○",IFERROR(INDEX($V$42:$V$69,MATCH(tblCharDataMagda[[#This Row],[Field]],$E$42:$E$69,0)),0))&amp;IF(IFERROR(INDEX($W$42:$W$69,MATCH(tblCharDataMagda[[#This Row],[Field]],$E$42:$E$69,0)),0)=1,"†","")</f>
        <v>●●●●</v>
      </c>
      <c r="D26" s="18"/>
      <c r="E26" s="15" t="s">
        <v>16</v>
      </c>
      <c r="F26" s="18"/>
      <c r="G26" s="3"/>
      <c r="H26" s="18"/>
      <c r="I26" s="18"/>
      <c r="L26" s="3">
        <v>2</v>
      </c>
      <c r="M26" s="60">
        <f>IF(E26=$F$24,2,1)</f>
        <v>1</v>
      </c>
      <c r="N26" s="3"/>
      <c r="O26" s="61">
        <f>ROUNDDOWN(N26/4,0)</f>
        <v>0</v>
      </c>
      <c r="P26" s="60">
        <f>MIN(SUM(L26,M26,O26),R26)</f>
        <v>3</v>
      </c>
      <c r="R26" s="61">
        <v>5</v>
      </c>
      <c r="U26" s="4"/>
      <c r="V26" s="61">
        <f>U26</f>
        <v>0</v>
      </c>
      <c r="Y26" s="15" t="s">
        <v>1449</v>
      </c>
      <c r="Z26" s="61" t="str">
        <f>IFERROR(VLOOKUP(AA26,tblManoeuvre[],2,FALSE),"")</f>
        <v/>
      </c>
      <c r="AA26" s="61" t="str">
        <f t="shared" si="3"/>
        <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3</v>
      </c>
      <c r="AK26" s="61">
        <f>AJ26+IFERROR(INDEX($V$26:$V$38,MATCH(AI26,$E$26:$E$38,0)),0)</f>
        <v>3</v>
      </c>
    </row>
    <row r="27" spans="1:37">
      <c r="A27" s="1" t="s">
        <v>26</v>
      </c>
      <c r="B27" t="str">
        <f>REPT("●",IFERROR(INDEX($P$42:$P$69,MATCH(tblCharDataMagda[[#This Row],[Field]],$E$42:$E$69,0)),0))&amp;REPT("○",IFERROR(INDEX($V$42:$V$69,MATCH(tblCharDataMagda[[#This Row],[Field]],$E$42:$E$69,0)),0))&amp;IF(IFERROR(INDEX($W$42:$W$69,MATCH(tblCharDataMagda[[#This Row],[Field]],$E$42:$E$69,0)),0)=1,"†","")</f>
        <v/>
      </c>
      <c r="D27" s="18"/>
      <c r="E27" s="15" t="s">
        <v>17</v>
      </c>
      <c r="F27" s="18"/>
      <c r="G27" s="3"/>
      <c r="H27" s="18"/>
      <c r="I27" s="18"/>
      <c r="L27" s="3">
        <v>1</v>
      </c>
      <c r="M27" s="60">
        <f>IF(E27=$F$24,2,1)</f>
        <v>1</v>
      </c>
      <c r="N27" s="3"/>
      <c r="O27" s="61">
        <f>ROUNDDOWN(N27/4,0)</f>
        <v>0</v>
      </c>
      <c r="P27" s="60">
        <f>MIN(SUM(L27,M27,O27),R27)</f>
        <v>2</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2</v>
      </c>
      <c r="AK27" s="61">
        <f>IF(AJ27=0,IF(COUNTIF($E$42:$E$49,AI27)&gt;0,-3,-1),AJ27)</f>
        <v>2</v>
      </c>
    </row>
    <row r="28" spans="1:37">
      <c r="A28" s="1" t="s">
        <v>27</v>
      </c>
      <c r="B28" t="str">
        <f>REPT("●",IFERROR(INDEX($P$42:$P$69,MATCH(tblCharDataMagda[[#This Row],[Field]],$E$42:$E$69,0)),0))&amp;REPT("○",IFERROR(INDEX($V$42:$V$69,MATCH(tblCharDataMagda[[#This Row],[Field]],$E$42:$E$69,0)),0))&amp;IF(IFERROR(INDEX($W$42:$W$69,MATCH(tblCharDataMagda[[#This Row],[Field]],$E$42:$E$69,0)),0)=1,"†","")</f>
        <v>●</v>
      </c>
      <c r="D28" s="18"/>
      <c r="E28" s="15" t="s">
        <v>18</v>
      </c>
      <c r="F28" s="18"/>
      <c r="G28" s="3"/>
      <c r="H28" s="18"/>
      <c r="I28" s="18"/>
      <c r="L28" s="3">
        <v>2</v>
      </c>
      <c r="M28" s="60">
        <f>IF(E28=$F$24,2,1)</f>
        <v>1</v>
      </c>
      <c r="N28" s="3"/>
      <c r="O28" s="61">
        <f>ROUNDDOWN(N28/4,0)</f>
        <v>0</v>
      </c>
      <c r="P28" s="60">
        <f>MIN(SUM(L28,M28,O28),R28)</f>
        <v>3</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1</v>
      </c>
      <c r="AK28" s="61">
        <f>IF(AJ28=0,IF(COUNTIF($E$42:$E$49,AI28)&gt;0,-3,-1),AJ28)</f>
        <v>1</v>
      </c>
    </row>
    <row r="29" spans="1:37">
      <c r="A29" s="1" t="s">
        <v>28</v>
      </c>
      <c r="B29" t="str">
        <f>REPT("●",IFERROR(INDEX($P$42:$P$69,MATCH(tblCharDataMagda[[#This Row],[Field]],$E$42:$E$69,0)),0))&amp;REPT("○",IFERROR(INDEX($V$42:$V$69,MATCH(tblCharDataMagda[[#This Row],[Field]],$E$42:$E$69,0)),0))&amp;IF(IFERROR(INDEX($W$42:$W$69,MATCH(tblCharDataMagda[[#This Row],[Field]],$E$42:$E$69,0)),0)=1,"†","")</f>
        <v>●</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2</v>
      </c>
      <c r="AK29" s="61">
        <f>IF(AJ29=0,IF(COUNTIF($E$42:$E$49,AI29)&gt;0,-3,-1),AJ29)</f>
        <v>2</v>
      </c>
    </row>
    <row r="30" spans="1:37">
      <c r="A30" s="1" t="s">
        <v>29</v>
      </c>
      <c r="B30" t="str">
        <f>REPT("●",IFERROR(INDEX($P$42:$P$69,MATCH(tblCharDataMagda[[#This Row],[Field]],$E$42:$E$69,0)),0))&amp;REPT("○",IFERROR(INDEX($V$42:$V$69,MATCH(tblCharDataMagda[[#This Row],[Field]],$E$42:$E$69,0)),0))&amp;IF(IFERROR(INDEX($W$42:$W$69,MATCH(tblCharDataMagda[[#This Row],[Field]],$E$42:$E$69,0)),0)=1,"†","")</f>
        <v/>
      </c>
      <c r="D30" s="16" t="s">
        <v>1453</v>
      </c>
      <c r="E30" s="17"/>
      <c r="F30" s="17"/>
      <c r="G30" s="17" t="s">
        <v>1445</v>
      </c>
      <c r="H30" s="16" t="s">
        <v>1446</v>
      </c>
      <c r="I30" s="3" t="s">
        <v>1567</v>
      </c>
      <c r="L30" s="60">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0</v>
      </c>
      <c r="AK30" s="61">
        <f>AJ30</f>
        <v>0</v>
      </c>
    </row>
    <row r="31" spans="1:37">
      <c r="A31" s="1" t="s">
        <v>30</v>
      </c>
      <c r="B31" t="str">
        <f>REPT("●",IFERROR(INDEX($P$42:$P$69,MATCH(tblCharDataMagda[[#This Row],[Field]],$E$42:$E$69,0)),0))&amp;REPT("○",IFERROR(INDEX($V$42:$V$69,MATCH(tblCharDataMagda[[#This Row],[Field]],$E$42:$E$69,0)),0))&amp;IF(IFERROR(INDEX($W$42:$W$69,MATCH(tblCharDataMagda[[#This Row],[Field]],$E$42:$E$69,0)),0)=1,"†","")</f>
        <v>●</v>
      </c>
      <c r="D31" s="18"/>
      <c r="E31" s="15" t="s">
        <v>19</v>
      </c>
      <c r="F31" s="18"/>
      <c r="G31" s="3"/>
      <c r="H31" s="18"/>
      <c r="I31" s="18"/>
      <c r="L31" s="3">
        <v>1</v>
      </c>
      <c r="M31" s="60">
        <f>IF(E31=$F$24,2,1)</f>
        <v>1</v>
      </c>
      <c r="N31" s="3"/>
      <c r="O31" s="61">
        <f>ROUNDDOWN(N31/4,0)</f>
        <v>0</v>
      </c>
      <c r="P31" s="60">
        <f>MIN(SUM(L31,M31,O31),R31)</f>
        <v>2</v>
      </c>
      <c r="R31" s="61">
        <v>5</v>
      </c>
      <c r="U31" s="4"/>
      <c r="V31" s="61">
        <f>$P$174+U31</f>
        <v>0</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2</v>
      </c>
      <c r="AK31" s="61">
        <f>AJ31+IFERROR(INDEX($V$26:$V$38,MATCH(AI31,$E$26:$E$38,0)),0)</f>
        <v>2</v>
      </c>
    </row>
    <row r="32" spans="1:37">
      <c r="A32" s="1" t="s">
        <v>31</v>
      </c>
      <c r="B32" t="str">
        <f>REPT("●",IFERROR(INDEX($P$42:$P$69,MATCH(tblCharDataMagda[[#This Row],[Field]],$E$42:$E$69,0)),0))&amp;REPT("○",IFERROR(INDEX($V$42:$V$69,MATCH(tblCharDataMagda[[#This Row],[Field]],$E$42:$E$69,0)),0))&amp;IF(IFERROR(INDEX($W$42:$W$69,MATCH(tblCharDataMagda[[#This Row],[Field]],$E$42:$E$69,0)),0)=1,"†","")</f>
        <v/>
      </c>
      <c r="D32" s="18"/>
      <c r="E32" s="15" t="s">
        <v>20</v>
      </c>
      <c r="F32" s="18"/>
      <c r="G32" s="3"/>
      <c r="H32" s="18"/>
      <c r="I32" s="18"/>
      <c r="L32" s="3">
        <v>2</v>
      </c>
      <c r="M32" s="60">
        <f>IF(E32=$F$24,2,1)</f>
        <v>1</v>
      </c>
      <c r="N32" s="3"/>
      <c r="O32" s="61">
        <f>ROUNDDOWN(N32/4,0)</f>
        <v>0</v>
      </c>
      <c r="P32" s="60">
        <f>MIN(SUM(L32,M32,O32),R32)</f>
        <v>3</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REPT("●",IFERROR(INDEX($P$42:$P$69,MATCH(tblCharDataMagda[[#This Row],[Field]],$E$42:$E$69,0)),0))&amp;REPT("○",IFERROR(INDEX($V$42:$V$69,MATCH(tblCharDataMagda[[#This Row],[Field]],$E$42:$E$69,0)),0))&amp;IF(IFERROR(INDEX($W$42:$W$69,MATCH(tblCharDataMagda[[#This Row],[Field]],$E$42:$E$69,0)),0)=1,"†","")</f>
        <v/>
      </c>
      <c r="D33" s="18"/>
      <c r="E33" s="15" t="s">
        <v>21</v>
      </c>
      <c r="F33" s="18"/>
      <c r="G33" s="3"/>
      <c r="H33" s="18"/>
      <c r="I33" s="18"/>
      <c r="L33" s="3">
        <v>1</v>
      </c>
      <c r="M33" s="60">
        <f>IF(E33=$F$24,2,1)</f>
        <v>1</v>
      </c>
      <c r="N33" s="3"/>
      <c r="O33" s="61">
        <f>ROUNDDOWN(N33/4,0)</f>
        <v>0</v>
      </c>
      <c r="P33" s="60">
        <f>MIN(SUM(L33,M33,O33),R33)</f>
        <v>2</v>
      </c>
      <c r="R33" s="61">
        <v>5</v>
      </c>
      <c r="U33" s="4"/>
      <c r="V33" s="61">
        <f>$P$173+U33</f>
        <v>0</v>
      </c>
      <c r="Y33" s="15" t="s">
        <v>1457</v>
      </c>
      <c r="Z33" s="61" t="str">
        <f>IFERROR(VLOOKUP(AA33,tblManoeuvre[],2,FALSE),"")</f>
        <v/>
      </c>
      <c r="AA33" s="61" t="str">
        <f t="shared" si="3"/>
        <v/>
      </c>
      <c r="AI33" s="15" t="s">
        <v>241</v>
      </c>
      <c r="AJ33" s="61">
        <f t="shared" si="1"/>
        <v>1</v>
      </c>
      <c r="AK33" s="61">
        <f>AJ33</f>
        <v>1</v>
      </c>
    </row>
    <row r="34" spans="1:37">
      <c r="A34" s="1" t="s">
        <v>33</v>
      </c>
      <c r="B34" t="str">
        <f>REPT("●",IFERROR(INDEX($P$42:$P$69,MATCH(tblCharDataMagda[[#This Row],[Field]],$E$42:$E$69,0)),0))&amp;REPT("○",IFERROR(INDEX($V$42:$V$69,MATCH(tblCharDataMagda[[#This Row],[Field]],$E$42:$E$69,0)),0))&amp;IF(IFERROR(INDEX($W$42:$W$69,MATCH(tblCharDataMagda[[#This Row],[Field]],$E$42:$E$69,0)),0)=1,"†","")</f>
        <v/>
      </c>
      <c r="Y34" s="15" t="s">
        <v>1458</v>
      </c>
      <c r="Z34" s="61" t="str">
        <f>IFERROR(VLOOKUP(AA34,tblManoeuvre[],2,FALSE),"")</f>
        <v/>
      </c>
      <c r="AA34" s="61" t="str">
        <f t="shared" si="3"/>
        <v/>
      </c>
      <c r="AI34" s="15" t="s">
        <v>242</v>
      </c>
      <c r="AJ34" s="61">
        <f t="shared" si="1"/>
        <v>1</v>
      </c>
      <c r="AK34" s="61">
        <f>AJ34</f>
        <v>1</v>
      </c>
    </row>
    <row r="35" spans="1:37">
      <c r="A35" s="1" t="s">
        <v>34</v>
      </c>
      <c r="B35" t="str">
        <f>REPT("●",IFERROR(INDEX($P$42:$P$69,MATCH(tblCharDataMagda[[#This Row],[Field]],$E$42:$E$69,0)),0))&amp;REPT("○",IFERROR(INDEX($V$42:$V$69,MATCH(tblCharDataMagda[[#This Row],[Field]],$E$42:$E$69,0)),0))&amp;IF(IFERROR(INDEX($W$42:$W$69,MATCH(tblCharDataMagda[[#This Row],[Field]],$E$42:$E$69,0)),0)=1,"†","")</f>
        <v>●●</v>
      </c>
      <c r="D35" s="16" t="s">
        <v>1459</v>
      </c>
      <c r="E35" s="17"/>
      <c r="F35" s="17"/>
      <c r="G35" s="17" t="s">
        <v>1445</v>
      </c>
      <c r="H35" s="16" t="s">
        <v>1446</v>
      </c>
      <c r="I35" s="3" t="s">
        <v>1566</v>
      </c>
      <c r="L35" s="60">
        <v>0</v>
      </c>
      <c r="Y35" s="15" t="s">
        <v>1460</v>
      </c>
      <c r="Z35" s="61" t="str">
        <f>IFERROR(VLOOKUP(AA35,tblManoeuvre[],2,FALSE),"")</f>
        <v/>
      </c>
      <c r="AA35" s="61" t="str">
        <f t="shared" si="3"/>
        <v/>
      </c>
      <c r="AI35" s="15" t="s">
        <v>30</v>
      </c>
      <c r="AJ35" s="61">
        <f t="shared" si="1"/>
        <v>1</v>
      </c>
      <c r="AK35" s="61">
        <f>IF(AJ35=0,IF(COUNTIF($E$42:$E$49,AI35)&gt;0,-3,-1),AJ35)</f>
        <v>1</v>
      </c>
    </row>
    <row r="36" spans="1:37">
      <c r="A36" s="1" t="s">
        <v>35</v>
      </c>
      <c r="B36" t="str">
        <f>REPT("●",IFERROR(INDEX($P$42:$P$69,MATCH(tblCharDataMagda[[#This Row],[Field]],$E$42:$E$69,0)),0))&amp;REPT("○",IFERROR(INDEX($V$42:$V$69,MATCH(tblCharDataMagda[[#This Row],[Field]],$E$42:$E$69,0)),0))&amp;IF(IFERROR(INDEX($W$42:$W$69,MATCH(tblCharDataMagda[[#This Row],[Field]],$E$42:$E$69,0)),0)=1,"†","")</f>
        <v/>
      </c>
      <c r="D36" s="18"/>
      <c r="E36" s="15" t="s">
        <v>22</v>
      </c>
      <c r="F36" s="18"/>
      <c r="G36" s="3"/>
      <c r="H36" s="18"/>
      <c r="I36" s="18"/>
      <c r="L36" s="3">
        <v>2</v>
      </c>
      <c r="M36" s="60">
        <f>IF(E36=$F$24,2,1)</f>
        <v>1</v>
      </c>
      <c r="N36" s="3"/>
      <c r="O36" s="61">
        <f>ROUNDDOWN(N36/4,0)</f>
        <v>0</v>
      </c>
      <c r="P36" s="60">
        <f>MIN(SUM(L36,M36,O36),R36)</f>
        <v>3</v>
      </c>
      <c r="R36" s="61">
        <v>5</v>
      </c>
      <c r="U36" s="4"/>
      <c r="V36" s="61">
        <f>U36</f>
        <v>0</v>
      </c>
      <c r="Y36" s="15" t="s">
        <v>1461</v>
      </c>
      <c r="Z36" s="61" t="str">
        <f>IFERROR(VLOOKUP(AA36,tblManoeuvre[],2,FALSE),"")</f>
        <v/>
      </c>
      <c r="AA36" s="61" t="str">
        <f t="shared" si="3"/>
        <v/>
      </c>
      <c r="AI36" s="15" t="s">
        <v>45</v>
      </c>
      <c r="AJ36" s="61">
        <f t="shared" si="1"/>
        <v>0</v>
      </c>
      <c r="AK36" s="61">
        <f>IF(AJ36=0,IF(COUNTIF($E$42:$E$49,AI36)&gt;0,-3,-1),AJ36)</f>
        <v>-1</v>
      </c>
    </row>
    <row r="37" spans="1:37">
      <c r="A37" s="1" t="s">
        <v>36</v>
      </c>
      <c r="B37" t="str">
        <f>REPT("●",IFERROR(INDEX($P$42:$P$69,MATCH(tblCharDataMagda[[#This Row],[Field]],$E$42:$E$69,0)),0))&amp;REPT("○",IFERROR(INDEX($V$42:$V$69,MATCH(tblCharDataMagda[[#This Row],[Field]],$E$42:$E$69,0)),0))&amp;IF(IFERROR(INDEX($W$42:$W$69,MATCH(tblCharDataMagda[[#This Row],[Field]],$E$42:$E$69,0)),0)=1,"†","")</f>
        <v>●●●</v>
      </c>
      <c r="D37" s="18"/>
      <c r="E37" s="15" t="s">
        <v>23</v>
      </c>
      <c r="F37" s="18"/>
      <c r="G37" s="3"/>
      <c r="H37" s="18"/>
      <c r="I37" s="18"/>
      <c r="L37" s="3">
        <v>1</v>
      </c>
      <c r="M37" s="60">
        <f>IF(E37=$F$24,2,1)</f>
        <v>1</v>
      </c>
      <c r="N37" s="3"/>
      <c r="O37" s="61">
        <f>ROUNDDOWN(N37/4,0)</f>
        <v>0</v>
      </c>
      <c r="P37" s="60">
        <f>MIN(SUM(L37,M37,O37),R37)</f>
        <v>2</v>
      </c>
      <c r="R37" s="61">
        <v>5</v>
      </c>
      <c r="U37" s="4"/>
      <c r="V37" s="61">
        <f>U37</f>
        <v>0</v>
      </c>
      <c r="Y37" s="15" t="s">
        <v>1462</v>
      </c>
      <c r="Z37" s="61" t="str">
        <f>IFERROR(VLOOKUP(AA37,tblManoeuvre[],2,FALSE),"")</f>
        <v/>
      </c>
      <c r="AA37" s="61" t="str">
        <f t="shared" si="3"/>
        <v/>
      </c>
      <c r="AI37" s="15" t="s">
        <v>31</v>
      </c>
      <c r="AJ37" s="61">
        <f t="shared" si="1"/>
        <v>0</v>
      </c>
      <c r="AK37" s="61">
        <f>IF(AJ37=0,IF(COUNTIF($E$42:$E$49,AI37)&gt;0,-3,-1),AJ37)</f>
        <v>-3</v>
      </c>
    </row>
    <row r="38" spans="1:37">
      <c r="A38" s="1" t="s">
        <v>37</v>
      </c>
      <c r="B38" t="str">
        <f>REPT("●",IFERROR(INDEX($P$42:$P$69,MATCH(tblCharDataMagda[[#This Row],[Field]],$E$42:$E$69,0)),0))&amp;REPT("○",IFERROR(INDEX($V$42:$V$69,MATCH(tblCharDataMagda[[#This Row],[Field]],$E$42:$E$69,0)),0))&amp;IF(IFERROR(INDEX($W$42:$W$69,MATCH(tblCharDataMagda[[#This Row],[Field]],$E$42:$E$69,0)),0)=1,"†","")</f>
        <v>●●</v>
      </c>
      <c r="D38" s="18"/>
      <c r="E38" s="15" t="s">
        <v>24</v>
      </c>
      <c r="F38" s="18"/>
      <c r="G38" s="3"/>
      <c r="H38" s="18"/>
      <c r="I38" s="18"/>
      <c r="L38" s="3"/>
      <c r="M38" s="60">
        <f>IF(E38=$F$24,2,1)</f>
        <v>2</v>
      </c>
      <c r="N38" s="3"/>
      <c r="O38" s="61">
        <f>ROUNDDOWN(N38/4,0)</f>
        <v>0</v>
      </c>
      <c r="P38" s="60">
        <f>MIN(SUM(L38,M38,O38),R38)</f>
        <v>2</v>
      </c>
      <c r="R38" s="61">
        <v>5</v>
      </c>
      <c r="U38" s="4"/>
      <c r="V38" s="61">
        <f>U38</f>
        <v>0</v>
      </c>
      <c r="Y38" s="15" t="s">
        <v>1463</v>
      </c>
      <c r="Z38" s="61" t="str">
        <f>IFERROR(VLOOKUP(AA38,tblManoeuvre[],2,FALSE),"")</f>
        <v/>
      </c>
      <c r="AA38" s="61" t="str">
        <f t="shared" si="3"/>
        <v/>
      </c>
      <c r="AI38" s="15" t="s">
        <v>22</v>
      </c>
      <c r="AJ38" s="61">
        <f t="shared" si="1"/>
        <v>3</v>
      </c>
      <c r="AK38" s="61">
        <f>AJ38+IFERROR(INDEX($V$26:$V$38,MATCH(AI38,$E$26:$E$38,0)),0)</f>
        <v>3</v>
      </c>
    </row>
    <row r="39" spans="1:37">
      <c r="A39" s="1" t="s">
        <v>38</v>
      </c>
      <c r="B39" t="str">
        <f>REPT("●",IFERROR(INDEX($P$42:$P$69,MATCH(tblCharDataMagda[[#This Row],[Field]],$E$42:$E$69,0)),0))&amp;REPT("○",IFERROR(INDEX($V$42:$V$69,MATCH(tblCharDataMagda[[#This Row],[Field]],$E$42:$E$69,0)),0))&amp;IF(IFERROR(INDEX($W$42:$W$69,MATCH(tblCharDataMagda[[#This Row],[Field]],$E$42:$E$69,0)),0)=1,"†","")</f>
        <v>●●</v>
      </c>
      <c r="Y39" s="15" t="s">
        <v>1464</v>
      </c>
      <c r="Z39" s="61" t="str">
        <f>IFERROR(VLOOKUP(AA39,tblManoeuvre[],2,FALSE),"")</f>
        <v/>
      </c>
      <c r="AA39" s="61" t="str">
        <f t="shared" si="3"/>
        <v/>
      </c>
      <c r="AI39" s="15" t="s">
        <v>243</v>
      </c>
      <c r="AJ39" s="61">
        <f t="shared" si="1"/>
        <v>0</v>
      </c>
      <c r="AK39" s="61">
        <f>AJ39</f>
        <v>0</v>
      </c>
    </row>
    <row r="40" spans="1:37" ht="15.75" thickBot="1">
      <c r="A40" s="1" t="s">
        <v>39</v>
      </c>
      <c r="B40" t="str">
        <f>REPT("●",IFERROR(INDEX($P$42:$P$69,MATCH(tblCharDataMagda[[#This Row],[Field]],$E$42:$E$69,0)),0))&amp;REPT("○",IFERROR(INDEX($V$42:$V$69,MATCH(tblCharDataMagda[[#This Row],[Field]],$E$42:$E$69,0)),0))&amp;IF(IFERROR(INDEX($W$42:$W$69,MATCH(tblCharDataMagda[[#This Row],[Field]],$E$42:$E$69,0)),0)=1,"†","")</f>
        <v/>
      </c>
      <c r="D40" s="14" t="s">
        <v>1465</v>
      </c>
      <c r="E40" s="14"/>
      <c r="F40" s="14"/>
      <c r="G40" s="14"/>
      <c r="H40" s="14"/>
      <c r="I40" s="14"/>
      <c r="N40" s="60">
        <f>SUM(N42:N49,N52:N59,N62:N69)</f>
        <v>0</v>
      </c>
      <c r="T40" s="60">
        <f>MAX(0,SUM(T42:T49,T52:T59,T62:T69)-(3+IF(P161&gt;=3,2,0)))</f>
        <v>1</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1"/>
        <v>0</v>
      </c>
      <c r="AK40" s="61">
        <f>AJ40</f>
        <v>0</v>
      </c>
    </row>
    <row r="41" spans="1:37">
      <c r="A41" s="1" t="s">
        <v>40</v>
      </c>
      <c r="B41" t="str">
        <f>REPT("●",IFERROR(INDEX($P$42:$P$69,MATCH(tblCharDataMagda[[#This Row],[Field]],$E$42:$E$69,0)),0))&amp;REPT("○",IFERROR(INDEX($V$42:$V$69,MATCH(tblCharDataMagda[[#This Row],[Field]],$E$42:$E$69,0)),0))&amp;IF(IFERROR(INDEX($W$42:$W$69,MATCH(tblCharDataMagda[[#This Row],[Field]],$E$42:$E$69,0)),0)=1,"†","")</f>
        <v>●●</v>
      </c>
      <c r="D41" s="16" t="s">
        <v>1444</v>
      </c>
      <c r="E41" s="17"/>
      <c r="F41" s="17"/>
      <c r="G41" s="17" t="s">
        <v>1467</v>
      </c>
      <c r="H41" s="16" t="s">
        <v>1446</v>
      </c>
      <c r="I41" s="3" t="s">
        <v>1567</v>
      </c>
      <c r="L41" s="60">
        <v>0</v>
      </c>
      <c r="T41" s="60">
        <f>MAX(3+IF(P161&gt;=3,2,0)-SUM(T42:T49,T52:T59,T62:T69),0)</f>
        <v>0</v>
      </c>
      <c r="Y41" s="15" t="s">
        <v>1468</v>
      </c>
      <c r="Z41" s="61" t="str">
        <f>IFERROR(VLOOKUP(AA41,tblManoeuvre[],2,FALSE),"")</f>
        <v/>
      </c>
      <c r="AA41" s="61" t="str">
        <f t="shared" si="3"/>
        <v/>
      </c>
      <c r="AI41" s="15" t="s">
        <v>244</v>
      </c>
      <c r="AJ41" s="61">
        <f t="shared" si="1"/>
        <v>0</v>
      </c>
      <c r="AK41" s="61">
        <f>AJ41</f>
        <v>0</v>
      </c>
    </row>
    <row r="42" spans="1:37">
      <c r="A42" s="1" t="s">
        <v>41</v>
      </c>
      <c r="B42" t="str">
        <f>REPT("●",IFERROR(INDEX($P$42:$P$69,MATCH(tblCharDataMagda[[#This Row],[Field]],$E$42:$E$69,0)),0))&amp;REPT("○",IFERROR(INDEX($V$42:$V$69,MATCH(tblCharDataMagda[[#This Row],[Field]],$E$42:$E$69,0)),0))&amp;IF(IFERROR(INDEX($W$42:$W$69,MATCH(tblCharDataMagda[[#This Row],[Field]],$E$42:$E$69,0)),0)=1,"†","")</f>
        <v/>
      </c>
      <c r="D42" s="18"/>
      <c r="E42" s="15" t="s">
        <v>25</v>
      </c>
      <c r="F42" s="18"/>
      <c r="G42" s="3" t="s">
        <v>1202</v>
      </c>
      <c r="H42" s="18"/>
      <c r="I42" s="18"/>
      <c r="L42" s="4">
        <v>4</v>
      </c>
      <c r="M42" s="60"/>
      <c r="N42" s="4"/>
      <c r="O42" s="61">
        <f>ROUNDDOWN(N42/2,0)</f>
        <v>0</v>
      </c>
      <c r="P42" s="60">
        <f t="shared" ref="P42:P49" si="4">MIN(SUM(L42,M42,O42),R42)</f>
        <v>4</v>
      </c>
      <c r="R42" s="61">
        <v>5</v>
      </c>
      <c r="T42" s="4">
        <v>1</v>
      </c>
      <c r="U42" s="4"/>
      <c r="V42" s="61">
        <f t="shared" ref="V42:V49" si="5">U42</f>
        <v>0</v>
      </c>
      <c r="W42" s="4"/>
      <c r="AI42" s="15" t="s">
        <v>18</v>
      </c>
      <c r="AJ42" s="61">
        <f t="shared" si="1"/>
        <v>3</v>
      </c>
      <c r="AK42" s="61">
        <f>AJ42+IFERROR(INDEX($V$26:$V$38,MATCH(AI42,$E$26:$E$38,0)),0)</f>
        <v>3</v>
      </c>
    </row>
    <row r="43" spans="1:37">
      <c r="A43" s="1" t="s">
        <v>42</v>
      </c>
      <c r="B43" t="str">
        <f>REPT("●",IFERROR(INDEX($P$42:$P$69,MATCH(tblCharDataMagda[[#This Row],[Field]],$E$42:$E$69,0)),0))&amp;REPT("○",IFERROR(INDEX($V$42:$V$69,MATCH(tblCharDataMagda[[#This Row],[Field]],$E$42:$E$69,0)),0))&amp;IF(IFERROR(INDEX($W$42:$W$69,MATCH(tblCharDataMagda[[#This Row],[Field]],$E$42:$E$69,0)),0)=1,"†","")</f>
        <v>●●</v>
      </c>
      <c r="D43" s="18"/>
      <c r="E43" s="15" t="s">
        <v>26</v>
      </c>
      <c r="F43" s="18"/>
      <c r="G43" s="3"/>
      <c r="H43" s="18"/>
      <c r="I43" s="18"/>
      <c r="L43" s="4"/>
      <c r="M43" s="60"/>
      <c r="N43" s="4"/>
      <c r="O43" s="61">
        <f t="shared" ref="O43:O49" si="6">ROUNDDOWN(N43/2,0)</f>
        <v>0</v>
      </c>
      <c r="P43" s="60">
        <f t="shared" si="4"/>
        <v>0</v>
      </c>
      <c r="R43" s="61">
        <v>5</v>
      </c>
      <c r="T43" s="4"/>
      <c r="U43" s="4"/>
      <c r="V43" s="61">
        <f t="shared" si="5"/>
        <v>0</v>
      </c>
      <c r="W43" s="4"/>
      <c r="AI43" s="15" t="s">
        <v>32</v>
      </c>
      <c r="AJ43" s="61">
        <f t="shared" si="1"/>
        <v>0</v>
      </c>
      <c r="AK43" s="61">
        <f>IF(AJ43=0,IF(COUNTIF($E$42:$E$49,AI43)&gt;0,-3,-1),AJ43)</f>
        <v>-3</v>
      </c>
    </row>
    <row r="44" spans="1:37">
      <c r="A44" s="1" t="s">
        <v>43</v>
      </c>
      <c r="B44" t="str">
        <f>REPT("●",IFERROR(INDEX($P$42:$P$69,MATCH(tblCharDataMagda[[#This Row],[Field]],$E$42:$E$69,0)),0))&amp;REPT("○",IFERROR(INDEX($V$42:$V$69,MATCH(tblCharDataMagda[[#This Row],[Field]],$E$42:$E$69,0)),0))&amp;IF(IFERROR(INDEX($W$42:$W$69,MATCH(tblCharDataMagda[[#This Row],[Field]],$E$42:$E$69,0)),0)=1,"†","")</f>
        <v/>
      </c>
      <c r="D44" s="18"/>
      <c r="E44" s="15" t="s">
        <v>27</v>
      </c>
      <c r="F44" s="18"/>
      <c r="G44" s="3"/>
      <c r="H44" s="18"/>
      <c r="I44" s="18"/>
      <c r="L44" s="4">
        <v>1</v>
      </c>
      <c r="M44" s="60"/>
      <c r="N44" s="4"/>
      <c r="O44" s="61">
        <f t="shared" si="6"/>
        <v>0</v>
      </c>
      <c r="P44" s="60">
        <f t="shared" si="4"/>
        <v>1</v>
      </c>
      <c r="R44" s="61">
        <v>5</v>
      </c>
      <c r="T44" s="4"/>
      <c r="U44" s="4"/>
      <c r="V44" s="61">
        <f t="shared" si="5"/>
        <v>0</v>
      </c>
      <c r="W44" s="4"/>
      <c r="Y44" s="15">
        <v>1</v>
      </c>
      <c r="Z44" s="61" t="s">
        <v>236</v>
      </c>
      <c r="AA44" s="60" t="str" cm="1">
        <f t="array" ref="AA44">IF(OR(Y44=0,Y44=""),"",IF(VLOOKUP(Z44,$AI$1:$AJ$58,2,FALSE)&gt;=Y44,INDEX(tblDisciplines[Name],MATCH(1,(tblDisciplines[Discipline]=Z44)*(tblDisciplines[Rank]=Y44),0)),""))</f>
        <v/>
      </c>
      <c r="AC44" s="60" t="str" cm="1">
        <f t="array" ref="AC44:AC48">IFERROR(_xlfn.VSTACK(IFERROR(_xlfn._xlws.FILTER(AA44:AA121,AA44:AA121&lt;&gt;""),""),IFERROR(_xlfn._xlws.SORT(_xlfn._xlws.FILTER(AA123:AA132,AA123:AA132&lt;&gt;"")),"")),"")</f>
        <v>Dread Presence</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Nightmare ● | Dread Presence</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  •  Pool: -  •  Instant  •  Scene</v>
      </c>
      <c r="AF44" s="20" t="str">
        <f>IF(AC44="","",IFERROR(VLOOKUP(AC44,tblDisciplines[],12,FALSE),VLOOKUP(AC44,tblPacts[],5,FALSE)))</f>
        <v>Conjure brief illusions. Improve Intimidation. Prevent foes spending Willpower.</v>
      </c>
      <c r="AI44" s="15" t="s">
        <v>353</v>
      </c>
      <c r="AJ44" s="61">
        <f t="shared" si="1"/>
        <v>5</v>
      </c>
      <c r="AK44" s="61">
        <f>AJ44</f>
        <v>5</v>
      </c>
    </row>
    <row r="45" spans="1:37">
      <c r="A45" s="1" t="s">
        <v>44</v>
      </c>
      <c r="B45" t="str">
        <f>REPT("●",IFERROR(INDEX($P$42:$P$69,MATCH(tblCharDataMagda[[#This Row],[Field]],$E$42:$E$69,0)),0))&amp;REPT("○",IFERROR(INDEX($V$42:$V$69,MATCH(tblCharDataMagda[[#This Row],[Field]],$E$42:$E$69,0)),0))&amp;IF(IFERROR(INDEX($W$42:$W$69,MATCH(tblCharDataMagda[[#This Row],[Field]],$E$42:$E$69,0)),0)=1,"†","")</f>
        <v>●●</v>
      </c>
      <c r="D45" s="18"/>
      <c r="E45" s="15" t="s">
        <v>28</v>
      </c>
      <c r="F45" s="18"/>
      <c r="G45" s="3"/>
      <c r="H45" s="18"/>
      <c r="I45" s="18"/>
      <c r="L45" s="4">
        <v>1</v>
      </c>
      <c r="M45" s="60"/>
      <c r="N45" s="4"/>
      <c r="O45" s="61">
        <f t="shared" si="6"/>
        <v>0</v>
      </c>
      <c r="P45" s="60">
        <f t="shared" si="4"/>
        <v>1</v>
      </c>
      <c r="R45" s="61">
        <v>5</v>
      </c>
      <c r="T45" s="4"/>
      <c r="U45" s="4"/>
      <c r="V45" s="61">
        <f t="shared" si="5"/>
        <v>0</v>
      </c>
      <c r="W45" s="4"/>
      <c r="Y45" s="15">
        <v>2</v>
      </c>
      <c r="Z45" s="61" t="s">
        <v>236</v>
      </c>
      <c r="AA45" s="60" t="str" cm="1">
        <f t="array" ref="AA45">IF(OR(Y45=0,Y45=""),"",IF(VLOOKUP(Z45,$AI$1:$AJ$58,2,FALSE)&gt;=Y45,INDEX(tblDisciplines[Name],MATCH(1,(tblDisciplines[Discipline]=Z45)*(tblDisciplines[Rank]=Y45),0)),""))</f>
        <v/>
      </c>
      <c r="AC45" s="60" t="str">
        <v>Face in the Crowd</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Obfuscate ● | Face in the Crowd</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  •  Pool: -  •  Instant  •  Scene</v>
      </c>
      <c r="AF45" s="20" t="str">
        <f>IF(AC45="","",IFERROR(VLOOKUP(AC45,tblDisciplines[],12,FALSE),VLOOKUP(AC45,tblPacts[],5,FALSE)))</f>
        <v>Blend into surroundings, visible but unnoticeable. Predatory aura fully on or off. Leaving combat: Wits + Composure - Obfuscate to notice; auto Clash of Wills vs Auspex.</v>
      </c>
      <c r="AI45" s="15" t="s">
        <v>46</v>
      </c>
      <c r="AJ45" s="61">
        <f t="shared" si="1"/>
        <v>0</v>
      </c>
      <c r="AK45" s="61">
        <f>IF(AJ45=0,IF(COUNTIF($E$42:$E$49,AI45)&gt;0,-3,-1),AJ45)</f>
        <v>-1</v>
      </c>
    </row>
    <row r="46" spans="1:37">
      <c r="A46" s="1" t="s">
        <v>45</v>
      </c>
      <c r="B46" t="str">
        <f>REPT("●",IFERROR(INDEX($P$42:$P$69,MATCH(tblCharDataMagda[[#This Row],[Field]],$E$42:$E$69,0)),0))&amp;REPT("○",IFERROR(INDEX($V$42:$V$69,MATCH(tblCharDataMagda[[#This Row],[Field]],$E$42:$E$69,0)),0))&amp;IF(IFERROR(INDEX($W$42:$W$69,MATCH(tblCharDataMagda[[#This Row],[Field]],$E$42:$E$69,0)),0)=1,"†","")</f>
        <v/>
      </c>
      <c r="D46" s="18"/>
      <c r="E46" s="15" t="s">
        <v>29</v>
      </c>
      <c r="F46" s="18"/>
      <c r="G46" s="3"/>
      <c r="H46" s="18"/>
      <c r="I46" s="18"/>
      <c r="L46" s="4"/>
      <c r="M46" s="60"/>
      <c r="N46" s="4"/>
      <c r="O46" s="61">
        <f t="shared" si="6"/>
        <v>0</v>
      </c>
      <c r="P46" s="60">
        <f t="shared" si="4"/>
        <v>0</v>
      </c>
      <c r="R46" s="61">
        <v>5</v>
      </c>
      <c r="T46" s="4"/>
      <c r="U46" s="4"/>
      <c r="V46" s="61">
        <f t="shared" si="5"/>
        <v>0</v>
      </c>
      <c r="W46" s="4"/>
      <c r="Y46" s="15">
        <v>3</v>
      </c>
      <c r="Z46" s="61" t="s">
        <v>236</v>
      </c>
      <c r="AA46" s="60" t="str" cm="1">
        <f t="array" ref="AA46">IF(OR(Y46=0,Y46=""),"",IF(VLOOKUP(Z46,$AI$1:$AJ$58,2,FALSE)&gt;=Y46,INDEX(tblDisciplines[Name],MATCH(1,(tblDisciplines[Discipline]=Z46)*(tblDisciplines[Rank]=Y46),0)),""))</f>
        <v/>
      </c>
      <c r="AC46" s="60" t="str">
        <v>Divination 1</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Blood Sorcery | Divination ●</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v>
      </c>
      <c r="AF46" s="20" t="str">
        <f>IF(AC46="","",IFERROR(VLOOKUP(AC46,tblDisciplines[],12,FALSE),VLOOKUP(AC46,tblPacts[],5,FALSE)))</f>
        <v>Glimpse fragmented details about intended actions. Learn basic info about a target.</v>
      </c>
      <c r="AI46" s="15" t="s">
        <v>354</v>
      </c>
      <c r="AJ46" s="61">
        <f t="shared" ca="1" si="1"/>
        <v>10</v>
      </c>
      <c r="AK46" s="61">
        <f ca="1">AJ46</f>
        <v>10</v>
      </c>
    </row>
    <row r="47" spans="1:37">
      <c r="A47" s="1" t="s">
        <v>46</v>
      </c>
      <c r="B47" t="str">
        <f>REPT("●",IFERROR(INDEX($P$42:$P$69,MATCH(tblCharDataMagda[[#This Row],[Field]],$E$42:$E$69,0)),0))&amp;REPT("○",IFERROR(INDEX($V$42:$V$69,MATCH(tblCharDataMagda[[#This Row],[Field]],$E$42:$E$69,0)),0))&amp;IF(IFERROR(INDEX($W$42:$W$69,MATCH(tblCharDataMagda[[#This Row],[Field]],$E$42:$E$69,0)),0)=1,"†","")</f>
        <v/>
      </c>
      <c r="D47" s="18"/>
      <c r="E47" s="15" t="s">
        <v>30</v>
      </c>
      <c r="F47" s="18"/>
      <c r="G47" s="3"/>
      <c r="H47" s="18"/>
      <c r="I47" s="18"/>
      <c r="L47" s="4">
        <v>1</v>
      </c>
      <c r="M47" s="60"/>
      <c r="N47" s="4"/>
      <c r="O47" s="61">
        <f t="shared" si="6"/>
        <v>0</v>
      </c>
      <c r="P47" s="60">
        <f t="shared" si="4"/>
        <v>1</v>
      </c>
      <c r="R47" s="61">
        <v>5</v>
      </c>
      <c r="T47" s="4"/>
      <c r="U47" s="4"/>
      <c r="V47" s="61">
        <f t="shared" si="5"/>
        <v>0</v>
      </c>
      <c r="W47" s="4"/>
      <c r="Y47" s="15">
        <v>4</v>
      </c>
      <c r="Z47" s="61" t="s">
        <v>236</v>
      </c>
      <c r="AA47" s="60" t="str" cm="1">
        <f t="array" ref="AA47">IF(OR(Y47=0,Y47=""),"",IF(VLOOKUP(Z47,$AI$1:$AJ$58,2,FALSE)&gt;=Y47,INDEX(tblDisciplines[Name],MATCH(1,(tblDisciplines[Discipline]=Z47)*(tblDisciplines[Rank]=Y47),0)),""))</f>
        <v/>
      </c>
      <c r="AC47" s="60" t="str">
        <v>Transmutation 1</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Blood Sorcery | Transmutation ●</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v>
      </c>
      <c r="AF47" s="20" t="str">
        <f>IF(AC47="","",IFERROR(VLOOKUP(AC47,tblDisciplines[],12,FALSE),VLOOKUP(AC47,tblPacts[],5,FALSE)))</f>
        <v>Minor cosmetic changes to living subjects. Warp dead matter. Animate liquids.</v>
      </c>
      <c r="AI47" s="15" t="s">
        <v>21</v>
      </c>
      <c r="AJ47" s="61">
        <f t="shared" si="1"/>
        <v>2</v>
      </c>
      <c r="AK47" s="61">
        <f>AJ47+IFERROR(INDEX($V$26:$V$38,MATCH(AI47,$E$26:$E$38,0)),0)</f>
        <v>2</v>
      </c>
    </row>
    <row r="48" spans="1:37">
      <c r="A48" s="1" t="s">
        <v>47</v>
      </c>
      <c r="B48" t="str">
        <f>REPT("●",IFERROR(INDEX($P$42:$P$69,MATCH(tblCharDataMagda[[#This Row],[Field]],$E$42:$E$69,0)),0))&amp;REPT("○",IFERROR(INDEX($V$42:$V$69,MATCH(tblCharDataMagda[[#This Row],[Field]],$E$42:$E$69,0)),0))&amp;IF(IFERROR(INDEX($W$42:$W$69,MATCH(tblCharDataMagda[[#This Row],[Field]],$E$42:$E$69,0)),0)=1,"†","")</f>
        <v/>
      </c>
      <c r="D48" s="18"/>
      <c r="E48" s="15" t="s">
        <v>31</v>
      </c>
      <c r="F48" s="18"/>
      <c r="G48" s="3"/>
      <c r="H48" s="18"/>
      <c r="I48" s="18"/>
      <c r="L48" s="4"/>
      <c r="M48" s="60"/>
      <c r="N48" s="4"/>
      <c r="O48" s="61">
        <f t="shared" si="6"/>
        <v>0</v>
      </c>
      <c r="P48" s="60">
        <f t="shared" si="4"/>
        <v>0</v>
      </c>
      <c r="R48" s="61">
        <v>5</v>
      </c>
      <c r="T48" s="4"/>
      <c r="U48" s="4"/>
      <c r="V48" s="61">
        <f t="shared" si="5"/>
        <v>0</v>
      </c>
      <c r="W48" s="4"/>
      <c r="Y48" s="15">
        <v>5</v>
      </c>
      <c r="Z48" s="61" t="s">
        <v>236</v>
      </c>
      <c r="AA48" s="60" t="str" cm="1">
        <f t="array" ref="AA48">IF(OR(Y48=0,Y48=""),"",IF(VLOOKUP(Z48,$AI$1:$AJ$58,2,FALSE)&gt;=Y48,INDEX(tblDisciplines[Name],MATCH(1,(tblDisciplines[Discipline]=Z48)*(tblDisciplines[Rank]=Y48),0)),""))</f>
        <v/>
      </c>
      <c r="AC48" s="60" t="str">
        <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
      </c>
      <c r="AF48" s="20" t="str">
        <f>IF(AC48="","",IFERROR(VLOOKUP(AC48,tblDisciplines[],12,FALSE),VLOOKUP(AC48,tblPacts[],5,FALSE)))</f>
        <v/>
      </c>
      <c r="AI48" s="15" t="s">
        <v>38</v>
      </c>
      <c r="AJ48" s="61">
        <f t="shared" si="1"/>
        <v>2</v>
      </c>
      <c r="AK48" s="61">
        <f>IF(AJ48=0,IF(COUNTIF($E$42:$E$49,AI48)&gt;0,-3,-1),AJ48)</f>
        <v>2</v>
      </c>
    </row>
    <row r="49" spans="1:37">
      <c r="A49" s="1" t="s">
        <v>48</v>
      </c>
      <c r="B49" t="str">
        <f>REPT("●",IFERROR(INDEX($P$42:$P$69,MATCH(tblCharDataMagda[[#This Row],[Field]],$E$42:$E$69,0)),0))&amp;REPT("○",IFERROR(INDEX($V$42:$V$69,MATCH(tblCharDataMagda[[#This Row],[Field]],$E$42:$E$69,0)),0))&amp;IF(IFERROR(INDEX($W$42:$W$69,MATCH(tblCharDataMagda[[#This Row],[Field]],$E$42:$E$69,0)),0)=1,"†","")</f>
        <v/>
      </c>
      <c r="D49" s="18"/>
      <c r="E49" s="15" t="s">
        <v>32</v>
      </c>
      <c r="F49" s="18"/>
      <c r="G49" s="3"/>
      <c r="H49" s="18"/>
      <c r="I49" s="18"/>
      <c r="L49" s="4"/>
      <c r="M49" s="60"/>
      <c r="N49" s="4"/>
      <c r="O49" s="61">
        <f t="shared" si="6"/>
        <v>0</v>
      </c>
      <c r="P49" s="60">
        <f t="shared" si="4"/>
        <v>0</v>
      </c>
      <c r="R49" s="61">
        <v>5</v>
      </c>
      <c r="T49" s="4"/>
      <c r="U49" s="4"/>
      <c r="V49" s="61">
        <f t="shared" si="5"/>
        <v>0</v>
      </c>
      <c r="W49" s="4"/>
      <c r="Y49" s="15">
        <v>1</v>
      </c>
      <c r="Z49" s="61" t="s">
        <v>237</v>
      </c>
      <c r="AA49" s="60" t="str" cm="1">
        <f t="array" ref="AA49">IF(OR(Y49=0,Y49=""),"",IF(VLOOKUP(Z49,$AI$1:$AJ$58,2,FALSE)&gt;=Y49,INDEX(tblDisciplines[Name],MATCH(1,(tblDisciplines[Discipline]=Z49)*(tblDisciplines[Rank]=Y49),0)),""))</f>
        <v/>
      </c>
      <c r="AC49" s="60"/>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
      </c>
      <c r="AF49" s="20" t="str">
        <f>IF(AC49="","",IFERROR(VLOOKUP(AC49,tblDisciplines[],12,FALSE),VLOOKUP(AC49,tblPacts[],5,FALSE)))</f>
        <v/>
      </c>
      <c r="AI49" s="15" t="s">
        <v>47</v>
      </c>
      <c r="AJ49" s="61">
        <f t="shared" si="1"/>
        <v>0</v>
      </c>
      <c r="AK49" s="61">
        <f>IF(AJ49=0,IF(COUNTIF($E$42:$E$49,AI49)&gt;0,-3,-1),AJ49)</f>
        <v>-1</v>
      </c>
    </row>
    <row r="50" spans="1:37">
      <c r="A50" s="1" t="s">
        <v>49</v>
      </c>
      <c r="B50" t="str">
        <f ca="1">REPT("●",VLOOKUP(tblCharDataMagda[[#This Row],[Field]],INDIRECT($AH$1),2,FALSE)) &amp; REPT("○",10-VLOOKUP(tblCharDataMagda[[#This Row],[Field]],INDIRECT($AH$1),2,FALSE)) &amp; REPT("○",10-VLOOKUP(tblCharDataMagda[[#This Row],[Field]],INDIRECT($AH$1),2,FALSE))</f>
        <v>●○○○○○○○○○○○○○○○○○○</v>
      </c>
      <c r="Y50" s="15">
        <v>2</v>
      </c>
      <c r="Z50" s="61" t="s">
        <v>237</v>
      </c>
      <c r="AA50" s="60" t="str" cm="1">
        <f t="array" ref="AA50">IF(OR(Y50=0,Y50=""),"",IF(VLOOKUP(Z50,$AI$1:$AJ$58,2,FALSE)&gt;=Y50,INDEX(tblDisciplines[Name],MATCH(1,(tblDisciplines[Discipline]=Z50)*(tblDisciplines[Rank]=Y50),0)),""))</f>
        <v/>
      </c>
      <c r="AC50" s="60"/>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
      </c>
      <c r="AF50" s="20" t="str">
        <f>IF(AC50="","",IFERROR(VLOOKUP(AC50,tblDisciplines[],12,FALSE),VLOOKUP(AC50,tblPacts[],5,FALSE)))</f>
        <v/>
      </c>
      <c r="AI50" s="15" t="s">
        <v>19</v>
      </c>
      <c r="AJ50" s="61">
        <f t="shared" si="1"/>
        <v>2</v>
      </c>
      <c r="AK50" s="61">
        <f>AJ50+IFERROR(INDEX($V$26:$V$38,MATCH(AI50,$E$26:$E$38,0)),0)</f>
        <v>2</v>
      </c>
    </row>
    <row r="51" spans="1:37">
      <c r="A51" s="1" t="s">
        <v>50</v>
      </c>
      <c r="B51">
        <f>P72</f>
        <v>1</v>
      </c>
      <c r="D51" s="16" t="s">
        <v>1453</v>
      </c>
      <c r="E51" s="17"/>
      <c r="F51" s="17"/>
      <c r="G51" s="17" t="s">
        <v>1467</v>
      </c>
      <c r="H51" s="16" t="s">
        <v>1446</v>
      </c>
      <c r="I51" s="3" t="s">
        <v>1565</v>
      </c>
      <c r="L51" s="60">
        <v>0</v>
      </c>
      <c r="Y51" s="15">
        <v>3</v>
      </c>
      <c r="Z51" s="61" t="s">
        <v>237</v>
      </c>
      <c r="AA51" s="60" t="str" cm="1">
        <f t="array" ref="AA51">IF(OR(Y51=0,Y51=""),"",IF(VLOOKUP(Z51,$AI$1:$AJ$58,2,FALSE)&gt;=Y51,INDEX(tblDisciplines[Name],MATCH(1,(tblDisciplines[Discipline]=Z51)*(tblDisciplines[Rank]=Y51),0)),""))</f>
        <v/>
      </c>
      <c r="AC51" s="60"/>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
      </c>
      <c r="AF51" s="20" t="str">
        <f>IF(AC51="","",IFERROR(VLOOKUP(AC51,tblDisciplines[],12,FALSE),VLOOKUP(AC51,tblPacts[],5,FALSE)))</f>
        <v/>
      </c>
      <c r="AI51" s="15" t="s">
        <v>48</v>
      </c>
      <c r="AJ51" s="61">
        <f t="shared" si="1"/>
        <v>0</v>
      </c>
      <c r="AK51" s="61">
        <f>IF(AJ51=0,IF(COUNTIF($E$42:$E$49,AI51)&gt;0,-3,-1),AJ51)</f>
        <v>-1</v>
      </c>
    </row>
    <row r="52" spans="1:37">
      <c r="A52" s="1" t="s">
        <v>51</v>
      </c>
      <c r="B52" t="str">
        <f>_xlfn.IFNA(VLOOKUP(P72,tblBloodPotency[#Data],5,FALSE),"")</f>
        <v/>
      </c>
      <c r="D52" s="18"/>
      <c r="E52" s="15" t="s">
        <v>33</v>
      </c>
      <c r="F52" s="18"/>
      <c r="G52" s="3"/>
      <c r="H52" s="18"/>
      <c r="I52" s="18"/>
      <c r="L52" s="4"/>
      <c r="M52" s="60"/>
      <c r="N52" s="4"/>
      <c r="O52" s="61">
        <f>ROUNDDOWN(N52/2,0)</f>
        <v>0</v>
      </c>
      <c r="P52" s="60">
        <f t="shared" ref="P52:P59" si="7">MIN(SUM(L52,M52,O52),R52)</f>
        <v>0</v>
      </c>
      <c r="R52" s="61">
        <v>5</v>
      </c>
      <c r="T52" s="4"/>
      <c r="U52" s="4"/>
      <c r="V52" s="61">
        <f t="shared" ref="V52:V59" si="8">U52</f>
        <v>0</v>
      </c>
      <c r="W52" s="4"/>
      <c r="Y52" s="15">
        <v>4</v>
      </c>
      <c r="Z52" s="61" t="s">
        <v>237</v>
      </c>
      <c r="AA52" s="60" t="str" cm="1">
        <f t="array" ref="AA52">IF(OR(Y52=0,Y52=""),"",IF(VLOOKUP(Z52,$AI$1:$AJ$58,2,FALSE)&gt;=Y52,INDEX(tblDisciplines[Name],MATCH(1,(tblDisciplines[Discipline]=Z52)*(tblDisciplines[Rank]=Y52),0)),""))</f>
        <v/>
      </c>
      <c r="AC52" s="60"/>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
      </c>
      <c r="AF52" s="20" t="str">
        <f>IF(AC52="","",IFERROR(VLOOKUP(AC52,tblDisciplines[],12,FALSE),VLOOKUP(AC52,tblPacts[],5,FALSE)))</f>
        <v/>
      </c>
      <c r="AI52" s="15" t="s">
        <v>39</v>
      </c>
      <c r="AJ52" s="61">
        <f t="shared" si="1"/>
        <v>0</v>
      </c>
      <c r="AK52" s="61">
        <f>IF(AJ52=0,IF(COUNTIF($E$42:$E$49,AI52)&gt;0,-3,-1),AJ52)</f>
        <v>-1</v>
      </c>
    </row>
    <row r="53" spans="1:37">
      <c r="A53" s="1" t="s">
        <v>52</v>
      </c>
      <c r="B53" t="str">
        <f ca="1">REPT("□",P221) &amp; REPT("■",15-P221)</f>
        <v>□□□□□□□■■■■■■■■</v>
      </c>
      <c r="D53" s="18"/>
      <c r="E53" s="15" t="s">
        <v>34</v>
      </c>
      <c r="F53" s="18"/>
      <c r="G53" s="3"/>
      <c r="H53" s="18"/>
      <c r="I53" s="18"/>
      <c r="L53" s="4">
        <v>2</v>
      </c>
      <c r="M53" s="60"/>
      <c r="N53" s="4"/>
      <c r="O53" s="61">
        <f t="shared" ref="O53:O59" si="9">ROUNDDOWN(N53/2,0)</f>
        <v>0</v>
      </c>
      <c r="P53" s="60">
        <f t="shared" si="7"/>
        <v>2</v>
      </c>
      <c r="R53" s="61">
        <v>5</v>
      </c>
      <c r="T53" s="4"/>
      <c r="U53" s="4"/>
      <c r="V53" s="61">
        <f t="shared" si="8"/>
        <v>0</v>
      </c>
      <c r="W53" s="4"/>
      <c r="Y53" s="15">
        <v>5</v>
      </c>
      <c r="Z53" s="61" t="s">
        <v>237</v>
      </c>
      <c r="AA53" s="60" t="str" cm="1">
        <f t="array" ref="AA53">IF(OR(Y53=0,Y53=""),"",IF(VLOOKUP(Z53,$AI$1:$AJ$58,2,FALSE)&gt;=Y53,INDEX(tblDisciplines[Name],MATCH(1,(tblDisciplines[Discipline]=Z53)*(tblDisciplines[Rank]=Y53),0)),""))</f>
        <v/>
      </c>
      <c r="AC53" s="60"/>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
      </c>
      <c r="AF53" s="20" t="str">
        <f>IF(AC53="","",IFERROR(VLOOKUP(AC53,tblDisciplines[],12,FALSE),VLOOKUP(AC53,tblPacts[],5,FALSE)))</f>
        <v/>
      </c>
      <c r="AI53" s="15" t="s">
        <v>247</v>
      </c>
      <c r="AJ53" s="61">
        <f t="shared" si="1"/>
        <v>4</v>
      </c>
      <c r="AK53" s="61">
        <f>AJ53</f>
        <v>4</v>
      </c>
    </row>
    <row r="54" spans="1:37">
      <c r="A54" s="1" t="s">
        <v>53</v>
      </c>
      <c r="B54" t="str">
        <f>_xlfn.CONCAT(P74-L224," / ",P74)</f>
        <v>5 / 5</v>
      </c>
      <c r="D54" s="18"/>
      <c r="E54" s="15" t="s">
        <v>35</v>
      </c>
      <c r="F54" s="18"/>
      <c r="G54" s="3"/>
      <c r="H54" s="18"/>
      <c r="I54" s="18"/>
      <c r="L54" s="4"/>
      <c r="M54" s="60"/>
      <c r="N54" s="4"/>
      <c r="O54" s="61">
        <f t="shared" si="9"/>
        <v>0</v>
      </c>
      <c r="P54" s="60">
        <f t="shared" si="7"/>
        <v>0</v>
      </c>
      <c r="R54" s="61">
        <v>5</v>
      </c>
      <c r="T54" s="4"/>
      <c r="U54" s="4"/>
      <c r="V54" s="61">
        <f t="shared" si="8"/>
        <v>0</v>
      </c>
      <c r="W54" s="4"/>
      <c r="Y54" s="15">
        <f>P167</f>
        <v>0</v>
      </c>
      <c r="Z54" s="61" t="s">
        <v>238</v>
      </c>
      <c r="AA54" s="60" t="str" cm="1">
        <f t="array" ref="AA54">IF(OR(Y54=0,Y54=""),"",IF(VLOOKUP(Z54,$AI$1:$AJ$58,2,FALSE)&gt;=Y54,INDEX(tblDisciplines[Name],MATCH(1,(tblDisciplines[Discipline]=Z54)*(tblDisciplines[Rank]=Y54),0)),""))</f>
        <v/>
      </c>
      <c r="AC54" s="60"/>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
      </c>
      <c r="AF54" s="20" t="str">
        <f>IF(AC54="","",IFERROR(VLOOKUP(AC54,tblDisciplines[],12,FALSE),VLOOKUP(AC54,tblPacts[],5,FALSE)))</f>
        <v/>
      </c>
      <c r="AI54" s="15" t="s">
        <v>252</v>
      </c>
      <c r="AJ54" s="61">
        <f t="shared" si="1"/>
        <v>1</v>
      </c>
      <c r="AK54" s="61">
        <f>AJ54</f>
        <v>1</v>
      </c>
    </row>
    <row r="55" spans="1:37">
      <c r="A55" s="1" t="s">
        <v>54</v>
      </c>
      <c r="B55" t="str">
        <f>REPT("□",P74) &amp; REPT("■",10-P74)</f>
        <v>□□□□□■■■■■</v>
      </c>
      <c r="D55" s="18"/>
      <c r="E55" s="15" t="s">
        <v>36</v>
      </c>
      <c r="F55" s="18"/>
      <c r="G55" s="3" t="s">
        <v>643</v>
      </c>
      <c r="H55" s="18"/>
      <c r="I55" s="18"/>
      <c r="L55" s="4">
        <v>3</v>
      </c>
      <c r="M55" s="60"/>
      <c r="N55" s="4"/>
      <c r="O55" s="61">
        <f t="shared" si="9"/>
        <v>0</v>
      </c>
      <c r="P55" s="60">
        <f t="shared" si="7"/>
        <v>3</v>
      </c>
      <c r="R55" s="61">
        <v>5</v>
      </c>
      <c r="T55" s="4">
        <v>1</v>
      </c>
      <c r="U55" s="4"/>
      <c r="V55" s="61">
        <f t="shared" si="8"/>
        <v>0</v>
      </c>
      <c r="W55" s="4"/>
      <c r="Y55" s="15">
        <v>1</v>
      </c>
      <c r="Z55" s="61" t="s">
        <v>239</v>
      </c>
      <c r="AA55" s="60" t="str" cm="1">
        <f t="array" ref="AA55">IF(OR(Y55=0,Y55=""),"",IF(VLOOKUP(Z55,$AI$1:$AJ$58,2,FALSE)&gt;=Y55,INDEX(tblDisciplines[Name],MATCH(1,(tblDisciplines[Discipline]=Z55)*(tblDisciplines[Rank]=Y55),0)),""))</f>
        <v/>
      </c>
      <c r="AC55" s="60"/>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
      </c>
      <c r="AF55" s="20" t="str">
        <f>IF(AC55="","",IFERROR(VLOOKUP(AC55,tblDisciplines[],12,FALSE),VLOOKUP(AC55,tblPacts[],5,FALSE)))</f>
        <v/>
      </c>
      <c r="AI55" s="15" t="s">
        <v>245</v>
      </c>
      <c r="AJ55" s="61">
        <f t="shared" si="1"/>
        <v>0</v>
      </c>
      <c r="AK55" s="61">
        <f>AJ55+IFERROR(INDEX($V$26:$V$38,MATCH(AI55,$E$26:$E$38,0)),0)</f>
        <v>0</v>
      </c>
    </row>
    <row r="56" spans="1:37">
      <c r="A56" s="1" t="s">
        <v>55</v>
      </c>
      <c r="B56" t="str">
        <f ca="1">_xlfn.CONCAT(P75-L223," / ",P75)</f>
        <v>10 / 10</v>
      </c>
      <c r="D56" s="19"/>
      <c r="E56" s="15" t="s">
        <v>37</v>
      </c>
      <c r="F56" s="18"/>
      <c r="G56" s="3"/>
      <c r="H56" s="18"/>
      <c r="I56" s="18"/>
      <c r="L56" s="4">
        <v>2</v>
      </c>
      <c r="M56" s="60"/>
      <c r="N56" s="4"/>
      <c r="O56" s="61">
        <f t="shared" si="9"/>
        <v>0</v>
      </c>
      <c r="P56" s="60">
        <f t="shared" si="7"/>
        <v>2</v>
      </c>
      <c r="R56" s="61">
        <v>5</v>
      </c>
      <c r="T56" s="4"/>
      <c r="U56" s="4"/>
      <c r="V56" s="61">
        <f t="shared" si="8"/>
        <v>0</v>
      </c>
      <c r="W56" s="4"/>
      <c r="Y56" s="15">
        <v>2</v>
      </c>
      <c r="Z56" s="61" t="s">
        <v>239</v>
      </c>
      <c r="AA56" s="60" t="str" cm="1">
        <f t="array" ref="AA56">IF(OR(Y56=0,Y56=""),"",IF(VLOOKUP(Z56,$AI$1:$AJ$58,2,FALSE)&gt;=Y56,INDEX(tblDisciplines[Name],MATCH(1,(tblDisciplines[Discipline]=Z56)*(tblDisciplines[Rank]=Y56),0)),""))</f>
        <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1"/>
        <v>2</v>
      </c>
      <c r="AK56" s="61">
        <f>IF(AJ56=0,IF(COUNTIF($E$42:$E$49,AI56)&gt;0,-3,-1),AJ56)</f>
        <v>2</v>
      </c>
    </row>
    <row r="57" spans="1:37">
      <c r="A57" s="1" t="s">
        <v>56</v>
      </c>
      <c r="B57" t="str">
        <f ca="1">REPT("□",P75-L223) &amp; REPT("■",20-P75+L223)</f>
        <v>□□□□□□□□□□■■■■■■■■■■</v>
      </c>
      <c r="D57" s="19"/>
      <c r="E57" s="15" t="s">
        <v>38</v>
      </c>
      <c r="F57" s="18"/>
      <c r="G57" s="3"/>
      <c r="H57" s="18"/>
      <c r="I57" s="18"/>
      <c r="L57" s="4">
        <v>2</v>
      </c>
      <c r="M57" s="60"/>
      <c r="N57" s="4"/>
      <c r="O57" s="61">
        <f t="shared" si="9"/>
        <v>0</v>
      </c>
      <c r="P57" s="60">
        <f t="shared" si="7"/>
        <v>2</v>
      </c>
      <c r="R57" s="61">
        <v>5</v>
      </c>
      <c r="T57" s="4"/>
      <c r="U57" s="4"/>
      <c r="V57" s="61">
        <f t="shared" si="8"/>
        <v>0</v>
      </c>
      <c r="W57" s="4"/>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1"/>
        <v>5</v>
      </c>
      <c r="AK57" s="61">
        <f>AJ57</f>
        <v>5</v>
      </c>
    </row>
    <row r="58" spans="1:37">
      <c r="A58" s="1" t="s">
        <v>57</v>
      </c>
      <c r="B58">
        <f ca="1">VLOOKUP(VLOOKUP("Blood Potency", INDIRECT($AH$1),2,FALSE),tblBloodPotency[#Data],3,FALSE)</f>
        <v>1</v>
      </c>
      <c r="D58" s="19"/>
      <c r="E58" s="15" t="s">
        <v>39</v>
      </c>
      <c r="F58" s="18"/>
      <c r="G58" s="3"/>
      <c r="H58" s="18"/>
      <c r="I58" s="18"/>
      <c r="L58" s="4"/>
      <c r="M58" s="60"/>
      <c r="N58" s="4"/>
      <c r="O58" s="61">
        <f t="shared" si="9"/>
        <v>0</v>
      </c>
      <c r="P58" s="60">
        <f t="shared" si="7"/>
        <v>0</v>
      </c>
      <c r="R58" s="61">
        <v>5</v>
      </c>
      <c r="T58" s="4"/>
      <c r="U58" s="4"/>
      <c r="V58" s="61">
        <f t="shared" si="8"/>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1"/>
        <v>2</v>
      </c>
      <c r="AK58" s="61">
        <f>AJ58+IFERROR(INDEX($V$26:$V$38,MATCH(AI58,$E$26:$E$38,0)),0)</f>
        <v>2</v>
      </c>
    </row>
    <row r="59" spans="1:37">
      <c r="A59" s="1" t="s">
        <v>58</v>
      </c>
      <c r="B59" t="str">
        <f ca="1">VLOOKUP(VLOOKUP("Blood Potency", INDIRECT($AH$1),2,FALSE),tblBloodPotency[#Data],4,FALSE)</f>
        <v>Animals</v>
      </c>
      <c r="D59" s="19"/>
      <c r="E59" s="15" t="s">
        <v>40</v>
      </c>
      <c r="F59" s="18"/>
      <c r="G59" s="3" t="s">
        <v>1203</v>
      </c>
      <c r="H59" s="18"/>
      <c r="I59" s="18"/>
      <c r="L59" s="4">
        <v>2</v>
      </c>
      <c r="M59" s="60"/>
      <c r="N59" s="4"/>
      <c r="O59" s="61">
        <f t="shared" si="9"/>
        <v>0</v>
      </c>
      <c r="P59" s="60">
        <f t="shared" si="7"/>
        <v>2</v>
      </c>
      <c r="R59" s="61">
        <v>5</v>
      </c>
      <c r="T59" s="4">
        <v>1</v>
      </c>
      <c r="U59" s="4"/>
      <c r="V59" s="61">
        <f t="shared" si="8"/>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0">IFERROR(IF(VLOOKUP(SUBSTITUTE(A60," Spec",""),$E$42:$G$69,3,FALSE)=0,"",VLOOKUP(SUBSTITUTE(A60," Spec",""),$E$42:$G$69,3,FALSE)),"")</f>
        <v>theban</v>
      </c>
      <c r="Y60" s="15">
        <v>1</v>
      </c>
      <c r="Z60" s="61" t="s">
        <v>240</v>
      </c>
      <c r="AA60" s="60" t="str" cm="1">
        <f t="array" ref="AA60">IF(OR(Y60=0,Y60=""),"",IF(VLOOKUP(Z60,$AI$1:$AJ$58,2,FALSE)&gt;=Y60,INDEX(tblDisciplines[Name],MATCH(1,(tblDisciplines[Discipline]=Z60)*(tblDisciplines[Rank]=Y60),0)),""))</f>
        <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0"/>
        <v/>
      </c>
      <c r="D61" s="16" t="s">
        <v>1459</v>
      </c>
      <c r="E61" s="17"/>
      <c r="F61" s="17"/>
      <c r="G61" s="17" t="s">
        <v>1467</v>
      </c>
      <c r="H61" s="16" t="s">
        <v>1446</v>
      </c>
      <c r="I61" s="3" t="s">
        <v>1566</v>
      </c>
      <c r="L61" s="60">
        <v>0</v>
      </c>
      <c r="Y61" s="15">
        <v>2</v>
      </c>
      <c r="Z61" s="61" t="s">
        <v>240</v>
      </c>
      <c r="AA61" s="60" t="str" cm="1">
        <f t="array" ref="AA61">IF(OR(Y61=0,Y61=""),"",IF(VLOOKUP(Z61,$AI$1:$AJ$58,2,FALSE)&gt;=Y61,INDEX(tblDisciplines[Name],MATCH(1,(tblDisciplines[Discipline]=Z61)*(tblDisciplines[Rank]=Y61),0)),""))</f>
        <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0"/>
        <v/>
      </c>
      <c r="D62" s="18"/>
      <c r="E62" s="15" t="s">
        <v>41</v>
      </c>
      <c r="F62" s="18"/>
      <c r="G62" s="3"/>
      <c r="H62" s="18"/>
      <c r="I62" s="18"/>
      <c r="L62" s="4"/>
      <c r="M62" s="60"/>
      <c r="N62" s="4"/>
      <c r="O62" s="61">
        <f>ROUNDDOWN(N62/2,0)</f>
        <v>0</v>
      </c>
      <c r="P62" s="60">
        <f t="shared" ref="P62:P69" si="11">MIN(SUM(L62,M62,O62),R62)</f>
        <v>0</v>
      </c>
      <c r="R62" s="61">
        <v>5</v>
      </c>
      <c r="T62" s="4"/>
      <c r="U62" s="4"/>
      <c r="V62" s="61">
        <f t="shared" ref="V62:V69" si="12">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0"/>
        <v/>
      </c>
      <c r="D63" s="19"/>
      <c r="E63" s="15" t="s">
        <v>42</v>
      </c>
      <c r="F63" s="18"/>
      <c r="G63" s="3" t="s">
        <v>566</v>
      </c>
      <c r="H63" s="18"/>
      <c r="I63" s="18"/>
      <c r="L63" s="4">
        <v>2</v>
      </c>
      <c r="M63" s="60"/>
      <c r="N63" s="4"/>
      <c r="O63" s="61">
        <f t="shared" ref="O63:O69" si="13">ROUNDDOWN(N63/2,0)</f>
        <v>0</v>
      </c>
      <c r="P63" s="60">
        <f t="shared" si="11"/>
        <v>2</v>
      </c>
      <c r="R63" s="61">
        <v>5</v>
      </c>
      <c r="T63" s="4"/>
      <c r="U63" s="4"/>
      <c r="V63" s="61">
        <f t="shared" si="12"/>
        <v>0</v>
      </c>
      <c r="W63" s="4"/>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0"/>
        <v/>
      </c>
      <c r="D64" s="19"/>
      <c r="E64" s="15" t="s">
        <v>43</v>
      </c>
      <c r="F64" s="18"/>
      <c r="G64" s="3"/>
      <c r="H64" s="18"/>
      <c r="I64" s="18"/>
      <c r="L64" s="4"/>
      <c r="M64" s="60"/>
      <c r="N64" s="4"/>
      <c r="O64" s="61">
        <f t="shared" si="13"/>
        <v>0</v>
      </c>
      <c r="P64" s="60">
        <f t="shared" si="11"/>
        <v>0</v>
      </c>
      <c r="R64" s="61">
        <v>5</v>
      </c>
      <c r="T64" s="4">
        <v>1</v>
      </c>
      <c r="U64" s="4"/>
      <c r="V64" s="61">
        <f t="shared" si="12"/>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0"/>
        <v/>
      </c>
      <c r="D65" s="19"/>
      <c r="E65" s="15" t="s">
        <v>44</v>
      </c>
      <c r="F65" s="18"/>
      <c r="G65" s="3"/>
      <c r="H65" s="18"/>
      <c r="I65" s="18"/>
      <c r="L65" s="4">
        <v>2</v>
      </c>
      <c r="M65" s="60"/>
      <c r="N65" s="4"/>
      <c r="O65" s="61">
        <f t="shared" si="13"/>
        <v>0</v>
      </c>
      <c r="P65" s="60">
        <f t="shared" si="11"/>
        <v>2</v>
      </c>
      <c r="R65" s="61">
        <v>5</v>
      </c>
      <c r="T65" s="4"/>
      <c r="U65" s="4"/>
      <c r="V65" s="61">
        <f t="shared" si="12"/>
        <v>0</v>
      </c>
      <c r="W65" s="4"/>
      <c r="Y65" s="15">
        <v>1</v>
      </c>
      <c r="Z65" s="61" t="s">
        <v>241</v>
      </c>
      <c r="AA65" s="60" t="str" cm="1">
        <f t="array" ref="AA65">IF(OR(Y65=0,Y65=""),"",IF(VLOOKUP(Z65,$AI$1:$AJ$58,2,FALSE)&gt;=Y65,INDEX(tblDisciplines[Name],MATCH(1,(tblDisciplines[Discipline]=Z65)*(tblDisciplines[Rank]=Y65),0)),""))</f>
        <v>Dread Presence</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0"/>
        <v/>
      </c>
      <c r="D66" s="19"/>
      <c r="E66" s="15" t="s">
        <v>45</v>
      </c>
      <c r="F66" s="18"/>
      <c r="G66" s="3"/>
      <c r="H66" s="18"/>
      <c r="I66" s="18"/>
      <c r="L66" s="4"/>
      <c r="M66" s="60"/>
      <c r="N66" s="4"/>
      <c r="O66" s="61">
        <f t="shared" si="13"/>
        <v>0</v>
      </c>
      <c r="P66" s="60">
        <f t="shared" si="11"/>
        <v>0</v>
      </c>
      <c r="R66" s="61">
        <v>5</v>
      </c>
      <c r="T66" s="4"/>
      <c r="U66" s="4"/>
      <c r="V66" s="61">
        <f t="shared" si="12"/>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0"/>
        <v/>
      </c>
      <c r="D67" s="19"/>
      <c r="E67" s="15" t="s">
        <v>46</v>
      </c>
      <c r="F67" s="18"/>
      <c r="G67" s="3"/>
      <c r="H67" s="18"/>
      <c r="I67" s="18"/>
      <c r="L67" s="4"/>
      <c r="M67" s="60"/>
      <c r="N67" s="4"/>
      <c r="O67" s="61">
        <f t="shared" si="13"/>
        <v>0</v>
      </c>
      <c r="P67" s="60">
        <f t="shared" si="11"/>
        <v>0</v>
      </c>
      <c r="R67" s="61">
        <v>5</v>
      </c>
      <c r="T67" s="4"/>
      <c r="U67" s="4"/>
      <c r="V67" s="61">
        <f t="shared" si="12"/>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0"/>
        <v/>
      </c>
      <c r="D68" s="18"/>
      <c r="E68" s="15" t="s">
        <v>47</v>
      </c>
      <c r="F68" s="18"/>
      <c r="G68" s="3"/>
      <c r="H68" s="18"/>
      <c r="I68" s="18"/>
      <c r="L68" s="4"/>
      <c r="M68" s="60"/>
      <c r="N68" s="4"/>
      <c r="O68" s="61">
        <f t="shared" si="13"/>
        <v>0</v>
      </c>
      <c r="P68" s="60">
        <f t="shared" si="11"/>
        <v>0</v>
      </c>
      <c r="R68" s="61">
        <v>5</v>
      </c>
      <c r="T68" s="4"/>
      <c r="U68" s="4"/>
      <c r="V68" s="61">
        <f t="shared" si="12"/>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0"/>
        <v/>
      </c>
      <c r="D69" s="18"/>
      <c r="E69" s="15" t="s">
        <v>48</v>
      </c>
      <c r="F69" s="18"/>
      <c r="G69" s="3"/>
      <c r="H69" s="18"/>
      <c r="I69" s="18"/>
      <c r="L69" s="4"/>
      <c r="M69" s="60"/>
      <c r="N69" s="4"/>
      <c r="O69" s="61">
        <f t="shared" si="13"/>
        <v>0</v>
      </c>
      <c r="P69" s="60">
        <f t="shared" si="11"/>
        <v>0</v>
      </c>
      <c r="R69" s="61">
        <v>5</v>
      </c>
      <c r="T69" s="4"/>
      <c r="U69" s="4"/>
      <c r="V69" s="61">
        <f t="shared" si="12"/>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0"/>
        <v/>
      </c>
      <c r="Y70" s="15">
        <v>1</v>
      </c>
      <c r="Z70" s="61" t="s">
        <v>242</v>
      </c>
      <c r="AA70" s="60" t="str" cm="1">
        <f t="array" ref="AA70">IF(OR(Y70=0,Y70=""),"",IF(VLOOKUP(Z70,$AI$1:$AJ$58,2,FALSE)&gt;=Y70,INDEX(tblDisciplines[Name],MATCH(1,(tblDisciplines[Discipline]=Z70)*(tblDisciplines[Rank]=Y70),0)),""))</f>
        <v>Face in the Crowd</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0"/>
        <v>rifles</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0"/>
        <v/>
      </c>
      <c r="D72" s="19"/>
      <c r="E72" s="15" t="s">
        <v>49</v>
      </c>
      <c r="F72" s="19"/>
      <c r="G72" s="19"/>
      <c r="H72" s="19"/>
      <c r="I72" s="19"/>
      <c r="K72" s="4"/>
      <c r="L72" s="4"/>
      <c r="M72" s="60">
        <v>1</v>
      </c>
      <c r="N72" s="4"/>
      <c r="O72" s="61">
        <f>ROUNDDOWN(N72/5,0)</f>
        <v>0</v>
      </c>
      <c r="P72" s="60">
        <f>MIN(SUM(K72*-1,ROUNDDOWN(L72/5,0),M72,O72),R72)</f>
        <v>1</v>
      </c>
      <c r="R72" s="61">
        <v>2</v>
      </c>
      <c r="Y72" s="15">
        <v>3</v>
      </c>
      <c r="Z72" s="61" t="s">
        <v>242</v>
      </c>
      <c r="AA72" s="60" t="str" cm="1">
        <f t="array" ref="AA72">IF(OR(Y72=0,Y72=""),"",IF(VLOOKUP(Z72,$AI$1:$AJ$58,2,FALSE)&gt;=Y72,INDEX(tblDisciplines[Name],MATCH(1,(tblDisciplines[Discipline]=Z72)*(tblDisciplines[Rank]=Y72),0)),""))</f>
        <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0"/>
        <v/>
      </c>
      <c r="D73" s="19"/>
      <c r="E73" s="15" t="s">
        <v>1448</v>
      </c>
      <c r="F73" s="19"/>
      <c r="G73" s="19"/>
      <c r="H73" s="19"/>
      <c r="I73" s="19"/>
      <c r="K73" s="4"/>
      <c r="M73" s="60">
        <v>7</v>
      </c>
      <c r="N73" s="4"/>
      <c r="O73" s="61">
        <f>ROUNDDOWN(N73/2,0)</f>
        <v>0</v>
      </c>
      <c r="P73" s="60">
        <f>MIN(SUM(K73*-1,M73,O73),R73)</f>
        <v>7</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0"/>
        <v/>
      </c>
      <c r="D74" s="19"/>
      <c r="E74" s="15" t="s">
        <v>53</v>
      </c>
      <c r="F74" s="19"/>
      <c r="G74" s="19"/>
      <c r="H74" s="19"/>
      <c r="I74" s="19"/>
      <c r="K74" s="4"/>
      <c r="M74" s="60">
        <f>P28+P38</f>
        <v>5</v>
      </c>
      <c r="N74" s="4"/>
      <c r="O74" s="61">
        <f>N74</f>
        <v>0</v>
      </c>
      <c r="P74" s="60">
        <f>MIN(SUM(K74*-1,M74,O74),R74)</f>
        <v>5</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0"/>
        <v>swords</v>
      </c>
      <c r="D75" s="19"/>
      <c r="E75" s="15" t="s">
        <v>55</v>
      </c>
      <c r="F75" s="19"/>
      <c r="G75" s="19"/>
      <c r="H75" s="19"/>
      <c r="I75" s="19"/>
      <c r="P75" s="60">
        <f ca="1">VLOOKUP(VLOOKUP("Blood Potency",INDIRECT($AH$1),2,FALSE),tblBloodPotency[],2,FALSE)</f>
        <v>10</v>
      </c>
      <c r="Y75" s="15">
        <v>1</v>
      </c>
      <c r="Z75" s="61" t="s">
        <v>243</v>
      </c>
      <c r="AA75" s="60" t="str" cm="1">
        <f t="array" ref="AA75">IF(OR(Y75=0,Y75=""),"",IF(VLOOKUP(Z75,$AI$1:$AJ$58,2,FALSE)&gt;=Y75,INDEX(tblDisciplines[Name],MATCH(1,(tblDisciplines[Discipline]=Z75)*(tblDisciplines[Rank]=Y75),0)),""))</f>
        <v/>
      </c>
    </row>
    <row r="76" spans="1:32">
      <c r="A76" s="1" t="s">
        <v>75</v>
      </c>
      <c r="B76" t="str">
        <f t="shared" si="10"/>
        <v/>
      </c>
      <c r="Y76" s="15">
        <v>2</v>
      </c>
      <c r="Z76" s="61" t="s">
        <v>243</v>
      </c>
      <c r="AA76" s="60" t="str" cm="1">
        <f t="array" ref="AA76">IF(OR(Y76=0,Y76=""),"",IF(VLOOKUP(Z76,$AI$1:$AJ$58,2,FALSE)&gt;=Y76,INDEX(tblDisciplines[Name],MATCH(1,(tblDisciplines[Discipline]=Z76)*(tblDisciplines[Rank]=Y76),0)),""))</f>
        <v/>
      </c>
    </row>
    <row r="77" spans="1:32" ht="15.75" thickBot="1">
      <c r="A77" s="1" t="s">
        <v>76</v>
      </c>
      <c r="B77" t="str">
        <f t="shared" si="10"/>
        <v>motives</v>
      </c>
      <c r="D77" s="14" t="s">
        <v>1470</v>
      </c>
      <c r="E77" s="14"/>
      <c r="F77" s="14"/>
      <c r="G77" s="14"/>
      <c r="H77" s="14"/>
      <c r="I77" s="14"/>
      <c r="N77" s="60">
        <f>SUM(N79:N98,N101:N120,N206:N215,N132:N135,N138:N157,N160:N161)</f>
        <v>0</v>
      </c>
      <c r="Y77" s="15">
        <v>3</v>
      </c>
      <c r="Z77" s="61" t="s">
        <v>243</v>
      </c>
      <c r="AA77" s="60" t="str" cm="1">
        <f t="array" ref="AA77">IF(OR(Y77=0,Y77=""),"",IF(VLOOKUP(Z77,$AI$1:$AJ$58,2,FALSE)&gt;=Y77,INDEX(tblDisciplines[Name],MATCH(1,(tblDisciplines[Discipline]=Z77)*(tblDisciplines[Rank]=Y77),0)),""))</f>
        <v/>
      </c>
    </row>
    <row r="78" spans="1:32">
      <c r="A78" s="1" t="s">
        <v>77</v>
      </c>
      <c r="B78" t="str">
        <f t="shared" si="10"/>
        <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0"/>
        <v/>
      </c>
      <c r="D79" s="19"/>
      <c r="E79" s="15" t="s">
        <v>114</v>
      </c>
      <c r="F79" s="3" t="s">
        <v>1793</v>
      </c>
      <c r="G79" s="3" t="s">
        <v>40</v>
      </c>
      <c r="H79" s="67" t="str">
        <f>_xlfn.IFNA(IF(VLOOKUP(F79,tblMerits[],6,FALSE)=0,"None",VLOOKUP(F79,tblMerits[],6,FALSE)),"None")</f>
        <v>Dexterity 3, Specialisation (Brawl or Weaponry)</v>
      </c>
      <c r="I79" s="67"/>
      <c r="L79" s="4">
        <v>2</v>
      </c>
      <c r="M79" s="4"/>
      <c r="N79" s="4"/>
      <c r="O79" s="61">
        <f>N79</f>
        <v>0</v>
      </c>
      <c r="P79" s="60">
        <f t="shared" ref="P79:P98" si="14">MIN(SUM(L79,M79,O79),R79)</f>
        <v>2</v>
      </c>
      <c r="Q79" s="61">
        <f>_xlfn.IFNA(VLOOKUP($F79,tblMerits[],3,FALSE),"")</f>
        <v>2</v>
      </c>
      <c r="R79" s="61">
        <f>_xlfn.IFNA(VLOOKUP($F79,tblMerits[],4,FALSE),"")</f>
        <v>2</v>
      </c>
      <c r="Y79" s="15">
        <v>5</v>
      </c>
      <c r="Z79" s="61" t="s">
        <v>243</v>
      </c>
      <c r="AA79" s="60" t="str" cm="1">
        <f t="array" ref="AA79">IF(OR(Y79=0,Y79=""),"",IF(VLOOKUP(Z79,$AI$1:$AJ$58,2,FALSE)&gt;=Y79,INDEX(tblDisciplines[Name],MATCH(1,(tblDisciplines[Discipline]=Z79)*(tblDisciplines[Rank]=Y79),0)),""))</f>
        <v/>
      </c>
    </row>
    <row r="80" spans="1:32">
      <c r="A80" s="1" t="s">
        <v>79</v>
      </c>
      <c r="B80" t="str">
        <f t="shared" si="10"/>
        <v/>
      </c>
      <c r="D80" s="19"/>
      <c r="E80" s="15" t="s">
        <v>115</v>
      </c>
      <c r="F80" s="3" t="s">
        <v>1794</v>
      </c>
      <c r="G80" s="3"/>
      <c r="H80" s="67" t="str">
        <f>_xlfn.IFNA(IF(VLOOKUP(F80,tblMerits[],6,FALSE)=0,"None",VLOOKUP(F80,tblMerits[],6,FALSE)),"None")</f>
        <v>None</v>
      </c>
      <c r="I80" s="67"/>
      <c r="L80" s="4">
        <v>2</v>
      </c>
      <c r="M80" s="4"/>
      <c r="N80" s="4"/>
      <c r="O80" s="61">
        <f t="shared" ref="O80:O98" si="15">N80</f>
        <v>0</v>
      </c>
      <c r="P80" s="60">
        <f t="shared" si="14"/>
        <v>2</v>
      </c>
      <c r="Q80" s="61">
        <f>_xlfn.IFNA(VLOOKUP($F80,tblMerits[],3,FALSE),"")</f>
        <v>2</v>
      </c>
      <c r="R80" s="61">
        <f>_xlfn.IFNA(VLOOKUP($F80,tblMerits[],4,FALSE),"")</f>
        <v>2</v>
      </c>
      <c r="Y80" s="15">
        <f>P173</f>
        <v>0</v>
      </c>
      <c r="Z80" s="61" t="s">
        <v>244</v>
      </c>
      <c r="AA80" s="60" t="str" cm="1">
        <f t="array" ref="AA80">IF(OR(Y80=0,Y80=""),"",IF(VLOOKUP(Z80,$AI$1:$AJ$58,2,FALSE)&gt;=Y80,INDEX(tblDisciplines[Name],MATCH(1,(tblDisciplines[Discipline]=Z80)*(tblDisciplines[Rank]=Y80),0)),""))</f>
        <v/>
      </c>
    </row>
    <row r="81" spans="1:27">
      <c r="A81" s="1" t="s">
        <v>80</v>
      </c>
      <c r="B81" t="str">
        <f t="shared" si="10"/>
        <v/>
      </c>
      <c r="D81" s="19"/>
      <c r="E81" s="15" t="s">
        <v>116</v>
      </c>
      <c r="F81" s="3" t="s">
        <v>1680</v>
      </c>
      <c r="G81" s="3"/>
      <c r="H81" s="67" t="str">
        <f>_xlfn.IFNA(IF(VLOOKUP(F81,tblMerits[],6,FALSE)=0,"None",VLOOKUP(F81,tblMerits[],6,FALSE)),"None")</f>
        <v>Herd</v>
      </c>
      <c r="I81" s="67"/>
      <c r="L81" s="4">
        <v>2</v>
      </c>
      <c r="M81" s="4"/>
      <c r="N81" s="4"/>
      <c r="O81" s="61">
        <f t="shared" si="15"/>
        <v>0</v>
      </c>
      <c r="P81" s="60">
        <f t="shared" si="14"/>
        <v>2</v>
      </c>
      <c r="Q81" s="61">
        <f>_xlfn.IFNA(VLOOKUP($F81,tblMerits[],3,FALSE),"")</f>
        <v>1</v>
      </c>
      <c r="R81" s="61">
        <f>_xlfn.IFNA(VLOOKUP($F81,tblMerits[],4,FALSE),"")</f>
        <v>5</v>
      </c>
      <c r="Y81" s="15">
        <f>P174</f>
        <v>0</v>
      </c>
      <c r="Z81" s="61" t="s">
        <v>245</v>
      </c>
      <c r="AA81" s="60" t="str" cm="1">
        <f t="array" ref="AA81">IF(OR(Y81=0,Y81=""),"",IF(VLOOKUP(Z81,$AI$1:$AJ$58,2,FALSE)&gt;=Y81,INDEX(tblDisciplines[Name],MATCH(1,(tblDisciplines[Discipline]=Z81)*(tblDisciplines[Rank]=Y81),0)),""))</f>
        <v/>
      </c>
    </row>
    <row r="82" spans="1:27">
      <c r="A82" s="1" t="s">
        <v>81</v>
      </c>
      <c r="B82" t="str">
        <f t="shared" si="10"/>
        <v/>
      </c>
      <c r="D82" s="19"/>
      <c r="E82" s="15" t="s">
        <v>117</v>
      </c>
      <c r="F82" s="3"/>
      <c r="G82" s="3"/>
      <c r="H82" s="67" t="str">
        <f>_xlfn.IFNA(IF(VLOOKUP(F82,tblMerits[],6,FALSE)=0,"None",VLOOKUP(F82,tblMerits[],6,FALSE)),"None")</f>
        <v>None</v>
      </c>
      <c r="I82" s="67"/>
      <c r="L82" s="4"/>
      <c r="M82" s="4"/>
      <c r="N82" s="4"/>
      <c r="O82" s="61">
        <f t="shared" si="15"/>
        <v>0</v>
      </c>
      <c r="P82" s="60">
        <f t="shared" si="14"/>
        <v>0</v>
      </c>
      <c r="Q82" s="61" t="str">
        <f>_xlfn.IFNA(VLOOKUP($F82,tblMerits[],3,FALSE),"")</f>
        <v/>
      </c>
      <c r="R82" s="61" t="str">
        <f>_xlfn.IFNA(VLOOKUP($F82,tblMerits[],4,FALSE),"")</f>
        <v/>
      </c>
      <c r="Y82" s="61" t="s">
        <v>1472</v>
      </c>
      <c r="Z82" s="19"/>
      <c r="AA82" s="60" t="str">
        <f>IF(P177="","",F177)</f>
        <v/>
      </c>
    </row>
    <row r="83" spans="1:27">
      <c r="A83" s="1" t="s">
        <v>82</v>
      </c>
      <c r="B83" t="str">
        <f t="shared" si="10"/>
        <v/>
      </c>
      <c r="D83" s="19"/>
      <c r="E83" s="15" t="s">
        <v>118</v>
      </c>
      <c r="F83" s="3"/>
      <c r="G83" s="3"/>
      <c r="H83" s="67" t="str">
        <f>_xlfn.IFNA(IF(VLOOKUP(F83,tblMerits[],6,FALSE)=0,"None",VLOOKUP(F83,tblMerits[],6,FALSE)),"None")</f>
        <v>None</v>
      </c>
      <c r="I83" s="67"/>
      <c r="L83" s="4"/>
      <c r="M83" s="4"/>
      <c r="N83" s="4"/>
      <c r="O83" s="61">
        <f t="shared" si="15"/>
        <v>0</v>
      </c>
      <c r="P83" s="60">
        <f t="shared" si="14"/>
        <v>0</v>
      </c>
      <c r="Q83" s="61" t="str">
        <f>_xlfn.IFNA(VLOOKUP($F83,tblMerits[],3,FALSE),"")</f>
        <v/>
      </c>
      <c r="R83" s="61" t="str">
        <f>_xlfn.IFNA(VLOOKUP($F83,tblMerits[],4,FALSE),"")</f>
        <v/>
      </c>
      <c r="Y83" s="61" t="s">
        <v>1472</v>
      </c>
      <c r="Z83" s="19"/>
      <c r="AA83" s="60" t="str">
        <f>IF(P178="","",F178)</f>
        <v/>
      </c>
    </row>
    <row r="84" spans="1:27">
      <c r="A84" s="1" t="s">
        <v>83</v>
      </c>
      <c r="B84">
        <f>P124</f>
        <v>1</v>
      </c>
      <c r="D84" s="19"/>
      <c r="E84" s="15" t="s">
        <v>119</v>
      </c>
      <c r="F84" s="3"/>
      <c r="G84" s="3"/>
      <c r="H84" s="67" t="str">
        <f>_xlfn.IFNA(IF(VLOOKUP(F84,tblMerits[],6,FALSE)=0,"None",VLOOKUP(F84,tblMerits[],6,FALSE)),"None")</f>
        <v>None</v>
      </c>
      <c r="I84" s="67"/>
      <c r="L84" s="4"/>
      <c r="M84" s="4"/>
      <c r="N84" s="4"/>
      <c r="O84" s="61">
        <f t="shared" si="15"/>
        <v>0</v>
      </c>
      <c r="P84" s="60">
        <f t="shared" si="14"/>
        <v>0</v>
      </c>
      <c r="Q84" s="61" t="str">
        <f>_xlfn.IFNA(VLOOKUP($F84,tblMerits[],3,FALSE),"")</f>
        <v/>
      </c>
      <c r="R84" s="61" t="str">
        <f>_xlfn.IFNA(VLOOKUP($F84,tblMerits[],4,FALSE),"")</f>
        <v/>
      </c>
      <c r="Y84" s="61" t="s">
        <v>1472</v>
      </c>
      <c r="Z84" s="19"/>
      <c r="AA84" s="60" t="str">
        <f>IF(P179="","",F179)</f>
        <v/>
      </c>
    </row>
    <row r="85" spans="1:27">
      <c r="A85" s="1" t="s">
        <v>84</v>
      </c>
      <c r="B85">
        <f>P125</f>
        <v>1</v>
      </c>
      <c r="D85" s="19"/>
      <c r="E85" s="15" t="s">
        <v>120</v>
      </c>
      <c r="F85" s="3"/>
      <c r="G85" s="3"/>
      <c r="H85" s="67" t="str">
        <f>_xlfn.IFNA(IF(VLOOKUP(F85,tblMerits[],6,FALSE)=0,"None",VLOOKUP(F85,tblMerits[],6,FALSE)),"None")</f>
        <v>None</v>
      </c>
      <c r="I85" s="67"/>
      <c r="L85" s="4"/>
      <c r="M85" s="4"/>
      <c r="N85" s="4"/>
      <c r="O85" s="61">
        <f t="shared" si="15"/>
        <v>0</v>
      </c>
      <c r="P85" s="60">
        <f t="shared" si="14"/>
        <v>0</v>
      </c>
      <c r="Q85" s="61" t="str">
        <f>_xlfn.IFNA(VLOOKUP($F85,tblMerits[],3,FALSE),"")</f>
        <v/>
      </c>
      <c r="R85" s="61" t="str">
        <f>_xlfn.IFNA(VLOOKUP($F85,tblMerits[],4,FALSE),"")</f>
        <v/>
      </c>
      <c r="Y85" s="61" t="s">
        <v>1472</v>
      </c>
      <c r="Z85" s="19"/>
      <c r="AA85" s="60" t="str">
        <f>IF(P180="","",F180)</f>
        <v/>
      </c>
    </row>
    <row r="86" spans="1:27">
      <c r="A86" s="1" t="s">
        <v>85</v>
      </c>
      <c r="B86">
        <f>P126</f>
        <v>2</v>
      </c>
      <c r="D86" s="19"/>
      <c r="E86" s="15" t="s">
        <v>121</v>
      </c>
      <c r="F86" s="3"/>
      <c r="G86" s="3"/>
      <c r="H86" s="67" t="str">
        <f>_xlfn.IFNA(IF(VLOOKUP(F86,tblMerits[],6,FALSE)=0,"None",VLOOKUP(F86,tblMerits[],6,FALSE)),"None")</f>
        <v>None</v>
      </c>
      <c r="I86" s="67"/>
      <c r="L86" s="4"/>
      <c r="M86" s="4"/>
      <c r="N86" s="4"/>
      <c r="O86" s="61">
        <f t="shared" si="15"/>
        <v>0</v>
      </c>
      <c r="P86" s="60">
        <f t="shared" si="14"/>
        <v>0</v>
      </c>
      <c r="Q86" s="61" t="str">
        <f>_xlfn.IFNA(VLOOKUP($F86,tblMerits[],3,FALSE),"")</f>
        <v/>
      </c>
      <c r="R86" s="61" t="str">
        <f>_xlfn.IFNA(VLOOKUP($F86,tblMerits[],4,FALSE),"")</f>
        <v/>
      </c>
      <c r="Y86" s="61" t="s">
        <v>1472</v>
      </c>
      <c r="Z86" s="19"/>
      <c r="AA86" s="60" t="str">
        <f>IF(P181="","",F181)</f>
        <v/>
      </c>
    </row>
    <row r="87" spans="1:27">
      <c r="A87" s="1" t="s">
        <v>86</v>
      </c>
      <c r="B87" t="str">
        <f>IF(F126="","¬",F126)</f>
        <v>Lance</v>
      </c>
      <c r="D87" s="19"/>
      <c r="E87" s="15" t="s">
        <v>122</v>
      </c>
      <c r="F87" s="3"/>
      <c r="G87" s="3"/>
      <c r="H87" s="67" t="str">
        <f>_xlfn.IFNA(IF(VLOOKUP(F87,tblMerits[],6,FALSE)=0,"None",VLOOKUP(F87,tblMerits[],6,FALSE)),"None")</f>
        <v>None</v>
      </c>
      <c r="I87" s="67"/>
      <c r="L87" s="4"/>
      <c r="M87" s="4"/>
      <c r="N87" s="4"/>
      <c r="O87" s="61">
        <f t="shared" si="15"/>
        <v>0</v>
      </c>
      <c r="P87" s="60">
        <f t="shared" si="14"/>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
      </c>
    </row>
    <row r="88" spans="1:27">
      <c r="A88" s="1" t="s">
        <v>87</v>
      </c>
      <c r="B88" t="str">
        <f>REPT("●",P126)</f>
        <v>●●</v>
      </c>
      <c r="D88" s="19"/>
      <c r="E88" s="15" t="s">
        <v>123</v>
      </c>
      <c r="F88" s="3"/>
      <c r="G88" s="3"/>
      <c r="H88" s="67" t="str">
        <f>_xlfn.IFNA(IF(VLOOKUP(F88,tblMerits[],6,FALSE)=0,"None",VLOOKUP(F88,tblMerits[],6,FALSE)),"None")</f>
        <v>None</v>
      </c>
      <c r="I88" s="67"/>
      <c r="L88" s="4"/>
      <c r="M88" s="4"/>
      <c r="N88" s="4"/>
      <c r="O88" s="61">
        <f t="shared" si="15"/>
        <v>0</v>
      </c>
      <c r="P88" s="60">
        <f t="shared" si="14"/>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Carthian</v>
      </c>
      <c r="D89" s="19"/>
      <c r="E89" s="15" t="s">
        <v>124</v>
      </c>
      <c r="F89" s="3"/>
      <c r="G89" s="3"/>
      <c r="H89" s="67" t="str">
        <f>_xlfn.IFNA(IF(VLOOKUP(F89,tblMerits[],6,FALSE)=0,"None",VLOOKUP(F89,tblMerits[],6,FALSE)),"None")</f>
        <v>None</v>
      </c>
      <c r="I89" s="67"/>
      <c r="L89" s="4"/>
      <c r="M89" s="4"/>
      <c r="N89" s="4"/>
      <c r="O89" s="61">
        <f t="shared" si="15"/>
        <v>0</v>
      </c>
      <c r="P89" s="60">
        <f t="shared" si="14"/>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_xlfn.IFNA(IF(VLOOKUP(F90,tblMerits[],6,FALSE)=0,"None",VLOOKUP(F90,tblMerits[],6,FALSE)),"None")</f>
        <v>None</v>
      </c>
      <c r="I90" s="67"/>
      <c r="L90" s="4"/>
      <c r="M90" s="4"/>
      <c r="N90" s="4"/>
      <c r="O90" s="61">
        <f t="shared" si="15"/>
        <v>0</v>
      </c>
      <c r="P90" s="60">
        <f t="shared" si="14"/>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Crone</v>
      </c>
      <c r="D91" s="19"/>
      <c r="E91" s="15" t="s">
        <v>126</v>
      </c>
      <c r="F91" s="3"/>
      <c r="G91" s="3"/>
      <c r="H91" s="67" t="str">
        <f>_xlfn.IFNA(IF(VLOOKUP(F91,tblMerits[],6,FALSE)=0,"None",VLOOKUP(F91,tblMerits[],6,FALSE)),"None")</f>
        <v>None</v>
      </c>
      <c r="I91" s="67"/>
      <c r="L91" s="4"/>
      <c r="M91" s="4"/>
      <c r="N91" s="4"/>
      <c r="O91" s="61">
        <f t="shared" si="15"/>
        <v>0</v>
      </c>
      <c r="P91" s="60">
        <f t="shared" si="14"/>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5"/>
        <v>0</v>
      </c>
      <c r="P92" s="60">
        <f t="shared" si="14"/>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Invictus</v>
      </c>
      <c r="D93" s="19"/>
      <c r="E93" s="15" t="s">
        <v>128</v>
      </c>
      <c r="F93" s="3"/>
      <c r="G93" s="3"/>
      <c r="H93" s="67" t="str">
        <f>_xlfn.IFNA(IF(VLOOKUP(F93,tblMerits[],6,FALSE)=0,"None",VLOOKUP(F93,tblMerits[],6,FALSE)),"None")</f>
        <v>None</v>
      </c>
      <c r="I93" s="67"/>
      <c r="L93" s="4"/>
      <c r="M93" s="4"/>
      <c r="N93" s="4"/>
      <c r="O93" s="61">
        <f t="shared" si="15"/>
        <v>0</v>
      </c>
      <c r="P93" s="60">
        <f t="shared" si="14"/>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5"/>
        <v>0</v>
      </c>
      <c r="P94" s="60">
        <f t="shared" si="14"/>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5"/>
        <v>0</v>
      </c>
      <c r="P95" s="60">
        <f t="shared" si="14"/>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5"/>
        <v>0</v>
      </c>
      <c r="P96" s="60">
        <f t="shared" si="14"/>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5"/>
        <v>0</v>
      </c>
      <c r="P97" s="60">
        <f t="shared" si="14"/>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Divination 1</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5"/>
        <v>0</v>
      </c>
      <c r="P98" s="60">
        <f t="shared" si="14"/>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c r="G101" s="60" t="str">
        <f>IFERROR(VLOOKUP(F101,tblManoeuvre[],2,FALSE)&amp;" "&amp;VLOOKUP(F101,tblManoeuvre[],3,FALSE),"")</f>
        <v/>
      </c>
      <c r="H101" s="67" t="str">
        <f>IFERROR(IF(VLOOKUP(F101,tblManoeuvre[],8,FALSE)=0,"None",VLOOKUP(F101,tblManoeuvre[],8,FALSE)),"None")</f>
        <v>None</v>
      </c>
      <c r="I101" s="67"/>
      <c r="L101" s="4"/>
      <c r="M101" s="4"/>
      <c r="N101" s="4"/>
      <c r="O101" s="61">
        <f t="shared" ref="O101:O120" si="16">N101</f>
        <v>0</v>
      </c>
      <c r="P101" s="60">
        <f t="shared" ref="P101:P120" si="17">MIN(SUM(L101,M101,O101),R101)</f>
        <v>0</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
      </c>
      <c r="D102" s="19"/>
      <c r="E102" s="15" t="s">
        <v>1441</v>
      </c>
      <c r="F102" s="3"/>
      <c r="G102" s="60" t="str">
        <f>IFERROR(VLOOKUP(F102,tblManoeuvre[],2,FALSE)&amp;" "&amp;VLOOKUP(F102,tblManoeuvre[],3,FALSE),"")</f>
        <v/>
      </c>
      <c r="H102" s="67" t="str">
        <f>IFERROR(IF(VLOOKUP(F102,tblManoeuvre[],8,FALSE)=0,"None",VLOOKUP(F102,tblManoeuvre[],8,FALSE)),"None")</f>
        <v>None</v>
      </c>
      <c r="I102" s="67"/>
      <c r="L102" s="4"/>
      <c r="M102" s="4"/>
      <c r="N102" s="4"/>
      <c r="O102" s="61">
        <f t="shared" si="16"/>
        <v>0</v>
      </c>
      <c r="P102" s="60">
        <f t="shared" si="17"/>
        <v>0</v>
      </c>
      <c r="Q102" s="61">
        <v>1</v>
      </c>
      <c r="R102" s="61">
        <v>1</v>
      </c>
      <c r="Y102" s="15">
        <v>1</v>
      </c>
      <c r="Z102" s="61" t="s">
        <v>251</v>
      </c>
      <c r="AA102" s="60" t="str" cm="1">
        <f t="array" ref="AA102">IF(VLOOKUP(Z102,$AI$1:$AJ$58,2,FALSE)&gt;=Y102,INDEX(tblDisciplines[Name],MATCH(1,(tblDisciplines[Discipline]=Z102)*(tblDisciplines[Rank]=Y102),0)),"")</f>
        <v/>
      </c>
    </row>
    <row r="103" spans="1:27">
      <c r="A103" s="1" t="s">
        <v>102</v>
      </c>
      <c r="B103">
        <f>P73</f>
        <v>7</v>
      </c>
      <c r="D103" s="19"/>
      <c r="E103" s="15" t="s">
        <v>1443</v>
      </c>
      <c r="F103" s="3"/>
      <c r="G103" s="60" t="str">
        <f>IFERROR(VLOOKUP(F103,tblManoeuvre[],2,FALSE)&amp;" "&amp;VLOOKUP(F103,tblManoeuvre[],3,FALSE),"")</f>
        <v/>
      </c>
      <c r="H103" s="67" t="str">
        <f>IFERROR(IF(VLOOKUP(F103,tblManoeuvre[],8,FALSE)=0,"None",VLOOKUP(F103,tblManoeuvre[],8,FALSE)),"None")</f>
        <v>None</v>
      </c>
      <c r="I103" s="67"/>
      <c r="L103" s="4"/>
      <c r="M103" s="4"/>
      <c r="N103" s="4"/>
      <c r="O103" s="61">
        <f t="shared" si="16"/>
        <v>0</v>
      </c>
      <c r="P103" s="60">
        <f t="shared" si="17"/>
        <v>0</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c r="G104" s="60" t="str">
        <f>IFERROR(VLOOKUP(F104,tblManoeuvre[],2,FALSE)&amp;" "&amp;VLOOKUP(F104,tblManoeuvre[],3,FALSE),"")</f>
        <v/>
      </c>
      <c r="H104" s="67" t="str">
        <f>IFERROR(IF(VLOOKUP(F104,tblManoeuvre[],8,FALSE)=0,"None",VLOOKUP(F104,tblManoeuvre[],8,FALSE)),"None")</f>
        <v>None</v>
      </c>
      <c r="I104" s="67"/>
      <c r="L104" s="4"/>
      <c r="M104" s="4"/>
      <c r="N104" s="4"/>
      <c r="O104" s="61">
        <f t="shared" si="16"/>
        <v>0</v>
      </c>
      <c r="P104" s="60">
        <f t="shared" si="17"/>
        <v>0</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c r="G105" s="60" t="str">
        <f>IFERROR(VLOOKUP(F105,tblManoeuvre[],2,FALSE)&amp;" "&amp;VLOOKUP(F105,tblManoeuvre[],3,FALSE),"")</f>
        <v/>
      </c>
      <c r="H105" s="67" t="str">
        <f>IFERROR(IF(VLOOKUP(F105,tblManoeuvre[],8,FALSE)=0,"None",VLOOKUP(F105,tblManoeuvre[],8,FALSE)),"None")</f>
        <v>None</v>
      </c>
      <c r="I105" s="67"/>
      <c r="L105" s="4"/>
      <c r="M105" s="4"/>
      <c r="N105" s="4"/>
      <c r="O105" s="61">
        <f t="shared" si="16"/>
        <v>0</v>
      </c>
      <c r="P105" s="60">
        <f t="shared" si="17"/>
        <v>0</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IFERROR(VLOOKUP(F106,tblManoeuvre[],2,FALSE)&amp;" "&amp;VLOOKUP(F106,tblManoeuvre[],3,FALSE),"")</f>
        <v/>
      </c>
      <c r="H106" s="67" t="str">
        <f>IFERROR(IF(VLOOKUP(F106,tblManoeuvre[],8,FALSE)=0,"None",VLOOKUP(F106,tblManoeuvre[],8,FALSE)),"None")</f>
        <v>None</v>
      </c>
      <c r="I106" s="67"/>
      <c r="L106" s="4"/>
      <c r="M106" s="4"/>
      <c r="N106" s="4"/>
      <c r="O106" s="61">
        <f t="shared" si="16"/>
        <v>0</v>
      </c>
      <c r="P106" s="60">
        <f t="shared" si="17"/>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IFERROR(VLOOKUP(F107,tblManoeuvre[],2,FALSE)&amp;" "&amp;VLOOKUP(F107,tblManoeuvre[],3,FALSE),"")</f>
        <v/>
      </c>
      <c r="H107" s="67" t="str">
        <f>IFERROR(IF(VLOOKUP(F107,tblManoeuvre[],8,FALSE)=0,"None",VLOOKUP(F107,tblManoeuvre[],8,FALSE)),"None")</f>
        <v>None</v>
      </c>
      <c r="I107" s="67"/>
      <c r="L107" s="4"/>
      <c r="M107" s="4"/>
      <c r="N107" s="4"/>
      <c r="O107" s="61">
        <f t="shared" si="16"/>
        <v>0</v>
      </c>
      <c r="P107" s="60">
        <f t="shared" si="17"/>
        <v>0</v>
      </c>
      <c r="Q107" s="61">
        <v>1</v>
      </c>
      <c r="R107" s="61">
        <v>1</v>
      </c>
      <c r="Y107" s="15">
        <v>1</v>
      </c>
      <c r="Z107" s="61" t="s">
        <v>252</v>
      </c>
      <c r="AA107" s="60" t="str" cm="1">
        <f t="array" ref="AA107">IF(VLOOKUP(Z107,$AI$1:$AJ$58,2,FALSE)&gt;=Y107,INDEX(tblDisciplines[Name],MATCH(1,(tblDisciplines[Discipline]=Z107)*(tblDisciplines[Rank]=Y107),0)),"")</f>
        <v>Transmutation 1</v>
      </c>
    </row>
    <row r="108" spans="1:27">
      <c r="A108" s="1" t="s">
        <v>107</v>
      </c>
      <c r="B108" t="str">
        <f>IF($P$73&gt;=7,"●","○") &amp; IF(F226&lt;&gt;""," (" &amp; F226 &amp; ")","")</f>
        <v>●</v>
      </c>
      <c r="D108" s="19"/>
      <c r="E108" s="15" t="s">
        <v>1452</v>
      </c>
      <c r="F108" s="3"/>
      <c r="G108" s="60" t="str">
        <f>IFERROR(VLOOKUP(F108,tblManoeuvre[],2,FALSE)&amp;" "&amp;VLOOKUP(F108,tblManoeuvre[],3,FALSE),"")</f>
        <v/>
      </c>
      <c r="H108" s="67" t="str">
        <f>IFERROR(IF(VLOOKUP(F108,tblManoeuvre[],8,FALSE)=0,"None",VLOOKUP(F108,tblManoeuvre[],8,FALSE)),"None")</f>
        <v>None</v>
      </c>
      <c r="I108" s="67"/>
      <c r="L108" s="4"/>
      <c r="M108" s="4"/>
      <c r="N108" s="4"/>
      <c r="O108" s="61">
        <f t="shared" si="16"/>
        <v>0</v>
      </c>
      <c r="P108" s="60">
        <f t="shared" si="17"/>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 (Catholic Priest)</v>
      </c>
      <c r="D109" s="19"/>
      <c r="E109" s="15" t="s">
        <v>1454</v>
      </c>
      <c r="F109" s="3"/>
      <c r="G109" s="60" t="str">
        <f>IFERROR(VLOOKUP(F109,tblManoeuvre[],2,FALSE)&amp;" "&amp;VLOOKUP(F109,tblManoeuvre[],3,FALSE),"")</f>
        <v/>
      </c>
      <c r="H109" s="67" t="str">
        <f>IFERROR(IF(VLOOKUP(F109,tblManoeuvre[],8,FALSE)=0,"None",VLOOKUP(F109,tblManoeuvre[],8,FALSE)),"None")</f>
        <v>None</v>
      </c>
      <c r="I109" s="67"/>
      <c r="L109" s="4"/>
      <c r="M109" s="4"/>
      <c r="N109" s="4"/>
      <c r="O109" s="61">
        <f t="shared" si="16"/>
        <v>0</v>
      </c>
      <c r="P109" s="60">
        <f t="shared" si="17"/>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v>
      </c>
      <c r="D110" s="19"/>
      <c r="E110" s="15" t="s">
        <v>1455</v>
      </c>
      <c r="F110" s="3"/>
      <c r="G110" s="60" t="str">
        <f>IFERROR(VLOOKUP(F110,tblManoeuvre[],2,FALSE)&amp;" "&amp;VLOOKUP(F110,tblManoeuvre[],3,FALSE),"")</f>
        <v/>
      </c>
      <c r="H110" s="67" t="str">
        <f>IFERROR(IF(VLOOKUP(F110,tblManoeuvre[],8,FALSE)=0,"None",VLOOKUP(F110,tblManoeuvre[],8,FALSE)),"None")</f>
        <v>None</v>
      </c>
      <c r="I110" s="67"/>
      <c r="L110" s="4"/>
      <c r="M110" s="4"/>
      <c r="N110" s="4"/>
      <c r="O110" s="61">
        <f t="shared" si="16"/>
        <v>0</v>
      </c>
      <c r="P110" s="60">
        <f t="shared" si="17"/>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t="str">
        <f>IFERROR(VLOOKUP(F111,tblManoeuvre[],2,FALSE)&amp;" "&amp;VLOOKUP(F111,tblManoeuvre[],3,FALSE),"")</f>
        <v/>
      </c>
      <c r="H111" s="67" t="str">
        <f>IFERROR(IF(VLOOKUP(F111,tblManoeuvre[],8,FALSE)=0,"None",VLOOKUP(F111,tblManoeuvre[],8,FALSE)),"None")</f>
        <v>None</v>
      </c>
      <c r="I111" s="67"/>
      <c r="L111" s="4"/>
      <c r="M111" s="4"/>
      <c r="N111" s="4"/>
      <c r="O111" s="61">
        <f t="shared" si="16"/>
        <v>0</v>
      </c>
      <c r="P111" s="60">
        <f t="shared" si="17"/>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t="str">
        <f>IFERROR(VLOOKUP(F112,tblManoeuvre[],2,FALSE)&amp;" "&amp;VLOOKUP(F112,tblManoeuvre[],3,FALSE),"")</f>
        <v/>
      </c>
      <c r="H112" s="67" t="str">
        <f>IFERROR(IF(VLOOKUP(F112,tblManoeuvre[],8,FALSE)=0,"None",VLOOKUP(F112,tblManoeuvre[],8,FALSE)),"None")</f>
        <v>None</v>
      </c>
      <c r="I112" s="67"/>
      <c r="L112" s="4"/>
      <c r="M112" s="4"/>
      <c r="N112" s="4"/>
      <c r="O112" s="61">
        <f t="shared" si="16"/>
        <v>0</v>
      </c>
      <c r="P112" s="60">
        <f t="shared" si="17"/>
        <v>0</v>
      </c>
      <c r="Q112" s="61">
        <v>1</v>
      </c>
      <c r="R112" s="61">
        <v>1</v>
      </c>
      <c r="Y112" s="61" t="s">
        <v>1474</v>
      </c>
      <c r="Z112" s="61" t="str">
        <f t="shared" ref="Z112:Z121" si="18">G194</f>
        <v/>
      </c>
      <c r="AA112" s="60" t="str">
        <f t="shared" ref="AA112:AA121" si="19">IF(P194="","",F194)</f>
        <v/>
      </c>
    </row>
    <row r="113" spans="1:27">
      <c r="A113" s="1" t="s">
        <v>112</v>
      </c>
      <c r="B113" t="str">
        <f>IF($P$73&gt;=2,"●","○") &amp; IF(F231&lt;&gt;""," (" &amp; F231 &amp; ")","")</f>
        <v>●</v>
      </c>
      <c r="D113" s="19"/>
      <c r="E113" s="15" t="s">
        <v>1458</v>
      </c>
      <c r="F113" s="3"/>
      <c r="G113" s="60" t="str">
        <f>IFERROR(VLOOKUP(F113,tblManoeuvre[],2,FALSE)&amp;" "&amp;VLOOKUP(F113,tblManoeuvre[],3,FALSE),"")</f>
        <v/>
      </c>
      <c r="H113" s="67" t="str">
        <f>IFERROR(IF(VLOOKUP(F113,tblManoeuvre[],8,FALSE)=0,"None",VLOOKUP(F113,tblManoeuvre[],8,FALSE)),"None")</f>
        <v>None</v>
      </c>
      <c r="I113" s="67"/>
      <c r="L113" s="4"/>
      <c r="M113" s="4"/>
      <c r="N113" s="4"/>
      <c r="O113" s="61">
        <f t="shared" si="16"/>
        <v>0</v>
      </c>
      <c r="P113" s="60">
        <f t="shared" si="17"/>
        <v>0</v>
      </c>
      <c r="Q113" s="61">
        <v>1</v>
      </c>
      <c r="R113" s="61">
        <v>1</v>
      </c>
      <c r="Y113" s="61" t="s">
        <v>1474</v>
      </c>
      <c r="Z113" s="61" t="str">
        <f t="shared" si="18"/>
        <v/>
      </c>
      <c r="AA113" s="60" t="str">
        <f t="shared" si="19"/>
        <v/>
      </c>
    </row>
    <row r="114" spans="1:27">
      <c r="A114" s="1" t="s">
        <v>113</v>
      </c>
      <c r="B114" t="str">
        <f>IF($P$73&gt;=1,"●","○") &amp; IF(F232&lt;&gt;""," (" &amp; F232 &amp; ")","")</f>
        <v>●</v>
      </c>
      <c r="D114" s="19"/>
      <c r="E114" s="15" t="s">
        <v>1460</v>
      </c>
      <c r="F114" s="3"/>
      <c r="G114" s="60" t="str">
        <f>IFERROR(VLOOKUP(F114,tblManoeuvre[],2,FALSE)&amp;" "&amp;VLOOKUP(F114,tblManoeuvre[],3,FALSE),"")</f>
        <v/>
      </c>
      <c r="H114" s="67" t="str">
        <f>IFERROR(IF(VLOOKUP(F114,tblManoeuvre[],8,FALSE)=0,"None",VLOOKUP(F114,tblManoeuvre[],8,FALSE)),"None")</f>
        <v>None</v>
      </c>
      <c r="I114" s="67"/>
      <c r="L114" s="4"/>
      <c r="M114" s="4"/>
      <c r="N114" s="4"/>
      <c r="O114" s="61">
        <f t="shared" si="16"/>
        <v>0</v>
      </c>
      <c r="P114" s="60">
        <f t="shared" si="17"/>
        <v>0</v>
      </c>
      <c r="Q114" s="61">
        <v>1</v>
      </c>
      <c r="R114" s="61">
        <v>1</v>
      </c>
      <c r="Y114" s="61" t="s">
        <v>1474</v>
      </c>
      <c r="Z114" s="61" t="str">
        <f t="shared" si="18"/>
        <v/>
      </c>
      <c r="AA114" s="60" t="str">
        <f t="shared" si="19"/>
        <v/>
      </c>
    </row>
    <row r="115" spans="1:27">
      <c r="A115" s="1" t="s">
        <v>114</v>
      </c>
      <c r="B115" t="str">
        <f t="shared" ref="B115:B144" si="20">IF(AD2="","¬",AD2)</f>
        <v>Danger Sense ●●</v>
      </c>
      <c r="D115" s="19"/>
      <c r="E115" s="15" t="s">
        <v>1461</v>
      </c>
      <c r="F115" s="3"/>
      <c r="G115" s="60" t="str">
        <f>IFERROR(VLOOKUP(F115,tblManoeuvre[],2,FALSE)&amp;" "&amp;VLOOKUP(F115,tblManoeuvre[],3,FALSE),"")</f>
        <v/>
      </c>
      <c r="H115" s="67" t="str">
        <f>IFERROR(IF(VLOOKUP(F115,tblManoeuvre[],8,FALSE)=0,"None",VLOOKUP(F115,tblManoeuvre[],8,FALSE)),"None")</f>
        <v>None</v>
      </c>
      <c r="I115" s="67"/>
      <c r="L115" s="4"/>
      <c r="M115" s="4"/>
      <c r="N115" s="4"/>
      <c r="O115" s="61">
        <f t="shared" si="16"/>
        <v>0</v>
      </c>
      <c r="P115" s="60">
        <f t="shared" si="17"/>
        <v>0</v>
      </c>
      <c r="Q115" s="61">
        <v>1</v>
      </c>
      <c r="R115" s="61">
        <v>1</v>
      </c>
      <c r="Y115" s="61" t="s">
        <v>1474</v>
      </c>
      <c r="Z115" s="61" t="str">
        <f t="shared" si="18"/>
        <v/>
      </c>
      <c r="AA115" s="60" t="str">
        <f t="shared" si="19"/>
        <v/>
      </c>
    </row>
    <row r="116" spans="1:27">
      <c r="A116" s="1" t="s">
        <v>115</v>
      </c>
      <c r="B116" t="str">
        <f t="shared" si="20"/>
        <v>Fighting Finesse (Weaponry) ●●</v>
      </c>
      <c r="D116" s="19"/>
      <c r="E116" s="15" t="s">
        <v>1462</v>
      </c>
      <c r="F116" s="3"/>
      <c r="G116" s="60" t="str">
        <f>IFERROR(VLOOKUP(F116,tblManoeuvre[],2,FALSE)&amp;" "&amp;VLOOKUP(F116,tblManoeuvre[],3,FALSE),"")</f>
        <v/>
      </c>
      <c r="H116" s="67" t="str">
        <f>IFERROR(IF(VLOOKUP(F116,tblManoeuvre[],8,FALSE)=0,"None",VLOOKUP(F116,tblManoeuvre[],8,FALSE)),"None")</f>
        <v>None</v>
      </c>
      <c r="I116" s="67"/>
      <c r="L116" s="4"/>
      <c r="M116" s="4"/>
      <c r="N116" s="4"/>
      <c r="O116" s="61">
        <f t="shared" si="16"/>
        <v>0</v>
      </c>
      <c r="P116" s="60">
        <f t="shared" si="17"/>
        <v>0</v>
      </c>
      <c r="Q116" s="61">
        <v>1</v>
      </c>
      <c r="R116" s="61">
        <v>1</v>
      </c>
      <c r="Y116" s="61" t="s">
        <v>1474</v>
      </c>
      <c r="Z116" s="61" t="str">
        <f t="shared" si="18"/>
        <v/>
      </c>
      <c r="AA116" s="60" t="str">
        <f t="shared" si="19"/>
        <v/>
      </c>
    </row>
    <row r="117" spans="1:27">
      <c r="A117" s="1" t="s">
        <v>116</v>
      </c>
      <c r="B117" t="str">
        <f t="shared" si="20"/>
        <v>Flock ●●</v>
      </c>
      <c r="D117" s="19"/>
      <c r="E117" s="15" t="s">
        <v>1463</v>
      </c>
      <c r="F117" s="3"/>
      <c r="G117" s="60" t="str">
        <f>IFERROR(VLOOKUP(F117,tblManoeuvre[],2,FALSE)&amp;" "&amp;VLOOKUP(F117,tblManoeuvre[],3,FALSE),"")</f>
        <v/>
      </c>
      <c r="H117" s="67" t="str">
        <f>IFERROR(IF(VLOOKUP(F117,tblManoeuvre[],8,FALSE)=0,"None",VLOOKUP(F117,tblManoeuvre[],8,FALSE)),"None")</f>
        <v>None</v>
      </c>
      <c r="I117" s="67"/>
      <c r="L117" s="4"/>
      <c r="M117" s="4"/>
      <c r="N117" s="4"/>
      <c r="O117" s="61">
        <f t="shared" si="16"/>
        <v>0</v>
      </c>
      <c r="P117" s="60">
        <f t="shared" si="17"/>
        <v>0</v>
      </c>
      <c r="Q117" s="61">
        <v>1</v>
      </c>
      <c r="R117" s="61">
        <v>1</v>
      </c>
      <c r="Y117" s="61" t="s">
        <v>1474</v>
      </c>
      <c r="Z117" s="61" t="str">
        <f t="shared" si="18"/>
        <v/>
      </c>
      <c r="AA117" s="60" t="str">
        <f t="shared" si="19"/>
        <v/>
      </c>
    </row>
    <row r="118" spans="1:27">
      <c r="A118" s="1" t="s">
        <v>117</v>
      </c>
      <c r="B118" t="str">
        <f t="shared" si="20"/>
        <v>¬</v>
      </c>
      <c r="D118" s="19"/>
      <c r="E118" s="15" t="s">
        <v>1464</v>
      </c>
      <c r="F118" s="3"/>
      <c r="G118" s="60" t="str">
        <f>IFERROR(VLOOKUP(F118,tblManoeuvre[],2,FALSE)&amp;" "&amp;VLOOKUP(F118,tblManoeuvre[],3,FALSE),"")</f>
        <v/>
      </c>
      <c r="H118" s="67" t="str">
        <f>IFERROR(IF(VLOOKUP(F118,tblManoeuvre[],8,FALSE)=0,"None",VLOOKUP(F118,tblManoeuvre[],8,FALSE)),"None")</f>
        <v>None</v>
      </c>
      <c r="I118" s="67"/>
      <c r="L118" s="4"/>
      <c r="M118" s="4"/>
      <c r="N118" s="4"/>
      <c r="O118" s="61">
        <f t="shared" si="16"/>
        <v>0</v>
      </c>
      <c r="P118" s="60">
        <f t="shared" si="17"/>
        <v>0</v>
      </c>
      <c r="Q118" s="61">
        <v>1</v>
      </c>
      <c r="R118" s="61">
        <v>1</v>
      </c>
      <c r="Y118" s="61" t="s">
        <v>1474</v>
      </c>
      <c r="Z118" s="61" t="str">
        <f t="shared" si="18"/>
        <v/>
      </c>
      <c r="AA118" s="60" t="str">
        <f t="shared" si="19"/>
        <v/>
      </c>
    </row>
    <row r="119" spans="1:27">
      <c r="A119" s="1" t="s">
        <v>118</v>
      </c>
      <c r="B119" t="str">
        <f t="shared" si="20"/>
        <v>¬</v>
      </c>
      <c r="D119" s="19"/>
      <c r="E119" s="15" t="s">
        <v>1466</v>
      </c>
      <c r="F119" s="3"/>
      <c r="G119" s="60" t="str">
        <f>IFERROR(VLOOKUP(F119,tblManoeuvre[],2,FALSE)&amp;" "&amp;VLOOKUP(F119,tblManoeuvre[],3,FALSE),"")</f>
        <v/>
      </c>
      <c r="H119" s="67" t="str">
        <f>IFERROR(IF(VLOOKUP(F119,tblManoeuvre[],8,FALSE)=0,"None",VLOOKUP(F119,tblManoeuvre[],8,FALSE)),"None")</f>
        <v>None</v>
      </c>
      <c r="I119" s="67"/>
      <c r="L119" s="4"/>
      <c r="M119" s="4"/>
      <c r="N119" s="4"/>
      <c r="O119" s="61">
        <f t="shared" si="16"/>
        <v>0</v>
      </c>
      <c r="P119" s="60">
        <f t="shared" si="17"/>
        <v>0</v>
      </c>
      <c r="Q119" s="61">
        <v>1</v>
      </c>
      <c r="R119" s="61">
        <v>1</v>
      </c>
      <c r="Y119" s="61" t="s">
        <v>1474</v>
      </c>
      <c r="Z119" s="61" t="str">
        <f t="shared" si="18"/>
        <v/>
      </c>
      <c r="AA119" s="60" t="str">
        <f t="shared" si="19"/>
        <v/>
      </c>
    </row>
    <row r="120" spans="1:27">
      <c r="A120" s="1" t="s">
        <v>119</v>
      </c>
      <c r="B120" t="str">
        <f t="shared" si="20"/>
        <v>¬</v>
      </c>
      <c r="D120" s="19"/>
      <c r="E120" s="15" t="s">
        <v>1468</v>
      </c>
      <c r="F120" s="3"/>
      <c r="G120" s="60" t="str">
        <f>IFERROR(VLOOKUP(F120,tblManoeuvre[],2,FALSE)&amp;" "&amp;VLOOKUP(F120,tblManoeuvre[],3,FALSE),"")</f>
        <v/>
      </c>
      <c r="H120" s="67" t="str">
        <f>IFERROR(IF(VLOOKUP(F120,tblManoeuvre[],8,FALSE)=0,"None",VLOOKUP(F120,tblManoeuvre[],8,FALSE)),"None")</f>
        <v>None</v>
      </c>
      <c r="I120" s="67"/>
      <c r="L120" s="4"/>
      <c r="M120" s="4"/>
      <c r="N120" s="4"/>
      <c r="O120" s="61">
        <f t="shared" si="16"/>
        <v>0</v>
      </c>
      <c r="P120" s="60">
        <f t="shared" si="17"/>
        <v>0</v>
      </c>
      <c r="Q120" s="61">
        <v>1</v>
      </c>
      <c r="R120" s="61">
        <v>1</v>
      </c>
      <c r="Y120" s="61" t="s">
        <v>1474</v>
      </c>
      <c r="Z120" s="61" t="str">
        <f t="shared" si="18"/>
        <v/>
      </c>
      <c r="AA120" s="60" t="str">
        <f t="shared" si="19"/>
        <v/>
      </c>
    </row>
    <row r="121" spans="1:27">
      <c r="A121" s="1" t="s">
        <v>120</v>
      </c>
      <c r="B121" t="str">
        <f t="shared" si="20"/>
        <v>¬</v>
      </c>
      <c r="Y121" s="61" t="s">
        <v>1474</v>
      </c>
      <c r="Z121" s="61" t="str">
        <f t="shared" si="18"/>
        <v/>
      </c>
      <c r="AA121" s="60" t="str">
        <f t="shared" si="19"/>
        <v/>
      </c>
    </row>
    <row r="122" spans="1:27" ht="15.75" thickBot="1">
      <c r="A122" s="1" t="s">
        <v>121</v>
      </c>
      <c r="B122" t="str">
        <f t="shared" si="20"/>
        <v>¬</v>
      </c>
      <c r="D122" s="14" t="s">
        <v>1475</v>
      </c>
      <c r="E122" s="14"/>
      <c r="F122" s="14"/>
      <c r="G122" s="14"/>
      <c r="H122" s="14"/>
      <c r="I122" s="14"/>
    </row>
    <row r="123" spans="1:27">
      <c r="A123" s="1" t="s">
        <v>122</v>
      </c>
      <c r="B123" t="str">
        <f t="shared" si="20"/>
        <v>¬</v>
      </c>
      <c r="D123" s="16" t="s">
        <v>927</v>
      </c>
      <c r="E123" s="17"/>
      <c r="F123" s="17"/>
      <c r="G123" s="17"/>
      <c r="H123" s="17"/>
      <c r="I123" s="17"/>
      <c r="Y123" s="15" t="s">
        <v>1476</v>
      </c>
      <c r="Z123" s="19"/>
      <c r="AA123" s="61" t="str">
        <f t="shared" ref="AA123:AA132" si="21">_xlfn.LET(_xlpm.name,VLOOKUP(Y123,$E$2:$F$362,2,FALSE),_xlpm.paid,_xlfn.IFNA(VLOOKUP(_xlpm.name,$F$121:$Q$215,11,FALSE)&gt;=VLOOKUP(_xlpm.name,$F$121:$Q$215,12,FALSE),FALSE),IF(AND(_xlpm.name&lt;&gt;"",_xlpm.paid),_xlpm.name,""))</f>
        <v/>
      </c>
    </row>
    <row r="124" spans="1:27">
      <c r="A124" s="1" t="s">
        <v>123</v>
      </c>
      <c r="B124" t="str">
        <f t="shared" si="20"/>
        <v>¬</v>
      </c>
      <c r="D124" s="19"/>
      <c r="E124" s="15" t="s">
        <v>83</v>
      </c>
      <c r="F124" s="19"/>
      <c r="G124" s="19"/>
      <c r="H124" s="19"/>
      <c r="I124" s="19"/>
      <c r="L124" s="4">
        <v>1</v>
      </c>
      <c r="M124" s="61">
        <v>0</v>
      </c>
      <c r="P124" s="60">
        <f>MIN(L124+M124,R124)</f>
        <v>1</v>
      </c>
      <c r="R124" s="61">
        <v>10</v>
      </c>
      <c r="Y124" s="15" t="s">
        <v>1477</v>
      </c>
      <c r="Z124" s="19"/>
      <c r="AA124" s="61" t="str">
        <f t="shared" si="21"/>
        <v/>
      </c>
    </row>
    <row r="125" spans="1:27">
      <c r="A125" s="1" t="s">
        <v>124</v>
      </c>
      <c r="B125" t="str">
        <f t="shared" si="20"/>
        <v>¬</v>
      </c>
      <c r="D125" s="19"/>
      <c r="E125" s="15" t="str">
        <f>IF(F7="","Clan Status",F7&amp;" Status")</f>
        <v>Nosferatu Status</v>
      </c>
      <c r="F125" s="19"/>
      <c r="G125" s="19"/>
      <c r="H125" s="19"/>
      <c r="I125" s="19"/>
      <c r="L125" s="4">
        <v>1</v>
      </c>
      <c r="P125" s="60">
        <f>IF(L125="",0,MIN(L125,R125))</f>
        <v>1</v>
      </c>
      <c r="R125" s="61">
        <v>5</v>
      </c>
      <c r="Y125" s="15" t="s">
        <v>1478</v>
      </c>
      <c r="Z125" s="19"/>
      <c r="AA125" s="61" t="str">
        <f t="shared" si="21"/>
        <v/>
      </c>
    </row>
    <row r="126" spans="1:27">
      <c r="A126" s="1" t="s">
        <v>125</v>
      </c>
      <c r="B126" t="str">
        <f t="shared" si="20"/>
        <v>¬</v>
      </c>
      <c r="D126" s="19"/>
      <c r="E126" s="15" t="str">
        <f>IF(F9="","",F9&amp;" Status")</f>
        <v>Lancea et Sanctum Status</v>
      </c>
      <c r="F126" s="19" t="str">
        <f>IF(F9="","",VLOOKUP(F9,tblCovenantShortName[#Data],2,FALSE))</f>
        <v>Lance</v>
      </c>
      <c r="G126" s="19"/>
      <c r="H126" s="19"/>
      <c r="I126" s="19"/>
      <c r="L126" s="4">
        <v>2</v>
      </c>
      <c r="P126" s="60">
        <f>L126</f>
        <v>2</v>
      </c>
      <c r="R126" s="61">
        <f>5-SUM(L127:L129)</f>
        <v>5</v>
      </c>
      <c r="Y126" s="15" t="s">
        <v>1479</v>
      </c>
      <c r="Z126" s="19"/>
      <c r="AA126" s="61" t="str">
        <f t="shared" si="21"/>
        <v/>
      </c>
    </row>
    <row r="127" spans="1:27">
      <c r="A127" s="1" t="s">
        <v>126</v>
      </c>
      <c r="B127" t="str">
        <f t="shared" si="20"/>
        <v>¬</v>
      </c>
      <c r="D127" s="19"/>
      <c r="E127" s="15" t="str" cm="1">
        <f t="array" ref="E127">IF(F9="","",IFERROR(INDEX(Lists!$F$2:$F$5,SMALL(IF(Lists!$F$2:$F$5&lt;&gt;$F$9,ROW(Lists!$F$2:$F$5)-ROW(Lists!$F$2)+1),1))&amp;" Status",""))</f>
        <v>Carthian Movement Status</v>
      </c>
      <c r="F127" s="19" t="str" cm="1">
        <f t="array" ref="F127">IF(F9="","",IFERROR(VLOOKUP(INDEX(Lists!$F$2:$F$5,SMALL(IF(Lists!$F$2:$F$5&lt;&gt;$F$9,ROW(Lists!$F$2:$F$5)-ROW(Lists!$F$2)+1),1)),tblCovenantShortName[],2,FALSE),""))</f>
        <v>Carthian</v>
      </c>
      <c r="G127" s="19"/>
      <c r="H127" s="19"/>
      <c r="I127" s="19"/>
      <c r="L127" s="4"/>
      <c r="P127" s="60">
        <f>L127</f>
        <v>0</v>
      </c>
      <c r="R127" s="61">
        <f>MAX(0,MIN(P126-1,5-L126-L128-L129))</f>
        <v>1</v>
      </c>
      <c r="Y127" s="15" t="s">
        <v>1480</v>
      </c>
      <c r="Z127" s="19"/>
      <c r="AA127" s="61" t="str">
        <f t="shared" si="21"/>
        <v/>
      </c>
    </row>
    <row r="128" spans="1:27">
      <c r="A128" s="1" t="s">
        <v>127</v>
      </c>
      <c r="B128" t="str">
        <f t="shared" si="20"/>
        <v>¬</v>
      </c>
      <c r="D128" s="19"/>
      <c r="E128" s="15" t="str" cm="1">
        <f t="array" ref="E128">IF(F9="","",IFERROR(INDEX(Lists!$F$2:$F$5,SMALL(IF(Lists!$F$2:$F$5&lt;&gt;$F$9,ROW(Lists!$F$2:$F$5)-ROW(Lists!$F$2)+1),2))&amp;" Status",""))</f>
        <v>Circle of the Crone Status</v>
      </c>
      <c r="F128" s="19" t="str" cm="1">
        <f t="array" ref="F128">IF(F9="","",IFERROR(VLOOKUP(INDEX(Lists!$F$2:$F$5,SMALL(IF(Lists!$F$2:$F$5&lt;&gt;$F$9,ROW(Lists!$F$2:$F$5)-ROW(Lists!$F$2)+1),2)),tblCovenantShortName[],2,FALSE),""))</f>
        <v>Crone</v>
      </c>
      <c r="G128" s="19"/>
      <c r="H128" s="19"/>
      <c r="I128" s="19"/>
      <c r="L128" s="4"/>
      <c r="P128" s="60">
        <f>L128</f>
        <v>0</v>
      </c>
      <c r="R128" s="61">
        <f>MAX(0,MIN(P126-1,5-L126-L127-L129))</f>
        <v>1</v>
      </c>
      <c r="Y128" s="15" t="s">
        <v>1481</v>
      </c>
      <c r="Z128" s="19"/>
      <c r="AA128" s="61" t="str">
        <f t="shared" si="21"/>
        <v/>
      </c>
    </row>
    <row r="129" spans="1:32">
      <c r="A129" s="1" t="s">
        <v>128</v>
      </c>
      <c r="B129" t="str">
        <f t="shared" si="20"/>
        <v>¬</v>
      </c>
      <c r="D129" s="19"/>
      <c r="E129" s="15" t="str" cm="1">
        <f t="array" ref="E129">IF(F9="","",IFERROR(INDEX(Lists!$F$2:$F$5,SMALL(IF(Lists!$F$2:$F$5&lt;&gt;$F$9,ROW(Lists!$F$2:$F$5)-ROW(Lists!$F$2)+1),3))&amp;" Status",""))</f>
        <v>Invictus Status</v>
      </c>
      <c r="F129" s="19" t="str" cm="1">
        <f t="array" ref="F129">IF(F9="","",IFERROR(VLOOKUP(INDEX(Lists!$F$2:$F$5,SMALL(IF(Lists!$F$2:$F$5&lt;&gt;$F$9,ROW(Lists!$F$2:$F$5)-ROW(Lists!$F$2)+1),3)),tblCovenantShortName[],2,FALSE),""))</f>
        <v>Invictus</v>
      </c>
      <c r="G129" s="19"/>
      <c r="H129" s="19"/>
      <c r="I129" s="19"/>
      <c r="L129" s="4"/>
      <c r="P129" s="60">
        <f>L129</f>
        <v>0</v>
      </c>
      <c r="R129" s="61">
        <f>MAX(0,MIN(P126-1,5-L126-L127-L128))</f>
        <v>1</v>
      </c>
      <c r="Y129" s="15" t="s">
        <v>1482</v>
      </c>
      <c r="Z129" s="19"/>
      <c r="AA129" s="61" t="str">
        <f t="shared" si="21"/>
        <v/>
      </c>
    </row>
    <row r="130" spans="1:32">
      <c r="A130" s="1" t="s">
        <v>129</v>
      </c>
      <c r="B130" t="str">
        <f t="shared" si="20"/>
        <v>¬</v>
      </c>
      <c r="Y130" s="15" t="s">
        <v>1483</v>
      </c>
      <c r="Z130" s="19"/>
      <c r="AA130" s="61" t="str">
        <f t="shared" si="21"/>
        <v/>
      </c>
    </row>
    <row r="131" spans="1:32">
      <c r="A131" s="1" t="s">
        <v>130</v>
      </c>
      <c r="B131" t="str">
        <f t="shared" si="20"/>
        <v>¬</v>
      </c>
      <c r="D131" s="16" t="s">
        <v>1475</v>
      </c>
      <c r="E131" s="17"/>
      <c r="F131" s="16" t="s">
        <v>1446</v>
      </c>
      <c r="G131" s="17"/>
      <c r="H131" s="17"/>
      <c r="I131" s="17"/>
      <c r="Y131" s="15" t="s">
        <v>1484</v>
      </c>
      <c r="Z131" s="19"/>
      <c r="AA131" s="61" t="str">
        <f t="shared" si="21"/>
        <v/>
      </c>
    </row>
    <row r="132" spans="1:32">
      <c r="A132" s="1" t="s">
        <v>131</v>
      </c>
      <c r="B132" t="str">
        <f t="shared" si="20"/>
        <v>¬</v>
      </c>
      <c r="D132" s="19"/>
      <c r="E132" s="15" t="s">
        <v>94</v>
      </c>
      <c r="F132" s="3" t="s">
        <v>1795</v>
      </c>
      <c r="G132" s="19"/>
      <c r="H132" s="19"/>
      <c r="I132" s="19"/>
      <c r="L132" s="4">
        <v>1</v>
      </c>
      <c r="M132" s="4">
        <v>4</v>
      </c>
      <c r="N132" s="4"/>
      <c r="O132" s="61">
        <f>N132</f>
        <v>0</v>
      </c>
      <c r="P132" s="60">
        <f>MIN(SUM(L132,M132,O132),R132)</f>
        <v>5</v>
      </c>
      <c r="Q132" s="61">
        <f>_xlfn.IFNA(VLOOKUP($E132,tblDomain[],3,FALSE),"")</f>
        <v>1</v>
      </c>
      <c r="R132" s="61">
        <f>_xlfn.IFNA(VLOOKUP($E132,tblDomain[],4,FALSE),"")</f>
        <v>5</v>
      </c>
      <c r="Y132" s="15" t="s">
        <v>1485</v>
      </c>
      <c r="Z132" s="19"/>
      <c r="AA132" s="61" t="str">
        <f t="shared" si="21"/>
        <v/>
      </c>
    </row>
    <row r="133" spans="1:32">
      <c r="A133" s="1" t="s">
        <v>132</v>
      </c>
      <c r="B133" t="str">
        <f t="shared" si="20"/>
        <v>¬</v>
      </c>
      <c r="D133" s="19"/>
      <c r="E133" s="15" t="s">
        <v>95</v>
      </c>
      <c r="F133" s="3" t="s">
        <v>1795</v>
      </c>
      <c r="G133" s="19"/>
      <c r="H133" s="19"/>
      <c r="I133" s="19"/>
      <c r="L133" s="4">
        <v>1</v>
      </c>
      <c r="M133" s="4">
        <v>2</v>
      </c>
      <c r="N133" s="4"/>
      <c r="O133" s="61">
        <f>N133</f>
        <v>0</v>
      </c>
      <c r="P133" s="60">
        <f>MIN(SUM(L133,M133,O133),R133)</f>
        <v>3</v>
      </c>
      <c r="Q133" s="61">
        <f>_xlfn.IFNA(VLOOKUP($E133,tblDomain[],3,FALSE),"")</f>
        <v>1</v>
      </c>
      <c r="R133" s="61">
        <f>_xlfn.IFNA(VLOOKUP($E133,tblDomain[],4,FALSE),"")</f>
        <v>5</v>
      </c>
    </row>
    <row r="134" spans="1:32">
      <c r="A134" s="1" t="s">
        <v>133</v>
      </c>
      <c r="B134" t="str">
        <f t="shared" si="20"/>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2">_xlfn.LET(_xlpm.name,VLOOKUP(Y134,$E$2:$F$362,2,FALSE),_xlpm.note,VLOOKUP(Y134,$E$2:$G$362,3,FALSE),_xlpm.row,MATCH(Y134,$E$138:$E$157,0),_xlpm.dots,INDEX($P$138:$P$157,_xlpm.row),_xlpm.max,INDEX($Q$138:$Q$157,_xlpm.row),_xlpm.paid,_xlfn.IFNA(_xlpm.dots&gt;=_xlpm.max,FALSE),IF(AND(_xlpm.name&lt;&gt;"",_xlpm.paid),IF(_xlpm.note="",_xlpm.name,_xlpm.name&amp;" ("&amp;_xlpm.note&amp;")"),""))</f>
        <v/>
      </c>
      <c r="AC134" s="60" t="str" cm="1">
        <f t="array" ref="AC134">_xlfn.LET(_xlpm.raw,IFERROR(_xlfn.VSTACK(IFERROR(_xlfn._xlws.SORT(_xlfn._xlws.FILTER(AA134:AA211,AA134:AA211&lt;&gt;"")),""),IFERROR(_xlfn._xlws.SORT(_xlfn._xlws.FILTER(AA213:AA222,AA213:AA222&lt;&gt;"")),"")),""),_xlpm.sorted,IFERROR(_xlfn._xlws.FILTER(_xlpm.raw,_xlpm.raw&lt;&gt;""),""),IFERROR(LEFT(_xlpm.sorted,FIND(" (",_xlpm.sorted)-1),_xlpm.sorted))</f>
        <v/>
      </c>
      <c r="AD134" s="20" t="str" cm="1">
        <f t="array" ref="AD134">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
      </c>
      <c r="AE134" s="20" t="str">
        <f t="shared" ref="AE134:AE153" si="23">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
      </c>
      <c r="AF134" s="61" t="str" cm="1">
        <f t="array" ref="AF134">IF(AC134="","",SUMPRODUCT(($F$138:$F$157=AC134)*($G$138:$G$157=IF(AD134="","",AD134))*$P$138:$P$157))</f>
        <v/>
      </c>
    </row>
    <row r="135" spans="1:32">
      <c r="A135" s="1" t="s">
        <v>134</v>
      </c>
      <c r="B135" t="str">
        <f t="shared" si="20"/>
        <v>¬</v>
      </c>
      <c r="D135" s="19"/>
      <c r="E135" s="15" t="s">
        <v>97</v>
      </c>
      <c r="F135" s="19"/>
      <c r="G135" s="19"/>
      <c r="H135" s="19"/>
      <c r="I135" s="19"/>
      <c r="L135" s="4">
        <v>2</v>
      </c>
      <c r="M135" s="4"/>
      <c r="N135" s="4"/>
      <c r="O135" s="61">
        <f>N135</f>
        <v>0</v>
      </c>
      <c r="P135" s="60">
        <f>MIN(SUM(L135,M135,O135),R135)</f>
        <v>2</v>
      </c>
      <c r="Q135" s="61">
        <f>_xlfn.IFNA(VLOOKUP($E135,tblDomain[],3,FALSE),"")</f>
        <v>1</v>
      </c>
      <c r="R135" s="61">
        <f>_xlfn.IFNA(VLOOKUP($E135,tblDomain[],4,FALSE),"")</f>
        <v>5</v>
      </c>
      <c r="Y135" s="15" t="s">
        <v>177</v>
      </c>
      <c r="Z135" s="19"/>
      <c r="AA135" s="61" t="str">
        <f t="shared" si="22"/>
        <v/>
      </c>
      <c r="AC135" s="60"/>
      <c r="AD135" s="20"/>
      <c r="AE135" s="20" t="str">
        <f t="shared" si="23"/>
        <v/>
      </c>
      <c r="AF135" s="61" t="str" cm="1">
        <f t="array" ref="AF135">IF(AC135="","",SUMPRODUCT(($F$138:$F$157=AC135)*($G$138:$G$157=IF(AD135="","",AD135))*$P$138:$P$157))</f>
        <v/>
      </c>
    </row>
    <row r="136" spans="1:32">
      <c r="A136" s="1" t="s">
        <v>135</v>
      </c>
      <c r="B136" t="str">
        <f t="shared" si="20"/>
        <v>¬</v>
      </c>
      <c r="Y136" s="15" t="s">
        <v>178</v>
      </c>
      <c r="Z136" s="19"/>
      <c r="AA136" s="61" t="str">
        <f t="shared" si="22"/>
        <v/>
      </c>
      <c r="AC136" s="60"/>
      <c r="AD136" s="20"/>
      <c r="AE136" s="20" t="str">
        <f t="shared" si="23"/>
        <v/>
      </c>
      <c r="AF136" s="61" t="str" cm="1">
        <f t="array" ref="AF136">IF(AC136="","",SUMPRODUCT(($F$138:$F$157=AC136)*($G$138:$G$157=IF(AD136="","",AD136))*$P$138:$P$157))</f>
        <v/>
      </c>
    </row>
    <row r="137" spans="1:32">
      <c r="A137" s="1" t="s">
        <v>136</v>
      </c>
      <c r="B137" t="str">
        <f t="shared" si="20"/>
        <v>¬</v>
      </c>
      <c r="D137" s="16" t="s">
        <v>174</v>
      </c>
      <c r="E137" s="17"/>
      <c r="F137" s="17"/>
      <c r="G137" s="17"/>
      <c r="H137" s="61">
        <f>L225</f>
        <v>0</v>
      </c>
      <c r="I137" s="61">
        <f>SUM(AE134:AE155)+SUM(P125:P129)</f>
        <v>3</v>
      </c>
      <c r="Y137" s="15" t="s">
        <v>179</v>
      </c>
      <c r="Z137" s="19"/>
      <c r="AA137" s="61" t="str">
        <f t="shared" si="22"/>
        <v/>
      </c>
      <c r="AC137" s="60"/>
      <c r="AD137" s="20"/>
      <c r="AE137" s="20" t="str">
        <f t="shared" si="23"/>
        <v/>
      </c>
      <c r="AF137" s="61" t="str" cm="1">
        <f t="array" ref="AF137">IF(AC137="","",SUMPRODUCT(($F$138:$F$157=AC137)*($G$138:$G$157=IF(AD137="","",AD137))*$P$138:$P$157))</f>
        <v/>
      </c>
    </row>
    <row r="138" spans="1:32">
      <c r="A138" s="1" t="s">
        <v>137</v>
      </c>
      <c r="B138" t="str">
        <f t="shared" si="20"/>
        <v>¬</v>
      </c>
      <c r="D138" s="19"/>
      <c r="E138" s="15" t="s">
        <v>176</v>
      </c>
      <c r="F138" s="3"/>
      <c r="G138" s="3"/>
      <c r="H138" s="67" t="str">
        <f>IFERROR(IF(VLOOKUP(F138,tblManoeuvre[],8,FALSE)=0,"None",VLOOKUP(F138,tblManoeuvre[],8,FALSE)),"None")</f>
        <v>None</v>
      </c>
      <c r="I138" s="67"/>
      <c r="L138" s="4"/>
      <c r="M138" s="4"/>
      <c r="N138" s="4"/>
      <c r="O138" s="61">
        <f t="shared" ref="O138:O157" si="24">N138</f>
        <v>0</v>
      </c>
      <c r="P138" s="60">
        <f t="shared" ref="P138:P157" si="25">MIN(SUM(L138,M138,O138),R138)</f>
        <v>0</v>
      </c>
      <c r="Q138" s="61" t="str">
        <f>_xlfn.IFNA(VLOOKUP($F138,tblInfluence[],3,FALSE),"")</f>
        <v/>
      </c>
      <c r="R138" s="61" t="str">
        <f>_xlfn.IFNA(VLOOKUP($F138,tblInfluence[],4,FALSE),"")</f>
        <v/>
      </c>
      <c r="Y138" s="15" t="s">
        <v>180</v>
      </c>
      <c r="Z138" s="19"/>
      <c r="AA138" s="61" t="str">
        <f t="shared" si="22"/>
        <v/>
      </c>
      <c r="AC138" s="60"/>
      <c r="AD138" s="20"/>
      <c r="AE138" s="20" t="str">
        <f t="shared" si="23"/>
        <v/>
      </c>
      <c r="AF138" s="61" t="str" cm="1">
        <f t="array" ref="AF138">IF(AC138="","",SUMPRODUCT(($F$138:$F$157=AC138)*($G$138:$G$157=IF(AD138="","",AD138))*$P$138:$P$157))</f>
        <v/>
      </c>
    </row>
    <row r="139" spans="1:32">
      <c r="A139" s="1" t="s">
        <v>138</v>
      </c>
      <c r="B139" t="str">
        <f t="shared" si="20"/>
        <v>¬</v>
      </c>
      <c r="D139" s="19"/>
      <c r="E139" s="15" t="s">
        <v>177</v>
      </c>
      <c r="F139" s="3"/>
      <c r="G139" s="3"/>
      <c r="H139" s="67" t="str">
        <f>IFERROR(IF(VLOOKUP(F139,tblManoeuvre[],8,FALSE)=0,"None",VLOOKUP(F139,tblManoeuvre[],8,FALSE)),"None")</f>
        <v>None</v>
      </c>
      <c r="I139" s="67"/>
      <c r="L139" s="4"/>
      <c r="M139" s="4"/>
      <c r="N139" s="4"/>
      <c r="O139" s="61">
        <f t="shared" si="24"/>
        <v>0</v>
      </c>
      <c r="P139" s="60">
        <f t="shared" si="25"/>
        <v>0</v>
      </c>
      <c r="Q139" s="61" t="str">
        <f>_xlfn.IFNA(VLOOKUP($F139,tblInfluence[],3,FALSE),"")</f>
        <v/>
      </c>
      <c r="R139" s="61" t="str">
        <f>_xlfn.IFNA(VLOOKUP($F139,tblInfluence[],4,FALSE),"")</f>
        <v/>
      </c>
      <c r="Y139" s="15" t="s">
        <v>181</v>
      </c>
      <c r="Z139" s="19"/>
      <c r="AA139" s="61" t="str">
        <f t="shared" si="22"/>
        <v/>
      </c>
      <c r="AC139" s="60"/>
      <c r="AD139" s="20"/>
      <c r="AE139" s="20" t="str">
        <f t="shared" si="23"/>
        <v/>
      </c>
      <c r="AF139" s="61" t="str" cm="1">
        <f t="array" ref="AF139">IF(AC139="","",SUMPRODUCT(($F$138:$F$157=AC139)*($G$138:$G$157=IF(AD139="","",AD139))*$P$138:$P$157))</f>
        <v/>
      </c>
    </row>
    <row r="140" spans="1:32">
      <c r="A140" s="1" t="s">
        <v>139</v>
      </c>
      <c r="B140" t="str">
        <f t="shared" si="20"/>
        <v>¬</v>
      </c>
      <c r="D140" s="19"/>
      <c r="E140" s="15" t="s">
        <v>178</v>
      </c>
      <c r="F140" s="3"/>
      <c r="G140" s="3"/>
      <c r="H140" s="67" t="str">
        <f>IFERROR(IF(VLOOKUP(F140,tblManoeuvre[],8,FALSE)=0,"None",VLOOKUP(F140,tblManoeuvre[],8,FALSE)),"None")</f>
        <v>None</v>
      </c>
      <c r="I140" s="67"/>
      <c r="L140" s="4"/>
      <c r="M140" s="4"/>
      <c r="N140" s="4"/>
      <c r="O140" s="61">
        <f t="shared" si="24"/>
        <v>0</v>
      </c>
      <c r="P140" s="60">
        <f t="shared" si="25"/>
        <v>0</v>
      </c>
      <c r="Q140" s="61" t="str">
        <f>_xlfn.IFNA(VLOOKUP($F140,tblInfluence[],3,FALSE),"")</f>
        <v/>
      </c>
      <c r="R140" s="61" t="str">
        <f>_xlfn.IFNA(VLOOKUP($F140,tblInfluence[],4,FALSE),"")</f>
        <v/>
      </c>
      <c r="Y140" s="15" t="s">
        <v>182</v>
      </c>
      <c r="Z140" s="19"/>
      <c r="AA140" s="61" t="str">
        <f t="shared" si="22"/>
        <v/>
      </c>
      <c r="AC140" s="60"/>
      <c r="AD140" s="20"/>
      <c r="AE140" s="20" t="str">
        <f t="shared" si="23"/>
        <v/>
      </c>
      <c r="AF140" s="61" t="str" cm="1">
        <f t="array" ref="AF140">IF(AC140="","",SUMPRODUCT(($F$138:$F$157=AC140)*($G$138:$G$157=IF(AD140="","",AD140))*$P$138:$P$157))</f>
        <v/>
      </c>
    </row>
    <row r="141" spans="1:32">
      <c r="A141" s="1" t="s">
        <v>140</v>
      </c>
      <c r="B141" t="str">
        <f t="shared" si="20"/>
        <v>¬</v>
      </c>
      <c r="D141" s="19"/>
      <c r="E141" s="15" t="s">
        <v>179</v>
      </c>
      <c r="F141" s="3"/>
      <c r="G141" s="3"/>
      <c r="H141" s="67" t="str">
        <f>IFERROR(IF(VLOOKUP(F141,tblManoeuvre[],8,FALSE)=0,"None",VLOOKUP(F141,tblManoeuvre[],8,FALSE)),"None")</f>
        <v>None</v>
      </c>
      <c r="I141" s="67"/>
      <c r="L141" s="4"/>
      <c r="M141" s="4"/>
      <c r="N141" s="4"/>
      <c r="O141" s="61">
        <f t="shared" si="24"/>
        <v>0</v>
      </c>
      <c r="P141" s="60">
        <f t="shared" si="25"/>
        <v>0</v>
      </c>
      <c r="Q141" s="61" t="str">
        <f>_xlfn.IFNA(VLOOKUP($F141,tblInfluence[],3,FALSE),"")</f>
        <v/>
      </c>
      <c r="R141" s="61" t="str">
        <f>_xlfn.IFNA(VLOOKUP($F141,tblInfluence[],4,FALSE),"")</f>
        <v/>
      </c>
      <c r="Y141" s="15" t="s">
        <v>183</v>
      </c>
      <c r="Z141" s="19"/>
      <c r="AA141" s="61" t="str">
        <f t="shared" si="22"/>
        <v/>
      </c>
      <c r="AC141" s="60"/>
      <c r="AD141" s="20"/>
      <c r="AE141" s="20" t="str">
        <f t="shared" si="23"/>
        <v/>
      </c>
      <c r="AF141" s="61" t="str" cm="1">
        <f t="array" ref="AF141">IF(AC141="","",SUMPRODUCT(($F$138:$F$157=AC141)*($G$138:$G$157=IF(AD141="","",AD141))*$P$138:$P$157))</f>
        <v/>
      </c>
    </row>
    <row r="142" spans="1:32">
      <c r="A142" s="1" t="s">
        <v>141</v>
      </c>
      <c r="B142" t="str">
        <f t="shared" si="20"/>
        <v>¬</v>
      </c>
      <c r="D142" s="19"/>
      <c r="E142" s="15" t="s">
        <v>180</v>
      </c>
      <c r="F142" s="3"/>
      <c r="G142" s="3"/>
      <c r="H142" s="67" t="str">
        <f>IFERROR(IF(VLOOKUP(F142,tblManoeuvre[],8,FALSE)=0,"None",VLOOKUP(F142,tblManoeuvre[],8,FALSE)),"None")</f>
        <v>None</v>
      </c>
      <c r="I142" s="67"/>
      <c r="L142" s="4"/>
      <c r="M142" s="4"/>
      <c r="N142" s="4"/>
      <c r="O142" s="61">
        <f t="shared" si="24"/>
        <v>0</v>
      </c>
      <c r="P142" s="60">
        <f t="shared" si="25"/>
        <v>0</v>
      </c>
      <c r="Q142" s="61" t="str">
        <f>_xlfn.IFNA(VLOOKUP($F142,tblInfluence[],3,FALSE),"")</f>
        <v/>
      </c>
      <c r="R142" s="61" t="str">
        <f>_xlfn.IFNA(VLOOKUP($F142,tblInfluence[],4,FALSE),"")</f>
        <v/>
      </c>
      <c r="Y142" s="15" t="s">
        <v>184</v>
      </c>
      <c r="Z142" s="19"/>
      <c r="AA142" s="61" t="str">
        <f t="shared" si="22"/>
        <v/>
      </c>
      <c r="AC142" s="60"/>
      <c r="AD142" s="20"/>
      <c r="AE142" s="20" t="str">
        <f t="shared" si="23"/>
        <v/>
      </c>
      <c r="AF142" s="61" t="str" cm="1">
        <f t="array" ref="AF142">IF(AC142="","",SUMPRODUCT(($F$138:$F$157=AC142)*($G$138:$G$157=IF(AD142="","",AD142))*$P$138:$P$157))</f>
        <v/>
      </c>
    </row>
    <row r="143" spans="1:32">
      <c r="A143" s="1" t="s">
        <v>142</v>
      </c>
      <c r="B143" t="str">
        <f t="shared" si="20"/>
        <v>¬</v>
      </c>
      <c r="D143" s="19"/>
      <c r="E143" s="15" t="s">
        <v>181</v>
      </c>
      <c r="F143" s="3"/>
      <c r="G143" s="3" t="str">
        <f>IFERROR(VLOOKUP(F143,tblManoeuvre[],2,FALSE)&amp;" "&amp;VLOOKUP(F143,tblManoeuvre[],3,FALSE),"")</f>
        <v/>
      </c>
      <c r="H143" s="67" t="str">
        <f>IFERROR(IF(VLOOKUP(F143,tblManoeuvre[],8,FALSE)=0,"None",VLOOKUP(F143,tblManoeuvre[],8,FALSE)),"None")</f>
        <v>None</v>
      </c>
      <c r="I143" s="67"/>
      <c r="L143" s="4"/>
      <c r="M143" s="4"/>
      <c r="N143" s="4"/>
      <c r="O143" s="61">
        <f t="shared" si="24"/>
        <v>0</v>
      </c>
      <c r="P143" s="60">
        <f t="shared" si="25"/>
        <v>0</v>
      </c>
      <c r="Q143" s="61" t="str">
        <f>_xlfn.IFNA(VLOOKUP($F143,tblInfluence[],3,FALSE),"")</f>
        <v/>
      </c>
      <c r="R143" s="61" t="str">
        <f>_xlfn.IFNA(VLOOKUP($F143,tblInfluence[],4,FALSE),"")</f>
        <v/>
      </c>
      <c r="Y143" s="15" t="s">
        <v>185</v>
      </c>
      <c r="Z143" s="19"/>
      <c r="AA143" s="61" t="str">
        <f t="shared" si="22"/>
        <v/>
      </c>
      <c r="AC143" s="60"/>
      <c r="AD143" s="20"/>
      <c r="AE143" s="20" t="str">
        <f t="shared" si="23"/>
        <v/>
      </c>
      <c r="AF143" s="61" t="str" cm="1">
        <f t="array" ref="AF143">IF(AC143="","",SUMPRODUCT(($F$138:$F$157=AC143)*($G$138:$G$157=IF(AD143="","",AD143))*$P$138:$P$157))</f>
        <v/>
      </c>
    </row>
    <row r="144" spans="1:32">
      <c r="A144" s="1" t="s">
        <v>143</v>
      </c>
      <c r="B144" t="str">
        <f t="shared" si="20"/>
        <v>¬</v>
      </c>
      <c r="D144" s="19"/>
      <c r="E144" s="15" t="s">
        <v>182</v>
      </c>
      <c r="F144" s="3"/>
      <c r="G144" s="3"/>
      <c r="H144" s="67" t="str">
        <f>IFERROR(IF(VLOOKUP(F144,tblManoeuvre[],8,FALSE)=0,"None",VLOOKUP(F144,tblManoeuvre[],8,FALSE)),"None")</f>
        <v>None</v>
      </c>
      <c r="I144" s="67"/>
      <c r="L144" s="4"/>
      <c r="M144" s="4"/>
      <c r="N144" s="4"/>
      <c r="O144" s="61">
        <f t="shared" si="24"/>
        <v>0</v>
      </c>
      <c r="P144" s="60">
        <f t="shared" si="25"/>
        <v>0</v>
      </c>
      <c r="Q144" s="61" t="str">
        <f>_xlfn.IFNA(VLOOKUP($F144,tblInfluence[],3,FALSE),"")</f>
        <v/>
      </c>
      <c r="R144" s="61" t="str">
        <f>_xlfn.IFNA(VLOOKUP($F144,tblInfluence[],4,FALSE),"")</f>
        <v/>
      </c>
      <c r="Y144" s="15" t="s">
        <v>186</v>
      </c>
      <c r="Z144" s="19"/>
      <c r="AA144" s="61" t="str">
        <f t="shared" si="22"/>
        <v/>
      </c>
      <c r="AC144" s="60"/>
      <c r="AD144" s="20"/>
      <c r="AE144" s="20" t="str">
        <f t="shared" si="23"/>
        <v/>
      </c>
      <c r="AF144" s="61" t="str" cm="1">
        <f t="array" ref="AF144">IF(AC144="","",SUMPRODUCT(($F$138:$F$157=AC144)*($G$138:$G$157=IF(AD144="","",AD144))*$P$138:$P$157))</f>
        <v/>
      </c>
    </row>
    <row r="145" spans="1:32">
      <c r="A145" s="1" t="s">
        <v>144</v>
      </c>
      <c r="B145" t="str">
        <f t="shared" ref="B145:B174" si="26">IF(AF2="","¬",AF2)</f>
        <v>+2 bonus to detect an ambush.</v>
      </c>
      <c r="D145" s="19"/>
      <c r="E145" s="15" t="s">
        <v>183</v>
      </c>
      <c r="F145" s="3"/>
      <c r="G145" s="3" t="str">
        <f>IFERROR(VLOOKUP(F145,tblManoeuvre[],2,FALSE)&amp;" "&amp;VLOOKUP(F145,tblManoeuvre[],3,FALSE),"")</f>
        <v/>
      </c>
      <c r="H145" s="67" t="str">
        <f>IFERROR(IF(VLOOKUP(F145,tblManoeuvre[],8,FALSE)=0,"None",VLOOKUP(F145,tblManoeuvre[],8,FALSE)),"None")</f>
        <v>None</v>
      </c>
      <c r="I145" s="67"/>
      <c r="L145" s="4"/>
      <c r="M145" s="4"/>
      <c r="N145" s="4"/>
      <c r="O145" s="61">
        <f t="shared" si="24"/>
        <v>0</v>
      </c>
      <c r="P145" s="60">
        <f t="shared" si="25"/>
        <v>0</v>
      </c>
      <c r="Q145" s="61" t="str">
        <f>_xlfn.IFNA(VLOOKUP($F145,tblInfluence[],3,FALSE),"")</f>
        <v/>
      </c>
      <c r="R145" s="61" t="str">
        <f>_xlfn.IFNA(VLOOKUP($F145,tblInfluence[],4,FALSE),"")</f>
        <v/>
      </c>
      <c r="Y145" s="15" t="s">
        <v>187</v>
      </c>
      <c r="Z145" s="19"/>
      <c r="AA145" s="61" t="str">
        <f t="shared" si="22"/>
        <v/>
      </c>
      <c r="AC145" s="60"/>
      <c r="AD145" s="20"/>
      <c r="AE145" s="20" t="str">
        <f t="shared" si="23"/>
        <v/>
      </c>
      <c r="AF145" s="61" t="str" cm="1">
        <f t="array" ref="AF145">IF(AC145="","",SUMPRODUCT(($F$138:$F$157=AC145)*($G$138:$G$157=IF(AD145="","",AD145))*$P$138:$P$157))</f>
        <v/>
      </c>
    </row>
    <row r="146" spans="1:32">
      <c r="A146" s="1" t="s">
        <v>145</v>
      </c>
      <c r="B146" t="str">
        <f t="shared" si="26"/>
        <v>Substitute Dexterity for Strength with a chosen Brawl or Weaponry Specialty.</v>
      </c>
      <c r="D146" s="19"/>
      <c r="E146" s="15" t="s">
        <v>184</v>
      </c>
      <c r="F146" s="3"/>
      <c r="G146" s="3" t="str">
        <f>IFERROR(VLOOKUP(F146,tblManoeuvre[],2,FALSE)&amp;" "&amp;VLOOKUP(F146,tblManoeuvre[],3,FALSE),"")</f>
        <v/>
      </c>
      <c r="H146" s="67" t="str">
        <f>IFERROR(IF(VLOOKUP(F146,tblManoeuvre[],8,FALSE)=0,"None",VLOOKUP(F146,tblManoeuvre[],8,FALSE)),"None")</f>
        <v>None</v>
      </c>
      <c r="I146" s="67"/>
      <c r="L146" s="4"/>
      <c r="M146" s="4"/>
      <c r="N146" s="4"/>
      <c r="O146" s="61">
        <f t="shared" si="24"/>
        <v>0</v>
      </c>
      <c r="P146" s="60">
        <f t="shared" si="25"/>
        <v>0</v>
      </c>
      <c r="Q146" s="61" t="str">
        <f>_xlfn.IFNA(VLOOKUP($F146,tblInfluence[],3,FALSE),"")</f>
        <v/>
      </c>
      <c r="R146" s="61" t="str">
        <f>_xlfn.IFNA(VLOOKUP($F146,tblInfluence[],4,FALSE),"")</f>
        <v/>
      </c>
      <c r="Y146" s="15" t="s">
        <v>188</v>
      </c>
      <c r="Z146" s="19"/>
      <c r="AA146" s="61" t="str">
        <f t="shared" si="22"/>
        <v/>
      </c>
      <c r="AC146" s="60"/>
      <c r="AD146" s="20"/>
      <c r="AE146" s="20" t="str">
        <f t="shared" si="23"/>
        <v/>
      </c>
      <c r="AF146" s="61" t="str" cm="1">
        <f t="array" ref="AF146">IF(AC146="","",SUMPRODUCT(($F$138:$F$157=AC146)*($G$138:$G$157=IF(AD146="","",AD146))*$P$138:$P$157))</f>
        <v/>
      </c>
    </row>
    <row r="147" spans="1:32">
      <c r="A147" s="1" t="s">
        <v>146</v>
      </c>
      <c r="B147" t="str">
        <f t="shared" si="26"/>
        <v>Herd serves as Willpower source. Dots apply as additional Herd dots.</v>
      </c>
      <c r="D147" s="19"/>
      <c r="E147" s="15" t="s">
        <v>185</v>
      </c>
      <c r="F147" s="3"/>
      <c r="G147" s="3" t="str">
        <f>IFERROR(VLOOKUP(F147,tblManoeuvre[],2,FALSE)&amp;" "&amp;VLOOKUP(F147,tblManoeuvre[],3,FALSE),"")</f>
        <v/>
      </c>
      <c r="H147" s="67" t="str">
        <f>IFERROR(IF(VLOOKUP(F147,tblManoeuvre[],8,FALSE)=0,"None",VLOOKUP(F147,tblManoeuvre[],8,FALSE)),"None")</f>
        <v>None</v>
      </c>
      <c r="I147" s="67"/>
      <c r="L147" s="4"/>
      <c r="M147" s="4"/>
      <c r="N147" s="4"/>
      <c r="O147" s="61">
        <f t="shared" si="24"/>
        <v>0</v>
      </c>
      <c r="P147" s="60">
        <f t="shared" si="25"/>
        <v>0</v>
      </c>
      <c r="Q147" s="61" t="str">
        <f>_xlfn.IFNA(VLOOKUP($F147,tblInfluence[],3,FALSE),"")</f>
        <v/>
      </c>
      <c r="R147" s="61" t="str">
        <f>_xlfn.IFNA(VLOOKUP($F147,tblInfluence[],4,FALSE),"")</f>
        <v/>
      </c>
      <c r="Y147" s="15" t="s">
        <v>189</v>
      </c>
      <c r="Z147" s="19"/>
      <c r="AA147" s="61" t="str">
        <f t="shared" si="22"/>
        <v/>
      </c>
      <c r="AC147" s="60"/>
      <c r="AD147" s="20"/>
      <c r="AE147" s="20" t="str">
        <f t="shared" si="23"/>
        <v/>
      </c>
      <c r="AF147" s="61" t="str" cm="1">
        <f t="array" ref="AF147">IF(AC147="","",SUMPRODUCT(($F$138:$F$157=AC147)*($G$138:$G$157=IF(AD147="","",AD147))*$P$138:$P$157))</f>
        <v/>
      </c>
    </row>
    <row r="148" spans="1:32">
      <c r="A148" s="1" t="s">
        <v>147</v>
      </c>
      <c r="B148" t="str">
        <f t="shared" si="26"/>
        <v>¬</v>
      </c>
      <c r="D148" s="19"/>
      <c r="E148" s="15" t="s">
        <v>186</v>
      </c>
      <c r="F148" s="3"/>
      <c r="G148" s="3" t="str">
        <f>IFERROR(VLOOKUP(F148,tblManoeuvre[],2,FALSE)&amp;" "&amp;VLOOKUP(F148,tblManoeuvre[],3,FALSE),"")</f>
        <v/>
      </c>
      <c r="H148" s="67" t="str">
        <f>IFERROR(IF(VLOOKUP(F148,tblManoeuvre[],8,FALSE)=0,"None",VLOOKUP(F148,tblManoeuvre[],8,FALSE)),"None")</f>
        <v>None</v>
      </c>
      <c r="I148" s="67"/>
      <c r="L148" s="4"/>
      <c r="M148" s="4"/>
      <c r="N148" s="4"/>
      <c r="O148" s="61">
        <f t="shared" si="24"/>
        <v>0</v>
      </c>
      <c r="P148" s="60">
        <f t="shared" si="25"/>
        <v>0</v>
      </c>
      <c r="Q148" s="61" t="str">
        <f>_xlfn.IFNA(VLOOKUP($F148,tblInfluence[],3,FALSE),"")</f>
        <v/>
      </c>
      <c r="R148" s="61" t="str">
        <f>_xlfn.IFNA(VLOOKUP($F148,tblInfluence[],4,FALSE),"")</f>
        <v/>
      </c>
      <c r="Y148" s="15" t="s">
        <v>190</v>
      </c>
      <c r="Z148" s="19"/>
      <c r="AA148" s="61" t="str">
        <f t="shared" si="22"/>
        <v/>
      </c>
      <c r="AC148" s="60"/>
      <c r="AD148" s="20"/>
      <c r="AE148" s="20" t="str">
        <f t="shared" si="23"/>
        <v/>
      </c>
      <c r="AF148" s="61" t="str" cm="1">
        <f t="array" ref="AF148">IF(AC148="","",SUMPRODUCT(($F$138:$F$157=AC148)*($G$138:$G$157=IF(AD148="","",AD148))*$P$138:$P$157))</f>
        <v/>
      </c>
    </row>
    <row r="149" spans="1:32">
      <c r="A149" s="1" t="s">
        <v>148</v>
      </c>
      <c r="B149" t="str">
        <f t="shared" si="26"/>
        <v>¬</v>
      </c>
      <c r="D149" s="19"/>
      <c r="E149" s="15" t="s">
        <v>187</v>
      </c>
      <c r="F149" s="3"/>
      <c r="G149" s="3" t="str">
        <f>IFERROR(VLOOKUP(F149,tblManoeuvre[],2,FALSE)&amp;" "&amp;VLOOKUP(F149,tblManoeuvre[],3,FALSE),"")</f>
        <v/>
      </c>
      <c r="H149" s="67" t="str">
        <f>IFERROR(IF(VLOOKUP(F149,tblManoeuvre[],8,FALSE)=0,"None",VLOOKUP(F149,tblManoeuvre[],8,FALSE)),"None")</f>
        <v>None</v>
      </c>
      <c r="I149" s="67"/>
      <c r="L149" s="4"/>
      <c r="M149" s="4"/>
      <c r="N149" s="4"/>
      <c r="O149" s="61">
        <f t="shared" si="24"/>
        <v>0</v>
      </c>
      <c r="P149" s="60">
        <f t="shared" si="25"/>
        <v>0</v>
      </c>
      <c r="Q149" s="61" t="str">
        <f>_xlfn.IFNA(VLOOKUP($F149,tblInfluence[],3,FALSE),"")</f>
        <v/>
      </c>
      <c r="R149" s="61" t="str">
        <f>_xlfn.IFNA(VLOOKUP($F149,tblInfluence[],4,FALSE),"")</f>
        <v/>
      </c>
      <c r="Y149" s="15" t="s">
        <v>191</v>
      </c>
      <c r="Z149" s="19"/>
      <c r="AA149" s="61" t="str">
        <f t="shared" si="22"/>
        <v/>
      </c>
      <c r="AC149" s="60"/>
      <c r="AD149" s="20"/>
      <c r="AE149" s="20" t="str">
        <f t="shared" si="23"/>
        <v/>
      </c>
      <c r="AF149" s="61" t="str" cm="1">
        <f t="array" ref="AF149">IF(AC149="","",SUMPRODUCT(($F$138:$F$157=AC149)*($G$138:$G$157=IF(AD149="","",AD149))*$P$138:$P$157))</f>
        <v/>
      </c>
    </row>
    <row r="150" spans="1:32">
      <c r="A150" s="1" t="s">
        <v>149</v>
      </c>
      <c r="B150" t="str">
        <f t="shared" si="26"/>
        <v>¬</v>
      </c>
      <c r="D150" s="19"/>
      <c r="E150" s="15" t="s">
        <v>188</v>
      </c>
      <c r="F150" s="3"/>
      <c r="G150" s="3" t="str">
        <f>IFERROR(VLOOKUP(F150,tblManoeuvre[],2,FALSE)&amp;" "&amp;VLOOKUP(F150,tblManoeuvre[],3,FALSE),"")</f>
        <v/>
      </c>
      <c r="H150" s="67" t="str">
        <f>IFERROR(IF(VLOOKUP(F150,tblManoeuvre[],8,FALSE)=0,"None",VLOOKUP(F150,tblManoeuvre[],8,FALSE)),"None")</f>
        <v>None</v>
      </c>
      <c r="I150" s="67"/>
      <c r="L150" s="4"/>
      <c r="M150" s="4"/>
      <c r="N150" s="4"/>
      <c r="O150" s="61">
        <f t="shared" si="24"/>
        <v>0</v>
      </c>
      <c r="P150" s="60">
        <f t="shared" si="25"/>
        <v>0</v>
      </c>
      <c r="Q150" s="61" t="str">
        <f>_xlfn.IFNA(VLOOKUP($F150,tblInfluence[],3,FALSE),"")</f>
        <v/>
      </c>
      <c r="R150" s="61" t="str">
        <f>_xlfn.IFNA(VLOOKUP($F150,tblInfluence[],4,FALSE),"")</f>
        <v/>
      </c>
      <c r="Y150" s="15" t="s">
        <v>192</v>
      </c>
      <c r="Z150" s="19"/>
      <c r="AA150" s="61" t="str">
        <f t="shared" si="22"/>
        <v/>
      </c>
      <c r="AC150" s="60"/>
      <c r="AD150" s="20"/>
      <c r="AE150" s="20" t="str">
        <f t="shared" si="23"/>
        <v/>
      </c>
      <c r="AF150" s="61" t="str" cm="1">
        <f t="array" ref="AF150">IF(AC150="","",SUMPRODUCT(($F$138:$F$157=AC150)*($G$138:$G$157=IF(AD150="","",AD150))*$P$138:$P$157))</f>
        <v/>
      </c>
    </row>
    <row r="151" spans="1:32">
      <c r="A151" s="1" t="s">
        <v>150</v>
      </c>
      <c r="B151" t="str">
        <f t="shared" si="26"/>
        <v>¬</v>
      </c>
      <c r="D151" s="19"/>
      <c r="E151" s="15" t="s">
        <v>189</v>
      </c>
      <c r="F151" s="3"/>
      <c r="G151" s="3" t="str">
        <f>IFERROR(VLOOKUP(F151,tblManoeuvre[],2,FALSE)&amp;" "&amp;VLOOKUP(F151,tblManoeuvre[],3,FALSE),"")</f>
        <v/>
      </c>
      <c r="H151" s="67" t="str">
        <f>IFERROR(IF(VLOOKUP(F151,tblManoeuvre[],8,FALSE)=0,"None",VLOOKUP(F151,tblManoeuvre[],8,FALSE)),"None")</f>
        <v>None</v>
      </c>
      <c r="I151" s="67"/>
      <c r="L151" s="4"/>
      <c r="M151" s="4"/>
      <c r="N151" s="4"/>
      <c r="O151" s="61">
        <f t="shared" si="24"/>
        <v>0</v>
      </c>
      <c r="P151" s="60">
        <f t="shared" si="25"/>
        <v>0</v>
      </c>
      <c r="Q151" s="61" t="str">
        <f>_xlfn.IFNA(VLOOKUP($F151,tblInfluence[],3,FALSE),"")</f>
        <v/>
      </c>
      <c r="R151" s="61" t="str">
        <f>_xlfn.IFNA(VLOOKUP($F151,tblInfluence[],4,FALSE),"")</f>
        <v/>
      </c>
      <c r="Y151" s="15" t="s">
        <v>193</v>
      </c>
      <c r="Z151" s="19"/>
      <c r="AA151" s="61" t="str">
        <f t="shared" si="22"/>
        <v/>
      </c>
      <c r="AC151" s="60"/>
      <c r="AD151" s="20"/>
      <c r="AE151" s="20" t="str">
        <f t="shared" si="23"/>
        <v/>
      </c>
      <c r="AF151" s="61" t="str" cm="1">
        <f t="array" ref="AF151">IF(AC151="","",SUMPRODUCT(($F$138:$F$157=AC151)*($G$138:$G$157=IF(AD151="","",AD151))*$P$138:$P$157))</f>
        <v/>
      </c>
    </row>
    <row r="152" spans="1:32">
      <c r="A152" s="1" t="s">
        <v>151</v>
      </c>
      <c r="B152" t="str">
        <f t="shared" si="26"/>
        <v>¬</v>
      </c>
      <c r="D152" s="19"/>
      <c r="E152" s="15" t="s">
        <v>190</v>
      </c>
      <c r="F152" s="3"/>
      <c r="G152" s="3" t="str">
        <f>IFERROR(VLOOKUP(F152,tblManoeuvre[],2,FALSE)&amp;" "&amp;VLOOKUP(F152,tblManoeuvre[],3,FALSE),"")</f>
        <v/>
      </c>
      <c r="H152" s="67" t="str">
        <f>IFERROR(IF(VLOOKUP(F152,tblManoeuvre[],8,FALSE)=0,"None",VLOOKUP(F152,tblManoeuvre[],8,FALSE)),"None")</f>
        <v>None</v>
      </c>
      <c r="I152" s="67"/>
      <c r="L152" s="4"/>
      <c r="M152" s="4"/>
      <c r="N152" s="4"/>
      <c r="O152" s="61">
        <f t="shared" si="24"/>
        <v>0</v>
      </c>
      <c r="P152" s="60">
        <f t="shared" si="25"/>
        <v>0</v>
      </c>
      <c r="Q152" s="61" t="str">
        <f>_xlfn.IFNA(VLOOKUP($F152,tblInfluence[],3,FALSE),"")</f>
        <v/>
      </c>
      <c r="R152" s="61" t="str">
        <f>_xlfn.IFNA(VLOOKUP($F152,tblInfluence[],4,FALSE),"")</f>
        <v/>
      </c>
      <c r="Y152" s="15" t="s">
        <v>194</v>
      </c>
      <c r="Z152" s="19"/>
      <c r="AA152" s="61" t="str">
        <f t="shared" si="22"/>
        <v/>
      </c>
      <c r="AC152" s="60"/>
      <c r="AD152" s="20"/>
      <c r="AE152" s="20" t="str">
        <f t="shared" si="23"/>
        <v/>
      </c>
      <c r="AF152" s="61" t="str" cm="1">
        <f t="array" ref="AF152">IF(AC152="","",SUMPRODUCT(($F$138:$F$157=AC152)*($G$138:$G$157=IF(AD152="","",AD152))*$P$138:$P$157))</f>
        <v/>
      </c>
    </row>
    <row r="153" spans="1:32">
      <c r="A153" s="1" t="s">
        <v>152</v>
      </c>
      <c r="B153" t="str">
        <f t="shared" si="26"/>
        <v>¬</v>
      </c>
      <c r="D153" s="19"/>
      <c r="E153" s="15" t="s">
        <v>191</v>
      </c>
      <c r="F153" s="3"/>
      <c r="G153" s="3" t="str">
        <f>IFERROR(VLOOKUP(F153,tblManoeuvre[],2,FALSE)&amp;" "&amp;VLOOKUP(F153,tblManoeuvre[],3,FALSE),"")</f>
        <v/>
      </c>
      <c r="H153" s="67" t="str">
        <f>IFERROR(IF(VLOOKUP(F153,tblManoeuvre[],8,FALSE)=0,"None",VLOOKUP(F153,tblManoeuvre[],8,FALSE)),"None")</f>
        <v>None</v>
      </c>
      <c r="I153" s="67"/>
      <c r="L153" s="4"/>
      <c r="M153" s="4"/>
      <c r="N153" s="4"/>
      <c r="O153" s="61">
        <f t="shared" si="24"/>
        <v>0</v>
      </c>
      <c r="P153" s="60">
        <f t="shared" si="25"/>
        <v>0</v>
      </c>
      <c r="Q153" s="61" t="str">
        <f>_xlfn.IFNA(VLOOKUP($F153,tblInfluence[],3,FALSE),"")</f>
        <v/>
      </c>
      <c r="R153" s="61" t="str">
        <f>_xlfn.IFNA(VLOOKUP($F153,tblInfluence[],4,FALSE),"")</f>
        <v/>
      </c>
      <c r="Y153" s="15" t="s">
        <v>195</v>
      </c>
      <c r="Z153" s="19"/>
      <c r="AA153" s="61" t="str">
        <f t="shared" si="22"/>
        <v/>
      </c>
      <c r="AC153" s="60"/>
      <c r="AD153" s="20"/>
      <c r="AE153" s="20" t="str">
        <f t="shared" si="23"/>
        <v/>
      </c>
      <c r="AF153" s="61" t="str" cm="1">
        <f t="array" ref="AF153">IF(AC153="","",SUMPRODUCT(($F$138:$F$157=AC153)*($G$138:$G$157=IF(AD153="","",AD153))*$P$138:$P$157))</f>
        <v/>
      </c>
    </row>
    <row r="154" spans="1:32">
      <c r="A154" s="1" t="s">
        <v>153</v>
      </c>
      <c r="B154" t="str">
        <f t="shared" si="26"/>
        <v>¬</v>
      </c>
      <c r="D154" s="19"/>
      <c r="E154" s="15" t="s">
        <v>192</v>
      </c>
      <c r="F154" s="3"/>
      <c r="G154" s="3" t="str">
        <f>IFERROR(VLOOKUP(F154,tblManoeuvre[],2,FALSE)&amp;" "&amp;VLOOKUP(F154,tblManoeuvre[],3,FALSE),"")</f>
        <v/>
      </c>
      <c r="H154" s="67" t="str">
        <f>IFERROR(IF(VLOOKUP(F154,tblManoeuvre[],8,FALSE)=0,"None",VLOOKUP(F154,tblManoeuvre[],8,FALSE)),"None")</f>
        <v>None</v>
      </c>
      <c r="I154" s="67"/>
      <c r="L154" s="4"/>
      <c r="M154" s="4"/>
      <c r="N154" s="4"/>
      <c r="O154" s="61">
        <f t="shared" si="24"/>
        <v>0</v>
      </c>
      <c r="P154" s="60">
        <f t="shared" si="25"/>
        <v>0</v>
      </c>
      <c r="Q154" s="61" t="str">
        <f>_xlfn.IFNA(VLOOKUP($F154,tblInfluence[],3,FALSE),"")</f>
        <v/>
      </c>
      <c r="R154" s="61" t="str">
        <f>_xlfn.IFNA(VLOOKUP($F154,tblInfluence[],4,FALSE),"")</f>
        <v/>
      </c>
    </row>
    <row r="155" spans="1:32">
      <c r="A155" s="1" t="s">
        <v>154</v>
      </c>
      <c r="B155" t="str">
        <f t="shared" si="26"/>
        <v>¬</v>
      </c>
      <c r="D155" s="19"/>
      <c r="E155" s="15" t="s">
        <v>193</v>
      </c>
      <c r="F155" s="3"/>
      <c r="G155" s="3" t="str">
        <f>IFERROR(VLOOKUP(F155,tblManoeuvre[],2,FALSE)&amp;" "&amp;VLOOKUP(F155,tblManoeuvre[],3,FALSE),"")</f>
        <v/>
      </c>
      <c r="H155" s="67" t="str">
        <f>IFERROR(IF(VLOOKUP(F155,tblManoeuvre[],8,FALSE)=0,"None",VLOOKUP(F155,tblManoeuvre[],8,FALSE)),"None")</f>
        <v>None</v>
      </c>
      <c r="I155" s="67"/>
      <c r="L155" s="4"/>
      <c r="M155" s="4"/>
      <c r="N155" s="4"/>
      <c r="O155" s="61">
        <f t="shared" si="24"/>
        <v>0</v>
      </c>
      <c r="P155" s="60">
        <f t="shared" si="25"/>
        <v>0</v>
      </c>
      <c r="Q155" s="61" t="str">
        <f>_xlfn.IFNA(VLOOKUP($F155,tblInfluence[],3,FALSE),"")</f>
        <v/>
      </c>
      <c r="R155" s="61" t="str">
        <f>_xlfn.IFNA(VLOOKUP($F155,tblInfluence[],4,FALSE),"")</f>
        <v/>
      </c>
      <c r="AE155" s="61">
        <f>IF(P160=5,1,0)</f>
        <v>0</v>
      </c>
    </row>
    <row r="156" spans="1:32">
      <c r="A156" s="1" t="s">
        <v>155</v>
      </c>
      <c r="B156" t="str">
        <f t="shared" si="26"/>
        <v>¬</v>
      </c>
      <c r="D156" s="19"/>
      <c r="E156" s="15" t="s">
        <v>194</v>
      </c>
      <c r="F156" s="3"/>
      <c r="G156" s="3" t="str">
        <f>IFERROR(VLOOKUP(F156,tblManoeuvre[],2,FALSE)&amp;" "&amp;VLOOKUP(F156,tblManoeuvre[],3,FALSE),"")</f>
        <v/>
      </c>
      <c r="H156" s="67" t="str">
        <f>IFERROR(IF(VLOOKUP(F156,tblManoeuvre[],8,FALSE)=0,"None",VLOOKUP(F156,tblManoeuvre[],8,FALSE)),"None")</f>
        <v>None</v>
      </c>
      <c r="I156" s="67"/>
      <c r="L156" s="4"/>
      <c r="M156" s="4"/>
      <c r="N156" s="4"/>
      <c r="O156" s="61">
        <f t="shared" si="24"/>
        <v>0</v>
      </c>
      <c r="P156" s="60">
        <f t="shared" si="25"/>
        <v>0</v>
      </c>
      <c r="Q156" s="61" t="str">
        <f>_xlfn.IFNA(VLOOKUP($F156,tblInfluence[],3,FALSE),"")</f>
        <v/>
      </c>
      <c r="R156" s="61" t="str">
        <f>_xlfn.IFNA(VLOOKUP($F156,tblInfluence[],4,FALSE),"")</f>
        <v/>
      </c>
      <c r="AE156" s="61" t="b">
        <f>COUNTIF(AA2:AA21,"*Honey With Vinegar*")&gt;0</f>
        <v>0</v>
      </c>
    </row>
    <row r="157" spans="1:32">
      <c r="A157" s="1" t="s">
        <v>156</v>
      </c>
      <c r="B157" t="str">
        <f t="shared" si="26"/>
        <v>¬</v>
      </c>
      <c r="D157" s="19"/>
      <c r="E157" s="15" t="s">
        <v>195</v>
      </c>
      <c r="F157" s="3"/>
      <c r="G157" s="3" t="str">
        <f>IFERROR(VLOOKUP(F157,tblManoeuvre[],2,FALSE)&amp;" "&amp;VLOOKUP(F157,tblManoeuvre[],3,FALSE),"")</f>
        <v/>
      </c>
      <c r="H157" s="67" t="str">
        <f>IFERROR(IF(VLOOKUP(F157,tblManoeuvre[],8,FALSE)=0,"None",VLOOKUP(F157,tblManoeuvre[],8,FALSE)),"None")</f>
        <v>None</v>
      </c>
      <c r="I157" s="67"/>
      <c r="L157" s="4"/>
      <c r="M157" s="4"/>
      <c r="N157" s="4"/>
      <c r="O157" s="61">
        <f t="shared" si="24"/>
        <v>0</v>
      </c>
      <c r="P157" s="60">
        <f t="shared" si="25"/>
        <v>0</v>
      </c>
      <c r="Q157" s="61" t="str">
        <f>_xlfn.IFNA(VLOOKUP($F157,tblInfluence[],3,FALSE),"")</f>
        <v/>
      </c>
      <c r="R157" s="61" t="str">
        <f>_xlfn.IFNA(VLOOKUP($F157,tblInfluence[],4,FALSE),"")</f>
        <v/>
      </c>
    </row>
    <row r="158" spans="1:32">
      <c r="A158" s="1" t="s">
        <v>157</v>
      </c>
      <c r="B158" t="str">
        <f t="shared" si="26"/>
        <v>¬</v>
      </c>
    </row>
    <row r="159" spans="1:32">
      <c r="A159" s="1" t="s">
        <v>158</v>
      </c>
      <c r="B159" t="str">
        <f t="shared" si="26"/>
        <v>¬</v>
      </c>
      <c r="D159" s="16" t="s">
        <v>1486</v>
      </c>
      <c r="E159" s="17"/>
      <c r="F159" s="17" t="s">
        <v>1487</v>
      </c>
      <c r="G159" s="17"/>
      <c r="H159" s="17"/>
      <c r="I159" s="17"/>
    </row>
    <row r="160" spans="1:32">
      <c r="A160" s="1" t="s">
        <v>159</v>
      </c>
      <c r="B160" t="str">
        <f t="shared" si="26"/>
        <v>¬</v>
      </c>
      <c r="D160" s="19"/>
      <c r="E160" s="15" t="s">
        <v>98</v>
      </c>
      <c r="F160" s="3"/>
      <c r="G160" s="60"/>
      <c r="H160" s="60"/>
      <c r="I160" s="60"/>
      <c r="L160" s="4"/>
      <c r="M160" s="4"/>
      <c r="N160" s="4"/>
      <c r="O160" s="61">
        <f>N160</f>
        <v>0</v>
      </c>
      <c r="P160" s="60">
        <f>MIN(SUM(L160,M160,O160),R160)</f>
        <v>0</v>
      </c>
      <c r="Q160" s="61">
        <v>1</v>
      </c>
      <c r="R160" s="61">
        <v>5</v>
      </c>
    </row>
    <row r="161" spans="1:18">
      <c r="A161" s="1" t="s">
        <v>160</v>
      </c>
      <c r="B161" t="str">
        <f t="shared" si="26"/>
        <v>¬</v>
      </c>
      <c r="D161" s="19"/>
      <c r="E161" s="15" t="s">
        <v>100</v>
      </c>
      <c r="F161" s="3"/>
      <c r="G161" s="60"/>
      <c r="H161" s="60"/>
      <c r="I161" s="60"/>
      <c r="L161" s="4"/>
      <c r="M161" s="4"/>
      <c r="N161" s="4"/>
      <c r="O161" s="61">
        <f>N161</f>
        <v>0</v>
      </c>
      <c r="P161" s="60">
        <f>MIN(SUM(L161,M161,O161),R161)</f>
        <v>0</v>
      </c>
      <c r="Q161" s="61">
        <v>1</v>
      </c>
      <c r="R161" s="61">
        <v>5</v>
      </c>
    </row>
    <row r="162" spans="1:18">
      <c r="A162" s="1" t="s">
        <v>161</v>
      </c>
      <c r="B162" t="str">
        <f t="shared" si="26"/>
        <v>¬</v>
      </c>
    </row>
    <row r="163" spans="1:18" ht="15.75" thickBot="1">
      <c r="A163" s="1" t="s">
        <v>162</v>
      </c>
      <c r="B163" t="str">
        <f t="shared" si="26"/>
        <v>¬</v>
      </c>
      <c r="D163" s="14" t="s">
        <v>1488</v>
      </c>
      <c r="E163" s="14"/>
      <c r="F163" s="14"/>
      <c r="G163" s="14"/>
      <c r="H163" s="14"/>
      <c r="I163" s="14"/>
      <c r="N163" s="60">
        <f>SUM(N165:N174)+SUM(N177:N181)+SUM(N184:N185)+SUM(N187:N191)+SUM(N194:N203)</f>
        <v>12</v>
      </c>
    </row>
    <row r="164" spans="1:18">
      <c r="A164" s="1" t="s">
        <v>163</v>
      </c>
      <c r="B164" t="str">
        <f t="shared" si="26"/>
        <v>¬</v>
      </c>
      <c r="D164" s="16" t="s">
        <v>1489</v>
      </c>
      <c r="E164" s="15" t="s">
        <v>1490</v>
      </c>
      <c r="F164" s="61" t="str">
        <f>IFERROR(IF($F$8="",VLOOKUP($F$7,tblClans[],5,FALSE),VLOOKUP($F$8,tblBloodlines[],5,FALSE)),"")</f>
        <v>Nightmare</v>
      </c>
      <c r="G164" s="61" t="str">
        <f>IFERROR(IF($F$8="",VLOOKUP($F$7,tblClans[],6,FALSE),VLOOKUP($F$8,tblBloodlines[],6,FALSE)),"")</f>
        <v>Obfuscate</v>
      </c>
      <c r="H164" s="61" t="str">
        <f>IFERROR(IF($F$8="",VLOOKUP($F$7,tblClans[],7,FALSE),VLOOKUP($F$8,tblBloodlines[],7,FALSE)),"")</f>
        <v>Vigour</v>
      </c>
      <c r="I164" s="61" t="str">
        <f>IFERROR(IF($F$8="",VLOOKUP($F$7,tblClans[],8,FALSE),VLOOKUP($F$8,tblBloodlines[],8,FALSE)),"")</f>
        <v/>
      </c>
      <c r="L164" s="60">
        <f>3-SUM(L165:L174)-SUM(L184:L185)</f>
        <v>0</v>
      </c>
    </row>
    <row r="165" spans="1:18">
      <c r="A165" s="1" t="s">
        <v>164</v>
      </c>
      <c r="B165" t="str">
        <f t="shared" si="26"/>
        <v>¬</v>
      </c>
      <c r="D165" s="19"/>
      <c r="E165" s="15" t="s">
        <v>236</v>
      </c>
      <c r="F165" s="19"/>
      <c r="G165" s="19"/>
      <c r="H165" s="19"/>
      <c r="I165" s="19"/>
      <c r="L165" s="4"/>
      <c r="N165" s="4"/>
      <c r="O165" s="61">
        <f t="shared" ref="O165:O174" si="27">ROUNDDOWN(IF(COUNTIF($F$164:$I$164,$E165)&gt;0,N165/3,N165/4),0)</f>
        <v>0</v>
      </c>
      <c r="P165" s="60">
        <f>MIN(SUM(L165,O165),R165)</f>
        <v>0</v>
      </c>
      <c r="Q165" s="61">
        <v>0</v>
      </c>
      <c r="R165" s="61">
        <v>5</v>
      </c>
    </row>
    <row r="166" spans="1:18">
      <c r="A166" s="1" t="s">
        <v>165</v>
      </c>
      <c r="B166" t="str">
        <f t="shared" si="26"/>
        <v>¬</v>
      </c>
      <c r="D166" s="19"/>
      <c r="E166" s="15" t="s">
        <v>237</v>
      </c>
      <c r="F166" s="19"/>
      <c r="G166" s="19"/>
      <c r="H166" s="19"/>
      <c r="I166" s="19"/>
      <c r="L166" s="4"/>
      <c r="N166" s="4"/>
      <c r="O166" s="61">
        <f t="shared" si="27"/>
        <v>0</v>
      </c>
      <c r="P166" s="60">
        <f t="shared" ref="P166:P174" si="28">MIN(SUM(L166,O166),R166)</f>
        <v>0</v>
      </c>
      <c r="Q166" s="61">
        <v>0</v>
      </c>
      <c r="R166" s="61">
        <v>5</v>
      </c>
    </row>
    <row r="167" spans="1:18">
      <c r="A167" s="1" t="s">
        <v>166</v>
      </c>
      <c r="B167" t="str">
        <f t="shared" si="26"/>
        <v>¬</v>
      </c>
      <c r="D167" s="19"/>
      <c r="E167" s="15" t="s">
        <v>238</v>
      </c>
      <c r="F167" s="19"/>
      <c r="G167" s="19"/>
      <c r="H167" s="19"/>
      <c r="I167" s="19"/>
      <c r="L167" s="4"/>
      <c r="N167" s="4"/>
      <c r="O167" s="61">
        <f t="shared" si="27"/>
        <v>0</v>
      </c>
      <c r="P167" s="60">
        <f t="shared" si="28"/>
        <v>0</v>
      </c>
      <c r="Q167" s="61">
        <v>0</v>
      </c>
      <c r="R167" s="61">
        <v>5</v>
      </c>
    </row>
    <row r="168" spans="1:18">
      <c r="A168" s="1" t="s">
        <v>167</v>
      </c>
      <c r="B168" t="str">
        <f t="shared" si="26"/>
        <v>¬</v>
      </c>
      <c r="D168" s="19"/>
      <c r="E168" s="15" t="s">
        <v>239</v>
      </c>
      <c r="F168" s="19"/>
      <c r="G168" s="19"/>
      <c r="H168" s="19"/>
      <c r="I168" s="19"/>
      <c r="L168" s="4"/>
      <c r="N168" s="4"/>
      <c r="O168" s="61">
        <f t="shared" si="27"/>
        <v>0</v>
      </c>
      <c r="P168" s="60">
        <f t="shared" si="28"/>
        <v>0</v>
      </c>
      <c r="Q168" s="61">
        <v>0</v>
      </c>
      <c r="R168" s="61">
        <v>5</v>
      </c>
    </row>
    <row r="169" spans="1:18">
      <c r="A169" s="1" t="s">
        <v>168</v>
      </c>
      <c r="B169" t="str">
        <f t="shared" si="26"/>
        <v>¬</v>
      </c>
      <c r="D169" s="19"/>
      <c r="E169" s="15" t="s">
        <v>240</v>
      </c>
      <c r="F169" s="19"/>
      <c r="G169" s="19"/>
      <c r="H169" s="19"/>
      <c r="I169" s="19"/>
      <c r="L169" s="4"/>
      <c r="N169" s="4"/>
      <c r="O169" s="61">
        <f t="shared" si="27"/>
        <v>0</v>
      </c>
      <c r="P169" s="60">
        <f t="shared" si="28"/>
        <v>0</v>
      </c>
      <c r="Q169" s="61">
        <v>0</v>
      </c>
      <c r="R169" s="61">
        <v>5</v>
      </c>
    </row>
    <row r="170" spans="1:18">
      <c r="A170" s="1" t="s">
        <v>169</v>
      </c>
      <c r="B170" t="str">
        <f t="shared" si="26"/>
        <v>¬</v>
      </c>
      <c r="D170" s="19"/>
      <c r="E170" s="15" t="s">
        <v>241</v>
      </c>
      <c r="F170" s="19"/>
      <c r="G170" s="19"/>
      <c r="H170" s="19"/>
      <c r="I170" s="19"/>
      <c r="L170" s="4">
        <v>1</v>
      </c>
      <c r="N170" s="4"/>
      <c r="O170" s="61">
        <f t="shared" si="27"/>
        <v>0</v>
      </c>
      <c r="P170" s="60">
        <f t="shared" si="28"/>
        <v>1</v>
      </c>
      <c r="Q170" s="61">
        <v>0</v>
      </c>
      <c r="R170" s="61">
        <v>5</v>
      </c>
    </row>
    <row r="171" spans="1:18">
      <c r="A171" s="1" t="s">
        <v>170</v>
      </c>
      <c r="B171" t="str">
        <f t="shared" si="26"/>
        <v>¬</v>
      </c>
      <c r="D171" s="19"/>
      <c r="E171" s="15" t="s">
        <v>242</v>
      </c>
      <c r="F171" s="19"/>
      <c r="G171" s="19"/>
      <c r="H171" s="19"/>
      <c r="I171" s="19"/>
      <c r="L171" s="4">
        <v>1</v>
      </c>
      <c r="N171" s="4"/>
      <c r="O171" s="61">
        <f t="shared" si="27"/>
        <v>0</v>
      </c>
      <c r="P171" s="60">
        <f t="shared" si="28"/>
        <v>1</v>
      </c>
      <c r="Q171" s="61">
        <v>0</v>
      </c>
      <c r="R171" s="61">
        <v>5</v>
      </c>
    </row>
    <row r="172" spans="1:18">
      <c r="A172" s="1" t="s">
        <v>171</v>
      </c>
      <c r="B172" t="str">
        <f t="shared" si="26"/>
        <v>¬</v>
      </c>
      <c r="D172" s="19"/>
      <c r="E172" s="15" t="s">
        <v>243</v>
      </c>
      <c r="F172" s="19"/>
      <c r="G172" s="19"/>
      <c r="H172" s="19"/>
      <c r="I172" s="19"/>
      <c r="L172" s="4"/>
      <c r="N172" s="4"/>
      <c r="O172" s="61">
        <f t="shared" si="27"/>
        <v>0</v>
      </c>
      <c r="P172" s="60">
        <f t="shared" si="28"/>
        <v>0</v>
      </c>
      <c r="Q172" s="61">
        <v>0</v>
      </c>
      <c r="R172" s="61">
        <v>5</v>
      </c>
    </row>
    <row r="173" spans="1:18">
      <c r="A173" s="1" t="s">
        <v>172</v>
      </c>
      <c r="B173" t="str">
        <f t="shared" si="26"/>
        <v>¬</v>
      </c>
      <c r="D173" s="19"/>
      <c r="E173" s="15" t="s">
        <v>244</v>
      </c>
      <c r="F173" s="19"/>
      <c r="G173" s="19"/>
      <c r="H173" s="19"/>
      <c r="I173" s="19"/>
      <c r="L173" s="4"/>
      <c r="N173" s="4"/>
      <c r="O173" s="61">
        <f t="shared" si="27"/>
        <v>0</v>
      </c>
      <c r="P173" s="60">
        <f t="shared" si="28"/>
        <v>0</v>
      </c>
      <c r="Q173" s="61">
        <v>0</v>
      </c>
      <c r="R173" s="61">
        <v>5</v>
      </c>
    </row>
    <row r="174" spans="1:18">
      <c r="A174" s="1" t="s">
        <v>173</v>
      </c>
      <c r="B174" t="str">
        <f t="shared" si="26"/>
        <v>¬</v>
      </c>
      <c r="D174" s="19"/>
      <c r="E174" s="15" t="s">
        <v>245</v>
      </c>
      <c r="F174" s="19"/>
      <c r="G174" s="19"/>
      <c r="H174" s="19"/>
      <c r="I174" s="19"/>
      <c r="L174" s="4"/>
      <c r="N174" s="4"/>
      <c r="O174" s="61">
        <f t="shared" si="27"/>
        <v>0</v>
      </c>
      <c r="P174" s="60">
        <f t="shared" si="28"/>
        <v>0</v>
      </c>
      <c r="Q174" s="61">
        <v>0</v>
      </c>
      <c r="R174" s="61">
        <v>5</v>
      </c>
    </row>
    <row r="175" spans="1:18">
      <c r="A175" s="1" t="s">
        <v>174</v>
      </c>
      <c r="B175" t="str">
        <f>_xlfn.CONCAT(I137-H137," / ",I137)</f>
        <v>3 / 3</v>
      </c>
    </row>
    <row r="176" spans="1:18">
      <c r="A176" s="1" t="s">
        <v>175</v>
      </c>
      <c r="B176" t="str">
        <f>REPT("□",I137-H137) &amp; REPT("■",H137)</f>
        <v>□□□</v>
      </c>
      <c r="D176" s="16" t="s">
        <v>1491</v>
      </c>
      <c r="E176" s="16"/>
      <c r="F176" s="16"/>
      <c r="G176" s="16"/>
      <c r="H176" s="16"/>
      <c r="I176" s="16"/>
    </row>
    <row r="177" spans="1:18">
      <c r="A177" s="1" t="s">
        <v>176</v>
      </c>
      <c r="B177" t="str">
        <f t="shared" ref="B177:B196" si="29">IF(AC134="","¬",AC134)</f>
        <v>¬</v>
      </c>
      <c r="D177" s="19"/>
      <c r="E177" s="15" t="s">
        <v>1492</v>
      </c>
      <c r="F177" s="3"/>
      <c r="G177" s="19"/>
      <c r="H177" s="72" t="str">
        <f>IFERROR(IF(VLOOKUP(F177,tblDisciplines[],14,FALSE)=0,"None",VLOOKUP(F177,tblDisciplines[],14,FALSE)),"None")</f>
        <v>None</v>
      </c>
      <c r="I177" s="73"/>
      <c r="N177" s="4"/>
      <c r="O177" s="61">
        <f>N177</f>
        <v>0</v>
      </c>
      <c r="P177" s="60" t="str">
        <f>IF(O177=R177,O177,"")</f>
        <v/>
      </c>
      <c r="R177" s="61" t="str">
        <f>_xlfn.IFNA(VLOOKUP(F177,tblDisciplines[],15,FALSE),"")</f>
        <v/>
      </c>
    </row>
    <row r="178" spans="1:18">
      <c r="A178" s="1" t="s">
        <v>177</v>
      </c>
      <c r="B178" t="str">
        <f t="shared" si="29"/>
        <v>¬</v>
      </c>
      <c r="D178" s="19"/>
      <c r="E178" s="15" t="s">
        <v>1493</v>
      </c>
      <c r="F178" s="3"/>
      <c r="G178" s="19"/>
      <c r="H178" s="72" t="str">
        <f>IFERROR(IF(VLOOKUP(F178,tblDisciplines[],14,FALSE)=0,"None",VLOOKUP(F178,tblDisciplines[],14,FALSE)),"None")</f>
        <v>None</v>
      </c>
      <c r="I178" s="73"/>
      <c r="N178" s="4"/>
      <c r="O178" s="61">
        <f>N178</f>
        <v>0</v>
      </c>
      <c r="P178" s="60" t="str">
        <f>IF(O178=R178,O178,"")</f>
        <v/>
      </c>
      <c r="R178" s="61" t="str">
        <f>_xlfn.IFNA(VLOOKUP(F178,tblDisciplines[],15,FALSE),"")</f>
        <v/>
      </c>
    </row>
    <row r="179" spans="1:18">
      <c r="A179" s="1" t="s">
        <v>178</v>
      </c>
      <c r="B179" t="str">
        <f t="shared" si="29"/>
        <v>¬</v>
      </c>
      <c r="D179" s="19"/>
      <c r="E179" s="15" t="s">
        <v>1494</v>
      </c>
      <c r="F179" s="3"/>
      <c r="G179" s="19"/>
      <c r="H179" s="72" t="str">
        <f>IFERROR(IF(VLOOKUP(F179,tblDisciplines[],14,FALSE)=0,"None",VLOOKUP(F179,tblDisciplines[],14,FALSE)),"None")</f>
        <v>None</v>
      </c>
      <c r="I179" s="73"/>
      <c r="N179" s="4"/>
      <c r="O179" s="61">
        <f>N179</f>
        <v>0</v>
      </c>
      <c r="P179" s="60" t="str">
        <f>IF(O179=R179,O179,"")</f>
        <v/>
      </c>
      <c r="R179" s="61" t="str">
        <f>_xlfn.IFNA(VLOOKUP(F179,tblDisciplines[],15,FALSE),"")</f>
        <v/>
      </c>
    </row>
    <row r="180" spans="1:18">
      <c r="A180" s="1" t="s">
        <v>179</v>
      </c>
      <c r="B180" t="str">
        <f t="shared" si="29"/>
        <v>¬</v>
      </c>
      <c r="D180" s="19"/>
      <c r="E180" s="15" t="s">
        <v>1495</v>
      </c>
      <c r="F180" s="3"/>
      <c r="G180" s="19"/>
      <c r="H180" s="72" t="str">
        <f>IFERROR(IF(VLOOKUP(F180,tblDisciplines[],14,FALSE)=0,"None",VLOOKUP(F180,tblDisciplines[],14,FALSE)),"None")</f>
        <v>None</v>
      </c>
      <c r="I180" s="73"/>
      <c r="N180" s="4"/>
      <c r="O180" s="61">
        <f>N180</f>
        <v>0</v>
      </c>
      <c r="P180" s="60" t="str">
        <f>IF(O180=R180,O180,"")</f>
        <v/>
      </c>
      <c r="R180" s="61" t="str">
        <f>_xlfn.IFNA(VLOOKUP(F180,tblDisciplines[],15,FALSE),"")</f>
        <v/>
      </c>
    </row>
    <row r="181" spans="1:18">
      <c r="A181" s="1" t="s">
        <v>180</v>
      </c>
      <c r="B181" t="str">
        <f t="shared" si="29"/>
        <v>¬</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29"/>
        <v>¬</v>
      </c>
    </row>
    <row r="183" spans="1:18">
      <c r="A183" s="1" t="s">
        <v>182</v>
      </c>
      <c r="B183" t="str">
        <f t="shared" si="29"/>
        <v>¬</v>
      </c>
      <c r="D183" s="16" t="s">
        <v>1497</v>
      </c>
      <c r="E183" s="16"/>
      <c r="F183" s="16"/>
      <c r="G183" s="16"/>
      <c r="H183" s="16"/>
      <c r="I183" s="16"/>
    </row>
    <row r="184" spans="1:18">
      <c r="A184" s="1" t="s">
        <v>183</v>
      </c>
      <c r="B184" t="str">
        <f t="shared" si="29"/>
        <v>¬</v>
      </c>
      <c r="D184" s="19"/>
      <c r="E184" s="15" t="s">
        <v>246</v>
      </c>
      <c r="F184" s="19"/>
      <c r="G184" s="19"/>
      <c r="H184" s="19"/>
      <c r="I184" s="60" t="b">
        <f>IF(OR(F$9="Circle of the Crone",COUNTIF(F$79:F$93,"Chorister")&gt;0),TRUE,FALSE)</f>
        <v>0</v>
      </c>
      <c r="L184" s="4"/>
      <c r="N184" s="4"/>
      <c r="O184" s="61">
        <f>ROUNDDOWN(N184/4,0)</f>
        <v>0</v>
      </c>
      <c r="P184" s="60">
        <f>SUM(L184,O184)</f>
        <v>0</v>
      </c>
      <c r="Q184" s="61">
        <v>0</v>
      </c>
      <c r="R184" s="61">
        <v>5</v>
      </c>
    </row>
    <row r="185" spans="1:18">
      <c r="A185" s="1" t="s">
        <v>184</v>
      </c>
      <c r="B185" t="str">
        <f t="shared" si="29"/>
        <v>¬</v>
      </c>
      <c r="D185" s="19"/>
      <c r="E185" s="15" t="s">
        <v>247</v>
      </c>
      <c r="F185" s="19"/>
      <c r="G185" s="19"/>
      <c r="H185" s="19"/>
      <c r="I185" s="60" t="b">
        <f>IF(OR(F$9="Lancea et Sanctum",COUNTIF(F$79:F$93,"Laity")&gt;0),TRUE,FALSE)</f>
        <v>1</v>
      </c>
      <c r="L185" s="4">
        <v>1</v>
      </c>
      <c r="N185" s="4">
        <v>12</v>
      </c>
      <c r="O185" s="61">
        <f>ROUNDDOWN(N185/4,0)</f>
        <v>3</v>
      </c>
      <c r="P185" s="60">
        <f>SUM(L185,O185)</f>
        <v>4</v>
      </c>
      <c r="Q185" s="61">
        <v>0</v>
      </c>
      <c r="R185" s="61">
        <v>5</v>
      </c>
    </row>
    <row r="186" spans="1:18">
      <c r="A186" s="1" t="s">
        <v>185</v>
      </c>
      <c r="B186" t="str">
        <f t="shared" si="29"/>
        <v>¬</v>
      </c>
      <c r="D186" s="19"/>
      <c r="E186" s="19"/>
      <c r="F186" s="19"/>
      <c r="G186" s="19"/>
      <c r="H186" s="19"/>
      <c r="I186" s="19"/>
      <c r="L186" s="60">
        <f>SUM(P184:P185)-SUM(L187:L191)</f>
        <v>4</v>
      </c>
    </row>
    <row r="187" spans="1:18">
      <c r="A187" s="1" t="s">
        <v>186</v>
      </c>
      <c r="B187" t="str">
        <f t="shared" si="29"/>
        <v>¬</v>
      </c>
      <c r="D187" s="19"/>
      <c r="E187" s="15" t="s">
        <v>248</v>
      </c>
      <c r="F187" s="19"/>
      <c r="G187" s="19"/>
      <c r="H187" s="19"/>
      <c r="I187" s="19"/>
      <c r="L187" s="4"/>
      <c r="M187" s="61">
        <f>IF(AND(I184,L184&gt;=1),1,0)</f>
        <v>0</v>
      </c>
      <c r="N187" s="4"/>
      <c r="O187" s="61">
        <f>ROUNDDOWN(N187/2,0)</f>
        <v>0</v>
      </c>
      <c r="P187" s="60">
        <f>MIN(SUM(L187,M187,O187),R187)</f>
        <v>0</v>
      </c>
      <c r="Q187" s="61">
        <v>0</v>
      </c>
      <c r="R187" s="61">
        <f>MAX(P$184,P$185)</f>
        <v>4</v>
      </c>
    </row>
    <row r="188" spans="1:18">
      <c r="A188" s="1" t="s">
        <v>187</v>
      </c>
      <c r="B188" t="str">
        <f t="shared" si="29"/>
        <v>¬</v>
      </c>
      <c r="D188" s="19"/>
      <c r="E188" s="15" t="s">
        <v>249</v>
      </c>
      <c r="F188" s="19"/>
      <c r="G188" s="19"/>
      <c r="H188" s="19"/>
      <c r="I188" s="19"/>
      <c r="L188" s="4"/>
      <c r="M188" s="61"/>
      <c r="N188" s="4"/>
      <c r="O188" s="61">
        <f>ROUNDDOWN(N188/2,0)</f>
        <v>0</v>
      </c>
      <c r="P188" s="60">
        <f>MIN(SUM(L188,M188,O188),R188)</f>
        <v>0</v>
      </c>
      <c r="Q188" s="61">
        <v>0</v>
      </c>
      <c r="R188" s="61">
        <f>MAX(P$184,P$185)</f>
        <v>4</v>
      </c>
    </row>
    <row r="189" spans="1:18">
      <c r="A189" s="1" t="s">
        <v>188</v>
      </c>
      <c r="B189" t="str">
        <f t="shared" si="29"/>
        <v>¬</v>
      </c>
      <c r="D189" s="19"/>
      <c r="E189" s="15" t="s">
        <v>250</v>
      </c>
      <c r="F189" s="19"/>
      <c r="G189" s="19"/>
      <c r="H189" s="19"/>
      <c r="I189" s="19"/>
      <c r="L189" s="4"/>
      <c r="M189" s="61">
        <f>IF(AND(I185,L185&gt;=1),1,0)</f>
        <v>1</v>
      </c>
      <c r="N189" s="4"/>
      <c r="O189" s="61">
        <f>ROUNDDOWN(N189/2,0)</f>
        <v>0</v>
      </c>
      <c r="P189" s="60">
        <f>MIN(SUM(L189,M189,O189),R189)</f>
        <v>1</v>
      </c>
      <c r="Q189" s="61">
        <v>0</v>
      </c>
      <c r="R189" s="61">
        <f>MAX(P$184,P$185)</f>
        <v>4</v>
      </c>
    </row>
    <row r="190" spans="1:18">
      <c r="A190" s="1" t="s">
        <v>189</v>
      </c>
      <c r="B190" t="str">
        <f t="shared" si="29"/>
        <v>¬</v>
      </c>
      <c r="D190" s="19"/>
      <c r="E190" s="15" t="s">
        <v>251</v>
      </c>
      <c r="F190" s="19"/>
      <c r="G190" s="19"/>
      <c r="H190" s="19"/>
      <c r="I190" s="19"/>
      <c r="L190" s="4"/>
      <c r="M190" s="61">
        <f>IF(AND(I184,L184&gt;=1),1,0)</f>
        <v>0</v>
      </c>
      <c r="N190" s="4"/>
      <c r="O190" s="61">
        <f>ROUNDDOWN(N190/2,0)</f>
        <v>0</v>
      </c>
      <c r="P190" s="60">
        <f>MIN(SUM(L190,M190,O190),R190)</f>
        <v>0</v>
      </c>
      <c r="Q190" s="61">
        <v>0</v>
      </c>
      <c r="R190" s="61">
        <f>MAX(P$184,P$185)</f>
        <v>4</v>
      </c>
    </row>
    <row r="191" spans="1:18">
      <c r="A191" s="1" t="s">
        <v>190</v>
      </c>
      <c r="B191" t="str">
        <f t="shared" si="29"/>
        <v>¬</v>
      </c>
      <c r="D191" s="19"/>
      <c r="E191" s="15" t="s">
        <v>252</v>
      </c>
      <c r="F191" s="19"/>
      <c r="G191" s="19"/>
      <c r="H191" s="19"/>
      <c r="I191" s="19"/>
      <c r="L191" s="4"/>
      <c r="M191" s="61">
        <f>IF(AND(I185,L185&gt;=1),1,0)</f>
        <v>1</v>
      </c>
      <c r="N191" s="4"/>
      <c r="O191" s="61">
        <f>ROUNDDOWN(N191/2,0)</f>
        <v>0</v>
      </c>
      <c r="P191" s="60">
        <f>MIN(SUM(L191,M191,O191),R191)</f>
        <v>1</v>
      </c>
      <c r="Q191" s="61">
        <v>0</v>
      </c>
      <c r="R191" s="61">
        <f>MAX(P$184,P$185)</f>
        <v>4</v>
      </c>
    </row>
    <row r="192" spans="1:18">
      <c r="A192" s="1" t="s">
        <v>191</v>
      </c>
      <c r="B192" t="str">
        <f t="shared" si="29"/>
        <v>¬</v>
      </c>
    </row>
    <row r="193" spans="1:18">
      <c r="A193" s="1" t="s">
        <v>192</v>
      </c>
      <c r="B193" t="str">
        <f t="shared" si="29"/>
        <v>¬</v>
      </c>
      <c r="D193" s="16" t="s">
        <v>1474</v>
      </c>
      <c r="E193" s="16"/>
      <c r="F193" s="16"/>
      <c r="G193" s="16"/>
      <c r="H193" s="16"/>
      <c r="I193" s="16"/>
      <c r="L193" s="60">
        <f>SUM(P184:P185)+SUM(O187:O191)-SUM(L194:L203)</f>
        <v>4</v>
      </c>
    </row>
    <row r="194" spans="1:18">
      <c r="A194" s="1" t="s">
        <v>193</v>
      </c>
      <c r="B194" t="str">
        <f t="shared" si="29"/>
        <v>¬</v>
      </c>
      <c r="D194" s="19"/>
      <c r="E194" s="15" t="s">
        <v>1498</v>
      </c>
      <c r="F194" s="3"/>
      <c r="G194" s="61" t="str">
        <f>_xlfn.IFNA(VLOOKUP(F194,tblDisciplines[],2,FALSE),"")</f>
        <v/>
      </c>
      <c r="H194" s="19"/>
      <c r="I194" s="19"/>
      <c r="L194" s="4"/>
      <c r="N194" s="4"/>
      <c r="O194" s="61">
        <f>N194</f>
        <v>0</v>
      </c>
      <c r="P194" s="60" t="str">
        <f>IF(OR(L194=R194,O194=R194),R194,MIN(SUM(L194,O194),R194))</f>
        <v/>
      </c>
      <c r="R194" s="61" t="str">
        <f>_xlfn.IFNA(VLOOKUP(F194,tblDisciplines[],3,FALSE),"")</f>
        <v/>
      </c>
    </row>
    <row r="195" spans="1:18">
      <c r="A195" s="1" t="s">
        <v>194</v>
      </c>
      <c r="B195" t="str">
        <f t="shared" si="29"/>
        <v>¬</v>
      </c>
      <c r="D195" s="19"/>
      <c r="E195" s="15" t="s">
        <v>1499</v>
      </c>
      <c r="F195" s="3"/>
      <c r="G195" s="61" t="str">
        <f>_xlfn.IFNA(VLOOKUP(F195,tblDisciplines[],2,FALSE),"")</f>
        <v/>
      </c>
      <c r="H195" s="19"/>
      <c r="I195" s="19"/>
      <c r="L195" s="4"/>
      <c r="N195" s="4"/>
      <c r="O195" s="61">
        <f t="shared" ref="O195:O203" si="30">N195</f>
        <v>0</v>
      </c>
      <c r="P195" s="60" t="str">
        <f t="shared" ref="P195:P203" si="31">IF(OR(L195=R195,O195=R195),R195,MIN(SUM(L195,O195),R195))</f>
        <v/>
      </c>
      <c r="R195" s="61" t="str">
        <f>_xlfn.IFNA(VLOOKUP(F195,tblDisciplines[],3,FALSE),"")</f>
        <v/>
      </c>
    </row>
    <row r="196" spans="1:18">
      <c r="A196" s="1" t="s">
        <v>195</v>
      </c>
      <c r="B196" t="str">
        <f t="shared" si="29"/>
        <v>¬</v>
      </c>
      <c r="D196" s="19"/>
      <c r="E196" s="15" t="s">
        <v>1500</v>
      </c>
      <c r="F196" s="3"/>
      <c r="G196" s="61" t="str">
        <f>_xlfn.IFNA(VLOOKUP(F196,tblDisciplines[],2,FALSE),"")</f>
        <v/>
      </c>
      <c r="H196" s="19"/>
      <c r="I196" s="19"/>
      <c r="L196" s="4"/>
      <c r="N196" s="4"/>
      <c r="O196" s="61">
        <f t="shared" si="30"/>
        <v>0</v>
      </c>
      <c r="P196" s="60" t="str">
        <f t="shared" si="31"/>
        <v/>
      </c>
      <c r="R196" s="61" t="str">
        <f>_xlfn.IFNA(VLOOKUP(F196,tblDisciplines[],3,FALSE),"")</f>
        <v/>
      </c>
    </row>
    <row r="197" spans="1:18">
      <c r="A197" s="1" t="s">
        <v>196</v>
      </c>
      <c r="B197" t="str">
        <f>IF(AD134="","¬",AD134)</f>
        <v>¬</v>
      </c>
      <c r="D197" s="19"/>
      <c r="E197" s="15" t="s">
        <v>1501</v>
      </c>
      <c r="F197" s="3"/>
      <c r="G197" s="61" t="str">
        <f>_xlfn.IFNA(VLOOKUP(F197,tblDisciplines[],2,FALSE),"")</f>
        <v/>
      </c>
      <c r="H197" s="19"/>
      <c r="I197" s="19"/>
      <c r="L197" s="4"/>
      <c r="N197" s="4"/>
      <c r="O197" s="61">
        <f t="shared" si="30"/>
        <v>0</v>
      </c>
      <c r="P197" s="60" t="str">
        <f t="shared" si="31"/>
        <v/>
      </c>
      <c r="R197" s="61" t="str">
        <f>_xlfn.IFNA(VLOOKUP(F197,tblDisciplines[],3,FALSE),"")</f>
        <v/>
      </c>
    </row>
    <row r="198" spans="1:18">
      <c r="A198" s="1" t="s">
        <v>197</v>
      </c>
      <c r="B198" t="str">
        <f t="shared" ref="B198:B216" si="32">IF(AD135="","¬",AD135)</f>
        <v>¬</v>
      </c>
      <c r="D198" s="19"/>
      <c r="E198" s="15" t="s">
        <v>1502</v>
      </c>
      <c r="F198" s="3"/>
      <c r="G198" s="61" t="str">
        <f>_xlfn.IFNA(VLOOKUP(F198,tblDisciplines[],2,FALSE),"")</f>
        <v/>
      </c>
      <c r="H198" s="19"/>
      <c r="I198" s="19"/>
      <c r="L198" s="4"/>
      <c r="N198" s="4"/>
      <c r="O198" s="61">
        <f t="shared" si="30"/>
        <v>0</v>
      </c>
      <c r="P198" s="60" t="str">
        <f t="shared" si="31"/>
        <v/>
      </c>
      <c r="R198" s="61" t="str">
        <f>_xlfn.IFNA(VLOOKUP(F198,tblDisciplines[],3,FALSE),"")</f>
        <v/>
      </c>
    </row>
    <row r="199" spans="1:18">
      <c r="A199" s="1" t="s">
        <v>198</v>
      </c>
      <c r="B199" t="str">
        <f t="shared" si="32"/>
        <v>¬</v>
      </c>
      <c r="D199" s="19"/>
      <c r="E199" s="15" t="s">
        <v>1503</v>
      </c>
      <c r="F199" s="3"/>
      <c r="G199" s="61" t="str">
        <f>_xlfn.IFNA(VLOOKUP(F199,tblDisciplines[],2,FALSE),"")</f>
        <v/>
      </c>
      <c r="H199" s="19"/>
      <c r="I199" s="19"/>
      <c r="L199" s="4"/>
      <c r="N199" s="4"/>
      <c r="O199" s="61">
        <f t="shared" si="30"/>
        <v>0</v>
      </c>
      <c r="P199" s="60" t="str">
        <f t="shared" si="31"/>
        <v/>
      </c>
      <c r="R199" s="61" t="str">
        <f>_xlfn.IFNA(VLOOKUP(F199,tblDisciplines[],3,FALSE),"")</f>
        <v/>
      </c>
    </row>
    <row r="200" spans="1:18">
      <c r="A200" s="1" t="s">
        <v>199</v>
      </c>
      <c r="B200" t="str">
        <f t="shared" si="32"/>
        <v>¬</v>
      </c>
      <c r="D200" s="19"/>
      <c r="E200" s="15" t="s">
        <v>1504</v>
      </c>
      <c r="F200" s="3"/>
      <c r="G200" s="61" t="str">
        <f>_xlfn.IFNA(VLOOKUP(F200,tblDisciplines[],2,FALSE),"")</f>
        <v/>
      </c>
      <c r="H200" s="19"/>
      <c r="I200" s="19"/>
      <c r="L200" s="4"/>
      <c r="N200" s="4"/>
      <c r="O200" s="61">
        <f t="shared" si="30"/>
        <v>0</v>
      </c>
      <c r="P200" s="60" t="str">
        <f t="shared" si="31"/>
        <v/>
      </c>
      <c r="R200" s="61" t="str">
        <f>_xlfn.IFNA(VLOOKUP(F200,tblDisciplines[],3,FALSE),"")</f>
        <v/>
      </c>
    </row>
    <row r="201" spans="1:18">
      <c r="A201" s="1" t="s">
        <v>200</v>
      </c>
      <c r="B201" t="str">
        <f t="shared" si="32"/>
        <v>¬</v>
      </c>
      <c r="D201" s="19"/>
      <c r="E201" s="15" t="s">
        <v>1505</v>
      </c>
      <c r="F201" s="3"/>
      <c r="G201" s="61" t="str">
        <f>_xlfn.IFNA(VLOOKUP(F201,tblDisciplines[],2,FALSE),"")</f>
        <v/>
      </c>
      <c r="H201" s="19"/>
      <c r="I201" s="19"/>
      <c r="L201" s="4"/>
      <c r="N201" s="4"/>
      <c r="O201" s="61">
        <f t="shared" si="30"/>
        <v>0</v>
      </c>
      <c r="P201" s="60" t="str">
        <f t="shared" si="31"/>
        <v/>
      </c>
      <c r="R201" s="61" t="str">
        <f>_xlfn.IFNA(VLOOKUP(F201,tblDisciplines[],3,FALSE),"")</f>
        <v/>
      </c>
    </row>
    <row r="202" spans="1:18">
      <c r="A202" s="1" t="s">
        <v>201</v>
      </c>
      <c r="B202" t="str">
        <f t="shared" si="32"/>
        <v>¬</v>
      </c>
      <c r="D202" s="19"/>
      <c r="E202" s="15" t="s">
        <v>1506</v>
      </c>
      <c r="F202" s="3"/>
      <c r="G202" s="61" t="str">
        <f>_xlfn.IFNA(VLOOKUP(F202,tblDisciplines[],2,FALSE),"")</f>
        <v/>
      </c>
      <c r="H202" s="19"/>
      <c r="I202" s="19"/>
      <c r="L202" s="4"/>
      <c r="N202" s="4"/>
      <c r="O202" s="61">
        <f t="shared" si="30"/>
        <v>0</v>
      </c>
      <c r="P202" s="60" t="str">
        <f t="shared" si="31"/>
        <v/>
      </c>
      <c r="R202" s="61" t="str">
        <f>_xlfn.IFNA(VLOOKUP(F202,tblDisciplines[],3,FALSE),"")</f>
        <v/>
      </c>
    </row>
    <row r="203" spans="1:18">
      <c r="A203" s="1" t="s">
        <v>202</v>
      </c>
      <c r="B203" t="str">
        <f t="shared" si="32"/>
        <v>¬</v>
      </c>
      <c r="D203" s="19"/>
      <c r="E203" s="15" t="s">
        <v>1507</v>
      </c>
      <c r="F203" s="3"/>
      <c r="G203" s="61" t="str">
        <f>_xlfn.IFNA(VLOOKUP(F203,tblDisciplines[],2,FALSE),"")</f>
        <v/>
      </c>
      <c r="H203" s="19"/>
      <c r="I203" s="19"/>
      <c r="L203" s="4"/>
      <c r="N203" s="4"/>
      <c r="O203" s="61">
        <f t="shared" si="30"/>
        <v>0</v>
      </c>
      <c r="P203" s="60" t="str">
        <f t="shared" si="31"/>
        <v/>
      </c>
      <c r="R203" s="61" t="str">
        <f>_xlfn.IFNA(VLOOKUP(F203,tblDisciplines[],3,FALSE),"")</f>
        <v/>
      </c>
    </row>
    <row r="204" spans="1:18">
      <c r="A204" s="1" t="s">
        <v>203</v>
      </c>
      <c r="B204" t="str">
        <f t="shared" si="32"/>
        <v>¬</v>
      </c>
    </row>
    <row r="205" spans="1:18">
      <c r="A205" s="1" t="s">
        <v>204</v>
      </c>
      <c r="B205" t="str">
        <f t="shared" si="32"/>
        <v>¬</v>
      </c>
      <c r="D205" s="16" t="s">
        <v>1508</v>
      </c>
      <c r="E205" s="17"/>
      <c r="F205" s="17"/>
      <c r="G205" s="17"/>
      <c r="H205" s="17"/>
      <c r="I205" s="17"/>
    </row>
    <row r="206" spans="1:18">
      <c r="A206" s="1" t="s">
        <v>205</v>
      </c>
      <c r="B206" t="str">
        <f t="shared" si="32"/>
        <v>¬</v>
      </c>
      <c r="D206" s="19"/>
      <c r="E206" s="15" t="s">
        <v>1476</v>
      </c>
      <c r="F206" s="3"/>
      <c r="G206" s="19" t="str">
        <f>IFERROR(VLOOKUP(F206,tblManoeuvre[],2,FALSE)&amp;" "&amp;VLOOKUP(F206,tblManoeuvre[],3,FALSE),"")</f>
        <v/>
      </c>
      <c r="H206" s="68" t="str">
        <f>_xlfn.IFNA(IF(VLOOKUP(F206,tblMerits[],6,FALSE)=0,"None",VLOOKUP(F206,tblMerits[],6,FALSE)),"None")</f>
        <v>None</v>
      </c>
      <c r="I206" s="69"/>
      <c r="L206" s="4"/>
      <c r="M206" s="4"/>
      <c r="N206" s="4"/>
      <c r="O206" s="61">
        <f t="shared" ref="O206:O215" si="33">N206</f>
        <v>0</v>
      </c>
      <c r="P206" s="60">
        <f t="shared" ref="P206:P215" si="34">MIN(SUM(L206,M206,O206),R206)</f>
        <v>0</v>
      </c>
      <c r="Q206" s="61" t="str">
        <f>_xlfn.IFNA(VLOOKUP($F206,tblPacts[],3,FALSE),"")</f>
        <v/>
      </c>
      <c r="R206" s="61" t="str">
        <f>_xlfn.IFNA(VLOOKUP($F206,tblPacts[],4,FALSE),"")</f>
        <v/>
      </c>
    </row>
    <row r="207" spans="1:18">
      <c r="A207" s="1" t="s">
        <v>206</v>
      </c>
      <c r="B207" t="str">
        <f t="shared" si="32"/>
        <v>¬</v>
      </c>
      <c r="D207" s="19"/>
      <c r="E207" s="15" t="s">
        <v>1477</v>
      </c>
      <c r="F207" s="3"/>
      <c r="G207" s="19" t="str">
        <f>IFERROR(VLOOKUP(F207,tblManoeuvre[],2,FALSE)&amp;" "&amp;VLOOKUP(F207,tblManoeuvre[],3,FALSE),"")</f>
        <v/>
      </c>
      <c r="H207" s="68" t="str">
        <f>_xlfn.IFNA(IF(VLOOKUP(F207,tblMerits[],6,FALSE)=0,"None",VLOOKUP(F207,tblMerits[],6,FALSE)),"None")</f>
        <v>None</v>
      </c>
      <c r="I207" s="69"/>
      <c r="L207" s="4"/>
      <c r="M207" s="4"/>
      <c r="N207" s="4"/>
      <c r="O207" s="61">
        <f t="shared" si="33"/>
        <v>0</v>
      </c>
      <c r="P207" s="60">
        <f t="shared" si="34"/>
        <v>0</v>
      </c>
      <c r="Q207" s="61" t="str">
        <f>_xlfn.IFNA(VLOOKUP($F207,tblPacts[],3,FALSE),"")</f>
        <v/>
      </c>
      <c r="R207" s="61" t="str">
        <f>_xlfn.IFNA(VLOOKUP($F207,tblPacts[],4,FALSE),"")</f>
        <v/>
      </c>
    </row>
    <row r="208" spans="1:18">
      <c r="A208" s="1" t="s">
        <v>207</v>
      </c>
      <c r="B208" t="str">
        <f t="shared" si="32"/>
        <v>¬</v>
      </c>
      <c r="D208" s="19"/>
      <c r="E208" s="15" t="s">
        <v>1478</v>
      </c>
      <c r="F208" s="3"/>
      <c r="G208" s="19" t="str">
        <f>IFERROR(VLOOKUP(F208,tblManoeuvre[],2,FALSE)&amp;" "&amp;VLOOKUP(F208,tblManoeuvre[],3,FALSE),"")</f>
        <v/>
      </c>
      <c r="H208" s="68" t="str">
        <f>_xlfn.IFNA(IF(VLOOKUP(F208,tblMerits[],6,FALSE)=0,"None",VLOOKUP(F208,tblMerits[],6,FALSE)),"None")</f>
        <v>None</v>
      </c>
      <c r="I208" s="69"/>
      <c r="L208" s="4"/>
      <c r="M208" s="4"/>
      <c r="N208" s="4"/>
      <c r="O208" s="61">
        <f t="shared" si="33"/>
        <v>0</v>
      </c>
      <c r="P208" s="60">
        <f t="shared" si="34"/>
        <v>0</v>
      </c>
      <c r="Q208" s="61" t="str">
        <f>_xlfn.IFNA(VLOOKUP($F208,tblPacts[],3,FALSE),"")</f>
        <v/>
      </c>
      <c r="R208" s="61" t="str">
        <f>_xlfn.IFNA(VLOOKUP($F208,tblPacts[],4,FALSE),"")</f>
        <v/>
      </c>
    </row>
    <row r="209" spans="1:18">
      <c r="A209" s="1" t="s">
        <v>208</v>
      </c>
      <c r="B209" t="str">
        <f t="shared" si="32"/>
        <v>¬</v>
      </c>
      <c r="D209" s="19"/>
      <c r="E209" s="15" t="s">
        <v>1479</v>
      </c>
      <c r="F209" s="3"/>
      <c r="G209" s="19" t="str">
        <f>IFERROR(VLOOKUP(F209,tblManoeuvre[],2,FALSE)&amp;" "&amp;VLOOKUP(F209,tblManoeuvre[],3,FALSE),"")</f>
        <v/>
      </c>
      <c r="H209" s="68" t="str">
        <f>_xlfn.IFNA(IF(VLOOKUP(F209,tblMerits[],6,FALSE)=0,"None",VLOOKUP(F209,tblMerits[],6,FALSE)),"None")</f>
        <v>None</v>
      </c>
      <c r="I209" s="69"/>
      <c r="L209" s="4"/>
      <c r="M209" s="4"/>
      <c r="N209" s="4"/>
      <c r="O209" s="61">
        <f t="shared" si="33"/>
        <v>0</v>
      </c>
      <c r="P209" s="60">
        <f t="shared" si="34"/>
        <v>0</v>
      </c>
      <c r="Q209" s="61" t="str">
        <f>_xlfn.IFNA(VLOOKUP($F209,tblPacts[],3,FALSE),"")</f>
        <v/>
      </c>
      <c r="R209" s="61" t="str">
        <f>_xlfn.IFNA(VLOOKUP($F209,tblPacts[],4,FALSE),"")</f>
        <v/>
      </c>
    </row>
    <row r="210" spans="1:18">
      <c r="A210" s="1" t="s">
        <v>209</v>
      </c>
      <c r="B210" t="str">
        <f t="shared" si="32"/>
        <v>¬</v>
      </c>
      <c r="D210" s="19"/>
      <c r="E210" s="15" t="s">
        <v>1480</v>
      </c>
      <c r="F210" s="3"/>
      <c r="G210" s="19" t="str">
        <f>IFERROR(VLOOKUP(F210,tblManoeuvre[],2,FALSE)&amp;" "&amp;VLOOKUP(F210,tblManoeuvre[],3,FALSE),"")</f>
        <v/>
      </c>
      <c r="H210" s="68" t="str">
        <f>_xlfn.IFNA(IF(VLOOKUP(F210,tblMerits[],6,FALSE)=0,"None",VLOOKUP(F210,tblMerits[],6,FALSE)),"None")</f>
        <v>None</v>
      </c>
      <c r="I210" s="69"/>
      <c r="L210" s="4"/>
      <c r="M210" s="4"/>
      <c r="N210" s="4"/>
      <c r="O210" s="61">
        <f t="shared" si="33"/>
        <v>0</v>
      </c>
      <c r="P210" s="60">
        <f t="shared" si="34"/>
        <v>0</v>
      </c>
      <c r="Q210" s="61" t="str">
        <f>_xlfn.IFNA(VLOOKUP($F210,tblPacts[],3,FALSE),"")</f>
        <v/>
      </c>
      <c r="R210" s="61" t="str">
        <f>_xlfn.IFNA(VLOOKUP($F210,tblPacts[],4,FALSE),"")</f>
        <v/>
      </c>
    </row>
    <row r="211" spans="1:18">
      <c r="A211" s="1" t="s">
        <v>210</v>
      </c>
      <c r="B211" t="str">
        <f t="shared" si="32"/>
        <v>¬</v>
      </c>
      <c r="D211" s="19"/>
      <c r="E211" s="15" t="s">
        <v>1481</v>
      </c>
      <c r="F211" s="3"/>
      <c r="G211" s="19" t="str">
        <f>IFERROR(VLOOKUP(F211,tblManoeuvre[],2,FALSE)&amp;" "&amp;VLOOKUP(F211,tblManoeuvre[],3,FALSE),"")</f>
        <v/>
      </c>
      <c r="H211" s="68" t="str">
        <f>_xlfn.IFNA(IF(VLOOKUP(F211,tblMerits[],6,FALSE)=0,"None",VLOOKUP(F211,tblMerits[],6,FALSE)),"None")</f>
        <v>None</v>
      </c>
      <c r="I211" s="69"/>
      <c r="L211" s="4"/>
      <c r="M211" s="4"/>
      <c r="N211" s="4"/>
      <c r="O211" s="61">
        <f t="shared" si="33"/>
        <v>0</v>
      </c>
      <c r="P211" s="60">
        <f t="shared" si="34"/>
        <v>0</v>
      </c>
      <c r="Q211" s="61" t="str">
        <f>_xlfn.IFNA(VLOOKUP($F211,tblPacts[],3,FALSE),"")</f>
        <v/>
      </c>
      <c r="R211" s="61" t="str">
        <f>_xlfn.IFNA(VLOOKUP($F211,tblPacts[],4,FALSE),"")</f>
        <v/>
      </c>
    </row>
    <row r="212" spans="1:18">
      <c r="A212" s="1" t="s">
        <v>211</v>
      </c>
      <c r="B212" t="str">
        <f t="shared" si="32"/>
        <v>¬</v>
      </c>
      <c r="D212" s="19"/>
      <c r="E212" s="15" t="s">
        <v>1482</v>
      </c>
      <c r="F212" s="3"/>
      <c r="G212" s="19" t="str">
        <f>IFERROR(VLOOKUP(F212,tblManoeuvre[],2,FALSE)&amp;" "&amp;VLOOKUP(F212,tblManoeuvre[],3,FALSE),"")</f>
        <v/>
      </c>
      <c r="H212" s="68" t="str">
        <f>_xlfn.IFNA(IF(VLOOKUP(F212,tblMerits[],6,FALSE)=0,"None",VLOOKUP(F212,tblMerits[],6,FALSE)),"None")</f>
        <v>None</v>
      </c>
      <c r="I212" s="69"/>
      <c r="L212" s="4"/>
      <c r="M212" s="4"/>
      <c r="N212" s="4"/>
      <c r="O212" s="61">
        <f t="shared" si="33"/>
        <v>0</v>
      </c>
      <c r="P212" s="60">
        <f t="shared" si="34"/>
        <v>0</v>
      </c>
      <c r="Q212" s="61" t="str">
        <f>_xlfn.IFNA(VLOOKUP($F212,tblPacts[],3,FALSE),"")</f>
        <v/>
      </c>
      <c r="R212" s="61" t="str">
        <f>_xlfn.IFNA(VLOOKUP($F212,tblPacts[],4,FALSE),"")</f>
        <v/>
      </c>
    </row>
    <row r="213" spans="1:18">
      <c r="A213" s="1" t="s">
        <v>212</v>
      </c>
      <c r="B213" t="str">
        <f t="shared" si="32"/>
        <v>¬</v>
      </c>
      <c r="D213" s="19"/>
      <c r="E213" s="15" t="s">
        <v>1483</v>
      </c>
      <c r="F213" s="3"/>
      <c r="G213" s="19" t="str">
        <f>IFERROR(VLOOKUP(F213,tblManoeuvre[],2,FALSE)&amp;" "&amp;VLOOKUP(F213,tblManoeuvre[],3,FALSE),"")</f>
        <v/>
      </c>
      <c r="H213" s="68" t="str">
        <f>_xlfn.IFNA(IF(VLOOKUP(F213,tblMerits[],6,FALSE)=0,"None",VLOOKUP(F213,tblMerits[],6,FALSE)),"None")</f>
        <v>None</v>
      </c>
      <c r="I213" s="69"/>
      <c r="L213" s="4"/>
      <c r="M213" s="4"/>
      <c r="N213" s="4"/>
      <c r="O213" s="61">
        <f t="shared" si="33"/>
        <v>0</v>
      </c>
      <c r="P213" s="60">
        <f t="shared" si="34"/>
        <v>0</v>
      </c>
      <c r="Q213" s="61" t="str">
        <f>_xlfn.IFNA(VLOOKUP($F213,tblPacts[],3,FALSE),"")</f>
        <v/>
      </c>
      <c r="R213" s="61" t="str">
        <f>_xlfn.IFNA(VLOOKUP($F213,tblPacts[],4,FALSE),"")</f>
        <v/>
      </c>
    </row>
    <row r="214" spans="1:18">
      <c r="A214" s="1" t="s">
        <v>213</v>
      </c>
      <c r="B214" t="str">
        <f t="shared" si="32"/>
        <v>¬</v>
      </c>
      <c r="D214" s="19"/>
      <c r="E214" s="15" t="s">
        <v>1484</v>
      </c>
      <c r="F214" s="3"/>
      <c r="G214" s="19" t="str">
        <f>IFERROR(VLOOKUP(F214,tblManoeuvre[],2,FALSE)&amp;" "&amp;VLOOKUP(F214,tblManoeuvre[],3,FALSE),"")</f>
        <v/>
      </c>
      <c r="H214" s="68" t="str">
        <f>_xlfn.IFNA(IF(VLOOKUP(F214,tblMerits[],6,FALSE)=0,"None",VLOOKUP(F214,tblMerits[],6,FALSE)),"None")</f>
        <v>None</v>
      </c>
      <c r="I214" s="69"/>
      <c r="L214" s="4"/>
      <c r="M214" s="4"/>
      <c r="N214" s="4"/>
      <c r="O214" s="61">
        <f t="shared" si="33"/>
        <v>0</v>
      </c>
      <c r="P214" s="60">
        <f t="shared" si="34"/>
        <v>0</v>
      </c>
      <c r="Q214" s="61" t="str">
        <f>_xlfn.IFNA(VLOOKUP($F214,tblPacts[],3,FALSE),"")</f>
        <v/>
      </c>
      <c r="R214" s="61" t="str">
        <f>_xlfn.IFNA(VLOOKUP($F214,tblPacts[],4,FALSE),"")</f>
        <v/>
      </c>
    </row>
    <row r="215" spans="1:18">
      <c r="A215" s="1" t="s">
        <v>214</v>
      </c>
      <c r="B215" t="str">
        <f t="shared" si="32"/>
        <v>¬</v>
      </c>
      <c r="D215" s="19"/>
      <c r="E215" s="15" t="s">
        <v>1485</v>
      </c>
      <c r="F215" s="3"/>
      <c r="G215" s="19" t="str">
        <f>IFERROR(VLOOKUP(F215,tblManoeuvre[],2,FALSE)&amp;" "&amp;VLOOKUP(F215,tblManoeuvre[],3,FALSE),"")</f>
        <v/>
      </c>
      <c r="H215" s="68" t="str">
        <f>_xlfn.IFNA(IF(VLOOKUP(F215,tblMerits[],6,FALSE)=0,"None",VLOOKUP(F215,tblMerits[],6,FALSE)),"None")</f>
        <v>None</v>
      </c>
      <c r="I215" s="69"/>
      <c r="L215" s="4"/>
      <c r="M215" s="4"/>
      <c r="N215" s="4"/>
      <c r="O215" s="61">
        <f t="shared" si="33"/>
        <v>0</v>
      </c>
      <c r="P215" s="60">
        <f t="shared" si="34"/>
        <v>0</v>
      </c>
      <c r="Q215" s="61" t="str">
        <f>_xlfn.IFNA(VLOOKUP($F215,tblPacts[],3,FALSE),"")</f>
        <v/>
      </c>
      <c r="R215" s="61" t="str">
        <f>_xlfn.IFNA(VLOOKUP($F215,tblPacts[],4,FALSE),"")</f>
        <v/>
      </c>
    </row>
    <row r="216" spans="1:18">
      <c r="A216" s="1" t="s">
        <v>215</v>
      </c>
      <c r="B216" t="str">
        <f t="shared" si="32"/>
        <v>¬</v>
      </c>
    </row>
    <row r="217" spans="1:18">
      <c r="A217" s="1" t="s">
        <v>216</v>
      </c>
      <c r="B217" t="str">
        <f>IF(OR(AF134=0,AF134=""),"",REPT("●",AF134))</f>
        <v/>
      </c>
      <c r="D217" s="16" t="s">
        <v>1509</v>
      </c>
      <c r="E217" s="16"/>
      <c r="F217" s="16"/>
      <c r="G217" s="16"/>
      <c r="H217" s="16"/>
      <c r="I217" s="16"/>
    </row>
    <row r="218" spans="1:18">
      <c r="A218" s="1" t="s">
        <v>217</v>
      </c>
      <c r="B218" t="str">
        <f t="shared" ref="B218:B236" si="35">IF(OR(AF135=0,AF135=""),"",REPT("●",AF135))</f>
        <v/>
      </c>
      <c r="D218" s="19"/>
      <c r="E218" s="15" t="s">
        <v>353</v>
      </c>
      <c r="F218" s="19"/>
      <c r="G218" s="19"/>
      <c r="H218" s="19"/>
      <c r="I218" s="19"/>
      <c r="M218" s="61">
        <f>IF(COUNTIF(F79:F93,"Giant")&gt;0,1,0)+IF(COUNTIF(F79:F93,"Small-Framed")&gt;0,-1,0)</f>
        <v>0</v>
      </c>
      <c r="P218" s="60">
        <f>5+M218</f>
        <v>5</v>
      </c>
    </row>
    <row r="219" spans="1:18">
      <c r="A219" s="1" t="s">
        <v>218</v>
      </c>
      <c r="B219" t="str">
        <f t="shared" si="35"/>
        <v/>
      </c>
      <c r="D219" s="19"/>
      <c r="E219" s="15" t="s">
        <v>354</v>
      </c>
      <c r="F219" s="19"/>
      <c r="G219" s="19"/>
      <c r="H219" s="19"/>
      <c r="I219" s="19"/>
      <c r="P219" s="60">
        <f ca="1">VLOOKUP("Size",INDIRECT($AH$1),2,FALSE)+VLOOKUP("Strength",INDIRECT($AH$1),2,FALSE)+VLOOKUP("Dexterity",INDIRECT($AH$1),2,FALSE)+VLOOKUP("Vigour",INDIRECT($AH$1),2,FALSE)</f>
        <v>10</v>
      </c>
    </row>
    <row r="220" spans="1:18">
      <c r="A220" s="1" t="s">
        <v>219</v>
      </c>
      <c r="B220" t="str">
        <f t="shared" si="35"/>
        <v/>
      </c>
      <c r="D220" s="19"/>
      <c r="E220" s="15" t="s">
        <v>355</v>
      </c>
      <c r="F220" s="19"/>
      <c r="G220" s="19"/>
      <c r="H220" s="19"/>
      <c r="I220" s="19"/>
      <c r="P220" s="60">
        <f ca="1">MIN(VLOOKUP("Dexterity",INDIRECT($AH$1),2,FALSE),VLOOKUP("Wits",INDIRECT($AH$1),2,FALSE))+VLOOKUP("Athletics",INDIRECT($AH$1),2,FALSE)</f>
        <v>2</v>
      </c>
    </row>
    <row r="221" spans="1:18">
      <c r="A221" s="1" t="s">
        <v>220</v>
      </c>
      <c r="B221" t="str">
        <f t="shared" si="35"/>
        <v/>
      </c>
      <c r="D221" s="19"/>
      <c r="E221" s="15" t="s">
        <v>52</v>
      </c>
      <c r="F221" s="19"/>
      <c r="G221" s="19"/>
      <c r="H221" s="19"/>
      <c r="I221" s="19"/>
      <c r="P221" s="60">
        <f ca="1">VLOOKUP("Size",INDIRECT($AH$1),2,FALSE)+VLOOKUP("Stamina",INDIRECT($AH$1),2,FALSE)+VLOOKUP("Resilience",INDIRECT($AH$1),2,FALSE)</f>
        <v>7</v>
      </c>
    </row>
    <row r="222" spans="1:18">
      <c r="A222" s="1" t="s">
        <v>221</v>
      </c>
      <c r="B222" t="str">
        <f t="shared" si="35"/>
        <v/>
      </c>
      <c r="D222" s="19"/>
      <c r="E222" s="19"/>
      <c r="F222" s="19"/>
      <c r="G222" s="19"/>
      <c r="H222" s="15" t="s">
        <v>1510</v>
      </c>
      <c r="I222" s="19"/>
      <c r="L222" s="4"/>
    </row>
    <row r="223" spans="1:18">
      <c r="A223" s="1" t="s">
        <v>222</v>
      </c>
      <c r="B223" t="str">
        <f t="shared" si="35"/>
        <v/>
      </c>
      <c r="D223" s="19"/>
      <c r="E223" s="15" t="s">
        <v>1511</v>
      </c>
      <c r="F223" s="7"/>
      <c r="G223" s="19"/>
      <c r="H223" s="15" t="s">
        <v>1512</v>
      </c>
      <c r="I223" s="19"/>
      <c r="L223" s="4"/>
    </row>
    <row r="224" spans="1:18">
      <c r="A224" s="1" t="s">
        <v>223</v>
      </c>
      <c r="B224" t="str">
        <f t="shared" si="35"/>
        <v/>
      </c>
      <c r="D224" s="19"/>
      <c r="E224" s="15" t="s">
        <v>1513</v>
      </c>
      <c r="F224" s="7"/>
      <c r="G224" s="19"/>
      <c r="H224" s="15" t="s">
        <v>1514</v>
      </c>
      <c r="I224" s="19"/>
      <c r="L224" s="4"/>
    </row>
    <row r="225" spans="1:12">
      <c r="A225" s="1" t="s">
        <v>224</v>
      </c>
      <c r="B225" t="str">
        <f t="shared" si="35"/>
        <v/>
      </c>
      <c r="D225" s="19"/>
      <c r="E225" s="15" t="s">
        <v>1515</v>
      </c>
      <c r="F225" s="7"/>
      <c r="G225" s="19"/>
      <c r="H225" s="15" t="s">
        <v>1516</v>
      </c>
      <c r="I225" s="19"/>
      <c r="L225" s="4"/>
    </row>
    <row r="226" spans="1:12">
      <c r="A226" s="1" t="s">
        <v>225</v>
      </c>
      <c r="B226" t="str">
        <f t="shared" si="35"/>
        <v/>
      </c>
      <c r="D226" s="19"/>
      <c r="E226" s="15" t="s">
        <v>1517</v>
      </c>
      <c r="F226" s="7"/>
      <c r="G226" s="19"/>
      <c r="H226" s="19"/>
      <c r="I226" s="19"/>
    </row>
    <row r="227" spans="1:12">
      <c r="A227" s="1" t="s">
        <v>226</v>
      </c>
      <c r="B227" t="str">
        <f t="shared" si="35"/>
        <v/>
      </c>
      <c r="D227" s="19"/>
      <c r="E227" s="15" t="s">
        <v>1518</v>
      </c>
      <c r="F227" s="7" t="s">
        <v>1796</v>
      </c>
      <c r="G227" s="19"/>
      <c r="H227" s="19"/>
      <c r="I227" s="19"/>
    </row>
    <row r="228" spans="1:12">
      <c r="A228" s="1" t="s">
        <v>227</v>
      </c>
      <c r="B228" t="str">
        <f t="shared" si="35"/>
        <v/>
      </c>
      <c r="D228" s="19"/>
      <c r="E228" s="15" t="s">
        <v>1519</v>
      </c>
      <c r="F228" s="7"/>
      <c r="G228" s="19"/>
      <c r="H228" s="19"/>
      <c r="I228" s="19"/>
    </row>
    <row r="229" spans="1:12">
      <c r="A229" s="1" t="s">
        <v>228</v>
      </c>
      <c r="B229" t="str">
        <f t="shared" si="35"/>
        <v/>
      </c>
      <c r="D229" s="19"/>
      <c r="E229" s="15" t="s">
        <v>1520</v>
      </c>
      <c r="F229" s="7"/>
      <c r="G229" s="19"/>
      <c r="H229" s="19"/>
      <c r="I229" s="19"/>
    </row>
    <row r="230" spans="1:12">
      <c r="A230" s="1" t="s">
        <v>229</v>
      </c>
      <c r="B230" t="str">
        <f t="shared" si="35"/>
        <v/>
      </c>
      <c r="D230" s="19"/>
      <c r="E230" s="15" t="s">
        <v>1521</v>
      </c>
      <c r="F230" s="7"/>
      <c r="G230" s="19"/>
      <c r="H230" s="19"/>
      <c r="I230" s="19"/>
    </row>
    <row r="231" spans="1:12">
      <c r="A231" s="1" t="s">
        <v>230</v>
      </c>
      <c r="B231" t="str">
        <f t="shared" si="35"/>
        <v/>
      </c>
      <c r="D231" s="19"/>
      <c r="E231" s="15" t="s">
        <v>1522</v>
      </c>
      <c r="F231" s="7"/>
      <c r="G231" s="19"/>
      <c r="H231" s="19"/>
      <c r="I231" s="19"/>
    </row>
    <row r="232" spans="1:12">
      <c r="A232" s="1" t="s">
        <v>231</v>
      </c>
      <c r="B232" t="str">
        <f t="shared" si="35"/>
        <v/>
      </c>
      <c r="D232" s="19"/>
      <c r="E232" s="15" t="s">
        <v>1523</v>
      </c>
      <c r="F232" s="7"/>
      <c r="G232" s="19"/>
      <c r="H232" s="19"/>
      <c r="I232" s="19"/>
    </row>
    <row r="233" spans="1:12">
      <c r="A233" s="1" t="s">
        <v>232</v>
      </c>
      <c r="B233" t="str">
        <f t="shared" si="35"/>
        <v/>
      </c>
      <c r="D233" s="19"/>
      <c r="E233" s="19"/>
      <c r="F233" s="19"/>
      <c r="G233" s="19"/>
      <c r="H233" s="19"/>
      <c r="I233" s="19"/>
    </row>
    <row r="234" spans="1:12">
      <c r="A234" s="1" t="s">
        <v>233</v>
      </c>
      <c r="B234" t="str">
        <f t="shared" si="35"/>
        <v/>
      </c>
      <c r="D234" s="19"/>
      <c r="E234" s="15" t="s">
        <v>343</v>
      </c>
      <c r="F234" s="61" t="str">
        <f>_xlfn.IFNA(VLOOKUP(F7,tblClans[],4,FALSE),"")</f>
        <v>Lonely Curse</v>
      </c>
      <c r="G234" s="19"/>
      <c r="H234" s="74" t="str">
        <f>_xlfn.IFNA(VLOOKUP(F234,tblBanes[],2,FALSE),"")</f>
        <v>With mortals, Humanity counts –2; Presence/Manipulation failures become dramatic failures. Intimidation and Subterfuge unaffected.</v>
      </c>
      <c r="I234" s="74"/>
    </row>
    <row r="235" spans="1:12">
      <c r="A235" s="1" t="s">
        <v>234</v>
      </c>
      <c r="B235" t="str">
        <f t="shared" si="35"/>
        <v/>
      </c>
      <c r="D235" s="19"/>
      <c r="E235" s="15" t="s">
        <v>344</v>
      </c>
      <c r="F235" s="19"/>
      <c r="G235" s="19"/>
      <c r="H235" s="19"/>
      <c r="I235" s="19"/>
    </row>
    <row r="236" spans="1:12">
      <c r="A236" s="1" t="s">
        <v>235</v>
      </c>
      <c r="B236" t="str">
        <f t="shared" si="35"/>
        <v/>
      </c>
      <c r="D236" s="19"/>
      <c r="E236" s="15" t="s">
        <v>345</v>
      </c>
      <c r="F236" s="3"/>
      <c r="G236" s="19"/>
      <c r="H236" s="70" t="str">
        <f>_xlfn.IFNA(VLOOKUP(F236,tblBanes[],2,FALSE),"")</f>
        <v/>
      </c>
      <c r="I236" s="71"/>
    </row>
    <row r="237" spans="1:12">
      <c r="A237" s="1" t="s">
        <v>236</v>
      </c>
      <c r="B237" t="str">
        <f ca="1">_xlfn.LET(_xlpm.v,VLOOKUP(tblCharDataMagda[[#This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_xlfn.LET(_xlpm.v,VLOOKUP(tblCharDataMagda[[#This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_xlfn.LET(_xlpm.v,VLOOKUP(tblCharDataMagda[[#This Row],[Field]],INDIRECT($AH$1),2,FALSE),IF(OR(_xlpm.v=0,_xlpm.v=""),"-",REPT("●",_xlpm.v)))</f>
        <v>-</v>
      </c>
      <c r="D239" s="19"/>
      <c r="E239" s="19"/>
      <c r="F239" s="19"/>
      <c r="G239" s="19"/>
      <c r="H239" s="19"/>
      <c r="I239" s="19"/>
    </row>
    <row r="240" spans="1:12">
      <c r="A240" s="1" t="s">
        <v>239</v>
      </c>
      <c r="B240" t="str">
        <f ca="1">_xlfn.LET(_xlpm.v,VLOOKUP(tblCharDataMagda[[#This Row],[Field]],INDIRECT($AH$1),2,FALSE),IF(OR(_xlpm.v=0,_xlpm.v=""),"-",REPT("●",_xlpm.v)))</f>
        <v>-</v>
      </c>
      <c r="D240" s="19"/>
      <c r="E240" s="15" t="s">
        <v>360</v>
      </c>
      <c r="F240" s="62"/>
      <c r="G240" s="63"/>
      <c r="H240" s="63"/>
      <c r="I240" s="64"/>
    </row>
    <row r="241" spans="1:9">
      <c r="A241" s="1" t="s">
        <v>240</v>
      </c>
      <c r="B241" t="str">
        <f ca="1">_xlfn.LET(_xlpm.v,VLOOKUP(tblCharDataMagda[[#This Row],[Field]],INDIRECT($AH$1),2,FALSE),IF(OR(_xlpm.v=0,_xlpm.v=""),"-",REPT("●",_xlpm.v)))</f>
        <v>-</v>
      </c>
      <c r="D241" s="19"/>
      <c r="E241" s="15" t="s">
        <v>361</v>
      </c>
      <c r="F241" s="62"/>
      <c r="G241" s="63"/>
      <c r="H241" s="63"/>
      <c r="I241" s="64"/>
    </row>
    <row r="242" spans="1:9">
      <c r="A242" s="1" t="s">
        <v>241</v>
      </c>
      <c r="B242" t="str">
        <f ca="1">_xlfn.LET(_xlpm.v,VLOOKUP(tblCharDataMagda[[#This Row],[Field]],INDIRECT($AH$1),2,FALSE),IF(OR(_xlpm.v=0,_xlpm.v=""),"-",REPT("●",_xlpm.v)))</f>
        <v>●</v>
      </c>
      <c r="D242" s="19"/>
      <c r="E242" s="15" t="s">
        <v>362</v>
      </c>
      <c r="F242" s="62"/>
      <c r="G242" s="63"/>
      <c r="H242" s="63"/>
      <c r="I242" s="64"/>
    </row>
    <row r="243" spans="1:9">
      <c r="A243" s="1" t="s">
        <v>242</v>
      </c>
      <c r="B243" t="str">
        <f ca="1">_xlfn.LET(_xlpm.v,VLOOKUP(tblCharDataMagda[[#This Row],[Field]],INDIRECT($AH$1),2,FALSE),IF(OR(_xlpm.v=0,_xlpm.v=""),"-",REPT("●",_xlpm.v)))</f>
        <v>●</v>
      </c>
      <c r="D243" s="19"/>
      <c r="E243" s="19"/>
      <c r="F243" s="19"/>
      <c r="G243" s="19"/>
      <c r="H243" s="19"/>
      <c r="I243" s="19"/>
    </row>
    <row r="244" spans="1:9">
      <c r="A244" s="1" t="s">
        <v>243</v>
      </c>
      <c r="B244" t="str">
        <f ca="1">_xlfn.LET(_xlpm.v,VLOOKUP(tblCharDataMagda[[#This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_xlfn.LET(_xlpm.v,VLOOKUP(tblCharDataMagda[[#This Row],[Field]],INDIRECT($AH$1),2,FALSE),IF(OR(_xlpm.v=0,_xlpm.v=""),"-",REPT("●",_xlpm.v)))</f>
        <v>-</v>
      </c>
      <c r="D245" s="19"/>
      <c r="E245" s="15" t="s">
        <v>1524</v>
      </c>
      <c r="F245" s="62"/>
      <c r="G245" s="63"/>
      <c r="H245" s="63"/>
      <c r="I245" s="64"/>
    </row>
    <row r="246" spans="1:9">
      <c r="A246" s="1" t="s">
        <v>245</v>
      </c>
      <c r="B246" t="str">
        <f ca="1">_xlfn.LET(_xlpm.v,VLOOKUP(tblCharDataMagda[[#This Row],[Field]],INDIRECT($AH$1),2,FALSE),IF(OR(_xlpm.v=0,_xlpm.v=""),"-",REPT("●",_xlpm.v)))</f>
        <v>-</v>
      </c>
    </row>
    <row r="247" spans="1:9">
      <c r="A247" s="1" t="s">
        <v>246</v>
      </c>
      <c r="B247" t="str">
        <f ca="1">_xlfn.LET(_xlpm.v,VLOOKUP(tblCharDataMagda[[#This Row],[Field]],INDIRECT($AH$1),2,FALSE),IF(OR(_xlpm.v=0,_xlpm.v=""),"-",REPT("●",_xlpm.v)))</f>
        <v>-</v>
      </c>
      <c r="D247" s="16" t="s">
        <v>1525</v>
      </c>
      <c r="E247" s="16"/>
      <c r="F247" s="16" t="s">
        <v>1526</v>
      </c>
      <c r="G247" s="16" t="s">
        <v>1527</v>
      </c>
      <c r="H247" s="16"/>
      <c r="I247" s="16"/>
    </row>
    <row r="248" spans="1:9">
      <c r="A248" s="1" t="s">
        <v>247</v>
      </c>
      <c r="B248" t="str">
        <f ca="1">_xlfn.LET(_xlpm.v,VLOOKUP(tblCharDataMagda[[#This Row],[Field]],INDIRECT($AH$1),2,FALSE),IF(OR(_xlpm.v=0,_xlpm.v=""),"-",REPT("●",_xlpm.v)))</f>
        <v>●●●●</v>
      </c>
      <c r="D248" s="19"/>
      <c r="E248" s="15" t="s">
        <v>1528</v>
      </c>
      <c r="F248" s="7"/>
      <c r="G248" s="7"/>
      <c r="H248" s="19"/>
      <c r="I248" s="19" t="s">
        <v>1529</v>
      </c>
    </row>
    <row r="249" spans="1:9">
      <c r="A249" s="1" t="s">
        <v>248</v>
      </c>
      <c r="B249" t="str">
        <f ca="1">_xlfn.LET(_xlpm.v,VLOOKUP(tblCharDataMagda[[#This Row],[Field]],INDIRECT($AH$1),2,FALSE),IF(OR(_xlpm.v=0,_xlpm.v=""),"-",REPT("●",_xlpm.v)))</f>
        <v>-</v>
      </c>
      <c r="D249" s="19"/>
      <c r="E249" s="15" t="s">
        <v>1530</v>
      </c>
      <c r="F249" s="7"/>
      <c r="G249" s="7"/>
      <c r="H249" s="19"/>
      <c r="I249" s="19" t="s">
        <v>1531</v>
      </c>
    </row>
    <row r="250" spans="1:9">
      <c r="A250" s="1" t="s">
        <v>249</v>
      </c>
      <c r="B250" t="str">
        <f ca="1">_xlfn.LET(_xlpm.v,VLOOKUP(tblCharDataMagda[[#This Row],[Field]],INDIRECT($AH$1),2,FALSE),IF(OR(_xlpm.v=0,_xlpm.v=""),"-",REPT("●",_xlpm.v)))</f>
        <v>-</v>
      </c>
      <c r="D250" s="19" t="s">
        <v>1532</v>
      </c>
      <c r="E250" s="15" t="s">
        <v>1533</v>
      </c>
      <c r="F250" s="7"/>
      <c r="G250" s="7"/>
      <c r="H250" s="19"/>
      <c r="I250" s="19"/>
    </row>
    <row r="251" spans="1:9">
      <c r="A251" s="1" t="s">
        <v>250</v>
      </c>
      <c r="B251" t="str">
        <f ca="1">_xlfn.LET(_xlpm.v,VLOOKUP(tblCharDataMagda[[#This Row],[Field]],INDIRECT($AH$1),2,FALSE),IF(OR(_xlpm.v=0,_xlpm.v=""),"-",REPT("●",_xlpm.v)))</f>
        <v>●</v>
      </c>
      <c r="D251" s="19" t="s">
        <v>1532</v>
      </c>
      <c r="E251" s="15" t="s">
        <v>1534</v>
      </c>
      <c r="F251" s="7"/>
      <c r="G251" s="7"/>
      <c r="H251" s="19"/>
      <c r="I251" s="19"/>
    </row>
    <row r="252" spans="1:9">
      <c r="A252" s="1" t="s">
        <v>251</v>
      </c>
      <c r="B252" t="str">
        <f ca="1">_xlfn.LET(_xlpm.v,VLOOKUP(tblCharDataMagda[[#This Row],[Field]],INDIRECT($AH$1),2,FALSE),IF(OR(_xlpm.v=0,_xlpm.v=""),"-",REPT("●",_xlpm.v)))</f>
        <v>-</v>
      </c>
      <c r="D252" s="19" t="s">
        <v>1532</v>
      </c>
      <c r="E252" s="15" t="s">
        <v>1535</v>
      </c>
      <c r="F252" s="7"/>
      <c r="G252" s="7"/>
      <c r="H252" s="19"/>
      <c r="I252" s="19"/>
    </row>
    <row r="253" spans="1:9">
      <c r="A253" s="1" t="s">
        <v>252</v>
      </c>
      <c r="B253" t="str">
        <f ca="1">_xlfn.LET(_xlpm.v,VLOOKUP(tblCharDataMagda[[#This Row],[Field]],INDIRECT($AH$1),2,FALSE),IF(OR(_xlpm.v=0,_xlpm.v=""),"-",REPT("●",_xlpm.v)))</f>
        <v>●</v>
      </c>
      <c r="D253" s="19" t="s">
        <v>1532</v>
      </c>
      <c r="E253" s="15" t="s">
        <v>1536</v>
      </c>
      <c r="F253" s="7"/>
      <c r="G253" s="7"/>
      <c r="H253" s="19"/>
      <c r="I253" s="19"/>
    </row>
    <row r="254" spans="1:9">
      <c r="A254" s="1" t="s">
        <v>253</v>
      </c>
      <c r="B254" t="str">
        <f t="shared" ref="B254:B283" si="36">IF(AD44="","¬",AD44)</f>
        <v>Nightmare ● | Dread Presence</v>
      </c>
      <c r="D254" s="19" t="s">
        <v>1532</v>
      </c>
      <c r="E254" s="15" t="s">
        <v>1537</v>
      </c>
      <c r="F254" s="7"/>
      <c r="G254" s="7"/>
      <c r="H254" s="19"/>
      <c r="I254" s="19"/>
    </row>
    <row r="255" spans="1:9">
      <c r="A255" s="1" t="s">
        <v>254</v>
      </c>
      <c r="B255" t="str">
        <f t="shared" si="36"/>
        <v>Obfuscate ● | Face in the Crowd</v>
      </c>
      <c r="D255" s="19" t="s">
        <v>1532</v>
      </c>
      <c r="E255" s="15" t="s">
        <v>1538</v>
      </c>
      <c r="F255" s="7"/>
      <c r="G255" s="7"/>
      <c r="H255" s="19"/>
      <c r="I255" s="19"/>
    </row>
    <row r="256" spans="1:9">
      <c r="A256" s="1" t="s">
        <v>255</v>
      </c>
      <c r="B256" t="str">
        <f t="shared" si="36"/>
        <v>Blood Sorcery | Divination ●</v>
      </c>
      <c r="D256" s="19" t="s">
        <v>1532</v>
      </c>
      <c r="E256" s="15" t="s">
        <v>1539</v>
      </c>
      <c r="F256" s="7"/>
      <c r="G256" s="7"/>
      <c r="H256" s="19"/>
      <c r="I256" s="19"/>
    </row>
    <row r="257" spans="1:9">
      <c r="A257" s="1" t="s">
        <v>256</v>
      </c>
      <c r="B257" t="str">
        <f t="shared" si="36"/>
        <v>Blood Sorcery | Transmutation ●</v>
      </c>
      <c r="D257" s="19" t="s">
        <v>1532</v>
      </c>
      <c r="E257" s="15" t="s">
        <v>1540</v>
      </c>
      <c r="F257" s="7"/>
      <c r="G257" s="7"/>
      <c r="H257" s="19"/>
      <c r="I257" s="19"/>
    </row>
    <row r="258" spans="1:9">
      <c r="A258" s="1" t="s">
        <v>257</v>
      </c>
      <c r="B258" t="str">
        <f t="shared" si="36"/>
        <v>¬</v>
      </c>
      <c r="D258" s="19" t="s">
        <v>1532</v>
      </c>
      <c r="E258" s="15" t="s">
        <v>1541</v>
      </c>
      <c r="F258" s="7"/>
      <c r="G258" s="7"/>
      <c r="H258" s="19"/>
      <c r="I258" s="19"/>
    </row>
    <row r="259" spans="1:9">
      <c r="A259" s="1" t="s">
        <v>258</v>
      </c>
      <c r="B259" t="str">
        <f t="shared" si="36"/>
        <v>¬</v>
      </c>
      <c r="D259" s="19" t="s">
        <v>1532</v>
      </c>
      <c r="E259" s="15" t="s">
        <v>1542</v>
      </c>
      <c r="F259" s="7"/>
      <c r="G259" s="7"/>
      <c r="H259" s="19"/>
      <c r="I259" s="19"/>
    </row>
    <row r="260" spans="1:9">
      <c r="A260" s="1" t="s">
        <v>259</v>
      </c>
      <c r="B260" t="str">
        <f t="shared" si="36"/>
        <v>¬</v>
      </c>
      <c r="D260" s="19" t="s">
        <v>1532</v>
      </c>
      <c r="E260" s="15" t="s">
        <v>1543</v>
      </c>
      <c r="F260" s="7"/>
      <c r="G260" s="7"/>
      <c r="H260" s="19"/>
      <c r="I260" s="19"/>
    </row>
    <row r="261" spans="1:9">
      <c r="A261" s="1" t="s">
        <v>260</v>
      </c>
      <c r="B261" t="str">
        <f t="shared" si="36"/>
        <v>¬</v>
      </c>
      <c r="D261" s="19" t="s">
        <v>1532</v>
      </c>
      <c r="E261" s="15" t="s">
        <v>1544</v>
      </c>
      <c r="F261" s="7"/>
      <c r="G261" s="7"/>
      <c r="H261" s="19"/>
      <c r="I261" s="19"/>
    </row>
    <row r="262" spans="1:9">
      <c r="A262" s="1" t="s">
        <v>261</v>
      </c>
      <c r="B262" t="str">
        <f t="shared" si="36"/>
        <v>¬</v>
      </c>
      <c r="D262" s="19" t="s">
        <v>1532</v>
      </c>
      <c r="E262" s="15" t="s">
        <v>1545</v>
      </c>
      <c r="F262" s="7"/>
      <c r="G262" s="7"/>
      <c r="H262" s="19"/>
      <c r="I262" s="19"/>
    </row>
    <row r="263" spans="1:9">
      <c r="A263" s="1" t="s">
        <v>262</v>
      </c>
      <c r="B263" t="str">
        <f t="shared" si="36"/>
        <v>¬</v>
      </c>
      <c r="D263" s="19" t="s">
        <v>1532</v>
      </c>
      <c r="E263" s="15" t="s">
        <v>1546</v>
      </c>
      <c r="F263" s="7"/>
      <c r="G263" s="7"/>
      <c r="H263" s="19"/>
      <c r="I263" s="19"/>
    </row>
    <row r="264" spans="1:9">
      <c r="A264" s="1" t="s">
        <v>263</v>
      </c>
      <c r="B264" t="str">
        <f t="shared" si="36"/>
        <v>¬</v>
      </c>
      <c r="D264" s="19" t="s">
        <v>1532</v>
      </c>
      <c r="E264" s="15" t="s">
        <v>1547</v>
      </c>
      <c r="F264" s="7"/>
      <c r="G264" s="7"/>
      <c r="H264" s="19"/>
      <c r="I264" s="19"/>
    </row>
    <row r="265" spans="1:9">
      <c r="A265" s="1" t="s">
        <v>264</v>
      </c>
      <c r="B265" t="str">
        <f t="shared" si="36"/>
        <v>¬</v>
      </c>
      <c r="D265" s="19" t="s">
        <v>1532</v>
      </c>
      <c r="E265" s="15" t="s">
        <v>1548</v>
      </c>
      <c r="F265" s="7"/>
      <c r="G265" s="7"/>
      <c r="H265" s="19"/>
      <c r="I265" s="19"/>
    </row>
    <row r="266" spans="1:9">
      <c r="A266" s="1" t="s">
        <v>265</v>
      </c>
      <c r="B266" t="str">
        <f t="shared" si="36"/>
        <v>¬</v>
      </c>
      <c r="D266" s="19" t="s">
        <v>1532</v>
      </c>
      <c r="E266" s="15" t="s">
        <v>1549</v>
      </c>
      <c r="F266" s="7"/>
      <c r="G266" s="7"/>
      <c r="H266" s="19"/>
      <c r="I266" s="19"/>
    </row>
    <row r="267" spans="1:9">
      <c r="A267" s="1" t="s">
        <v>266</v>
      </c>
      <c r="B267" t="str">
        <f t="shared" si="36"/>
        <v>¬</v>
      </c>
      <c r="D267" s="19" t="s">
        <v>1532</v>
      </c>
      <c r="E267" s="15" t="s">
        <v>1550</v>
      </c>
      <c r="F267" s="7"/>
      <c r="G267" s="7"/>
      <c r="H267" s="19"/>
      <c r="I267" s="19"/>
    </row>
    <row r="268" spans="1:9">
      <c r="A268" s="1" t="s">
        <v>267</v>
      </c>
      <c r="B268" t="str">
        <f t="shared" si="36"/>
        <v>¬</v>
      </c>
      <c r="D268" s="19" t="s">
        <v>1532</v>
      </c>
      <c r="E268" s="15" t="s">
        <v>1551</v>
      </c>
      <c r="F268" s="7"/>
      <c r="G268" s="7"/>
      <c r="H268" s="19"/>
      <c r="I268" s="19"/>
    </row>
    <row r="269" spans="1:9">
      <c r="A269" s="1" t="s">
        <v>268</v>
      </c>
      <c r="B269" t="str">
        <f t="shared" si="36"/>
        <v>¬</v>
      </c>
      <c r="D269" s="19" t="s">
        <v>1532</v>
      </c>
      <c r="E269" s="15" t="s">
        <v>1552</v>
      </c>
      <c r="F269" s="7"/>
      <c r="G269" s="7"/>
      <c r="H269" s="19"/>
      <c r="I269" s="19"/>
    </row>
    <row r="270" spans="1:9">
      <c r="A270" s="1" t="s">
        <v>269</v>
      </c>
      <c r="B270" t="str">
        <f t="shared" si="36"/>
        <v>¬</v>
      </c>
      <c r="D270" s="19" t="s">
        <v>1532</v>
      </c>
      <c r="E270" s="15" t="s">
        <v>1553</v>
      </c>
      <c r="F270" s="7"/>
      <c r="G270" s="7"/>
      <c r="H270" s="19"/>
      <c r="I270" s="19"/>
    </row>
    <row r="271" spans="1:9">
      <c r="A271" s="1" t="s">
        <v>270</v>
      </c>
      <c r="B271" t="str">
        <f t="shared" si="36"/>
        <v>¬</v>
      </c>
      <c r="D271" s="19" t="s">
        <v>1532</v>
      </c>
      <c r="E271" s="15" t="s">
        <v>1554</v>
      </c>
      <c r="F271" s="7"/>
      <c r="G271" s="7"/>
      <c r="H271" s="19"/>
      <c r="I271" s="19"/>
    </row>
    <row r="272" spans="1:9">
      <c r="A272" s="1" t="s">
        <v>271</v>
      </c>
      <c r="B272" t="str">
        <f t="shared" si="36"/>
        <v>¬</v>
      </c>
      <c r="D272" s="19" t="s">
        <v>1532</v>
      </c>
      <c r="E272" s="15" t="s">
        <v>1555</v>
      </c>
      <c r="F272" s="7"/>
      <c r="G272" s="7"/>
      <c r="H272" s="19"/>
      <c r="I272" s="19"/>
    </row>
    <row r="273" spans="1:14">
      <c r="A273" s="1" t="s">
        <v>272</v>
      </c>
      <c r="B273" t="str">
        <f t="shared" si="36"/>
        <v>¬</v>
      </c>
      <c r="D273" s="19" t="s">
        <v>1532</v>
      </c>
      <c r="E273" s="15" t="s">
        <v>1556</v>
      </c>
      <c r="F273" s="7"/>
      <c r="G273" s="7"/>
      <c r="H273" s="19"/>
      <c r="I273" s="19"/>
    </row>
    <row r="274" spans="1:14">
      <c r="A274" s="1" t="s">
        <v>273</v>
      </c>
      <c r="B274" t="str">
        <f t="shared" si="36"/>
        <v>¬</v>
      </c>
      <c r="D274" s="19" t="s">
        <v>1532</v>
      </c>
      <c r="E274" s="15" t="s">
        <v>1557</v>
      </c>
      <c r="F274" s="7"/>
      <c r="G274" s="7"/>
      <c r="H274" s="19"/>
      <c r="I274" s="19"/>
    </row>
    <row r="275" spans="1:14">
      <c r="A275" s="1" t="s">
        <v>274</v>
      </c>
      <c r="B275" t="str">
        <f t="shared" si="36"/>
        <v>¬</v>
      </c>
      <c r="D275" s="19" t="s">
        <v>1532</v>
      </c>
      <c r="E275" s="15" t="s">
        <v>1558</v>
      </c>
      <c r="F275" s="7"/>
      <c r="G275" s="7"/>
      <c r="H275" s="19"/>
      <c r="I275" s="19"/>
    </row>
    <row r="276" spans="1:14">
      <c r="A276" s="1" t="s">
        <v>275</v>
      </c>
      <c r="B276" t="str">
        <f t="shared" si="36"/>
        <v>¬</v>
      </c>
      <c r="D276" s="19" t="s">
        <v>1532</v>
      </c>
      <c r="E276" s="15" t="s">
        <v>1559</v>
      </c>
      <c r="F276" s="7"/>
      <c r="G276" s="7"/>
      <c r="H276" s="19"/>
      <c r="I276" s="19"/>
    </row>
    <row r="277" spans="1:14">
      <c r="A277" s="1" t="s">
        <v>276</v>
      </c>
      <c r="B277" t="str">
        <f t="shared" si="36"/>
        <v>¬</v>
      </c>
      <c r="D277" s="19" t="s">
        <v>1532</v>
      </c>
      <c r="E277" s="15" t="s">
        <v>1560</v>
      </c>
      <c r="F277" s="7"/>
      <c r="G277" s="7"/>
      <c r="H277" s="19"/>
      <c r="I277" s="19"/>
    </row>
    <row r="278" spans="1:14">
      <c r="A278" s="1" t="s">
        <v>277</v>
      </c>
      <c r="B278" t="str">
        <f t="shared" si="36"/>
        <v>¬</v>
      </c>
    </row>
    <row r="279" spans="1:14">
      <c r="A279" s="1" t="s">
        <v>278</v>
      </c>
      <c r="B279" t="str">
        <f t="shared" si="36"/>
        <v>¬</v>
      </c>
      <c r="D279" s="16" t="s">
        <v>1561</v>
      </c>
      <c r="E279" s="16"/>
      <c r="F279" s="16" t="s">
        <v>1347</v>
      </c>
      <c r="G279" s="16" t="s">
        <v>1348</v>
      </c>
      <c r="H279" s="16" t="s">
        <v>1349</v>
      </c>
      <c r="I279" s="16" t="s">
        <v>1350</v>
      </c>
      <c r="N279" s="60">
        <f ca="1">SUM(N280:N282)</f>
        <v>3</v>
      </c>
    </row>
    <row r="280" spans="1:14">
      <c r="A280" s="1" t="s">
        <v>279</v>
      </c>
      <c r="B280" t="str">
        <f t="shared" si="36"/>
        <v>¬</v>
      </c>
      <c r="D280" s="61" t="str" cm="1">
        <f t="array" aca="1" ref="D280" ca="1">INDEX(Attendance!$C$14:$GP$44,
       MATCH($F$4, Attendance!$C$14:$C$44, 0),
       MATCH(1, (Attendance!$C$12:$GP$12=$E280) * (Attendance!$C$13:$GP$13="Paid"), 0)
)</f>
        <v>PayID</v>
      </c>
      <c r="E280" s="41">
        <v>46054</v>
      </c>
      <c r="F280" s="61" cm="1">
        <f t="array" aca="1" ref="F280" ca="1">N(INDEX(Attendance!$C$14:$GP$104,
       MATCH($F$4, Attendance!$C$14:$C$104, 0),
       MATCH(1, (Attendance!$C$12:$GP$12=$E280) * (Attendance!$C$13:$GP$13=$F$279), 0)
))</f>
        <v>3</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0</v>
      </c>
      <c r="I280" s="61" t="str" cm="1">
        <f t="array" aca="1" ref="I280" ca="1">INDEX(Attendance!$C$14:$GP$44,
       MATCH($F$4, Attendance!$C$14:$C$44, 0),
       MATCH(1, (Attendance!$C$12:$GP$12=$E280) * (Attendance!$C$13:$GP$13=$I$279), 0)
)</f>
        <v>Quiet</v>
      </c>
      <c r="K280" s="18"/>
      <c r="L280" s="18"/>
      <c r="M280" s="18" t="s">
        <v>1562</v>
      </c>
      <c r="N280" s="61">
        <f ca="1">SUM(F$280:F$316)</f>
        <v>3</v>
      </c>
    </row>
    <row r="281" spans="1:14">
      <c r="A281" s="1" t="s">
        <v>280</v>
      </c>
      <c r="B281" t="str">
        <f t="shared" si="36"/>
        <v>¬</v>
      </c>
      <c r="D281" s="61" t="str" cm="1">
        <f t="array" aca="1" ref="D281" ca="1">INDEX(Attendance!$C$14:$GP$44,
       MATCH($F$4, Attendance!$C$14:$C$44, 0),
       MATCH(1, (Attendance!$C$12:$GP$12=$E281) * (Attendance!$C$13:$GP$13="Paid"), 0)
)</f>
        <v> </v>
      </c>
      <c r="E281" s="42">
        <f t="shared" ref="E281:E316" si="37">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6"/>
        <v>¬</v>
      </c>
      <c r="D282" s="61" cm="1">
        <f t="array" aca="1" ref="D282" ca="1">INDEX(Attendance!$C$14:$GP$44,
       MATCH($F$4, Attendance!$C$14:$C$44, 0),
       MATCH(1, (Attendance!$C$12:$GP$12=$E282) * (Attendance!$C$13:$GP$13="Paid"), 0)
)</f>
        <v>0</v>
      </c>
      <c r="E282" s="42">
        <f t="shared" si="37"/>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0</v>
      </c>
    </row>
    <row r="283" spans="1:14">
      <c r="A283" s="1" t="s">
        <v>282</v>
      </c>
      <c r="B283" t="str">
        <f t="shared" si="36"/>
        <v>¬</v>
      </c>
      <c r="D283" s="61" cm="1">
        <f t="array" aca="1" ref="D283" ca="1">INDEX(Attendance!$C$14:$GP$44,
       MATCH($F$4, Attendance!$C$14:$C$44, 0),
       MATCH(1, (Attendance!$C$12:$GP$12=$E283) * (Attendance!$C$13:$GP$13="Paid"), 0)
)</f>
        <v>0</v>
      </c>
      <c r="E283" s="42">
        <f t="shared" si="37"/>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8">IF(AE44="","¬",AE44)</f>
        <v>Cost: -  •  Pool: -  •  Instant  •  Scene</v>
      </c>
      <c r="D284" s="61" cm="1">
        <f t="array" aca="1" ref="D284" ca="1">INDEX(Attendance!$C$14:$GP$44,
       MATCH($F$4, Attendance!$C$14:$C$44, 0),
       MATCH(1, (Attendance!$C$12:$GP$12=$E284) * (Attendance!$C$13:$GP$13="Paid"), 0)
)</f>
        <v>0</v>
      </c>
      <c r="E284" s="42">
        <f t="shared" si="37"/>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8"/>
        <v>Cost: -  •  Pool: -  •  Instant  •  Scene</v>
      </c>
      <c r="D285" s="61" cm="1">
        <f t="array" aca="1" ref="D285" ca="1">INDEX(Attendance!$C$14:$GP$44,
       MATCH($F$4, Attendance!$C$14:$C$44, 0),
       MATCH(1, (Attendance!$C$12:$GP$12=$E285) * (Attendance!$C$13:$GP$13="Paid"), 0)
)</f>
        <v>0</v>
      </c>
      <c r="E285" s="42">
        <f t="shared" si="37"/>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8"/>
        <v>¬</v>
      </c>
      <c r="D286" s="61" cm="1">
        <f t="array" aca="1" ref="D286" ca="1">INDEX(Attendance!$C$14:$GP$44,
       MATCH($F$4, Attendance!$C$14:$C$44, 0),
       MATCH(1, (Attendance!$C$12:$GP$12=$E286) * (Attendance!$C$13:$GP$13="Paid"), 0)
)</f>
        <v>0</v>
      </c>
      <c r="E286" s="42">
        <f t="shared" si="37"/>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8"/>
        <v>¬</v>
      </c>
      <c r="D287" s="61" cm="1">
        <f t="array" aca="1" ref="D287" ca="1">INDEX(Attendance!$C$14:$GP$44,
       MATCH($F$4, Attendance!$C$14:$C$44, 0),
       MATCH(1, (Attendance!$C$12:$GP$12=$E287) * (Attendance!$C$13:$GP$13="Paid"), 0)
)</f>
        <v>0</v>
      </c>
      <c r="E287" s="42">
        <f t="shared" si="37"/>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8"/>
        <v>¬</v>
      </c>
      <c r="D288" s="61" cm="1">
        <f t="array" aca="1" ref="D288" ca="1">INDEX(Attendance!$C$14:$GP$44,
       MATCH($F$4, Attendance!$C$14:$C$44, 0),
       MATCH(1, (Attendance!$C$12:$GP$12=$E288) * (Attendance!$C$13:$GP$13="Paid"), 0)
)</f>
        <v>0</v>
      </c>
      <c r="E288" s="42">
        <f t="shared" si="37"/>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8"/>
        <v>¬</v>
      </c>
      <c r="D289" s="61" cm="1">
        <f t="array" aca="1" ref="D289" ca="1">INDEX(Attendance!$C$14:$GP$44,
       MATCH($F$4, Attendance!$C$14:$C$44, 0),
       MATCH(1, (Attendance!$C$12:$GP$12=$E289) * (Attendance!$C$13:$GP$13="Paid"), 0)
)</f>
        <v>0</v>
      </c>
      <c r="E289" s="42">
        <f t="shared" si="37"/>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8"/>
        <v>¬</v>
      </c>
      <c r="D290" s="61" cm="1">
        <f t="array" aca="1" ref="D290" ca="1">INDEX(Attendance!$C$14:$GP$44,
       MATCH($F$4, Attendance!$C$14:$C$44, 0),
       MATCH(1, (Attendance!$C$12:$GP$12=$E290) * (Attendance!$C$13:$GP$13="Paid"), 0)
)</f>
        <v>0</v>
      </c>
      <c r="E290" s="42">
        <f t="shared" si="37"/>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8"/>
        <v>¬</v>
      </c>
      <c r="D291" s="61" cm="1">
        <f t="array" aca="1" ref="D291" ca="1">INDEX(Attendance!$C$14:$GP$44,
       MATCH($F$4, Attendance!$C$14:$C$44, 0),
       MATCH(1, (Attendance!$C$12:$GP$12=$E291) * (Attendance!$C$13:$GP$13="Paid"), 0)
)</f>
        <v>0</v>
      </c>
      <c r="E291" s="42">
        <f t="shared" si="37"/>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8"/>
        <v>¬</v>
      </c>
      <c r="D292" s="61" cm="1">
        <f t="array" aca="1" ref="D292" ca="1">INDEX(Attendance!$C$14:$GP$44,
       MATCH($F$4, Attendance!$C$14:$C$44, 0),
       MATCH(1, (Attendance!$C$12:$GP$12=$E292) * (Attendance!$C$13:$GP$13="Paid"), 0)
)</f>
        <v>0</v>
      </c>
      <c r="E292" s="42">
        <f t="shared" si="37"/>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8"/>
        <v>¬</v>
      </c>
      <c r="D293" s="61" cm="1">
        <f t="array" aca="1" ref="D293" ca="1">INDEX(Attendance!$C$14:$GP$44,
       MATCH($F$4, Attendance!$C$14:$C$44, 0),
       MATCH(1, (Attendance!$C$12:$GP$12=$E293) * (Attendance!$C$13:$GP$13="Paid"), 0)
)</f>
        <v>0</v>
      </c>
      <c r="E293" s="42">
        <f t="shared" si="37"/>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8"/>
        <v>¬</v>
      </c>
      <c r="D294" s="61" cm="1">
        <f t="array" aca="1" ref="D294" ca="1">INDEX(Attendance!$C$14:$GP$44,
       MATCH($F$4, Attendance!$C$14:$C$44, 0),
       MATCH(1, (Attendance!$C$12:$GP$12=$E294) * (Attendance!$C$13:$GP$13="Paid"), 0)
)</f>
        <v>0</v>
      </c>
      <c r="E294" s="42">
        <f t="shared" si="37"/>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8"/>
        <v>¬</v>
      </c>
      <c r="D295" s="61" cm="1">
        <f t="array" aca="1" ref="D295" ca="1">INDEX(Attendance!$C$14:$GP$44,
       MATCH($F$4, Attendance!$C$14:$C$44, 0),
       MATCH(1, (Attendance!$C$12:$GP$12=$E295) * (Attendance!$C$13:$GP$13="Paid"), 0)
)</f>
        <v>0</v>
      </c>
      <c r="E295" s="42">
        <f t="shared" si="37"/>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8"/>
        <v>¬</v>
      </c>
      <c r="D296" s="61" cm="1">
        <f t="array" aca="1" ref="D296" ca="1">INDEX(Attendance!$C$14:$GP$44,
       MATCH($F$4, Attendance!$C$14:$C$44, 0),
       MATCH(1, (Attendance!$C$12:$GP$12=$E296) * (Attendance!$C$13:$GP$13="Paid"), 0)
)</f>
        <v>0</v>
      </c>
      <c r="E296" s="42">
        <f t="shared" si="37"/>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8"/>
        <v>¬</v>
      </c>
      <c r="D297" s="61" cm="1">
        <f t="array" aca="1" ref="D297" ca="1">INDEX(Attendance!$C$14:$GP$44,
       MATCH($F$4, Attendance!$C$14:$C$44, 0),
       MATCH(1, (Attendance!$C$12:$GP$12=$E297) * (Attendance!$C$13:$GP$13="Paid"), 0)
)</f>
        <v>0</v>
      </c>
      <c r="E297" s="42">
        <f t="shared" si="37"/>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8"/>
        <v>¬</v>
      </c>
      <c r="D298" s="61" cm="1">
        <f t="array" aca="1" ref="D298" ca="1">INDEX(Attendance!$C$14:$GP$44,
       MATCH($F$4, Attendance!$C$14:$C$44, 0),
       MATCH(1, (Attendance!$C$12:$GP$12=$E298) * (Attendance!$C$13:$GP$13="Paid"), 0)
)</f>
        <v>0</v>
      </c>
      <c r="E298" s="42">
        <f t="shared" si="37"/>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8"/>
        <v>¬</v>
      </c>
      <c r="D299" s="61" cm="1">
        <f t="array" aca="1" ref="D299" ca="1">INDEX(Attendance!$C$14:$GP$44,
       MATCH($F$4, Attendance!$C$14:$C$44, 0),
       MATCH(1, (Attendance!$C$12:$GP$12=$E299) * (Attendance!$C$13:$GP$13="Paid"), 0)
)</f>
        <v>0</v>
      </c>
      <c r="E299" s="42">
        <f t="shared" si="37"/>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8"/>
        <v>¬</v>
      </c>
      <c r="D300" s="61" cm="1">
        <f t="array" aca="1" ref="D300" ca="1">INDEX(Attendance!$C$14:$GP$44,
       MATCH($F$4, Attendance!$C$14:$C$44, 0),
       MATCH(1, (Attendance!$C$12:$GP$12=$E300) * (Attendance!$C$13:$GP$13="Paid"), 0)
)</f>
        <v>0</v>
      </c>
      <c r="E300" s="42">
        <f t="shared" si="37"/>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8"/>
        <v>¬</v>
      </c>
      <c r="D301" s="61" cm="1">
        <f t="array" aca="1" ref="D301" ca="1">INDEX(Attendance!$C$14:$GP$44,
       MATCH($F$4, Attendance!$C$14:$C$44, 0),
       MATCH(1, (Attendance!$C$12:$GP$12=$E301) * (Attendance!$C$13:$GP$13="Paid"), 0)
)</f>
        <v>0</v>
      </c>
      <c r="E301" s="42">
        <f t="shared" si="37"/>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8"/>
        <v>¬</v>
      </c>
      <c r="D302" s="61" cm="1">
        <f t="array" aca="1" ref="D302" ca="1">INDEX(Attendance!$C$14:$GP$44,
       MATCH($F$4, Attendance!$C$14:$C$44, 0),
       MATCH(1, (Attendance!$C$12:$GP$12=$E302) * (Attendance!$C$13:$GP$13="Paid"), 0)
)</f>
        <v>0</v>
      </c>
      <c r="E302" s="42">
        <f t="shared" si="37"/>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8"/>
        <v>¬</v>
      </c>
      <c r="D303" s="61" cm="1">
        <f t="array" aca="1" ref="D303" ca="1">INDEX(Attendance!$C$14:$GP$44,
       MATCH($F$4, Attendance!$C$14:$C$44, 0),
       MATCH(1, (Attendance!$C$12:$GP$12=$E303) * (Attendance!$C$13:$GP$13="Paid"), 0)
)</f>
        <v>0</v>
      </c>
      <c r="E303" s="42">
        <f t="shared" si="37"/>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8"/>
        <v>¬</v>
      </c>
      <c r="D304" s="61" cm="1">
        <f t="array" aca="1" ref="D304" ca="1">INDEX(Attendance!$C$14:$GP$44,
       MATCH($F$4, Attendance!$C$14:$C$44, 0),
       MATCH(1, (Attendance!$C$12:$GP$12=$E304) * (Attendance!$C$13:$GP$13="Paid"), 0)
)</f>
        <v>0</v>
      </c>
      <c r="E304" s="42">
        <f t="shared" si="37"/>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8"/>
        <v>¬</v>
      </c>
      <c r="D305" s="61" cm="1">
        <f t="array" aca="1" ref="D305" ca="1">INDEX(Attendance!$C$14:$GP$44,
       MATCH($F$4, Attendance!$C$14:$C$44, 0),
       MATCH(1, (Attendance!$C$12:$GP$12=$E305) * (Attendance!$C$13:$GP$13="Paid"), 0)
)</f>
        <v>0</v>
      </c>
      <c r="E305" s="42">
        <f t="shared" si="37"/>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8"/>
        <v>¬</v>
      </c>
      <c r="D306" s="61" cm="1">
        <f t="array" aca="1" ref="D306" ca="1">INDEX(Attendance!$C$14:$GP$44,
       MATCH($F$4, Attendance!$C$14:$C$44, 0),
       MATCH(1, (Attendance!$C$12:$GP$12=$E306) * (Attendance!$C$13:$GP$13="Paid"), 0)
)</f>
        <v>0</v>
      </c>
      <c r="E306" s="42">
        <f t="shared" si="37"/>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8"/>
        <v>¬</v>
      </c>
      <c r="D307" s="61" cm="1">
        <f t="array" aca="1" ref="D307" ca="1">INDEX(Attendance!$C$14:$GP$44,
       MATCH($F$4, Attendance!$C$14:$C$44, 0),
       MATCH(1, (Attendance!$C$12:$GP$12=$E307) * (Attendance!$C$13:$GP$13="Paid"), 0)
)</f>
        <v>0</v>
      </c>
      <c r="E307" s="42">
        <f t="shared" si="37"/>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8"/>
        <v>¬</v>
      </c>
      <c r="D308" s="61" cm="1">
        <f t="array" aca="1" ref="D308" ca="1">INDEX(Attendance!$C$14:$GP$44,
       MATCH($F$4, Attendance!$C$14:$C$44, 0),
       MATCH(1, (Attendance!$C$12:$GP$12=$E308) * (Attendance!$C$13:$GP$13="Paid"), 0)
)</f>
        <v>0</v>
      </c>
      <c r="E308" s="42">
        <f t="shared" si="37"/>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8"/>
        <v>¬</v>
      </c>
      <c r="D309" s="61" cm="1">
        <f t="array" aca="1" ref="D309" ca="1">INDEX(Attendance!$C$14:$GP$44,
       MATCH($F$4, Attendance!$C$14:$C$44, 0),
       MATCH(1, (Attendance!$C$12:$GP$12=$E309) * (Attendance!$C$13:$GP$13="Paid"), 0)
)</f>
        <v>0</v>
      </c>
      <c r="E309" s="42">
        <f t="shared" si="37"/>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8"/>
        <v>¬</v>
      </c>
      <c r="D310" s="61" cm="1">
        <f t="array" aca="1" ref="D310" ca="1">INDEX(Attendance!$C$14:$GP$44,
       MATCH($F$4, Attendance!$C$14:$C$44, 0),
       MATCH(1, (Attendance!$C$12:$GP$12=$E310) * (Attendance!$C$13:$GP$13="Paid"), 0)
)</f>
        <v>0</v>
      </c>
      <c r="E310" s="42">
        <f t="shared" si="37"/>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8"/>
        <v>¬</v>
      </c>
      <c r="D311" s="61" cm="1">
        <f t="array" aca="1" ref="D311" ca="1">INDEX(Attendance!$C$14:$GP$44,
       MATCH($F$4, Attendance!$C$14:$C$44, 0),
       MATCH(1, (Attendance!$C$12:$GP$12=$E311) * (Attendance!$C$13:$GP$13="Paid"), 0)
)</f>
        <v>0</v>
      </c>
      <c r="E311" s="42">
        <f t="shared" si="37"/>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8"/>
        <v>¬</v>
      </c>
      <c r="D312" s="61" cm="1">
        <f t="array" aca="1" ref="D312" ca="1">INDEX(Attendance!$C$14:$GP$44,
       MATCH($F$4, Attendance!$C$14:$C$44, 0),
       MATCH(1, (Attendance!$C$12:$GP$12=$E312) * (Attendance!$C$13:$GP$13="Paid"), 0)
)</f>
        <v>0</v>
      </c>
      <c r="E312" s="42">
        <f t="shared" si="37"/>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8"/>
        <v>¬</v>
      </c>
      <c r="D313" s="61" cm="1">
        <f t="array" aca="1" ref="D313" ca="1">INDEX(Attendance!$C$14:$GP$44,
       MATCH($F$4, Attendance!$C$14:$C$44, 0),
       MATCH(1, (Attendance!$C$12:$GP$12=$E313) * (Attendance!$C$13:$GP$13="Paid"), 0)
)</f>
        <v>0</v>
      </c>
      <c r="E313" s="42">
        <f t="shared" si="37"/>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39">IF(AF44="","¬",AF44)</f>
        <v>Conjure brief illusions. Improve Intimidation. Prevent foes spending Willpower.</v>
      </c>
      <c r="D314" s="61" cm="1">
        <f t="array" aca="1" ref="D314" ca="1">INDEX(Attendance!$C$14:$GP$44,
       MATCH($F$4, Attendance!$C$14:$C$44, 0),
       MATCH(1, (Attendance!$C$12:$GP$12=$E314) * (Attendance!$C$13:$GP$13="Paid"), 0)
)</f>
        <v>0</v>
      </c>
      <c r="E314" s="42">
        <f t="shared" si="37"/>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39"/>
        <v>Blend into surroundings, visible but unnoticeable. Predatory aura fully on or off. Leaving combat: Wits + Composure - Obfuscate to notice; auto Clash of Wills vs Auspex.</v>
      </c>
      <c r="D315" s="61" cm="1">
        <f t="array" aca="1" ref="D315" ca="1">INDEX(Attendance!$C$14:$GP$44,
       MATCH($F$4, Attendance!$C$14:$C$44, 0),
       MATCH(1, (Attendance!$C$12:$GP$12=$E315) * (Attendance!$C$13:$GP$13="Paid"), 0)
)</f>
        <v>0</v>
      </c>
      <c r="E315" s="42">
        <f t="shared" si="37"/>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39"/>
        <v>Glimpse fragmented details about intended actions. Learn basic info about a target.</v>
      </c>
      <c r="D316" s="61" cm="1">
        <f t="array" aca="1" ref="D316" ca="1">INDEX(Attendance!$C$14:$GP$44,
       MATCH($F$4, Attendance!$C$14:$C$44, 0),
       MATCH(1, (Attendance!$C$12:$GP$12=$E316) * (Attendance!$C$13:$GP$13="Paid"), 0)
)</f>
        <v>0</v>
      </c>
      <c r="E316" s="42">
        <f t="shared" si="37"/>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39"/>
        <v>Minor cosmetic changes to living subjects. Warp dead matter. Animate liquids.</v>
      </c>
    </row>
    <row r="318" spans="1:9">
      <c r="A318" s="1" t="s">
        <v>317</v>
      </c>
      <c r="B318" t="str">
        <f t="shared" si="39"/>
        <v>¬</v>
      </c>
    </row>
    <row r="319" spans="1:9">
      <c r="A319" s="1" t="s">
        <v>318</v>
      </c>
      <c r="B319" t="str">
        <f t="shared" si="39"/>
        <v>¬</v>
      </c>
    </row>
    <row r="320" spans="1:9">
      <c r="A320" s="1" t="s">
        <v>319</v>
      </c>
      <c r="B320" t="str">
        <f t="shared" si="39"/>
        <v>¬</v>
      </c>
    </row>
    <row r="321" spans="1:2">
      <c r="A321" s="1" t="s">
        <v>320</v>
      </c>
      <c r="B321" t="str">
        <f t="shared" si="39"/>
        <v>¬</v>
      </c>
    </row>
    <row r="322" spans="1:2">
      <c r="A322" s="1" t="s">
        <v>321</v>
      </c>
      <c r="B322" t="str">
        <f t="shared" si="39"/>
        <v>¬</v>
      </c>
    </row>
    <row r="323" spans="1:2">
      <c r="A323" s="1" t="s">
        <v>322</v>
      </c>
      <c r="B323" t="str">
        <f t="shared" si="39"/>
        <v>¬</v>
      </c>
    </row>
    <row r="324" spans="1:2">
      <c r="A324" s="1" t="s">
        <v>323</v>
      </c>
      <c r="B324" t="str">
        <f t="shared" si="39"/>
        <v>¬</v>
      </c>
    </row>
    <row r="325" spans="1:2">
      <c r="A325" s="1" t="s">
        <v>324</v>
      </c>
      <c r="B325" t="str">
        <f t="shared" si="39"/>
        <v>¬</v>
      </c>
    </row>
    <row r="326" spans="1:2">
      <c r="A326" s="1" t="s">
        <v>325</v>
      </c>
      <c r="B326" t="str">
        <f t="shared" si="39"/>
        <v>¬</v>
      </c>
    </row>
    <row r="327" spans="1:2">
      <c r="A327" s="1" t="s">
        <v>326</v>
      </c>
      <c r="B327" t="str">
        <f t="shared" si="39"/>
        <v>¬</v>
      </c>
    </row>
    <row r="328" spans="1:2">
      <c r="A328" s="1" t="s">
        <v>327</v>
      </c>
      <c r="B328" t="str">
        <f t="shared" si="39"/>
        <v>¬</v>
      </c>
    </row>
    <row r="329" spans="1:2">
      <c r="A329" s="1" t="s">
        <v>328</v>
      </c>
      <c r="B329" t="str">
        <f t="shared" si="39"/>
        <v>¬</v>
      </c>
    </row>
    <row r="330" spans="1:2">
      <c r="A330" s="1" t="s">
        <v>329</v>
      </c>
      <c r="B330" t="str">
        <f t="shared" si="39"/>
        <v>¬</v>
      </c>
    </row>
    <row r="331" spans="1:2">
      <c r="A331" s="1" t="s">
        <v>330</v>
      </c>
      <c r="B331" t="str">
        <f t="shared" si="39"/>
        <v>¬</v>
      </c>
    </row>
    <row r="332" spans="1:2">
      <c r="A332" s="1" t="s">
        <v>331</v>
      </c>
      <c r="B332" t="str">
        <f t="shared" si="39"/>
        <v>¬</v>
      </c>
    </row>
    <row r="333" spans="1:2">
      <c r="A333" s="1" t="s">
        <v>332</v>
      </c>
      <c r="B333" t="str">
        <f t="shared" si="39"/>
        <v>¬</v>
      </c>
    </row>
    <row r="334" spans="1:2">
      <c r="A334" s="1" t="s">
        <v>333</v>
      </c>
      <c r="B334" t="str">
        <f t="shared" si="39"/>
        <v>¬</v>
      </c>
    </row>
    <row r="335" spans="1:2">
      <c r="A335" s="1" t="s">
        <v>334</v>
      </c>
      <c r="B335" t="str">
        <f t="shared" si="39"/>
        <v>¬</v>
      </c>
    </row>
    <row r="336" spans="1:2">
      <c r="A336" s="1" t="s">
        <v>335</v>
      </c>
      <c r="B336" t="str">
        <f t="shared" si="39"/>
        <v>¬</v>
      </c>
    </row>
    <row r="337" spans="1:2">
      <c r="A337" s="1" t="s">
        <v>336</v>
      </c>
      <c r="B337" t="str">
        <f t="shared" si="39"/>
        <v>¬</v>
      </c>
    </row>
    <row r="338" spans="1:2">
      <c r="A338" s="1" t="s">
        <v>337</v>
      </c>
      <c r="B338" t="str">
        <f t="shared" si="39"/>
        <v>¬</v>
      </c>
    </row>
    <row r="339" spans="1:2">
      <c r="A339" s="1" t="s">
        <v>338</v>
      </c>
      <c r="B339" t="str">
        <f t="shared" si="39"/>
        <v>¬</v>
      </c>
    </row>
    <row r="340" spans="1:2">
      <c r="A340" s="1" t="s">
        <v>339</v>
      </c>
      <c r="B340" t="str">
        <f t="shared" si="39"/>
        <v>¬</v>
      </c>
    </row>
    <row r="341" spans="1:2">
      <c r="A341" s="1" t="s">
        <v>340</v>
      </c>
      <c r="B341" t="str">
        <f t="shared" si="39"/>
        <v>¬</v>
      </c>
    </row>
    <row r="342" spans="1:2">
      <c r="A342" s="1" t="s">
        <v>341</v>
      </c>
      <c r="B342" t="str">
        <f t="shared" si="39"/>
        <v>¬</v>
      </c>
    </row>
    <row r="343" spans="1:2">
      <c r="A343" s="1" t="s">
        <v>342</v>
      </c>
      <c r="B343" t="str">
        <f t="shared" si="39"/>
        <v>¬</v>
      </c>
    </row>
    <row r="344" spans="1:2">
      <c r="A344" s="1" t="s">
        <v>343</v>
      </c>
      <c r="B344" s="8" t="str">
        <f>IF(VLOOKUP(tblCharDataMagda[[#This Row],[Field]],$E$2:$F$361,2,FALSE)="","¬",VLOOKUP(tblCharDataMagda[[#This Row],[Field]],$E$2:$F$361,2,FALSE))</f>
        <v>Lonely Curse</v>
      </c>
    </row>
    <row r="345" spans="1:2">
      <c r="A345" s="1" t="s">
        <v>344</v>
      </c>
      <c r="B345" s="8" t="str">
        <f>IF(VLOOKUP(tblCharDataMagda[[#This Row],[Field]],$E$2:$F$361,2,FALSE)="","¬",VLOOKUP(tblCharDataMagda[[#This Row],[Field]],$E$2:$F$361,2,FALSE))</f>
        <v>¬</v>
      </c>
    </row>
    <row r="346" spans="1:2">
      <c r="A346" s="1" t="s">
        <v>345</v>
      </c>
      <c r="B346" s="8" t="str">
        <f>IF(VLOOKUP(tblCharDataMagda[[#This Row],[Field]],$E$2:$F$361,2,FALSE)="","¬",VLOOKUP(tblCharDataMagda[[#This Row],[Field]],$E$2:$F$361,2,FALSE))</f>
        <v>¬</v>
      </c>
    </row>
    <row r="347" spans="1:2">
      <c r="A347" s="1" t="s">
        <v>346</v>
      </c>
      <c r="B347" s="8" t="str">
        <f>IF(VLOOKUP(tblCharDataMagda[[#This Row],[Field]],$E$2:$F$361,2,FALSE)="","¬",VLOOKUP(tblCharDataMagda[[#This Row],[Field]],$E$2:$F$361,2,FALSE))</f>
        <v>¬</v>
      </c>
    </row>
    <row r="348" spans="1:2">
      <c r="A348" s="1" t="s">
        <v>347</v>
      </c>
      <c r="B348" s="8" t="str">
        <f>IF(VLOOKUP(tblCharDataMagda[[#This Row],[Field]],$E$2:$F$361,2,FALSE)="","¬",VLOOKUP(tblCharDataMagda[[#This Row],[Field]],$E$2:$F$361,2,FALSE))</f>
        <v>¬</v>
      </c>
    </row>
    <row r="349" spans="1:2">
      <c r="A349" s="1" t="s">
        <v>348</v>
      </c>
      <c r="B349" t="str">
        <f>_xlfn.IFNA(VLOOKUP(B344,$F$234:$I$238,3,FALSE),"")</f>
        <v>With mortals, Humanity counts –2; Presence/Manipulation failures become dramatic failures. Intimidation and Subterfuge unaffected.</v>
      </c>
    </row>
    <row r="350" spans="1:2">
      <c r="A350" s="1" t="s">
        <v>349</v>
      </c>
      <c r="B350" t="str">
        <f>_xlfn.IFNA(VLOOKUP(B345,$F$234:$I$238,3,FALSE),"¬")</f>
        <v>¬</v>
      </c>
    </row>
    <row r="351" spans="1:2">
      <c r="A351" s="1" t="s">
        <v>350</v>
      </c>
      <c r="B351" t="str">
        <f>_xlfn.IFNA(VLOOKUP(B346,$F$234:$I$238,3,FALSE),"")</f>
        <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10</v>
      </c>
    </row>
    <row r="356" spans="1:2">
      <c r="A356" s="1" t="s">
        <v>355</v>
      </c>
      <c r="B356">
        <f ca="1">P220</f>
        <v>2</v>
      </c>
    </row>
    <row r="357" spans="1:2">
      <c r="A357" s="1" t="s">
        <v>356</v>
      </c>
      <c r="B357" t="str">
        <f>IF(F10="","¬",VLOOKUP(F10,tblAnchors[],2,FALSE))</f>
        <v>Take another's burden upon yourself without expecting recompense.</v>
      </c>
    </row>
    <row r="358" spans="1:2">
      <c r="A358" s="1" t="s">
        <v>357</v>
      </c>
      <c r="B358" t="str">
        <f>IF(F10="","¬",VLOOKUP(F10,tblAnchors[],3,FALSE))</f>
        <v>Put yourself at risk to save someone else or an ideology.</v>
      </c>
    </row>
    <row r="359" spans="1:2">
      <c r="A359" s="1" t="s">
        <v>358</v>
      </c>
      <c r="B359" t="str">
        <f>IF(F11="","¬",VLOOKUP(F11,tblAnchors[],2,FALSE))</f>
        <v>Find and experience a new source of hurt.</v>
      </c>
    </row>
    <row r="360" spans="1:2">
      <c r="A360" s="1" t="s">
        <v>359</v>
      </c>
      <c r="B360" t="str">
        <f>IF(F11="","¬",VLOOKUP(F11,tblAnchors[],3,FALSE))</f>
        <v>Willingly explore pain beyond the point of safety and reason.</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
      </c>
    </row>
    <row r="365" spans="1:2">
      <c r="A365" s="1" t="s">
        <v>364</v>
      </c>
      <c r="B365" t="str">
        <f>_xlfn.LET(_xlpm.a,IF(F244="","",F244),_xlpm.b,IF(F245="","",F245),IF(AND(_xlpm.a&lt;&gt;"",_xlpm.b&lt;&gt;""),_xlpm.a&amp;", "&amp;_xlpm.b,IF(_xlpm.a&lt;&gt;"",_xlpm.a,IF(_xlpm.b&lt;&gt;"",_xlpm.b,""))))</f>
        <v/>
      </c>
    </row>
  </sheetData>
  <mergeCells count="89">
    <mergeCell ref="F240:I240"/>
    <mergeCell ref="F241:I241"/>
    <mergeCell ref="F242:I242"/>
    <mergeCell ref="F244:I244"/>
    <mergeCell ref="F245:I245"/>
    <mergeCell ref="H238:I238"/>
    <mergeCell ref="H208:I208"/>
    <mergeCell ref="H209:I209"/>
    <mergeCell ref="H210:I210"/>
    <mergeCell ref="H211:I211"/>
    <mergeCell ref="H212:I212"/>
    <mergeCell ref="H213:I213"/>
    <mergeCell ref="H214:I214"/>
    <mergeCell ref="H215:I215"/>
    <mergeCell ref="H234:I234"/>
    <mergeCell ref="H236:I236"/>
    <mergeCell ref="H237:I237"/>
    <mergeCell ref="H207:I207"/>
    <mergeCell ref="H153:I153"/>
    <mergeCell ref="H154:I154"/>
    <mergeCell ref="H155:I155"/>
    <mergeCell ref="H156:I156"/>
    <mergeCell ref="H157:I157"/>
    <mergeCell ref="H177:I177"/>
    <mergeCell ref="H178:I178"/>
    <mergeCell ref="H179:I179"/>
    <mergeCell ref="H180:I180"/>
    <mergeCell ref="H181:I181"/>
    <mergeCell ref="H206:I206"/>
    <mergeCell ref="H152:I152"/>
    <mergeCell ref="H141:I141"/>
    <mergeCell ref="H142:I142"/>
    <mergeCell ref="H143:I143"/>
    <mergeCell ref="H144:I144"/>
    <mergeCell ref="H145:I145"/>
    <mergeCell ref="H146:I146"/>
    <mergeCell ref="H147:I147"/>
    <mergeCell ref="H148:I148"/>
    <mergeCell ref="H149:I149"/>
    <mergeCell ref="H150:I150"/>
    <mergeCell ref="H151:I151"/>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11:I111"/>
    <mergeCell ref="H98:I98"/>
    <mergeCell ref="H101:I101"/>
    <mergeCell ref="H102:I102"/>
    <mergeCell ref="H103:I103"/>
    <mergeCell ref="H104:I104"/>
    <mergeCell ref="H105:I105"/>
    <mergeCell ref="H106:I106"/>
    <mergeCell ref="H107:I107"/>
    <mergeCell ref="H108:I108"/>
    <mergeCell ref="H109:I109"/>
    <mergeCell ref="H110:I110"/>
    <mergeCell ref="H97:I97"/>
    <mergeCell ref="H86:I86"/>
    <mergeCell ref="H87:I87"/>
    <mergeCell ref="H88:I88"/>
    <mergeCell ref="H89:I89"/>
    <mergeCell ref="H90:I90"/>
    <mergeCell ref="H91:I91"/>
    <mergeCell ref="H92:I92"/>
    <mergeCell ref="H93:I93"/>
    <mergeCell ref="H94:I94"/>
    <mergeCell ref="H95:I95"/>
    <mergeCell ref="H96:I96"/>
    <mergeCell ref="H85:I85"/>
    <mergeCell ref="O8:P8"/>
    <mergeCell ref="O9:P9"/>
    <mergeCell ref="O10:P10"/>
    <mergeCell ref="O11:P11"/>
    <mergeCell ref="O12:P12"/>
    <mergeCell ref="H79:I79"/>
    <mergeCell ref="H80:I80"/>
    <mergeCell ref="H81:I81"/>
    <mergeCell ref="H82:I82"/>
    <mergeCell ref="H83:I83"/>
    <mergeCell ref="H84:I84"/>
  </mergeCells>
  <dataValidations count="15">
    <dataValidation type="list" allowBlank="1" showInputMessage="1" showErrorMessage="1" sqref="G248:G277" xr:uid="{6EF99A8D-3070-4580-9DB3-0D69684F3CA3}">
      <formula1>$I$248:$I$249</formula1>
    </dataValidation>
    <dataValidation type="list" allowBlank="1" showInputMessage="1" showErrorMessage="1" sqref="F101:F120" xr:uid="{CB8B70B3-7346-47C5-BA58-6FDB1EA883AB}">
      <formula1>lstManoeuvres</formula1>
    </dataValidation>
    <dataValidation type="list" allowBlank="1" showInputMessage="1" showErrorMessage="1" sqref="F79:F98" xr:uid="{301D9B5D-ED7B-4799-AB9B-C216D656B1F7}">
      <formula1>lstMerits</formula1>
    </dataValidation>
    <dataValidation type="list" allowBlank="1" showInputMessage="1" showErrorMessage="1" sqref="F236:F238" xr:uid="{2FD2CD90-E923-48F7-A708-4B4CB6918195}">
      <formula1>lstBanes</formula1>
    </dataValidation>
    <dataValidation type="list" allowBlank="1" showInputMessage="1" showErrorMessage="1" sqref="F206:F215" xr:uid="{4624CEEC-56A5-43FE-B266-CB9ED4C3D6F8}">
      <formula1>lstPacts</formula1>
    </dataValidation>
    <dataValidation type="list" allowBlank="1" showInputMessage="1" showErrorMessage="1" sqref="G12:G13" xr:uid="{AABC2FF1-1548-4033-AE4B-60A1B437C55A}">
      <formula1>lstStatus</formula1>
    </dataValidation>
    <dataValidation type="list" allowBlank="1" showInputMessage="1" showErrorMessage="1" sqref="F194:F205 F207:F215" xr:uid="{5C864374-89A6-4668-BE94-9169FD3BC142}">
      <formula1>lstRites</formula1>
    </dataValidation>
    <dataValidation type="list" allowBlank="1" showInputMessage="1" showErrorMessage="1" sqref="F177:F181" xr:uid="{DFB55614-3525-4086-8590-544494E4E4B5}">
      <formula1>lstDevotions</formula1>
    </dataValidation>
    <dataValidation type="list" allowBlank="1" showInputMessage="1" showErrorMessage="1" sqref="F17:F21" xr:uid="{A059A037-5360-4A83-BF15-0981394902C0}">
      <formula1>"TRUE,FALSE"</formula1>
    </dataValidation>
    <dataValidation type="list" allowBlank="1" showInputMessage="1" showErrorMessage="1" sqref="F24" xr:uid="{0C86C182-4166-43B7-BCC2-BC472A05E689}">
      <formula1>$D$7:$D$8</formula1>
    </dataValidation>
    <dataValidation type="list" allowBlank="1" showInputMessage="1" showErrorMessage="1" sqref="I25 I30 I35 I41 I51 I61" xr:uid="{2FF4E6A4-8750-44F6-AD61-C89B0541430E}">
      <formula1>lstPriority</formula1>
    </dataValidation>
    <dataValidation type="list" allowBlank="1" showInputMessage="1" showErrorMessage="1" sqref="F10:F11" xr:uid="{81CAB5E5-E3FF-443B-BA64-1DE5756075C3}">
      <formula1>lstNature</formula1>
    </dataValidation>
    <dataValidation type="list" allowBlank="1" showInputMessage="1" showErrorMessage="1" sqref="F8" xr:uid="{7E197964-A2C6-481B-9037-B58259C18C1D}">
      <formula1>lstBloodlines</formula1>
    </dataValidation>
    <dataValidation type="list" allowBlank="1" showInputMessage="1" showErrorMessage="1" sqref="F9" xr:uid="{F7BA0171-5423-4213-BBC2-8D233ACD4DEB}">
      <formula1>lstCovenant</formula1>
    </dataValidation>
    <dataValidation type="list" allowBlank="1" showInputMessage="1" showErrorMessage="1" sqref="F7" xr:uid="{83F5EBAE-0B23-4896-9D5B-926CB3DBF4DC}">
      <formula1>lstClan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317E873-5C25-45E4-A99E-7BC788399553}">
          <x14:formula1>
            <xm:f>'Lookup-Domain'!$A$2:$A$8</xm:f>
          </x14:formula1>
          <xm:sqref>F138:F157 F161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0597-763D-4790-8EF8-FA1F550E41D8}">
  <dimension ref="A1:AK365"/>
  <sheetViews>
    <sheetView zoomScale="70" zoomScaleNormal="70" workbookViewId="0">
      <pane ySplit="1" topLeftCell="A2" activePane="bottomLeft" state="frozen"/>
      <selection pane="bottomLeft" activeCell="I1" sqref="I1"/>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
      </c>
      <c r="AC2" s="60" t="str" cm="1">
        <f t="array" ref="AC2">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
      </c>
      <c r="AD2" s="20" t="str">
        <f>IF(AC2="","¬",_xlfn.LET(_xlpm.base,IFERROR(LEFT(AC2,FIND(" (",AC2)-1),AC2),IFERROR(VLOOKUP(_xlpm.base,tblManoeuvre[],2,FALSE) &amp; " " &amp; REPT("●",VLOOKUP(_xlpm.base,tblManoeuvre[],3,FALSE)) &amp; " | " &amp; AC2,AC2 &amp; " " &amp; REPT("●",VLOOKUP(_xlpm.base,$F$79:$P$120,11,FALSE)))))</f>
        <v>¬</v>
      </c>
      <c r="AE2" s="20"/>
      <c r="AF2" s="20" t="str">
        <f>IF(LEN(AC2)=0,"¬",_xlfn.LET(_xlpm.base,IFERROR(LEFT(AC2,FIND(" (",AC2)-1),AC2),IFERROR(VLOOKUP(_xlpm.base,tblMerits[],5,FALSE),IFERROR(VLOOKUP(_xlpm.base,tblManoeuvre[],9,FALSE),"¬"))))</f>
        <v>¬</v>
      </c>
      <c r="AI2" s="15" t="s">
        <v>25</v>
      </c>
      <c r="AJ2" s="61">
        <f t="shared" ref="AJ2:AJ58" si="1">VLOOKUP(AI2,$E$3:$P$221,12,FALSE)</f>
        <v>2</v>
      </c>
      <c r="AK2" s="61">
        <f>IF(AJ2=0,IF(COUNTIF($E$42:$E$49,AI2)&gt;0,-3,-1),AJ2)</f>
        <v>2</v>
      </c>
    </row>
    <row r="3" spans="1:37">
      <c r="A3" s="1" t="s">
        <v>2</v>
      </c>
      <c r="B3">
        <f ca="1">N3</f>
        <v>2</v>
      </c>
      <c r="D3" s="19"/>
      <c r="E3" s="15" t="s">
        <v>4</v>
      </c>
      <c r="F3" s="3" t="s">
        <v>1229</v>
      </c>
      <c r="G3" s="18"/>
      <c r="H3" s="18"/>
      <c r="I3" s="18" t="s">
        <v>1425</v>
      </c>
      <c r="N3" s="60">
        <f ca="1">10+SUM(N4:N6)-SUM(N7)</f>
        <v>2</v>
      </c>
      <c r="Y3" s="15" t="s">
        <v>115</v>
      </c>
      <c r="Z3" s="19"/>
      <c r="AA3" s="61" t="str">
        <f t="shared" si="0"/>
        <v/>
      </c>
      <c r="AC3" s="60"/>
      <c r="AD3" s="20" t="str">
        <f>IF(AC3="","¬",_xlfn.LET(_xlpm.base,IFERROR(LEFT(AC3,FIND(" (",AC3)-1),AC3),IFERROR(VLOOKUP(_xlpm.base,tblManoeuvre[],2,FALSE) &amp; " " &amp; REPT("●",VLOOKUP(_xlpm.base,tblManoeuvre[],3,FALSE)) &amp; " | " &amp; AC3,AC3 &amp; " " &amp; REPT("●",VLOOKUP(_xlpm.base,$F$79:$P$120,11,FALSE)))))</f>
        <v>¬</v>
      </c>
      <c r="AE3" s="20"/>
      <c r="AF3" s="20" t="str">
        <f>IF(LEN(AC3)=0,"¬",_xlfn.LET(_xlpm.base,IFERROR(LEFT(AC3,FIND(" (",AC3)-1),AC3),IFERROR(VLOOKUP(_xlpm.base,tblMerits[],5,FALSE),IFERROR(VLOOKUP(_xlpm.base,tblManoeuvre[],9,FALSE),"¬"))))</f>
        <v>¬</v>
      </c>
      <c r="AI3" s="15" t="s">
        <v>41</v>
      </c>
      <c r="AJ3" s="61">
        <f t="shared" si="1"/>
        <v>0</v>
      </c>
      <c r="AK3" s="61">
        <f>IF(AJ3=0,IF(COUNTIF($E$42:$E$49,AI3)&gt;0,-3,-1),AJ3)</f>
        <v>-1</v>
      </c>
    </row>
    <row r="4" spans="1:37">
      <c r="A4" s="1" t="s">
        <v>3</v>
      </c>
      <c r="B4">
        <f ca="1">SUM(N3:N9)</f>
        <v>30</v>
      </c>
      <c r="D4" s="19"/>
      <c r="E4" s="15" t="s">
        <v>5</v>
      </c>
      <c r="F4" s="3" t="s">
        <v>1230</v>
      </c>
      <c r="G4" s="18"/>
      <c r="H4" s="18"/>
      <c r="I4" s="18" t="s">
        <v>1426</v>
      </c>
      <c r="N4" s="61">
        <f>K73*2</f>
        <v>2</v>
      </c>
      <c r="Y4" s="15" t="s">
        <v>116</v>
      </c>
      <c r="Z4" s="19"/>
      <c r="AA4" s="61" t="str">
        <f t="shared" si="0"/>
        <v/>
      </c>
      <c r="AC4" s="60"/>
      <c r="AD4" s="20" t="str">
        <f>IF(AC4="","¬",_xlfn.LET(_xlpm.base,IFERROR(LEFT(AC4,FIND(" (",AC4)-1),AC4),IFERROR(VLOOKUP(_xlpm.base,tblManoeuvre[],2,FALSE) &amp; " " &amp; REPT("●",VLOOKUP(_xlpm.base,tblManoeuvre[],3,FALSE)) &amp; " | " &amp; AC4,AC4 &amp; " " &amp; REPT("●",VLOOKUP(_xlpm.base,$F$79:$P$120,11,FALSE)))))</f>
        <v>¬</v>
      </c>
      <c r="AE4" s="20"/>
      <c r="AF4" s="20" t="str">
        <f>IF(LEN(AC4)=0,"¬",_xlfn.LET(_xlpm.base,IFERROR(LEFT(AC4,FIND(" (",AC4)-1),AC4),IFERROR(VLOOKUP(_xlpm.base,tblMerits[],5,FALSE),IFERROR(VLOOKUP(_xlpm.base,tblManoeuvre[],9,FALSE),"¬"))))</f>
        <v>¬</v>
      </c>
      <c r="AI4" s="15" t="s">
        <v>236</v>
      </c>
      <c r="AJ4" s="61">
        <f t="shared" si="1"/>
        <v>0</v>
      </c>
      <c r="AK4" s="61">
        <f>AJ4</f>
        <v>0</v>
      </c>
    </row>
    <row r="5" spans="1:37">
      <c r="A5" s="1" t="s">
        <v>4</v>
      </c>
      <c r="B5" t="str">
        <f>IF(VLOOKUP(tblCharDataReed[[#This Row],[Field]],$E$2:$F$362,2,FALSE)="","¬",VLOOKUP(tblCharDataReed[[#This Row],[Field]],$E$2:$F$362,2,FALSE))</f>
        <v>Conan F</v>
      </c>
      <c r="D5" s="19"/>
      <c r="E5" s="15" t="s">
        <v>6</v>
      </c>
      <c r="F5" s="3" t="s">
        <v>1231</v>
      </c>
      <c r="G5" s="18"/>
      <c r="H5" s="18"/>
      <c r="I5" s="18" t="s">
        <v>1427</v>
      </c>
      <c r="N5" s="61">
        <f>N16</f>
        <v>3</v>
      </c>
      <c r="Y5" s="15" t="s">
        <v>117</v>
      </c>
      <c r="Z5" s="19"/>
      <c r="AA5" s="61" t="str">
        <f t="shared" si="0"/>
        <v/>
      </c>
      <c r="AC5" s="60"/>
      <c r="AD5" s="20" t="str">
        <f>IF(AC5="","¬",_xlfn.LET(_xlpm.base,IFERROR(LEFT(AC5,FIND(" (",AC5)-1),AC5),IFERROR(VLOOKUP(_xlpm.base,tblManoeuvre[],2,FALSE) &amp; " " &amp; REPT("●",VLOOKUP(_xlpm.base,tblManoeuvre[],3,FALSE)) &amp; " | " &amp; AC5,AC5 &amp; " " &amp; REPT("●",VLOOKUP(_xlpm.base,$F$79:$P$120,11,FALSE)))))</f>
        <v>¬</v>
      </c>
      <c r="AE5" s="20"/>
      <c r="AF5" s="20" t="str">
        <f>IF(LEN(AC5)=0,"¬",_xlfn.LET(_xlpm.base,IFERROR(LEFT(AC5,FIND(" (",AC5)-1),AC5),IFERROR(VLOOKUP(_xlpm.base,tblMerits[],5,FALSE),IFERROR(VLOOKUP(_xlpm.base,tblManoeuvre[],9,FALSE),"¬"))))</f>
        <v>¬</v>
      </c>
      <c r="AI5" s="15" t="s">
        <v>33</v>
      </c>
      <c r="AJ5" s="61">
        <f t="shared" si="1"/>
        <v>1</v>
      </c>
      <c r="AK5" s="61">
        <f>IF(AJ5=0,IF(COUNTIF($E$42:$E$49,AI5)&gt;0,-3,-1),AJ5)</f>
        <v>1</v>
      </c>
    </row>
    <row r="6" spans="1:37">
      <c r="A6" s="1" t="s">
        <v>5</v>
      </c>
      <c r="B6" t="str">
        <f>IF(VLOOKUP(tblCharDataReed[[#This Row],[Field]],$E$2:$F$362,2,FALSE)="","¬",VLOOKUP(tblCharDataReed[[#This Row],[Field]],$E$2:$F$362,2,FALSE))</f>
        <v>Reed Justice</v>
      </c>
      <c r="D6" s="19"/>
      <c r="E6" s="15" t="s">
        <v>7</v>
      </c>
      <c r="F6" s="3" t="s">
        <v>552</v>
      </c>
      <c r="G6" s="18"/>
      <c r="H6" s="18"/>
      <c r="I6" s="18" t="s">
        <v>1347</v>
      </c>
      <c r="N6" s="61">
        <f ca="1">N279</f>
        <v>4</v>
      </c>
      <c r="Y6" s="15" t="s">
        <v>118</v>
      </c>
      <c r="Z6" s="19"/>
      <c r="AA6" s="61" t="str">
        <f t="shared" si="0"/>
        <v/>
      </c>
      <c r="AC6" s="60"/>
      <c r="AD6" s="20" t="str">
        <f>IF(AC6="","¬",_xlfn.LET(_xlpm.base,IFERROR(LEFT(AC6,FIND(" (",AC6)-1),AC6),IFERROR(VLOOKUP(_xlpm.base,tblManoeuvre[],2,FALSE) &amp; " " &amp; REPT("●",VLOOKUP(_xlpm.base,tblManoeuvre[],3,FALSE)) &amp; " | " &amp; AC6,AC6 &amp; " " &amp; REPT("●",VLOOKUP(_xlpm.base,$F$79:$P$120,11,FALSE)))))</f>
        <v>¬</v>
      </c>
      <c r="AE6" s="20"/>
      <c r="AF6" s="20" t="str">
        <f>IF(LEN(AC6)=0,"¬",_xlfn.LET(_xlpm.base,IFERROR(LEFT(AC6,FIND(" (",AC6)-1),AC6),IFERROR(VLOOKUP(_xlpm.base,tblMerits[],5,FALSE),IFERROR(VLOOKUP(_xlpm.base,tblManoeuvre[],9,FALSE),"¬"))))</f>
        <v>¬</v>
      </c>
      <c r="AI6" s="15" t="s">
        <v>237</v>
      </c>
      <c r="AJ6" s="61">
        <f t="shared" si="1"/>
        <v>0</v>
      </c>
      <c r="AK6" s="61">
        <f>AJ6</f>
        <v>0</v>
      </c>
    </row>
    <row r="7" spans="1:37">
      <c r="A7" s="1" t="s">
        <v>6</v>
      </c>
      <c r="B7" t="str">
        <f>IF(VLOOKUP(tblCharDataReed[[#This Row],[Field]],$E$2:$F$362,2,FALSE)="","¬",VLOOKUP(tblCharDataReed[[#This Row],[Field]],$E$2:$F$362,2,FALSE))</f>
        <v>Opportunistic Predator</v>
      </c>
      <c r="D7" s="19" t="str">
        <f>VLOOKUP(F7,tblClans[],3,FALSE)</f>
        <v>Resolve</v>
      </c>
      <c r="E7" s="15" t="s">
        <v>8</v>
      </c>
      <c r="F7" s="3" t="s">
        <v>553</v>
      </c>
      <c r="G7" s="18"/>
      <c r="H7" s="18"/>
      <c r="I7" s="18"/>
      <c r="N7" s="60">
        <f>SUM(N8:N12)</f>
        <v>17</v>
      </c>
      <c r="Y7" s="15" t="s">
        <v>119</v>
      </c>
      <c r="Z7" s="19"/>
      <c r="AA7" s="61" t="str">
        <f t="shared" si="0"/>
        <v/>
      </c>
      <c r="AC7" s="60"/>
      <c r="AD7" s="20" t="str">
        <f>IF(AC7="","¬",_xlfn.LET(_xlpm.base,IFERROR(LEFT(AC7,FIND(" (",AC7)-1),AC7),IFERROR(VLOOKUP(_xlpm.base,tblManoeuvre[],2,FALSE) &amp; " " &amp; REPT("●",VLOOKUP(_xlpm.base,tblManoeuvre[],3,FALSE)) &amp; " | " &amp; AC7,AC7 &amp; " " &amp; REPT("●",VLOOKUP(_xlpm.base,$F$79:$P$120,11,FALSE)))))</f>
        <v>¬</v>
      </c>
      <c r="AE7" s="20"/>
      <c r="AF7" s="20" t="str">
        <f>IF(LEN(AC7)=0,"¬",_xlfn.LET(_xlpm.base,IFERROR(LEFT(AC7,FIND(" (",AC7)-1),AC7),IFERROR(VLOOKUP(_xlpm.base,tblMerits[],5,FALSE),IFERROR(VLOOKUP(_xlpm.base,tblManoeuvre[],9,FALSE),"¬"))))</f>
        <v>¬</v>
      </c>
      <c r="AI7" s="15" t="s">
        <v>49</v>
      </c>
      <c r="AJ7" s="61">
        <f t="shared" si="1"/>
        <v>1</v>
      </c>
      <c r="AK7" s="61">
        <f>AJ7</f>
        <v>1</v>
      </c>
    </row>
    <row r="8" spans="1:37">
      <c r="A8" s="1" t="s">
        <v>7</v>
      </c>
      <c r="B8" t="str">
        <f>IF(VLOOKUP(tblCharDataReed[[#This Row],[Field]],$E$2:$F$362,2,FALSE)="","¬",LOWER(VLOOKUP(tblCharDataReed[[#This Row],[Field]],$E$2:$F$362,2,FALSE)))</f>
        <v>he/him</v>
      </c>
      <c r="D8" s="19" t="str">
        <f>VLOOKUP(F7,tblClans[],2,FALSE)</f>
        <v>Presence</v>
      </c>
      <c r="E8" s="15" t="s">
        <v>10</v>
      </c>
      <c r="F8" s="3"/>
      <c r="G8" s="61" t="str">
        <f>IFERROR(IF(OR(AND(VLOOKUP(F8,tblBloodlines[],2,FALSE)="",VLOOKUP(F8,tblBloodlines[],3,FALSE)="",VLOOKUP(F8,tblBloodlines[],4,FALSE)=""),AND(VLOOKUP(F8,tblBloodlines[],2,FALSE)="",VLOOKUP(F8,tblBloodlines[],3,FALSE)="",F9=VLOOKUP(F8,tblBloodlines[],4,FALSE)),F7=VLOOKUP(F8,tblBloodlines[],2,FALSE),F7=VLOOKUP(F8,tblBloodlines[],3,FALSE)),TRUE,FALSE),"")</f>
        <v/>
      </c>
      <c r="H8" s="18"/>
      <c r="I8" s="18" t="s">
        <v>1428</v>
      </c>
      <c r="N8" s="61">
        <f>N23</f>
        <v>0</v>
      </c>
      <c r="O8" s="65">
        <f>N8/SUM(N$7:N$12)</f>
        <v>0</v>
      </c>
      <c r="P8" s="66"/>
      <c r="Y8" s="15" t="s">
        <v>120</v>
      </c>
      <c r="Z8" s="19"/>
      <c r="AA8" s="61" t="str">
        <f t="shared" si="0"/>
        <v/>
      </c>
      <c r="AC8" s="60"/>
      <c r="AD8" s="20" t="str">
        <f>IF(AC8="","¬",_xlfn.LET(_xlpm.base,IFERROR(LEFT(AC8,FIND(" (",AC8)-1),AC8),IFERROR(VLOOKUP(_xlpm.base,tblManoeuvre[],2,FALSE) &amp; " " &amp; REPT("●",VLOOKUP(_xlpm.base,tblManoeuvre[],3,FALSE)) &amp; " | " &amp; AC8,AC8 &amp; " " &amp; REPT("●",VLOOKUP(_xlpm.base,$F$79:$P$120,11,FALSE)))))</f>
        <v>¬</v>
      </c>
      <c r="AE8" s="20"/>
      <c r="AF8" s="20" t="str">
        <f>IF(LEN(AC8)=0,"¬",_xlfn.LET(_xlpm.base,IFERROR(LEFT(AC8,FIND(" (",AC8)-1),AC8),IFERROR(VLOOKUP(_xlpm.base,tblMerits[],5,FALSE),IFERROR(VLOOKUP(_xlpm.base,tblManoeuvre[],9,FALSE),"¬"))))</f>
        <v>¬</v>
      </c>
      <c r="AI8" s="15" t="s">
        <v>34</v>
      </c>
      <c r="AJ8" s="61">
        <f t="shared" si="1"/>
        <v>0</v>
      </c>
      <c r="AK8" s="61">
        <f>IF(AJ8=0,IF(COUNTIF($E$42:$E$49,AI8)&gt;0,-3,-1),AJ8)</f>
        <v>-1</v>
      </c>
    </row>
    <row r="9" spans="1:37">
      <c r="A9" s="1" t="s">
        <v>8</v>
      </c>
      <c r="B9" t="str">
        <f>IF(VLOOKUP(tblCharDataReed[[#This Row],[Field]],$E$2:$F$362,2,FALSE)="","¬",VLOOKUP(tblCharDataReed[[#This Row],[Field]],$E$2:$F$362,2,FALSE))</f>
        <v>Ventrue</v>
      </c>
      <c r="D9" s="19"/>
      <c r="E9" s="15" t="s">
        <v>11</v>
      </c>
      <c r="F9" s="3" t="s">
        <v>396</v>
      </c>
      <c r="G9" s="18"/>
      <c r="H9" s="18"/>
      <c r="I9" s="18" t="s">
        <v>1429</v>
      </c>
      <c r="N9" s="61">
        <f>N40+T40</f>
        <v>2</v>
      </c>
      <c r="O9" s="65">
        <f>N9/SUM(N$7:N$12)</f>
        <v>5.8823529411764705E-2</v>
      </c>
      <c r="P9" s="66"/>
      <c r="Y9" s="15" t="s">
        <v>121</v>
      </c>
      <c r="Z9" s="19"/>
      <c r="AA9" s="61" t="str">
        <f t="shared" si="0"/>
        <v/>
      </c>
      <c r="AC9" s="60"/>
      <c r="AD9" s="20" t="str">
        <f>IF(AC9="","¬",_xlfn.LET(_xlpm.base,IFERROR(LEFT(AC9,FIND(" (",AC9)-1),AC9),IFERROR(VLOOKUP(_xlpm.base,tblManoeuvre[],2,FALSE) &amp; " " &amp; REPT("●",VLOOKUP(_xlpm.base,tblManoeuvre[],3,FALSE)) &amp; " | " &amp; AC9,AC9 &amp; " " &amp; REPT("●",VLOOKUP(_xlpm.base,$F$79:$P$120,11,FALSE)))))</f>
        <v>¬</v>
      </c>
      <c r="AE9" s="20"/>
      <c r="AF9" s="20" t="str">
        <f>IF(LEN(AC9)=0,"¬",_xlfn.LET(_xlpm.base,IFERROR(LEFT(AC9,FIND(" (",AC9)-1),AC9),IFERROR(VLOOKUP(_xlpm.base,tblMerits[],5,FALSE),IFERROR(VLOOKUP(_xlpm.base,tblManoeuvre[],9,FALSE),"¬"))))</f>
        <v>¬</v>
      </c>
      <c r="AI9" s="15" t="s">
        <v>238</v>
      </c>
      <c r="AJ9" s="61">
        <f t="shared" si="1"/>
        <v>0</v>
      </c>
      <c r="AK9" s="61">
        <f>AJ9</f>
        <v>0</v>
      </c>
    </row>
    <row r="10" spans="1:37">
      <c r="A10" s="1" t="s">
        <v>9</v>
      </c>
      <c r="B10" t="str">
        <f>CONCATENATE(Elements,B9," icon.svg")</f>
        <v>D:\Terra Mortis\Character Sheets\Sheet Elements\Ventrue icon.svg</v>
      </c>
      <c r="D10" s="19"/>
      <c r="E10" s="15" t="s">
        <v>13</v>
      </c>
      <c r="F10" s="3" t="s">
        <v>853</v>
      </c>
      <c r="G10" s="18"/>
      <c r="H10" s="18"/>
      <c r="I10" s="18" t="s">
        <v>1430</v>
      </c>
      <c r="N10" s="61">
        <f>N77</f>
        <v>6</v>
      </c>
      <c r="O10" s="65">
        <f>N10/SUM(N$7:N$12)</f>
        <v>0.17647058823529413</v>
      </c>
      <c r="P10" s="66"/>
      <c r="Y10" s="15" t="s">
        <v>122</v>
      </c>
      <c r="Z10" s="19"/>
      <c r="AA10" s="61" t="str">
        <f t="shared" si="0"/>
        <v/>
      </c>
      <c r="AC10" s="60"/>
      <c r="AD10" s="20" t="str">
        <f>IF(AC10="","¬",_xlfn.LET(_xlpm.base,IFERROR(LEFT(AC10,FIND(" (",AC10)-1),AC10),IFERROR(VLOOKUP(_xlpm.base,tblManoeuvre[],2,FALSE) &amp; " " &amp; REPT("●",VLOOKUP(_xlpm.base,tblManoeuvre[],3,FALSE)) &amp; " | " &amp; AC10,AC10 &amp; " " &amp; REPT("●",VLOOKUP(_xlpm.base,$F$79:$P$120,11,FALSE)))))</f>
        <v>¬</v>
      </c>
      <c r="AE10" s="20"/>
      <c r="AF10" s="20" t="str">
        <f>IF(LEN(AC10)=0,"¬",_xlfn.LET(_xlpm.base,IFERROR(LEFT(AC10,FIND(" (",AC10)-1),AC10),IFERROR(VLOOKUP(_xlpm.base,tblMerits[],5,FALSE),IFERROR(VLOOKUP(_xlpm.base,tblManoeuvre[],9,FALSE),"¬"))))</f>
        <v>¬</v>
      </c>
      <c r="AI10" s="15" t="s">
        <v>24</v>
      </c>
      <c r="AJ10" s="61">
        <f t="shared" si="1"/>
        <v>2</v>
      </c>
      <c r="AK10" s="61">
        <f>AJ10+IFERROR(INDEX($V$26:$V$38,MATCH(AI10,$E$26:$E$38,0)),0)</f>
        <v>2</v>
      </c>
    </row>
    <row r="11" spans="1:37">
      <c r="A11" s="1" t="s">
        <v>10</v>
      </c>
      <c r="B11" t="str">
        <f>IF(VLOOKUP(tblCharDataReed[[#This Row],[Field]],$E$2:$F$362,2,FALSE)="","¬",VLOOKUP(tblCharDataReed[[#This Row],[Field]],$E$2:$F$362,2,FALSE))</f>
        <v>¬</v>
      </c>
      <c r="D11" s="19"/>
      <c r="E11" s="15" t="s">
        <v>14</v>
      </c>
      <c r="F11" s="3" t="s">
        <v>558</v>
      </c>
      <c r="G11" s="18"/>
      <c r="H11" s="18"/>
      <c r="I11" s="18" t="s">
        <v>1431</v>
      </c>
      <c r="N11" s="61">
        <f>N163</f>
        <v>9</v>
      </c>
      <c r="O11" s="65">
        <f>N11/SUM(N$7:N$12)</f>
        <v>0.26470588235294118</v>
      </c>
      <c r="P11" s="66"/>
      <c r="Y11" s="15" t="s">
        <v>123</v>
      </c>
      <c r="Z11" s="19"/>
      <c r="AA11" s="61" t="str">
        <f t="shared" si="0"/>
        <v/>
      </c>
      <c r="AC11" s="60"/>
      <c r="AD11" s="20" t="str">
        <f>IF(AC11="","¬",_xlfn.LET(_xlpm.base,IFERROR(LEFT(AC11,FIND(" (",AC11)-1),AC11),IFERROR(VLOOKUP(_xlpm.base,tblManoeuvre[],2,FALSE) &amp; " " &amp; REPT("●",VLOOKUP(_xlpm.base,tblManoeuvre[],3,FALSE)) &amp; " | " &amp; AC11,AC11 &amp; " " &amp; REPT("●",VLOOKUP(_xlpm.base,$F$79:$P$120,11,FALSE)))))</f>
        <v>¬</v>
      </c>
      <c r="AE11" s="20"/>
      <c r="AF11" s="20" t="str">
        <f>IF(LEN(AC11)=0,"¬",_xlfn.LET(_xlpm.base,IFERROR(LEFT(AC11,FIND(" (",AC11)-1),AC11),IFERROR(VLOOKUP(_xlpm.base,tblMerits[],5,FALSE),IFERROR(VLOOKUP(_xlpm.base,tblManoeuvre[],9,FALSE),"¬"))))</f>
        <v>¬</v>
      </c>
      <c r="AI11" s="15" t="s">
        <v>26</v>
      </c>
      <c r="AJ11" s="61">
        <f t="shared" si="1"/>
        <v>3</v>
      </c>
      <c r="AK11" s="61">
        <f>IF(AJ11=0,IF(COUNTIF($E$42:$E$49,AI11)&gt;0,-3,-1),AJ11)</f>
        <v>3</v>
      </c>
    </row>
    <row r="12" spans="1:37">
      <c r="A12" s="1" t="s">
        <v>11</v>
      </c>
      <c r="B12" t="str">
        <f>IF(VLOOKUP(tblCharDataReed[[#This Row],[Field]],$E$2:$F$362,2,FALSE)="","¬",VLOOKUP(tblCharDataReed[[#This Row],[Field]],$E$2:$F$362,2,FALSE))</f>
        <v>Invictus</v>
      </c>
      <c r="D12" s="19"/>
      <c r="E12" s="15" t="s">
        <v>15</v>
      </c>
      <c r="F12" s="3" t="s">
        <v>377</v>
      </c>
      <c r="G12" s="3" t="s">
        <v>377</v>
      </c>
      <c r="H12" s="18"/>
      <c r="I12" s="18" t="s">
        <v>1432</v>
      </c>
      <c r="N12" s="61">
        <f>N71</f>
        <v>0</v>
      </c>
      <c r="O12" s="65">
        <f>N12/SUM(N$7:N$12)</f>
        <v>0</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0</v>
      </c>
      <c r="AK12" s="61">
        <f>IF(AJ12=0,IF(COUNTIF($E$42:$E$49,AI12)&gt;0,-3,-1),AJ12)</f>
        <v>-3</v>
      </c>
    </row>
    <row r="13" spans="1:37">
      <c r="A13" s="1" t="s">
        <v>12</v>
      </c>
      <c r="B13" t="str">
        <f>_xlfn.IFNA(CONCATENATE(Elements,VLOOKUP(B12,tblCovenantShortName[#Data],2,FALSE)," icon.svg"),"")</f>
        <v>D:\Terra Mortis\Character Sheets\Sheet Elements\Invictus icon.svg</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0</v>
      </c>
      <c r="AK13" s="61">
        <f t="shared" ref="AK13:AK19" si="2">AJ13</f>
        <v>0</v>
      </c>
    </row>
    <row r="14" spans="1:37">
      <c r="A14" s="1" t="s">
        <v>13</v>
      </c>
      <c r="B14" t="str">
        <f>IF(VLOOKUP(tblCharDataReed[[#This Row],[Field]],$E$2:$F$362,2,FALSE)="","¬",VLOOKUP(tblCharDataReed[[#This Row],[Field]],$E$2:$F$362,2,FALSE))</f>
        <v>Visionary</v>
      </c>
      <c r="D14" s="19"/>
      <c r="E14" s="15" t="s">
        <v>1433</v>
      </c>
      <c r="F14" s="54">
        <v>43998</v>
      </c>
      <c r="G14" s="3" t="s">
        <v>909</v>
      </c>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0</v>
      </c>
      <c r="AK14" s="61">
        <f t="shared" si="2"/>
        <v>0</v>
      </c>
    </row>
    <row r="15" spans="1:37">
      <c r="A15" s="1" t="s">
        <v>14</v>
      </c>
      <c r="B15" t="str">
        <f>IF(VLOOKUP(tblCharDataReed[[#This Row],[Field]],$E$2:$F$362,2,FALSE)="","¬",VLOOKUP(tblCharDataReed[[#This Row],[Field]],$E$2:$F$362,2,FALSE))</f>
        <v>Authoritarian</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3</v>
      </c>
      <c r="AK15" s="61">
        <f t="shared" ca="1" si="2"/>
        <v>3</v>
      </c>
    </row>
    <row r="16" spans="1:37" ht="15.75" thickBot="1">
      <c r="A16" s="1" t="s">
        <v>15</v>
      </c>
      <c r="B16" t="str">
        <f ca="1">_xlfn.LET(_xlpm.a,VLOOKUP(tblCharDataReed[[#This Row],[Field]],$E$2:$F$362,2,FALSE),_xlpm.b,VLOOKUP(OFFSET(tblCharDataReed[[#This Row],[Field]],1,0),$E$2:$F$362,2,FALSE),IF(AND(_xlpm.a&lt;&gt;"",_xlpm.b&lt;&gt;""),_xlpm.a&amp;" &amp; "&amp;_xlpm.b,IF(_xlpm.a&lt;&gt;"",_xlpm.a,IF(_xlpm.b&lt;&gt;"",_xlpm.b,"¬"))))</f>
        <v>Regent</v>
      </c>
      <c r="D16" s="14" t="s">
        <v>1427</v>
      </c>
      <c r="E16" s="14"/>
      <c r="F16" s="14"/>
      <c r="G16" s="14"/>
      <c r="H16" s="14"/>
      <c r="I16" s="14"/>
      <c r="N16" s="60">
        <f>SUM(N17:N21)</f>
        <v>3</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REPT("●",IFERROR(INDEX($P$26:$P$38,MATCH(tblCharDataReed[[#This Row],[Field]],$E$26:$E$38,0)),0))&amp;REPT("○",IFERROR(INDEX($V$26:$V$38,MATCH(tblCharDataReed[[#This Row],[Field]],$E$26:$E$38,0)),0))</f>
        <v>●●●●●</v>
      </c>
      <c r="D17" s="19"/>
      <c r="E17" s="15" t="s">
        <v>1435</v>
      </c>
      <c r="F17" s="3" t="b">
        <v>1</v>
      </c>
      <c r="G17" s="19"/>
      <c r="H17" s="19"/>
      <c r="I17" s="19"/>
      <c r="N17" s="61">
        <f>IF(F17=TRUE,3,0)</f>
        <v>3</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2</v>
      </c>
      <c r="AK17" s="61">
        <f>AJ17+IFERROR(INDEX($V$26:$V$38,MATCH(AI17,$E$26:$E$38,0)),0)</f>
        <v>2</v>
      </c>
    </row>
    <row r="18" spans="1:37">
      <c r="A18" s="1" t="s">
        <v>17</v>
      </c>
      <c r="B18" t="str">
        <f>REPT("●",IFERROR(INDEX($P$26:$P$38,MATCH(tblCharDataReed[[#This Row],[Field]],$E$26:$E$38,0)),0))&amp;REPT("○",IFERROR(INDEX($V$26:$V$38,MATCH(tblCharDataReed[[#This Row],[Field]],$E$26:$E$38,0)),0))</f>
        <v>●●</v>
      </c>
      <c r="D18" s="19"/>
      <c r="E18" s="15" t="s">
        <v>1436</v>
      </c>
      <c r="F18" s="3"/>
      <c r="G18" s="19"/>
      <c r="H18" s="19"/>
      <c r="I18" s="19"/>
      <c r="N18" s="61">
        <f>IF(F18=TRUE,3,0)</f>
        <v>0</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0</v>
      </c>
      <c r="AK18" s="61">
        <f t="shared" si="2"/>
        <v>0</v>
      </c>
    </row>
    <row r="19" spans="1:37">
      <c r="A19" s="1" t="s">
        <v>18</v>
      </c>
      <c r="B19" t="str">
        <f>REPT("●",IFERROR(INDEX($P$26:$P$38,MATCH(tblCharDataReed[[#This Row],[Field]],$E$26:$E$38,0)),0))&amp;REPT("○",IFERROR(INDEX($V$26:$V$38,MATCH(tblCharDataReed[[#This Row],[Field]],$E$26:$E$38,0)),0))</f>
        <v>●●</v>
      </c>
      <c r="D19" s="19"/>
      <c r="E19" s="15" t="s">
        <v>1437</v>
      </c>
      <c r="F19" s="3"/>
      <c r="G19" s="19"/>
      <c r="H19" s="19"/>
      <c r="I19" s="19"/>
      <c r="N19" s="61">
        <f>IF(F19=TRUE,3,0)</f>
        <v>0</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5</v>
      </c>
      <c r="AK19" s="61">
        <f t="shared" si="2"/>
        <v>5</v>
      </c>
    </row>
    <row r="20" spans="1:37">
      <c r="A20" s="1" t="s">
        <v>19</v>
      </c>
      <c r="B20" t="str">
        <f>REPT("●",IFERROR(INDEX($P$26:$P$38,MATCH(tblCharDataReed[[#This Row],[Field]],$E$26:$E$38,0)),0))&amp;REPT("○",IFERROR(INDEX($V$26:$V$38,MATCH(tblCharDataReed[[#This Row],[Field]],$E$26:$E$38,0)),0))</f>
        <v>●●</v>
      </c>
      <c r="D20" s="19"/>
      <c r="E20" s="15" t="s">
        <v>1438</v>
      </c>
      <c r="F20" s="3"/>
      <c r="G20" s="19"/>
      <c r="H20" s="19"/>
      <c r="I20" s="19"/>
      <c r="N20" s="61">
        <f>IF(F20=TRUE,3,0)</f>
        <v>0</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1</v>
      </c>
      <c r="AK20" s="61">
        <f>IF(AJ20=0,IF(COUNTIF($E$42:$E$49,AI20)&gt;0,-3,-1),AJ20)</f>
        <v>1</v>
      </c>
    </row>
    <row r="21" spans="1:37">
      <c r="A21" s="1" t="s">
        <v>20</v>
      </c>
      <c r="B21" t="str">
        <f>REPT("●",IFERROR(INDEX($P$26:$P$38,MATCH(tblCharDataReed[[#This Row],[Field]],$E$26:$E$38,0)),0))&amp;REPT("○",IFERROR(INDEX($V$26:$V$38,MATCH(tblCharDataReed[[#This Row],[Field]],$E$26:$E$38,0)),0))</f>
        <v>●●</v>
      </c>
      <c r="D21" s="19"/>
      <c r="E21" s="15" t="s">
        <v>11</v>
      </c>
      <c r="F21" s="3"/>
      <c r="G21" s="19"/>
      <c r="H21" s="19"/>
      <c r="I21" s="19"/>
      <c r="N21" s="61">
        <f>IF(F21=TRUE,3,0)</f>
        <v>0</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0</v>
      </c>
      <c r="AK21" s="61">
        <f>IF(AJ21=0,IF(COUNTIF($E$42:$E$49,AI21)&gt;0,-3,-1),AJ21)</f>
        <v>-1</v>
      </c>
    </row>
    <row r="22" spans="1:37">
      <c r="A22" s="1" t="s">
        <v>21</v>
      </c>
      <c r="B22" t="str">
        <f>REPT("●",IFERROR(INDEX($P$26:$P$38,MATCH(tblCharDataReed[[#This Row],[Field]],$E$26:$E$38,0)),0))&amp;REPT("○",IFERROR(INDEX($V$26:$V$38,MATCH(tblCharDataReed[[#This Row],[Field]],$E$26:$E$38,0)),0))</f>
        <v>●●○</v>
      </c>
      <c r="Y22" s="15" t="s">
        <v>1439</v>
      </c>
      <c r="Z22" s="61" t="str">
        <f>IFERROR(VLOOKUP(AA22,tblManoeuvre[],2,FALSE),"")</f>
        <v/>
      </c>
      <c r="AA22" s="61" t="str">
        <f t="shared" ref="AA22:AA41" si="3">_xlfn.LET(_xlpm.name,VLOOKUP(Y22,$E$2:$F$362,2,FALSE),_xlpm.paid,_xlfn.IFNA(VLOOKUP(_xlpm.name,$F$79:$Q$120,11,FALSE)&gt;=VLOOKUP(_xlpm.name,$F$79:$Q$120,12,FALSE),FALSE),IF(AND(_xlpm.name&lt;&gt;"",_xlpm.paid),_xlpm.name,""))</f>
        <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4</v>
      </c>
      <c r="AK22" s="61">
        <f>IF(AJ22=0,IF(COUNTIF($E$42:$E$49,AI22)&gt;0,-3,-1),AJ22)</f>
        <v>4</v>
      </c>
    </row>
    <row r="23" spans="1:37" ht="15.75" thickBot="1">
      <c r="A23" s="1" t="s">
        <v>22</v>
      </c>
      <c r="B23" t="str">
        <f>REPT("●",IFERROR(INDEX($P$26:$P$38,MATCH(tblCharDataReed[[#This Row],[Field]],$E$26:$E$38,0)),0))&amp;REPT("○",IFERROR(INDEX($V$26:$V$38,MATCH(tblCharDataReed[[#This Row],[Field]],$E$26:$E$38,0)),0))</f>
        <v>●●</v>
      </c>
      <c r="D23" s="14" t="s">
        <v>1440</v>
      </c>
      <c r="E23" s="14"/>
      <c r="F23" s="14"/>
      <c r="G23" s="14"/>
      <c r="H23" s="14"/>
      <c r="I23" s="14"/>
      <c r="N23" s="60">
        <f>SUM(N26:N28,N31:N33,N36:N38)</f>
        <v>0</v>
      </c>
      <c r="Y23" s="15" t="s">
        <v>1441</v>
      </c>
      <c r="Z23" s="61" t="str">
        <f>IFERROR(VLOOKUP(AA23,tblManoeuvre[],2,FALSE),"")</f>
        <v/>
      </c>
      <c r="AA23" s="61" t="str">
        <f t="shared" si="3"/>
        <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2</v>
      </c>
      <c r="AK23" s="61">
        <f>IF(AJ23=0,VLOOKUP(AI23,$E$42:$Q$69,13,FALSE),AJ23)</f>
        <v>2</v>
      </c>
    </row>
    <row r="24" spans="1:37">
      <c r="A24" s="1" t="s">
        <v>23</v>
      </c>
      <c r="B24" t="str">
        <f>REPT("●",IFERROR(INDEX($P$26:$P$38,MATCH(tblCharDataReed[[#This Row],[Field]],$E$26:$E$38,0)),0))&amp;REPT("○",IFERROR(INDEX($V$26:$V$38,MATCH(tblCharDataReed[[#This Row],[Field]],$E$26:$E$38,0)),0))</f>
        <v>●●●</v>
      </c>
      <c r="E24" s="15" t="s">
        <v>1442</v>
      </c>
      <c r="F24" s="3" t="s">
        <v>18</v>
      </c>
      <c r="Y24" s="15" t="s">
        <v>1443</v>
      </c>
      <c r="Z24" s="61" t="str">
        <f>IFERROR(VLOOKUP(AA24,tblManoeuvre[],2,FALSE),"")</f>
        <v/>
      </c>
      <c r="AA24" s="61" t="str">
        <f t="shared" si="3"/>
        <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8</v>
      </c>
      <c r="AK24" s="61">
        <f ca="1">AJ24</f>
        <v>8</v>
      </c>
    </row>
    <row r="25" spans="1:37">
      <c r="A25" s="1" t="s">
        <v>24</v>
      </c>
      <c r="B25" t="str">
        <f>REPT("●",IFERROR(INDEX($P$26:$P$38,MATCH(tblCharDataReed[[#This Row],[Field]],$E$26:$E$38,0)),0))&amp;REPT("○",IFERROR(INDEX($V$26:$V$38,MATCH(tblCharDataReed[[#This Row],[Field]],$E$26:$E$38,0)),0))</f>
        <v>●●</v>
      </c>
      <c r="D25" s="16" t="s">
        <v>1444</v>
      </c>
      <c r="E25" s="17"/>
      <c r="F25" s="17"/>
      <c r="G25" s="17" t="s">
        <v>1445</v>
      </c>
      <c r="H25" s="16" t="s">
        <v>1446</v>
      </c>
      <c r="I25" s="3" t="s">
        <v>1565</v>
      </c>
      <c r="L25" s="60">
        <f>IF(I25="",0,VLOOKUP(I25,tblPriority[#Data],2,FALSE))-SUM(L26:L28)</f>
        <v>0</v>
      </c>
      <c r="Y25" s="15" t="s">
        <v>1447</v>
      </c>
      <c r="Z25" s="61" t="str">
        <f>IFERROR(VLOOKUP(AA25,tblManoeuvre[],2,FALSE),"")</f>
        <v/>
      </c>
      <c r="AA25" s="61" t="str">
        <f t="shared" si="3"/>
        <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6</v>
      </c>
      <c r="AK25" s="61">
        <f>AJ25</f>
        <v>6</v>
      </c>
    </row>
    <row r="26" spans="1:37">
      <c r="A26" s="1" t="s">
        <v>25</v>
      </c>
      <c r="B26" t="str">
        <f>REPT("●",IFERROR(INDEX($P$42:$P$69,MATCH(tblCharDataReed[[#This Row],[Field]],$E$42:$E$69,0)),0))&amp;REPT("○",IFERROR(INDEX($V$42:$V$69,MATCH(tblCharDataReed[[#This Row],[Field]],$E$42:$E$69,0)),0))&amp;IF(IFERROR(INDEX($W$42:$W$69,MATCH(tblCharDataReed[[#This Row],[Field]],$E$42:$E$69,0)),0)=1,"†","")</f>
        <v>●●</v>
      </c>
      <c r="D26" s="18"/>
      <c r="E26" s="15" t="s">
        <v>16</v>
      </c>
      <c r="F26" s="18"/>
      <c r="G26" s="3"/>
      <c r="H26" s="18"/>
      <c r="I26" s="18"/>
      <c r="L26" s="3">
        <v>4</v>
      </c>
      <c r="M26" s="60">
        <f>IF(E26=$F$24,2,1)</f>
        <v>1</v>
      </c>
      <c r="N26" s="3"/>
      <c r="O26" s="61">
        <f>ROUNDDOWN(N26/4,0)</f>
        <v>0</v>
      </c>
      <c r="P26" s="60">
        <f>MIN(SUM(L26,M26,O26),R26)</f>
        <v>5</v>
      </c>
      <c r="R26" s="61">
        <v>5</v>
      </c>
      <c r="U26" s="4"/>
      <c r="V26" s="61">
        <f>U26</f>
        <v>0</v>
      </c>
      <c r="Y26" s="15" t="s">
        <v>1449</v>
      </c>
      <c r="Z26" s="61" t="str">
        <f>IFERROR(VLOOKUP(AA26,tblManoeuvre[],2,FALSE),"")</f>
        <v/>
      </c>
      <c r="AA26" s="61" t="str">
        <f t="shared" si="3"/>
        <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5</v>
      </c>
      <c r="AK26" s="61">
        <f>AJ26+IFERROR(INDEX($V$26:$V$38,MATCH(AI26,$E$26:$E$38,0)),0)</f>
        <v>5</v>
      </c>
    </row>
    <row r="27" spans="1:37">
      <c r="A27" s="1" t="s">
        <v>26</v>
      </c>
      <c r="B27" t="str">
        <f>REPT("●",IFERROR(INDEX($P$42:$P$69,MATCH(tblCharDataReed[[#This Row],[Field]],$E$42:$E$69,0)),0))&amp;REPT("○",IFERROR(INDEX($V$42:$V$69,MATCH(tblCharDataReed[[#This Row],[Field]],$E$42:$E$69,0)),0))&amp;IF(IFERROR(INDEX($W$42:$W$69,MATCH(tblCharDataReed[[#This Row],[Field]],$E$42:$E$69,0)),0)=1,"†","")</f>
        <v>●●●</v>
      </c>
      <c r="D27" s="18"/>
      <c r="E27" s="15" t="s">
        <v>17</v>
      </c>
      <c r="F27" s="18"/>
      <c r="G27" s="3"/>
      <c r="H27" s="18"/>
      <c r="I27" s="18"/>
      <c r="L27" s="3">
        <v>1</v>
      </c>
      <c r="M27" s="60">
        <f>IF(E27=$F$24,2,1)</f>
        <v>1</v>
      </c>
      <c r="N27" s="3"/>
      <c r="O27" s="61">
        <f>ROUNDDOWN(N27/4,0)</f>
        <v>0</v>
      </c>
      <c r="P27" s="60">
        <f>MIN(SUM(L27,M27,O27),R27)</f>
        <v>2</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2</v>
      </c>
      <c r="AK27" s="61">
        <f>IF(AJ27=0,IF(COUNTIF($E$42:$E$49,AI27)&gt;0,-3,-1),AJ27)</f>
        <v>2</v>
      </c>
    </row>
    <row r="28" spans="1:37">
      <c r="A28" s="1" t="s">
        <v>27</v>
      </c>
      <c r="B28" t="str">
        <f>REPT("●",IFERROR(INDEX($P$42:$P$69,MATCH(tblCharDataReed[[#This Row],[Field]],$E$42:$E$69,0)),0))&amp;REPT("○",IFERROR(INDEX($V$42:$V$69,MATCH(tblCharDataReed[[#This Row],[Field]],$E$42:$E$69,0)),0))&amp;IF(IFERROR(INDEX($W$42:$W$69,MATCH(tblCharDataReed[[#This Row],[Field]],$E$42:$E$69,0)),0)=1,"†","")</f>
        <v/>
      </c>
      <c r="D28" s="18"/>
      <c r="E28" s="15" t="s">
        <v>18</v>
      </c>
      <c r="F28" s="18"/>
      <c r="G28" s="3"/>
      <c r="H28" s="18"/>
      <c r="I28" s="18"/>
      <c r="L28" s="3"/>
      <c r="M28" s="60">
        <f>IF(E28=$F$24,2,1)</f>
        <v>2</v>
      </c>
      <c r="N28" s="3"/>
      <c r="O28" s="61">
        <f>ROUNDDOWN(N28/4,0)</f>
        <v>0</v>
      </c>
      <c r="P28" s="60">
        <f>MIN(SUM(L28,M28,O28),R28)</f>
        <v>2</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0</v>
      </c>
      <c r="AK28" s="61">
        <f>IF(AJ28=0,IF(COUNTIF($E$42:$E$49,AI28)&gt;0,-3,-1),AJ28)</f>
        <v>-3</v>
      </c>
    </row>
    <row r="29" spans="1:37">
      <c r="A29" s="1" t="s">
        <v>28</v>
      </c>
      <c r="B29" t="str">
        <f>REPT("●",IFERROR(INDEX($P$42:$P$69,MATCH(tblCharDataReed[[#This Row],[Field]],$E$42:$E$69,0)),0))&amp;REPT("○",IFERROR(INDEX($V$42:$V$69,MATCH(tblCharDataReed[[#This Row],[Field]],$E$42:$E$69,0)),0))&amp;IF(IFERROR(INDEX($W$42:$W$69,MATCH(tblCharDataReed[[#This Row],[Field]],$E$42:$E$69,0)),0)=1,"†","")</f>
        <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0</v>
      </c>
      <c r="AK29" s="61">
        <f>IF(AJ29=0,IF(COUNTIF($E$42:$E$49,AI29)&gt;0,-3,-1),AJ29)</f>
        <v>-1</v>
      </c>
    </row>
    <row r="30" spans="1:37">
      <c r="A30" s="1" t="s">
        <v>29</v>
      </c>
      <c r="B30" t="str">
        <f>REPT("●",IFERROR(INDEX($P$42:$P$69,MATCH(tblCharDataReed[[#This Row],[Field]],$E$42:$E$69,0)),0))&amp;REPT("○",IFERROR(INDEX($V$42:$V$69,MATCH(tblCharDataReed[[#This Row],[Field]],$E$42:$E$69,0)),0))&amp;IF(IFERROR(INDEX($W$42:$W$69,MATCH(tblCharDataReed[[#This Row],[Field]],$E$42:$E$69,0)),0)=1,"†","")</f>
        <v/>
      </c>
      <c r="D30" s="16" t="s">
        <v>1453</v>
      </c>
      <c r="E30" s="17"/>
      <c r="F30" s="17"/>
      <c r="G30" s="17" t="s">
        <v>1445</v>
      </c>
      <c r="H30" s="16" t="s">
        <v>1446</v>
      </c>
      <c r="I30" s="3" t="s">
        <v>1566</v>
      </c>
      <c r="L30" s="60">
        <f>IF(I30="",0,VLOOKUP(I30,tblPriority[#Data],2,FALSE))-SUM(L31:L33)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0</v>
      </c>
      <c r="AK30" s="61">
        <f>AJ30</f>
        <v>0</v>
      </c>
    </row>
    <row r="31" spans="1:37">
      <c r="A31" s="1" t="s">
        <v>30</v>
      </c>
      <c r="B31" t="str">
        <f>REPT("●",IFERROR(INDEX($P$42:$P$69,MATCH(tblCharDataReed[[#This Row],[Field]],$E$42:$E$69,0)),0))&amp;REPT("○",IFERROR(INDEX($V$42:$V$69,MATCH(tblCharDataReed[[#This Row],[Field]],$E$42:$E$69,0)),0))&amp;IF(IFERROR(INDEX($W$42:$W$69,MATCH(tblCharDataReed[[#This Row],[Field]],$E$42:$E$69,0)),0)=1,"†","")</f>
        <v/>
      </c>
      <c r="D31" s="18"/>
      <c r="E31" s="15" t="s">
        <v>19</v>
      </c>
      <c r="F31" s="18"/>
      <c r="G31" s="3"/>
      <c r="H31" s="18"/>
      <c r="I31" s="18"/>
      <c r="L31" s="3">
        <v>1</v>
      </c>
      <c r="M31" s="60">
        <f>IF(E31=$F$24,2,1)</f>
        <v>1</v>
      </c>
      <c r="N31" s="3"/>
      <c r="O31" s="61">
        <f>ROUNDDOWN(N31/4,0)</f>
        <v>0</v>
      </c>
      <c r="P31" s="60">
        <f>MIN(SUM(L31,M31,O31),R31)</f>
        <v>2</v>
      </c>
      <c r="R31" s="61">
        <v>5</v>
      </c>
      <c r="U31" s="4"/>
      <c r="V31" s="61">
        <f>$P$174+U31</f>
        <v>0</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3</v>
      </c>
      <c r="AK31" s="61">
        <f>AJ31+IFERROR(INDEX($V$26:$V$38,MATCH(AI31,$E$26:$E$38,0)),0)</f>
        <v>3</v>
      </c>
    </row>
    <row r="32" spans="1:37">
      <c r="A32" s="1" t="s">
        <v>31</v>
      </c>
      <c r="B32" t="str">
        <f>REPT("●",IFERROR(INDEX($P$42:$P$69,MATCH(tblCharDataReed[[#This Row],[Field]],$E$42:$E$69,0)),0))&amp;REPT("○",IFERROR(INDEX($V$42:$V$69,MATCH(tblCharDataReed[[#This Row],[Field]],$E$42:$E$69,0)),0))&amp;IF(IFERROR(INDEX($W$42:$W$69,MATCH(tblCharDataReed[[#This Row],[Field]],$E$42:$E$69,0)),0)=1,"†","")</f>
        <v>●●</v>
      </c>
      <c r="D32" s="18"/>
      <c r="E32" s="15" t="s">
        <v>20</v>
      </c>
      <c r="F32" s="18"/>
      <c r="G32" s="3"/>
      <c r="H32" s="18"/>
      <c r="I32" s="18"/>
      <c r="L32" s="3">
        <v>1</v>
      </c>
      <c r="M32" s="60">
        <f>IF(E32=$F$24,2,1)</f>
        <v>1</v>
      </c>
      <c r="N32" s="3"/>
      <c r="O32" s="61">
        <f>ROUNDDOWN(N32/4,0)</f>
        <v>0</v>
      </c>
      <c r="P32" s="60">
        <f>MIN(SUM(L32,M32,O32),R32)</f>
        <v>2</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REPT("●",IFERROR(INDEX($P$42:$P$69,MATCH(tblCharDataReed[[#This Row],[Field]],$E$42:$E$69,0)),0))&amp;REPT("○",IFERROR(INDEX($V$42:$V$69,MATCH(tblCharDataReed[[#This Row],[Field]],$E$42:$E$69,0)),0))&amp;IF(IFERROR(INDEX($W$42:$W$69,MATCH(tblCharDataReed[[#This Row],[Field]],$E$42:$E$69,0)),0)=1,"†","")</f>
        <v/>
      </c>
      <c r="D33" s="18"/>
      <c r="E33" s="15" t="s">
        <v>21</v>
      </c>
      <c r="F33" s="18"/>
      <c r="G33" s="3"/>
      <c r="H33" s="18"/>
      <c r="I33" s="18"/>
      <c r="L33" s="3">
        <v>1</v>
      </c>
      <c r="M33" s="60">
        <f>IF(E33=$F$24,2,1)</f>
        <v>1</v>
      </c>
      <c r="N33" s="3"/>
      <c r="O33" s="61">
        <f>ROUNDDOWN(N33/4,0)</f>
        <v>0</v>
      </c>
      <c r="P33" s="60">
        <f>MIN(SUM(L33,M33,O33),R33)</f>
        <v>2</v>
      </c>
      <c r="R33" s="61">
        <v>5</v>
      </c>
      <c r="U33" s="4"/>
      <c r="V33" s="61">
        <f>$P$173+U33</f>
        <v>1</v>
      </c>
      <c r="Y33" s="15" t="s">
        <v>1457</v>
      </c>
      <c r="Z33" s="61" t="str">
        <f>IFERROR(VLOOKUP(AA33,tblManoeuvre[],2,FALSE),"")</f>
        <v/>
      </c>
      <c r="AA33" s="61" t="str">
        <f t="shared" si="3"/>
        <v/>
      </c>
      <c r="AI33" s="15" t="s">
        <v>241</v>
      </c>
      <c r="AJ33" s="61">
        <f t="shared" si="1"/>
        <v>0</v>
      </c>
      <c r="AK33" s="61">
        <f>AJ33</f>
        <v>0</v>
      </c>
    </row>
    <row r="34" spans="1:37">
      <c r="A34" s="1" t="s">
        <v>33</v>
      </c>
      <c r="B34" t="str">
        <f>REPT("●",IFERROR(INDEX($P$42:$P$69,MATCH(tblCharDataReed[[#This Row],[Field]],$E$42:$E$69,0)),0))&amp;REPT("○",IFERROR(INDEX($V$42:$V$69,MATCH(tblCharDataReed[[#This Row],[Field]],$E$42:$E$69,0)),0))&amp;IF(IFERROR(INDEX($W$42:$W$69,MATCH(tblCharDataReed[[#This Row],[Field]],$E$42:$E$69,0)),0)=1,"†","")</f>
        <v>●</v>
      </c>
      <c r="Y34" s="15" t="s">
        <v>1458</v>
      </c>
      <c r="Z34" s="61" t="str">
        <f>IFERROR(VLOOKUP(AA34,tblManoeuvre[],2,FALSE),"")</f>
        <v/>
      </c>
      <c r="AA34" s="61" t="str">
        <f t="shared" si="3"/>
        <v/>
      </c>
      <c r="AI34" s="15" t="s">
        <v>242</v>
      </c>
      <c r="AJ34" s="61">
        <f t="shared" si="1"/>
        <v>0</v>
      </c>
      <c r="AK34" s="61">
        <f>AJ34</f>
        <v>0</v>
      </c>
    </row>
    <row r="35" spans="1:37">
      <c r="A35" s="1" t="s">
        <v>34</v>
      </c>
      <c r="B35" t="str">
        <f>REPT("●",IFERROR(INDEX($P$42:$P$69,MATCH(tblCharDataReed[[#This Row],[Field]],$E$42:$E$69,0)),0))&amp;REPT("○",IFERROR(INDEX($V$42:$V$69,MATCH(tblCharDataReed[[#This Row],[Field]],$E$42:$E$69,0)),0))&amp;IF(IFERROR(INDEX($W$42:$W$69,MATCH(tblCharDataReed[[#This Row],[Field]],$E$42:$E$69,0)),0)=1,"†","")</f>
        <v/>
      </c>
      <c r="D35" s="16" t="s">
        <v>1459</v>
      </c>
      <c r="E35" s="17"/>
      <c r="F35" s="17"/>
      <c r="G35" s="17" t="s">
        <v>1445</v>
      </c>
      <c r="H35" s="16" t="s">
        <v>1446</v>
      </c>
      <c r="I35" s="3" t="s">
        <v>1567</v>
      </c>
      <c r="L35" s="60">
        <f>IF(I35="",0,VLOOKUP(I35,tblPriority[#Data],2,FALSE))-SUM(L36:L38)</f>
        <v>0</v>
      </c>
      <c r="Y35" s="15" t="s">
        <v>1460</v>
      </c>
      <c r="Z35" s="61" t="str">
        <f>IFERROR(VLOOKUP(AA35,tblManoeuvre[],2,FALSE),"")</f>
        <v/>
      </c>
      <c r="AA35" s="61" t="str">
        <f t="shared" si="3"/>
        <v/>
      </c>
      <c r="AI35" s="15" t="s">
        <v>30</v>
      </c>
      <c r="AJ35" s="61">
        <f t="shared" si="1"/>
        <v>0</v>
      </c>
      <c r="AK35" s="61">
        <f>IF(AJ35=0,IF(COUNTIF($E$42:$E$49,AI35)&gt;0,-3,-1),AJ35)</f>
        <v>-3</v>
      </c>
    </row>
    <row r="36" spans="1:37">
      <c r="A36" s="1" t="s">
        <v>35</v>
      </c>
      <c r="B36" t="str">
        <f>REPT("●",IFERROR(INDEX($P$42:$P$69,MATCH(tblCharDataReed[[#This Row],[Field]],$E$42:$E$69,0)),0))&amp;REPT("○",IFERROR(INDEX($V$42:$V$69,MATCH(tblCharDataReed[[#This Row],[Field]],$E$42:$E$69,0)),0))&amp;IF(IFERROR(INDEX($W$42:$W$69,MATCH(tblCharDataReed[[#This Row],[Field]],$E$42:$E$69,0)),0)=1,"†","")</f>
        <v>●</v>
      </c>
      <c r="D36" s="18"/>
      <c r="E36" s="15" t="s">
        <v>22</v>
      </c>
      <c r="F36" s="18"/>
      <c r="G36" s="3"/>
      <c r="H36" s="18"/>
      <c r="I36" s="18"/>
      <c r="L36" s="3">
        <v>1</v>
      </c>
      <c r="M36" s="60">
        <f>IF(E36=$F$24,2,1)</f>
        <v>1</v>
      </c>
      <c r="N36" s="3"/>
      <c r="O36" s="61">
        <f>ROUNDDOWN(N36/4,0)</f>
        <v>0</v>
      </c>
      <c r="P36" s="60">
        <f>MIN(SUM(L36,M36,O36),R36)</f>
        <v>2</v>
      </c>
      <c r="R36" s="61">
        <v>5</v>
      </c>
      <c r="U36" s="4"/>
      <c r="V36" s="61">
        <f>U36</f>
        <v>0</v>
      </c>
      <c r="Y36" s="15" t="s">
        <v>1461</v>
      </c>
      <c r="Z36" s="61" t="str">
        <f>IFERROR(VLOOKUP(AA36,tblManoeuvre[],2,FALSE),"")</f>
        <v/>
      </c>
      <c r="AA36" s="61" t="str">
        <f t="shared" si="3"/>
        <v/>
      </c>
      <c r="AI36" s="15" t="s">
        <v>45</v>
      </c>
      <c r="AJ36" s="61">
        <f t="shared" si="1"/>
        <v>1</v>
      </c>
      <c r="AK36" s="61">
        <f>IF(AJ36=0,IF(COUNTIF($E$42:$E$49,AI36)&gt;0,-3,-1),AJ36)</f>
        <v>1</v>
      </c>
    </row>
    <row r="37" spans="1:37">
      <c r="A37" s="1" t="s">
        <v>36</v>
      </c>
      <c r="B37" t="str">
        <f>REPT("●",IFERROR(INDEX($P$42:$P$69,MATCH(tblCharDataReed[[#This Row],[Field]],$E$42:$E$69,0)),0))&amp;REPT("○",IFERROR(INDEX($V$42:$V$69,MATCH(tblCharDataReed[[#This Row],[Field]],$E$42:$E$69,0)),0))&amp;IF(IFERROR(INDEX($W$42:$W$69,MATCH(tblCharDataReed[[#This Row],[Field]],$E$42:$E$69,0)),0)=1,"†","")</f>
        <v>●●</v>
      </c>
      <c r="D37" s="18"/>
      <c r="E37" s="15" t="s">
        <v>23</v>
      </c>
      <c r="F37" s="18"/>
      <c r="G37" s="3"/>
      <c r="H37" s="18"/>
      <c r="I37" s="18"/>
      <c r="L37" s="3">
        <v>2</v>
      </c>
      <c r="M37" s="60">
        <f>IF(E37=$F$24,2,1)</f>
        <v>1</v>
      </c>
      <c r="N37" s="3"/>
      <c r="O37" s="61">
        <f>ROUNDDOWN(N37/4,0)</f>
        <v>0</v>
      </c>
      <c r="P37" s="60">
        <f>MIN(SUM(L37,M37,O37),R37)</f>
        <v>3</v>
      </c>
      <c r="R37" s="61">
        <v>5</v>
      </c>
      <c r="U37" s="4"/>
      <c r="V37" s="61">
        <f>U37</f>
        <v>0</v>
      </c>
      <c r="Y37" s="15" t="s">
        <v>1462</v>
      </c>
      <c r="Z37" s="61" t="str">
        <f>IFERROR(VLOOKUP(AA37,tblManoeuvre[],2,FALSE),"")</f>
        <v/>
      </c>
      <c r="AA37" s="61" t="str">
        <f t="shared" si="3"/>
        <v/>
      </c>
      <c r="AI37" s="15" t="s">
        <v>31</v>
      </c>
      <c r="AJ37" s="61">
        <f t="shared" si="1"/>
        <v>2</v>
      </c>
      <c r="AK37" s="61">
        <f>IF(AJ37=0,IF(COUNTIF($E$42:$E$49,AI37)&gt;0,-3,-1),AJ37)</f>
        <v>2</v>
      </c>
    </row>
    <row r="38" spans="1:37">
      <c r="A38" s="1" t="s">
        <v>37</v>
      </c>
      <c r="B38" t="str">
        <f>REPT("●",IFERROR(INDEX($P$42:$P$69,MATCH(tblCharDataReed[[#This Row],[Field]],$E$42:$E$69,0)),0))&amp;REPT("○",IFERROR(INDEX($V$42:$V$69,MATCH(tblCharDataReed[[#This Row],[Field]],$E$42:$E$69,0)),0))&amp;IF(IFERROR(INDEX($W$42:$W$69,MATCH(tblCharDataReed[[#This Row],[Field]],$E$42:$E$69,0)),0)=1,"†","")</f>
        <v/>
      </c>
      <c r="D38" s="18"/>
      <c r="E38" s="15" t="s">
        <v>24</v>
      </c>
      <c r="F38" s="18"/>
      <c r="G38" s="3"/>
      <c r="H38" s="18"/>
      <c r="I38" s="18"/>
      <c r="L38" s="3">
        <v>1</v>
      </c>
      <c r="M38" s="60">
        <f>IF(E38=$F$24,2,1)</f>
        <v>1</v>
      </c>
      <c r="N38" s="3"/>
      <c r="O38" s="61">
        <f>ROUNDDOWN(N38/4,0)</f>
        <v>0</v>
      </c>
      <c r="P38" s="60">
        <f>MIN(SUM(L38,M38,O38),R38)</f>
        <v>2</v>
      </c>
      <c r="R38" s="61">
        <v>5</v>
      </c>
      <c r="U38" s="4"/>
      <c r="V38" s="61">
        <f>U38</f>
        <v>0</v>
      </c>
      <c r="Y38" s="15" t="s">
        <v>1463</v>
      </c>
      <c r="Z38" s="61" t="str">
        <f>IFERROR(VLOOKUP(AA38,tblManoeuvre[],2,FALSE),"")</f>
        <v/>
      </c>
      <c r="AA38" s="61" t="str">
        <f t="shared" si="3"/>
        <v/>
      </c>
      <c r="AI38" s="15" t="s">
        <v>22</v>
      </c>
      <c r="AJ38" s="61">
        <f t="shared" si="1"/>
        <v>2</v>
      </c>
      <c r="AK38" s="61">
        <f>AJ38+IFERROR(INDEX($V$26:$V$38,MATCH(AI38,$E$26:$E$38,0)),0)</f>
        <v>2</v>
      </c>
    </row>
    <row r="39" spans="1:37">
      <c r="A39" s="1" t="s">
        <v>38</v>
      </c>
      <c r="B39" t="str">
        <f>REPT("●",IFERROR(INDEX($P$42:$P$69,MATCH(tblCharDataReed[[#This Row],[Field]],$E$42:$E$69,0)),0))&amp;REPT("○",IFERROR(INDEX($V$42:$V$69,MATCH(tblCharDataReed[[#This Row],[Field]],$E$42:$E$69,0)),0))&amp;IF(IFERROR(INDEX($W$42:$W$69,MATCH(tblCharDataReed[[#This Row],[Field]],$E$42:$E$69,0)),0)=1,"†","")</f>
        <v/>
      </c>
      <c r="Y39" s="15" t="s">
        <v>1464</v>
      </c>
      <c r="Z39" s="61" t="str">
        <f>IFERROR(VLOOKUP(AA39,tblManoeuvre[],2,FALSE),"")</f>
        <v/>
      </c>
      <c r="AA39" s="61" t="str">
        <f t="shared" si="3"/>
        <v/>
      </c>
      <c r="AI39" s="15" t="s">
        <v>243</v>
      </c>
      <c r="AJ39" s="61">
        <f t="shared" si="1"/>
        <v>0</v>
      </c>
      <c r="AK39" s="61">
        <f>AJ39</f>
        <v>0</v>
      </c>
    </row>
    <row r="40" spans="1:37" ht="15.75" thickBot="1">
      <c r="A40" s="1" t="s">
        <v>39</v>
      </c>
      <c r="B40" t="str">
        <f>REPT("●",IFERROR(INDEX($P$42:$P$69,MATCH(tblCharDataReed[[#This Row],[Field]],$E$42:$E$69,0)),0))&amp;REPT("○",IFERROR(INDEX($V$42:$V$69,MATCH(tblCharDataReed[[#This Row],[Field]],$E$42:$E$69,0)),0))&amp;IF(IFERROR(INDEX($W$42:$W$69,MATCH(tblCharDataReed[[#This Row],[Field]],$E$42:$E$69,0)),0)=1,"†","")</f>
        <v/>
      </c>
      <c r="D40" s="14" t="s">
        <v>1465</v>
      </c>
      <c r="E40" s="14"/>
      <c r="F40" s="14"/>
      <c r="G40" s="14"/>
      <c r="H40" s="14"/>
      <c r="I40" s="14"/>
      <c r="N40" s="60">
        <f>SUM(N42:N49,N52:N59,N62:N69)</f>
        <v>2</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1"/>
        <v>0</v>
      </c>
      <c r="AK40" s="61">
        <f>AJ40</f>
        <v>0</v>
      </c>
    </row>
    <row r="41" spans="1:37">
      <c r="A41" s="1" t="s">
        <v>40</v>
      </c>
      <c r="B41" t="str">
        <f>REPT("●",IFERROR(INDEX($P$42:$P$69,MATCH(tblCharDataReed[[#This Row],[Field]],$E$42:$E$69,0)),0))&amp;REPT("○",IFERROR(INDEX($V$42:$V$69,MATCH(tblCharDataReed[[#This Row],[Field]],$E$42:$E$69,0)),0))&amp;IF(IFERROR(INDEX($W$42:$W$69,MATCH(tblCharDataReed[[#This Row],[Field]],$E$42:$E$69,0)),0)=1,"†","")</f>
        <v/>
      </c>
      <c r="D41" s="16" t="s">
        <v>1444</v>
      </c>
      <c r="E41" s="17"/>
      <c r="F41" s="17"/>
      <c r="G41" s="17" t="s">
        <v>1467</v>
      </c>
      <c r="H41" s="16" t="s">
        <v>1446</v>
      </c>
      <c r="I41" s="3" t="s">
        <v>1567</v>
      </c>
      <c r="L41" s="60">
        <f>IF(I41="",0,VLOOKUP(I41,tblPriority[#Data],3,FALSE))-SUM(L42:L49)</f>
        <v>0</v>
      </c>
      <c r="T41" s="60">
        <f>MAX(3+IF(P161&gt;=3,2,0)-SUM(T42:T49,T52:T59,T62:T69),0)</f>
        <v>0</v>
      </c>
      <c r="Y41" s="15" t="s">
        <v>1468</v>
      </c>
      <c r="Z41" s="61" t="str">
        <f>IFERROR(VLOOKUP(AA41,tblManoeuvre[],2,FALSE),"")</f>
        <v/>
      </c>
      <c r="AA41" s="61" t="str">
        <f t="shared" si="3"/>
        <v/>
      </c>
      <c r="AI41" s="15" t="s">
        <v>244</v>
      </c>
      <c r="AJ41" s="61">
        <f t="shared" si="1"/>
        <v>1</v>
      </c>
      <c r="AK41" s="61">
        <f>AJ41</f>
        <v>1</v>
      </c>
    </row>
    <row r="42" spans="1:37">
      <c r="A42" s="1" t="s">
        <v>41</v>
      </c>
      <c r="B42" t="str">
        <f>REPT("●",IFERROR(INDEX($P$42:$P$69,MATCH(tblCharDataReed[[#This Row],[Field]],$E$42:$E$69,0)),0))&amp;REPT("○",IFERROR(INDEX($V$42:$V$69,MATCH(tblCharDataReed[[#This Row],[Field]],$E$42:$E$69,0)),0))&amp;IF(IFERROR(INDEX($W$42:$W$69,MATCH(tblCharDataReed[[#This Row],[Field]],$E$42:$E$69,0)),0)=1,"†","")</f>
        <v/>
      </c>
      <c r="D42" s="18"/>
      <c r="E42" s="15" t="s">
        <v>25</v>
      </c>
      <c r="F42" s="18"/>
      <c r="G42" s="3"/>
      <c r="H42" s="18"/>
      <c r="I42" s="18"/>
      <c r="L42" s="4">
        <v>2</v>
      </c>
      <c r="M42" s="60"/>
      <c r="N42" s="4"/>
      <c r="O42" s="61">
        <f>ROUNDDOWN(N42/2,0)</f>
        <v>0</v>
      </c>
      <c r="P42" s="60">
        <f t="shared" ref="P42:P49" si="4">MIN(SUM(L42,M42,O42),R42)</f>
        <v>2</v>
      </c>
      <c r="R42" s="61">
        <v>5</v>
      </c>
      <c r="T42" s="4"/>
      <c r="U42" s="4"/>
      <c r="V42" s="61">
        <f t="shared" ref="V42:V49" si="5">U42</f>
        <v>0</v>
      </c>
      <c r="W42" s="4"/>
      <c r="AI42" s="15" t="s">
        <v>18</v>
      </c>
      <c r="AJ42" s="61">
        <f t="shared" si="1"/>
        <v>2</v>
      </c>
      <c r="AK42" s="61">
        <f>AJ42+IFERROR(INDEX($V$26:$V$38,MATCH(AI42,$E$26:$E$38,0)),0)</f>
        <v>2</v>
      </c>
    </row>
    <row r="43" spans="1:37">
      <c r="A43" s="1" t="s">
        <v>42</v>
      </c>
      <c r="B43" t="str">
        <f>REPT("●",IFERROR(INDEX($P$42:$P$69,MATCH(tblCharDataReed[[#This Row],[Field]],$E$42:$E$69,0)),0))&amp;REPT("○",IFERROR(INDEX($V$42:$V$69,MATCH(tblCharDataReed[[#This Row],[Field]],$E$42:$E$69,0)),0))&amp;IF(IFERROR(INDEX($W$42:$W$69,MATCH(tblCharDataReed[[#This Row],[Field]],$E$42:$E$69,0)),0)=1,"†","")</f>
        <v/>
      </c>
      <c r="D43" s="18"/>
      <c r="E43" s="15" t="s">
        <v>26</v>
      </c>
      <c r="F43" s="18"/>
      <c r="G43" s="3" t="s">
        <v>1232</v>
      </c>
      <c r="H43" s="18"/>
      <c r="I43" s="18"/>
      <c r="L43" s="4">
        <v>3</v>
      </c>
      <c r="M43" s="60"/>
      <c r="N43" s="4"/>
      <c r="O43" s="61">
        <f t="shared" ref="O43:O49" si="6">ROUNDDOWN(N43/2,0)</f>
        <v>0</v>
      </c>
      <c r="P43" s="60">
        <f t="shared" si="4"/>
        <v>3</v>
      </c>
      <c r="R43" s="61">
        <v>5</v>
      </c>
      <c r="T43" s="4">
        <v>1</v>
      </c>
      <c r="U43" s="4"/>
      <c r="V43" s="61">
        <f t="shared" si="5"/>
        <v>0</v>
      </c>
      <c r="W43" s="4"/>
      <c r="AI43" s="15" t="s">
        <v>32</v>
      </c>
      <c r="AJ43" s="61">
        <f t="shared" si="1"/>
        <v>0</v>
      </c>
      <c r="AK43" s="61">
        <f>IF(AJ43=0,IF(COUNTIF($E$42:$E$49,AI43)&gt;0,-3,-1),AJ43)</f>
        <v>-3</v>
      </c>
    </row>
    <row r="44" spans="1:37">
      <c r="A44" s="1" t="s">
        <v>43</v>
      </c>
      <c r="B44" t="str">
        <f>REPT("●",IFERROR(INDEX($P$42:$P$69,MATCH(tblCharDataReed[[#This Row],[Field]],$E$42:$E$69,0)),0))&amp;REPT("○",IFERROR(INDEX($V$42:$V$69,MATCH(tblCharDataReed[[#This Row],[Field]],$E$42:$E$69,0)),0))&amp;IF(IFERROR(INDEX($W$42:$W$69,MATCH(tblCharDataReed[[#This Row],[Field]],$E$42:$E$69,0)),0)=1,"†","")</f>
        <v>●●●●</v>
      </c>
      <c r="D44" s="18"/>
      <c r="E44" s="15" t="s">
        <v>27</v>
      </c>
      <c r="F44" s="18"/>
      <c r="G44" s="3"/>
      <c r="H44" s="18"/>
      <c r="I44" s="18"/>
      <c r="L44" s="4"/>
      <c r="M44" s="60"/>
      <c r="N44" s="4"/>
      <c r="O44" s="61">
        <f t="shared" si="6"/>
        <v>0</v>
      </c>
      <c r="P44" s="60">
        <f t="shared" si="4"/>
        <v>0</v>
      </c>
      <c r="R44" s="61">
        <v>5</v>
      </c>
      <c r="T44" s="4"/>
      <c r="U44" s="4"/>
      <c r="V44" s="61">
        <f t="shared" si="5"/>
        <v>0</v>
      </c>
      <c r="W44" s="4"/>
      <c r="Y44" s="15">
        <v>1</v>
      </c>
      <c r="Z44" s="61" t="s">
        <v>236</v>
      </c>
      <c r="AA44" s="60" t="str" cm="1">
        <f t="array" ref="AA44">IF(OR(Y44=0,Y44=""),"",IF(VLOOKUP(Z44,$AI$1:$AJ$58,2,FALSE)&gt;=Y44,INDEX(tblDisciplines[Name],MATCH(1,(tblDisciplines[Discipline]=Z44)*(tblDisciplines[Rank]=Y44),0)),""))</f>
        <v/>
      </c>
      <c r="AC44" s="60" t="str" cm="1">
        <f t="array" ref="AC44:AC50">IFERROR(_xlfn.VSTACK(IFERROR(_xlfn._xlws.FILTER(AA44:AA121,AA44:AA121&lt;&gt;""),""),IFERROR(_xlfn._xlws.SORT(_xlfn._xlws.FILTER(AA123:AA132,AA123:AA132&lt;&gt;"")),"")),"")</f>
        <v>Mesmerise</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Dominate ● | Mesmerise</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 -3 in combat unless Blinded  •  Pool: 14  v Resolve + BP  •  Instant  •  Instant</v>
      </c>
      <c r="AF44" s="20" t="str">
        <f>IF(AC44="","",IFERROR(VLOOKUP(AC44,tblDisciplines[],12,FALSE),VLOOKUP(AC44,tblPacts[],5,FALSE)))</f>
        <v>Impose Mesmerised Condition. Control with short commands.</v>
      </c>
      <c r="AI44" s="15" t="s">
        <v>353</v>
      </c>
      <c r="AJ44" s="61">
        <f t="shared" si="1"/>
        <v>5</v>
      </c>
      <c r="AK44" s="61">
        <f>AJ44</f>
        <v>5</v>
      </c>
    </row>
    <row r="45" spans="1:37">
      <c r="A45" s="1" t="s">
        <v>44</v>
      </c>
      <c r="B45" t="str">
        <f>REPT("●",IFERROR(INDEX($P$42:$P$69,MATCH(tblCharDataReed[[#This Row],[Field]],$E$42:$E$69,0)),0))&amp;REPT("○",IFERROR(INDEX($V$42:$V$69,MATCH(tblCharDataReed[[#This Row],[Field]],$E$42:$E$69,0)),0))&amp;IF(IFERROR(INDEX($W$42:$W$69,MATCH(tblCharDataReed[[#This Row],[Field]],$E$42:$E$69,0)),0)=1,"†","")</f>
        <v>●●</v>
      </c>
      <c r="D45" s="18"/>
      <c r="E45" s="15" t="s">
        <v>28</v>
      </c>
      <c r="F45" s="18"/>
      <c r="G45" s="3"/>
      <c r="H45" s="18"/>
      <c r="I45" s="18"/>
      <c r="L45" s="4"/>
      <c r="M45" s="60"/>
      <c r="N45" s="4"/>
      <c r="O45" s="61">
        <f t="shared" si="6"/>
        <v>0</v>
      </c>
      <c r="P45" s="60">
        <f t="shared" si="4"/>
        <v>0</v>
      </c>
      <c r="R45" s="61">
        <v>5</v>
      </c>
      <c r="T45" s="4"/>
      <c r="U45" s="4"/>
      <c r="V45" s="61">
        <f t="shared" si="5"/>
        <v>0</v>
      </c>
      <c r="W45" s="4"/>
      <c r="Y45" s="15">
        <v>2</v>
      </c>
      <c r="Z45" s="61" t="s">
        <v>236</v>
      </c>
      <c r="AA45" s="60" t="str" cm="1">
        <f t="array" ref="AA45">IF(OR(Y45=0,Y45=""),"",IF(VLOOKUP(Z45,$AI$1:$AJ$58,2,FALSE)&gt;=Y45,INDEX(tblDisciplines[Name],MATCH(1,(tblDisciplines[Discipline]=Z45)*(tblDisciplines[Rank]=Y45),0)),""))</f>
        <v/>
      </c>
      <c r="AC45" s="60" t="str">
        <v>Iron Edict</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Dominate ●● | Iron Edict</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1 V (0 in bond) (req: Mesmerised); -3 in combat unless Blinded  •  Pool: -  •  Instant  •  Instant</v>
      </c>
      <c r="AF45" s="20" t="str">
        <f>IF(AC45="","",IFERROR(VLOOKUP(AC45,tblDisciplines[],12,FALSE),VLOOKUP(AC45,tblPacts[],5,FALSE)))</f>
        <v>Impose Dominated Condition. Give long, detailed commands.</v>
      </c>
      <c r="AI45" s="15" t="s">
        <v>46</v>
      </c>
      <c r="AJ45" s="61">
        <f t="shared" si="1"/>
        <v>0</v>
      </c>
      <c r="AK45" s="61">
        <f>IF(AJ45=0,IF(COUNTIF($E$42:$E$49,AI45)&gt;0,-3,-1),AJ45)</f>
        <v>-1</v>
      </c>
    </row>
    <row r="46" spans="1:37">
      <c r="A46" s="1" t="s">
        <v>45</v>
      </c>
      <c r="B46" t="str">
        <f>REPT("●",IFERROR(INDEX($P$42:$P$69,MATCH(tblCharDataReed[[#This Row],[Field]],$E$42:$E$69,0)),0))&amp;REPT("○",IFERROR(INDEX($V$42:$V$69,MATCH(tblCharDataReed[[#This Row],[Field]],$E$42:$E$69,0)),0))&amp;IF(IFERROR(INDEX($W$42:$W$69,MATCH(tblCharDataReed[[#This Row],[Field]],$E$42:$E$69,0)),0)=1,"†","")</f>
        <v>●</v>
      </c>
      <c r="D46" s="18"/>
      <c r="E46" s="15" t="s">
        <v>29</v>
      </c>
      <c r="F46" s="18"/>
      <c r="G46" s="3"/>
      <c r="H46" s="18"/>
      <c r="I46" s="18"/>
      <c r="L46" s="4"/>
      <c r="M46" s="60"/>
      <c r="N46" s="4"/>
      <c r="O46" s="61">
        <f t="shared" si="6"/>
        <v>0</v>
      </c>
      <c r="P46" s="60">
        <f t="shared" si="4"/>
        <v>0</v>
      </c>
      <c r="R46" s="61">
        <v>5</v>
      </c>
      <c r="T46" s="4"/>
      <c r="U46" s="4"/>
      <c r="V46" s="61">
        <f t="shared" si="5"/>
        <v>0</v>
      </c>
      <c r="W46" s="4"/>
      <c r="Y46" s="15">
        <v>3</v>
      </c>
      <c r="Z46" s="61" t="s">
        <v>236</v>
      </c>
      <c r="AA46" s="60" t="str" cm="1">
        <f t="array" ref="AA46">IF(OR(Y46=0,Y46=""),"",IF(VLOOKUP(Z46,$AI$1:$AJ$58,2,FALSE)&gt;=Y46,INDEX(tblDisciplines[Name],MATCH(1,(tblDisciplines[Discipline]=Z46)*(tblDisciplines[Rank]=Y46),0)),""))</f>
        <v/>
      </c>
      <c r="AC46" s="60" t="str">
        <v>Entombed Command</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Dominate ●●● | Entombed Command</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 (req: Mesmerised)   •  Pool: 14  - Resolve  •  Instant  •  1 week/success (1 month bonded)</v>
      </c>
      <c r="AF46" s="20" t="str">
        <f>IF(AC46="","",IFERROR(VLOOKUP(AC46,tblDisciplines[],12,FALSE),VLOOKUP(AC46,tblPacts[],5,FALSE)))</f>
        <v>Establish triggers for other Dominate powers.</v>
      </c>
      <c r="AI46" s="15" t="s">
        <v>354</v>
      </c>
      <c r="AJ46" s="61">
        <f t="shared" ca="1" si="1"/>
        <v>9</v>
      </c>
      <c r="AK46" s="61">
        <f ca="1">AJ46</f>
        <v>9</v>
      </c>
    </row>
    <row r="47" spans="1:37">
      <c r="A47" s="1" t="s">
        <v>46</v>
      </c>
      <c r="B47" t="str">
        <f>REPT("●",IFERROR(INDEX($P$42:$P$69,MATCH(tblCharDataReed[[#This Row],[Field]],$E$42:$E$69,0)),0))&amp;REPT("○",IFERROR(INDEX($V$42:$V$69,MATCH(tblCharDataReed[[#This Row],[Field]],$E$42:$E$69,0)),0))&amp;IF(IFERROR(INDEX($W$42:$W$69,MATCH(tblCharDataReed[[#This Row],[Field]],$E$42:$E$69,0)),0)=1,"†","")</f>
        <v/>
      </c>
      <c r="D47" s="18"/>
      <c r="E47" s="15" t="s">
        <v>30</v>
      </c>
      <c r="F47" s="18"/>
      <c r="G47" s="3"/>
      <c r="H47" s="18"/>
      <c r="I47" s="18"/>
      <c r="L47" s="4"/>
      <c r="M47" s="60"/>
      <c r="N47" s="4"/>
      <c r="O47" s="61">
        <f t="shared" si="6"/>
        <v>0</v>
      </c>
      <c r="P47" s="60">
        <f t="shared" si="4"/>
        <v>0</v>
      </c>
      <c r="R47" s="61">
        <v>5</v>
      </c>
      <c r="T47" s="4"/>
      <c r="U47" s="4"/>
      <c r="V47" s="61">
        <f t="shared" si="5"/>
        <v>0</v>
      </c>
      <c r="W47" s="4"/>
      <c r="Y47" s="15">
        <v>4</v>
      </c>
      <c r="Z47" s="61" t="s">
        <v>236</v>
      </c>
      <c r="AA47" s="60" t="str" cm="1">
        <f t="array" ref="AA47">IF(OR(Y47=0,Y47=""),"",IF(VLOOKUP(Z47,$AI$1:$AJ$58,2,FALSE)&gt;=Y47,INDEX(tblDisciplines[Name],MATCH(1,(tblDisciplines[Discipline]=Z47)*(tblDisciplines[Rank]=Y47),0)),""))</f>
        <v/>
      </c>
      <c r="AC47" s="60" t="str">
        <v>The Lying Mind</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Dominate ●●●● | The Lying Mind</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Cost: 2 V (req: Mesmerised)   •  Pool: -  •  Instant  •  Permanent</v>
      </c>
      <c r="AF47" s="20" t="str">
        <f>IF(AC47="","",IFERROR(VLOOKUP(AC47,tblDisciplines[],12,FALSE),VLOOKUP(AC47,tblPacts[],5,FALSE)))</f>
        <v>Impose Amnesia or False Memories Condition.</v>
      </c>
      <c r="AI47" s="15" t="s">
        <v>21</v>
      </c>
      <c r="AJ47" s="61">
        <f t="shared" si="1"/>
        <v>2</v>
      </c>
      <c r="AK47" s="61">
        <f>AJ47+IFERROR(INDEX($V$26:$V$38,MATCH(AI47,$E$26:$E$38,0)),0)</f>
        <v>3</v>
      </c>
    </row>
    <row r="48" spans="1:37">
      <c r="A48" s="1" t="s">
        <v>47</v>
      </c>
      <c r="B48" t="str">
        <f>REPT("●",IFERROR(INDEX($P$42:$P$69,MATCH(tblCharDataReed[[#This Row],[Field]],$E$42:$E$69,0)),0))&amp;REPT("○",IFERROR(INDEX($V$42:$V$69,MATCH(tblCharDataReed[[#This Row],[Field]],$E$42:$E$69,0)),0))&amp;IF(IFERROR(INDEX($W$42:$W$69,MATCH(tblCharDataReed[[#This Row],[Field]],$E$42:$E$69,0)),0)=1,"†","")</f>
        <v>●</v>
      </c>
      <c r="D48" s="18"/>
      <c r="E48" s="15" t="s">
        <v>31</v>
      </c>
      <c r="F48" s="18"/>
      <c r="G48" s="3"/>
      <c r="H48" s="18"/>
      <c r="I48" s="18"/>
      <c r="L48" s="4">
        <v>2</v>
      </c>
      <c r="M48" s="60"/>
      <c r="N48" s="4"/>
      <c r="O48" s="61">
        <f t="shared" si="6"/>
        <v>0</v>
      </c>
      <c r="P48" s="60">
        <f t="shared" si="4"/>
        <v>2</v>
      </c>
      <c r="R48" s="61">
        <v>5</v>
      </c>
      <c r="T48" s="4"/>
      <c r="U48" s="4"/>
      <c r="V48" s="61">
        <f t="shared" si="5"/>
        <v>0</v>
      </c>
      <c r="W48" s="4"/>
      <c r="Y48" s="15">
        <v>5</v>
      </c>
      <c r="Z48" s="61" t="s">
        <v>236</v>
      </c>
      <c r="AA48" s="60" t="str" cm="1">
        <f t="array" ref="AA48">IF(OR(Y48=0,Y48=""),"",IF(VLOOKUP(Z48,$AI$1:$AJ$58,2,FALSE)&gt;=Y48,INDEX(tblDisciplines[Name],MATCH(1,(tblDisciplines[Discipline]=Z48)*(tblDisciplines[Rank]=Y48),0)),""))</f>
        <v/>
      </c>
      <c r="AC48" s="60" t="str">
        <v>Possession</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Dominate ●●●●● | Possession</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Cost: 1 V &amp; 1 WP (req: Mesmerised); -3 in combat unless Blinded  •  Pool: 12  - Resolve + Supernatural Tolerance  •  Instant  •  1 scene per success</v>
      </c>
      <c r="AF48" s="20" t="str">
        <f>IF(AC48="","",IFERROR(VLOOKUP(AC48,tblDisciplines[],12,FALSE),VLOOKUP(AC48,tblPacts[],5,FALSE)))</f>
        <v>Control victim's body. Only walk in sun if victim normally can.</v>
      </c>
      <c r="AI48" s="15" t="s">
        <v>38</v>
      </c>
      <c r="AJ48" s="61">
        <f t="shared" si="1"/>
        <v>0</v>
      </c>
      <c r="AK48" s="61">
        <f>IF(AJ48=0,IF(COUNTIF($E$42:$E$49,AI48)&gt;0,-3,-1),AJ48)</f>
        <v>-1</v>
      </c>
    </row>
    <row r="49" spans="1:37">
      <c r="A49" s="1" t="s">
        <v>48</v>
      </c>
      <c r="B49" t="str">
        <f>REPT("●",IFERROR(INDEX($P$42:$P$69,MATCH(tblCharDataReed[[#This Row],[Field]],$E$42:$E$69,0)),0))&amp;REPT("○",IFERROR(INDEX($V$42:$V$69,MATCH(tblCharDataReed[[#This Row],[Field]],$E$42:$E$69,0)),0))&amp;IF(IFERROR(INDEX($W$42:$W$69,MATCH(tblCharDataReed[[#This Row],[Field]],$E$42:$E$69,0)),0)=1,"†","")</f>
        <v>●●●●</v>
      </c>
      <c r="D49" s="18"/>
      <c r="E49" s="15" t="s">
        <v>32</v>
      </c>
      <c r="F49" s="18"/>
      <c r="G49" s="3"/>
      <c r="H49" s="18"/>
      <c r="I49" s="18"/>
      <c r="L49" s="4"/>
      <c r="M49" s="60"/>
      <c r="N49" s="4"/>
      <c r="O49" s="61">
        <f t="shared" si="6"/>
        <v>0</v>
      </c>
      <c r="P49" s="60">
        <f t="shared" si="4"/>
        <v>0</v>
      </c>
      <c r="R49" s="61">
        <v>5</v>
      </c>
      <c r="T49" s="4"/>
      <c r="U49" s="4"/>
      <c r="V49" s="61">
        <f t="shared" si="5"/>
        <v>0</v>
      </c>
      <c r="W49" s="4"/>
      <c r="Y49" s="15">
        <v>1</v>
      </c>
      <c r="Z49" s="61" t="s">
        <v>237</v>
      </c>
      <c r="AA49" s="60" t="str" cm="1">
        <f t="array" ref="AA49">IF(OR(Y49=0,Y49=""),"",IF(VLOOKUP(Z49,$AI$1:$AJ$58,2,FALSE)&gt;=Y49,INDEX(tblDisciplines[Name],MATCH(1,(tblDisciplines[Discipline]=Z49)*(tblDisciplines[Rank]=Y49),0)),""))</f>
        <v/>
      </c>
      <c r="AC49" s="60" t="str">
        <v>Resilience 1</v>
      </c>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Resilience ●</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Cost: 1 V per effect  •  Pool: -  •  Reflexive  •  1 turn</v>
      </c>
      <c r="AF49" s="20" t="str">
        <f>IF(AC49="","",IFERROR(VLOOKUP(AC49,tblDisciplines[],12,FALSE),VLOOKUP(AC49,tblPacts[],5,FALSE)))</f>
        <v>Downgrade damage and increase Stamina. Improve Armour and Defences. Unnatural Fortitude: add Resilience dots as bonus dice to non-combat Stamina pools.</v>
      </c>
      <c r="AI49" s="15" t="s">
        <v>47</v>
      </c>
      <c r="AJ49" s="61">
        <f t="shared" si="1"/>
        <v>1</v>
      </c>
      <c r="AK49" s="61">
        <f>IF(AJ49=0,IF(COUNTIF($E$42:$E$49,AI49)&gt;0,-3,-1),AJ49)</f>
        <v>1</v>
      </c>
    </row>
    <row r="50" spans="1:37">
      <c r="A50" s="1" t="s">
        <v>49</v>
      </c>
      <c r="B50" t="str">
        <f ca="1">REPT("●",VLOOKUP(tblCharDataReed[[#This Row],[Field]],INDIRECT($AH$1),2,FALSE)) &amp; REPT("○",10-VLOOKUP(tblCharDataReed[[#This Row],[Field]],INDIRECT($AH$1),2,FALSE)) &amp; REPT("○",10-VLOOKUP(tblCharDataReed[[#This Row],[Field]],INDIRECT($AH$1),2,FALSE))</f>
        <v>●○○○○○○○○○○○○○○○○○○</v>
      </c>
      <c r="Y50" s="15">
        <v>2</v>
      </c>
      <c r="Z50" s="61" t="s">
        <v>237</v>
      </c>
      <c r="AA50" s="60" t="str" cm="1">
        <f t="array" ref="AA50">IF(OR(Y50=0,Y50=""),"",IF(VLOOKUP(Z50,$AI$1:$AJ$58,2,FALSE)&gt;=Y50,INDEX(tblDisciplines[Name],MATCH(1,(tblDisciplines[Discipline]=Z50)*(tblDisciplines[Rank]=Y50),0)),""))</f>
        <v/>
      </c>
      <c r="AC50" s="60" t="str">
        <v/>
      </c>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
      </c>
      <c r="AF50" s="20" t="str">
        <f>IF(AC50="","",IFERROR(VLOOKUP(AC50,tblDisciplines[],12,FALSE),VLOOKUP(AC50,tblPacts[],5,FALSE)))</f>
        <v/>
      </c>
      <c r="AI50" s="15" t="s">
        <v>19</v>
      </c>
      <c r="AJ50" s="61">
        <f t="shared" si="1"/>
        <v>2</v>
      </c>
      <c r="AK50" s="61">
        <f>AJ50+IFERROR(INDEX($V$26:$V$38,MATCH(AI50,$E$26:$E$38,0)),0)</f>
        <v>2</v>
      </c>
    </row>
    <row r="51" spans="1:37">
      <c r="A51" s="1" t="s">
        <v>50</v>
      </c>
      <c r="B51">
        <f>P72</f>
        <v>1</v>
      </c>
      <c r="D51" s="16" t="s">
        <v>1453</v>
      </c>
      <c r="E51" s="17"/>
      <c r="F51" s="17"/>
      <c r="G51" s="17" t="s">
        <v>1467</v>
      </c>
      <c r="H51" s="16" t="s">
        <v>1446</v>
      </c>
      <c r="I51" s="3" t="s">
        <v>1566</v>
      </c>
      <c r="L51" s="60">
        <f>IF(I51="",0,VLOOKUP(I51,tblPriority[#Data],3,FALSE))-SUM(L52:L59)</f>
        <v>0</v>
      </c>
      <c r="Y51" s="15">
        <v>3</v>
      </c>
      <c r="Z51" s="61" t="s">
        <v>237</v>
      </c>
      <c r="AA51" s="60" t="str" cm="1">
        <f t="array" ref="AA51">IF(OR(Y51=0,Y51=""),"",IF(VLOOKUP(Z51,$AI$1:$AJ$58,2,FALSE)&gt;=Y51,INDEX(tblDisciplines[Name],MATCH(1,(tblDisciplines[Discipline]=Z51)*(tblDisciplines[Rank]=Y51),0)),""))</f>
        <v/>
      </c>
      <c r="AC51" s="60"/>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
      </c>
      <c r="AF51" s="20" t="str">
        <f>IF(AC51="","",IFERROR(VLOOKUP(AC51,tblDisciplines[],12,FALSE),VLOOKUP(AC51,tblPacts[],5,FALSE)))</f>
        <v/>
      </c>
      <c r="AI51" s="15" t="s">
        <v>48</v>
      </c>
      <c r="AJ51" s="61">
        <f t="shared" si="1"/>
        <v>4</v>
      </c>
      <c r="AK51" s="61">
        <f>IF(AJ51=0,IF(COUNTIF($E$42:$E$49,AI51)&gt;0,-3,-1),AJ51)</f>
        <v>4</v>
      </c>
    </row>
    <row r="52" spans="1:37">
      <c r="A52" s="1" t="s">
        <v>51</v>
      </c>
      <c r="B52" t="str">
        <f>_xlfn.IFNA(VLOOKUP(P72,tblBloodPotency[#Data],5,FALSE),"")</f>
        <v/>
      </c>
      <c r="D52" s="18"/>
      <c r="E52" s="15" t="s">
        <v>33</v>
      </c>
      <c r="F52" s="18"/>
      <c r="G52" s="3"/>
      <c r="H52" s="18"/>
      <c r="I52" s="18"/>
      <c r="L52" s="4">
        <v>1</v>
      </c>
      <c r="M52" s="60"/>
      <c r="N52" s="4"/>
      <c r="O52" s="61">
        <f>ROUNDDOWN(N52/2,0)</f>
        <v>0</v>
      </c>
      <c r="P52" s="60">
        <f t="shared" ref="P52:P59" si="7">MIN(SUM(L52,M52,O52),R52)</f>
        <v>1</v>
      </c>
      <c r="R52" s="61">
        <v>5</v>
      </c>
      <c r="T52" s="4"/>
      <c r="U52" s="4"/>
      <c r="V52" s="61">
        <f t="shared" ref="V52:V59" si="8">U52</f>
        <v>0</v>
      </c>
      <c r="W52" s="4"/>
      <c r="Y52" s="15">
        <v>4</v>
      </c>
      <c r="Z52" s="61" t="s">
        <v>237</v>
      </c>
      <c r="AA52" s="60" t="str" cm="1">
        <f t="array" ref="AA52">IF(OR(Y52=0,Y52=""),"",IF(VLOOKUP(Z52,$AI$1:$AJ$58,2,FALSE)&gt;=Y52,INDEX(tblDisciplines[Name],MATCH(1,(tblDisciplines[Discipline]=Z52)*(tblDisciplines[Rank]=Y52),0)),""))</f>
        <v/>
      </c>
      <c r="AC52" s="60"/>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
      </c>
      <c r="AF52" s="20" t="str">
        <f>IF(AC52="","",IFERROR(VLOOKUP(AC52,tblDisciplines[],12,FALSE),VLOOKUP(AC52,tblPacts[],5,FALSE)))</f>
        <v/>
      </c>
      <c r="AI52" s="15" t="s">
        <v>39</v>
      </c>
      <c r="AJ52" s="61">
        <f t="shared" si="1"/>
        <v>0</v>
      </c>
      <c r="AK52" s="61">
        <f>IF(AJ52=0,IF(COUNTIF($E$42:$E$49,AI52)&gt;0,-3,-1),AJ52)</f>
        <v>-1</v>
      </c>
    </row>
    <row r="53" spans="1:37">
      <c r="A53" s="1" t="s">
        <v>52</v>
      </c>
      <c r="B53" t="str">
        <f ca="1">REPT("□",P221) &amp; REPT("■",15-P221)</f>
        <v>□□□□□□□□■■■■■■■</v>
      </c>
      <c r="D53" s="18"/>
      <c r="E53" s="15" t="s">
        <v>34</v>
      </c>
      <c r="F53" s="18"/>
      <c r="G53" s="3"/>
      <c r="H53" s="18"/>
      <c r="I53" s="18"/>
      <c r="L53" s="4"/>
      <c r="M53" s="60"/>
      <c r="N53" s="4"/>
      <c r="O53" s="61">
        <f t="shared" ref="O53:O59" si="9">ROUNDDOWN(N53/2,0)</f>
        <v>0</v>
      </c>
      <c r="P53" s="60">
        <f t="shared" si="7"/>
        <v>0</v>
      </c>
      <c r="R53" s="61">
        <v>5</v>
      </c>
      <c r="T53" s="4"/>
      <c r="U53" s="4"/>
      <c r="V53" s="61">
        <f t="shared" si="8"/>
        <v>0</v>
      </c>
      <c r="W53" s="4"/>
      <c r="Y53" s="15">
        <v>5</v>
      </c>
      <c r="Z53" s="61" t="s">
        <v>237</v>
      </c>
      <c r="AA53" s="60" t="str" cm="1">
        <f t="array" ref="AA53">IF(OR(Y53=0,Y53=""),"",IF(VLOOKUP(Z53,$AI$1:$AJ$58,2,FALSE)&gt;=Y53,INDEX(tblDisciplines[Name],MATCH(1,(tblDisciplines[Discipline]=Z53)*(tblDisciplines[Rank]=Y53),0)),""))</f>
        <v/>
      </c>
      <c r="AC53" s="60"/>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
      </c>
      <c r="AF53" s="20" t="str">
        <f>IF(AC53="","",IFERROR(VLOOKUP(AC53,tblDisciplines[],12,FALSE),VLOOKUP(AC53,tblPacts[],5,FALSE)))</f>
        <v/>
      </c>
      <c r="AI53" s="15" t="s">
        <v>247</v>
      </c>
      <c r="AJ53" s="61">
        <f t="shared" si="1"/>
        <v>0</v>
      </c>
      <c r="AK53" s="61">
        <f>AJ53</f>
        <v>0</v>
      </c>
    </row>
    <row r="54" spans="1:37">
      <c r="A54" s="1" t="s">
        <v>53</v>
      </c>
      <c r="B54" t="str">
        <f>_xlfn.CONCAT(P74-L224," / ",P74)</f>
        <v>4 / 4</v>
      </c>
      <c r="D54" s="18"/>
      <c r="E54" s="15" t="s">
        <v>35</v>
      </c>
      <c r="F54" s="18"/>
      <c r="G54" s="3"/>
      <c r="H54" s="18"/>
      <c r="I54" s="18"/>
      <c r="L54" s="4">
        <v>1</v>
      </c>
      <c r="M54" s="60"/>
      <c r="N54" s="4"/>
      <c r="O54" s="61">
        <f t="shared" si="9"/>
        <v>0</v>
      </c>
      <c r="P54" s="60">
        <f t="shared" si="7"/>
        <v>1</v>
      </c>
      <c r="R54" s="61">
        <v>5</v>
      </c>
      <c r="T54" s="4"/>
      <c r="U54" s="4"/>
      <c r="V54" s="61">
        <f t="shared" si="8"/>
        <v>0</v>
      </c>
      <c r="W54" s="4"/>
      <c r="Y54" s="15">
        <f>P167</f>
        <v>0</v>
      </c>
      <c r="Z54" s="61" t="s">
        <v>238</v>
      </c>
      <c r="AA54" s="60" t="str" cm="1">
        <f t="array" ref="AA54">IF(OR(Y54=0,Y54=""),"",IF(VLOOKUP(Z54,$AI$1:$AJ$58,2,FALSE)&gt;=Y54,INDEX(tblDisciplines[Name],MATCH(1,(tblDisciplines[Discipline]=Z54)*(tblDisciplines[Rank]=Y54),0)),""))</f>
        <v/>
      </c>
      <c r="AC54" s="60"/>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
      </c>
      <c r="AF54" s="20" t="str">
        <f>IF(AC54="","",IFERROR(VLOOKUP(AC54,tblDisciplines[],12,FALSE),VLOOKUP(AC54,tblPacts[],5,FALSE)))</f>
        <v/>
      </c>
      <c r="AI54" s="15" t="s">
        <v>252</v>
      </c>
      <c r="AJ54" s="61">
        <f t="shared" si="1"/>
        <v>0</v>
      </c>
      <c r="AK54" s="61">
        <f>AJ54</f>
        <v>0</v>
      </c>
    </row>
    <row r="55" spans="1:37">
      <c r="A55" s="1" t="s">
        <v>54</v>
      </c>
      <c r="B55" t="str">
        <f>REPT("□",P74) &amp; REPT("■",10-P74)</f>
        <v>□□□□■■■■■■</v>
      </c>
      <c r="D55" s="18"/>
      <c r="E55" s="15" t="s">
        <v>36</v>
      </c>
      <c r="F55" s="18"/>
      <c r="G55" s="3"/>
      <c r="H55" s="18"/>
      <c r="I55" s="18"/>
      <c r="L55" s="4">
        <v>2</v>
      </c>
      <c r="M55" s="60"/>
      <c r="N55" s="4"/>
      <c r="O55" s="61">
        <f t="shared" si="9"/>
        <v>0</v>
      </c>
      <c r="P55" s="60">
        <f t="shared" si="7"/>
        <v>2</v>
      </c>
      <c r="R55" s="61">
        <v>5</v>
      </c>
      <c r="T55" s="4"/>
      <c r="U55" s="4"/>
      <c r="V55" s="61">
        <f t="shared" si="8"/>
        <v>0</v>
      </c>
      <c r="W55" s="4"/>
      <c r="Y55" s="15">
        <v>1</v>
      </c>
      <c r="Z55" s="61" t="s">
        <v>239</v>
      </c>
      <c r="AA55" s="60" t="str" cm="1">
        <f t="array" ref="AA55">IF(OR(Y55=0,Y55=""),"",IF(VLOOKUP(Z55,$AI$1:$AJ$58,2,FALSE)&gt;=Y55,INDEX(tblDisciplines[Name],MATCH(1,(tblDisciplines[Discipline]=Z55)*(tblDisciplines[Rank]=Y55),0)),""))</f>
        <v>Mesmerise</v>
      </c>
      <c r="AC55" s="60"/>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
      </c>
      <c r="AF55" s="20" t="str">
        <f>IF(AC55="","",IFERROR(VLOOKUP(AC55,tblDisciplines[],12,FALSE),VLOOKUP(AC55,tblPacts[],5,FALSE)))</f>
        <v/>
      </c>
      <c r="AI55" s="15" t="s">
        <v>245</v>
      </c>
      <c r="AJ55" s="61">
        <f t="shared" si="1"/>
        <v>0</v>
      </c>
      <c r="AK55" s="61">
        <f>AJ55+IFERROR(INDEX($V$26:$V$38,MATCH(AI55,$E$26:$E$38,0)),0)</f>
        <v>0</v>
      </c>
    </row>
    <row r="56" spans="1:37">
      <c r="A56" s="1" t="s">
        <v>55</v>
      </c>
      <c r="B56" t="str">
        <f ca="1">_xlfn.CONCAT(P75-L223," / ",P75)</f>
        <v>10 / 10</v>
      </c>
      <c r="D56" s="19"/>
      <c r="E56" s="15" t="s">
        <v>37</v>
      </c>
      <c r="F56" s="18"/>
      <c r="G56" s="3"/>
      <c r="H56" s="18"/>
      <c r="I56" s="18"/>
      <c r="L56" s="4"/>
      <c r="M56" s="60"/>
      <c r="N56" s="4"/>
      <c r="O56" s="61">
        <f t="shared" si="9"/>
        <v>0</v>
      </c>
      <c r="P56" s="60">
        <f t="shared" si="7"/>
        <v>0</v>
      </c>
      <c r="R56" s="61">
        <v>5</v>
      </c>
      <c r="T56" s="4"/>
      <c r="U56" s="4"/>
      <c r="V56" s="61">
        <f t="shared" si="8"/>
        <v>0</v>
      </c>
      <c r="W56" s="4"/>
      <c r="Y56" s="15">
        <v>2</v>
      </c>
      <c r="Z56" s="61" t="s">
        <v>239</v>
      </c>
      <c r="AA56" s="60" t="str" cm="1">
        <f t="array" ref="AA56">IF(OR(Y56=0,Y56=""),"",IF(VLOOKUP(Z56,$AI$1:$AJ$58,2,FALSE)&gt;=Y56,INDEX(tblDisciplines[Name],MATCH(1,(tblDisciplines[Discipline]=Z56)*(tblDisciplines[Rank]=Y56),0)),""))</f>
        <v>Iron Edict</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1"/>
        <v>0</v>
      </c>
      <c r="AK56" s="61">
        <f>IF(AJ56=0,IF(COUNTIF($E$42:$E$49,AI56)&gt;0,-3,-1),AJ56)</f>
        <v>-1</v>
      </c>
    </row>
    <row r="57" spans="1:37">
      <c r="A57" s="1" t="s">
        <v>56</v>
      </c>
      <c r="B57" t="str">
        <f ca="1">REPT("□",P75-L223) &amp; REPT("■",20-P75+L223)</f>
        <v>□□□□□□□□□□■■■■■■■■■■</v>
      </c>
      <c r="D57" s="19"/>
      <c r="E57" s="15" t="s">
        <v>38</v>
      </c>
      <c r="F57" s="18"/>
      <c r="G57" s="3"/>
      <c r="H57" s="18"/>
      <c r="I57" s="18"/>
      <c r="L57" s="4"/>
      <c r="M57" s="60"/>
      <c r="N57" s="4"/>
      <c r="O57" s="61">
        <f t="shared" si="9"/>
        <v>0</v>
      </c>
      <c r="P57" s="60">
        <f t="shared" si="7"/>
        <v>0</v>
      </c>
      <c r="R57" s="61">
        <v>5</v>
      </c>
      <c r="T57" s="4"/>
      <c r="U57" s="4"/>
      <c r="V57" s="61">
        <f t="shared" si="8"/>
        <v>0</v>
      </c>
      <c r="W57" s="4"/>
      <c r="Y57" s="15">
        <v>3</v>
      </c>
      <c r="Z57" s="61" t="s">
        <v>239</v>
      </c>
      <c r="AA57" s="60" t="str" cm="1">
        <f t="array" ref="AA57">IF(OR(Y57=0,Y57=""),"",IF(VLOOKUP(Z57,$AI$1:$AJ$58,2,FALSE)&gt;=Y57,INDEX(tblDisciplines[Name],MATCH(1,(tblDisciplines[Discipline]=Z57)*(tblDisciplines[Rank]=Y57),0)),""))</f>
        <v>Entombed Command</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1"/>
        <v>4</v>
      </c>
      <c r="AK57" s="61">
        <f>AJ57</f>
        <v>4</v>
      </c>
    </row>
    <row r="58" spans="1:37">
      <c r="A58" s="1" t="s">
        <v>57</v>
      </c>
      <c r="B58">
        <f ca="1">VLOOKUP(VLOOKUP("Blood Potency", INDIRECT($AH$1),2,FALSE),tblBloodPotency[#Data],3,FALSE)</f>
        <v>1</v>
      </c>
      <c r="D58" s="19"/>
      <c r="E58" s="15" t="s">
        <v>39</v>
      </c>
      <c r="F58" s="18"/>
      <c r="G58" s="3"/>
      <c r="H58" s="18"/>
      <c r="I58" s="18"/>
      <c r="L58" s="4"/>
      <c r="M58" s="60"/>
      <c r="N58" s="4"/>
      <c r="O58" s="61">
        <f t="shared" si="9"/>
        <v>0</v>
      </c>
      <c r="P58" s="60">
        <f t="shared" si="7"/>
        <v>0</v>
      </c>
      <c r="R58" s="61">
        <v>5</v>
      </c>
      <c r="T58" s="4"/>
      <c r="U58" s="4"/>
      <c r="V58" s="61">
        <f t="shared" si="8"/>
        <v>0</v>
      </c>
      <c r="W58" s="4"/>
      <c r="Y58" s="15">
        <v>4</v>
      </c>
      <c r="Z58" s="61" t="s">
        <v>239</v>
      </c>
      <c r="AA58" s="60" t="str" cm="1">
        <f t="array" ref="AA58">IF(OR(Y58=0,Y58=""),"",IF(VLOOKUP(Z58,$AI$1:$AJ$58,2,FALSE)&gt;=Y58,INDEX(tblDisciplines[Name],MATCH(1,(tblDisciplines[Discipline]=Z58)*(tblDisciplines[Rank]=Y58),0)),""))</f>
        <v>The Lying Mind</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1"/>
        <v>2</v>
      </c>
      <c r="AK58" s="61">
        <f>AJ58+IFERROR(INDEX($V$26:$V$38,MATCH(AI58,$E$26:$E$38,0)),0)</f>
        <v>2</v>
      </c>
    </row>
    <row r="59" spans="1:37">
      <c r="A59" s="1" t="s">
        <v>58</v>
      </c>
      <c r="B59" t="str">
        <f ca="1">VLOOKUP(VLOOKUP("Blood Potency", INDIRECT($AH$1),2,FALSE),tblBloodPotency[#Data],4,FALSE)</f>
        <v>Animals</v>
      </c>
      <c r="D59" s="19"/>
      <c r="E59" s="15" t="s">
        <v>40</v>
      </c>
      <c r="F59" s="18"/>
      <c r="G59" s="3"/>
      <c r="H59" s="18"/>
      <c r="I59" s="18"/>
      <c r="L59" s="4"/>
      <c r="M59" s="60"/>
      <c r="N59" s="4"/>
      <c r="O59" s="61">
        <f t="shared" si="9"/>
        <v>0</v>
      </c>
      <c r="P59" s="60">
        <f t="shared" si="7"/>
        <v>0</v>
      </c>
      <c r="R59" s="61">
        <v>5</v>
      </c>
      <c r="T59" s="4"/>
      <c r="U59" s="4"/>
      <c r="V59" s="61">
        <f t="shared" si="8"/>
        <v>0</v>
      </c>
      <c r="W59" s="4"/>
      <c r="Y59" s="15">
        <v>5</v>
      </c>
      <c r="Z59" s="61" t="s">
        <v>239</v>
      </c>
      <c r="AA59" s="60" t="str" cm="1">
        <f t="array" ref="AA59">IF(OR(Y59=0,Y59=""),"",IF(VLOOKUP(Z59,$AI$1:$AJ$58,2,FALSE)&gt;=Y59,INDEX(tblDisciplines[Name],MATCH(1,(tblDisciplines[Discipline]=Z59)*(tblDisciplines[Rank]=Y59),0)),""))</f>
        <v>Possession</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0">IFERROR(IF(VLOOKUP(SUBSTITUTE(A60," Spec",""),$E$42:$G$69,3,FALSE)=0,"",VLOOKUP(SUBSTITUTE(A60," Spec",""),$E$42:$G$69,3,FALSE)),"")</f>
        <v/>
      </c>
      <c r="Y60" s="15">
        <v>1</v>
      </c>
      <c r="Z60" s="61" t="s">
        <v>240</v>
      </c>
      <c r="AA60" s="60" t="str" cm="1">
        <f t="array" ref="AA60">IF(OR(Y60=0,Y60=""),"",IF(VLOOKUP(Z60,$AI$1:$AJ$58,2,FALSE)&gt;=Y60,INDEX(tblDisciplines[Name],MATCH(1,(tblDisciplines[Discipline]=Z60)*(tblDisciplines[Rank]=Y60),0)),""))</f>
        <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0"/>
        <v>LLM/AI</v>
      </c>
      <c r="D61" s="16" t="s">
        <v>1459</v>
      </c>
      <c r="E61" s="17"/>
      <c r="F61" s="17"/>
      <c r="G61" s="17" t="s">
        <v>1467</v>
      </c>
      <c r="H61" s="16" t="s">
        <v>1446</v>
      </c>
      <c r="I61" s="3" t="s">
        <v>1565</v>
      </c>
      <c r="L61" s="60">
        <f>IF(I61="",0,VLOOKUP(I61,tblPriority[#Data],3,FALSE))-SUM(L62:L69)</f>
        <v>0</v>
      </c>
      <c r="Y61" s="15">
        <v>2</v>
      </c>
      <c r="Z61" s="61" t="s">
        <v>240</v>
      </c>
      <c r="AA61" s="60" t="str" cm="1">
        <f t="array" ref="AA61">IF(OR(Y61=0,Y61=""),"",IF(VLOOKUP(Z61,$AI$1:$AJ$58,2,FALSE)&gt;=Y61,INDEX(tblDisciplines[Name],MATCH(1,(tblDisciplines[Discipline]=Z61)*(tblDisciplines[Rank]=Y61),0)),""))</f>
        <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0"/>
        <v/>
      </c>
      <c r="D62" s="18"/>
      <c r="E62" s="15" t="s">
        <v>41</v>
      </c>
      <c r="F62" s="18"/>
      <c r="G62" s="3"/>
      <c r="H62" s="18"/>
      <c r="I62" s="18"/>
      <c r="L62" s="4"/>
      <c r="M62" s="60"/>
      <c r="N62" s="4"/>
      <c r="O62" s="61">
        <f>ROUNDDOWN(N62/2,0)</f>
        <v>0</v>
      </c>
      <c r="P62" s="60">
        <f t="shared" ref="P62:P69" si="11">MIN(SUM(L62,M62,O62),R62)</f>
        <v>0</v>
      </c>
      <c r="R62" s="61">
        <v>5</v>
      </c>
      <c r="T62" s="4"/>
      <c r="U62" s="4"/>
      <c r="V62" s="61">
        <f t="shared" ref="V62:V69" si="12">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0"/>
        <v/>
      </c>
      <c r="D63" s="19"/>
      <c r="E63" s="15" t="s">
        <v>42</v>
      </c>
      <c r="F63" s="18"/>
      <c r="G63" s="3"/>
      <c r="H63" s="18"/>
      <c r="I63" s="18"/>
      <c r="L63" s="4"/>
      <c r="M63" s="60"/>
      <c r="N63" s="4"/>
      <c r="O63" s="61">
        <f t="shared" ref="O63:O69" si="13">ROUNDDOWN(N63/2,0)</f>
        <v>0</v>
      </c>
      <c r="P63" s="60">
        <f t="shared" si="11"/>
        <v>0</v>
      </c>
      <c r="R63" s="61">
        <v>5</v>
      </c>
      <c r="T63" s="4"/>
      <c r="U63" s="4"/>
      <c r="V63" s="61">
        <f t="shared" si="12"/>
        <v>0</v>
      </c>
      <c r="W63" s="4"/>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0"/>
        <v/>
      </c>
      <c r="D64" s="19"/>
      <c r="E64" s="15" t="s">
        <v>43</v>
      </c>
      <c r="F64" s="18"/>
      <c r="G64" s="3" t="s">
        <v>1233</v>
      </c>
      <c r="H64" s="18"/>
      <c r="I64" s="18"/>
      <c r="L64" s="4">
        <v>4</v>
      </c>
      <c r="M64" s="60"/>
      <c r="N64" s="4"/>
      <c r="O64" s="61">
        <f t="shared" si="13"/>
        <v>0</v>
      </c>
      <c r="P64" s="60">
        <f t="shared" si="11"/>
        <v>4</v>
      </c>
      <c r="R64" s="61">
        <v>5</v>
      </c>
      <c r="T64" s="4">
        <v>1</v>
      </c>
      <c r="U64" s="4"/>
      <c r="V64" s="61">
        <f t="shared" si="12"/>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0"/>
        <v/>
      </c>
      <c r="D65" s="19"/>
      <c r="E65" s="15" t="s">
        <v>44</v>
      </c>
      <c r="F65" s="18"/>
      <c r="G65" s="3"/>
      <c r="H65" s="18"/>
      <c r="I65" s="18"/>
      <c r="L65" s="4">
        <v>2</v>
      </c>
      <c r="M65" s="60"/>
      <c r="N65" s="4"/>
      <c r="O65" s="61">
        <f t="shared" si="13"/>
        <v>0</v>
      </c>
      <c r="P65" s="60">
        <f t="shared" si="11"/>
        <v>2</v>
      </c>
      <c r="R65" s="61">
        <v>5</v>
      </c>
      <c r="T65" s="4"/>
      <c r="U65" s="4"/>
      <c r="V65" s="61">
        <f t="shared" si="12"/>
        <v>0</v>
      </c>
      <c r="W65" s="4"/>
      <c r="Y65" s="15">
        <v>1</v>
      </c>
      <c r="Z65" s="61" t="s">
        <v>241</v>
      </c>
      <c r="AA65" s="60" t="str" cm="1">
        <f t="array" ref="AA65">IF(OR(Y65=0,Y65=""),"",IF(VLOOKUP(Z65,$AI$1:$AJ$58,2,FALSE)&gt;=Y65,INDEX(tblDisciplines[Name],MATCH(1,(tblDisciplines[Discipline]=Z65)*(tblDisciplines[Rank]=Y65),0)),""))</f>
        <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0"/>
        <v/>
      </c>
      <c r="D66" s="19"/>
      <c r="E66" s="15" t="s">
        <v>45</v>
      </c>
      <c r="F66" s="18"/>
      <c r="G66" s="3"/>
      <c r="H66" s="18"/>
      <c r="I66" s="18"/>
      <c r="L66" s="4">
        <v>1</v>
      </c>
      <c r="M66" s="60"/>
      <c r="N66" s="4"/>
      <c r="O66" s="61">
        <f t="shared" si="13"/>
        <v>0</v>
      </c>
      <c r="P66" s="60">
        <f t="shared" si="11"/>
        <v>1</v>
      </c>
      <c r="R66" s="61">
        <v>5</v>
      </c>
      <c r="T66" s="4"/>
      <c r="U66" s="4"/>
      <c r="V66" s="61">
        <f t="shared" si="12"/>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0"/>
        <v/>
      </c>
      <c r="D67" s="19"/>
      <c r="E67" s="15" t="s">
        <v>46</v>
      </c>
      <c r="F67" s="18"/>
      <c r="G67" s="3"/>
      <c r="H67" s="18"/>
      <c r="I67" s="18"/>
      <c r="L67" s="4"/>
      <c r="M67" s="60"/>
      <c r="N67" s="4"/>
      <c r="O67" s="61">
        <f t="shared" si="13"/>
        <v>0</v>
      </c>
      <c r="P67" s="60">
        <f t="shared" si="11"/>
        <v>0</v>
      </c>
      <c r="R67" s="61">
        <v>5</v>
      </c>
      <c r="T67" s="4"/>
      <c r="U67" s="4"/>
      <c r="V67" s="61">
        <f t="shared" si="12"/>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0"/>
        <v/>
      </c>
      <c r="D68" s="18"/>
      <c r="E68" s="15" t="s">
        <v>47</v>
      </c>
      <c r="F68" s="18"/>
      <c r="G68" s="3"/>
      <c r="H68" s="18"/>
      <c r="I68" s="18"/>
      <c r="L68" s="4"/>
      <c r="M68" s="60"/>
      <c r="N68" s="4">
        <v>2</v>
      </c>
      <c r="O68" s="61">
        <f t="shared" si="13"/>
        <v>1</v>
      </c>
      <c r="P68" s="60">
        <f t="shared" si="11"/>
        <v>1</v>
      </c>
      <c r="R68" s="61">
        <v>5</v>
      </c>
      <c r="T68" s="4"/>
      <c r="U68" s="4"/>
      <c r="V68" s="61">
        <f t="shared" si="12"/>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0"/>
        <v/>
      </c>
      <c r="D69" s="18"/>
      <c r="E69" s="15" t="s">
        <v>48</v>
      </c>
      <c r="F69" s="18"/>
      <c r="G69" s="3" t="s">
        <v>1234</v>
      </c>
      <c r="H69" s="18"/>
      <c r="I69" s="18"/>
      <c r="L69" s="4">
        <v>4</v>
      </c>
      <c r="M69" s="60"/>
      <c r="N69" s="4"/>
      <c r="O69" s="61">
        <f t="shared" si="13"/>
        <v>0</v>
      </c>
      <c r="P69" s="60">
        <f t="shared" si="11"/>
        <v>4</v>
      </c>
      <c r="R69" s="61">
        <v>5</v>
      </c>
      <c r="T69" s="4">
        <v>1</v>
      </c>
      <c r="U69" s="4"/>
      <c r="V69" s="61">
        <f t="shared" si="12"/>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0"/>
        <v/>
      </c>
      <c r="Y70" s="15">
        <v>1</v>
      </c>
      <c r="Z70" s="61" t="s">
        <v>242</v>
      </c>
      <c r="AA70" s="60" t="str" cm="1">
        <f t="array" ref="AA70">IF(OR(Y70=0,Y70=""),"",IF(VLOOKUP(Z70,$AI$1:$AJ$58,2,FALSE)&gt;=Y70,INDEX(tblDisciplines[Name],MATCH(1,(tblDisciplines[Discipline]=Z70)*(tblDisciplines[Rank]=Y70),0)),""))</f>
        <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0"/>
        <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0"/>
        <v/>
      </c>
      <c r="D72" s="19"/>
      <c r="E72" s="15" t="s">
        <v>49</v>
      </c>
      <c r="F72" s="19"/>
      <c r="G72" s="19"/>
      <c r="H72" s="19"/>
      <c r="I72" s="19"/>
      <c r="K72" s="4"/>
      <c r="L72" s="4"/>
      <c r="M72" s="60">
        <v>1</v>
      </c>
      <c r="N72" s="4"/>
      <c r="O72" s="61">
        <f>ROUNDDOWN(N72/5,0)</f>
        <v>0</v>
      </c>
      <c r="P72" s="60">
        <f>MIN(SUM(K72*-1,ROUNDDOWN(L72/5,0),M72,O72),R72)</f>
        <v>1</v>
      </c>
      <c r="R72" s="61">
        <v>2</v>
      </c>
      <c r="Y72" s="15">
        <v>3</v>
      </c>
      <c r="Z72" s="61" t="s">
        <v>242</v>
      </c>
      <c r="AA72" s="60" t="str" cm="1">
        <f t="array" ref="AA72">IF(OR(Y72=0,Y72=""),"",IF(VLOOKUP(Z72,$AI$1:$AJ$58,2,FALSE)&gt;=Y72,INDEX(tblDisciplines[Name],MATCH(1,(tblDisciplines[Discipline]=Z72)*(tblDisciplines[Rank]=Y72),0)),""))</f>
        <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0"/>
        <v/>
      </c>
      <c r="D73" s="19"/>
      <c r="E73" s="15" t="s">
        <v>1448</v>
      </c>
      <c r="F73" s="19"/>
      <c r="G73" s="19"/>
      <c r="H73" s="19"/>
      <c r="I73" s="19"/>
      <c r="K73" s="4">
        <v>1</v>
      </c>
      <c r="M73" s="60">
        <v>7</v>
      </c>
      <c r="N73" s="4"/>
      <c r="O73" s="61">
        <f>ROUNDDOWN(N73/2,0)</f>
        <v>0</v>
      </c>
      <c r="P73" s="60">
        <f>MIN(SUM(K73*-1,M73,O73),R73)</f>
        <v>6</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0"/>
        <v/>
      </c>
      <c r="D74" s="19"/>
      <c r="E74" s="15" t="s">
        <v>53</v>
      </c>
      <c r="F74" s="19"/>
      <c r="G74" s="19"/>
      <c r="H74" s="19"/>
      <c r="I74" s="19"/>
      <c r="K74" s="4"/>
      <c r="M74" s="60">
        <f>P28+P38</f>
        <v>4</v>
      </c>
      <c r="N74" s="4"/>
      <c r="O74" s="61">
        <f>N74</f>
        <v>0</v>
      </c>
      <c r="P74" s="60">
        <f>MIN(SUM(K74*-1,M74,O74),R74)</f>
        <v>4</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0"/>
        <v/>
      </c>
      <c r="D75" s="19"/>
      <c r="E75" s="15" t="s">
        <v>55</v>
      </c>
      <c r="F75" s="19"/>
      <c r="G75" s="19"/>
      <c r="H75" s="19"/>
      <c r="I75" s="19"/>
      <c r="P75" s="60">
        <f ca="1">VLOOKUP(VLOOKUP("Blood Potency",INDIRECT($AH$1),2,FALSE),tblBloodPotency[],2,FALSE)</f>
        <v>10</v>
      </c>
      <c r="Y75" s="15">
        <v>1</v>
      </c>
      <c r="Z75" s="61" t="s">
        <v>243</v>
      </c>
      <c r="AA75" s="60" t="str" cm="1">
        <f t="array" ref="AA75">IF(OR(Y75=0,Y75=""),"",IF(VLOOKUP(Z75,$AI$1:$AJ$58,2,FALSE)&gt;=Y75,INDEX(tblDisciplines[Name],MATCH(1,(tblDisciplines[Discipline]=Z75)*(tblDisciplines[Rank]=Y75),0)),""))</f>
        <v/>
      </c>
    </row>
    <row r="76" spans="1:32">
      <c r="A76" s="1" t="s">
        <v>75</v>
      </c>
      <c r="B76" t="str">
        <f t="shared" si="10"/>
        <v/>
      </c>
      <c r="Y76" s="15">
        <v>2</v>
      </c>
      <c r="Z76" s="61" t="s">
        <v>243</v>
      </c>
      <c r="AA76" s="60" t="str" cm="1">
        <f t="array" ref="AA76">IF(OR(Y76=0,Y76=""),"",IF(VLOOKUP(Z76,$AI$1:$AJ$58,2,FALSE)&gt;=Y76,INDEX(tblDisciplines[Name],MATCH(1,(tblDisciplines[Discipline]=Z76)*(tblDisciplines[Rank]=Y76),0)),""))</f>
        <v/>
      </c>
    </row>
    <row r="77" spans="1:32" ht="15.75" thickBot="1">
      <c r="A77" s="1" t="s">
        <v>76</v>
      </c>
      <c r="B77" t="str">
        <f t="shared" si="10"/>
        <v/>
      </c>
      <c r="D77" s="14" t="s">
        <v>1470</v>
      </c>
      <c r="E77" s="14"/>
      <c r="F77" s="14"/>
      <c r="G77" s="14"/>
      <c r="H77" s="14"/>
      <c r="I77" s="14"/>
      <c r="N77" s="60">
        <f>SUM(N79:N98,N101:N120,N206:N215,N132:N135,N138:N157,N160:N161)</f>
        <v>6</v>
      </c>
      <c r="Y77" s="15">
        <v>3</v>
      </c>
      <c r="Z77" s="61" t="s">
        <v>243</v>
      </c>
      <c r="AA77" s="60" t="str" cm="1">
        <f t="array" ref="AA77">IF(OR(Y77=0,Y77=""),"",IF(VLOOKUP(Z77,$AI$1:$AJ$58,2,FALSE)&gt;=Y77,INDEX(tblDisciplines[Name],MATCH(1,(tblDisciplines[Discipline]=Z77)*(tblDisciplines[Rank]=Y77),0)),""))</f>
        <v/>
      </c>
    </row>
    <row r="78" spans="1:32">
      <c r="A78" s="1" t="s">
        <v>77</v>
      </c>
      <c r="B78" t="str">
        <f t="shared" si="10"/>
        <v>speeches</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0"/>
        <v/>
      </c>
      <c r="D79" s="19"/>
      <c r="E79" s="15" t="s">
        <v>114</v>
      </c>
      <c r="F79" s="3"/>
      <c r="G79" s="3"/>
      <c r="H79" s="67" t="str">
        <f>_xlfn.IFNA(IF(VLOOKUP(F79,tblMerits[],6,FALSE)=0,"None",VLOOKUP(F79,tblMerits[],6,FALSE)),"None")</f>
        <v>None</v>
      </c>
      <c r="I79" s="67"/>
      <c r="L79" s="4"/>
      <c r="M79" s="4"/>
      <c r="N79" s="4"/>
      <c r="O79" s="61">
        <f>N79</f>
        <v>0</v>
      </c>
      <c r="P79" s="60">
        <f t="shared" ref="P79:P98" si="14">MIN(SUM(L79,M79,O79),R79)</f>
        <v>0</v>
      </c>
      <c r="Q79" s="61" t="str">
        <f>_xlfn.IFNA(VLOOKUP($F79,tblMerits[],3,FALSE),"")</f>
        <v/>
      </c>
      <c r="R79" s="61" t="str">
        <f>_xlfn.IFNA(VLOOKUP($F79,tblMerits[],4,FALSE),"")</f>
        <v/>
      </c>
      <c r="Y79" s="15">
        <v>5</v>
      </c>
      <c r="Z79" s="61" t="s">
        <v>243</v>
      </c>
      <c r="AA79" s="60" t="str" cm="1">
        <f t="array" ref="AA79">IF(OR(Y79=0,Y79=""),"",IF(VLOOKUP(Z79,$AI$1:$AJ$58,2,FALSE)&gt;=Y79,INDEX(tblDisciplines[Name],MATCH(1,(tblDisciplines[Discipline]=Z79)*(tblDisciplines[Rank]=Y79),0)),""))</f>
        <v/>
      </c>
    </row>
    <row r="80" spans="1:32">
      <c r="A80" s="1" t="s">
        <v>79</v>
      </c>
      <c r="B80" t="str">
        <f t="shared" si="10"/>
        <v/>
      </c>
      <c r="D80" s="19"/>
      <c r="E80" s="15" t="s">
        <v>115</v>
      </c>
      <c r="F80" s="3"/>
      <c r="G80" s="3"/>
      <c r="H80" s="67" t="str">
        <f>_xlfn.IFNA(IF(VLOOKUP(F80,tblMerits[],6,FALSE)=0,"None",VLOOKUP(F80,tblMerits[],6,FALSE)),"None")</f>
        <v>None</v>
      </c>
      <c r="I80" s="67"/>
      <c r="L80" s="4"/>
      <c r="M80" s="4"/>
      <c r="N80" s="4"/>
      <c r="O80" s="61">
        <f t="shared" ref="O80:O98" si="15">N80</f>
        <v>0</v>
      </c>
      <c r="P80" s="60">
        <f t="shared" si="14"/>
        <v>0</v>
      </c>
      <c r="Q80" s="61" t="str">
        <f>_xlfn.IFNA(VLOOKUP($F80,tblMerits[],3,FALSE),"")</f>
        <v/>
      </c>
      <c r="R80" s="61" t="str">
        <f>_xlfn.IFNA(VLOOKUP($F80,tblMerits[],4,FALSE),"")</f>
        <v/>
      </c>
      <c r="Y80" s="15">
        <f>P173</f>
        <v>1</v>
      </c>
      <c r="Z80" s="61" t="s">
        <v>244</v>
      </c>
      <c r="AA80" s="60" t="str" cm="1">
        <f t="array" ref="AA80">IF(OR(Y80=0,Y80=""),"",IF(VLOOKUP(Z80,$AI$1:$AJ$58,2,FALSE)&gt;=Y80,INDEX(tblDisciplines[Name],MATCH(1,(tblDisciplines[Discipline]=Z80)*(tblDisciplines[Rank]=Y80),0)),""))</f>
        <v>Resilience 1</v>
      </c>
    </row>
    <row r="81" spans="1:27">
      <c r="A81" s="1" t="s">
        <v>80</v>
      </c>
      <c r="B81" t="str">
        <f t="shared" si="10"/>
        <v/>
      </c>
      <c r="D81" s="19"/>
      <c r="E81" s="15" t="s">
        <v>116</v>
      </c>
      <c r="F81" s="3"/>
      <c r="G81" s="3"/>
      <c r="H81" s="67" t="str">
        <f>_xlfn.IFNA(IF(VLOOKUP(F81,tblMerits[],6,FALSE)=0,"None",VLOOKUP(F81,tblMerits[],6,FALSE)),"None")</f>
        <v>None</v>
      </c>
      <c r="I81" s="67"/>
      <c r="L81" s="4"/>
      <c r="M81" s="4"/>
      <c r="N81" s="4"/>
      <c r="O81" s="61">
        <f t="shared" si="15"/>
        <v>0</v>
      </c>
      <c r="P81" s="60">
        <f t="shared" si="14"/>
        <v>0</v>
      </c>
      <c r="Q81" s="61" t="str">
        <f>_xlfn.IFNA(VLOOKUP($F81,tblMerits[],3,FALSE),"")</f>
        <v/>
      </c>
      <c r="R81" s="61" t="str">
        <f>_xlfn.IFNA(VLOOKUP($F81,tblMerits[],4,FALSE),"")</f>
        <v/>
      </c>
      <c r="Y81" s="15">
        <f>P174</f>
        <v>0</v>
      </c>
      <c r="Z81" s="61" t="s">
        <v>245</v>
      </c>
      <c r="AA81" s="60" t="str" cm="1">
        <f t="array" ref="AA81">IF(OR(Y81=0,Y81=""),"",IF(VLOOKUP(Z81,$AI$1:$AJ$58,2,FALSE)&gt;=Y81,INDEX(tblDisciplines[Name],MATCH(1,(tblDisciplines[Discipline]=Z81)*(tblDisciplines[Rank]=Y81),0)),""))</f>
        <v/>
      </c>
    </row>
    <row r="82" spans="1:27">
      <c r="A82" s="1" t="s">
        <v>81</v>
      </c>
      <c r="B82" t="str">
        <f t="shared" si="10"/>
        <v/>
      </c>
      <c r="D82" s="19"/>
      <c r="E82" s="15" t="s">
        <v>117</v>
      </c>
      <c r="F82" s="3"/>
      <c r="G82" s="3"/>
      <c r="H82" s="67" t="str">
        <f>_xlfn.IFNA(IF(VLOOKUP(F82,tblMerits[],6,FALSE)=0,"None",VLOOKUP(F82,tblMerits[],6,FALSE)),"None")</f>
        <v>None</v>
      </c>
      <c r="I82" s="67"/>
      <c r="L82" s="4"/>
      <c r="M82" s="4"/>
      <c r="N82" s="4"/>
      <c r="O82" s="61">
        <f t="shared" si="15"/>
        <v>0</v>
      </c>
      <c r="P82" s="60">
        <f t="shared" si="14"/>
        <v>0</v>
      </c>
      <c r="Q82" s="61" t="str">
        <f>_xlfn.IFNA(VLOOKUP($F82,tblMerits[],3,FALSE),"")</f>
        <v/>
      </c>
      <c r="R82" s="61" t="str">
        <f>_xlfn.IFNA(VLOOKUP($F82,tblMerits[],4,FALSE),"")</f>
        <v/>
      </c>
      <c r="Y82" s="61" t="s">
        <v>1472</v>
      </c>
      <c r="Z82" s="19"/>
      <c r="AA82" s="60" t="str">
        <f>IF(P177="","",F177)</f>
        <v/>
      </c>
    </row>
    <row r="83" spans="1:27">
      <c r="A83" s="1" t="s">
        <v>82</v>
      </c>
      <c r="B83" t="str">
        <f t="shared" si="10"/>
        <v>doublespeak</v>
      </c>
      <c r="D83" s="19"/>
      <c r="E83" s="15" t="s">
        <v>118</v>
      </c>
      <c r="F83" s="3"/>
      <c r="G83" s="3"/>
      <c r="H83" s="67" t="str">
        <f>_xlfn.IFNA(IF(VLOOKUP(F83,tblMerits[],6,FALSE)=0,"None",VLOOKUP(F83,tblMerits[],6,FALSE)),"None")</f>
        <v>None</v>
      </c>
      <c r="I83" s="67"/>
      <c r="L83" s="4"/>
      <c r="M83" s="4"/>
      <c r="N83" s="4"/>
      <c r="O83" s="61">
        <f t="shared" si="15"/>
        <v>0</v>
      </c>
      <c r="P83" s="60">
        <f t="shared" si="14"/>
        <v>0</v>
      </c>
      <c r="Q83" s="61" t="str">
        <f>_xlfn.IFNA(VLOOKUP($F83,tblMerits[],3,FALSE),"")</f>
        <v/>
      </c>
      <c r="R83" s="61" t="str">
        <f>_xlfn.IFNA(VLOOKUP($F83,tblMerits[],4,FALSE),"")</f>
        <v/>
      </c>
      <c r="Y83" s="61" t="s">
        <v>1472</v>
      </c>
      <c r="Z83" s="19"/>
      <c r="AA83" s="60" t="str">
        <f>IF(P178="","",F178)</f>
        <v/>
      </c>
    </row>
    <row r="84" spans="1:27">
      <c r="A84" s="1" t="s">
        <v>83</v>
      </c>
      <c r="B84">
        <f>P124</f>
        <v>2</v>
      </c>
      <c r="D84" s="19"/>
      <c r="E84" s="15" t="s">
        <v>119</v>
      </c>
      <c r="F84" s="3"/>
      <c r="G84" s="3"/>
      <c r="H84" s="67" t="str">
        <f>_xlfn.IFNA(IF(VLOOKUP(F84,tblMerits[],6,FALSE)=0,"None",VLOOKUP(F84,tblMerits[],6,FALSE)),"None")</f>
        <v>None</v>
      </c>
      <c r="I84" s="67"/>
      <c r="L84" s="4"/>
      <c r="M84" s="4"/>
      <c r="N84" s="4"/>
      <c r="O84" s="61">
        <f t="shared" si="15"/>
        <v>0</v>
      </c>
      <c r="P84" s="60">
        <f t="shared" si="14"/>
        <v>0</v>
      </c>
      <c r="Q84" s="61" t="str">
        <f>_xlfn.IFNA(VLOOKUP($F84,tblMerits[],3,FALSE),"")</f>
        <v/>
      </c>
      <c r="R84" s="61" t="str">
        <f>_xlfn.IFNA(VLOOKUP($F84,tblMerits[],4,FALSE),"")</f>
        <v/>
      </c>
      <c r="Y84" s="61" t="s">
        <v>1472</v>
      </c>
      <c r="Z84" s="19"/>
      <c r="AA84" s="60" t="str">
        <f>IF(P179="","",F179)</f>
        <v/>
      </c>
    </row>
    <row r="85" spans="1:27">
      <c r="A85" s="1" t="s">
        <v>84</v>
      </c>
      <c r="B85">
        <f>P125</f>
        <v>2</v>
      </c>
      <c r="D85" s="19"/>
      <c r="E85" s="15" t="s">
        <v>120</v>
      </c>
      <c r="F85" s="3"/>
      <c r="G85" s="3"/>
      <c r="H85" s="67" t="str">
        <f>_xlfn.IFNA(IF(VLOOKUP(F85,tblMerits[],6,FALSE)=0,"None",VLOOKUP(F85,tblMerits[],6,FALSE)),"None")</f>
        <v>None</v>
      </c>
      <c r="I85" s="67"/>
      <c r="L85" s="4"/>
      <c r="M85" s="4"/>
      <c r="N85" s="4"/>
      <c r="O85" s="61">
        <f t="shared" si="15"/>
        <v>0</v>
      </c>
      <c r="P85" s="60">
        <f t="shared" si="14"/>
        <v>0</v>
      </c>
      <c r="Q85" s="61" t="str">
        <f>_xlfn.IFNA(VLOOKUP($F85,tblMerits[],3,FALSE),"")</f>
        <v/>
      </c>
      <c r="R85" s="61" t="str">
        <f>_xlfn.IFNA(VLOOKUP($F85,tblMerits[],4,FALSE),"")</f>
        <v/>
      </c>
      <c r="Y85" s="61" t="s">
        <v>1472</v>
      </c>
      <c r="Z85" s="19"/>
      <c r="AA85" s="60" t="str">
        <f>IF(P180="","",F180)</f>
        <v/>
      </c>
    </row>
    <row r="86" spans="1:27">
      <c r="A86" s="1" t="s">
        <v>85</v>
      </c>
      <c r="B86">
        <f>P126</f>
        <v>2</v>
      </c>
      <c r="D86" s="19"/>
      <c r="E86" s="15" t="s">
        <v>121</v>
      </c>
      <c r="F86" s="3"/>
      <c r="G86" s="3"/>
      <c r="H86" s="67" t="str">
        <f>_xlfn.IFNA(IF(VLOOKUP(F86,tblMerits[],6,FALSE)=0,"None",VLOOKUP(F86,tblMerits[],6,FALSE)),"None")</f>
        <v>None</v>
      </c>
      <c r="I86" s="67"/>
      <c r="L86" s="4"/>
      <c r="M86" s="4"/>
      <c r="N86" s="4"/>
      <c r="O86" s="61">
        <f t="shared" si="15"/>
        <v>0</v>
      </c>
      <c r="P86" s="60">
        <f t="shared" si="14"/>
        <v>0</v>
      </c>
      <c r="Q86" s="61" t="str">
        <f>_xlfn.IFNA(VLOOKUP($F86,tblMerits[],3,FALSE),"")</f>
        <v/>
      </c>
      <c r="R86" s="61" t="str">
        <f>_xlfn.IFNA(VLOOKUP($F86,tblMerits[],4,FALSE),"")</f>
        <v/>
      </c>
      <c r="Y86" s="61" t="s">
        <v>1472</v>
      </c>
      <c r="Z86" s="19"/>
      <c r="AA86" s="60" t="str">
        <f>IF(P181="","",F181)</f>
        <v/>
      </c>
    </row>
    <row r="87" spans="1:27">
      <c r="A87" s="1" t="s">
        <v>86</v>
      </c>
      <c r="B87" t="str">
        <f>IF(F126="","¬",F126)</f>
        <v>Invictus</v>
      </c>
      <c r="D87" s="19"/>
      <c r="E87" s="15" t="s">
        <v>122</v>
      </c>
      <c r="F87" s="3"/>
      <c r="G87" s="3"/>
      <c r="H87" s="67" t="str">
        <f>_xlfn.IFNA(IF(VLOOKUP(F87,tblMerits[],6,FALSE)=0,"None",VLOOKUP(F87,tblMerits[],6,FALSE)),"None")</f>
        <v>None</v>
      </c>
      <c r="I87" s="67"/>
      <c r="L87" s="4"/>
      <c r="M87" s="4"/>
      <c r="N87" s="4"/>
      <c r="O87" s="61">
        <f t="shared" si="15"/>
        <v>0</v>
      </c>
      <c r="P87" s="60">
        <f t="shared" si="14"/>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
      </c>
    </row>
    <row r="88" spans="1:27">
      <c r="A88" s="1" t="s">
        <v>87</v>
      </c>
      <c r="B88" t="str">
        <f>REPT("●",P126)</f>
        <v>●●</v>
      </c>
      <c r="D88" s="19"/>
      <c r="E88" s="15" t="s">
        <v>123</v>
      </c>
      <c r="F88" s="3"/>
      <c r="G88" s="3"/>
      <c r="H88" s="67" t="str">
        <f>_xlfn.IFNA(IF(VLOOKUP(F88,tblMerits[],6,FALSE)=0,"None",VLOOKUP(F88,tblMerits[],6,FALSE)),"None")</f>
        <v>None</v>
      </c>
      <c r="I88" s="67"/>
      <c r="L88" s="4"/>
      <c r="M88" s="4"/>
      <c r="N88" s="4"/>
      <c r="O88" s="61">
        <f t="shared" si="15"/>
        <v>0</v>
      </c>
      <c r="P88" s="60">
        <f t="shared" si="14"/>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Carthian</v>
      </c>
      <c r="D89" s="19"/>
      <c r="E89" s="15" t="s">
        <v>124</v>
      </c>
      <c r="F89" s="3"/>
      <c r="G89" s="3"/>
      <c r="H89" s="67" t="str">
        <f>_xlfn.IFNA(IF(VLOOKUP(F89,tblMerits[],6,FALSE)=0,"None",VLOOKUP(F89,tblMerits[],6,FALSE)),"None")</f>
        <v>None</v>
      </c>
      <c r="I89" s="67"/>
      <c r="L89" s="4"/>
      <c r="M89" s="4"/>
      <c r="N89" s="4"/>
      <c r="O89" s="61">
        <f t="shared" si="15"/>
        <v>0</v>
      </c>
      <c r="P89" s="60">
        <f t="shared" si="14"/>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_xlfn.IFNA(IF(VLOOKUP(F90,tblMerits[],6,FALSE)=0,"None",VLOOKUP(F90,tblMerits[],6,FALSE)),"None")</f>
        <v>None</v>
      </c>
      <c r="I90" s="67"/>
      <c r="L90" s="4"/>
      <c r="M90" s="4"/>
      <c r="N90" s="4"/>
      <c r="O90" s="61">
        <f t="shared" si="15"/>
        <v>0</v>
      </c>
      <c r="P90" s="60">
        <f t="shared" si="14"/>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Crone</v>
      </c>
      <c r="D91" s="19"/>
      <c r="E91" s="15" t="s">
        <v>126</v>
      </c>
      <c r="F91" s="3"/>
      <c r="G91" s="3"/>
      <c r="H91" s="67" t="str">
        <f>_xlfn.IFNA(IF(VLOOKUP(F91,tblMerits[],6,FALSE)=0,"None",VLOOKUP(F91,tblMerits[],6,FALSE)),"None")</f>
        <v>None</v>
      </c>
      <c r="I91" s="67"/>
      <c r="L91" s="4"/>
      <c r="M91" s="4"/>
      <c r="N91" s="4"/>
      <c r="O91" s="61">
        <f t="shared" si="15"/>
        <v>0</v>
      </c>
      <c r="P91" s="60">
        <f t="shared" si="14"/>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5"/>
        <v>0</v>
      </c>
      <c r="P92" s="60">
        <f t="shared" si="14"/>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Lance</v>
      </c>
      <c r="D93" s="19"/>
      <c r="E93" s="15" t="s">
        <v>128</v>
      </c>
      <c r="F93" s="3"/>
      <c r="G93" s="3"/>
      <c r="H93" s="67" t="str">
        <f>_xlfn.IFNA(IF(VLOOKUP(F93,tblMerits[],6,FALSE)=0,"None",VLOOKUP(F93,tblMerits[],6,FALSE)),"None")</f>
        <v>None</v>
      </c>
      <c r="I93" s="67"/>
      <c r="L93" s="4"/>
      <c r="M93" s="4"/>
      <c r="N93" s="4"/>
      <c r="O93" s="61">
        <f t="shared" si="15"/>
        <v>0</v>
      </c>
      <c r="P93" s="60">
        <f t="shared" si="14"/>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5"/>
        <v>0</v>
      </c>
      <c r="P94" s="60">
        <f t="shared" si="14"/>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5"/>
        <v>0</v>
      </c>
      <c r="P95" s="60">
        <f t="shared" si="14"/>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5"/>
        <v>0</v>
      </c>
      <c r="P96" s="60">
        <f t="shared" si="14"/>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5"/>
        <v>0</v>
      </c>
      <c r="P97" s="60">
        <f t="shared" si="14"/>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5"/>
        <v>0</v>
      </c>
      <c r="P98" s="60">
        <f t="shared" si="14"/>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c r="G101" s="60" t="str">
        <f>IFERROR(VLOOKUP(F101,tblManoeuvre[],2,FALSE)&amp;" "&amp;VLOOKUP(F101,tblManoeuvre[],3,FALSE),"")</f>
        <v/>
      </c>
      <c r="H101" s="67" t="str">
        <f>IFERROR(IF(VLOOKUP(F101,tblManoeuvre[],8,FALSE)=0,"None",VLOOKUP(F101,tblManoeuvre[],8,FALSE)),"None")</f>
        <v>None</v>
      </c>
      <c r="I101" s="67"/>
      <c r="L101" s="4"/>
      <c r="M101" s="4"/>
      <c r="N101" s="4"/>
      <c r="O101" s="61">
        <f t="shared" ref="O101:O120" si="16">N101</f>
        <v>0</v>
      </c>
      <c r="P101" s="60">
        <f t="shared" ref="P101:P120" si="17">MIN(SUM(L101,M101,O101),R101)</f>
        <v>0</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
      </c>
      <c r="D102" s="19"/>
      <c r="E102" s="15" t="s">
        <v>1441</v>
      </c>
      <c r="F102" s="3"/>
      <c r="G102" s="60" t="str">
        <f>IFERROR(VLOOKUP(F102,tblManoeuvre[],2,FALSE)&amp;" "&amp;VLOOKUP(F102,tblManoeuvre[],3,FALSE),"")</f>
        <v/>
      </c>
      <c r="H102" s="67" t="str">
        <f>IFERROR(IF(VLOOKUP(F102,tblManoeuvre[],8,FALSE)=0,"None",VLOOKUP(F102,tblManoeuvre[],8,FALSE)),"None")</f>
        <v>None</v>
      </c>
      <c r="I102" s="67"/>
      <c r="L102" s="4"/>
      <c r="M102" s="4"/>
      <c r="N102" s="4"/>
      <c r="O102" s="61">
        <f t="shared" si="16"/>
        <v>0</v>
      </c>
      <c r="P102" s="60">
        <f t="shared" si="17"/>
        <v>0</v>
      </c>
      <c r="Q102" s="61">
        <v>1</v>
      </c>
      <c r="R102" s="61">
        <v>1</v>
      </c>
      <c r="Y102" s="15">
        <v>1</v>
      </c>
      <c r="Z102" s="61" t="s">
        <v>251</v>
      </c>
      <c r="AA102" s="60" t="str" cm="1">
        <f t="array" ref="AA102">IF(VLOOKUP(Z102,$AI$1:$AJ$58,2,FALSE)&gt;=Y102,INDEX(tblDisciplines[Name],MATCH(1,(tblDisciplines[Discipline]=Z102)*(tblDisciplines[Rank]=Y102),0)),"")</f>
        <v/>
      </c>
    </row>
    <row r="103" spans="1:27">
      <c r="A103" s="1" t="s">
        <v>102</v>
      </c>
      <c r="B103">
        <f>P73</f>
        <v>6</v>
      </c>
      <c r="D103" s="19"/>
      <c r="E103" s="15" t="s">
        <v>1443</v>
      </c>
      <c r="F103" s="3"/>
      <c r="G103" s="60" t="str">
        <f>IFERROR(VLOOKUP(F103,tblManoeuvre[],2,FALSE)&amp;" "&amp;VLOOKUP(F103,tblManoeuvre[],3,FALSE),"")</f>
        <v/>
      </c>
      <c r="H103" s="67" t="str">
        <f>IFERROR(IF(VLOOKUP(F103,tblManoeuvre[],8,FALSE)=0,"None",VLOOKUP(F103,tblManoeuvre[],8,FALSE)),"None")</f>
        <v>None</v>
      </c>
      <c r="I103" s="67"/>
      <c r="L103" s="4"/>
      <c r="M103" s="4"/>
      <c r="N103" s="4"/>
      <c r="O103" s="61">
        <f t="shared" si="16"/>
        <v>0</v>
      </c>
      <c r="P103" s="60">
        <f t="shared" si="17"/>
        <v>0</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c r="G104" s="60" t="str">
        <f>IFERROR(VLOOKUP(F104,tblManoeuvre[],2,FALSE)&amp;" "&amp;VLOOKUP(F104,tblManoeuvre[],3,FALSE),"")</f>
        <v/>
      </c>
      <c r="H104" s="67" t="str">
        <f>IFERROR(IF(VLOOKUP(F104,tblManoeuvre[],8,FALSE)=0,"None",VLOOKUP(F104,tblManoeuvre[],8,FALSE)),"None")</f>
        <v>None</v>
      </c>
      <c r="I104" s="67"/>
      <c r="L104" s="4"/>
      <c r="M104" s="4"/>
      <c r="N104" s="4"/>
      <c r="O104" s="61">
        <f t="shared" si="16"/>
        <v>0</v>
      </c>
      <c r="P104" s="60">
        <f t="shared" si="17"/>
        <v>0</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c r="G105" s="60" t="str">
        <f>IFERROR(VLOOKUP(F105,tblManoeuvre[],2,FALSE)&amp;" "&amp;VLOOKUP(F105,tblManoeuvre[],3,FALSE),"")</f>
        <v/>
      </c>
      <c r="H105" s="67" t="str">
        <f>IFERROR(IF(VLOOKUP(F105,tblManoeuvre[],8,FALSE)=0,"None",VLOOKUP(F105,tblManoeuvre[],8,FALSE)),"None")</f>
        <v>None</v>
      </c>
      <c r="I105" s="67"/>
      <c r="L105" s="4"/>
      <c r="M105" s="4"/>
      <c r="N105" s="4"/>
      <c r="O105" s="61">
        <f t="shared" si="16"/>
        <v>0</v>
      </c>
      <c r="P105" s="60">
        <f t="shared" si="17"/>
        <v>0</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IFERROR(VLOOKUP(F106,tblManoeuvre[],2,FALSE)&amp;" "&amp;VLOOKUP(F106,tblManoeuvre[],3,FALSE),"")</f>
        <v/>
      </c>
      <c r="H106" s="67" t="str">
        <f>IFERROR(IF(VLOOKUP(F106,tblManoeuvre[],8,FALSE)=0,"None",VLOOKUP(F106,tblManoeuvre[],8,FALSE)),"None")</f>
        <v>None</v>
      </c>
      <c r="I106" s="67"/>
      <c r="L106" s="4"/>
      <c r="M106" s="4"/>
      <c r="N106" s="4"/>
      <c r="O106" s="61">
        <f t="shared" si="16"/>
        <v>0</v>
      </c>
      <c r="P106" s="60">
        <f t="shared" si="17"/>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IFERROR(VLOOKUP(F107,tblManoeuvre[],2,FALSE)&amp;" "&amp;VLOOKUP(F107,tblManoeuvre[],3,FALSE),"")</f>
        <v/>
      </c>
      <c r="H107" s="67" t="str">
        <f>IFERROR(IF(VLOOKUP(F107,tblManoeuvre[],8,FALSE)=0,"None",VLOOKUP(F107,tblManoeuvre[],8,FALSE)),"None")</f>
        <v>None</v>
      </c>
      <c r="I107" s="67"/>
      <c r="L107" s="4"/>
      <c r="M107" s="4"/>
      <c r="N107" s="4"/>
      <c r="O107" s="61">
        <f t="shared" si="16"/>
        <v>0</v>
      </c>
      <c r="P107" s="60">
        <f t="shared" si="17"/>
        <v>0</v>
      </c>
      <c r="Q107" s="61">
        <v>1</v>
      </c>
      <c r="R107" s="61">
        <v>1</v>
      </c>
      <c r="Y107" s="15">
        <v>1</v>
      </c>
      <c r="Z107" s="61" t="s">
        <v>252</v>
      </c>
      <c r="AA107" s="60" t="str" cm="1">
        <f t="array" ref="AA107">IF(VLOOKUP(Z107,$AI$1:$AJ$58,2,FALSE)&gt;=Y107,INDEX(tblDisciplines[Name],MATCH(1,(tblDisciplines[Discipline]=Z107)*(tblDisciplines[Rank]=Y107),0)),"")</f>
        <v/>
      </c>
    </row>
    <row r="108" spans="1:27">
      <c r="A108" s="1" t="s">
        <v>107</v>
      </c>
      <c r="B108" t="str">
        <f>IF($P$73&gt;=7,"●","○") &amp; IF(F226&lt;&gt;""," (" &amp; F226 &amp; ")","")</f>
        <v>○ (Artwork of Mother)</v>
      </c>
      <c r="D108" s="19"/>
      <c r="E108" s="15" t="s">
        <v>1452</v>
      </c>
      <c r="F108" s="3"/>
      <c r="G108" s="60" t="str">
        <f>IFERROR(VLOOKUP(F108,tblManoeuvre[],2,FALSE)&amp;" "&amp;VLOOKUP(F108,tblManoeuvre[],3,FALSE),"")</f>
        <v/>
      </c>
      <c r="H108" s="67" t="str">
        <f>IFERROR(IF(VLOOKUP(F108,tblManoeuvre[],8,FALSE)=0,"None",VLOOKUP(F108,tblManoeuvre[],8,FALSE)),"None")</f>
        <v>None</v>
      </c>
      <c r="I108" s="67"/>
      <c r="L108" s="4"/>
      <c r="M108" s="4"/>
      <c r="N108" s="4"/>
      <c r="O108" s="61">
        <f t="shared" si="16"/>
        <v>0</v>
      </c>
      <c r="P108" s="60">
        <f t="shared" si="17"/>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v>
      </c>
      <c r="D109" s="19"/>
      <c r="E109" s="15" t="s">
        <v>1454</v>
      </c>
      <c r="F109" s="3"/>
      <c r="G109" s="60" t="str">
        <f>IFERROR(VLOOKUP(F109,tblManoeuvre[],2,FALSE)&amp;" "&amp;VLOOKUP(F109,tblManoeuvre[],3,FALSE),"")</f>
        <v/>
      </c>
      <c r="H109" s="67" t="str">
        <f>IFERROR(IF(VLOOKUP(F109,tblManoeuvre[],8,FALSE)=0,"None",VLOOKUP(F109,tblManoeuvre[],8,FALSE)),"None")</f>
        <v>None</v>
      </c>
      <c r="I109" s="67"/>
      <c r="L109" s="4"/>
      <c r="M109" s="4"/>
      <c r="N109" s="4"/>
      <c r="O109" s="61">
        <f t="shared" si="16"/>
        <v>0</v>
      </c>
      <c r="P109" s="60">
        <f t="shared" si="17"/>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v>
      </c>
      <c r="D110" s="19"/>
      <c r="E110" s="15" t="s">
        <v>1455</v>
      </c>
      <c r="F110" s="3"/>
      <c r="G110" s="60" t="str">
        <f>IFERROR(VLOOKUP(F110,tblManoeuvre[],2,FALSE)&amp;" "&amp;VLOOKUP(F110,tblManoeuvre[],3,FALSE),"")</f>
        <v/>
      </c>
      <c r="H110" s="67" t="str">
        <f>IFERROR(IF(VLOOKUP(F110,tblManoeuvre[],8,FALSE)=0,"None",VLOOKUP(F110,tblManoeuvre[],8,FALSE)),"None")</f>
        <v>None</v>
      </c>
      <c r="I110" s="67"/>
      <c r="L110" s="4"/>
      <c r="M110" s="4"/>
      <c r="N110" s="4"/>
      <c r="O110" s="61">
        <f t="shared" si="16"/>
        <v>0</v>
      </c>
      <c r="P110" s="60">
        <f t="shared" si="17"/>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t="str">
        <f>IFERROR(VLOOKUP(F111,tblManoeuvre[],2,FALSE)&amp;" "&amp;VLOOKUP(F111,tblManoeuvre[],3,FALSE),"")</f>
        <v/>
      </c>
      <c r="H111" s="67" t="str">
        <f>IFERROR(IF(VLOOKUP(F111,tblManoeuvre[],8,FALSE)=0,"None",VLOOKUP(F111,tblManoeuvre[],8,FALSE)),"None")</f>
        <v>None</v>
      </c>
      <c r="I111" s="67"/>
      <c r="L111" s="4"/>
      <c r="M111" s="4"/>
      <c r="N111" s="4"/>
      <c r="O111" s="61">
        <f t="shared" si="16"/>
        <v>0</v>
      </c>
      <c r="P111" s="60">
        <f t="shared" si="17"/>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t="str">
        <f>IFERROR(VLOOKUP(F112,tblManoeuvre[],2,FALSE)&amp;" "&amp;VLOOKUP(F112,tblManoeuvre[],3,FALSE),"")</f>
        <v/>
      </c>
      <c r="H112" s="67" t="str">
        <f>IFERROR(IF(VLOOKUP(F112,tblManoeuvre[],8,FALSE)=0,"None",VLOOKUP(F112,tblManoeuvre[],8,FALSE)),"None")</f>
        <v>None</v>
      </c>
      <c r="I112" s="67"/>
      <c r="L112" s="4"/>
      <c r="M112" s="4"/>
      <c r="N112" s="4"/>
      <c r="O112" s="61">
        <f t="shared" si="16"/>
        <v>0</v>
      </c>
      <c r="P112" s="60">
        <f t="shared" si="17"/>
        <v>0</v>
      </c>
      <c r="Q112" s="61">
        <v>1</v>
      </c>
      <c r="R112" s="61">
        <v>1</v>
      </c>
      <c r="Y112" s="61" t="s">
        <v>1474</v>
      </c>
      <c r="Z112" s="61" t="str">
        <f t="shared" ref="Z112:Z121" si="18">G194</f>
        <v/>
      </c>
      <c r="AA112" s="60" t="str">
        <f t="shared" ref="AA112:AA121" si="19">IF(P194="","",F194)</f>
        <v/>
      </c>
    </row>
    <row r="113" spans="1:27">
      <c r="A113" s="1" t="s">
        <v>112</v>
      </c>
      <c r="B113" t="str">
        <f>IF($P$73&gt;=2,"●","○") &amp; IF(F231&lt;&gt;""," (" &amp; F231 &amp; ")","")</f>
        <v>●</v>
      </c>
      <c r="D113" s="19"/>
      <c r="E113" s="15" t="s">
        <v>1458</v>
      </c>
      <c r="F113" s="3"/>
      <c r="G113" s="60" t="str">
        <f>IFERROR(VLOOKUP(F113,tblManoeuvre[],2,FALSE)&amp;" "&amp;VLOOKUP(F113,tblManoeuvre[],3,FALSE),"")</f>
        <v/>
      </c>
      <c r="H113" s="67" t="str">
        <f>IFERROR(IF(VLOOKUP(F113,tblManoeuvre[],8,FALSE)=0,"None",VLOOKUP(F113,tblManoeuvre[],8,FALSE)),"None")</f>
        <v>None</v>
      </c>
      <c r="I113" s="67"/>
      <c r="L113" s="4"/>
      <c r="M113" s="4"/>
      <c r="N113" s="4"/>
      <c r="O113" s="61">
        <f t="shared" si="16"/>
        <v>0</v>
      </c>
      <c r="P113" s="60">
        <f t="shared" si="17"/>
        <v>0</v>
      </c>
      <c r="Q113" s="61">
        <v>1</v>
      </c>
      <c r="R113" s="61">
        <v>1</v>
      </c>
      <c r="Y113" s="61" t="s">
        <v>1474</v>
      </c>
      <c r="Z113" s="61" t="str">
        <f t="shared" si="18"/>
        <v/>
      </c>
      <c r="AA113" s="60" t="str">
        <f t="shared" si="19"/>
        <v/>
      </c>
    </row>
    <row r="114" spans="1:27">
      <c r="A114" s="1" t="s">
        <v>113</v>
      </c>
      <c r="B114" t="str">
        <f>IF($P$73&gt;=1,"●","○") &amp; IF(F232&lt;&gt;""," (" &amp; F232 &amp; ")","")</f>
        <v>●</v>
      </c>
      <c r="D114" s="19"/>
      <c r="E114" s="15" t="s">
        <v>1460</v>
      </c>
      <c r="F114" s="3"/>
      <c r="G114" s="60" t="str">
        <f>IFERROR(VLOOKUP(F114,tblManoeuvre[],2,FALSE)&amp;" "&amp;VLOOKUP(F114,tblManoeuvre[],3,FALSE),"")</f>
        <v/>
      </c>
      <c r="H114" s="67" t="str">
        <f>IFERROR(IF(VLOOKUP(F114,tblManoeuvre[],8,FALSE)=0,"None",VLOOKUP(F114,tblManoeuvre[],8,FALSE)),"None")</f>
        <v>None</v>
      </c>
      <c r="I114" s="67"/>
      <c r="L114" s="4"/>
      <c r="M114" s="4"/>
      <c r="N114" s="4"/>
      <c r="O114" s="61">
        <f t="shared" si="16"/>
        <v>0</v>
      </c>
      <c r="P114" s="60">
        <f t="shared" si="17"/>
        <v>0</v>
      </c>
      <c r="Q114" s="61">
        <v>1</v>
      </c>
      <c r="R114" s="61">
        <v>1</v>
      </c>
      <c r="Y114" s="61" t="s">
        <v>1474</v>
      </c>
      <c r="Z114" s="61" t="str">
        <f t="shared" si="18"/>
        <v/>
      </c>
      <c r="AA114" s="60" t="str">
        <f t="shared" si="19"/>
        <v/>
      </c>
    </row>
    <row r="115" spans="1:27">
      <c r="A115" s="1" t="s">
        <v>114</v>
      </c>
      <c r="B115" t="str">
        <f t="shared" ref="B115:B144" si="20">IF(AD2="","¬",AD2)</f>
        <v>¬</v>
      </c>
      <c r="D115" s="19"/>
      <c r="E115" s="15" t="s">
        <v>1461</v>
      </c>
      <c r="F115" s="3"/>
      <c r="G115" s="60" t="str">
        <f>IFERROR(VLOOKUP(F115,tblManoeuvre[],2,FALSE)&amp;" "&amp;VLOOKUP(F115,tblManoeuvre[],3,FALSE),"")</f>
        <v/>
      </c>
      <c r="H115" s="67" t="str">
        <f>IFERROR(IF(VLOOKUP(F115,tblManoeuvre[],8,FALSE)=0,"None",VLOOKUP(F115,tblManoeuvre[],8,FALSE)),"None")</f>
        <v>None</v>
      </c>
      <c r="I115" s="67"/>
      <c r="L115" s="4"/>
      <c r="M115" s="4"/>
      <c r="N115" s="4"/>
      <c r="O115" s="61">
        <f t="shared" si="16"/>
        <v>0</v>
      </c>
      <c r="P115" s="60">
        <f t="shared" si="17"/>
        <v>0</v>
      </c>
      <c r="Q115" s="61">
        <v>1</v>
      </c>
      <c r="R115" s="61">
        <v>1</v>
      </c>
      <c r="Y115" s="61" t="s">
        <v>1474</v>
      </c>
      <c r="Z115" s="61" t="str">
        <f t="shared" si="18"/>
        <v/>
      </c>
      <c r="AA115" s="60" t="str">
        <f t="shared" si="19"/>
        <v/>
      </c>
    </row>
    <row r="116" spans="1:27">
      <c r="A116" s="1" t="s">
        <v>115</v>
      </c>
      <c r="B116" t="str">
        <f t="shared" si="20"/>
        <v>¬</v>
      </c>
      <c r="D116" s="19"/>
      <c r="E116" s="15" t="s">
        <v>1462</v>
      </c>
      <c r="F116" s="3"/>
      <c r="G116" s="60" t="str">
        <f>IFERROR(VLOOKUP(F116,tblManoeuvre[],2,FALSE)&amp;" "&amp;VLOOKUP(F116,tblManoeuvre[],3,FALSE),"")</f>
        <v/>
      </c>
      <c r="H116" s="67" t="str">
        <f>IFERROR(IF(VLOOKUP(F116,tblManoeuvre[],8,FALSE)=0,"None",VLOOKUP(F116,tblManoeuvre[],8,FALSE)),"None")</f>
        <v>None</v>
      </c>
      <c r="I116" s="67"/>
      <c r="L116" s="4"/>
      <c r="M116" s="4"/>
      <c r="N116" s="4"/>
      <c r="O116" s="61">
        <f t="shared" si="16"/>
        <v>0</v>
      </c>
      <c r="P116" s="60">
        <f t="shared" si="17"/>
        <v>0</v>
      </c>
      <c r="Q116" s="61">
        <v>1</v>
      </c>
      <c r="R116" s="61">
        <v>1</v>
      </c>
      <c r="Y116" s="61" t="s">
        <v>1474</v>
      </c>
      <c r="Z116" s="61" t="str">
        <f t="shared" si="18"/>
        <v/>
      </c>
      <c r="AA116" s="60" t="str">
        <f t="shared" si="19"/>
        <v/>
      </c>
    </row>
    <row r="117" spans="1:27">
      <c r="A117" s="1" t="s">
        <v>116</v>
      </c>
      <c r="B117" t="str">
        <f t="shared" si="20"/>
        <v>¬</v>
      </c>
      <c r="D117" s="19"/>
      <c r="E117" s="15" t="s">
        <v>1463</v>
      </c>
      <c r="F117" s="3"/>
      <c r="G117" s="60" t="str">
        <f>IFERROR(VLOOKUP(F117,tblManoeuvre[],2,FALSE)&amp;" "&amp;VLOOKUP(F117,tblManoeuvre[],3,FALSE),"")</f>
        <v/>
      </c>
      <c r="H117" s="67" t="str">
        <f>IFERROR(IF(VLOOKUP(F117,tblManoeuvre[],8,FALSE)=0,"None",VLOOKUP(F117,tblManoeuvre[],8,FALSE)),"None")</f>
        <v>None</v>
      </c>
      <c r="I117" s="67"/>
      <c r="L117" s="4"/>
      <c r="M117" s="4"/>
      <c r="N117" s="4"/>
      <c r="O117" s="61">
        <f t="shared" si="16"/>
        <v>0</v>
      </c>
      <c r="P117" s="60">
        <f t="shared" si="17"/>
        <v>0</v>
      </c>
      <c r="Q117" s="61">
        <v>1</v>
      </c>
      <c r="R117" s="61">
        <v>1</v>
      </c>
      <c r="Y117" s="61" t="s">
        <v>1474</v>
      </c>
      <c r="Z117" s="61" t="str">
        <f t="shared" si="18"/>
        <v/>
      </c>
      <c r="AA117" s="60" t="str">
        <f t="shared" si="19"/>
        <v/>
      </c>
    </row>
    <row r="118" spans="1:27">
      <c r="A118" s="1" t="s">
        <v>117</v>
      </c>
      <c r="B118" t="str">
        <f t="shared" si="20"/>
        <v>¬</v>
      </c>
      <c r="D118" s="19"/>
      <c r="E118" s="15" t="s">
        <v>1464</v>
      </c>
      <c r="F118" s="3"/>
      <c r="G118" s="60" t="str">
        <f>IFERROR(VLOOKUP(F118,tblManoeuvre[],2,FALSE)&amp;" "&amp;VLOOKUP(F118,tblManoeuvre[],3,FALSE),"")</f>
        <v/>
      </c>
      <c r="H118" s="67" t="str">
        <f>IFERROR(IF(VLOOKUP(F118,tblManoeuvre[],8,FALSE)=0,"None",VLOOKUP(F118,tblManoeuvre[],8,FALSE)),"None")</f>
        <v>None</v>
      </c>
      <c r="I118" s="67"/>
      <c r="L118" s="4"/>
      <c r="M118" s="4"/>
      <c r="N118" s="4"/>
      <c r="O118" s="61">
        <f t="shared" si="16"/>
        <v>0</v>
      </c>
      <c r="P118" s="60">
        <f t="shared" si="17"/>
        <v>0</v>
      </c>
      <c r="Q118" s="61">
        <v>1</v>
      </c>
      <c r="R118" s="61">
        <v>1</v>
      </c>
      <c r="Y118" s="61" t="s">
        <v>1474</v>
      </c>
      <c r="Z118" s="61" t="str">
        <f t="shared" si="18"/>
        <v/>
      </c>
      <c r="AA118" s="60" t="str">
        <f t="shared" si="19"/>
        <v/>
      </c>
    </row>
    <row r="119" spans="1:27">
      <c r="A119" s="1" t="s">
        <v>118</v>
      </c>
      <c r="B119" t="str">
        <f t="shared" si="20"/>
        <v>¬</v>
      </c>
      <c r="D119" s="19"/>
      <c r="E119" s="15" t="s">
        <v>1466</v>
      </c>
      <c r="F119" s="3"/>
      <c r="G119" s="60" t="str">
        <f>IFERROR(VLOOKUP(F119,tblManoeuvre[],2,FALSE)&amp;" "&amp;VLOOKUP(F119,tblManoeuvre[],3,FALSE),"")</f>
        <v/>
      </c>
      <c r="H119" s="67" t="str">
        <f>IFERROR(IF(VLOOKUP(F119,tblManoeuvre[],8,FALSE)=0,"None",VLOOKUP(F119,tblManoeuvre[],8,FALSE)),"None")</f>
        <v>None</v>
      </c>
      <c r="I119" s="67"/>
      <c r="L119" s="4"/>
      <c r="M119" s="4"/>
      <c r="N119" s="4"/>
      <c r="O119" s="61">
        <f t="shared" si="16"/>
        <v>0</v>
      </c>
      <c r="P119" s="60">
        <f t="shared" si="17"/>
        <v>0</v>
      </c>
      <c r="Q119" s="61">
        <v>1</v>
      </c>
      <c r="R119" s="61">
        <v>1</v>
      </c>
      <c r="Y119" s="61" t="s">
        <v>1474</v>
      </c>
      <c r="Z119" s="61" t="str">
        <f t="shared" si="18"/>
        <v/>
      </c>
      <c r="AA119" s="60" t="str">
        <f t="shared" si="19"/>
        <v/>
      </c>
    </row>
    <row r="120" spans="1:27">
      <c r="A120" s="1" t="s">
        <v>119</v>
      </c>
      <c r="B120" t="str">
        <f t="shared" si="20"/>
        <v>¬</v>
      </c>
      <c r="D120" s="19"/>
      <c r="E120" s="15" t="s">
        <v>1468</v>
      </c>
      <c r="F120" s="3"/>
      <c r="G120" s="60" t="str">
        <f>IFERROR(VLOOKUP(F120,tblManoeuvre[],2,FALSE)&amp;" "&amp;VLOOKUP(F120,tblManoeuvre[],3,FALSE),"")</f>
        <v/>
      </c>
      <c r="H120" s="67" t="str">
        <f>IFERROR(IF(VLOOKUP(F120,tblManoeuvre[],8,FALSE)=0,"None",VLOOKUP(F120,tblManoeuvre[],8,FALSE)),"None")</f>
        <v>None</v>
      </c>
      <c r="I120" s="67"/>
      <c r="L120" s="4"/>
      <c r="M120" s="4"/>
      <c r="N120" s="4"/>
      <c r="O120" s="61">
        <f t="shared" si="16"/>
        <v>0</v>
      </c>
      <c r="P120" s="60">
        <f t="shared" si="17"/>
        <v>0</v>
      </c>
      <c r="Q120" s="61">
        <v>1</v>
      </c>
      <c r="R120" s="61">
        <v>1</v>
      </c>
      <c r="Y120" s="61" t="s">
        <v>1474</v>
      </c>
      <c r="Z120" s="61" t="str">
        <f t="shared" si="18"/>
        <v/>
      </c>
      <c r="AA120" s="60" t="str">
        <f t="shared" si="19"/>
        <v/>
      </c>
    </row>
    <row r="121" spans="1:27">
      <c r="A121" s="1" t="s">
        <v>120</v>
      </c>
      <c r="B121" t="str">
        <f t="shared" si="20"/>
        <v>¬</v>
      </c>
      <c r="Y121" s="61" t="s">
        <v>1474</v>
      </c>
      <c r="Z121" s="61" t="str">
        <f t="shared" si="18"/>
        <v/>
      </c>
      <c r="AA121" s="60" t="str">
        <f t="shared" si="19"/>
        <v/>
      </c>
    </row>
    <row r="122" spans="1:27" ht="15.75" thickBot="1">
      <c r="A122" s="1" t="s">
        <v>121</v>
      </c>
      <c r="B122" t="str">
        <f t="shared" si="20"/>
        <v>¬</v>
      </c>
      <c r="D122" s="14" t="s">
        <v>1475</v>
      </c>
      <c r="E122" s="14"/>
      <c r="F122" s="14"/>
      <c r="G122" s="14"/>
      <c r="H122" s="14"/>
      <c r="I122" s="14"/>
    </row>
    <row r="123" spans="1:27">
      <c r="A123" s="1" t="s">
        <v>122</v>
      </c>
      <c r="B123" t="str">
        <f t="shared" si="20"/>
        <v>¬</v>
      </c>
      <c r="D123" s="16" t="s">
        <v>927</v>
      </c>
      <c r="E123" s="17"/>
      <c r="F123" s="17"/>
      <c r="G123" s="17"/>
      <c r="H123" s="17"/>
      <c r="I123" s="17"/>
      <c r="Y123" s="15" t="s">
        <v>1476</v>
      </c>
      <c r="Z123" s="19"/>
      <c r="AA123" s="61" t="str">
        <f t="shared" ref="AA123:AA132" si="21">_xlfn.LET(_xlpm.name,VLOOKUP(Y123,$E$2:$F$362,2,FALSE),_xlpm.paid,_xlfn.IFNA(VLOOKUP(_xlpm.name,$F$121:$Q$215,11,FALSE)&gt;=VLOOKUP(_xlpm.name,$F$121:$Q$215,12,FALSE),FALSE),IF(AND(_xlpm.name&lt;&gt;"",_xlpm.paid),_xlpm.name,""))</f>
        <v/>
      </c>
    </row>
    <row r="124" spans="1:27">
      <c r="A124" s="1" t="s">
        <v>123</v>
      </c>
      <c r="B124" t="str">
        <f t="shared" si="20"/>
        <v>¬</v>
      </c>
      <c r="D124" s="19"/>
      <c r="E124" s="15" t="s">
        <v>83</v>
      </c>
      <c r="F124" s="19"/>
      <c r="G124" s="19"/>
      <c r="H124" s="19"/>
      <c r="I124" s="19"/>
      <c r="L124" s="4">
        <v>2</v>
      </c>
      <c r="M124" s="61">
        <f>IFERROR(VLOOKUP(G13,tblEffectiveStatus[#Data],2,FALSE),0)</f>
        <v>0</v>
      </c>
      <c r="P124" s="60">
        <f>MIN(L124+M124,R124)</f>
        <v>2</v>
      </c>
      <c r="R124" s="61">
        <v>10</v>
      </c>
      <c r="Y124" s="15" t="s">
        <v>1477</v>
      </c>
      <c r="Z124" s="19"/>
      <c r="AA124" s="61" t="str">
        <f t="shared" si="21"/>
        <v/>
      </c>
    </row>
    <row r="125" spans="1:27">
      <c r="A125" s="1" t="s">
        <v>124</v>
      </c>
      <c r="B125" t="str">
        <f t="shared" si="20"/>
        <v>¬</v>
      </c>
      <c r="D125" s="19"/>
      <c r="E125" s="15" t="str">
        <f>IF(F7="","Clan Status",F7&amp;" Status")</f>
        <v>Ventrue Status</v>
      </c>
      <c r="F125" s="19"/>
      <c r="G125" s="19"/>
      <c r="H125" s="19"/>
      <c r="I125" s="19"/>
      <c r="L125" s="4">
        <v>2</v>
      </c>
      <c r="P125" s="60">
        <f>IF(L125="",0,MIN(L125,R125))</f>
        <v>2</v>
      </c>
      <c r="R125" s="61">
        <v>5</v>
      </c>
      <c r="Y125" s="15" t="s">
        <v>1478</v>
      </c>
      <c r="Z125" s="19"/>
      <c r="AA125" s="61" t="str">
        <f t="shared" si="21"/>
        <v/>
      </c>
    </row>
    <row r="126" spans="1:27">
      <c r="A126" s="1" t="s">
        <v>125</v>
      </c>
      <c r="B126" t="str">
        <f t="shared" si="20"/>
        <v>¬</v>
      </c>
      <c r="D126" s="19"/>
      <c r="E126" s="15" t="str">
        <f>IF(F9="","",F9&amp;" Status")</f>
        <v>Invictus Status</v>
      </c>
      <c r="F126" s="19" t="str">
        <f>IF(F9="","",VLOOKUP(F9,tblCovenantShortName[#Data],2,FALSE))</f>
        <v>Invictus</v>
      </c>
      <c r="G126" s="19"/>
      <c r="H126" s="19"/>
      <c r="I126" s="19"/>
      <c r="L126" s="4">
        <v>2</v>
      </c>
      <c r="P126" s="60">
        <f>L126</f>
        <v>2</v>
      </c>
      <c r="R126" s="61">
        <f>5-SUM(L127:L129)</f>
        <v>5</v>
      </c>
      <c r="Y126" s="15" t="s">
        <v>1479</v>
      </c>
      <c r="Z126" s="19"/>
      <c r="AA126" s="61" t="str">
        <f t="shared" si="21"/>
        <v/>
      </c>
    </row>
    <row r="127" spans="1:27">
      <c r="A127" s="1" t="s">
        <v>126</v>
      </c>
      <c r="B127" t="str">
        <f t="shared" si="20"/>
        <v>¬</v>
      </c>
      <c r="D127" s="19"/>
      <c r="E127" s="15" t="str" cm="1">
        <f t="array" ref="E127">IF(F9="","",IFERROR(INDEX(Lists!$F$2:$F$5,SMALL(IF(Lists!$F$2:$F$5&lt;&gt;$F$9,ROW(Lists!$F$2:$F$5)-ROW(Lists!$F$2)+1),1))&amp;" Status",""))</f>
        <v>Carthian Movement Status</v>
      </c>
      <c r="F127" s="19" t="str" cm="1">
        <f t="array" ref="F127">IF(F9="","",IFERROR(VLOOKUP(INDEX(Lists!$F$2:$F$5,SMALL(IF(Lists!$F$2:$F$5&lt;&gt;$F$9,ROW(Lists!$F$2:$F$5)-ROW(Lists!$F$2)+1),1)),tblCovenantShortName[],2,FALSE),""))</f>
        <v>Carthian</v>
      </c>
      <c r="G127" s="19"/>
      <c r="H127" s="19"/>
      <c r="I127" s="19"/>
      <c r="L127" s="4"/>
      <c r="P127" s="60">
        <f>L127</f>
        <v>0</v>
      </c>
      <c r="R127" s="61">
        <f>MAX(0,MIN(P126-1,5-L126-L128-L129))</f>
        <v>1</v>
      </c>
      <c r="Y127" s="15" t="s">
        <v>1480</v>
      </c>
      <c r="Z127" s="19"/>
      <c r="AA127" s="61" t="str">
        <f t="shared" si="21"/>
        <v/>
      </c>
    </row>
    <row r="128" spans="1:27">
      <c r="A128" s="1" t="s">
        <v>127</v>
      </c>
      <c r="B128" t="str">
        <f t="shared" si="20"/>
        <v>¬</v>
      </c>
      <c r="D128" s="19"/>
      <c r="E128" s="15" t="str" cm="1">
        <f t="array" ref="E128">IF(F9="","",IFERROR(INDEX(Lists!$F$2:$F$5,SMALL(IF(Lists!$F$2:$F$5&lt;&gt;$F$9,ROW(Lists!$F$2:$F$5)-ROW(Lists!$F$2)+1),2))&amp;" Status",""))</f>
        <v>Circle of the Crone Status</v>
      </c>
      <c r="F128" s="19" t="str" cm="1">
        <f t="array" ref="F128">IF(F9="","",IFERROR(VLOOKUP(INDEX(Lists!$F$2:$F$5,SMALL(IF(Lists!$F$2:$F$5&lt;&gt;$F$9,ROW(Lists!$F$2:$F$5)-ROW(Lists!$F$2)+1),2)),tblCovenantShortName[],2,FALSE),""))</f>
        <v>Crone</v>
      </c>
      <c r="G128" s="19"/>
      <c r="H128" s="19"/>
      <c r="I128" s="19"/>
      <c r="L128" s="4"/>
      <c r="P128" s="60">
        <f>L128</f>
        <v>0</v>
      </c>
      <c r="R128" s="61">
        <f>MAX(0,MIN(P126-1,5-L126-L127-L129))</f>
        <v>1</v>
      </c>
      <c r="Y128" s="15" t="s">
        <v>1481</v>
      </c>
      <c r="Z128" s="19"/>
      <c r="AA128" s="61" t="str">
        <f t="shared" si="21"/>
        <v/>
      </c>
    </row>
    <row r="129" spans="1:32">
      <c r="A129" s="1" t="s">
        <v>128</v>
      </c>
      <c r="B129" t="str">
        <f t="shared" si="20"/>
        <v>¬</v>
      </c>
      <c r="D129" s="19"/>
      <c r="E129" s="15" t="str" cm="1">
        <f t="array" ref="E129">IF(F9="","",IFERROR(INDEX(Lists!$F$2:$F$5,SMALL(IF(Lists!$F$2:$F$5&lt;&gt;$F$9,ROW(Lists!$F$2:$F$5)-ROW(Lists!$F$2)+1),3))&amp;" Status",""))</f>
        <v>Lancea et Sanctum Status</v>
      </c>
      <c r="F129" s="19" t="str" cm="1">
        <f t="array" ref="F129">IF(F9="","",IFERROR(VLOOKUP(INDEX(Lists!$F$2:$F$5,SMALL(IF(Lists!$F$2:$F$5&lt;&gt;$F$9,ROW(Lists!$F$2:$F$5)-ROW(Lists!$F$2)+1),3)),tblCovenantShortName[],2,FALSE),""))</f>
        <v>Lance</v>
      </c>
      <c r="G129" s="19"/>
      <c r="H129" s="19"/>
      <c r="I129" s="19"/>
      <c r="L129" s="4"/>
      <c r="P129" s="60">
        <f>L129</f>
        <v>0</v>
      </c>
      <c r="R129" s="61">
        <f>MAX(0,MIN(P126-1,5-L126-L127-L128))</f>
        <v>1</v>
      </c>
      <c r="Y129" s="15" t="s">
        <v>1482</v>
      </c>
      <c r="Z129" s="19"/>
      <c r="AA129" s="61" t="str">
        <f t="shared" si="21"/>
        <v/>
      </c>
    </row>
    <row r="130" spans="1:32">
      <c r="A130" s="1" t="s">
        <v>129</v>
      </c>
      <c r="B130" t="str">
        <f t="shared" si="20"/>
        <v>¬</v>
      </c>
      <c r="Y130" s="15" t="s">
        <v>1483</v>
      </c>
      <c r="Z130" s="19"/>
      <c r="AA130" s="61" t="str">
        <f t="shared" si="21"/>
        <v/>
      </c>
    </row>
    <row r="131" spans="1:32">
      <c r="A131" s="1" t="s">
        <v>130</v>
      </c>
      <c r="B131" t="str">
        <f t="shared" si="20"/>
        <v>¬</v>
      </c>
      <c r="D131" s="16" t="s">
        <v>1475</v>
      </c>
      <c r="E131" s="17"/>
      <c r="F131" s="16" t="s">
        <v>1446</v>
      </c>
      <c r="G131" s="17"/>
      <c r="H131" s="17"/>
      <c r="I131" s="17"/>
      <c r="Y131" s="15" t="s">
        <v>1484</v>
      </c>
      <c r="Z131" s="19"/>
      <c r="AA131" s="61" t="str">
        <f t="shared" si="21"/>
        <v/>
      </c>
    </row>
    <row r="132" spans="1:32">
      <c r="A132" s="1" t="s">
        <v>131</v>
      </c>
      <c r="B132" t="str">
        <f t="shared" si="20"/>
        <v>¬</v>
      </c>
      <c r="D132" s="19"/>
      <c r="E132" s="15" t="s">
        <v>94</v>
      </c>
      <c r="F132" s="3"/>
      <c r="G132" s="19"/>
      <c r="H132" s="19"/>
      <c r="I132" s="19"/>
      <c r="L132" s="4"/>
      <c r="M132" s="4"/>
      <c r="N132" s="4">
        <v>1</v>
      </c>
      <c r="O132" s="61">
        <f>N132</f>
        <v>1</v>
      </c>
      <c r="P132" s="60">
        <f>MIN(SUM(L132,M132,O132),R132)</f>
        <v>1</v>
      </c>
      <c r="Q132" s="61">
        <f>_xlfn.IFNA(VLOOKUP($E132,tblDomain[],3,FALSE),"")</f>
        <v>1</v>
      </c>
      <c r="R132" s="61">
        <f>_xlfn.IFNA(VLOOKUP($E132,tblDomain[],4,FALSE),"")</f>
        <v>5</v>
      </c>
      <c r="Y132" s="15" t="s">
        <v>1485</v>
      </c>
      <c r="Z132" s="19"/>
      <c r="AA132" s="61" t="str">
        <f t="shared" si="21"/>
        <v/>
      </c>
    </row>
    <row r="133" spans="1:32">
      <c r="A133" s="1" t="s">
        <v>132</v>
      </c>
      <c r="B133" t="str">
        <f t="shared" si="20"/>
        <v>¬</v>
      </c>
      <c r="D133" s="19"/>
      <c r="E133" s="15" t="s">
        <v>95</v>
      </c>
      <c r="F133" s="3"/>
      <c r="G133" s="19"/>
      <c r="H133" s="19"/>
      <c r="I133" s="19"/>
      <c r="L133" s="4"/>
      <c r="M133" s="4"/>
      <c r="N133" s="4">
        <v>1</v>
      </c>
      <c r="O133" s="61">
        <f>N133</f>
        <v>1</v>
      </c>
      <c r="P133" s="60">
        <f>MIN(SUM(L133,M133,O133),R133)</f>
        <v>1</v>
      </c>
      <c r="Q133" s="61">
        <f>_xlfn.IFNA(VLOOKUP($E133,tblDomain[],3,FALSE),"")</f>
        <v>1</v>
      </c>
      <c r="R133" s="61">
        <f>_xlfn.IFNA(VLOOKUP($E133,tblDomain[],4,FALSE),"")</f>
        <v>5</v>
      </c>
    </row>
    <row r="134" spans="1:32">
      <c r="A134" s="1" t="s">
        <v>133</v>
      </c>
      <c r="B134" t="str">
        <f t="shared" si="20"/>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2">_xlfn.LET(_xlpm.name,VLOOKUP(Y134,$E$2:$F$362,2,FALSE),_xlpm.note,VLOOKUP(Y134,$E$2:$G$362,3,FALSE),_xlpm.row,MATCH(Y134,$E$138:$E$157,0),_xlpm.dots,INDEX($P$138:$P$157,_xlpm.row),_xlpm.max,INDEX($Q$138:$Q$157,_xlpm.row),_xlpm.paid,_xlfn.IFNA(_xlpm.dots&gt;=_xlpm.max,FALSE),IF(AND(_xlpm.name&lt;&gt;"",_xlpm.paid),IF(_xlpm.note="",_xlpm.name,_xlpm.name&amp;" ("&amp;_xlpm.note&amp;")"),""))</f>
        <v>Resources</v>
      </c>
      <c r="AC134" s="60" t="str" cm="1">
        <f t="array" ref="AC134:AC137">_xlfn.LET(_xlpm.raw,IFERROR(_xlfn.VSTACK(IFERROR(_xlfn._xlws.SORT(_xlfn._xlws.FILTER(AA134:AA211,AA134:AA211&lt;&gt;"")),""),IFERROR(_xlfn._xlws.SORT(_xlfn._xlws.FILTER(AA213:AA222,AA213:AA222&lt;&gt;"")),"")),""),_xlpm.sorted,IFERROR(_xlfn._xlws.FILTER(_xlpm.raw,_xlpm.raw&lt;&gt;""),""),IFERROR(LEFT(_xlpm.sorted,FIND(" (",_xlpm.sorted)-1),_xlpm.sorted))</f>
        <v>Resources</v>
      </c>
      <c r="AD134" s="20" t="str" cm="1">
        <f t="array" ref="AD134:AD137">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
      </c>
      <c r="AE134" s="20">
        <f t="shared" ref="AE134:AE153" si="23">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2</v>
      </c>
      <c r="AF134" s="61" cm="1">
        <f t="array" ref="AF134">IF(AC134="","",SUMPRODUCT(($F$138:$F$157=AC134)*($G$138:$G$157=IF(AD134="","",AD134))*$P$138:$P$157))</f>
        <v>5</v>
      </c>
    </row>
    <row r="135" spans="1:32">
      <c r="A135" s="1" t="s">
        <v>134</v>
      </c>
      <c r="B135" t="str">
        <f t="shared" si="20"/>
        <v>¬</v>
      </c>
      <c r="D135" s="19"/>
      <c r="E135" s="15" t="s">
        <v>97</v>
      </c>
      <c r="F135" s="19"/>
      <c r="G135" s="19"/>
      <c r="H135" s="19"/>
      <c r="I135" s="19"/>
      <c r="L135" s="4"/>
      <c r="M135" s="4"/>
      <c r="N135" s="4"/>
      <c r="O135" s="61">
        <f>N135</f>
        <v>0</v>
      </c>
      <c r="P135" s="60">
        <f>MIN(SUM(L135,M135,O135),R135)</f>
        <v>0</v>
      </c>
      <c r="Q135" s="61">
        <f>_xlfn.IFNA(VLOOKUP($E135,tblDomain[],3,FALSE),"")</f>
        <v>1</v>
      </c>
      <c r="R135" s="61">
        <f>_xlfn.IFNA(VLOOKUP($E135,tblDomain[],4,FALSE),"")</f>
        <v>5</v>
      </c>
      <c r="Y135" s="15" t="s">
        <v>177</v>
      </c>
      <c r="Z135" s="19"/>
      <c r="AA135" s="61" t="str">
        <f t="shared" si="22"/>
        <v>Status (finance)</v>
      </c>
      <c r="AC135" s="60" t="str">
        <v>Status</v>
      </c>
      <c r="AD135" s="20" t="str">
        <v>finance</v>
      </c>
      <c r="AE135" s="20">
        <f t="shared" si="23"/>
        <v>1</v>
      </c>
      <c r="AF135" s="61" cm="1">
        <f t="array" ref="AF135">IF(AC135="","",SUMPRODUCT(($F$138:$F$157=AC135)*($G$138:$G$157=IF(AD135="","",AD135))*$P$138:$P$157))</f>
        <v>3</v>
      </c>
    </row>
    <row r="136" spans="1:32">
      <c r="A136" s="1" t="s">
        <v>135</v>
      </c>
      <c r="B136" t="str">
        <f t="shared" si="20"/>
        <v>¬</v>
      </c>
      <c r="Y136" s="15" t="s">
        <v>178</v>
      </c>
      <c r="Z136" s="19"/>
      <c r="AA136" s="61" t="str">
        <f t="shared" si="22"/>
        <v>Status (underworld)</v>
      </c>
      <c r="AC136" s="60" t="str">
        <v>Status</v>
      </c>
      <c r="AD136" s="20" t="str">
        <v>high society</v>
      </c>
      <c r="AE136" s="20">
        <f t="shared" si="23"/>
        <v>1</v>
      </c>
      <c r="AF136" s="61" cm="1">
        <f t="array" ref="AF136">IF(AC136="","",SUMPRODUCT(($F$138:$F$157=AC136)*($G$138:$G$157=IF(AD136="","",AD136))*$P$138:$P$157))</f>
        <v>3</v>
      </c>
    </row>
    <row r="137" spans="1:32">
      <c r="A137" s="1" t="s">
        <v>136</v>
      </c>
      <c r="B137" t="str">
        <f t="shared" si="20"/>
        <v>¬</v>
      </c>
      <c r="D137" s="16" t="s">
        <v>174</v>
      </c>
      <c r="E137" s="17"/>
      <c r="F137" s="17"/>
      <c r="G137" s="17"/>
      <c r="H137" s="61">
        <f>L225</f>
        <v>0</v>
      </c>
      <c r="I137" s="61">
        <f>SUM(AE134:AE155)+SUM(P125:P129)</f>
        <v>9</v>
      </c>
      <c r="Y137" s="15" t="s">
        <v>179</v>
      </c>
      <c r="Z137" s="19"/>
      <c r="AA137" s="61" t="str">
        <f t="shared" si="22"/>
        <v>Status (high society)</v>
      </c>
      <c r="AC137" s="60" t="str">
        <v>Status</v>
      </c>
      <c r="AD137" s="20" t="str">
        <v>underworld</v>
      </c>
      <c r="AE137" s="20">
        <f t="shared" si="23"/>
        <v>1</v>
      </c>
      <c r="AF137" s="61" cm="1">
        <f t="array" ref="AF137">IF(AC137="","",SUMPRODUCT(($F$138:$F$157=AC137)*($G$138:$G$157=IF(AD137="","",AD137))*$P$138:$P$157))</f>
        <v>3</v>
      </c>
    </row>
    <row r="138" spans="1:32">
      <c r="A138" s="1" t="s">
        <v>137</v>
      </c>
      <c r="B138" t="str">
        <f t="shared" si="20"/>
        <v>¬</v>
      </c>
      <c r="D138" s="19"/>
      <c r="E138" s="15" t="s">
        <v>176</v>
      </c>
      <c r="F138" s="3" t="s">
        <v>525</v>
      </c>
      <c r="G138" s="3"/>
      <c r="H138" s="67" t="str">
        <f>IFERROR(IF(VLOOKUP(F138,tblManoeuvre[],8,FALSE)=0,"None",VLOOKUP(F138,tblManoeuvre[],8,FALSE)),"None")</f>
        <v>None</v>
      </c>
      <c r="I138" s="67"/>
      <c r="L138" s="4">
        <v>5</v>
      </c>
      <c r="M138" s="4"/>
      <c r="N138" s="4"/>
      <c r="O138" s="61">
        <f t="shared" ref="O138:O157" si="24">N138</f>
        <v>0</v>
      </c>
      <c r="P138" s="60">
        <f t="shared" ref="P138:P157" si="25">MIN(SUM(L138,M138,O138),R138)</f>
        <v>5</v>
      </c>
      <c r="Q138" s="61">
        <f>_xlfn.IFNA(VLOOKUP($F138,tblInfluence[],3,FALSE),"")</f>
        <v>1</v>
      </c>
      <c r="R138" s="61">
        <f>_xlfn.IFNA(VLOOKUP($F138,tblInfluence[],4,FALSE),"")</f>
        <v>5</v>
      </c>
      <c r="Y138" s="15" t="s">
        <v>180</v>
      </c>
      <c r="Z138" s="19"/>
      <c r="AA138" s="61" t="str">
        <f t="shared" si="22"/>
        <v/>
      </c>
      <c r="AC138" s="60"/>
      <c r="AD138" s="20"/>
      <c r="AE138" s="20" t="str">
        <f t="shared" si="23"/>
        <v/>
      </c>
      <c r="AF138" s="61" t="str" cm="1">
        <f t="array" ref="AF138">IF(AC138="","",SUMPRODUCT(($F$138:$F$157=AC138)*($G$138:$G$157=IF(AD138="","",AD138))*$P$138:$P$157))</f>
        <v/>
      </c>
    </row>
    <row r="139" spans="1:32">
      <c r="A139" s="1" t="s">
        <v>138</v>
      </c>
      <c r="B139" t="str">
        <f t="shared" si="20"/>
        <v>¬</v>
      </c>
      <c r="D139" s="19"/>
      <c r="E139" s="15" t="s">
        <v>177</v>
      </c>
      <c r="F139" s="3" t="s">
        <v>927</v>
      </c>
      <c r="G139" s="3" t="s">
        <v>1238</v>
      </c>
      <c r="H139" s="67" t="str">
        <f>IFERROR(IF(VLOOKUP(F139,tblManoeuvre[],8,FALSE)=0,"None",VLOOKUP(F139,tblManoeuvre[],8,FALSE)),"None")</f>
        <v>None</v>
      </c>
      <c r="I139" s="67"/>
      <c r="L139" s="4">
        <v>3</v>
      </c>
      <c r="M139" s="4"/>
      <c r="N139" s="4"/>
      <c r="O139" s="61">
        <f t="shared" si="24"/>
        <v>0</v>
      </c>
      <c r="P139" s="60">
        <f t="shared" si="25"/>
        <v>3</v>
      </c>
      <c r="Q139" s="61">
        <f>_xlfn.IFNA(VLOOKUP($F139,tblInfluence[],3,FALSE),"")</f>
        <v>1</v>
      </c>
      <c r="R139" s="61">
        <f>_xlfn.IFNA(VLOOKUP($F139,tblInfluence[],4,FALSE),"")</f>
        <v>5</v>
      </c>
      <c r="Y139" s="15" t="s">
        <v>181</v>
      </c>
      <c r="Z139" s="19"/>
      <c r="AA139" s="61" t="str">
        <f t="shared" si="22"/>
        <v/>
      </c>
      <c r="AC139" s="60"/>
      <c r="AD139" s="20"/>
      <c r="AE139" s="20" t="str">
        <f t="shared" si="23"/>
        <v/>
      </c>
      <c r="AF139" s="61" t="str" cm="1">
        <f t="array" ref="AF139">IF(AC139="","",SUMPRODUCT(($F$138:$F$157=AC139)*($G$138:$G$157=IF(AD139="","",AD139))*$P$138:$P$157))</f>
        <v/>
      </c>
    </row>
    <row r="140" spans="1:32">
      <c r="A140" s="1" t="s">
        <v>139</v>
      </c>
      <c r="B140" t="str">
        <f t="shared" si="20"/>
        <v>¬</v>
      </c>
      <c r="D140" s="19"/>
      <c r="E140" s="15" t="s">
        <v>178</v>
      </c>
      <c r="F140" s="3" t="s">
        <v>927</v>
      </c>
      <c r="G140" s="3" t="s">
        <v>1240</v>
      </c>
      <c r="H140" s="67" t="str">
        <f>IFERROR(IF(VLOOKUP(F140,tblManoeuvre[],8,FALSE)=0,"None",VLOOKUP(F140,tblManoeuvre[],8,FALSE)),"None")</f>
        <v>None</v>
      </c>
      <c r="I140" s="67"/>
      <c r="L140" s="4">
        <v>2</v>
      </c>
      <c r="M140" s="4"/>
      <c r="N140" s="4">
        <v>1</v>
      </c>
      <c r="O140" s="61">
        <f t="shared" si="24"/>
        <v>1</v>
      </c>
      <c r="P140" s="60">
        <f t="shared" si="25"/>
        <v>3</v>
      </c>
      <c r="Q140" s="61">
        <f>_xlfn.IFNA(VLOOKUP($F140,tblInfluence[],3,FALSE),"")</f>
        <v>1</v>
      </c>
      <c r="R140" s="61">
        <f>_xlfn.IFNA(VLOOKUP($F140,tblInfluence[],4,FALSE),"")</f>
        <v>5</v>
      </c>
      <c r="Y140" s="15" t="s">
        <v>182</v>
      </c>
      <c r="Z140" s="19"/>
      <c r="AA140" s="61" t="str">
        <f t="shared" si="22"/>
        <v/>
      </c>
      <c r="AC140" s="60"/>
      <c r="AD140" s="20"/>
      <c r="AE140" s="20" t="str">
        <f t="shared" si="23"/>
        <v/>
      </c>
      <c r="AF140" s="61" t="str" cm="1">
        <f t="array" ref="AF140">IF(AC140="","",SUMPRODUCT(($F$138:$F$157=AC140)*($G$138:$G$157=IF(AD140="","",AD140))*$P$138:$P$157))</f>
        <v/>
      </c>
    </row>
    <row r="141" spans="1:32">
      <c r="A141" s="1" t="s">
        <v>140</v>
      </c>
      <c r="B141" t="str">
        <f t="shared" si="20"/>
        <v>¬</v>
      </c>
      <c r="D141" s="19"/>
      <c r="E141" s="15" t="s">
        <v>179</v>
      </c>
      <c r="F141" s="3" t="s">
        <v>927</v>
      </c>
      <c r="G141" s="3" t="s">
        <v>1239</v>
      </c>
      <c r="H141" s="67" t="str">
        <f>IFERROR(IF(VLOOKUP(F141,tblManoeuvre[],8,FALSE)=0,"None",VLOOKUP(F141,tblManoeuvre[],8,FALSE)),"None")</f>
        <v>None</v>
      </c>
      <c r="I141" s="67"/>
      <c r="L141" s="4"/>
      <c r="M141" s="4"/>
      <c r="N141" s="4">
        <v>3</v>
      </c>
      <c r="O141" s="61">
        <f t="shared" si="24"/>
        <v>3</v>
      </c>
      <c r="P141" s="60">
        <f t="shared" si="25"/>
        <v>3</v>
      </c>
      <c r="Q141" s="61">
        <f>_xlfn.IFNA(VLOOKUP($F141,tblInfluence[],3,FALSE),"")</f>
        <v>1</v>
      </c>
      <c r="R141" s="61">
        <f>_xlfn.IFNA(VLOOKUP($F141,tblInfluence[],4,FALSE),"")</f>
        <v>5</v>
      </c>
      <c r="Y141" s="15" t="s">
        <v>183</v>
      </c>
      <c r="Z141" s="19"/>
      <c r="AA141" s="61" t="str">
        <f t="shared" si="22"/>
        <v/>
      </c>
      <c r="AC141" s="60"/>
      <c r="AD141" s="20"/>
      <c r="AE141" s="20" t="str">
        <f t="shared" si="23"/>
        <v/>
      </c>
      <c r="AF141" s="61" t="str" cm="1">
        <f t="array" ref="AF141">IF(AC141="","",SUMPRODUCT(($F$138:$F$157=AC141)*($G$138:$G$157=IF(AD141="","",AD141))*$P$138:$P$157))</f>
        <v/>
      </c>
    </row>
    <row r="142" spans="1:32">
      <c r="A142" s="1" t="s">
        <v>141</v>
      </c>
      <c r="B142" t="str">
        <f t="shared" si="20"/>
        <v>¬</v>
      </c>
      <c r="D142" s="19"/>
      <c r="E142" s="15" t="s">
        <v>180</v>
      </c>
      <c r="F142" s="3"/>
      <c r="G142" s="3"/>
      <c r="H142" s="67" t="str">
        <f>IFERROR(IF(VLOOKUP(F142,tblManoeuvre[],8,FALSE)=0,"None",VLOOKUP(F142,tblManoeuvre[],8,FALSE)),"None")</f>
        <v>None</v>
      </c>
      <c r="I142" s="67"/>
      <c r="L142" s="4"/>
      <c r="M142" s="4"/>
      <c r="N142" s="4"/>
      <c r="O142" s="61">
        <f t="shared" si="24"/>
        <v>0</v>
      </c>
      <c r="P142" s="60">
        <f t="shared" si="25"/>
        <v>0</v>
      </c>
      <c r="Q142" s="61" t="str">
        <f>_xlfn.IFNA(VLOOKUP($F142,tblInfluence[],3,FALSE),"")</f>
        <v/>
      </c>
      <c r="R142" s="61" t="str">
        <f>_xlfn.IFNA(VLOOKUP($F142,tblInfluence[],4,FALSE),"")</f>
        <v/>
      </c>
      <c r="Y142" s="15" t="s">
        <v>184</v>
      </c>
      <c r="Z142" s="19"/>
      <c r="AA142" s="61" t="str">
        <f t="shared" si="22"/>
        <v/>
      </c>
      <c r="AC142" s="60"/>
      <c r="AD142" s="20"/>
      <c r="AE142" s="20" t="str">
        <f t="shared" si="23"/>
        <v/>
      </c>
      <c r="AF142" s="61" t="str" cm="1">
        <f t="array" ref="AF142">IF(AC142="","",SUMPRODUCT(($F$138:$F$157=AC142)*($G$138:$G$157=IF(AD142="","",AD142))*$P$138:$P$157))</f>
        <v/>
      </c>
    </row>
    <row r="143" spans="1:32">
      <c r="A143" s="1" t="s">
        <v>142</v>
      </c>
      <c r="B143" t="str">
        <f t="shared" si="20"/>
        <v>¬</v>
      </c>
      <c r="D143" s="19"/>
      <c r="E143" s="15" t="s">
        <v>181</v>
      </c>
      <c r="F143" s="3"/>
      <c r="G143" s="3" t="str">
        <f>IFERROR(VLOOKUP(F143,tblManoeuvre[],2,FALSE)&amp;" "&amp;VLOOKUP(F143,tblManoeuvre[],3,FALSE),"")</f>
        <v/>
      </c>
      <c r="H143" s="67" t="str">
        <f>IFERROR(IF(VLOOKUP(F143,tblManoeuvre[],8,FALSE)=0,"None",VLOOKUP(F143,tblManoeuvre[],8,FALSE)),"None")</f>
        <v>None</v>
      </c>
      <c r="I143" s="67"/>
      <c r="L143" s="4"/>
      <c r="M143" s="4"/>
      <c r="N143" s="4"/>
      <c r="O143" s="61">
        <f t="shared" si="24"/>
        <v>0</v>
      </c>
      <c r="P143" s="60">
        <f t="shared" si="25"/>
        <v>0</v>
      </c>
      <c r="Q143" s="61" t="str">
        <f>_xlfn.IFNA(VLOOKUP($F143,tblInfluence[],3,FALSE),"")</f>
        <v/>
      </c>
      <c r="R143" s="61" t="str">
        <f>_xlfn.IFNA(VLOOKUP($F143,tblInfluence[],4,FALSE),"")</f>
        <v/>
      </c>
      <c r="Y143" s="15" t="s">
        <v>185</v>
      </c>
      <c r="Z143" s="19"/>
      <c r="AA143" s="61" t="str">
        <f t="shared" si="22"/>
        <v/>
      </c>
      <c r="AC143" s="60"/>
      <c r="AD143" s="20"/>
      <c r="AE143" s="20" t="str">
        <f t="shared" si="23"/>
        <v/>
      </c>
      <c r="AF143" s="61" t="str" cm="1">
        <f t="array" ref="AF143">IF(AC143="","",SUMPRODUCT(($F$138:$F$157=AC143)*($G$138:$G$157=IF(AD143="","",AD143))*$P$138:$P$157))</f>
        <v/>
      </c>
    </row>
    <row r="144" spans="1:32">
      <c r="A144" s="1" t="s">
        <v>143</v>
      </c>
      <c r="B144" t="str">
        <f t="shared" si="20"/>
        <v>¬</v>
      </c>
      <c r="D144" s="19"/>
      <c r="E144" s="15" t="s">
        <v>182</v>
      </c>
      <c r="F144" s="3"/>
      <c r="G144" s="3"/>
      <c r="H144" s="67" t="str">
        <f>IFERROR(IF(VLOOKUP(F144,tblManoeuvre[],8,FALSE)=0,"None",VLOOKUP(F144,tblManoeuvre[],8,FALSE)),"None")</f>
        <v>None</v>
      </c>
      <c r="I144" s="67"/>
      <c r="L144" s="4"/>
      <c r="M144" s="4"/>
      <c r="N144" s="4"/>
      <c r="O144" s="61">
        <f t="shared" si="24"/>
        <v>0</v>
      </c>
      <c r="P144" s="60">
        <f t="shared" si="25"/>
        <v>0</v>
      </c>
      <c r="Q144" s="61" t="str">
        <f>_xlfn.IFNA(VLOOKUP($F144,tblInfluence[],3,FALSE),"")</f>
        <v/>
      </c>
      <c r="R144" s="61" t="str">
        <f>_xlfn.IFNA(VLOOKUP($F144,tblInfluence[],4,FALSE),"")</f>
        <v/>
      </c>
      <c r="Y144" s="15" t="s">
        <v>186</v>
      </c>
      <c r="Z144" s="19"/>
      <c r="AA144" s="61" t="str">
        <f t="shared" si="22"/>
        <v/>
      </c>
      <c r="AC144" s="60"/>
      <c r="AD144" s="20"/>
      <c r="AE144" s="20" t="str">
        <f t="shared" si="23"/>
        <v/>
      </c>
      <c r="AF144" s="61" t="str" cm="1">
        <f t="array" ref="AF144">IF(AC144="","",SUMPRODUCT(($F$138:$F$157=AC144)*($G$138:$G$157=IF(AD144="","",AD144))*$P$138:$P$157))</f>
        <v/>
      </c>
    </row>
    <row r="145" spans="1:32">
      <c r="A145" s="1" t="s">
        <v>144</v>
      </c>
      <c r="B145" t="str">
        <f t="shared" ref="B145:B174" si="26">IF(AF2="","¬",AF2)</f>
        <v>¬</v>
      </c>
      <c r="D145" s="19"/>
      <c r="E145" s="15" t="s">
        <v>183</v>
      </c>
      <c r="F145" s="3"/>
      <c r="G145" s="3" t="str">
        <f>IFERROR(VLOOKUP(F145,tblManoeuvre[],2,FALSE)&amp;" "&amp;VLOOKUP(F145,tblManoeuvre[],3,FALSE),"")</f>
        <v/>
      </c>
      <c r="H145" s="67" t="str">
        <f>IFERROR(IF(VLOOKUP(F145,tblManoeuvre[],8,FALSE)=0,"None",VLOOKUP(F145,tblManoeuvre[],8,FALSE)),"None")</f>
        <v>None</v>
      </c>
      <c r="I145" s="67"/>
      <c r="L145" s="4"/>
      <c r="M145" s="4"/>
      <c r="N145" s="4"/>
      <c r="O145" s="61">
        <f t="shared" si="24"/>
        <v>0</v>
      </c>
      <c r="P145" s="60">
        <f t="shared" si="25"/>
        <v>0</v>
      </c>
      <c r="Q145" s="61" t="str">
        <f>_xlfn.IFNA(VLOOKUP($F145,tblInfluence[],3,FALSE),"")</f>
        <v/>
      </c>
      <c r="R145" s="61" t="str">
        <f>_xlfn.IFNA(VLOOKUP($F145,tblInfluence[],4,FALSE),"")</f>
        <v/>
      </c>
      <c r="Y145" s="15" t="s">
        <v>187</v>
      </c>
      <c r="Z145" s="19"/>
      <c r="AA145" s="61" t="str">
        <f t="shared" si="22"/>
        <v/>
      </c>
      <c r="AC145" s="60"/>
      <c r="AD145" s="20"/>
      <c r="AE145" s="20" t="str">
        <f t="shared" si="23"/>
        <v/>
      </c>
      <c r="AF145" s="61" t="str" cm="1">
        <f t="array" ref="AF145">IF(AC145="","",SUMPRODUCT(($F$138:$F$157=AC145)*($G$138:$G$157=IF(AD145="","",AD145))*$P$138:$P$157))</f>
        <v/>
      </c>
    </row>
    <row r="146" spans="1:32">
      <c r="A146" s="1" t="s">
        <v>145</v>
      </c>
      <c r="B146" t="str">
        <f t="shared" si="26"/>
        <v>¬</v>
      </c>
      <c r="D146" s="19"/>
      <c r="E146" s="15" t="s">
        <v>184</v>
      </c>
      <c r="F146" s="3"/>
      <c r="G146" s="3" t="str">
        <f>IFERROR(VLOOKUP(F146,tblManoeuvre[],2,FALSE)&amp;" "&amp;VLOOKUP(F146,tblManoeuvre[],3,FALSE),"")</f>
        <v/>
      </c>
      <c r="H146" s="67" t="str">
        <f>IFERROR(IF(VLOOKUP(F146,tblManoeuvre[],8,FALSE)=0,"None",VLOOKUP(F146,tblManoeuvre[],8,FALSE)),"None")</f>
        <v>None</v>
      </c>
      <c r="I146" s="67"/>
      <c r="L146" s="4"/>
      <c r="M146" s="4"/>
      <c r="N146" s="4"/>
      <c r="O146" s="61">
        <f t="shared" si="24"/>
        <v>0</v>
      </c>
      <c r="P146" s="60">
        <f t="shared" si="25"/>
        <v>0</v>
      </c>
      <c r="Q146" s="61" t="str">
        <f>_xlfn.IFNA(VLOOKUP($F146,tblInfluence[],3,FALSE),"")</f>
        <v/>
      </c>
      <c r="R146" s="61" t="str">
        <f>_xlfn.IFNA(VLOOKUP($F146,tblInfluence[],4,FALSE),"")</f>
        <v/>
      </c>
      <c r="Y146" s="15" t="s">
        <v>188</v>
      </c>
      <c r="Z146" s="19"/>
      <c r="AA146" s="61" t="str">
        <f t="shared" si="22"/>
        <v/>
      </c>
      <c r="AC146" s="60"/>
      <c r="AD146" s="20"/>
      <c r="AE146" s="20" t="str">
        <f t="shared" si="23"/>
        <v/>
      </c>
      <c r="AF146" s="61" t="str" cm="1">
        <f t="array" ref="AF146">IF(AC146="","",SUMPRODUCT(($F$138:$F$157=AC146)*($G$138:$G$157=IF(AD146="","",AD146))*$P$138:$P$157))</f>
        <v/>
      </c>
    </row>
    <row r="147" spans="1:32">
      <c r="A147" s="1" t="s">
        <v>146</v>
      </c>
      <c r="B147" t="str">
        <f t="shared" si="26"/>
        <v>¬</v>
      </c>
      <c r="D147" s="19"/>
      <c r="E147" s="15" t="s">
        <v>185</v>
      </c>
      <c r="F147" s="3"/>
      <c r="G147" s="3" t="str">
        <f>IFERROR(VLOOKUP(F147,tblManoeuvre[],2,FALSE)&amp;" "&amp;VLOOKUP(F147,tblManoeuvre[],3,FALSE),"")</f>
        <v/>
      </c>
      <c r="H147" s="67" t="str">
        <f>IFERROR(IF(VLOOKUP(F147,tblManoeuvre[],8,FALSE)=0,"None",VLOOKUP(F147,tblManoeuvre[],8,FALSE)),"None")</f>
        <v>None</v>
      </c>
      <c r="I147" s="67"/>
      <c r="L147" s="4"/>
      <c r="M147" s="4"/>
      <c r="N147" s="4"/>
      <c r="O147" s="61">
        <f t="shared" si="24"/>
        <v>0</v>
      </c>
      <c r="P147" s="60">
        <f t="shared" si="25"/>
        <v>0</v>
      </c>
      <c r="Q147" s="61" t="str">
        <f>_xlfn.IFNA(VLOOKUP($F147,tblInfluence[],3,FALSE),"")</f>
        <v/>
      </c>
      <c r="R147" s="61" t="str">
        <f>_xlfn.IFNA(VLOOKUP($F147,tblInfluence[],4,FALSE),"")</f>
        <v/>
      </c>
      <c r="Y147" s="15" t="s">
        <v>189</v>
      </c>
      <c r="Z147" s="19"/>
      <c r="AA147" s="61" t="str">
        <f t="shared" si="22"/>
        <v/>
      </c>
      <c r="AC147" s="60"/>
      <c r="AD147" s="20"/>
      <c r="AE147" s="20" t="str">
        <f t="shared" si="23"/>
        <v/>
      </c>
      <c r="AF147" s="61" t="str" cm="1">
        <f t="array" ref="AF147">IF(AC147="","",SUMPRODUCT(($F$138:$F$157=AC147)*($G$138:$G$157=IF(AD147="","",AD147))*$P$138:$P$157))</f>
        <v/>
      </c>
    </row>
    <row r="148" spans="1:32">
      <c r="A148" s="1" t="s">
        <v>147</v>
      </c>
      <c r="B148" t="str">
        <f t="shared" si="26"/>
        <v>¬</v>
      </c>
      <c r="D148" s="19"/>
      <c r="E148" s="15" t="s">
        <v>186</v>
      </c>
      <c r="F148" s="3"/>
      <c r="G148" s="3" t="str">
        <f>IFERROR(VLOOKUP(F148,tblManoeuvre[],2,FALSE)&amp;" "&amp;VLOOKUP(F148,tblManoeuvre[],3,FALSE),"")</f>
        <v/>
      </c>
      <c r="H148" s="67" t="str">
        <f>IFERROR(IF(VLOOKUP(F148,tblManoeuvre[],8,FALSE)=0,"None",VLOOKUP(F148,tblManoeuvre[],8,FALSE)),"None")</f>
        <v>None</v>
      </c>
      <c r="I148" s="67"/>
      <c r="L148" s="4"/>
      <c r="M148" s="4"/>
      <c r="N148" s="4"/>
      <c r="O148" s="61">
        <f t="shared" si="24"/>
        <v>0</v>
      </c>
      <c r="P148" s="60">
        <f t="shared" si="25"/>
        <v>0</v>
      </c>
      <c r="Q148" s="61" t="str">
        <f>_xlfn.IFNA(VLOOKUP($F148,tblInfluence[],3,FALSE),"")</f>
        <v/>
      </c>
      <c r="R148" s="61" t="str">
        <f>_xlfn.IFNA(VLOOKUP($F148,tblInfluence[],4,FALSE),"")</f>
        <v/>
      </c>
      <c r="Y148" s="15" t="s">
        <v>190</v>
      </c>
      <c r="Z148" s="19"/>
      <c r="AA148" s="61" t="str">
        <f t="shared" si="22"/>
        <v/>
      </c>
      <c r="AC148" s="60"/>
      <c r="AD148" s="20"/>
      <c r="AE148" s="20" t="str">
        <f t="shared" si="23"/>
        <v/>
      </c>
      <c r="AF148" s="61" t="str" cm="1">
        <f t="array" ref="AF148">IF(AC148="","",SUMPRODUCT(($F$138:$F$157=AC148)*($G$138:$G$157=IF(AD148="","",AD148))*$P$138:$P$157))</f>
        <v/>
      </c>
    </row>
    <row r="149" spans="1:32">
      <c r="A149" s="1" t="s">
        <v>148</v>
      </c>
      <c r="B149" t="str">
        <f t="shared" si="26"/>
        <v>¬</v>
      </c>
      <c r="D149" s="19"/>
      <c r="E149" s="15" t="s">
        <v>187</v>
      </c>
      <c r="F149" s="3"/>
      <c r="G149" s="3" t="str">
        <f>IFERROR(VLOOKUP(F149,tblManoeuvre[],2,FALSE)&amp;" "&amp;VLOOKUP(F149,tblManoeuvre[],3,FALSE),"")</f>
        <v/>
      </c>
      <c r="H149" s="67" t="str">
        <f>IFERROR(IF(VLOOKUP(F149,tblManoeuvre[],8,FALSE)=0,"None",VLOOKUP(F149,tblManoeuvre[],8,FALSE)),"None")</f>
        <v>None</v>
      </c>
      <c r="I149" s="67"/>
      <c r="L149" s="4"/>
      <c r="M149" s="4"/>
      <c r="N149" s="4"/>
      <c r="O149" s="61">
        <f t="shared" si="24"/>
        <v>0</v>
      </c>
      <c r="P149" s="60">
        <f t="shared" si="25"/>
        <v>0</v>
      </c>
      <c r="Q149" s="61" t="str">
        <f>_xlfn.IFNA(VLOOKUP($F149,tblInfluence[],3,FALSE),"")</f>
        <v/>
      </c>
      <c r="R149" s="61" t="str">
        <f>_xlfn.IFNA(VLOOKUP($F149,tblInfluence[],4,FALSE),"")</f>
        <v/>
      </c>
      <c r="Y149" s="15" t="s">
        <v>191</v>
      </c>
      <c r="Z149" s="19"/>
      <c r="AA149" s="61" t="str">
        <f t="shared" si="22"/>
        <v/>
      </c>
      <c r="AC149" s="60"/>
      <c r="AD149" s="20"/>
      <c r="AE149" s="20" t="str">
        <f t="shared" si="23"/>
        <v/>
      </c>
      <c r="AF149" s="61" t="str" cm="1">
        <f t="array" ref="AF149">IF(AC149="","",SUMPRODUCT(($F$138:$F$157=AC149)*($G$138:$G$157=IF(AD149="","",AD149))*$P$138:$P$157))</f>
        <v/>
      </c>
    </row>
    <row r="150" spans="1:32">
      <c r="A150" s="1" t="s">
        <v>149</v>
      </c>
      <c r="B150" t="str">
        <f t="shared" si="26"/>
        <v>¬</v>
      </c>
      <c r="D150" s="19"/>
      <c r="E150" s="15" t="s">
        <v>188</v>
      </c>
      <c r="F150" s="3"/>
      <c r="G150" s="3" t="str">
        <f>IFERROR(VLOOKUP(F150,tblManoeuvre[],2,FALSE)&amp;" "&amp;VLOOKUP(F150,tblManoeuvre[],3,FALSE),"")</f>
        <v/>
      </c>
      <c r="H150" s="67" t="str">
        <f>IFERROR(IF(VLOOKUP(F150,tblManoeuvre[],8,FALSE)=0,"None",VLOOKUP(F150,tblManoeuvre[],8,FALSE)),"None")</f>
        <v>None</v>
      </c>
      <c r="I150" s="67"/>
      <c r="L150" s="4"/>
      <c r="M150" s="4"/>
      <c r="N150" s="4"/>
      <c r="O150" s="61">
        <f t="shared" si="24"/>
        <v>0</v>
      </c>
      <c r="P150" s="60">
        <f t="shared" si="25"/>
        <v>0</v>
      </c>
      <c r="Q150" s="61" t="str">
        <f>_xlfn.IFNA(VLOOKUP($F150,tblInfluence[],3,FALSE),"")</f>
        <v/>
      </c>
      <c r="R150" s="61" t="str">
        <f>_xlfn.IFNA(VLOOKUP($F150,tblInfluence[],4,FALSE),"")</f>
        <v/>
      </c>
      <c r="Y150" s="15" t="s">
        <v>192</v>
      </c>
      <c r="Z150" s="19"/>
      <c r="AA150" s="61" t="str">
        <f t="shared" si="22"/>
        <v/>
      </c>
      <c r="AC150" s="60"/>
      <c r="AD150" s="20"/>
      <c r="AE150" s="20" t="str">
        <f t="shared" si="23"/>
        <v/>
      </c>
      <c r="AF150" s="61" t="str" cm="1">
        <f t="array" ref="AF150">IF(AC150="","",SUMPRODUCT(($F$138:$F$157=AC150)*($G$138:$G$157=IF(AD150="","",AD150))*$P$138:$P$157))</f>
        <v/>
      </c>
    </row>
    <row r="151" spans="1:32">
      <c r="A151" s="1" t="s">
        <v>150</v>
      </c>
      <c r="B151" t="str">
        <f t="shared" si="26"/>
        <v>¬</v>
      </c>
      <c r="D151" s="19"/>
      <c r="E151" s="15" t="s">
        <v>189</v>
      </c>
      <c r="F151" s="3"/>
      <c r="G151" s="3" t="str">
        <f>IFERROR(VLOOKUP(F151,tblManoeuvre[],2,FALSE)&amp;" "&amp;VLOOKUP(F151,tblManoeuvre[],3,FALSE),"")</f>
        <v/>
      </c>
      <c r="H151" s="67" t="str">
        <f>IFERROR(IF(VLOOKUP(F151,tblManoeuvre[],8,FALSE)=0,"None",VLOOKUP(F151,tblManoeuvre[],8,FALSE)),"None")</f>
        <v>None</v>
      </c>
      <c r="I151" s="67"/>
      <c r="L151" s="4"/>
      <c r="M151" s="4"/>
      <c r="N151" s="4"/>
      <c r="O151" s="61">
        <f t="shared" si="24"/>
        <v>0</v>
      </c>
      <c r="P151" s="60">
        <f t="shared" si="25"/>
        <v>0</v>
      </c>
      <c r="Q151" s="61" t="str">
        <f>_xlfn.IFNA(VLOOKUP($F151,tblInfluence[],3,FALSE),"")</f>
        <v/>
      </c>
      <c r="R151" s="61" t="str">
        <f>_xlfn.IFNA(VLOOKUP($F151,tblInfluence[],4,FALSE),"")</f>
        <v/>
      </c>
      <c r="Y151" s="15" t="s">
        <v>193</v>
      </c>
      <c r="Z151" s="19"/>
      <c r="AA151" s="61" t="str">
        <f t="shared" si="22"/>
        <v/>
      </c>
      <c r="AC151" s="60"/>
      <c r="AD151" s="20"/>
      <c r="AE151" s="20" t="str">
        <f t="shared" si="23"/>
        <v/>
      </c>
      <c r="AF151" s="61" t="str" cm="1">
        <f t="array" ref="AF151">IF(AC151="","",SUMPRODUCT(($F$138:$F$157=AC151)*($G$138:$G$157=IF(AD151="","",AD151))*$P$138:$P$157))</f>
        <v/>
      </c>
    </row>
    <row r="152" spans="1:32">
      <c r="A152" s="1" t="s">
        <v>151</v>
      </c>
      <c r="B152" t="str">
        <f t="shared" si="26"/>
        <v>¬</v>
      </c>
      <c r="D152" s="19"/>
      <c r="E152" s="15" t="s">
        <v>190</v>
      </c>
      <c r="F152" s="3"/>
      <c r="G152" s="3" t="str">
        <f>IFERROR(VLOOKUP(F152,tblManoeuvre[],2,FALSE)&amp;" "&amp;VLOOKUP(F152,tblManoeuvre[],3,FALSE),"")</f>
        <v/>
      </c>
      <c r="H152" s="67" t="str">
        <f>IFERROR(IF(VLOOKUP(F152,tblManoeuvre[],8,FALSE)=0,"None",VLOOKUP(F152,tblManoeuvre[],8,FALSE)),"None")</f>
        <v>None</v>
      </c>
      <c r="I152" s="67"/>
      <c r="L152" s="4"/>
      <c r="M152" s="4"/>
      <c r="N152" s="4"/>
      <c r="O152" s="61">
        <f t="shared" si="24"/>
        <v>0</v>
      </c>
      <c r="P152" s="60">
        <f t="shared" si="25"/>
        <v>0</v>
      </c>
      <c r="Q152" s="61" t="str">
        <f>_xlfn.IFNA(VLOOKUP($F152,tblInfluence[],3,FALSE),"")</f>
        <v/>
      </c>
      <c r="R152" s="61" t="str">
        <f>_xlfn.IFNA(VLOOKUP($F152,tblInfluence[],4,FALSE),"")</f>
        <v/>
      </c>
      <c r="Y152" s="15" t="s">
        <v>194</v>
      </c>
      <c r="Z152" s="19"/>
      <c r="AA152" s="61" t="str">
        <f t="shared" si="22"/>
        <v/>
      </c>
      <c r="AC152" s="60"/>
      <c r="AD152" s="20"/>
      <c r="AE152" s="20" t="str">
        <f t="shared" si="23"/>
        <v/>
      </c>
      <c r="AF152" s="61" t="str" cm="1">
        <f t="array" ref="AF152">IF(AC152="","",SUMPRODUCT(($F$138:$F$157=AC152)*($G$138:$G$157=IF(AD152="","",AD152))*$P$138:$P$157))</f>
        <v/>
      </c>
    </row>
    <row r="153" spans="1:32">
      <c r="A153" s="1" t="s">
        <v>152</v>
      </c>
      <c r="B153" t="str">
        <f t="shared" si="26"/>
        <v>¬</v>
      </c>
      <c r="D153" s="19"/>
      <c r="E153" s="15" t="s">
        <v>191</v>
      </c>
      <c r="F153" s="3"/>
      <c r="G153" s="3" t="str">
        <f>IFERROR(VLOOKUP(F153,tblManoeuvre[],2,FALSE)&amp;" "&amp;VLOOKUP(F153,tblManoeuvre[],3,FALSE),"")</f>
        <v/>
      </c>
      <c r="H153" s="67" t="str">
        <f>IFERROR(IF(VLOOKUP(F153,tblManoeuvre[],8,FALSE)=0,"None",VLOOKUP(F153,tblManoeuvre[],8,FALSE)),"None")</f>
        <v>None</v>
      </c>
      <c r="I153" s="67"/>
      <c r="L153" s="4"/>
      <c r="M153" s="4"/>
      <c r="N153" s="4"/>
      <c r="O153" s="61">
        <f t="shared" si="24"/>
        <v>0</v>
      </c>
      <c r="P153" s="60">
        <f t="shared" si="25"/>
        <v>0</v>
      </c>
      <c r="Q153" s="61" t="str">
        <f>_xlfn.IFNA(VLOOKUP($F153,tblInfluence[],3,FALSE),"")</f>
        <v/>
      </c>
      <c r="R153" s="61" t="str">
        <f>_xlfn.IFNA(VLOOKUP($F153,tblInfluence[],4,FALSE),"")</f>
        <v/>
      </c>
      <c r="Y153" s="15" t="s">
        <v>195</v>
      </c>
      <c r="Z153" s="19"/>
      <c r="AA153" s="61" t="str">
        <f t="shared" si="22"/>
        <v/>
      </c>
      <c r="AC153" s="60"/>
      <c r="AD153" s="20"/>
      <c r="AE153" s="20" t="str">
        <f t="shared" si="23"/>
        <v/>
      </c>
      <c r="AF153" s="61" t="str" cm="1">
        <f t="array" ref="AF153">IF(AC153="","",SUMPRODUCT(($F$138:$F$157=AC153)*($G$138:$G$157=IF(AD153="","",AD153))*$P$138:$P$157))</f>
        <v/>
      </c>
    </row>
    <row r="154" spans="1:32">
      <c r="A154" s="1" t="s">
        <v>153</v>
      </c>
      <c r="B154" t="str">
        <f t="shared" si="26"/>
        <v>¬</v>
      </c>
      <c r="D154" s="19"/>
      <c r="E154" s="15" t="s">
        <v>192</v>
      </c>
      <c r="F154" s="3"/>
      <c r="G154" s="3" t="str">
        <f>IFERROR(VLOOKUP(F154,tblManoeuvre[],2,FALSE)&amp;" "&amp;VLOOKUP(F154,tblManoeuvre[],3,FALSE),"")</f>
        <v/>
      </c>
      <c r="H154" s="67" t="str">
        <f>IFERROR(IF(VLOOKUP(F154,tblManoeuvre[],8,FALSE)=0,"None",VLOOKUP(F154,tblManoeuvre[],8,FALSE)),"None")</f>
        <v>None</v>
      </c>
      <c r="I154" s="67"/>
      <c r="L154" s="4"/>
      <c r="M154" s="4"/>
      <c r="N154" s="4"/>
      <c r="O154" s="61">
        <f t="shared" si="24"/>
        <v>0</v>
      </c>
      <c r="P154" s="60">
        <f t="shared" si="25"/>
        <v>0</v>
      </c>
      <c r="Q154" s="61" t="str">
        <f>_xlfn.IFNA(VLOOKUP($F154,tblInfluence[],3,FALSE),"")</f>
        <v/>
      </c>
      <c r="R154" s="61" t="str">
        <f>_xlfn.IFNA(VLOOKUP($F154,tblInfluence[],4,FALSE),"")</f>
        <v/>
      </c>
    </row>
    <row r="155" spans="1:32">
      <c r="A155" s="1" t="s">
        <v>154</v>
      </c>
      <c r="B155" t="str">
        <f t="shared" si="26"/>
        <v>¬</v>
      </c>
      <c r="D155" s="19"/>
      <c r="E155" s="15" t="s">
        <v>193</v>
      </c>
      <c r="F155" s="3"/>
      <c r="G155" s="3" t="str">
        <f>IFERROR(VLOOKUP(F155,tblManoeuvre[],2,FALSE)&amp;" "&amp;VLOOKUP(F155,tblManoeuvre[],3,FALSE),"")</f>
        <v/>
      </c>
      <c r="H155" s="67" t="str">
        <f>IFERROR(IF(VLOOKUP(F155,tblManoeuvre[],8,FALSE)=0,"None",VLOOKUP(F155,tblManoeuvre[],8,FALSE)),"None")</f>
        <v>None</v>
      </c>
      <c r="I155" s="67"/>
      <c r="L155" s="4"/>
      <c r="M155" s="4"/>
      <c r="N155" s="4"/>
      <c r="O155" s="61">
        <f t="shared" si="24"/>
        <v>0</v>
      </c>
      <c r="P155" s="60">
        <f t="shared" si="25"/>
        <v>0</v>
      </c>
      <c r="Q155" s="61" t="str">
        <f>_xlfn.IFNA(VLOOKUP($F155,tblInfluence[],3,FALSE),"")</f>
        <v/>
      </c>
      <c r="R155" s="61" t="str">
        <f>_xlfn.IFNA(VLOOKUP($F155,tblInfluence[],4,FALSE),"")</f>
        <v/>
      </c>
      <c r="AE155" s="61">
        <f>IF(P160=5,1,0)</f>
        <v>0</v>
      </c>
    </row>
    <row r="156" spans="1:32">
      <c r="A156" s="1" t="s">
        <v>155</v>
      </c>
      <c r="B156" t="str">
        <f t="shared" si="26"/>
        <v>¬</v>
      </c>
      <c r="D156" s="19"/>
      <c r="E156" s="15" t="s">
        <v>194</v>
      </c>
      <c r="F156" s="3"/>
      <c r="G156" s="3" t="str">
        <f>IFERROR(VLOOKUP(F156,tblManoeuvre[],2,FALSE)&amp;" "&amp;VLOOKUP(F156,tblManoeuvre[],3,FALSE),"")</f>
        <v/>
      </c>
      <c r="H156" s="67" t="str">
        <f>IFERROR(IF(VLOOKUP(F156,tblManoeuvre[],8,FALSE)=0,"None",VLOOKUP(F156,tblManoeuvre[],8,FALSE)),"None")</f>
        <v>None</v>
      </c>
      <c r="I156" s="67"/>
      <c r="L156" s="4"/>
      <c r="M156" s="4"/>
      <c r="N156" s="4"/>
      <c r="O156" s="61">
        <f t="shared" si="24"/>
        <v>0</v>
      </c>
      <c r="P156" s="60">
        <f t="shared" si="25"/>
        <v>0</v>
      </c>
      <c r="Q156" s="61" t="str">
        <f>_xlfn.IFNA(VLOOKUP($F156,tblInfluence[],3,FALSE),"")</f>
        <v/>
      </c>
      <c r="R156" s="61" t="str">
        <f>_xlfn.IFNA(VLOOKUP($F156,tblInfluence[],4,FALSE),"")</f>
        <v/>
      </c>
      <c r="AE156" s="61" t="b">
        <f>COUNTIF(AA2:AA21,"*Honey With Vinegar*")&gt;0</f>
        <v>0</v>
      </c>
    </row>
    <row r="157" spans="1:32">
      <c r="A157" s="1" t="s">
        <v>156</v>
      </c>
      <c r="B157" t="str">
        <f t="shared" si="26"/>
        <v>¬</v>
      </c>
      <c r="D157" s="19"/>
      <c r="E157" s="15" t="s">
        <v>195</v>
      </c>
      <c r="F157" s="3"/>
      <c r="G157" s="3" t="str">
        <f>IFERROR(VLOOKUP(F157,tblManoeuvre[],2,FALSE)&amp;" "&amp;VLOOKUP(F157,tblManoeuvre[],3,FALSE),"")</f>
        <v/>
      </c>
      <c r="H157" s="67" t="str">
        <f>IFERROR(IF(VLOOKUP(F157,tblManoeuvre[],8,FALSE)=0,"None",VLOOKUP(F157,tblManoeuvre[],8,FALSE)),"None")</f>
        <v>None</v>
      </c>
      <c r="I157" s="67"/>
      <c r="L157" s="4"/>
      <c r="M157" s="4"/>
      <c r="N157" s="4"/>
      <c r="O157" s="61">
        <f t="shared" si="24"/>
        <v>0</v>
      </c>
      <c r="P157" s="60">
        <f t="shared" si="25"/>
        <v>0</v>
      </c>
      <c r="Q157" s="61" t="str">
        <f>_xlfn.IFNA(VLOOKUP($F157,tblInfluence[],3,FALSE),"")</f>
        <v/>
      </c>
      <c r="R157" s="61" t="str">
        <f>_xlfn.IFNA(VLOOKUP($F157,tblInfluence[],4,FALSE),"")</f>
        <v/>
      </c>
    </row>
    <row r="158" spans="1:32">
      <c r="A158" s="1" t="s">
        <v>157</v>
      </c>
      <c r="B158" t="str">
        <f t="shared" si="26"/>
        <v>¬</v>
      </c>
    </row>
    <row r="159" spans="1:32">
      <c r="A159" s="1" t="s">
        <v>158</v>
      </c>
      <c r="B159" t="str">
        <f t="shared" si="26"/>
        <v>¬</v>
      </c>
      <c r="D159" s="16" t="s">
        <v>1486</v>
      </c>
      <c r="E159" s="17"/>
      <c r="F159" s="17" t="s">
        <v>1487</v>
      </c>
      <c r="G159" s="17"/>
      <c r="H159" s="17"/>
      <c r="I159" s="17"/>
    </row>
    <row r="160" spans="1:32">
      <c r="A160" s="1" t="s">
        <v>159</v>
      </c>
      <c r="B160" t="str">
        <f t="shared" si="26"/>
        <v>¬</v>
      </c>
      <c r="D160" s="19"/>
      <c r="E160" s="15" t="s">
        <v>98</v>
      </c>
      <c r="F160" s="3"/>
      <c r="G160" s="60"/>
      <c r="H160" s="60"/>
      <c r="I160" s="60"/>
      <c r="L160" s="4"/>
      <c r="M160" s="4"/>
      <c r="N160" s="4"/>
      <c r="O160" s="61">
        <f>N160</f>
        <v>0</v>
      </c>
      <c r="P160" s="60">
        <f>MIN(SUM(L160,M160,O160),R160)</f>
        <v>0</v>
      </c>
      <c r="Q160" s="61">
        <v>1</v>
      </c>
      <c r="R160" s="61">
        <v>5</v>
      </c>
    </row>
    <row r="161" spans="1:18">
      <c r="A161" s="1" t="s">
        <v>160</v>
      </c>
      <c r="B161" t="str">
        <f t="shared" si="26"/>
        <v>¬</v>
      </c>
      <c r="D161" s="19"/>
      <c r="E161" s="15" t="s">
        <v>100</v>
      </c>
      <c r="F161" s="3"/>
      <c r="G161" s="60"/>
      <c r="H161" s="60"/>
      <c r="I161" s="60"/>
      <c r="L161" s="4"/>
      <c r="M161" s="4"/>
      <c r="N161" s="4"/>
      <c r="O161" s="61">
        <f>N161</f>
        <v>0</v>
      </c>
      <c r="P161" s="60">
        <f>MIN(SUM(L161,M161,O161),R161)</f>
        <v>0</v>
      </c>
      <c r="Q161" s="61">
        <v>1</v>
      </c>
      <c r="R161" s="61">
        <v>5</v>
      </c>
    </row>
    <row r="162" spans="1:18">
      <c r="A162" s="1" t="s">
        <v>161</v>
      </c>
      <c r="B162" t="str">
        <f t="shared" si="26"/>
        <v>¬</v>
      </c>
    </row>
    <row r="163" spans="1:18" ht="15.75" thickBot="1">
      <c r="A163" s="1" t="s">
        <v>162</v>
      </c>
      <c r="B163" t="str">
        <f t="shared" si="26"/>
        <v>¬</v>
      </c>
      <c r="D163" s="14" t="s">
        <v>1488</v>
      </c>
      <c r="E163" s="14"/>
      <c r="F163" s="14"/>
      <c r="G163" s="14"/>
      <c r="H163" s="14"/>
      <c r="I163" s="14"/>
      <c r="N163" s="60">
        <f>SUM(N165:N174)+SUM(N177:N181)+SUM(N184:N185)+SUM(N187:N191)+SUM(N194:N203)</f>
        <v>9</v>
      </c>
    </row>
    <row r="164" spans="1:18">
      <c r="A164" s="1" t="s">
        <v>163</v>
      </c>
      <c r="B164" t="str">
        <f t="shared" si="26"/>
        <v>¬</v>
      </c>
      <c r="D164" s="16" t="s">
        <v>1489</v>
      </c>
      <c r="E164" s="15" t="s">
        <v>1490</v>
      </c>
      <c r="F164" s="61" t="str">
        <f>IFERROR(IF($F$8="",VLOOKUP($F$7,tblClans[],5,FALSE),VLOOKUP($F$8,tblBloodlines[],5,FALSE)),"")</f>
        <v>Animalism</v>
      </c>
      <c r="G164" s="61" t="str">
        <f>IFERROR(IF($F$8="",VLOOKUP($F$7,tblClans[],6,FALSE),VLOOKUP($F$8,tblBloodlines[],6,FALSE)),"")</f>
        <v>Dominate</v>
      </c>
      <c r="H164" s="61" t="str">
        <f>IFERROR(IF($F$8="",VLOOKUP($F$7,tblClans[],7,FALSE),VLOOKUP($F$8,tblBloodlines[],7,FALSE)),"")</f>
        <v>Resilience</v>
      </c>
      <c r="I164" s="61" t="str">
        <f>IFERROR(IF($F$8="",VLOOKUP($F$7,tblClans[],8,FALSE),VLOOKUP($F$8,tblBloodlines[],8,FALSE)),"")</f>
        <v/>
      </c>
      <c r="L164" s="60">
        <f>3-SUM(L165:L174)-SUM(L184:L185)</f>
        <v>0</v>
      </c>
    </row>
    <row r="165" spans="1:18">
      <c r="A165" s="1" t="s">
        <v>164</v>
      </c>
      <c r="B165" t="str">
        <f t="shared" si="26"/>
        <v>¬</v>
      </c>
      <c r="D165" s="19"/>
      <c r="E165" s="15" t="s">
        <v>236</v>
      </c>
      <c r="F165" s="19"/>
      <c r="G165" s="19"/>
      <c r="H165" s="19"/>
      <c r="I165" s="19"/>
      <c r="L165" s="4"/>
      <c r="N165" s="4"/>
      <c r="O165" s="61">
        <f t="shared" ref="O165:O174" si="27">ROUNDDOWN(IF(COUNTIF($F$164:$I$164,$E165)&gt;0,N165/3,N165/4),0)</f>
        <v>0</v>
      </c>
      <c r="P165" s="60">
        <f>MIN(SUM(L165,O165),R165)</f>
        <v>0</v>
      </c>
      <c r="Q165" s="61">
        <v>0</v>
      </c>
      <c r="R165" s="61">
        <v>5</v>
      </c>
    </row>
    <row r="166" spans="1:18">
      <c r="A166" s="1" t="s">
        <v>165</v>
      </c>
      <c r="B166" t="str">
        <f t="shared" si="26"/>
        <v>¬</v>
      </c>
      <c r="D166" s="19"/>
      <c r="E166" s="15" t="s">
        <v>237</v>
      </c>
      <c r="F166" s="19"/>
      <c r="G166" s="19"/>
      <c r="H166" s="19"/>
      <c r="I166" s="19"/>
      <c r="L166" s="4"/>
      <c r="N166" s="4"/>
      <c r="O166" s="61">
        <f t="shared" si="27"/>
        <v>0</v>
      </c>
      <c r="P166" s="60">
        <f t="shared" ref="P166:P174" si="28">MIN(SUM(L166,O166),R166)</f>
        <v>0</v>
      </c>
      <c r="Q166" s="61">
        <v>0</v>
      </c>
      <c r="R166" s="61">
        <v>5</v>
      </c>
    </row>
    <row r="167" spans="1:18">
      <c r="A167" s="1" t="s">
        <v>166</v>
      </c>
      <c r="B167" t="str">
        <f t="shared" si="26"/>
        <v>¬</v>
      </c>
      <c r="D167" s="19"/>
      <c r="E167" s="15" t="s">
        <v>238</v>
      </c>
      <c r="F167" s="19"/>
      <c r="G167" s="19"/>
      <c r="H167" s="19"/>
      <c r="I167" s="19"/>
      <c r="L167" s="4"/>
      <c r="N167" s="4"/>
      <c r="O167" s="61">
        <f t="shared" si="27"/>
        <v>0</v>
      </c>
      <c r="P167" s="60">
        <f t="shared" si="28"/>
        <v>0</v>
      </c>
      <c r="Q167" s="61">
        <v>0</v>
      </c>
      <c r="R167" s="61">
        <v>5</v>
      </c>
    </row>
    <row r="168" spans="1:18">
      <c r="A168" s="1" t="s">
        <v>167</v>
      </c>
      <c r="B168" t="str">
        <f t="shared" si="26"/>
        <v>¬</v>
      </c>
      <c r="D168" s="19"/>
      <c r="E168" s="15" t="s">
        <v>239</v>
      </c>
      <c r="F168" s="19"/>
      <c r="G168" s="19"/>
      <c r="H168" s="19"/>
      <c r="I168" s="19"/>
      <c r="L168" s="4">
        <v>3</v>
      </c>
      <c r="N168" s="4">
        <v>6</v>
      </c>
      <c r="O168" s="61">
        <f t="shared" si="27"/>
        <v>2</v>
      </c>
      <c r="P168" s="60">
        <f t="shared" si="28"/>
        <v>5</v>
      </c>
      <c r="Q168" s="61">
        <v>0</v>
      </c>
      <c r="R168" s="61">
        <v>5</v>
      </c>
    </row>
    <row r="169" spans="1:18">
      <c r="A169" s="1" t="s">
        <v>168</v>
      </c>
      <c r="B169" t="str">
        <f t="shared" si="26"/>
        <v>¬</v>
      </c>
      <c r="D169" s="19"/>
      <c r="E169" s="15" t="s">
        <v>240</v>
      </c>
      <c r="F169" s="19"/>
      <c r="G169" s="19"/>
      <c r="H169" s="19"/>
      <c r="I169" s="19"/>
      <c r="L169" s="4"/>
      <c r="N169" s="4"/>
      <c r="O169" s="61">
        <f t="shared" si="27"/>
        <v>0</v>
      </c>
      <c r="P169" s="60">
        <f t="shared" si="28"/>
        <v>0</v>
      </c>
      <c r="Q169" s="61">
        <v>0</v>
      </c>
      <c r="R169" s="61">
        <v>5</v>
      </c>
    </row>
    <row r="170" spans="1:18">
      <c r="A170" s="1" t="s">
        <v>169</v>
      </c>
      <c r="B170" t="str">
        <f t="shared" si="26"/>
        <v>¬</v>
      </c>
      <c r="D170" s="19"/>
      <c r="E170" s="15" t="s">
        <v>241</v>
      </c>
      <c r="F170" s="19"/>
      <c r="G170" s="19"/>
      <c r="H170" s="19"/>
      <c r="I170" s="19"/>
      <c r="L170" s="4"/>
      <c r="N170" s="4"/>
      <c r="O170" s="61">
        <f t="shared" si="27"/>
        <v>0</v>
      </c>
      <c r="P170" s="60">
        <f t="shared" si="28"/>
        <v>0</v>
      </c>
      <c r="Q170" s="61">
        <v>0</v>
      </c>
      <c r="R170" s="61">
        <v>5</v>
      </c>
    </row>
    <row r="171" spans="1:18">
      <c r="A171" s="1" t="s">
        <v>170</v>
      </c>
      <c r="B171" t="str">
        <f t="shared" si="26"/>
        <v>¬</v>
      </c>
      <c r="D171" s="19"/>
      <c r="E171" s="15" t="s">
        <v>242</v>
      </c>
      <c r="F171" s="19"/>
      <c r="G171" s="19"/>
      <c r="H171" s="19"/>
      <c r="I171" s="19"/>
      <c r="L171" s="4"/>
      <c r="N171" s="4"/>
      <c r="O171" s="61">
        <f t="shared" si="27"/>
        <v>0</v>
      </c>
      <c r="P171" s="60">
        <f t="shared" si="28"/>
        <v>0</v>
      </c>
      <c r="Q171" s="61">
        <v>0</v>
      </c>
      <c r="R171" s="61">
        <v>5</v>
      </c>
    </row>
    <row r="172" spans="1:18">
      <c r="A172" s="1" t="s">
        <v>171</v>
      </c>
      <c r="B172" t="str">
        <f t="shared" si="26"/>
        <v>¬</v>
      </c>
      <c r="D172" s="19"/>
      <c r="E172" s="15" t="s">
        <v>243</v>
      </c>
      <c r="F172" s="19"/>
      <c r="G172" s="19"/>
      <c r="H172" s="19"/>
      <c r="I172" s="19"/>
      <c r="L172" s="4"/>
      <c r="N172" s="4"/>
      <c r="O172" s="61">
        <f t="shared" si="27"/>
        <v>0</v>
      </c>
      <c r="P172" s="60">
        <f t="shared" si="28"/>
        <v>0</v>
      </c>
      <c r="Q172" s="61">
        <v>0</v>
      </c>
      <c r="R172" s="61">
        <v>5</v>
      </c>
    </row>
    <row r="173" spans="1:18">
      <c r="A173" s="1" t="s">
        <v>172</v>
      </c>
      <c r="B173" t="str">
        <f t="shared" si="26"/>
        <v>¬</v>
      </c>
      <c r="D173" s="19"/>
      <c r="E173" s="15" t="s">
        <v>244</v>
      </c>
      <c r="F173" s="19"/>
      <c r="G173" s="19"/>
      <c r="H173" s="19"/>
      <c r="I173" s="19"/>
      <c r="L173" s="4"/>
      <c r="N173" s="4">
        <v>3</v>
      </c>
      <c r="O173" s="61">
        <f t="shared" si="27"/>
        <v>1</v>
      </c>
      <c r="P173" s="60">
        <f t="shared" si="28"/>
        <v>1</v>
      </c>
      <c r="Q173" s="61">
        <v>0</v>
      </c>
      <c r="R173" s="61">
        <v>5</v>
      </c>
    </row>
    <row r="174" spans="1:18">
      <c r="A174" s="1" t="s">
        <v>173</v>
      </c>
      <c r="B174" t="str">
        <f t="shared" si="26"/>
        <v>¬</v>
      </c>
      <c r="D174" s="19"/>
      <c r="E174" s="15" t="s">
        <v>245</v>
      </c>
      <c r="F174" s="19"/>
      <c r="G174" s="19"/>
      <c r="H174" s="19"/>
      <c r="I174" s="19"/>
      <c r="L174" s="4"/>
      <c r="N174" s="4"/>
      <c r="O174" s="61">
        <f t="shared" si="27"/>
        <v>0</v>
      </c>
      <c r="P174" s="60">
        <f t="shared" si="28"/>
        <v>0</v>
      </c>
      <c r="Q174" s="61">
        <v>0</v>
      </c>
      <c r="R174" s="61">
        <v>5</v>
      </c>
    </row>
    <row r="175" spans="1:18">
      <c r="A175" s="1" t="s">
        <v>174</v>
      </c>
      <c r="B175" t="str">
        <f>_xlfn.CONCAT(I137-H137," / ",I137)</f>
        <v>9 / 9</v>
      </c>
    </row>
    <row r="176" spans="1:18">
      <c r="A176" s="1" t="s">
        <v>175</v>
      </c>
      <c r="B176" t="str">
        <f>REPT("□",I137-H137) &amp; REPT("■",H137)</f>
        <v>□□□□□□□□□</v>
      </c>
      <c r="D176" s="16" t="s">
        <v>1491</v>
      </c>
      <c r="E176" s="16"/>
      <c r="F176" s="16"/>
      <c r="G176" s="16"/>
      <c r="H176" s="16"/>
      <c r="I176" s="16"/>
    </row>
    <row r="177" spans="1:18">
      <c r="A177" s="1" t="s">
        <v>176</v>
      </c>
      <c r="B177" t="str">
        <f t="shared" ref="B177:B196" si="29">IF(AC134="","¬",AC134)</f>
        <v>Resources</v>
      </c>
      <c r="D177" s="19"/>
      <c r="E177" s="15" t="s">
        <v>1492</v>
      </c>
      <c r="F177" s="3"/>
      <c r="G177" s="19"/>
      <c r="H177" s="72" t="str">
        <f>IFERROR(IF(VLOOKUP(F177,tblDisciplines[],14,FALSE)=0,"None",VLOOKUP(F177,tblDisciplines[],14,FALSE)),"None")</f>
        <v>None</v>
      </c>
      <c r="I177" s="73"/>
      <c r="N177" s="4"/>
      <c r="O177" s="61">
        <f>N177</f>
        <v>0</v>
      </c>
      <c r="P177" s="60" t="str">
        <f>IF(O177=R177,O177,"")</f>
        <v/>
      </c>
      <c r="R177" s="61" t="str">
        <f>_xlfn.IFNA(VLOOKUP(F177,tblDisciplines[],15,FALSE),"")</f>
        <v/>
      </c>
    </row>
    <row r="178" spans="1:18">
      <c r="A178" s="1" t="s">
        <v>177</v>
      </c>
      <c r="B178" t="str">
        <f t="shared" si="29"/>
        <v>Status</v>
      </c>
      <c r="D178" s="19"/>
      <c r="E178" s="15" t="s">
        <v>1493</v>
      </c>
      <c r="F178" s="3"/>
      <c r="G178" s="19"/>
      <c r="H178" s="72" t="str">
        <f>IFERROR(IF(VLOOKUP(F178,tblDisciplines[],14,FALSE)=0,"None",VLOOKUP(F178,tblDisciplines[],14,FALSE)),"None")</f>
        <v>None</v>
      </c>
      <c r="I178" s="73"/>
      <c r="N178" s="4"/>
      <c r="O178" s="61">
        <f>N178</f>
        <v>0</v>
      </c>
      <c r="P178" s="60" t="str">
        <f>IF(O178=R178,O178,"")</f>
        <v/>
      </c>
      <c r="R178" s="61" t="str">
        <f>_xlfn.IFNA(VLOOKUP(F178,tblDisciplines[],15,FALSE),"")</f>
        <v/>
      </c>
    </row>
    <row r="179" spans="1:18">
      <c r="A179" s="1" t="s">
        <v>178</v>
      </c>
      <c r="B179" t="str">
        <f t="shared" si="29"/>
        <v>Status</v>
      </c>
      <c r="D179" s="19"/>
      <c r="E179" s="15" t="s">
        <v>1494</v>
      </c>
      <c r="F179" s="3"/>
      <c r="G179" s="19"/>
      <c r="H179" s="72" t="str">
        <f>IFERROR(IF(VLOOKUP(F179,tblDisciplines[],14,FALSE)=0,"None",VLOOKUP(F179,tblDisciplines[],14,FALSE)),"None")</f>
        <v>None</v>
      </c>
      <c r="I179" s="73"/>
      <c r="N179" s="4"/>
      <c r="O179" s="61">
        <f>N179</f>
        <v>0</v>
      </c>
      <c r="P179" s="60" t="str">
        <f>IF(O179=R179,O179,"")</f>
        <v/>
      </c>
      <c r="R179" s="61" t="str">
        <f>_xlfn.IFNA(VLOOKUP(F179,tblDisciplines[],15,FALSE),"")</f>
        <v/>
      </c>
    </row>
    <row r="180" spans="1:18">
      <c r="A180" s="1" t="s">
        <v>179</v>
      </c>
      <c r="B180" t="str">
        <f t="shared" si="29"/>
        <v>Status</v>
      </c>
      <c r="D180" s="19"/>
      <c r="E180" s="15" t="s">
        <v>1495</v>
      </c>
      <c r="F180" s="3"/>
      <c r="G180" s="19"/>
      <c r="H180" s="72" t="str">
        <f>IFERROR(IF(VLOOKUP(F180,tblDisciplines[],14,FALSE)=0,"None",VLOOKUP(F180,tblDisciplines[],14,FALSE)),"None")</f>
        <v>None</v>
      </c>
      <c r="I180" s="73"/>
      <c r="N180" s="4"/>
      <c r="O180" s="61">
        <f>N180</f>
        <v>0</v>
      </c>
      <c r="P180" s="60" t="str">
        <f>IF(O180=R180,O180,"")</f>
        <v/>
      </c>
      <c r="R180" s="61" t="str">
        <f>_xlfn.IFNA(VLOOKUP(F180,tblDisciplines[],15,FALSE),"")</f>
        <v/>
      </c>
    </row>
    <row r="181" spans="1:18">
      <c r="A181" s="1" t="s">
        <v>180</v>
      </c>
      <c r="B181" t="str">
        <f t="shared" si="29"/>
        <v>¬</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29"/>
        <v>¬</v>
      </c>
    </row>
    <row r="183" spans="1:18">
      <c r="A183" s="1" t="s">
        <v>182</v>
      </c>
      <c r="B183" t="str">
        <f t="shared" si="29"/>
        <v>¬</v>
      </c>
      <c r="D183" s="16" t="s">
        <v>1497</v>
      </c>
      <c r="E183" s="16"/>
      <c r="F183" s="16"/>
      <c r="G183" s="16"/>
      <c r="H183" s="16"/>
      <c r="I183" s="16"/>
    </row>
    <row r="184" spans="1:18">
      <c r="A184" s="1" t="s">
        <v>183</v>
      </c>
      <c r="B184" t="str">
        <f t="shared" si="29"/>
        <v>¬</v>
      </c>
      <c r="D184" s="19"/>
      <c r="E184" s="15" t="s">
        <v>246</v>
      </c>
      <c r="F184" s="19"/>
      <c r="G184" s="19"/>
      <c r="H184" s="19"/>
      <c r="I184" s="60" t="b">
        <f>IF(OR(F$9="Circle of the Crone",COUNTIF(F$79:F$93,"Chorister")&gt;0),TRUE,FALSE)</f>
        <v>0</v>
      </c>
      <c r="L184" s="4"/>
      <c r="N184" s="4"/>
      <c r="O184" s="61">
        <f>ROUNDDOWN(N184/4,0)</f>
        <v>0</v>
      </c>
      <c r="P184" s="60">
        <f>SUM(L184,O184)</f>
        <v>0</v>
      </c>
      <c r="Q184" s="61">
        <v>0</v>
      </c>
      <c r="R184" s="61">
        <v>5</v>
      </c>
    </row>
    <row r="185" spans="1:18">
      <c r="A185" s="1" t="s">
        <v>184</v>
      </c>
      <c r="B185" t="str">
        <f t="shared" si="29"/>
        <v>¬</v>
      </c>
      <c r="D185" s="19"/>
      <c r="E185" s="15" t="s">
        <v>247</v>
      </c>
      <c r="F185" s="19"/>
      <c r="G185" s="19"/>
      <c r="H185" s="19"/>
      <c r="I185" s="60" t="b">
        <f>IF(OR(F$9="Lancea et Sanctum",COUNTIF(F$79:F$93,"Laity")&gt;0),TRUE,FALSE)</f>
        <v>0</v>
      </c>
      <c r="L185" s="4"/>
      <c r="N185" s="4"/>
      <c r="O185" s="61">
        <f>ROUNDDOWN(N185/4,0)</f>
        <v>0</v>
      </c>
      <c r="P185" s="60">
        <f>SUM(L185,O185)</f>
        <v>0</v>
      </c>
      <c r="Q185" s="61">
        <v>0</v>
      </c>
      <c r="R185" s="61">
        <v>5</v>
      </c>
    </row>
    <row r="186" spans="1:18">
      <c r="A186" s="1" t="s">
        <v>185</v>
      </c>
      <c r="B186" t="str">
        <f t="shared" si="29"/>
        <v>¬</v>
      </c>
      <c r="D186" s="19"/>
      <c r="E186" s="19"/>
      <c r="F186" s="19"/>
      <c r="G186" s="19"/>
      <c r="H186" s="19"/>
      <c r="I186" s="19"/>
      <c r="L186" s="60">
        <f>SUM(P184:P185)-SUM(L187:L191)</f>
        <v>0</v>
      </c>
    </row>
    <row r="187" spans="1:18">
      <c r="A187" s="1" t="s">
        <v>186</v>
      </c>
      <c r="B187" t="str">
        <f t="shared" si="29"/>
        <v>¬</v>
      </c>
      <c r="D187" s="19"/>
      <c r="E187" s="15" t="s">
        <v>248</v>
      </c>
      <c r="F187" s="19"/>
      <c r="G187" s="19"/>
      <c r="H187" s="19"/>
      <c r="I187" s="19"/>
      <c r="L187" s="4"/>
      <c r="M187" s="61">
        <f>IF(AND(I184,L184&gt;=1),1,0)</f>
        <v>0</v>
      </c>
      <c r="N187" s="4"/>
      <c r="O187" s="61">
        <f>ROUNDDOWN(N187/2,0)</f>
        <v>0</v>
      </c>
      <c r="P187" s="60">
        <f>MIN(SUM(L187,M187,O187),R187)</f>
        <v>0</v>
      </c>
      <c r="Q187" s="61">
        <v>0</v>
      </c>
      <c r="R187" s="61">
        <f>MAX(P$184,P$185)</f>
        <v>0</v>
      </c>
    </row>
    <row r="188" spans="1:18">
      <c r="A188" s="1" t="s">
        <v>187</v>
      </c>
      <c r="B188" t="str">
        <f t="shared" si="29"/>
        <v>¬</v>
      </c>
      <c r="D188" s="19"/>
      <c r="E188" s="15" t="s">
        <v>249</v>
      </c>
      <c r="F188" s="19"/>
      <c r="G188" s="19"/>
      <c r="H188" s="19"/>
      <c r="I188" s="19"/>
      <c r="L188" s="4"/>
      <c r="M188" s="61"/>
      <c r="N188" s="4"/>
      <c r="O188" s="61">
        <f>ROUNDDOWN(N188/2,0)</f>
        <v>0</v>
      </c>
      <c r="P188" s="60">
        <f>MIN(SUM(L188,M188,O188),R188)</f>
        <v>0</v>
      </c>
      <c r="Q188" s="61">
        <v>0</v>
      </c>
      <c r="R188" s="61">
        <f>MAX(P$184,P$185)</f>
        <v>0</v>
      </c>
    </row>
    <row r="189" spans="1:18">
      <c r="A189" s="1" t="s">
        <v>188</v>
      </c>
      <c r="B189" t="str">
        <f t="shared" si="29"/>
        <v>¬</v>
      </c>
      <c r="D189" s="19"/>
      <c r="E189" s="15" t="s">
        <v>250</v>
      </c>
      <c r="F189" s="19"/>
      <c r="G189" s="19"/>
      <c r="H189" s="19"/>
      <c r="I189" s="19"/>
      <c r="L189" s="4"/>
      <c r="M189" s="61">
        <f>IF(AND(I185,L185&gt;=1),1,0)</f>
        <v>0</v>
      </c>
      <c r="N189" s="4"/>
      <c r="O189" s="61">
        <f>ROUNDDOWN(N189/2,0)</f>
        <v>0</v>
      </c>
      <c r="P189" s="60">
        <f>MIN(SUM(L189,M189,O189),R189)</f>
        <v>0</v>
      </c>
      <c r="Q189" s="61">
        <v>0</v>
      </c>
      <c r="R189" s="61">
        <f>MAX(P$184,P$185)</f>
        <v>0</v>
      </c>
    </row>
    <row r="190" spans="1:18">
      <c r="A190" s="1" t="s">
        <v>189</v>
      </c>
      <c r="B190" t="str">
        <f t="shared" si="29"/>
        <v>¬</v>
      </c>
      <c r="D190" s="19"/>
      <c r="E190" s="15" t="s">
        <v>251</v>
      </c>
      <c r="F190" s="19"/>
      <c r="G190" s="19"/>
      <c r="H190" s="19"/>
      <c r="I190" s="19"/>
      <c r="L190" s="4"/>
      <c r="M190" s="61">
        <f>IF(AND(I184,L184&gt;=1),1,0)</f>
        <v>0</v>
      </c>
      <c r="N190" s="4"/>
      <c r="O190" s="61">
        <f>ROUNDDOWN(N190/2,0)</f>
        <v>0</v>
      </c>
      <c r="P190" s="60">
        <f>MIN(SUM(L190,M190,O190),R190)</f>
        <v>0</v>
      </c>
      <c r="Q190" s="61">
        <v>0</v>
      </c>
      <c r="R190" s="61">
        <f>MAX(P$184,P$185)</f>
        <v>0</v>
      </c>
    </row>
    <row r="191" spans="1:18">
      <c r="A191" s="1" t="s">
        <v>190</v>
      </c>
      <c r="B191" t="str">
        <f t="shared" si="29"/>
        <v>¬</v>
      </c>
      <c r="D191" s="19"/>
      <c r="E191" s="15" t="s">
        <v>252</v>
      </c>
      <c r="F191" s="19"/>
      <c r="G191" s="19"/>
      <c r="H191" s="19"/>
      <c r="I191" s="19"/>
      <c r="L191" s="4"/>
      <c r="M191" s="61">
        <f>IF(AND(I185,L185&gt;=1),1,0)</f>
        <v>0</v>
      </c>
      <c r="N191" s="4"/>
      <c r="O191" s="61">
        <f>ROUNDDOWN(N191/2,0)</f>
        <v>0</v>
      </c>
      <c r="P191" s="60">
        <f>MIN(SUM(L191,M191,O191),R191)</f>
        <v>0</v>
      </c>
      <c r="Q191" s="61">
        <v>0</v>
      </c>
      <c r="R191" s="61">
        <f>MAX(P$184,P$185)</f>
        <v>0</v>
      </c>
    </row>
    <row r="192" spans="1:18">
      <c r="A192" s="1" t="s">
        <v>191</v>
      </c>
      <c r="B192" t="str">
        <f t="shared" si="29"/>
        <v>¬</v>
      </c>
    </row>
    <row r="193" spans="1:18">
      <c r="A193" s="1" t="s">
        <v>192</v>
      </c>
      <c r="B193" t="str">
        <f t="shared" si="29"/>
        <v>¬</v>
      </c>
      <c r="D193" s="16" t="s">
        <v>1474</v>
      </c>
      <c r="E193" s="16"/>
      <c r="F193" s="16"/>
      <c r="G193" s="16"/>
      <c r="H193" s="16"/>
      <c r="I193" s="16"/>
      <c r="L193" s="60">
        <f>SUM(P184:P185)+SUM(O187:O191)-SUM(L194:L203)</f>
        <v>0</v>
      </c>
    </row>
    <row r="194" spans="1:18">
      <c r="A194" s="1" t="s">
        <v>193</v>
      </c>
      <c r="B194" t="str">
        <f t="shared" si="29"/>
        <v>¬</v>
      </c>
      <c r="D194" s="19"/>
      <c r="E194" s="15" t="s">
        <v>1498</v>
      </c>
      <c r="F194" s="3"/>
      <c r="G194" s="61" t="str">
        <f>_xlfn.IFNA(VLOOKUP(F194,tblDisciplines[],2,FALSE),"")</f>
        <v/>
      </c>
      <c r="H194" s="19"/>
      <c r="I194" s="19"/>
      <c r="L194" s="4"/>
      <c r="N194" s="4"/>
      <c r="O194" s="61">
        <f>N194</f>
        <v>0</v>
      </c>
      <c r="P194" s="60" t="str">
        <f>IF(OR(L194=R194,O194=R194),R194,MIN(SUM(L194,O194),R194))</f>
        <v/>
      </c>
      <c r="R194" s="61" t="str">
        <f>_xlfn.IFNA(VLOOKUP(F194,tblDisciplines[],3,FALSE),"")</f>
        <v/>
      </c>
    </row>
    <row r="195" spans="1:18">
      <c r="A195" s="1" t="s">
        <v>194</v>
      </c>
      <c r="B195" t="str">
        <f t="shared" si="29"/>
        <v>¬</v>
      </c>
      <c r="D195" s="19"/>
      <c r="E195" s="15" t="s">
        <v>1499</v>
      </c>
      <c r="F195" s="3"/>
      <c r="G195" s="61" t="str">
        <f>_xlfn.IFNA(VLOOKUP(F195,tblDisciplines[],2,FALSE),"")</f>
        <v/>
      </c>
      <c r="H195" s="19"/>
      <c r="I195" s="19"/>
      <c r="L195" s="4"/>
      <c r="N195" s="4"/>
      <c r="O195" s="61">
        <f t="shared" ref="O195:O203" si="30">N195</f>
        <v>0</v>
      </c>
      <c r="P195" s="60" t="str">
        <f t="shared" ref="P195:P203" si="31">IF(OR(L195=R195,O195=R195),R195,MIN(SUM(L195,O195),R195))</f>
        <v/>
      </c>
      <c r="R195" s="61" t="str">
        <f>_xlfn.IFNA(VLOOKUP(F195,tblDisciplines[],3,FALSE),"")</f>
        <v/>
      </c>
    </row>
    <row r="196" spans="1:18">
      <c r="A196" s="1" t="s">
        <v>195</v>
      </c>
      <c r="B196" t="str">
        <f t="shared" si="29"/>
        <v>¬</v>
      </c>
      <c r="D196" s="19"/>
      <c r="E196" s="15" t="s">
        <v>1500</v>
      </c>
      <c r="F196" s="3"/>
      <c r="G196" s="61" t="str">
        <f>_xlfn.IFNA(VLOOKUP(F196,tblDisciplines[],2,FALSE),"")</f>
        <v/>
      </c>
      <c r="H196" s="19"/>
      <c r="I196" s="19"/>
      <c r="L196" s="4"/>
      <c r="N196" s="4"/>
      <c r="O196" s="61">
        <f t="shared" si="30"/>
        <v>0</v>
      </c>
      <c r="P196" s="60" t="str">
        <f t="shared" si="31"/>
        <v/>
      </c>
      <c r="R196" s="61" t="str">
        <f>_xlfn.IFNA(VLOOKUP(F196,tblDisciplines[],3,FALSE),"")</f>
        <v/>
      </c>
    </row>
    <row r="197" spans="1:18">
      <c r="A197" s="1" t="s">
        <v>196</v>
      </c>
      <c r="B197" t="str">
        <f>IF(AD134="","¬",AD134)</f>
        <v>¬</v>
      </c>
      <c r="D197" s="19"/>
      <c r="E197" s="15" t="s">
        <v>1501</v>
      </c>
      <c r="F197" s="3"/>
      <c r="G197" s="61" t="str">
        <f>_xlfn.IFNA(VLOOKUP(F197,tblDisciplines[],2,FALSE),"")</f>
        <v/>
      </c>
      <c r="H197" s="19"/>
      <c r="I197" s="19"/>
      <c r="L197" s="4"/>
      <c r="N197" s="4"/>
      <c r="O197" s="61">
        <f t="shared" si="30"/>
        <v>0</v>
      </c>
      <c r="P197" s="60" t="str">
        <f t="shared" si="31"/>
        <v/>
      </c>
      <c r="R197" s="61" t="str">
        <f>_xlfn.IFNA(VLOOKUP(F197,tblDisciplines[],3,FALSE),"")</f>
        <v/>
      </c>
    </row>
    <row r="198" spans="1:18">
      <c r="A198" s="1" t="s">
        <v>197</v>
      </c>
      <c r="B198" t="str">
        <f t="shared" ref="B198:B216" si="32">IF(AD135="","¬",AD135)</f>
        <v>finance</v>
      </c>
      <c r="D198" s="19"/>
      <c r="E198" s="15" t="s">
        <v>1502</v>
      </c>
      <c r="F198" s="3"/>
      <c r="G198" s="61" t="str">
        <f>_xlfn.IFNA(VLOOKUP(F198,tblDisciplines[],2,FALSE),"")</f>
        <v/>
      </c>
      <c r="H198" s="19"/>
      <c r="I198" s="19"/>
      <c r="L198" s="4"/>
      <c r="N198" s="4"/>
      <c r="O198" s="61">
        <f t="shared" si="30"/>
        <v>0</v>
      </c>
      <c r="P198" s="60" t="str">
        <f t="shared" si="31"/>
        <v/>
      </c>
      <c r="R198" s="61" t="str">
        <f>_xlfn.IFNA(VLOOKUP(F198,tblDisciplines[],3,FALSE),"")</f>
        <v/>
      </c>
    </row>
    <row r="199" spans="1:18">
      <c r="A199" s="1" t="s">
        <v>198</v>
      </c>
      <c r="B199" t="str">
        <f t="shared" si="32"/>
        <v>high society</v>
      </c>
      <c r="D199" s="19"/>
      <c r="E199" s="15" t="s">
        <v>1503</v>
      </c>
      <c r="F199" s="3"/>
      <c r="G199" s="61" t="str">
        <f>_xlfn.IFNA(VLOOKUP(F199,tblDisciplines[],2,FALSE),"")</f>
        <v/>
      </c>
      <c r="H199" s="19"/>
      <c r="I199" s="19"/>
      <c r="L199" s="4"/>
      <c r="N199" s="4"/>
      <c r="O199" s="61">
        <f t="shared" si="30"/>
        <v>0</v>
      </c>
      <c r="P199" s="60" t="str">
        <f t="shared" si="31"/>
        <v/>
      </c>
      <c r="R199" s="61" t="str">
        <f>_xlfn.IFNA(VLOOKUP(F199,tblDisciplines[],3,FALSE),"")</f>
        <v/>
      </c>
    </row>
    <row r="200" spans="1:18">
      <c r="A200" s="1" t="s">
        <v>199</v>
      </c>
      <c r="B200" t="str">
        <f t="shared" si="32"/>
        <v>underworld</v>
      </c>
      <c r="D200" s="19"/>
      <c r="E200" s="15" t="s">
        <v>1504</v>
      </c>
      <c r="F200" s="3"/>
      <c r="G200" s="61" t="str">
        <f>_xlfn.IFNA(VLOOKUP(F200,tblDisciplines[],2,FALSE),"")</f>
        <v/>
      </c>
      <c r="H200" s="19"/>
      <c r="I200" s="19"/>
      <c r="L200" s="4"/>
      <c r="N200" s="4"/>
      <c r="O200" s="61">
        <f t="shared" si="30"/>
        <v>0</v>
      </c>
      <c r="P200" s="60" t="str">
        <f t="shared" si="31"/>
        <v/>
      </c>
      <c r="R200" s="61" t="str">
        <f>_xlfn.IFNA(VLOOKUP(F200,tblDisciplines[],3,FALSE),"")</f>
        <v/>
      </c>
    </row>
    <row r="201" spans="1:18">
      <c r="A201" s="1" t="s">
        <v>200</v>
      </c>
      <c r="B201" t="str">
        <f t="shared" si="32"/>
        <v>¬</v>
      </c>
      <c r="D201" s="19"/>
      <c r="E201" s="15" t="s">
        <v>1505</v>
      </c>
      <c r="F201" s="3"/>
      <c r="G201" s="61" t="str">
        <f>_xlfn.IFNA(VLOOKUP(F201,tblDisciplines[],2,FALSE),"")</f>
        <v/>
      </c>
      <c r="H201" s="19"/>
      <c r="I201" s="19"/>
      <c r="L201" s="4"/>
      <c r="N201" s="4"/>
      <c r="O201" s="61">
        <f t="shared" si="30"/>
        <v>0</v>
      </c>
      <c r="P201" s="60" t="str">
        <f t="shared" si="31"/>
        <v/>
      </c>
      <c r="R201" s="61" t="str">
        <f>_xlfn.IFNA(VLOOKUP(F201,tblDisciplines[],3,FALSE),"")</f>
        <v/>
      </c>
    </row>
    <row r="202" spans="1:18">
      <c r="A202" s="1" t="s">
        <v>201</v>
      </c>
      <c r="B202" t="str">
        <f t="shared" si="32"/>
        <v>¬</v>
      </c>
      <c r="D202" s="19"/>
      <c r="E202" s="15" t="s">
        <v>1506</v>
      </c>
      <c r="F202" s="3"/>
      <c r="G202" s="61" t="str">
        <f>_xlfn.IFNA(VLOOKUP(F202,tblDisciplines[],2,FALSE),"")</f>
        <v/>
      </c>
      <c r="H202" s="19"/>
      <c r="I202" s="19"/>
      <c r="L202" s="4"/>
      <c r="N202" s="4"/>
      <c r="O202" s="61">
        <f t="shared" si="30"/>
        <v>0</v>
      </c>
      <c r="P202" s="60" t="str">
        <f t="shared" si="31"/>
        <v/>
      </c>
      <c r="R202" s="61" t="str">
        <f>_xlfn.IFNA(VLOOKUP(F202,tblDisciplines[],3,FALSE),"")</f>
        <v/>
      </c>
    </row>
    <row r="203" spans="1:18">
      <c r="A203" s="1" t="s">
        <v>202</v>
      </c>
      <c r="B203" t="str">
        <f t="shared" si="32"/>
        <v>¬</v>
      </c>
      <c r="D203" s="19"/>
      <c r="E203" s="15" t="s">
        <v>1507</v>
      </c>
      <c r="F203" s="3"/>
      <c r="G203" s="61" t="str">
        <f>_xlfn.IFNA(VLOOKUP(F203,tblDisciplines[],2,FALSE),"")</f>
        <v/>
      </c>
      <c r="H203" s="19"/>
      <c r="I203" s="19"/>
      <c r="L203" s="4"/>
      <c r="N203" s="4"/>
      <c r="O203" s="61">
        <f t="shared" si="30"/>
        <v>0</v>
      </c>
      <c r="P203" s="60" t="str">
        <f t="shared" si="31"/>
        <v/>
      </c>
      <c r="R203" s="61" t="str">
        <f>_xlfn.IFNA(VLOOKUP(F203,tblDisciplines[],3,FALSE),"")</f>
        <v/>
      </c>
    </row>
    <row r="204" spans="1:18">
      <c r="A204" s="1" t="s">
        <v>203</v>
      </c>
      <c r="B204" t="str">
        <f t="shared" si="32"/>
        <v>¬</v>
      </c>
    </row>
    <row r="205" spans="1:18">
      <c r="A205" s="1" t="s">
        <v>204</v>
      </c>
      <c r="B205" t="str">
        <f t="shared" si="32"/>
        <v>¬</v>
      </c>
      <c r="D205" s="16" t="s">
        <v>1508</v>
      </c>
      <c r="E205" s="17"/>
      <c r="F205" s="17"/>
      <c r="G205" s="17"/>
      <c r="H205" s="17"/>
      <c r="I205" s="17"/>
    </row>
    <row r="206" spans="1:18">
      <c r="A206" s="1" t="s">
        <v>205</v>
      </c>
      <c r="B206" t="str">
        <f t="shared" si="32"/>
        <v>¬</v>
      </c>
      <c r="D206" s="19"/>
      <c r="E206" s="15" t="s">
        <v>1476</v>
      </c>
      <c r="F206" s="3"/>
      <c r="G206" s="19" t="str">
        <f>IFERROR(VLOOKUP(F206,tblManoeuvre[],2,FALSE)&amp;" "&amp;VLOOKUP(F206,tblManoeuvre[],3,FALSE),"")</f>
        <v/>
      </c>
      <c r="H206" s="68" t="str">
        <f>_xlfn.IFNA(IF(VLOOKUP(F206,tblMerits[],6,FALSE)=0,"None",VLOOKUP(F206,tblMerits[],6,FALSE)),"None")</f>
        <v>None</v>
      </c>
      <c r="I206" s="69"/>
      <c r="L206" s="4"/>
      <c r="M206" s="4"/>
      <c r="N206" s="4"/>
      <c r="O206" s="61">
        <f t="shared" ref="O206:O215" si="33">N206</f>
        <v>0</v>
      </c>
      <c r="P206" s="60">
        <f t="shared" ref="P206:P215" si="34">MIN(SUM(L206,M206,O206),R206)</f>
        <v>0</v>
      </c>
      <c r="Q206" s="61" t="str">
        <f>_xlfn.IFNA(VLOOKUP($F206,tblPacts[],3,FALSE),"")</f>
        <v/>
      </c>
      <c r="R206" s="61" t="str">
        <f>_xlfn.IFNA(VLOOKUP($F206,tblPacts[],4,FALSE),"")</f>
        <v/>
      </c>
    </row>
    <row r="207" spans="1:18">
      <c r="A207" s="1" t="s">
        <v>206</v>
      </c>
      <c r="B207" t="str">
        <f t="shared" si="32"/>
        <v>¬</v>
      </c>
      <c r="D207" s="19"/>
      <c r="E207" s="15" t="s">
        <v>1477</v>
      </c>
      <c r="F207" s="3"/>
      <c r="G207" s="19" t="str">
        <f>IFERROR(VLOOKUP(F207,tblManoeuvre[],2,FALSE)&amp;" "&amp;VLOOKUP(F207,tblManoeuvre[],3,FALSE),"")</f>
        <v/>
      </c>
      <c r="H207" s="68" t="str">
        <f>_xlfn.IFNA(IF(VLOOKUP(F207,tblMerits[],6,FALSE)=0,"None",VLOOKUP(F207,tblMerits[],6,FALSE)),"None")</f>
        <v>None</v>
      </c>
      <c r="I207" s="69"/>
      <c r="L207" s="4"/>
      <c r="M207" s="4"/>
      <c r="N207" s="4"/>
      <c r="O207" s="61">
        <f t="shared" si="33"/>
        <v>0</v>
      </c>
      <c r="P207" s="60">
        <f t="shared" si="34"/>
        <v>0</v>
      </c>
      <c r="Q207" s="61" t="str">
        <f>_xlfn.IFNA(VLOOKUP($F207,tblPacts[],3,FALSE),"")</f>
        <v/>
      </c>
      <c r="R207" s="61" t="str">
        <f>_xlfn.IFNA(VLOOKUP($F207,tblPacts[],4,FALSE),"")</f>
        <v/>
      </c>
    </row>
    <row r="208" spans="1:18">
      <c r="A208" s="1" t="s">
        <v>207</v>
      </c>
      <c r="B208" t="str">
        <f t="shared" si="32"/>
        <v>¬</v>
      </c>
      <c r="D208" s="19"/>
      <c r="E208" s="15" t="s">
        <v>1478</v>
      </c>
      <c r="F208" s="3"/>
      <c r="G208" s="19" t="str">
        <f>IFERROR(VLOOKUP(F208,tblManoeuvre[],2,FALSE)&amp;" "&amp;VLOOKUP(F208,tblManoeuvre[],3,FALSE),"")</f>
        <v/>
      </c>
      <c r="H208" s="68" t="str">
        <f>_xlfn.IFNA(IF(VLOOKUP(F208,tblMerits[],6,FALSE)=0,"None",VLOOKUP(F208,tblMerits[],6,FALSE)),"None")</f>
        <v>None</v>
      </c>
      <c r="I208" s="69"/>
      <c r="L208" s="4"/>
      <c r="M208" s="4"/>
      <c r="N208" s="4"/>
      <c r="O208" s="61">
        <f t="shared" si="33"/>
        <v>0</v>
      </c>
      <c r="P208" s="60">
        <f t="shared" si="34"/>
        <v>0</v>
      </c>
      <c r="Q208" s="61" t="str">
        <f>_xlfn.IFNA(VLOOKUP($F208,tblPacts[],3,FALSE),"")</f>
        <v/>
      </c>
      <c r="R208" s="61" t="str">
        <f>_xlfn.IFNA(VLOOKUP($F208,tblPacts[],4,FALSE),"")</f>
        <v/>
      </c>
    </row>
    <row r="209" spans="1:18">
      <c r="A209" s="1" t="s">
        <v>208</v>
      </c>
      <c r="B209" t="str">
        <f t="shared" si="32"/>
        <v>¬</v>
      </c>
      <c r="D209" s="19"/>
      <c r="E209" s="15" t="s">
        <v>1479</v>
      </c>
      <c r="F209" s="3"/>
      <c r="G209" s="19" t="str">
        <f>IFERROR(VLOOKUP(F209,tblManoeuvre[],2,FALSE)&amp;" "&amp;VLOOKUP(F209,tblManoeuvre[],3,FALSE),"")</f>
        <v/>
      </c>
      <c r="H209" s="68" t="str">
        <f>_xlfn.IFNA(IF(VLOOKUP(F209,tblMerits[],6,FALSE)=0,"None",VLOOKUP(F209,tblMerits[],6,FALSE)),"None")</f>
        <v>None</v>
      </c>
      <c r="I209" s="69"/>
      <c r="L209" s="4"/>
      <c r="M209" s="4"/>
      <c r="N209" s="4"/>
      <c r="O209" s="61">
        <f t="shared" si="33"/>
        <v>0</v>
      </c>
      <c r="P209" s="60">
        <f t="shared" si="34"/>
        <v>0</v>
      </c>
      <c r="Q209" s="61" t="str">
        <f>_xlfn.IFNA(VLOOKUP($F209,tblPacts[],3,FALSE),"")</f>
        <v/>
      </c>
      <c r="R209" s="61" t="str">
        <f>_xlfn.IFNA(VLOOKUP($F209,tblPacts[],4,FALSE),"")</f>
        <v/>
      </c>
    </row>
    <row r="210" spans="1:18">
      <c r="A210" s="1" t="s">
        <v>209</v>
      </c>
      <c r="B210" t="str">
        <f t="shared" si="32"/>
        <v>¬</v>
      </c>
      <c r="D210" s="19"/>
      <c r="E210" s="15" t="s">
        <v>1480</v>
      </c>
      <c r="F210" s="3"/>
      <c r="G210" s="19" t="str">
        <f>IFERROR(VLOOKUP(F210,tblManoeuvre[],2,FALSE)&amp;" "&amp;VLOOKUP(F210,tblManoeuvre[],3,FALSE),"")</f>
        <v/>
      </c>
      <c r="H210" s="68" t="str">
        <f>_xlfn.IFNA(IF(VLOOKUP(F210,tblMerits[],6,FALSE)=0,"None",VLOOKUP(F210,tblMerits[],6,FALSE)),"None")</f>
        <v>None</v>
      </c>
      <c r="I210" s="69"/>
      <c r="L210" s="4"/>
      <c r="M210" s="4"/>
      <c r="N210" s="4"/>
      <c r="O210" s="61">
        <f t="shared" si="33"/>
        <v>0</v>
      </c>
      <c r="P210" s="60">
        <f t="shared" si="34"/>
        <v>0</v>
      </c>
      <c r="Q210" s="61" t="str">
        <f>_xlfn.IFNA(VLOOKUP($F210,tblPacts[],3,FALSE),"")</f>
        <v/>
      </c>
      <c r="R210" s="61" t="str">
        <f>_xlfn.IFNA(VLOOKUP($F210,tblPacts[],4,FALSE),"")</f>
        <v/>
      </c>
    </row>
    <row r="211" spans="1:18">
      <c r="A211" s="1" t="s">
        <v>210</v>
      </c>
      <c r="B211" t="str">
        <f t="shared" si="32"/>
        <v>¬</v>
      </c>
      <c r="D211" s="19"/>
      <c r="E211" s="15" t="s">
        <v>1481</v>
      </c>
      <c r="F211" s="3"/>
      <c r="G211" s="19" t="str">
        <f>IFERROR(VLOOKUP(F211,tblManoeuvre[],2,FALSE)&amp;" "&amp;VLOOKUP(F211,tblManoeuvre[],3,FALSE),"")</f>
        <v/>
      </c>
      <c r="H211" s="68" t="str">
        <f>_xlfn.IFNA(IF(VLOOKUP(F211,tblMerits[],6,FALSE)=0,"None",VLOOKUP(F211,tblMerits[],6,FALSE)),"None")</f>
        <v>None</v>
      </c>
      <c r="I211" s="69"/>
      <c r="L211" s="4"/>
      <c r="M211" s="4"/>
      <c r="N211" s="4"/>
      <c r="O211" s="61">
        <f t="shared" si="33"/>
        <v>0</v>
      </c>
      <c r="P211" s="60">
        <f t="shared" si="34"/>
        <v>0</v>
      </c>
      <c r="Q211" s="61" t="str">
        <f>_xlfn.IFNA(VLOOKUP($F211,tblPacts[],3,FALSE),"")</f>
        <v/>
      </c>
      <c r="R211" s="61" t="str">
        <f>_xlfn.IFNA(VLOOKUP($F211,tblPacts[],4,FALSE),"")</f>
        <v/>
      </c>
    </row>
    <row r="212" spans="1:18">
      <c r="A212" s="1" t="s">
        <v>211</v>
      </c>
      <c r="B212" t="str">
        <f t="shared" si="32"/>
        <v>¬</v>
      </c>
      <c r="D212" s="19"/>
      <c r="E212" s="15" t="s">
        <v>1482</v>
      </c>
      <c r="F212" s="3"/>
      <c r="G212" s="19" t="str">
        <f>IFERROR(VLOOKUP(F212,tblManoeuvre[],2,FALSE)&amp;" "&amp;VLOOKUP(F212,tblManoeuvre[],3,FALSE),"")</f>
        <v/>
      </c>
      <c r="H212" s="68" t="str">
        <f>_xlfn.IFNA(IF(VLOOKUP(F212,tblMerits[],6,FALSE)=0,"None",VLOOKUP(F212,tblMerits[],6,FALSE)),"None")</f>
        <v>None</v>
      </c>
      <c r="I212" s="69"/>
      <c r="L212" s="4"/>
      <c r="M212" s="4"/>
      <c r="N212" s="4"/>
      <c r="O212" s="61">
        <f t="shared" si="33"/>
        <v>0</v>
      </c>
      <c r="P212" s="60">
        <f t="shared" si="34"/>
        <v>0</v>
      </c>
      <c r="Q212" s="61" t="str">
        <f>_xlfn.IFNA(VLOOKUP($F212,tblPacts[],3,FALSE),"")</f>
        <v/>
      </c>
      <c r="R212" s="61" t="str">
        <f>_xlfn.IFNA(VLOOKUP($F212,tblPacts[],4,FALSE),"")</f>
        <v/>
      </c>
    </row>
    <row r="213" spans="1:18">
      <c r="A213" s="1" t="s">
        <v>212</v>
      </c>
      <c r="B213" t="str">
        <f t="shared" si="32"/>
        <v>¬</v>
      </c>
      <c r="D213" s="19"/>
      <c r="E213" s="15" t="s">
        <v>1483</v>
      </c>
      <c r="F213" s="3"/>
      <c r="G213" s="19" t="str">
        <f>IFERROR(VLOOKUP(F213,tblManoeuvre[],2,FALSE)&amp;" "&amp;VLOOKUP(F213,tblManoeuvre[],3,FALSE),"")</f>
        <v/>
      </c>
      <c r="H213" s="68" t="str">
        <f>_xlfn.IFNA(IF(VLOOKUP(F213,tblMerits[],6,FALSE)=0,"None",VLOOKUP(F213,tblMerits[],6,FALSE)),"None")</f>
        <v>None</v>
      </c>
      <c r="I213" s="69"/>
      <c r="L213" s="4"/>
      <c r="M213" s="4"/>
      <c r="N213" s="4"/>
      <c r="O213" s="61">
        <f t="shared" si="33"/>
        <v>0</v>
      </c>
      <c r="P213" s="60">
        <f t="shared" si="34"/>
        <v>0</v>
      </c>
      <c r="Q213" s="61" t="str">
        <f>_xlfn.IFNA(VLOOKUP($F213,tblPacts[],3,FALSE),"")</f>
        <v/>
      </c>
      <c r="R213" s="61" t="str">
        <f>_xlfn.IFNA(VLOOKUP($F213,tblPacts[],4,FALSE),"")</f>
        <v/>
      </c>
    </row>
    <row r="214" spans="1:18">
      <c r="A214" s="1" t="s">
        <v>213</v>
      </c>
      <c r="B214" t="str">
        <f t="shared" si="32"/>
        <v>¬</v>
      </c>
      <c r="D214" s="19"/>
      <c r="E214" s="15" t="s">
        <v>1484</v>
      </c>
      <c r="F214" s="3"/>
      <c r="G214" s="19" t="str">
        <f>IFERROR(VLOOKUP(F214,tblManoeuvre[],2,FALSE)&amp;" "&amp;VLOOKUP(F214,tblManoeuvre[],3,FALSE),"")</f>
        <v/>
      </c>
      <c r="H214" s="68" t="str">
        <f>_xlfn.IFNA(IF(VLOOKUP(F214,tblMerits[],6,FALSE)=0,"None",VLOOKUP(F214,tblMerits[],6,FALSE)),"None")</f>
        <v>None</v>
      </c>
      <c r="I214" s="69"/>
      <c r="L214" s="4"/>
      <c r="M214" s="4"/>
      <c r="N214" s="4"/>
      <c r="O214" s="61">
        <f t="shared" si="33"/>
        <v>0</v>
      </c>
      <c r="P214" s="60">
        <f t="shared" si="34"/>
        <v>0</v>
      </c>
      <c r="Q214" s="61" t="str">
        <f>_xlfn.IFNA(VLOOKUP($F214,tblPacts[],3,FALSE),"")</f>
        <v/>
      </c>
      <c r="R214" s="61" t="str">
        <f>_xlfn.IFNA(VLOOKUP($F214,tblPacts[],4,FALSE),"")</f>
        <v/>
      </c>
    </row>
    <row r="215" spans="1:18">
      <c r="A215" s="1" t="s">
        <v>214</v>
      </c>
      <c r="B215" t="str">
        <f t="shared" si="32"/>
        <v>¬</v>
      </c>
      <c r="D215" s="19"/>
      <c r="E215" s="15" t="s">
        <v>1485</v>
      </c>
      <c r="F215" s="3"/>
      <c r="G215" s="19" t="str">
        <f>IFERROR(VLOOKUP(F215,tblManoeuvre[],2,FALSE)&amp;" "&amp;VLOOKUP(F215,tblManoeuvre[],3,FALSE),"")</f>
        <v/>
      </c>
      <c r="H215" s="68" t="str">
        <f>_xlfn.IFNA(IF(VLOOKUP(F215,tblMerits[],6,FALSE)=0,"None",VLOOKUP(F215,tblMerits[],6,FALSE)),"None")</f>
        <v>None</v>
      </c>
      <c r="I215" s="69"/>
      <c r="L215" s="4"/>
      <c r="M215" s="4"/>
      <c r="N215" s="4"/>
      <c r="O215" s="61">
        <f t="shared" si="33"/>
        <v>0</v>
      </c>
      <c r="P215" s="60">
        <f t="shared" si="34"/>
        <v>0</v>
      </c>
      <c r="Q215" s="61" t="str">
        <f>_xlfn.IFNA(VLOOKUP($F215,tblPacts[],3,FALSE),"")</f>
        <v/>
      </c>
      <c r="R215" s="61" t="str">
        <f>_xlfn.IFNA(VLOOKUP($F215,tblPacts[],4,FALSE),"")</f>
        <v/>
      </c>
    </row>
    <row r="216" spans="1:18">
      <c r="A216" s="1" t="s">
        <v>215</v>
      </c>
      <c r="B216" t="str">
        <f t="shared" si="32"/>
        <v>¬</v>
      </c>
    </row>
    <row r="217" spans="1:18">
      <c r="A217" s="1" t="s">
        <v>216</v>
      </c>
      <c r="B217" t="str">
        <f>IF(OR(AF134=0,AF134=""),"",REPT("●",AF134))</f>
        <v>●●●●●</v>
      </c>
      <c r="D217" s="16" t="s">
        <v>1509</v>
      </c>
      <c r="E217" s="16"/>
      <c r="F217" s="16"/>
      <c r="G217" s="16"/>
      <c r="H217" s="16"/>
      <c r="I217" s="16"/>
    </row>
    <row r="218" spans="1:18">
      <c r="A218" s="1" t="s">
        <v>217</v>
      </c>
      <c r="B218" t="str">
        <f t="shared" ref="B218:B236" si="35">IF(OR(AF135=0,AF135=""),"",REPT("●",AF135))</f>
        <v>●●●</v>
      </c>
      <c r="D218" s="19"/>
      <c r="E218" s="15" t="s">
        <v>353</v>
      </c>
      <c r="F218" s="19"/>
      <c r="G218" s="19"/>
      <c r="H218" s="19"/>
      <c r="I218" s="19"/>
      <c r="M218" s="61">
        <f>IF(COUNTIF(F79:F93,"Giant")&gt;0,1,0)+IF(COUNTIF(F79:F93,"Small-Framed")&gt;0,-1,0)</f>
        <v>0</v>
      </c>
      <c r="P218" s="60">
        <f>5+M218</f>
        <v>5</v>
      </c>
    </row>
    <row r="219" spans="1:18">
      <c r="A219" s="1" t="s">
        <v>218</v>
      </c>
      <c r="B219" t="str">
        <f t="shared" si="35"/>
        <v>●●●</v>
      </c>
      <c r="D219" s="19"/>
      <c r="E219" s="15" t="s">
        <v>354</v>
      </c>
      <c r="F219" s="19"/>
      <c r="G219" s="19"/>
      <c r="H219" s="19"/>
      <c r="I219" s="19"/>
      <c r="P219" s="60">
        <f ca="1">VLOOKUP("Size",INDIRECT($AH$1),2,FALSE)+VLOOKUP("Strength",INDIRECT($AH$1),2,FALSE)+VLOOKUP("Dexterity",INDIRECT($AH$1),2,FALSE)+VLOOKUP("Vigour",INDIRECT($AH$1),2,FALSE)</f>
        <v>9</v>
      </c>
    </row>
    <row r="220" spans="1:18">
      <c r="A220" s="1" t="s">
        <v>219</v>
      </c>
      <c r="B220" t="str">
        <f t="shared" si="35"/>
        <v>●●●</v>
      </c>
      <c r="D220" s="19"/>
      <c r="E220" s="15" t="s">
        <v>355</v>
      </c>
      <c r="F220" s="19"/>
      <c r="G220" s="19"/>
      <c r="H220" s="19"/>
      <c r="I220" s="19"/>
      <c r="P220" s="60">
        <f ca="1">MIN(VLOOKUP("Dexterity",INDIRECT($AH$1),2,FALSE),VLOOKUP("Wits",INDIRECT($AH$1),2,FALSE))+VLOOKUP("Athletics",INDIRECT($AH$1),2,FALSE)</f>
        <v>3</v>
      </c>
    </row>
    <row r="221" spans="1:18">
      <c r="A221" s="1" t="s">
        <v>220</v>
      </c>
      <c r="B221" t="str">
        <f t="shared" si="35"/>
        <v/>
      </c>
      <c r="D221" s="19"/>
      <c r="E221" s="15" t="s">
        <v>52</v>
      </c>
      <c r="F221" s="19"/>
      <c r="G221" s="19"/>
      <c r="H221" s="19"/>
      <c r="I221" s="19"/>
      <c r="P221" s="60">
        <f ca="1">VLOOKUP("Size",INDIRECT($AH$1),2,FALSE)+VLOOKUP("Stamina",INDIRECT($AH$1),2,FALSE)+VLOOKUP("Resilience",INDIRECT($AH$1),2,FALSE)</f>
        <v>8</v>
      </c>
    </row>
    <row r="222" spans="1:18">
      <c r="A222" s="1" t="s">
        <v>221</v>
      </c>
      <c r="B222" t="str">
        <f t="shared" si="35"/>
        <v/>
      </c>
      <c r="D222" s="19"/>
      <c r="E222" s="19"/>
      <c r="F222" s="19"/>
      <c r="G222" s="19"/>
      <c r="H222" s="15" t="s">
        <v>1510</v>
      </c>
      <c r="I222" s="19"/>
      <c r="L222" s="4"/>
    </row>
    <row r="223" spans="1:18">
      <c r="A223" s="1" t="s">
        <v>222</v>
      </c>
      <c r="B223" t="str">
        <f t="shared" si="35"/>
        <v/>
      </c>
      <c r="D223" s="19"/>
      <c r="E223" s="15" t="s">
        <v>1511</v>
      </c>
      <c r="F223" s="7"/>
      <c r="G223" s="19"/>
      <c r="H223" s="15" t="s">
        <v>1512</v>
      </c>
      <c r="I223" s="19"/>
      <c r="L223" s="4"/>
    </row>
    <row r="224" spans="1:18">
      <c r="A224" s="1" t="s">
        <v>223</v>
      </c>
      <c r="B224" t="str">
        <f t="shared" si="35"/>
        <v/>
      </c>
      <c r="D224" s="19"/>
      <c r="E224" s="15" t="s">
        <v>1513</v>
      </c>
      <c r="F224" s="7"/>
      <c r="G224" s="19"/>
      <c r="H224" s="15" t="s">
        <v>1514</v>
      </c>
      <c r="I224" s="19"/>
      <c r="L224" s="4"/>
    </row>
    <row r="225" spans="1:12">
      <c r="A225" s="1" t="s">
        <v>224</v>
      </c>
      <c r="B225" t="str">
        <f t="shared" si="35"/>
        <v/>
      </c>
      <c r="D225" s="19"/>
      <c r="E225" s="15" t="s">
        <v>1515</v>
      </c>
      <c r="F225" s="7"/>
      <c r="G225" s="19"/>
      <c r="H225" s="15" t="s">
        <v>1516</v>
      </c>
      <c r="I225" s="19"/>
      <c r="L225" s="4"/>
    </row>
    <row r="226" spans="1:12">
      <c r="A226" s="1" t="s">
        <v>225</v>
      </c>
      <c r="B226" t="str">
        <f t="shared" si="35"/>
        <v/>
      </c>
      <c r="D226" s="19"/>
      <c r="E226" s="15" t="s">
        <v>1517</v>
      </c>
      <c r="F226" s="7" t="s">
        <v>1797</v>
      </c>
      <c r="G226" s="19"/>
      <c r="H226" s="19"/>
      <c r="I226" s="19"/>
    </row>
    <row r="227" spans="1:12">
      <c r="A227" s="1" t="s">
        <v>226</v>
      </c>
      <c r="B227" t="str">
        <f t="shared" si="35"/>
        <v/>
      </c>
      <c r="D227" s="19"/>
      <c r="E227" s="15" t="s">
        <v>1518</v>
      </c>
      <c r="F227" s="7"/>
      <c r="G227" s="19"/>
      <c r="H227" s="19"/>
      <c r="I227" s="19"/>
    </row>
    <row r="228" spans="1:12">
      <c r="A228" s="1" t="s">
        <v>227</v>
      </c>
      <c r="B228" t="str">
        <f t="shared" si="35"/>
        <v/>
      </c>
      <c r="D228" s="19"/>
      <c r="E228" s="15" t="s">
        <v>1519</v>
      </c>
      <c r="F228" s="7"/>
      <c r="G228" s="19"/>
      <c r="H228" s="19"/>
      <c r="I228" s="19"/>
    </row>
    <row r="229" spans="1:12">
      <c r="A229" s="1" t="s">
        <v>228</v>
      </c>
      <c r="B229" t="str">
        <f t="shared" si="35"/>
        <v/>
      </c>
      <c r="D229" s="19"/>
      <c r="E229" s="15" t="s">
        <v>1520</v>
      </c>
      <c r="F229" s="7"/>
      <c r="G229" s="19"/>
      <c r="H229" s="19"/>
      <c r="I229" s="19"/>
    </row>
    <row r="230" spans="1:12">
      <c r="A230" s="1" t="s">
        <v>229</v>
      </c>
      <c r="B230" t="str">
        <f t="shared" si="35"/>
        <v/>
      </c>
      <c r="D230" s="19"/>
      <c r="E230" s="15" t="s">
        <v>1521</v>
      </c>
      <c r="F230" s="7"/>
      <c r="G230" s="19"/>
      <c r="H230" s="19"/>
      <c r="I230" s="19"/>
    </row>
    <row r="231" spans="1:12">
      <c r="A231" s="1" t="s">
        <v>230</v>
      </c>
      <c r="B231" t="str">
        <f t="shared" si="35"/>
        <v/>
      </c>
      <c r="D231" s="19"/>
      <c r="E231" s="15" t="s">
        <v>1522</v>
      </c>
      <c r="F231" s="7"/>
      <c r="G231" s="19"/>
      <c r="H231" s="19"/>
      <c r="I231" s="19"/>
    </row>
    <row r="232" spans="1:12">
      <c r="A232" s="1" t="s">
        <v>231</v>
      </c>
      <c r="B232" t="str">
        <f t="shared" si="35"/>
        <v/>
      </c>
      <c r="D232" s="19"/>
      <c r="E232" s="15" t="s">
        <v>1523</v>
      </c>
      <c r="F232" s="7"/>
      <c r="G232" s="19"/>
      <c r="H232" s="19"/>
      <c r="I232" s="19"/>
    </row>
    <row r="233" spans="1:12">
      <c r="A233" s="1" t="s">
        <v>232</v>
      </c>
      <c r="B233" t="str">
        <f t="shared" si="35"/>
        <v/>
      </c>
      <c r="D233" s="19"/>
      <c r="E233" s="19"/>
      <c r="F233" s="19"/>
      <c r="G233" s="19"/>
      <c r="H233" s="19"/>
      <c r="I233" s="19"/>
    </row>
    <row r="234" spans="1:12">
      <c r="A234" s="1" t="s">
        <v>233</v>
      </c>
      <c r="B234" t="str">
        <f t="shared" si="35"/>
        <v/>
      </c>
      <c r="D234" s="19"/>
      <c r="E234" s="15" t="s">
        <v>343</v>
      </c>
      <c r="F234" s="61" t="str">
        <f>_xlfn.IFNA(VLOOKUP(F7,tblClans[],4,FALSE),"")</f>
        <v>Aloof Curse</v>
      </c>
      <c r="G234" s="19"/>
      <c r="H234" s="74" t="str">
        <f>_xlfn.IFNA(VLOOKUP(F234,tblBanes[],2,FALSE),"")</f>
        <v>First Touchstone attaches to Humanity 7; losing it detaches on first Humanity loss. Breaking points always treated as one step lower.</v>
      </c>
      <c r="I234" s="74"/>
    </row>
    <row r="235" spans="1:12">
      <c r="A235" s="1" t="s">
        <v>234</v>
      </c>
      <c r="B235" t="str">
        <f t="shared" si="35"/>
        <v/>
      </c>
      <c r="D235" s="19"/>
      <c r="E235" s="15" t="s">
        <v>344</v>
      </c>
      <c r="F235" s="19"/>
      <c r="G235" s="19"/>
      <c r="H235" s="19"/>
      <c r="I235" s="19"/>
    </row>
    <row r="236" spans="1:12">
      <c r="A236" s="1" t="s">
        <v>235</v>
      </c>
      <c r="B236" t="str">
        <f t="shared" si="35"/>
        <v/>
      </c>
      <c r="D236" s="19"/>
      <c r="E236" s="15" t="s">
        <v>345</v>
      </c>
      <c r="F236" s="3"/>
      <c r="G236" s="19"/>
      <c r="H236" s="70" t="str">
        <f>_xlfn.IFNA(VLOOKUP(F236,tblBanes[],2,FALSE),"")</f>
        <v/>
      </c>
      <c r="I236" s="71"/>
    </row>
    <row r="237" spans="1:12">
      <c r="A237" s="1" t="s">
        <v>236</v>
      </c>
      <c r="B237" t="str">
        <f ca="1">_xlfn.LET(_xlpm.v,VLOOKUP(tblCharDataReed[[#This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_xlfn.LET(_xlpm.v,VLOOKUP(tblCharDataReed[[#This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_xlfn.LET(_xlpm.v,VLOOKUP(tblCharDataReed[[#This Row],[Field]],INDIRECT($AH$1),2,FALSE),IF(OR(_xlpm.v=0,_xlpm.v=""),"-",REPT("●",_xlpm.v)))</f>
        <v>-</v>
      </c>
      <c r="D239" s="19"/>
      <c r="E239" s="19"/>
      <c r="F239" s="19"/>
      <c r="G239" s="19"/>
      <c r="H239" s="19"/>
      <c r="I239" s="19"/>
    </row>
    <row r="240" spans="1:12">
      <c r="A240" s="1" t="s">
        <v>239</v>
      </c>
      <c r="B240" t="str">
        <f ca="1">_xlfn.LET(_xlpm.v,VLOOKUP(tblCharDataReed[[#This Row],[Field]],INDIRECT($AH$1),2,FALSE),IF(OR(_xlpm.v=0,_xlpm.v=""),"-",REPT("●",_xlpm.v)))</f>
        <v>●●●●●</v>
      </c>
      <c r="D240" s="19"/>
      <c r="E240" s="15" t="s">
        <v>360</v>
      </c>
      <c r="F240" s="62"/>
      <c r="G240" s="63"/>
      <c r="H240" s="63"/>
      <c r="I240" s="64"/>
    </row>
    <row r="241" spans="1:9">
      <c r="A241" s="1" t="s">
        <v>240</v>
      </c>
      <c r="B241" t="str">
        <f ca="1">_xlfn.LET(_xlpm.v,VLOOKUP(tblCharDataReed[[#This Row],[Field]],INDIRECT($AH$1),2,FALSE),IF(OR(_xlpm.v=0,_xlpm.v=""),"-",REPT("●",_xlpm.v)))</f>
        <v>-</v>
      </c>
      <c r="D241" s="19"/>
      <c r="E241" s="15" t="s">
        <v>361</v>
      </c>
      <c r="F241" s="62"/>
      <c r="G241" s="63"/>
      <c r="H241" s="63"/>
      <c r="I241" s="64"/>
    </row>
    <row r="242" spans="1:9">
      <c r="A242" s="1" t="s">
        <v>241</v>
      </c>
      <c r="B242" t="str">
        <f ca="1">_xlfn.LET(_xlpm.v,VLOOKUP(tblCharDataReed[[#This Row],[Field]],INDIRECT($AH$1),2,FALSE),IF(OR(_xlpm.v=0,_xlpm.v=""),"-",REPT("●",_xlpm.v)))</f>
        <v>-</v>
      </c>
      <c r="D242" s="19"/>
      <c r="E242" s="15" t="s">
        <v>362</v>
      </c>
      <c r="F242" s="62"/>
      <c r="G242" s="63"/>
      <c r="H242" s="63"/>
      <c r="I242" s="64"/>
    </row>
    <row r="243" spans="1:9">
      <c r="A243" s="1" t="s">
        <v>242</v>
      </c>
      <c r="B243" t="str">
        <f ca="1">_xlfn.LET(_xlpm.v,VLOOKUP(tblCharDataReed[[#This Row],[Field]],INDIRECT($AH$1),2,FALSE),IF(OR(_xlpm.v=0,_xlpm.v=""),"-",REPT("●",_xlpm.v)))</f>
        <v>-</v>
      </c>
      <c r="D243" s="19"/>
      <c r="E243" s="19"/>
      <c r="F243" s="19"/>
      <c r="G243" s="19"/>
      <c r="H243" s="19"/>
      <c r="I243" s="19"/>
    </row>
    <row r="244" spans="1:9">
      <c r="A244" s="1" t="s">
        <v>243</v>
      </c>
      <c r="B244" t="str">
        <f ca="1">_xlfn.LET(_xlpm.v,VLOOKUP(tblCharDataReed[[#This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_xlfn.LET(_xlpm.v,VLOOKUP(tblCharDataReed[[#This Row],[Field]],INDIRECT($AH$1),2,FALSE),IF(OR(_xlpm.v=0,_xlpm.v=""),"-",REPT("●",_xlpm.v)))</f>
        <v>●</v>
      </c>
      <c r="D245" s="19"/>
      <c r="E245" s="15" t="s">
        <v>1524</v>
      </c>
      <c r="F245" s="62"/>
      <c r="G245" s="63"/>
      <c r="H245" s="63"/>
      <c r="I245" s="64"/>
    </row>
    <row r="246" spans="1:9">
      <c r="A246" s="1" t="s">
        <v>245</v>
      </c>
      <c r="B246" t="str">
        <f ca="1">_xlfn.LET(_xlpm.v,VLOOKUP(tblCharDataReed[[#This Row],[Field]],INDIRECT($AH$1),2,FALSE),IF(OR(_xlpm.v=0,_xlpm.v=""),"-",REPT("●",_xlpm.v)))</f>
        <v>-</v>
      </c>
    </row>
    <row r="247" spans="1:9">
      <c r="A247" s="1" t="s">
        <v>246</v>
      </c>
      <c r="B247" t="str">
        <f ca="1">_xlfn.LET(_xlpm.v,VLOOKUP(tblCharDataReed[[#This Row],[Field]],INDIRECT($AH$1),2,FALSE),IF(OR(_xlpm.v=0,_xlpm.v=""),"-",REPT("●",_xlpm.v)))</f>
        <v>-</v>
      </c>
      <c r="D247" s="16" t="s">
        <v>1525</v>
      </c>
      <c r="E247" s="16"/>
      <c r="F247" s="16" t="s">
        <v>1526</v>
      </c>
      <c r="G247" s="16" t="s">
        <v>1527</v>
      </c>
      <c r="H247" s="16"/>
      <c r="I247" s="16"/>
    </row>
    <row r="248" spans="1:9">
      <c r="A248" s="1" t="s">
        <v>247</v>
      </c>
      <c r="B248" t="str">
        <f ca="1">_xlfn.LET(_xlpm.v,VLOOKUP(tblCharDataReed[[#This Row],[Field]],INDIRECT($AH$1),2,FALSE),IF(OR(_xlpm.v=0,_xlpm.v=""),"-",REPT("●",_xlpm.v)))</f>
        <v>-</v>
      </c>
      <c r="D248" s="19"/>
      <c r="E248" s="15" t="s">
        <v>1528</v>
      </c>
      <c r="F248" s="7"/>
      <c r="G248" s="7"/>
      <c r="H248" s="19"/>
      <c r="I248" s="19" t="s">
        <v>1529</v>
      </c>
    </row>
    <row r="249" spans="1:9">
      <c r="A249" s="1" t="s">
        <v>248</v>
      </c>
      <c r="B249" t="str">
        <f ca="1">_xlfn.LET(_xlpm.v,VLOOKUP(tblCharDataReed[[#This Row],[Field]],INDIRECT($AH$1),2,FALSE),IF(OR(_xlpm.v=0,_xlpm.v=""),"-",REPT("●",_xlpm.v)))</f>
        <v>-</v>
      </c>
      <c r="D249" s="19"/>
      <c r="E249" s="15" t="s">
        <v>1530</v>
      </c>
      <c r="F249" s="7"/>
      <c r="G249" s="7"/>
      <c r="H249" s="19"/>
      <c r="I249" s="19" t="s">
        <v>1531</v>
      </c>
    </row>
    <row r="250" spans="1:9">
      <c r="A250" s="1" t="s">
        <v>249</v>
      </c>
      <c r="B250" t="str">
        <f ca="1">_xlfn.LET(_xlpm.v,VLOOKUP(tblCharDataReed[[#This Row],[Field]],INDIRECT($AH$1),2,FALSE),IF(OR(_xlpm.v=0,_xlpm.v=""),"-",REPT("●",_xlpm.v)))</f>
        <v>-</v>
      </c>
      <c r="D250" s="19" t="s">
        <v>1532</v>
      </c>
      <c r="E250" s="15" t="s">
        <v>1533</v>
      </c>
      <c r="F250" s="7"/>
      <c r="G250" s="7"/>
      <c r="H250" s="19"/>
      <c r="I250" s="19"/>
    </row>
    <row r="251" spans="1:9">
      <c r="A251" s="1" t="s">
        <v>250</v>
      </c>
      <c r="B251" t="str">
        <f ca="1">_xlfn.LET(_xlpm.v,VLOOKUP(tblCharDataReed[[#This Row],[Field]],INDIRECT($AH$1),2,FALSE),IF(OR(_xlpm.v=0,_xlpm.v=""),"-",REPT("●",_xlpm.v)))</f>
        <v>-</v>
      </c>
      <c r="D251" s="19" t="s">
        <v>1532</v>
      </c>
      <c r="E251" s="15" t="s">
        <v>1534</v>
      </c>
      <c r="F251" s="7"/>
      <c r="G251" s="7"/>
      <c r="H251" s="19"/>
      <c r="I251" s="19"/>
    </row>
    <row r="252" spans="1:9">
      <c r="A252" s="1" t="s">
        <v>251</v>
      </c>
      <c r="B252" t="str">
        <f ca="1">_xlfn.LET(_xlpm.v,VLOOKUP(tblCharDataReed[[#This Row],[Field]],INDIRECT($AH$1),2,FALSE),IF(OR(_xlpm.v=0,_xlpm.v=""),"-",REPT("●",_xlpm.v)))</f>
        <v>-</v>
      </c>
      <c r="D252" s="19" t="s">
        <v>1532</v>
      </c>
      <c r="E252" s="15" t="s">
        <v>1535</v>
      </c>
      <c r="F252" s="7"/>
      <c r="G252" s="7"/>
      <c r="H252" s="19"/>
      <c r="I252" s="19"/>
    </row>
    <row r="253" spans="1:9">
      <c r="A253" s="1" t="s">
        <v>252</v>
      </c>
      <c r="B253" t="str">
        <f ca="1">_xlfn.LET(_xlpm.v,VLOOKUP(tblCharDataReed[[#This Row],[Field]],INDIRECT($AH$1),2,FALSE),IF(OR(_xlpm.v=0,_xlpm.v=""),"-",REPT("●",_xlpm.v)))</f>
        <v>-</v>
      </c>
      <c r="D253" s="19" t="s">
        <v>1532</v>
      </c>
      <c r="E253" s="15" t="s">
        <v>1536</v>
      </c>
      <c r="F253" s="7"/>
      <c r="G253" s="7"/>
      <c r="H253" s="19"/>
      <c r="I253" s="19"/>
    </row>
    <row r="254" spans="1:9">
      <c r="A254" s="1" t="s">
        <v>253</v>
      </c>
      <c r="B254" t="str">
        <f t="shared" ref="B254:B283" si="36">IF(AD44="","¬",AD44)</f>
        <v>Dominate ● | Mesmerise</v>
      </c>
      <c r="D254" s="19" t="s">
        <v>1532</v>
      </c>
      <c r="E254" s="15" t="s">
        <v>1537</v>
      </c>
      <c r="F254" s="7"/>
      <c r="G254" s="7"/>
      <c r="H254" s="19"/>
      <c r="I254" s="19"/>
    </row>
    <row r="255" spans="1:9">
      <c r="A255" s="1" t="s">
        <v>254</v>
      </c>
      <c r="B255" t="str">
        <f t="shared" si="36"/>
        <v>Dominate ●● | Iron Edict</v>
      </c>
      <c r="D255" s="19" t="s">
        <v>1532</v>
      </c>
      <c r="E255" s="15" t="s">
        <v>1538</v>
      </c>
      <c r="F255" s="7"/>
      <c r="G255" s="7"/>
      <c r="H255" s="19"/>
      <c r="I255" s="19"/>
    </row>
    <row r="256" spans="1:9">
      <c r="A256" s="1" t="s">
        <v>255</v>
      </c>
      <c r="B256" t="str">
        <f t="shared" si="36"/>
        <v>Dominate ●●● | Entombed Command</v>
      </c>
      <c r="D256" s="19" t="s">
        <v>1532</v>
      </c>
      <c r="E256" s="15" t="s">
        <v>1539</v>
      </c>
      <c r="F256" s="7"/>
      <c r="G256" s="7"/>
      <c r="H256" s="19"/>
      <c r="I256" s="19"/>
    </row>
    <row r="257" spans="1:9">
      <c r="A257" s="1" t="s">
        <v>256</v>
      </c>
      <c r="B257" t="str">
        <f t="shared" si="36"/>
        <v>Dominate ●●●● | The Lying Mind</v>
      </c>
      <c r="D257" s="19" t="s">
        <v>1532</v>
      </c>
      <c r="E257" s="15" t="s">
        <v>1540</v>
      </c>
      <c r="F257" s="7"/>
      <c r="G257" s="7"/>
      <c r="H257" s="19"/>
      <c r="I257" s="19"/>
    </row>
    <row r="258" spans="1:9">
      <c r="A258" s="1" t="s">
        <v>257</v>
      </c>
      <c r="B258" t="str">
        <f t="shared" si="36"/>
        <v>Dominate ●●●●● | Possession</v>
      </c>
      <c r="D258" s="19" t="s">
        <v>1532</v>
      </c>
      <c r="E258" s="15" t="s">
        <v>1541</v>
      </c>
      <c r="F258" s="7"/>
      <c r="G258" s="7"/>
      <c r="H258" s="19"/>
      <c r="I258" s="19"/>
    </row>
    <row r="259" spans="1:9">
      <c r="A259" s="1" t="s">
        <v>258</v>
      </c>
      <c r="B259" t="str">
        <f t="shared" si="36"/>
        <v>Resilience ●</v>
      </c>
      <c r="D259" s="19" t="s">
        <v>1532</v>
      </c>
      <c r="E259" s="15" t="s">
        <v>1542</v>
      </c>
      <c r="F259" s="7"/>
      <c r="G259" s="7"/>
      <c r="H259" s="19"/>
      <c r="I259" s="19"/>
    </row>
    <row r="260" spans="1:9">
      <c r="A260" s="1" t="s">
        <v>259</v>
      </c>
      <c r="B260" t="str">
        <f t="shared" si="36"/>
        <v>¬</v>
      </c>
      <c r="D260" s="19" t="s">
        <v>1532</v>
      </c>
      <c r="E260" s="15" t="s">
        <v>1543</v>
      </c>
      <c r="F260" s="7"/>
      <c r="G260" s="7"/>
      <c r="H260" s="19"/>
      <c r="I260" s="19"/>
    </row>
    <row r="261" spans="1:9">
      <c r="A261" s="1" t="s">
        <v>260</v>
      </c>
      <c r="B261" t="str">
        <f t="shared" si="36"/>
        <v>¬</v>
      </c>
      <c r="D261" s="19" t="s">
        <v>1532</v>
      </c>
      <c r="E261" s="15" t="s">
        <v>1544</v>
      </c>
      <c r="F261" s="7"/>
      <c r="G261" s="7"/>
      <c r="H261" s="19"/>
      <c r="I261" s="19"/>
    </row>
    <row r="262" spans="1:9">
      <c r="A262" s="1" t="s">
        <v>261</v>
      </c>
      <c r="B262" t="str">
        <f t="shared" si="36"/>
        <v>¬</v>
      </c>
      <c r="D262" s="19" t="s">
        <v>1532</v>
      </c>
      <c r="E262" s="15" t="s">
        <v>1545</v>
      </c>
      <c r="F262" s="7"/>
      <c r="G262" s="7"/>
      <c r="H262" s="19"/>
      <c r="I262" s="19"/>
    </row>
    <row r="263" spans="1:9">
      <c r="A263" s="1" t="s">
        <v>262</v>
      </c>
      <c r="B263" t="str">
        <f t="shared" si="36"/>
        <v>¬</v>
      </c>
      <c r="D263" s="19" t="s">
        <v>1532</v>
      </c>
      <c r="E263" s="15" t="s">
        <v>1546</v>
      </c>
      <c r="F263" s="7"/>
      <c r="G263" s="7"/>
      <c r="H263" s="19"/>
      <c r="I263" s="19"/>
    </row>
    <row r="264" spans="1:9">
      <c r="A264" s="1" t="s">
        <v>263</v>
      </c>
      <c r="B264" t="str">
        <f t="shared" si="36"/>
        <v>¬</v>
      </c>
      <c r="D264" s="19" t="s">
        <v>1532</v>
      </c>
      <c r="E264" s="15" t="s">
        <v>1547</v>
      </c>
      <c r="F264" s="7"/>
      <c r="G264" s="7"/>
      <c r="H264" s="19"/>
      <c r="I264" s="19"/>
    </row>
    <row r="265" spans="1:9">
      <c r="A265" s="1" t="s">
        <v>264</v>
      </c>
      <c r="B265" t="str">
        <f t="shared" si="36"/>
        <v>¬</v>
      </c>
      <c r="D265" s="19" t="s">
        <v>1532</v>
      </c>
      <c r="E265" s="15" t="s">
        <v>1548</v>
      </c>
      <c r="F265" s="7"/>
      <c r="G265" s="7"/>
      <c r="H265" s="19"/>
      <c r="I265" s="19"/>
    </row>
    <row r="266" spans="1:9">
      <c r="A266" s="1" t="s">
        <v>265</v>
      </c>
      <c r="B266" t="str">
        <f t="shared" si="36"/>
        <v>¬</v>
      </c>
      <c r="D266" s="19" t="s">
        <v>1532</v>
      </c>
      <c r="E266" s="15" t="s">
        <v>1549</v>
      </c>
      <c r="F266" s="7"/>
      <c r="G266" s="7"/>
      <c r="H266" s="19"/>
      <c r="I266" s="19"/>
    </row>
    <row r="267" spans="1:9">
      <c r="A267" s="1" t="s">
        <v>266</v>
      </c>
      <c r="B267" t="str">
        <f t="shared" si="36"/>
        <v>¬</v>
      </c>
      <c r="D267" s="19" t="s">
        <v>1532</v>
      </c>
      <c r="E267" s="15" t="s">
        <v>1550</v>
      </c>
      <c r="F267" s="7"/>
      <c r="G267" s="7"/>
      <c r="H267" s="19"/>
      <c r="I267" s="19"/>
    </row>
    <row r="268" spans="1:9">
      <c r="A268" s="1" t="s">
        <v>267</v>
      </c>
      <c r="B268" t="str">
        <f t="shared" si="36"/>
        <v>¬</v>
      </c>
      <c r="D268" s="19" t="s">
        <v>1532</v>
      </c>
      <c r="E268" s="15" t="s">
        <v>1551</v>
      </c>
      <c r="F268" s="7"/>
      <c r="G268" s="7"/>
      <c r="H268" s="19"/>
      <c r="I268" s="19"/>
    </row>
    <row r="269" spans="1:9">
      <c r="A269" s="1" t="s">
        <v>268</v>
      </c>
      <c r="B269" t="str">
        <f t="shared" si="36"/>
        <v>¬</v>
      </c>
      <c r="D269" s="19" t="s">
        <v>1532</v>
      </c>
      <c r="E269" s="15" t="s">
        <v>1552</v>
      </c>
      <c r="F269" s="7"/>
      <c r="G269" s="7"/>
      <c r="H269" s="19"/>
      <c r="I269" s="19"/>
    </row>
    <row r="270" spans="1:9">
      <c r="A270" s="1" t="s">
        <v>269</v>
      </c>
      <c r="B270" t="str">
        <f t="shared" si="36"/>
        <v>¬</v>
      </c>
      <c r="D270" s="19" t="s">
        <v>1532</v>
      </c>
      <c r="E270" s="15" t="s">
        <v>1553</v>
      </c>
      <c r="F270" s="7"/>
      <c r="G270" s="7"/>
      <c r="H270" s="19"/>
      <c r="I270" s="19"/>
    </row>
    <row r="271" spans="1:9">
      <c r="A271" s="1" t="s">
        <v>270</v>
      </c>
      <c r="B271" t="str">
        <f t="shared" si="36"/>
        <v>¬</v>
      </c>
      <c r="D271" s="19" t="s">
        <v>1532</v>
      </c>
      <c r="E271" s="15" t="s">
        <v>1554</v>
      </c>
      <c r="F271" s="7"/>
      <c r="G271" s="7"/>
      <c r="H271" s="19"/>
      <c r="I271" s="19"/>
    </row>
    <row r="272" spans="1:9">
      <c r="A272" s="1" t="s">
        <v>271</v>
      </c>
      <c r="B272" t="str">
        <f t="shared" si="36"/>
        <v>¬</v>
      </c>
      <c r="D272" s="19" t="s">
        <v>1532</v>
      </c>
      <c r="E272" s="15" t="s">
        <v>1555</v>
      </c>
      <c r="F272" s="7"/>
      <c r="G272" s="7"/>
      <c r="H272" s="19"/>
      <c r="I272" s="19"/>
    </row>
    <row r="273" spans="1:14">
      <c r="A273" s="1" t="s">
        <v>272</v>
      </c>
      <c r="B273" t="str">
        <f t="shared" si="36"/>
        <v>¬</v>
      </c>
      <c r="D273" s="19" t="s">
        <v>1532</v>
      </c>
      <c r="E273" s="15" t="s">
        <v>1556</v>
      </c>
      <c r="F273" s="7"/>
      <c r="G273" s="7"/>
      <c r="H273" s="19"/>
      <c r="I273" s="19"/>
    </row>
    <row r="274" spans="1:14">
      <c r="A274" s="1" t="s">
        <v>273</v>
      </c>
      <c r="B274" t="str">
        <f t="shared" si="36"/>
        <v>¬</v>
      </c>
      <c r="D274" s="19" t="s">
        <v>1532</v>
      </c>
      <c r="E274" s="15" t="s">
        <v>1557</v>
      </c>
      <c r="F274" s="7"/>
      <c r="G274" s="7"/>
      <c r="H274" s="19"/>
      <c r="I274" s="19"/>
    </row>
    <row r="275" spans="1:14">
      <c r="A275" s="1" t="s">
        <v>274</v>
      </c>
      <c r="B275" t="str">
        <f t="shared" si="36"/>
        <v>¬</v>
      </c>
      <c r="D275" s="19" t="s">
        <v>1532</v>
      </c>
      <c r="E275" s="15" t="s">
        <v>1558</v>
      </c>
      <c r="F275" s="7"/>
      <c r="G275" s="7"/>
      <c r="H275" s="19"/>
      <c r="I275" s="19"/>
    </row>
    <row r="276" spans="1:14">
      <c r="A276" s="1" t="s">
        <v>275</v>
      </c>
      <c r="B276" t="str">
        <f t="shared" si="36"/>
        <v>¬</v>
      </c>
      <c r="D276" s="19" t="s">
        <v>1532</v>
      </c>
      <c r="E276" s="15" t="s">
        <v>1559</v>
      </c>
      <c r="F276" s="7"/>
      <c r="G276" s="7"/>
      <c r="H276" s="19"/>
      <c r="I276" s="19"/>
    </row>
    <row r="277" spans="1:14">
      <c r="A277" s="1" t="s">
        <v>276</v>
      </c>
      <c r="B277" t="str">
        <f t="shared" si="36"/>
        <v>¬</v>
      </c>
      <c r="D277" s="19" t="s">
        <v>1532</v>
      </c>
      <c r="E277" s="15" t="s">
        <v>1560</v>
      </c>
      <c r="F277" s="7"/>
      <c r="G277" s="7"/>
      <c r="H277" s="19"/>
      <c r="I277" s="19"/>
    </row>
    <row r="278" spans="1:14">
      <c r="A278" s="1" t="s">
        <v>277</v>
      </c>
      <c r="B278" t="str">
        <f t="shared" si="36"/>
        <v>¬</v>
      </c>
    </row>
    <row r="279" spans="1:14">
      <c r="A279" s="1" t="s">
        <v>278</v>
      </c>
      <c r="B279" t="str">
        <f t="shared" si="36"/>
        <v>¬</v>
      </c>
      <c r="D279" s="16" t="s">
        <v>1561</v>
      </c>
      <c r="E279" s="16"/>
      <c r="F279" s="16" t="s">
        <v>1347</v>
      </c>
      <c r="G279" s="16" t="s">
        <v>1348</v>
      </c>
      <c r="H279" s="16" t="s">
        <v>1349</v>
      </c>
      <c r="I279" s="16" t="s">
        <v>1350</v>
      </c>
      <c r="N279" s="60">
        <f ca="1">SUM(N280:N282)</f>
        <v>4</v>
      </c>
    </row>
    <row r="280" spans="1:14">
      <c r="A280" s="1" t="s">
        <v>279</v>
      </c>
      <c r="B280" t="str">
        <f t="shared" si="36"/>
        <v>¬</v>
      </c>
      <c r="D280" s="61" t="str" cm="1">
        <f t="array" aca="1" ref="D280" ca="1">INDEX(Attendance!$C$14:$GP$44,
       MATCH($F$4, Attendance!$C$14:$C$44, 0),
       MATCH(1, (Attendance!$C$12:$GP$12=$E280) * (Attendance!$C$13:$GP$13="Paid"), 0)
)</f>
        <v>Exiles</v>
      </c>
      <c r="E280" s="41">
        <v>46054</v>
      </c>
      <c r="F280" s="61" cm="1">
        <f t="array" aca="1" ref="F280" ca="1">N(INDEX(Attendance!$C$14:$GP$104,
       MATCH($F$4, Attendance!$C$14:$C$104, 0),
       MATCH(1, (Attendance!$C$12:$GP$12=$E280) * (Attendance!$C$13:$GP$13=$F$279), 0)
))</f>
        <v>3</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1</v>
      </c>
      <c r="I280" s="61" t="str" cm="1">
        <f t="array" aca="1" ref="I280" ca="1">INDEX(Attendance!$C$14:$GP$44,
       MATCH($F$4, Attendance!$C$14:$C$44, 0),
       MATCH(1, (Attendance!$C$12:$GP$12=$E280) * (Attendance!$C$13:$GP$13=$I$279), 0)
)</f>
        <v>Quiet</v>
      </c>
      <c r="K280" s="18"/>
      <c r="L280" s="18"/>
      <c r="M280" s="18" t="s">
        <v>1562</v>
      </c>
      <c r="N280" s="61">
        <f ca="1">SUM(F$280:F$316)</f>
        <v>3</v>
      </c>
    </row>
    <row r="281" spans="1:14">
      <c r="A281" s="1" t="s">
        <v>280</v>
      </c>
      <c r="B281" t="str">
        <f t="shared" si="36"/>
        <v>¬</v>
      </c>
      <c r="D281" s="61" t="str" cm="1">
        <f t="array" aca="1" ref="D281" ca="1">INDEX(Attendance!$C$14:$GP$44,
       MATCH($F$4, Attendance!$C$14:$C$44, 0),
       MATCH(1, (Attendance!$C$12:$GP$12=$E281) * (Attendance!$C$13:$GP$13="Paid"), 0)
)</f>
        <v> </v>
      </c>
      <c r="E281" s="42">
        <f t="shared" ref="E281:E316" si="37">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6"/>
        <v>¬</v>
      </c>
      <c r="D282" s="61" cm="1">
        <f t="array" aca="1" ref="D282" ca="1">INDEX(Attendance!$C$14:$GP$44,
       MATCH($F$4, Attendance!$C$14:$C$44, 0),
       MATCH(1, (Attendance!$C$12:$GP$12=$E282) * (Attendance!$C$13:$GP$13="Paid"), 0)
)</f>
        <v>0</v>
      </c>
      <c r="E282" s="42">
        <f t="shared" si="37"/>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1</v>
      </c>
    </row>
    <row r="283" spans="1:14">
      <c r="A283" s="1" t="s">
        <v>282</v>
      </c>
      <c r="B283" t="str">
        <f t="shared" si="36"/>
        <v>¬</v>
      </c>
      <c r="D283" s="61" cm="1">
        <f t="array" aca="1" ref="D283" ca="1">INDEX(Attendance!$C$14:$GP$44,
       MATCH($F$4, Attendance!$C$14:$C$44, 0),
       MATCH(1, (Attendance!$C$12:$GP$12=$E283) * (Attendance!$C$13:$GP$13="Paid"), 0)
)</f>
        <v>0</v>
      </c>
      <c r="E283" s="42">
        <f t="shared" si="37"/>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8">IF(AE44="","¬",AE44)</f>
        <v>Cost: - -3 in combat unless Blinded  •  Pool: 14  v Resolve + BP  •  Instant  •  Instant</v>
      </c>
      <c r="D284" s="61" cm="1">
        <f t="array" aca="1" ref="D284" ca="1">INDEX(Attendance!$C$14:$GP$44,
       MATCH($F$4, Attendance!$C$14:$C$44, 0),
       MATCH(1, (Attendance!$C$12:$GP$12=$E284) * (Attendance!$C$13:$GP$13="Paid"), 0)
)</f>
        <v>0</v>
      </c>
      <c r="E284" s="42">
        <f t="shared" si="37"/>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8"/>
        <v>Cost: 1 V (0 in bond) (req: Mesmerised); -3 in combat unless Blinded  •  Pool: -  •  Instant  •  Instant</v>
      </c>
      <c r="D285" s="61" cm="1">
        <f t="array" aca="1" ref="D285" ca="1">INDEX(Attendance!$C$14:$GP$44,
       MATCH($F$4, Attendance!$C$14:$C$44, 0),
       MATCH(1, (Attendance!$C$12:$GP$12=$E285) * (Attendance!$C$13:$GP$13="Paid"), 0)
)</f>
        <v>0</v>
      </c>
      <c r="E285" s="42">
        <f t="shared" si="37"/>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8"/>
        <v>Cost: - (req: Mesmerised)   •  Pool: 14  - Resolve  •  Instant  •  1 week/success (1 month bonded)</v>
      </c>
      <c r="D286" s="61" cm="1">
        <f t="array" aca="1" ref="D286" ca="1">INDEX(Attendance!$C$14:$GP$44,
       MATCH($F$4, Attendance!$C$14:$C$44, 0),
       MATCH(1, (Attendance!$C$12:$GP$12=$E286) * (Attendance!$C$13:$GP$13="Paid"), 0)
)</f>
        <v>0</v>
      </c>
      <c r="E286" s="42">
        <f t="shared" si="37"/>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8"/>
        <v>Cost: 2 V (req: Mesmerised)   •  Pool: -  •  Instant  •  Permanent</v>
      </c>
      <c r="D287" s="61" cm="1">
        <f t="array" aca="1" ref="D287" ca="1">INDEX(Attendance!$C$14:$GP$44,
       MATCH($F$4, Attendance!$C$14:$C$44, 0),
       MATCH(1, (Attendance!$C$12:$GP$12=$E287) * (Attendance!$C$13:$GP$13="Paid"), 0)
)</f>
        <v>0</v>
      </c>
      <c r="E287" s="42">
        <f t="shared" si="37"/>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8"/>
        <v>Cost: 1 V &amp; 1 WP (req: Mesmerised); -3 in combat unless Blinded  •  Pool: 12  - Resolve + Supernatural Tolerance  •  Instant  •  1 scene per success</v>
      </c>
      <c r="D288" s="61" cm="1">
        <f t="array" aca="1" ref="D288" ca="1">INDEX(Attendance!$C$14:$GP$44,
       MATCH($F$4, Attendance!$C$14:$C$44, 0),
       MATCH(1, (Attendance!$C$12:$GP$12=$E288) * (Attendance!$C$13:$GP$13="Paid"), 0)
)</f>
        <v>0</v>
      </c>
      <c r="E288" s="42">
        <f t="shared" si="37"/>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8"/>
        <v>Cost: 1 V per effect  •  Pool: -  •  Reflexive  •  1 turn</v>
      </c>
      <c r="D289" s="61" cm="1">
        <f t="array" aca="1" ref="D289" ca="1">INDEX(Attendance!$C$14:$GP$44,
       MATCH($F$4, Attendance!$C$14:$C$44, 0),
       MATCH(1, (Attendance!$C$12:$GP$12=$E289) * (Attendance!$C$13:$GP$13="Paid"), 0)
)</f>
        <v>0</v>
      </c>
      <c r="E289" s="42">
        <f t="shared" si="37"/>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8"/>
        <v>¬</v>
      </c>
      <c r="D290" s="61" cm="1">
        <f t="array" aca="1" ref="D290" ca="1">INDEX(Attendance!$C$14:$GP$44,
       MATCH($F$4, Attendance!$C$14:$C$44, 0),
       MATCH(1, (Attendance!$C$12:$GP$12=$E290) * (Attendance!$C$13:$GP$13="Paid"), 0)
)</f>
        <v>0</v>
      </c>
      <c r="E290" s="42">
        <f t="shared" si="37"/>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8"/>
        <v>¬</v>
      </c>
      <c r="D291" s="61" cm="1">
        <f t="array" aca="1" ref="D291" ca="1">INDEX(Attendance!$C$14:$GP$44,
       MATCH($F$4, Attendance!$C$14:$C$44, 0),
       MATCH(1, (Attendance!$C$12:$GP$12=$E291) * (Attendance!$C$13:$GP$13="Paid"), 0)
)</f>
        <v>0</v>
      </c>
      <c r="E291" s="42">
        <f t="shared" si="37"/>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8"/>
        <v>¬</v>
      </c>
      <c r="D292" s="61" cm="1">
        <f t="array" aca="1" ref="D292" ca="1">INDEX(Attendance!$C$14:$GP$44,
       MATCH($F$4, Attendance!$C$14:$C$44, 0),
       MATCH(1, (Attendance!$C$12:$GP$12=$E292) * (Attendance!$C$13:$GP$13="Paid"), 0)
)</f>
        <v>0</v>
      </c>
      <c r="E292" s="42">
        <f t="shared" si="37"/>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8"/>
        <v>¬</v>
      </c>
      <c r="D293" s="61" cm="1">
        <f t="array" aca="1" ref="D293" ca="1">INDEX(Attendance!$C$14:$GP$44,
       MATCH($F$4, Attendance!$C$14:$C$44, 0),
       MATCH(1, (Attendance!$C$12:$GP$12=$E293) * (Attendance!$C$13:$GP$13="Paid"), 0)
)</f>
        <v>0</v>
      </c>
      <c r="E293" s="42">
        <f t="shared" si="37"/>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8"/>
        <v>¬</v>
      </c>
      <c r="D294" s="61" cm="1">
        <f t="array" aca="1" ref="D294" ca="1">INDEX(Attendance!$C$14:$GP$44,
       MATCH($F$4, Attendance!$C$14:$C$44, 0),
       MATCH(1, (Attendance!$C$12:$GP$12=$E294) * (Attendance!$C$13:$GP$13="Paid"), 0)
)</f>
        <v>0</v>
      </c>
      <c r="E294" s="42">
        <f t="shared" si="37"/>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8"/>
        <v>¬</v>
      </c>
      <c r="D295" s="61" cm="1">
        <f t="array" aca="1" ref="D295" ca="1">INDEX(Attendance!$C$14:$GP$44,
       MATCH($F$4, Attendance!$C$14:$C$44, 0),
       MATCH(1, (Attendance!$C$12:$GP$12=$E295) * (Attendance!$C$13:$GP$13="Paid"), 0)
)</f>
        <v>0</v>
      </c>
      <c r="E295" s="42">
        <f t="shared" si="37"/>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8"/>
        <v>¬</v>
      </c>
      <c r="D296" s="61" cm="1">
        <f t="array" aca="1" ref="D296" ca="1">INDEX(Attendance!$C$14:$GP$44,
       MATCH($F$4, Attendance!$C$14:$C$44, 0),
       MATCH(1, (Attendance!$C$12:$GP$12=$E296) * (Attendance!$C$13:$GP$13="Paid"), 0)
)</f>
        <v>0</v>
      </c>
      <c r="E296" s="42">
        <f t="shared" si="37"/>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8"/>
        <v>¬</v>
      </c>
      <c r="D297" s="61" cm="1">
        <f t="array" aca="1" ref="D297" ca="1">INDEX(Attendance!$C$14:$GP$44,
       MATCH($F$4, Attendance!$C$14:$C$44, 0),
       MATCH(1, (Attendance!$C$12:$GP$12=$E297) * (Attendance!$C$13:$GP$13="Paid"), 0)
)</f>
        <v>0</v>
      </c>
      <c r="E297" s="42">
        <f t="shared" si="37"/>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8"/>
        <v>¬</v>
      </c>
      <c r="D298" s="61" cm="1">
        <f t="array" aca="1" ref="D298" ca="1">INDEX(Attendance!$C$14:$GP$44,
       MATCH($F$4, Attendance!$C$14:$C$44, 0),
       MATCH(1, (Attendance!$C$12:$GP$12=$E298) * (Attendance!$C$13:$GP$13="Paid"), 0)
)</f>
        <v>0</v>
      </c>
      <c r="E298" s="42">
        <f t="shared" si="37"/>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8"/>
        <v>¬</v>
      </c>
      <c r="D299" s="61" cm="1">
        <f t="array" aca="1" ref="D299" ca="1">INDEX(Attendance!$C$14:$GP$44,
       MATCH($F$4, Attendance!$C$14:$C$44, 0),
       MATCH(1, (Attendance!$C$12:$GP$12=$E299) * (Attendance!$C$13:$GP$13="Paid"), 0)
)</f>
        <v>0</v>
      </c>
      <c r="E299" s="42">
        <f t="shared" si="37"/>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8"/>
        <v>¬</v>
      </c>
      <c r="D300" s="61" cm="1">
        <f t="array" aca="1" ref="D300" ca="1">INDEX(Attendance!$C$14:$GP$44,
       MATCH($F$4, Attendance!$C$14:$C$44, 0),
       MATCH(1, (Attendance!$C$12:$GP$12=$E300) * (Attendance!$C$13:$GP$13="Paid"), 0)
)</f>
        <v>0</v>
      </c>
      <c r="E300" s="42">
        <f t="shared" si="37"/>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8"/>
        <v>¬</v>
      </c>
      <c r="D301" s="61" cm="1">
        <f t="array" aca="1" ref="D301" ca="1">INDEX(Attendance!$C$14:$GP$44,
       MATCH($F$4, Attendance!$C$14:$C$44, 0),
       MATCH(1, (Attendance!$C$12:$GP$12=$E301) * (Attendance!$C$13:$GP$13="Paid"), 0)
)</f>
        <v>0</v>
      </c>
      <c r="E301" s="42">
        <f t="shared" si="37"/>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8"/>
        <v>¬</v>
      </c>
      <c r="D302" s="61" cm="1">
        <f t="array" aca="1" ref="D302" ca="1">INDEX(Attendance!$C$14:$GP$44,
       MATCH($F$4, Attendance!$C$14:$C$44, 0),
       MATCH(1, (Attendance!$C$12:$GP$12=$E302) * (Attendance!$C$13:$GP$13="Paid"), 0)
)</f>
        <v>0</v>
      </c>
      <c r="E302" s="42">
        <f t="shared" si="37"/>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8"/>
        <v>¬</v>
      </c>
      <c r="D303" s="61" cm="1">
        <f t="array" aca="1" ref="D303" ca="1">INDEX(Attendance!$C$14:$GP$44,
       MATCH($F$4, Attendance!$C$14:$C$44, 0),
       MATCH(1, (Attendance!$C$12:$GP$12=$E303) * (Attendance!$C$13:$GP$13="Paid"), 0)
)</f>
        <v>0</v>
      </c>
      <c r="E303" s="42">
        <f t="shared" si="37"/>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8"/>
        <v>¬</v>
      </c>
      <c r="D304" s="61" cm="1">
        <f t="array" aca="1" ref="D304" ca="1">INDEX(Attendance!$C$14:$GP$44,
       MATCH($F$4, Attendance!$C$14:$C$44, 0),
       MATCH(1, (Attendance!$C$12:$GP$12=$E304) * (Attendance!$C$13:$GP$13="Paid"), 0)
)</f>
        <v>0</v>
      </c>
      <c r="E304" s="42">
        <f t="shared" si="37"/>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8"/>
        <v>¬</v>
      </c>
      <c r="D305" s="61" cm="1">
        <f t="array" aca="1" ref="D305" ca="1">INDEX(Attendance!$C$14:$GP$44,
       MATCH($F$4, Attendance!$C$14:$C$44, 0),
       MATCH(1, (Attendance!$C$12:$GP$12=$E305) * (Attendance!$C$13:$GP$13="Paid"), 0)
)</f>
        <v>0</v>
      </c>
      <c r="E305" s="42">
        <f t="shared" si="37"/>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8"/>
        <v>¬</v>
      </c>
      <c r="D306" s="61" cm="1">
        <f t="array" aca="1" ref="D306" ca="1">INDEX(Attendance!$C$14:$GP$44,
       MATCH($F$4, Attendance!$C$14:$C$44, 0),
       MATCH(1, (Attendance!$C$12:$GP$12=$E306) * (Attendance!$C$13:$GP$13="Paid"), 0)
)</f>
        <v>0</v>
      </c>
      <c r="E306" s="42">
        <f t="shared" si="37"/>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8"/>
        <v>¬</v>
      </c>
      <c r="D307" s="61" cm="1">
        <f t="array" aca="1" ref="D307" ca="1">INDEX(Attendance!$C$14:$GP$44,
       MATCH($F$4, Attendance!$C$14:$C$44, 0),
       MATCH(1, (Attendance!$C$12:$GP$12=$E307) * (Attendance!$C$13:$GP$13="Paid"), 0)
)</f>
        <v>0</v>
      </c>
      <c r="E307" s="42">
        <f t="shared" si="37"/>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8"/>
        <v>¬</v>
      </c>
      <c r="D308" s="61" cm="1">
        <f t="array" aca="1" ref="D308" ca="1">INDEX(Attendance!$C$14:$GP$44,
       MATCH($F$4, Attendance!$C$14:$C$44, 0),
       MATCH(1, (Attendance!$C$12:$GP$12=$E308) * (Attendance!$C$13:$GP$13="Paid"), 0)
)</f>
        <v>0</v>
      </c>
      <c r="E308" s="42">
        <f t="shared" si="37"/>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8"/>
        <v>¬</v>
      </c>
      <c r="D309" s="61" cm="1">
        <f t="array" aca="1" ref="D309" ca="1">INDEX(Attendance!$C$14:$GP$44,
       MATCH($F$4, Attendance!$C$14:$C$44, 0),
       MATCH(1, (Attendance!$C$12:$GP$12=$E309) * (Attendance!$C$13:$GP$13="Paid"), 0)
)</f>
        <v>0</v>
      </c>
      <c r="E309" s="42">
        <f t="shared" si="37"/>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8"/>
        <v>¬</v>
      </c>
      <c r="D310" s="61" cm="1">
        <f t="array" aca="1" ref="D310" ca="1">INDEX(Attendance!$C$14:$GP$44,
       MATCH($F$4, Attendance!$C$14:$C$44, 0),
       MATCH(1, (Attendance!$C$12:$GP$12=$E310) * (Attendance!$C$13:$GP$13="Paid"), 0)
)</f>
        <v>0</v>
      </c>
      <c r="E310" s="42">
        <f t="shared" si="37"/>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8"/>
        <v>¬</v>
      </c>
      <c r="D311" s="61" cm="1">
        <f t="array" aca="1" ref="D311" ca="1">INDEX(Attendance!$C$14:$GP$44,
       MATCH($F$4, Attendance!$C$14:$C$44, 0),
       MATCH(1, (Attendance!$C$12:$GP$12=$E311) * (Attendance!$C$13:$GP$13="Paid"), 0)
)</f>
        <v>0</v>
      </c>
      <c r="E311" s="42">
        <f t="shared" si="37"/>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8"/>
        <v>¬</v>
      </c>
      <c r="D312" s="61" cm="1">
        <f t="array" aca="1" ref="D312" ca="1">INDEX(Attendance!$C$14:$GP$44,
       MATCH($F$4, Attendance!$C$14:$C$44, 0),
       MATCH(1, (Attendance!$C$12:$GP$12=$E312) * (Attendance!$C$13:$GP$13="Paid"), 0)
)</f>
        <v>0</v>
      </c>
      <c r="E312" s="42">
        <f t="shared" si="37"/>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8"/>
        <v>¬</v>
      </c>
      <c r="D313" s="61" cm="1">
        <f t="array" aca="1" ref="D313" ca="1">INDEX(Attendance!$C$14:$GP$44,
       MATCH($F$4, Attendance!$C$14:$C$44, 0),
       MATCH(1, (Attendance!$C$12:$GP$12=$E313) * (Attendance!$C$13:$GP$13="Paid"), 0)
)</f>
        <v>0</v>
      </c>
      <c r="E313" s="42">
        <f t="shared" si="37"/>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39">IF(AF44="","¬",AF44)</f>
        <v>Impose Mesmerised Condition. Control with short commands.</v>
      </c>
      <c r="D314" s="61" cm="1">
        <f t="array" aca="1" ref="D314" ca="1">INDEX(Attendance!$C$14:$GP$44,
       MATCH($F$4, Attendance!$C$14:$C$44, 0),
       MATCH(1, (Attendance!$C$12:$GP$12=$E314) * (Attendance!$C$13:$GP$13="Paid"), 0)
)</f>
        <v>0</v>
      </c>
      <c r="E314" s="42">
        <f t="shared" si="37"/>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39"/>
        <v>Impose Dominated Condition. Give long, detailed commands.</v>
      </c>
      <c r="D315" s="61" cm="1">
        <f t="array" aca="1" ref="D315" ca="1">INDEX(Attendance!$C$14:$GP$44,
       MATCH($F$4, Attendance!$C$14:$C$44, 0),
       MATCH(1, (Attendance!$C$12:$GP$12=$E315) * (Attendance!$C$13:$GP$13="Paid"), 0)
)</f>
        <v>0</v>
      </c>
      <c r="E315" s="42">
        <f t="shared" si="37"/>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39"/>
        <v>Establish triggers for other Dominate powers.</v>
      </c>
      <c r="D316" s="61" cm="1">
        <f t="array" aca="1" ref="D316" ca="1">INDEX(Attendance!$C$14:$GP$44,
       MATCH($F$4, Attendance!$C$14:$C$44, 0),
       MATCH(1, (Attendance!$C$12:$GP$12=$E316) * (Attendance!$C$13:$GP$13="Paid"), 0)
)</f>
        <v>0</v>
      </c>
      <c r="E316" s="42">
        <f t="shared" si="37"/>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39"/>
        <v>Impose Amnesia or False Memories Condition.</v>
      </c>
    </row>
    <row r="318" spans="1:9">
      <c r="A318" s="1" t="s">
        <v>317</v>
      </c>
      <c r="B318" t="str">
        <f t="shared" si="39"/>
        <v>Control victim's body. Only walk in sun if victim normally can.</v>
      </c>
    </row>
    <row r="319" spans="1:9">
      <c r="A319" s="1" t="s">
        <v>318</v>
      </c>
      <c r="B319" t="str">
        <f t="shared" si="39"/>
        <v>Downgrade damage and increase Stamina. Improve Armour and Defences. Unnatural Fortitude: add Resilience dots as bonus dice to non-combat Stamina pools.</v>
      </c>
    </row>
    <row r="320" spans="1:9">
      <c r="A320" s="1" t="s">
        <v>319</v>
      </c>
      <c r="B320" t="str">
        <f t="shared" si="39"/>
        <v>¬</v>
      </c>
    </row>
    <row r="321" spans="1:2">
      <c r="A321" s="1" t="s">
        <v>320</v>
      </c>
      <c r="B321" t="str">
        <f t="shared" si="39"/>
        <v>¬</v>
      </c>
    </row>
    <row r="322" spans="1:2">
      <c r="A322" s="1" t="s">
        <v>321</v>
      </c>
      <c r="B322" t="str">
        <f t="shared" si="39"/>
        <v>¬</v>
      </c>
    </row>
    <row r="323" spans="1:2">
      <c r="A323" s="1" t="s">
        <v>322</v>
      </c>
      <c r="B323" t="str">
        <f t="shared" si="39"/>
        <v>¬</v>
      </c>
    </row>
    <row r="324" spans="1:2">
      <c r="A324" s="1" t="s">
        <v>323</v>
      </c>
      <c r="B324" t="str">
        <f t="shared" si="39"/>
        <v>¬</v>
      </c>
    </row>
    <row r="325" spans="1:2">
      <c r="A325" s="1" t="s">
        <v>324</v>
      </c>
      <c r="B325" t="str">
        <f t="shared" si="39"/>
        <v>¬</v>
      </c>
    </row>
    <row r="326" spans="1:2">
      <c r="A326" s="1" t="s">
        <v>325</v>
      </c>
      <c r="B326" t="str">
        <f t="shared" si="39"/>
        <v>¬</v>
      </c>
    </row>
    <row r="327" spans="1:2">
      <c r="A327" s="1" t="s">
        <v>326</v>
      </c>
      <c r="B327" t="str">
        <f t="shared" si="39"/>
        <v>¬</v>
      </c>
    </row>
    <row r="328" spans="1:2">
      <c r="A328" s="1" t="s">
        <v>327</v>
      </c>
      <c r="B328" t="str">
        <f t="shared" si="39"/>
        <v>¬</v>
      </c>
    </row>
    <row r="329" spans="1:2">
      <c r="A329" s="1" t="s">
        <v>328</v>
      </c>
      <c r="B329" t="str">
        <f t="shared" si="39"/>
        <v>¬</v>
      </c>
    </row>
    <row r="330" spans="1:2">
      <c r="A330" s="1" t="s">
        <v>329</v>
      </c>
      <c r="B330" t="str">
        <f t="shared" si="39"/>
        <v>¬</v>
      </c>
    </row>
    <row r="331" spans="1:2">
      <c r="A331" s="1" t="s">
        <v>330</v>
      </c>
      <c r="B331" t="str">
        <f t="shared" si="39"/>
        <v>¬</v>
      </c>
    </row>
    <row r="332" spans="1:2">
      <c r="A332" s="1" t="s">
        <v>331</v>
      </c>
      <c r="B332" t="str">
        <f t="shared" si="39"/>
        <v>¬</v>
      </c>
    </row>
    <row r="333" spans="1:2">
      <c r="A333" s="1" t="s">
        <v>332</v>
      </c>
      <c r="B333" t="str">
        <f t="shared" si="39"/>
        <v>¬</v>
      </c>
    </row>
    <row r="334" spans="1:2">
      <c r="A334" s="1" t="s">
        <v>333</v>
      </c>
      <c r="B334" t="str">
        <f t="shared" si="39"/>
        <v>¬</v>
      </c>
    </row>
    <row r="335" spans="1:2">
      <c r="A335" s="1" t="s">
        <v>334</v>
      </c>
      <c r="B335" t="str">
        <f t="shared" si="39"/>
        <v>¬</v>
      </c>
    </row>
    <row r="336" spans="1:2">
      <c r="A336" s="1" t="s">
        <v>335</v>
      </c>
      <c r="B336" t="str">
        <f t="shared" si="39"/>
        <v>¬</v>
      </c>
    </row>
    <row r="337" spans="1:2">
      <c r="A337" s="1" t="s">
        <v>336</v>
      </c>
      <c r="B337" t="str">
        <f t="shared" si="39"/>
        <v>¬</v>
      </c>
    </row>
    <row r="338" spans="1:2">
      <c r="A338" s="1" t="s">
        <v>337</v>
      </c>
      <c r="B338" t="str">
        <f t="shared" si="39"/>
        <v>¬</v>
      </c>
    </row>
    <row r="339" spans="1:2">
      <c r="A339" s="1" t="s">
        <v>338</v>
      </c>
      <c r="B339" t="str">
        <f t="shared" si="39"/>
        <v>¬</v>
      </c>
    </row>
    <row r="340" spans="1:2">
      <c r="A340" s="1" t="s">
        <v>339</v>
      </c>
      <c r="B340" t="str">
        <f t="shared" si="39"/>
        <v>¬</v>
      </c>
    </row>
    <row r="341" spans="1:2">
      <c r="A341" s="1" t="s">
        <v>340</v>
      </c>
      <c r="B341" t="str">
        <f t="shared" si="39"/>
        <v>¬</v>
      </c>
    </row>
    <row r="342" spans="1:2">
      <c r="A342" s="1" t="s">
        <v>341</v>
      </c>
      <c r="B342" t="str">
        <f t="shared" si="39"/>
        <v>¬</v>
      </c>
    </row>
    <row r="343" spans="1:2">
      <c r="A343" s="1" t="s">
        <v>342</v>
      </c>
      <c r="B343" t="str">
        <f t="shared" si="39"/>
        <v>¬</v>
      </c>
    </row>
    <row r="344" spans="1:2">
      <c r="A344" s="1" t="s">
        <v>343</v>
      </c>
      <c r="B344" s="8" t="str">
        <f>IF(VLOOKUP(tblCharDataReed[[#This Row],[Field]],$E$2:$F$361,2,FALSE)="","¬",VLOOKUP(tblCharDataReed[[#This Row],[Field]],$E$2:$F$361,2,FALSE))</f>
        <v>Aloof Curse</v>
      </c>
    </row>
    <row r="345" spans="1:2">
      <c r="A345" s="1" t="s">
        <v>344</v>
      </c>
      <c r="B345" s="8" t="str">
        <f>IF(VLOOKUP(tblCharDataReed[[#This Row],[Field]],$E$2:$F$361,2,FALSE)="","¬",VLOOKUP(tblCharDataReed[[#This Row],[Field]],$E$2:$F$361,2,FALSE))</f>
        <v>¬</v>
      </c>
    </row>
    <row r="346" spans="1:2">
      <c r="A346" s="1" t="s">
        <v>345</v>
      </c>
      <c r="B346" s="8" t="str">
        <f>IF(VLOOKUP(tblCharDataReed[[#This Row],[Field]],$E$2:$F$361,2,FALSE)="","¬",VLOOKUP(tblCharDataReed[[#This Row],[Field]],$E$2:$F$361,2,FALSE))</f>
        <v>¬</v>
      </c>
    </row>
    <row r="347" spans="1:2">
      <c r="A347" s="1" t="s">
        <v>346</v>
      </c>
      <c r="B347" s="8" t="str">
        <f>IF(VLOOKUP(tblCharDataReed[[#This Row],[Field]],$E$2:$F$361,2,FALSE)="","¬",VLOOKUP(tblCharDataReed[[#This Row],[Field]],$E$2:$F$361,2,FALSE))</f>
        <v>¬</v>
      </c>
    </row>
    <row r="348" spans="1:2">
      <c r="A348" s="1" t="s">
        <v>347</v>
      </c>
      <c r="B348" s="8" t="str">
        <f>IF(VLOOKUP(tblCharDataReed[[#This Row],[Field]],$E$2:$F$361,2,FALSE)="","¬",VLOOKUP(tblCharDataReed[[#This Row],[Field]],$E$2:$F$361,2,FALSE))</f>
        <v>¬</v>
      </c>
    </row>
    <row r="349" spans="1:2">
      <c r="A349" s="1" t="s">
        <v>348</v>
      </c>
      <c r="B349" t="str">
        <f>_xlfn.IFNA(VLOOKUP(B344,$F$234:$I$238,3,FALSE),"")</f>
        <v>First Touchstone attaches to Humanity 7; losing it detaches on first Humanity loss. Breaking points always treated as one step lower.</v>
      </c>
    </row>
    <row r="350" spans="1:2">
      <c r="A350" s="1" t="s">
        <v>349</v>
      </c>
      <c r="B350" t="str">
        <f>_xlfn.IFNA(VLOOKUP(B345,$F$234:$I$238,3,FALSE),"¬")</f>
        <v>¬</v>
      </c>
    </row>
    <row r="351" spans="1:2">
      <c r="A351" s="1" t="s">
        <v>350</v>
      </c>
      <c r="B351" t="str">
        <f>_xlfn.IFNA(VLOOKUP(B346,$F$234:$I$238,3,FALSE),"")</f>
        <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9</v>
      </c>
    </row>
    <row r="356" spans="1:2">
      <c r="A356" s="1" t="s">
        <v>355</v>
      </c>
      <c r="B356">
        <f ca="1">P220</f>
        <v>3</v>
      </c>
    </row>
    <row r="357" spans="1:2">
      <c r="A357" s="1" t="s">
        <v>356</v>
      </c>
      <c r="B357" t="str">
        <f>IF(F10="","¬",VLOOKUP(F10,tblAnchors[],2,FALSE))</f>
        <v>Help someone by sharing your vision with them.</v>
      </c>
    </row>
    <row r="358" spans="1:2">
      <c r="A358" s="1" t="s">
        <v>357</v>
      </c>
      <c r="B358" t="str">
        <f>IF(F10="","¬",VLOOKUP(F10,tblAnchors[],3,FALSE))</f>
        <v>Put yourself at risk to show a group the power of your vision.</v>
      </c>
    </row>
    <row r="359" spans="1:2">
      <c r="A359" s="1" t="s">
        <v>358</v>
      </c>
      <c r="B359" t="str">
        <f>IF(F11="","¬",VLOOKUP(F11,tblAnchors[],2,FALSE))</f>
        <v>Cow someone into submission.</v>
      </c>
    </row>
    <row r="360" spans="1:2">
      <c r="A360" s="1" t="s">
        <v>359</v>
      </c>
      <c r="B360" t="str">
        <f>IF(F11="","¬",VLOOKUP(F11,tblAnchors[],3,FALSE))</f>
        <v>Commit a widespread hit against a rival's mortal connections.</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late 30s</v>
      </c>
    </row>
    <row r="365" spans="1:2">
      <c r="A365" s="1" t="s">
        <v>364</v>
      </c>
      <c r="B365" t="str">
        <f>_xlfn.LET(_xlpm.a,IF(F244="","",F244),_xlpm.b,IF(F245="","",F245),IF(AND(_xlpm.a&lt;&gt;"",_xlpm.b&lt;&gt;""),_xlpm.a&amp;", "&amp;_xlpm.b,IF(_xlpm.a&lt;&gt;"",_xlpm.a,IF(_xlpm.b&lt;&gt;"",_xlpm.b,""))))</f>
        <v/>
      </c>
    </row>
  </sheetData>
  <mergeCells count="89">
    <mergeCell ref="F240:I240"/>
    <mergeCell ref="F241:I241"/>
    <mergeCell ref="F242:I242"/>
    <mergeCell ref="F244:I244"/>
    <mergeCell ref="F245:I245"/>
    <mergeCell ref="H238:I238"/>
    <mergeCell ref="H208:I208"/>
    <mergeCell ref="H209:I209"/>
    <mergeCell ref="H210:I210"/>
    <mergeCell ref="H211:I211"/>
    <mergeCell ref="H212:I212"/>
    <mergeCell ref="H213:I213"/>
    <mergeCell ref="H214:I214"/>
    <mergeCell ref="H215:I215"/>
    <mergeCell ref="H234:I234"/>
    <mergeCell ref="H236:I236"/>
    <mergeCell ref="H237:I237"/>
    <mergeCell ref="H207:I207"/>
    <mergeCell ref="H153:I153"/>
    <mergeCell ref="H154:I154"/>
    <mergeCell ref="H155:I155"/>
    <mergeCell ref="H156:I156"/>
    <mergeCell ref="H157:I157"/>
    <mergeCell ref="H177:I177"/>
    <mergeCell ref="H178:I178"/>
    <mergeCell ref="H179:I179"/>
    <mergeCell ref="H180:I180"/>
    <mergeCell ref="H181:I181"/>
    <mergeCell ref="H206:I206"/>
    <mergeCell ref="H152:I152"/>
    <mergeCell ref="H141:I141"/>
    <mergeCell ref="H142:I142"/>
    <mergeCell ref="H143:I143"/>
    <mergeCell ref="H144:I144"/>
    <mergeCell ref="H145:I145"/>
    <mergeCell ref="H146:I146"/>
    <mergeCell ref="H147:I147"/>
    <mergeCell ref="H148:I148"/>
    <mergeCell ref="H149:I149"/>
    <mergeCell ref="H150:I150"/>
    <mergeCell ref="H151:I151"/>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11:I111"/>
    <mergeCell ref="H98:I98"/>
    <mergeCell ref="H101:I101"/>
    <mergeCell ref="H102:I102"/>
    <mergeCell ref="H103:I103"/>
    <mergeCell ref="H104:I104"/>
    <mergeCell ref="H105:I105"/>
    <mergeCell ref="H106:I106"/>
    <mergeCell ref="H107:I107"/>
    <mergeCell ref="H108:I108"/>
    <mergeCell ref="H109:I109"/>
    <mergeCell ref="H110:I110"/>
    <mergeCell ref="H97:I97"/>
    <mergeCell ref="H86:I86"/>
    <mergeCell ref="H87:I87"/>
    <mergeCell ref="H88:I88"/>
    <mergeCell ref="H89:I89"/>
    <mergeCell ref="H90:I90"/>
    <mergeCell ref="H91:I91"/>
    <mergeCell ref="H92:I92"/>
    <mergeCell ref="H93:I93"/>
    <mergeCell ref="H94:I94"/>
    <mergeCell ref="H95:I95"/>
    <mergeCell ref="H96:I96"/>
    <mergeCell ref="H85:I85"/>
    <mergeCell ref="O8:P8"/>
    <mergeCell ref="O9:P9"/>
    <mergeCell ref="O10:P10"/>
    <mergeCell ref="O11:P11"/>
    <mergeCell ref="O12:P12"/>
    <mergeCell ref="H79:I79"/>
    <mergeCell ref="H80:I80"/>
    <mergeCell ref="H81:I81"/>
    <mergeCell ref="H82:I82"/>
    <mergeCell ref="H83:I83"/>
    <mergeCell ref="H84:I84"/>
  </mergeCells>
  <dataValidations count="16">
    <dataValidation type="list" allowBlank="1" showInputMessage="1" showErrorMessage="1" sqref="G248:G277" xr:uid="{0940B01A-2779-493A-9910-09E7C51BE6FD}">
      <formula1>$I$248:$I$249</formula1>
    </dataValidation>
    <dataValidation type="list" allowBlank="1" showInputMessage="1" showErrorMessage="1" sqref="F101:F120" xr:uid="{A7A48E62-D602-444F-856E-69D6CAE4AAF7}">
      <formula1>lstManoeuvres</formula1>
    </dataValidation>
    <dataValidation type="list" allowBlank="1" showInputMessage="1" showErrorMessage="1" sqref="F79:F98" xr:uid="{DE6B1750-833E-4D73-991B-4F428E1B7C07}">
      <formula1>lstMerits</formula1>
    </dataValidation>
    <dataValidation type="list" allowBlank="1" showInputMessage="1" showErrorMessage="1" sqref="F236:F238" xr:uid="{7D00EA23-E758-4896-A40D-B865C73EC3B0}">
      <formula1>lstBanes</formula1>
    </dataValidation>
    <dataValidation type="list" allowBlank="1" showInputMessage="1" showErrorMessage="1" sqref="F206:F215" xr:uid="{FA1881A1-CEB7-4F88-A940-74E7DA669AF4}">
      <formula1>lstPacts</formula1>
    </dataValidation>
    <dataValidation type="list" allowBlank="1" showInputMessage="1" showErrorMessage="1" sqref="G13" xr:uid="{27C51D7B-E4F1-4301-A530-6BD9E924AB20}">
      <formula1>lstStatus</formula1>
    </dataValidation>
    <dataValidation type="list" allowBlank="1" showInputMessage="1" showErrorMessage="1" sqref="F194:F205 F207:F215" xr:uid="{43D1E2F9-D176-4145-ACC9-4353AB26E512}">
      <formula1>lstRites</formula1>
    </dataValidation>
    <dataValidation type="list" allowBlank="1" showInputMessage="1" showErrorMessage="1" sqref="F177:F181" xr:uid="{8D3FBE85-1DCA-44BC-9FA0-E84ECE911535}">
      <formula1>lstDevotions</formula1>
    </dataValidation>
    <dataValidation type="list" allowBlank="1" showInputMessage="1" showErrorMessage="1" sqref="F17:F21" xr:uid="{EE4F6494-118A-4DDA-A414-3A59AF22815B}">
      <formula1>"TRUE,FALSE"</formula1>
    </dataValidation>
    <dataValidation type="list" allowBlank="1" showInputMessage="1" showErrorMessage="1" sqref="F24" xr:uid="{454788F8-992C-42DA-A3C6-F3C7B7FC94F0}">
      <formula1>$D$7:$D$8</formula1>
    </dataValidation>
    <dataValidation type="list" allowBlank="1" showInputMessage="1" showErrorMessage="1" sqref="I25 I30 I35 I41 I51 I61" xr:uid="{8A3317DB-0A05-4D77-A013-107701614988}">
      <formula1>lstPriority</formula1>
    </dataValidation>
    <dataValidation type="list" allowBlank="1" showInputMessage="1" showErrorMessage="1" sqref="F10:F11" xr:uid="{F96E131A-40A8-4B29-983D-D0269999C4D9}">
      <formula1>lstNature</formula1>
    </dataValidation>
    <dataValidation type="list" allowBlank="1" showInputMessage="1" showErrorMessage="1" sqref="F8" xr:uid="{5639EC0D-A94E-456B-A5CE-647213FC419F}">
      <formula1>lstBloodlines</formula1>
    </dataValidation>
    <dataValidation type="list" allowBlank="1" showInputMessage="1" showErrorMessage="1" sqref="F9" xr:uid="{E80B7AAB-98E0-40AC-A878-CE611EAFFBD2}">
      <formula1>lstCovenant</formula1>
    </dataValidation>
    <dataValidation type="list" allowBlank="1" showInputMessage="1" showErrorMessage="1" sqref="F7" xr:uid="{F0FA801D-08F8-44DD-A87D-2718A0590575}">
      <formula1>lstClan</formula1>
    </dataValidation>
    <dataValidation type="list" allowBlank="1" showInputMessage="1" showErrorMessage="1" sqref="G12" xr:uid="{110240C0-2B7C-4BB0-BD95-B4BB970B35E7}">
      <formula1>INDIRECT("tblEffectiveStatus[Position]")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21599ADE-AD66-4048-A803-D039E2BCF9C4}">
          <x14:formula1>
            <xm:f>'Lookup-Domain'!$A$2:$A$8</xm:f>
          </x14:formula1>
          <xm:sqref>F161 F142:F157</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2794C-4767-4315-AA1F-7DC74B89EBB5}">
  <dimension ref="A1:AK365"/>
  <sheetViews>
    <sheetView zoomScale="70" zoomScaleNormal="70" workbookViewId="0">
      <pane ySplit="1" topLeftCell="A203" activePane="bottomLeft" state="frozen"/>
      <selection pane="bottomLeft" activeCell="G81" sqref="G81"/>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Fucking Thief (Sorcerous Eunuch)</v>
      </c>
      <c r="AC2" s="60" t="str" cm="1">
        <f t="array" ref="AC2:AC11">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Finger on the Pulse</v>
      </c>
      <c r="AD2" s="20" t="str">
        <f>IF(AC2="","¬",_xlfn.LET(_xlpm.base,IFERROR(LEFT(AC2,FIND(" (",AC2)-1),AC2),IFERROR(VLOOKUP(_xlpm.base,tblManoeuvre[],2,FALSE) &amp; " " &amp; REPT("●",VLOOKUP(_xlpm.base,tblManoeuvre[],3,FALSE)) &amp; " | " &amp; AC2,AC2 &amp; " " &amp; REPT("●",VLOOKUP(_xlpm.base,$F$79:$P$120,11,FALSE)))))</f>
        <v>Finger on the Pulse ●</v>
      </c>
      <c r="AE2" s="20"/>
      <c r="AF2" s="20" t="str">
        <f>IF(LEN(AC2)=0,"¬",_xlfn.LET(_xlpm.base,IFERROR(LEFT(AC2,FIND(" (",AC2)-1),AC2),IFERROR(VLOOKUP(_xlpm.base,tblMerits[],5,FALSE),IFERROR(VLOOKUP(_xlpm.base,tblManoeuvre[],9,FALSE),"¬"))))</f>
        <v>You are immersed in the Cacophony, and do not suffer the drawback of Cacophony Savvy.</v>
      </c>
      <c r="AI2" s="15" t="s">
        <v>25</v>
      </c>
      <c r="AJ2" s="61">
        <f t="shared" ref="AJ2:AJ58" si="1">VLOOKUP(AI2,$E$3:$P$221,12,FALSE)</f>
        <v>0</v>
      </c>
      <c r="AK2" s="61">
        <f>IF(AJ2=0,IF(COUNTIF($E$42:$E$49,AI2)&gt;0,-3,-1),AJ2)</f>
        <v>-3</v>
      </c>
    </row>
    <row r="3" spans="1:37">
      <c r="A3" s="1" t="s">
        <v>2</v>
      </c>
      <c r="B3">
        <f ca="1">N3</f>
        <v>2</v>
      </c>
      <c r="D3" s="19"/>
      <c r="E3" s="15" t="s">
        <v>4</v>
      </c>
      <c r="F3" s="3" t="s">
        <v>1247</v>
      </c>
      <c r="G3" s="18"/>
      <c r="H3" s="18"/>
      <c r="I3" s="18" t="s">
        <v>1425</v>
      </c>
      <c r="N3" s="60">
        <f ca="1">10+SUM(N4:N6)-SUM(N7)</f>
        <v>2</v>
      </c>
      <c r="Y3" s="15" t="s">
        <v>115</v>
      </c>
      <c r="Z3" s="19"/>
      <c r="AA3" s="61" t="str">
        <f t="shared" si="0"/>
        <v>Sorcerous Eunuch</v>
      </c>
      <c r="AC3" s="60" t="str">
        <v>Fucking Thief (Sorcerous Eunuch)</v>
      </c>
      <c r="AD3" s="20" t="str">
        <f>IF(AC3="","¬",_xlfn.LET(_xlpm.base,IFERROR(LEFT(AC3,FIND(" (",AC3)-1),AC3),IFERROR(VLOOKUP(_xlpm.base,tblManoeuvre[],2,FALSE) &amp; " " &amp; REPT("●",VLOOKUP(_xlpm.base,tblManoeuvre[],3,FALSE)) &amp; " | " &amp; AC3,AC3 &amp; " " &amp; REPT("●",VLOOKUP(_xlpm.base,$F$79:$P$120,11,FALSE)))))</f>
        <v>Fucking Thief (Sorcerous Eunuch) ●</v>
      </c>
      <c r="AE3" s="20"/>
      <c r="AF3" s="20" t="str">
        <f>IF(LEN(AC3)=0,"¬",_xlfn.LET(_xlpm.base,IFERROR(LEFT(AC3,FIND(" (",AC3)-1),AC3),IFERROR(VLOOKUP(_xlpm.base,tblMerits[],5,FALSE),IFERROR(VLOOKUP(_xlpm.base,tblManoeuvre[],9,FALSE),"¬"))))</f>
        <v>Steal flawed knowledge of a single one-dot advantage restricted to another covenant.</v>
      </c>
      <c r="AI3" s="15" t="s">
        <v>41</v>
      </c>
      <c r="AJ3" s="61">
        <f t="shared" si="1"/>
        <v>0</v>
      </c>
      <c r="AK3" s="61">
        <f>IF(AJ3=0,IF(COUNTIF($E$42:$E$49,AI3)&gt;0,-3,-1),AJ3)</f>
        <v>-1</v>
      </c>
    </row>
    <row r="4" spans="1:37">
      <c r="A4" s="1" t="s">
        <v>3</v>
      </c>
      <c r="B4">
        <f ca="1">SUM(N3:N9)</f>
        <v>56</v>
      </c>
      <c r="D4" s="19"/>
      <c r="E4" s="15" t="s">
        <v>5</v>
      </c>
      <c r="F4" s="3" t="s">
        <v>1248</v>
      </c>
      <c r="G4" s="18"/>
      <c r="H4" s="18"/>
      <c r="I4" s="18" t="s">
        <v>1426</v>
      </c>
      <c r="N4" s="61">
        <f>K73*2</f>
        <v>4</v>
      </c>
      <c r="Y4" s="15" t="s">
        <v>116</v>
      </c>
      <c r="Z4" s="19"/>
      <c r="AA4" s="61" t="str">
        <f t="shared" si="0"/>
        <v>Indomitable</v>
      </c>
      <c r="AC4" s="60" t="str">
        <v>Honey With Vinegar</v>
      </c>
      <c r="AD4" s="20" t="str">
        <f>IF(AC4="","¬",_xlfn.LET(_xlpm.base,IFERROR(LEFT(AC4,FIND(" (",AC4)-1),AC4),IFERROR(VLOOKUP(_xlpm.base,tblManoeuvre[],2,FALSE) &amp; " " &amp; REPT("●",VLOOKUP(_xlpm.base,tblManoeuvre[],3,FALSE)) &amp; " | " &amp; AC4,AC4 &amp; " " &amp; REPT("●",VLOOKUP(_xlpm.base,$F$79:$P$120,11,FALSE)))))</f>
        <v>Honey With Vinegar ●</v>
      </c>
      <c r="AE4" s="20"/>
      <c r="AF4" s="20" t="str">
        <f>IF(LEN(AC4)=0,"¬",_xlfn.LET(_xlpm.base,IFERROR(LEFT(AC4,FIND(" (",AC4)-1),AC4),IFERROR(VLOOKUP(_xlpm.base,tblMerits[],5,FALSE),IFERROR(VLOOKUP(_xlpm.base,tblManoeuvre[],9,FALSE),"¬"))))</f>
        <v>You earn influence from Allies, Contacts, and wide Mortal Status one step lower than normal. 1 point of influence at 2 dots or 4 dots respectively.</v>
      </c>
      <c r="AI4" s="15" t="s">
        <v>236</v>
      </c>
      <c r="AJ4" s="61">
        <f t="shared" si="1"/>
        <v>0</v>
      </c>
      <c r="AK4" s="61">
        <f>AJ4</f>
        <v>0</v>
      </c>
    </row>
    <row r="5" spans="1:37">
      <c r="A5" s="1" t="s">
        <v>4</v>
      </c>
      <c r="B5" t="str">
        <f>IF(VLOOKUP(tblCharDataReneM[[#This Row],[Field]],$E$2:$F$362,2,FALSE)="","¬",VLOOKUP(tblCharDataReneM[[#This Row],[Field]],$E$2:$F$362,2,FALSE))</f>
        <v>Luca V</v>
      </c>
      <c r="D5" s="19"/>
      <c r="E5" s="15" t="s">
        <v>6</v>
      </c>
      <c r="F5" s="3" t="s">
        <v>1249</v>
      </c>
      <c r="G5" s="18"/>
      <c r="H5" s="18"/>
      <c r="I5" s="18" t="s">
        <v>1427</v>
      </c>
      <c r="N5" s="61">
        <f>N16</f>
        <v>15</v>
      </c>
      <c r="Y5" s="15" t="s">
        <v>117</v>
      </c>
      <c r="Z5" s="19"/>
      <c r="AA5" s="61" t="str">
        <f t="shared" si="0"/>
        <v>Table Turner</v>
      </c>
      <c r="AC5" s="60" t="str">
        <v>Indomitable</v>
      </c>
      <c r="AD5" s="20" t="str">
        <f>IF(AC5="","¬",_xlfn.LET(_xlpm.base,IFERROR(LEFT(AC5,FIND(" (",AC5)-1),AC5),IFERROR(VLOOKUP(_xlpm.base,tblManoeuvre[],2,FALSE) &amp; " " &amp; REPT("●",VLOOKUP(_xlpm.base,tblManoeuvre[],3,FALSE)) &amp; " | " &amp; AC5,AC5 &amp; " " &amp; REPT("●",VLOOKUP(_xlpm.base,$F$79:$P$120,11,FALSE)))))</f>
        <v>Indomitable ●●</v>
      </c>
      <c r="AE5" s="20"/>
      <c r="AF5" s="20" t="str">
        <f>IF(LEN(AC5)=0,"¬",_xlfn.LET(_xlpm.base,IFERROR(LEFT(AC5,FIND(" (",AC5)-1),AC5),IFERROR(VLOOKUP(_xlpm.base,tblMerits[],5,FALSE),IFERROR(VLOOKUP(_xlpm.base,tblManoeuvre[],9,FALSE),"¬"))))</f>
        <v>+2 to contest or resist supernatural mental influence.</v>
      </c>
      <c r="AI5" s="15" t="s">
        <v>33</v>
      </c>
      <c r="AJ5" s="61">
        <f t="shared" si="1"/>
        <v>2</v>
      </c>
      <c r="AK5" s="61">
        <f>IF(AJ5=0,IF(COUNTIF($E$42:$E$49,AI5)&gt;0,-3,-1),AJ5)</f>
        <v>2</v>
      </c>
    </row>
    <row r="6" spans="1:37">
      <c r="A6" s="1" t="s">
        <v>5</v>
      </c>
      <c r="B6" t="str">
        <f>IF(VLOOKUP(tblCharDataReneM[[#This Row],[Field]],$E$2:$F$362,2,FALSE)="","¬",VLOOKUP(tblCharDataReneM[[#This Row],[Field]],$E$2:$F$362,2,FALSE))</f>
        <v>René Meyer</v>
      </c>
      <c r="D6" s="19"/>
      <c r="E6" s="15" t="s">
        <v>7</v>
      </c>
      <c r="F6" s="3" t="s">
        <v>369</v>
      </c>
      <c r="G6" s="18"/>
      <c r="H6" s="18"/>
      <c r="I6" s="18" t="s">
        <v>1347</v>
      </c>
      <c r="N6" s="61">
        <f ca="1">N279</f>
        <v>4</v>
      </c>
      <c r="Y6" s="15" t="s">
        <v>118</v>
      </c>
      <c r="Z6" s="19"/>
      <c r="AA6" s="61" t="str">
        <f t="shared" si="0"/>
        <v>Honey With Vinegar</v>
      </c>
      <c r="AC6" s="60" t="str">
        <v>Sorcerous Eunuch</v>
      </c>
      <c r="AD6" s="20" t="str">
        <f>IF(AC6="","¬",_xlfn.LET(_xlpm.base,IFERROR(LEFT(AC6,FIND(" (",AC6)-1),AC6),IFERROR(VLOOKUP(_xlpm.base,tblManoeuvre[],2,FALSE) &amp; " " &amp; REPT("●",VLOOKUP(_xlpm.base,tblManoeuvre[],3,FALSE)) &amp; " | " &amp; AC6,AC6 &amp; " " &amp; REPT("●",VLOOKUP(_xlpm.base,$F$79:$P$120,11,FALSE)))))</f>
        <v>Sorcerous Eunuch ●</v>
      </c>
      <c r="AE6" s="20"/>
      <c r="AF6" s="20" t="str">
        <f>IF(LEN(AC6)=0,"¬",_xlfn.LET(_xlpm.base,IFERROR(LEFT(AC6,FIND(" (",AC6)-1),AC6),IFERROR(VLOOKUP(_xlpm.base,tblMerits[],5,FALSE),IFERROR(VLOOKUP(_xlpm.base,tblManoeuvre[],9,FALSE),"¬"))))</f>
        <v>Penalise sorcery against you by Resolve. Can't learn blood sorcery.</v>
      </c>
      <c r="AI6" s="15" t="s">
        <v>237</v>
      </c>
      <c r="AJ6" s="61">
        <f t="shared" si="1"/>
        <v>3</v>
      </c>
      <c r="AK6" s="61">
        <f>AJ6</f>
        <v>3</v>
      </c>
    </row>
    <row r="7" spans="1:37">
      <c r="A7" s="1" t="s">
        <v>6</v>
      </c>
      <c r="B7" t="str">
        <f>IF(VLOOKUP(tblCharDataReneM[[#This Row],[Field]],$E$2:$F$362,2,FALSE)="","¬",VLOOKUP(tblCharDataReneM[[#This Row],[Field]],$E$2:$F$362,2,FALSE))</f>
        <v>Insurgent</v>
      </c>
      <c r="D7" s="19" t="str">
        <f>VLOOKUP(F7,tblClans[],3,FALSE)</f>
        <v>Manipulation</v>
      </c>
      <c r="E7" s="15" t="s">
        <v>8</v>
      </c>
      <c r="F7" s="3" t="s">
        <v>790</v>
      </c>
      <c r="G7" s="18"/>
      <c r="H7" s="18"/>
      <c r="I7" s="18"/>
      <c r="N7" s="60">
        <f>SUM(N8:N12)</f>
        <v>31</v>
      </c>
      <c r="Y7" s="15" t="s">
        <v>119</v>
      </c>
      <c r="Z7" s="19"/>
      <c r="AA7" s="61" t="str">
        <f t="shared" si="0"/>
        <v>Finger on the Pulse</v>
      </c>
      <c r="AC7" s="60" t="str">
        <v>Table Turner</v>
      </c>
      <c r="AD7" s="20" t="str">
        <f>IF(AC7="","¬",_xlfn.LET(_xlpm.base,IFERROR(LEFT(AC7,FIND(" (",AC7)-1),AC7),IFERROR(VLOOKUP(_xlpm.base,tblManoeuvre[],2,FALSE) &amp; " " &amp; REPT("●",VLOOKUP(_xlpm.base,tblManoeuvre[],3,FALSE)) &amp; " | " &amp; AC7,AC7 &amp; " " &amp; REPT("●",VLOOKUP(_xlpm.base,$F$79:$P$120,11,FALSE)))))</f>
        <v>Table Turner ●</v>
      </c>
      <c r="AE7" s="20"/>
      <c r="AF7" s="20" t="str">
        <f>IF(LEN(AC7)=0,"¬",_xlfn.LET(_xlpm.base,IFERROR(LEFT(AC7,FIND(" (",AC7)-1),AC7),IFERROR(VLOOKUP(_xlpm.base,tblMerits[],5,FALSE),IFERROR(VLOOKUP(_xlpm.base,tblManoeuvre[],9,FALSE),"¬"))))</f>
        <v>Spend Willpower to preempt Social Manoeuvring with your own Social action.</v>
      </c>
      <c r="AI7" s="15" t="s">
        <v>49</v>
      </c>
      <c r="AJ7" s="61">
        <f t="shared" si="1"/>
        <v>1</v>
      </c>
      <c r="AK7" s="61">
        <f>AJ7</f>
        <v>1</v>
      </c>
    </row>
    <row r="8" spans="1:37">
      <c r="A8" s="1" t="s">
        <v>7</v>
      </c>
      <c r="B8" t="str">
        <f>IF(VLOOKUP(tblCharDataReneM[[#This Row],[Field]],$E$2:$F$362,2,FALSE)="","¬",LOWER(VLOOKUP(tblCharDataReneM[[#This Row],[Field]],$E$2:$F$362,2,FALSE)))</f>
        <v>she/her</v>
      </c>
      <c r="D8" s="19" t="str">
        <f>VLOOKUP(F7,tblClans[],2,FALSE)</f>
        <v>Dexterity</v>
      </c>
      <c r="E8" s="15" t="s">
        <v>10</v>
      </c>
      <c r="F8" s="3" t="s">
        <v>1250</v>
      </c>
      <c r="G8" s="61" t="b">
        <f>IFERROR(IF(OR(AND(VLOOKUP(F8,tblBloodlines[],2,FALSE)="",VLOOKUP(F8,tblBloodlines[],3,FALSE)="",VLOOKUP(F8,tblBloodlines[],4,FALSE)=""),AND(VLOOKUP(F8,tblBloodlines[],2,FALSE)="",VLOOKUP(F8,tblBloodlines[],3,FALSE)="",F9=VLOOKUP(F8,tblBloodlines[],4,FALSE)),F7=VLOOKUP(F8,tblBloodlines[],2,FALSE),F7=VLOOKUP(F8,tblBloodlines[],3,FALSE)),TRUE,FALSE),"")</f>
        <v>1</v>
      </c>
      <c r="H8" s="18"/>
      <c r="I8" s="18" t="s">
        <v>1428</v>
      </c>
      <c r="N8" s="61">
        <f>N23</f>
        <v>0</v>
      </c>
      <c r="O8" s="65">
        <f>N8/SUM(N$7:N$12)</f>
        <v>0</v>
      </c>
      <c r="P8" s="66"/>
      <c r="Y8" s="15" t="s">
        <v>120</v>
      </c>
      <c r="Z8" s="19"/>
      <c r="AA8" s="61" t="str">
        <f t="shared" si="0"/>
        <v/>
      </c>
      <c r="AC8" s="60" t="str">
        <v>Gettin' Up</v>
      </c>
      <c r="AD8" s="20" t="str">
        <f>IF(AC8="","¬",_xlfn.LET(_xlpm.base,IFERROR(LEFT(AC8,FIND(" (",AC8)-1),AC8),IFERROR(VLOOKUP(_xlpm.base,tblManoeuvre[],2,FALSE) &amp; " " &amp; REPT("●",VLOOKUP(_xlpm.base,tblManoeuvre[],3,FALSE)) &amp; " | " &amp; AC8,AC8 &amp; " " &amp; REPT("●",VLOOKUP(_xlpm.base,$F$79:$P$120,11,FALSE)))))</f>
        <v>Cacophony Savvy ● | Gettin' Up</v>
      </c>
      <c r="AE8" s="20"/>
      <c r="AF8" s="20" t="str">
        <f>IF(LEN(AC8)=0,"¬",_xlfn.LET(_xlpm.base,IFERROR(LEFT(AC8,FIND(" (",AC8)-1),AC8),IFERROR(VLOOKUP(_xlpm.base,tblMerits[],5,FALSE),IFERROR(VLOOKUP(_xlpm.base,tblManoeuvre[],9,FALSE),"¬"))))</f>
        <v>You can read the Cacophony with Intelligence + Streetwise. Within a vampire's Feeding Grounds, add their (not your) dots in that Merit as bonus dice.</v>
      </c>
      <c r="AI8" s="15" t="s">
        <v>34</v>
      </c>
      <c r="AJ8" s="61">
        <f t="shared" si="1"/>
        <v>0</v>
      </c>
      <c r="AK8" s="61">
        <f>IF(AJ8=0,IF(COUNTIF($E$42:$E$49,AI8)&gt;0,-3,-1),AJ8)</f>
        <v>-1</v>
      </c>
    </row>
    <row r="9" spans="1:37">
      <c r="A9" s="1" t="s">
        <v>8</v>
      </c>
      <c r="B9" t="str">
        <f>IF(VLOOKUP(tblCharDataReneM[[#This Row],[Field]],$E$2:$F$362,2,FALSE)="","¬",VLOOKUP(tblCharDataReneM[[#This Row],[Field]],$E$2:$F$362,2,FALSE))</f>
        <v>Daeva</v>
      </c>
      <c r="D9" s="19"/>
      <c r="E9" s="15" t="s">
        <v>11</v>
      </c>
      <c r="F9" s="3" t="s">
        <v>607</v>
      </c>
      <c r="G9" s="18"/>
      <c r="H9" s="18"/>
      <c r="I9" s="18" t="s">
        <v>1429</v>
      </c>
      <c r="N9" s="61">
        <f>N40+T40</f>
        <v>0</v>
      </c>
      <c r="O9" s="65">
        <f>N9/SUM(N$7:N$12)</f>
        <v>0</v>
      </c>
      <c r="P9" s="66"/>
      <c r="Y9" s="15" t="s">
        <v>121</v>
      </c>
      <c r="Z9" s="19"/>
      <c r="AA9" s="61" t="str">
        <f t="shared" si="0"/>
        <v/>
      </c>
      <c r="AC9" s="60" t="str">
        <v>Backpacker</v>
      </c>
      <c r="AD9" s="20" t="str">
        <f>IF(AC9="","¬",_xlfn.LET(_xlpm.base,IFERROR(LEFT(AC9,FIND(" (",AC9)-1),AC9),IFERROR(VLOOKUP(_xlpm.base,tblManoeuvre[],2,FALSE) &amp; " " &amp; REPT("●",VLOOKUP(_xlpm.base,tblManoeuvre[],3,FALSE)) &amp; " | " &amp; AC9,AC9 &amp; " " &amp; REPT("●",VLOOKUP(_xlpm.base,$F$79:$P$120,11,FALSE)))))</f>
        <v>Cacophony Savvy ●● | Backpacker</v>
      </c>
      <c r="AE9" s="20"/>
      <c r="AF9" s="20" t="str">
        <f>IF(LEN(AC9)=0,"¬",_xlfn.LET(_xlpm.base,IFERROR(LEFT(AC9,FIND(" (",AC9)-1),AC9),IFERROR(VLOOKUP(_xlpm.base,tblMerits[],5,FALSE),IFERROR(VLOOKUP(_xlpm.base,tblManoeuvre[],9,FALSE),"¬"))))</f>
        <v>You quickly learn who's who and where they hunt, even newcomers to the city.</v>
      </c>
      <c r="AI9" s="15" t="s">
        <v>238</v>
      </c>
      <c r="AJ9" s="61">
        <f t="shared" si="1"/>
        <v>3</v>
      </c>
      <c r="AK9" s="61">
        <f>AJ9</f>
        <v>3</v>
      </c>
    </row>
    <row r="10" spans="1:37">
      <c r="A10" s="1" t="s">
        <v>9</v>
      </c>
      <c r="B10" t="str">
        <f>CONCATENATE(Elements,B9," icon.svg")</f>
        <v>D:\Terra Mortis\Character Sheets\Sheet Elements\Daeva icon.svg</v>
      </c>
      <c r="D10" s="19"/>
      <c r="E10" s="15" t="s">
        <v>13</v>
      </c>
      <c r="F10" s="3" t="s">
        <v>640</v>
      </c>
      <c r="G10" s="18"/>
      <c r="H10" s="18"/>
      <c r="I10" s="18" t="s">
        <v>1430</v>
      </c>
      <c r="N10" s="61">
        <f>N77</f>
        <v>8</v>
      </c>
      <c r="O10" s="65">
        <f>N10/SUM(N$7:N$12)</f>
        <v>0.12903225806451613</v>
      </c>
      <c r="P10" s="66"/>
      <c r="Y10" s="15" t="s">
        <v>122</v>
      </c>
      <c r="Z10" s="19"/>
      <c r="AA10" s="61" t="str">
        <f t="shared" si="0"/>
        <v/>
      </c>
      <c r="AC10" s="60" t="str">
        <v>Always Be Closing</v>
      </c>
      <c r="AD10" s="20" t="str">
        <f>IF(AC10="","¬",_xlfn.LET(_xlpm.base,IFERROR(LEFT(AC10,FIND(" (",AC10)-1),AC10),IFERROR(VLOOKUP(_xlpm.base,tblManoeuvre[],2,FALSE) &amp; " " &amp; REPT("●",VLOOKUP(_xlpm.base,tblManoeuvre[],3,FALSE)) &amp; " | " &amp; AC10,AC10 &amp; " " &amp; REPT("●",VLOOKUP(_xlpm.base,$F$79:$P$120,11,FALSE)))))</f>
        <v>Fast-Talking ● | Always Be Closing</v>
      </c>
      <c r="AE10" s="20"/>
      <c r="AF10" s="20" t="str">
        <f>IF(LEN(AC10)=0,"¬",_xlfn.LET(_xlpm.base,IFERROR(LEFT(AC10,FIND(" (",AC10)-1),AC10),IFERROR(VLOOKUP(_xlpm.base,tblMerits[],5,FALSE),IFERROR(VLOOKUP(_xlpm.base,tblManoeuvre[],9,FALSE),"¬"))))</f>
        <v>Ignore one dot of a mark's Resolve or Composure when contested or resisted.</v>
      </c>
      <c r="AI10" s="15" t="s">
        <v>24</v>
      </c>
      <c r="AJ10" s="61">
        <f t="shared" si="1"/>
        <v>3</v>
      </c>
      <c r="AK10" s="61">
        <f>AJ10+IFERROR(INDEX($V$26:$V$38,MATCH(AI10,$E$26:$E$38,0)),0)</f>
        <v>3</v>
      </c>
    </row>
    <row r="11" spans="1:37">
      <c r="A11" s="1" t="s">
        <v>10</v>
      </c>
      <c r="B11" t="str">
        <f>IF(VLOOKUP(tblCharDataReneM[[#This Row],[Field]],$E$2:$F$362,2,FALSE)="","¬",VLOOKUP(tblCharDataReneM[[#This Row],[Field]],$E$2:$F$362,2,FALSE))</f>
        <v>Zelani</v>
      </c>
      <c r="D11" s="19"/>
      <c r="E11" s="15" t="s">
        <v>14</v>
      </c>
      <c r="F11" s="3" t="s">
        <v>936</v>
      </c>
      <c r="G11" s="18"/>
      <c r="H11" s="18"/>
      <c r="I11" s="18" t="s">
        <v>1431</v>
      </c>
      <c r="N11" s="61">
        <f>N163</f>
        <v>23</v>
      </c>
      <c r="O11" s="65">
        <f>N11/SUM(N$7:N$12)</f>
        <v>0.37096774193548387</v>
      </c>
      <c r="P11" s="66"/>
      <c r="Y11" s="15" t="s">
        <v>123</v>
      </c>
      <c r="Z11" s="19"/>
      <c r="AA11" s="61" t="str">
        <f t="shared" si="0"/>
        <v/>
      </c>
      <c r="AC11" s="60" t="str">
        <v>Through the Crosshairs</v>
      </c>
      <c r="AD11" s="20" t="str">
        <f>IF(AC11="","¬",_xlfn.LET(_xlpm.base,IFERROR(LEFT(AC11,FIND(" (",AC11)-1),AC11),IFERROR(VLOOKUP(_xlpm.base,tblManoeuvre[],2,FALSE) &amp; " " &amp; REPT("●",VLOOKUP(_xlpm.base,tblManoeuvre[],3,FALSE)) &amp; " | " &amp; AC11,AC11 &amp; " " &amp; REPT("●",VLOOKUP(_xlpm.base,$F$79:$P$120,11,FALSE)))))</f>
        <v>Marksmanship ● | Through the Crosshairs</v>
      </c>
      <c r="AE11" s="20"/>
      <c r="AF11" s="20" t="str">
        <f>IF(LEN(AC11)=0,"¬",_xlfn.LET(_xlpm.base,IFERROR(LEFT(AC11,FIND(" (",AC11)-1),AC11),IFERROR(VLOOKUP(_xlpm.base,tblMerits[],5,FALSE),IFERROR(VLOOKUP(_xlpm.base,tblManoeuvre[],9,FALSE),"¬"))))</f>
        <v>Raise your maximum Aim bonus to Composure + Firearms.</v>
      </c>
      <c r="AI11" s="15" t="s">
        <v>26</v>
      </c>
      <c r="AJ11" s="61">
        <f t="shared" si="1"/>
        <v>0</v>
      </c>
      <c r="AK11" s="61">
        <f>IF(AJ11=0,IF(COUNTIF($E$42:$E$49,AI11)&gt;0,-3,-1),AJ11)</f>
        <v>-3</v>
      </c>
    </row>
    <row r="12" spans="1:37">
      <c r="A12" s="1" t="s">
        <v>11</v>
      </c>
      <c r="B12" t="str">
        <f>IF(VLOOKUP(tblCharDataReneM[[#This Row],[Field]],$E$2:$F$362,2,FALSE)="","¬",VLOOKUP(tblCharDataReneM[[#This Row],[Field]],$E$2:$F$362,2,FALSE))</f>
        <v>Carthian Movement</v>
      </c>
      <c r="D12" s="19"/>
      <c r="E12" s="15" t="s">
        <v>15</v>
      </c>
      <c r="F12" s="3" t="s">
        <v>377</v>
      </c>
      <c r="G12" s="3" t="s">
        <v>377</v>
      </c>
      <c r="H12" s="18"/>
      <c r="I12" s="18" t="s">
        <v>1432</v>
      </c>
      <c r="N12" s="61">
        <f>N71</f>
        <v>0</v>
      </c>
      <c r="O12" s="65">
        <f>N12/SUM(N$7:N$12)</f>
        <v>0</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0</v>
      </c>
      <c r="AK12" s="61">
        <f>IF(AJ12=0,IF(COUNTIF($E$42:$E$49,AI12)&gt;0,-3,-1),AJ12)</f>
        <v>-3</v>
      </c>
    </row>
    <row r="13" spans="1:37">
      <c r="A13" s="1" t="s">
        <v>12</v>
      </c>
      <c r="B13" t="str">
        <f>_xlfn.IFNA(CONCATENATE(Elements,VLOOKUP(B12,tblCovenantShortName[#Data],2,FALSE)," icon.svg"),"")</f>
        <v>D:\Terra Mortis\Character Sheets\Sheet Elements\Carthian icon.svg</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0</v>
      </c>
      <c r="AK13" s="61">
        <f t="shared" ref="AK13:AK19" si="2">AJ13</f>
        <v>0</v>
      </c>
    </row>
    <row r="14" spans="1:37">
      <c r="A14" s="1" t="s">
        <v>13</v>
      </c>
      <c r="B14" t="str">
        <f>IF(VLOOKUP(tblCharDataReneM[[#This Row],[Field]],$E$2:$F$362,2,FALSE)="","¬",VLOOKUP(tblCharDataReneM[[#This Row],[Field]],$E$2:$F$362,2,FALSE))</f>
        <v>Nurturer</v>
      </c>
      <c r="D14" s="19"/>
      <c r="E14" s="15" t="s">
        <v>1433</v>
      </c>
      <c r="F14" s="54">
        <v>29591</v>
      </c>
      <c r="G14" s="3" t="s">
        <v>785</v>
      </c>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0</v>
      </c>
      <c r="AK14" s="61">
        <f t="shared" si="2"/>
        <v>0</v>
      </c>
    </row>
    <row r="15" spans="1:37">
      <c r="A15" s="1" t="s">
        <v>14</v>
      </c>
      <c r="B15" t="str">
        <f>IF(VLOOKUP(tblCharDataReneM[[#This Row],[Field]],$E$2:$F$362,2,FALSE)="","¬",VLOOKUP(tblCharDataReneM[[#This Row],[Field]],$E$2:$F$362,2,FALSE))</f>
        <v>Idealist</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5</v>
      </c>
      <c r="AK15" s="61">
        <f t="shared" ca="1" si="2"/>
        <v>5</v>
      </c>
    </row>
    <row r="16" spans="1:37" ht="15.75" thickBot="1">
      <c r="A16" s="1" t="s">
        <v>15</v>
      </c>
      <c r="B16" t="str">
        <f ca="1">_xlfn.LET(_xlpm.a,VLOOKUP(tblCharDataReneM[[#This Row],[Field]],$E$2:$F$362,2,FALSE),_xlpm.b,VLOOKUP(OFFSET(tblCharDataReneM[[#This Row],[Field]],1,0),$E$2:$F$362,2,FALSE),IF(AND(_xlpm.a&lt;&gt;"",_xlpm.b&lt;&gt;""),_xlpm.a&amp;" &amp; "&amp;_xlpm.b,IF(_xlpm.a&lt;&gt;"",_xlpm.a,IF(_xlpm.b&lt;&gt;"",_xlpm.b,"¬"))))</f>
        <v>Regent</v>
      </c>
      <c r="D16" s="14" t="s">
        <v>1427</v>
      </c>
      <c r="E16" s="14"/>
      <c r="F16" s="14"/>
      <c r="G16" s="14"/>
      <c r="H16" s="14"/>
      <c r="I16" s="14"/>
      <c r="N16" s="60">
        <f>SUM(N17:N21)</f>
        <v>15</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REPT("●",IFERROR(INDEX($P$26:$P$38,MATCH(tblCharDataReneM[[#This Row],[Field]],$E$26:$E$38,0)),0))&amp;REPT("○",IFERROR(INDEX($V$26:$V$38,MATCH(tblCharDataReneM[[#This Row],[Field]],$E$26:$E$38,0)),0))</f>
        <v>●●</v>
      </c>
      <c r="D17" s="19"/>
      <c r="E17" s="15" t="s">
        <v>1435</v>
      </c>
      <c r="F17" s="3" t="b">
        <v>1</v>
      </c>
      <c r="G17" s="19"/>
      <c r="H17" s="19"/>
      <c r="I17" s="19"/>
      <c r="N17" s="61">
        <f>IF(F17=TRUE,3,0)</f>
        <v>3</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3</v>
      </c>
      <c r="AK17" s="61">
        <f>AJ17+IFERROR(INDEX($V$26:$V$38,MATCH(AI17,$E$26:$E$38,0)),0)</f>
        <v>3</v>
      </c>
    </row>
    <row r="18" spans="1:37">
      <c r="A18" s="1" t="s">
        <v>17</v>
      </c>
      <c r="B18" t="str">
        <f>REPT("●",IFERROR(INDEX($P$26:$P$38,MATCH(tblCharDataReneM[[#This Row],[Field]],$E$26:$E$38,0)),0))&amp;REPT("○",IFERROR(INDEX($V$26:$V$38,MATCH(tblCharDataReneM[[#This Row],[Field]],$E$26:$E$38,0)),0))</f>
        <v>●●●</v>
      </c>
      <c r="D18" s="19"/>
      <c r="E18" s="15" t="s">
        <v>1436</v>
      </c>
      <c r="F18" s="3" t="b">
        <v>1</v>
      </c>
      <c r="G18" s="19"/>
      <c r="H18" s="19"/>
      <c r="I18" s="19"/>
      <c r="N18" s="61">
        <f>IF(F18=TRUE,3,0)</f>
        <v>3</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0</v>
      </c>
      <c r="AK18" s="61">
        <f t="shared" si="2"/>
        <v>0</v>
      </c>
    </row>
    <row r="19" spans="1:37">
      <c r="A19" s="1" t="s">
        <v>18</v>
      </c>
      <c r="B19" t="str">
        <f>REPT("●",IFERROR(INDEX($P$26:$P$38,MATCH(tblCharDataReneM[[#This Row],[Field]],$E$26:$E$38,0)),0))&amp;REPT("○",IFERROR(INDEX($V$26:$V$38,MATCH(tblCharDataReneM[[#This Row],[Field]],$E$26:$E$38,0)),0))</f>
        <v>●●●</v>
      </c>
      <c r="D19" s="19"/>
      <c r="E19" s="15" t="s">
        <v>1437</v>
      </c>
      <c r="F19" s="3" t="b">
        <v>1</v>
      </c>
      <c r="G19" s="19"/>
      <c r="H19" s="19"/>
      <c r="I19" s="19"/>
      <c r="N19" s="61">
        <f>IF(F19=TRUE,3,0)</f>
        <v>3</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0</v>
      </c>
      <c r="AK19" s="61">
        <f t="shared" si="2"/>
        <v>0</v>
      </c>
    </row>
    <row r="20" spans="1:37">
      <c r="A20" s="1" t="s">
        <v>19</v>
      </c>
      <c r="B20" t="str">
        <f>REPT("●",IFERROR(INDEX($P$26:$P$38,MATCH(tblCharDataReneM[[#This Row],[Field]],$E$26:$E$38,0)),0))&amp;REPT("○",IFERROR(INDEX($V$26:$V$38,MATCH(tblCharDataReneM[[#This Row],[Field]],$E$26:$E$38,0)),0))</f>
        <v>●○</v>
      </c>
      <c r="D20" s="19"/>
      <c r="E20" s="15" t="s">
        <v>1438</v>
      </c>
      <c r="F20" s="3" t="b">
        <v>1</v>
      </c>
      <c r="G20" s="19"/>
      <c r="H20" s="19"/>
      <c r="I20" s="19"/>
      <c r="N20" s="61">
        <f>IF(F20=TRUE,3,0)</f>
        <v>3</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REPT("●",IFERROR(INDEX($P$26:$P$38,MATCH(tblCharDataReneM[[#This Row],[Field]],$E$26:$E$38,0)),0))&amp;REPT("○",IFERROR(INDEX($V$26:$V$38,MATCH(tblCharDataReneM[[#This Row],[Field]],$E$26:$E$38,0)),0))</f>
        <v>●●●</v>
      </c>
      <c r="D21" s="19"/>
      <c r="E21" s="15" t="s">
        <v>11</v>
      </c>
      <c r="F21" s="3" t="b">
        <v>1</v>
      </c>
      <c r="G21" s="19"/>
      <c r="H21" s="19"/>
      <c r="I21" s="19"/>
      <c r="N21" s="61">
        <f>IF(F21=TRUE,3,0)</f>
        <v>3</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3</v>
      </c>
      <c r="AK21" s="61">
        <f>IF(AJ21=0,IF(COUNTIF($E$42:$E$49,AI21)&gt;0,-3,-1),AJ21)</f>
        <v>3</v>
      </c>
    </row>
    <row r="22" spans="1:37">
      <c r="A22" s="1" t="s">
        <v>21</v>
      </c>
      <c r="B22" t="str">
        <f>REPT("●",IFERROR(INDEX($P$26:$P$38,MATCH(tblCharDataReneM[[#This Row],[Field]],$E$26:$E$38,0)),0))&amp;REPT("○",IFERROR(INDEX($V$26:$V$38,MATCH(tblCharDataReneM[[#This Row],[Field]],$E$26:$E$38,0)),0))</f>
        <v>●●</v>
      </c>
      <c r="Y22" s="15" t="s">
        <v>1439</v>
      </c>
      <c r="Z22" s="61" t="str">
        <f>IFERROR(VLOOKUP(AA22,tblManoeuvre[],2,FALSE),"")</f>
        <v>Fast-Talking</v>
      </c>
      <c r="AA22" s="61" t="str">
        <f t="shared" ref="AA22:AA41" si="3">_xlfn.LET(_xlpm.name,VLOOKUP(Y22,$E$2:$F$362,2,FALSE),_xlpm.paid,_xlfn.IFNA(VLOOKUP(_xlpm.name,$F$79:$Q$120,11,FALSE)&gt;=VLOOKUP(_xlpm.name,$F$79:$Q$120,12,FALSE),FALSE),IF(AND(_xlpm.name&lt;&gt;"",_xlpm.paid),_xlpm.name,""))</f>
        <v>Always Be Closing</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0</v>
      </c>
      <c r="AK22" s="61">
        <f>IF(AJ22=0,IF(COUNTIF($E$42:$E$49,AI22)&gt;0,-3,-1),AJ22)</f>
        <v>-1</v>
      </c>
    </row>
    <row r="23" spans="1:37" ht="15.75" thickBot="1">
      <c r="A23" s="1" t="s">
        <v>22</v>
      </c>
      <c r="B23" t="str">
        <f>REPT("●",IFERROR(INDEX($P$26:$P$38,MATCH(tblCharDataReneM[[#This Row],[Field]],$E$26:$E$38,0)),0))&amp;REPT("○",IFERROR(INDEX($V$26:$V$38,MATCH(tblCharDataReneM[[#This Row],[Field]],$E$26:$E$38,0)),0))</f>
        <v>●●</v>
      </c>
      <c r="D23" s="14" t="s">
        <v>1440</v>
      </c>
      <c r="E23" s="14"/>
      <c r="F23" s="14"/>
      <c r="G23" s="14"/>
      <c r="H23" s="14"/>
      <c r="I23" s="14"/>
      <c r="N23" s="60">
        <f>SUM(N26:N28,N31:N33,N36:N38)</f>
        <v>0</v>
      </c>
      <c r="Y23" s="15" t="s">
        <v>1441</v>
      </c>
      <c r="Z23" s="61" t="str">
        <f>IFERROR(VLOOKUP(AA23,tblManoeuvre[],2,FALSE),"")</f>
        <v>Marksmanship</v>
      </c>
      <c r="AA23" s="61" t="str">
        <f t="shared" si="3"/>
        <v>Through the Crosshairs</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2</v>
      </c>
      <c r="AK23" s="61">
        <f>IF(AJ23=0,VLOOKUP(AI23,$E$42:$Q$69,13,FALSE),AJ23)</f>
        <v>2</v>
      </c>
    </row>
    <row r="24" spans="1:37">
      <c r="A24" s="1" t="s">
        <v>23</v>
      </c>
      <c r="B24" t="str">
        <f>REPT("●",IFERROR(INDEX($P$26:$P$38,MATCH(tblCharDataReneM[[#This Row],[Field]],$E$26:$E$38,0)),0))&amp;REPT("○",IFERROR(INDEX($V$26:$V$38,MATCH(tblCharDataReneM[[#This Row],[Field]],$E$26:$E$38,0)),0))</f>
        <v>●●●</v>
      </c>
      <c r="E24" s="15" t="s">
        <v>1442</v>
      </c>
      <c r="F24" s="3" t="s">
        <v>23</v>
      </c>
      <c r="Y24" s="15" t="s">
        <v>1443</v>
      </c>
      <c r="Z24" s="61" t="str">
        <f>IFERROR(VLOOKUP(AA24,tblManoeuvre[],2,FALSE),"")</f>
        <v>Cacophony Savvy</v>
      </c>
      <c r="AA24" s="61" t="str">
        <f t="shared" si="3"/>
        <v>Gettin' Up</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7</v>
      </c>
      <c r="AK24" s="61">
        <f ca="1">AJ24</f>
        <v>7</v>
      </c>
    </row>
    <row r="25" spans="1:37">
      <c r="A25" s="1" t="s">
        <v>24</v>
      </c>
      <c r="B25" t="str">
        <f>REPT("●",IFERROR(INDEX($P$26:$P$38,MATCH(tblCharDataReneM[[#This Row],[Field]],$E$26:$E$38,0)),0))&amp;REPT("○",IFERROR(INDEX($V$26:$V$38,MATCH(tblCharDataReneM[[#This Row],[Field]],$E$26:$E$38,0)),0))</f>
        <v>●●●</v>
      </c>
      <c r="D25" s="16" t="s">
        <v>1444</v>
      </c>
      <c r="E25" s="17"/>
      <c r="F25" s="17"/>
      <c r="G25" s="17" t="s">
        <v>1445</v>
      </c>
      <c r="H25" s="16" t="s">
        <v>1446</v>
      </c>
      <c r="I25" s="3" t="s">
        <v>1565</v>
      </c>
      <c r="L25" s="60">
        <f>IF(I25="",0,VLOOKUP(I25,tblPriority[#Data],2,FALSE))-SUM(L26:L28)</f>
        <v>0</v>
      </c>
      <c r="Y25" s="15" t="s">
        <v>1447</v>
      </c>
      <c r="Z25" s="61" t="str">
        <f>IFERROR(VLOOKUP(AA25,tblManoeuvre[],2,FALSE),"")</f>
        <v>Cacophony Savvy</v>
      </c>
      <c r="AA25" s="61" t="str">
        <f t="shared" si="3"/>
        <v>Backpacker</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5</v>
      </c>
      <c r="AK25" s="61">
        <f>AJ25</f>
        <v>5</v>
      </c>
    </row>
    <row r="26" spans="1:37">
      <c r="A26" s="1" t="s">
        <v>25</v>
      </c>
      <c r="B26" t="str">
        <f>REPT("●",IFERROR(INDEX($P$42:$P$69,MATCH(tblCharDataReneM[[#This Row],[Field]],$E$42:$E$69,0)),0))&amp;REPT("○",IFERROR(INDEX($V$42:$V$69,MATCH(tblCharDataReneM[[#This Row],[Field]],$E$42:$E$69,0)),0))&amp;IF(IFERROR(INDEX($W$42:$W$69,MATCH(tblCharDataReneM[[#This Row],[Field]],$E$42:$E$69,0)),0)=1,"†","")</f>
        <v/>
      </c>
      <c r="D26" s="18"/>
      <c r="E26" s="15" t="s">
        <v>16</v>
      </c>
      <c r="F26" s="18"/>
      <c r="G26" s="3"/>
      <c r="H26" s="18"/>
      <c r="I26" s="18"/>
      <c r="L26" s="3">
        <v>1</v>
      </c>
      <c r="M26" s="60">
        <f>IF(E26=$F$24,2,1)</f>
        <v>1</v>
      </c>
      <c r="N26" s="3"/>
      <c r="O26" s="61">
        <f>ROUNDDOWN(N26/4,0)</f>
        <v>0</v>
      </c>
      <c r="P26" s="60">
        <f>MIN(SUM(L26,M26,O26),R26)</f>
        <v>2</v>
      </c>
      <c r="R26" s="61">
        <v>5</v>
      </c>
      <c r="U26" s="4"/>
      <c r="V26" s="61">
        <f>U26</f>
        <v>0</v>
      </c>
      <c r="Y26" s="15" t="s">
        <v>1449</v>
      </c>
      <c r="Z26" s="61" t="str">
        <f>IFERROR(VLOOKUP(AA26,tblManoeuvre[],2,FALSE),"")</f>
        <v/>
      </c>
      <c r="AA26" s="61" t="str">
        <f t="shared" si="3"/>
        <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2</v>
      </c>
      <c r="AK26" s="61">
        <f>AJ26+IFERROR(INDEX($V$26:$V$38,MATCH(AI26,$E$26:$E$38,0)),0)</f>
        <v>2</v>
      </c>
    </row>
    <row r="27" spans="1:37">
      <c r="A27" s="1" t="s">
        <v>26</v>
      </c>
      <c r="B27" t="str">
        <f>REPT("●",IFERROR(INDEX($P$42:$P$69,MATCH(tblCharDataReneM[[#This Row],[Field]],$E$42:$E$69,0)),0))&amp;REPT("○",IFERROR(INDEX($V$42:$V$69,MATCH(tblCharDataReneM[[#This Row],[Field]],$E$42:$E$69,0)),0))&amp;IF(IFERROR(INDEX($W$42:$W$69,MATCH(tblCharDataReneM[[#This Row],[Field]],$E$42:$E$69,0)),0)=1,"†","")</f>
        <v/>
      </c>
      <c r="D27" s="18"/>
      <c r="E27" s="15" t="s">
        <v>17</v>
      </c>
      <c r="F27" s="18"/>
      <c r="G27" s="3"/>
      <c r="H27" s="18"/>
      <c r="I27" s="18"/>
      <c r="L27" s="3">
        <v>2</v>
      </c>
      <c r="M27" s="60">
        <f>IF(E27=$F$24,2,1)</f>
        <v>1</v>
      </c>
      <c r="N27" s="3"/>
      <c r="O27" s="61">
        <f>ROUNDDOWN(N27/4,0)</f>
        <v>0</v>
      </c>
      <c r="P27" s="60">
        <f>MIN(SUM(L27,M27,O27),R27)</f>
        <v>3</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0</v>
      </c>
      <c r="AK27" s="61">
        <f>IF(AJ27=0,IF(COUNTIF($E$42:$E$49,AI27)&gt;0,-3,-1),AJ27)</f>
        <v>-1</v>
      </c>
    </row>
    <row r="28" spans="1:37">
      <c r="A28" s="1" t="s">
        <v>27</v>
      </c>
      <c r="B28" t="str">
        <f>REPT("●",IFERROR(INDEX($P$42:$P$69,MATCH(tblCharDataReneM[[#This Row],[Field]],$E$42:$E$69,0)),0))&amp;REPT("○",IFERROR(INDEX($V$42:$V$69,MATCH(tblCharDataReneM[[#This Row],[Field]],$E$42:$E$69,0)),0))&amp;IF(IFERROR(INDEX($W$42:$W$69,MATCH(tblCharDataReneM[[#This Row],[Field]],$E$42:$E$69,0)),0)=1,"†","")</f>
        <v/>
      </c>
      <c r="D28" s="18"/>
      <c r="E28" s="15" t="s">
        <v>18</v>
      </c>
      <c r="F28" s="18"/>
      <c r="G28" s="3"/>
      <c r="H28" s="18"/>
      <c r="I28" s="18"/>
      <c r="L28" s="3">
        <v>2</v>
      </c>
      <c r="M28" s="60">
        <f>IF(E28=$F$24,2,1)</f>
        <v>1</v>
      </c>
      <c r="N28" s="3"/>
      <c r="O28" s="61">
        <f>ROUNDDOWN(N28/4,0)</f>
        <v>0</v>
      </c>
      <c r="P28" s="60">
        <f>MIN(SUM(L28,M28,O28),R28)</f>
        <v>3</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0</v>
      </c>
      <c r="AK28" s="61">
        <f>IF(AJ28=0,IF(COUNTIF($E$42:$E$49,AI28)&gt;0,-3,-1),AJ28)</f>
        <v>-3</v>
      </c>
    </row>
    <row r="29" spans="1:37">
      <c r="A29" s="1" t="s">
        <v>28</v>
      </c>
      <c r="B29" t="str">
        <f>REPT("●",IFERROR(INDEX($P$42:$P$69,MATCH(tblCharDataReneM[[#This Row],[Field]],$E$42:$E$69,0)),0))&amp;REPT("○",IFERROR(INDEX($V$42:$V$69,MATCH(tblCharDataReneM[[#This Row],[Field]],$E$42:$E$69,0)),0))&amp;IF(IFERROR(INDEX($W$42:$W$69,MATCH(tblCharDataReneM[[#This Row],[Field]],$E$42:$E$69,0)),0)=1,"†","")</f>
        <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3</v>
      </c>
      <c r="AK29" s="61">
        <f>IF(AJ29=0,IF(COUNTIF($E$42:$E$49,AI29)&gt;0,-3,-1),AJ29)</f>
        <v>3</v>
      </c>
    </row>
    <row r="30" spans="1:37">
      <c r="A30" s="1" t="s">
        <v>29</v>
      </c>
      <c r="B30" t="str">
        <f>REPT("●",IFERROR(INDEX($P$42:$P$69,MATCH(tblCharDataReneM[[#This Row],[Field]],$E$42:$E$69,0)),0))&amp;REPT("○",IFERROR(INDEX($V$42:$V$69,MATCH(tblCharDataReneM[[#This Row],[Field]],$E$42:$E$69,0)),0))&amp;IF(IFERROR(INDEX($W$42:$W$69,MATCH(tblCharDataReneM[[#This Row],[Field]],$E$42:$E$69,0)),0)=1,"†","")</f>
        <v/>
      </c>
      <c r="D30" s="16" t="s">
        <v>1453</v>
      </c>
      <c r="E30" s="17"/>
      <c r="F30" s="17"/>
      <c r="G30" s="17" t="s">
        <v>1445</v>
      </c>
      <c r="H30" s="16" t="s">
        <v>1446</v>
      </c>
      <c r="I30" s="3" t="s">
        <v>1566</v>
      </c>
      <c r="L30" s="60">
        <f>IF(I30="",0,VLOOKUP(I30,tblPriority[#Data],2,FALSE))-SUM(L31:L33)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1</v>
      </c>
      <c r="AK30" s="61">
        <f>AJ30</f>
        <v>1</v>
      </c>
    </row>
    <row r="31" spans="1:37">
      <c r="A31" s="1" t="s">
        <v>30</v>
      </c>
      <c r="B31" t="str">
        <f>REPT("●",IFERROR(INDEX($P$42:$P$69,MATCH(tblCharDataReneM[[#This Row],[Field]],$E$42:$E$69,0)),0))&amp;REPT("○",IFERROR(INDEX($V$42:$V$69,MATCH(tblCharDataReneM[[#This Row],[Field]],$E$42:$E$69,0)),0))&amp;IF(IFERROR(INDEX($W$42:$W$69,MATCH(tblCharDataReneM[[#This Row],[Field]],$E$42:$E$69,0)),0)=1,"†","")</f>
        <v>●●</v>
      </c>
      <c r="D31" s="18"/>
      <c r="E31" s="15" t="s">
        <v>19</v>
      </c>
      <c r="F31" s="18"/>
      <c r="G31" s="3"/>
      <c r="H31" s="18"/>
      <c r="I31" s="18"/>
      <c r="L31" s="3"/>
      <c r="M31" s="60">
        <f>IF(E31=$F$24,2,1)</f>
        <v>1</v>
      </c>
      <c r="N31" s="3"/>
      <c r="O31" s="61">
        <f>ROUNDDOWN(N31/4,0)</f>
        <v>0</v>
      </c>
      <c r="P31" s="60">
        <f>MIN(SUM(L31,M31,O31),R31)</f>
        <v>1</v>
      </c>
      <c r="R31" s="61">
        <v>5</v>
      </c>
      <c r="U31" s="4"/>
      <c r="V31" s="61">
        <f>$P$174+U31</f>
        <v>1</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3</v>
      </c>
      <c r="AK31" s="61">
        <f>AJ31+IFERROR(INDEX($V$26:$V$38,MATCH(AI31,$E$26:$E$38,0)),0)</f>
        <v>3</v>
      </c>
    </row>
    <row r="32" spans="1:37">
      <c r="A32" s="1" t="s">
        <v>31</v>
      </c>
      <c r="B32" t="str">
        <f>REPT("●",IFERROR(INDEX($P$42:$P$69,MATCH(tblCharDataReneM[[#This Row],[Field]],$E$42:$E$69,0)),0))&amp;REPT("○",IFERROR(INDEX($V$42:$V$69,MATCH(tblCharDataReneM[[#This Row],[Field]],$E$42:$E$69,0)),0))&amp;IF(IFERROR(INDEX($W$42:$W$69,MATCH(tblCharDataReneM[[#This Row],[Field]],$E$42:$E$69,0)),0)=1,"†","")</f>
        <v>●●</v>
      </c>
      <c r="D32" s="18"/>
      <c r="E32" s="15" t="s">
        <v>20</v>
      </c>
      <c r="F32" s="18"/>
      <c r="G32" s="3"/>
      <c r="H32" s="18"/>
      <c r="I32" s="18"/>
      <c r="L32" s="3">
        <v>2</v>
      </c>
      <c r="M32" s="60">
        <f>IF(E32=$F$24,2,1)</f>
        <v>1</v>
      </c>
      <c r="N32" s="3"/>
      <c r="O32" s="61">
        <f>ROUNDDOWN(N32/4,0)</f>
        <v>0</v>
      </c>
      <c r="P32" s="60">
        <f>MIN(SUM(L32,M32,O32),R32)</f>
        <v>3</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REPT("●",IFERROR(INDEX($P$42:$P$69,MATCH(tblCharDataReneM[[#This Row],[Field]],$E$42:$E$69,0)),0))&amp;REPT("○",IFERROR(INDEX($V$42:$V$69,MATCH(tblCharDataReneM[[#This Row],[Field]],$E$42:$E$69,0)),0))&amp;IF(IFERROR(INDEX($W$42:$W$69,MATCH(tblCharDataReneM[[#This Row],[Field]],$E$42:$E$69,0)),0)=1,"†","")</f>
        <v/>
      </c>
      <c r="D33" s="18"/>
      <c r="E33" s="15" t="s">
        <v>21</v>
      </c>
      <c r="F33" s="18"/>
      <c r="G33" s="3"/>
      <c r="H33" s="18"/>
      <c r="I33" s="18"/>
      <c r="L33" s="3">
        <v>1</v>
      </c>
      <c r="M33" s="60">
        <f>IF(E33=$F$24,2,1)</f>
        <v>1</v>
      </c>
      <c r="N33" s="3"/>
      <c r="O33" s="61">
        <f>ROUNDDOWN(N33/4,0)</f>
        <v>0</v>
      </c>
      <c r="P33" s="60">
        <f>MIN(SUM(L33,M33,O33),R33)</f>
        <v>2</v>
      </c>
      <c r="R33" s="61">
        <v>5</v>
      </c>
      <c r="U33" s="4"/>
      <c r="V33" s="61">
        <f>$P$173+U33</f>
        <v>0</v>
      </c>
      <c r="Y33" s="15" t="s">
        <v>1457</v>
      </c>
      <c r="Z33" s="61" t="str">
        <f>IFERROR(VLOOKUP(AA33,tblManoeuvre[],2,FALSE),"")</f>
        <v/>
      </c>
      <c r="AA33" s="61" t="str">
        <f t="shared" si="3"/>
        <v/>
      </c>
      <c r="AI33" s="15" t="s">
        <v>241</v>
      </c>
      <c r="AJ33" s="61">
        <f t="shared" si="1"/>
        <v>0</v>
      </c>
      <c r="AK33" s="61">
        <f>AJ33</f>
        <v>0</v>
      </c>
    </row>
    <row r="34" spans="1:37">
      <c r="A34" s="1" t="s">
        <v>33</v>
      </c>
      <c r="B34" t="str">
        <f>REPT("●",IFERROR(INDEX($P$42:$P$69,MATCH(tblCharDataReneM[[#This Row],[Field]],$E$42:$E$69,0)),0))&amp;REPT("○",IFERROR(INDEX($V$42:$V$69,MATCH(tblCharDataReneM[[#This Row],[Field]],$E$42:$E$69,0)),0))&amp;IF(IFERROR(INDEX($W$42:$W$69,MATCH(tblCharDataReneM[[#This Row],[Field]],$E$42:$E$69,0)),0)=1,"†","")</f>
        <v>●●</v>
      </c>
      <c r="Y34" s="15" t="s">
        <v>1458</v>
      </c>
      <c r="Z34" s="61" t="str">
        <f>IFERROR(VLOOKUP(AA34,tblManoeuvre[],2,FALSE),"")</f>
        <v/>
      </c>
      <c r="AA34" s="61" t="str">
        <f t="shared" si="3"/>
        <v/>
      </c>
      <c r="AI34" s="15" t="s">
        <v>242</v>
      </c>
      <c r="AJ34" s="61">
        <f t="shared" si="1"/>
        <v>1</v>
      </c>
      <c r="AK34" s="61">
        <f>AJ34</f>
        <v>1</v>
      </c>
    </row>
    <row r="35" spans="1:37">
      <c r="A35" s="1" t="s">
        <v>34</v>
      </c>
      <c r="B35" t="str">
        <f>REPT("●",IFERROR(INDEX($P$42:$P$69,MATCH(tblCharDataReneM[[#This Row],[Field]],$E$42:$E$69,0)),0))&amp;REPT("○",IFERROR(INDEX($V$42:$V$69,MATCH(tblCharDataReneM[[#This Row],[Field]],$E$42:$E$69,0)),0))&amp;IF(IFERROR(INDEX($W$42:$W$69,MATCH(tblCharDataReneM[[#This Row],[Field]],$E$42:$E$69,0)),0)=1,"†","")</f>
        <v/>
      </c>
      <c r="D35" s="16" t="s">
        <v>1459</v>
      </c>
      <c r="E35" s="17"/>
      <c r="F35" s="17"/>
      <c r="G35" s="17" t="s">
        <v>1445</v>
      </c>
      <c r="H35" s="16" t="s">
        <v>1446</v>
      </c>
      <c r="I35" s="3" t="s">
        <v>1567</v>
      </c>
      <c r="L35" s="60">
        <f>IF(I35="",0,VLOOKUP(I35,tblPriority[#Data],2,FALSE))-SUM(L36:L38)</f>
        <v>0</v>
      </c>
      <c r="Y35" s="15" t="s">
        <v>1460</v>
      </c>
      <c r="Z35" s="61" t="str">
        <f>IFERROR(VLOOKUP(AA35,tblManoeuvre[],2,FALSE),"")</f>
        <v/>
      </c>
      <c r="AA35" s="61" t="str">
        <f t="shared" si="3"/>
        <v/>
      </c>
      <c r="AI35" s="15" t="s">
        <v>30</v>
      </c>
      <c r="AJ35" s="61">
        <f t="shared" si="1"/>
        <v>2</v>
      </c>
      <c r="AK35" s="61">
        <f>IF(AJ35=0,IF(COUNTIF($E$42:$E$49,AI35)&gt;0,-3,-1),AJ35)</f>
        <v>2</v>
      </c>
    </row>
    <row r="36" spans="1:37">
      <c r="A36" s="1" t="s">
        <v>35</v>
      </c>
      <c r="B36" t="str">
        <f>REPT("●",IFERROR(INDEX($P$42:$P$69,MATCH(tblCharDataReneM[[#This Row],[Field]],$E$42:$E$69,0)),0))&amp;REPT("○",IFERROR(INDEX($V$42:$V$69,MATCH(tblCharDataReneM[[#This Row],[Field]],$E$42:$E$69,0)),0))&amp;IF(IFERROR(INDEX($W$42:$W$69,MATCH(tblCharDataReneM[[#This Row],[Field]],$E$42:$E$69,0)),0)=1,"†","")</f>
        <v/>
      </c>
      <c r="D36" s="18"/>
      <c r="E36" s="15" t="s">
        <v>22</v>
      </c>
      <c r="F36" s="18"/>
      <c r="G36" s="3"/>
      <c r="H36" s="18"/>
      <c r="I36" s="18"/>
      <c r="L36" s="3">
        <v>1</v>
      </c>
      <c r="M36" s="60">
        <f>IF(E36=$F$24,2,1)</f>
        <v>1</v>
      </c>
      <c r="N36" s="3"/>
      <c r="O36" s="61">
        <f>ROUNDDOWN(N36/4,0)</f>
        <v>0</v>
      </c>
      <c r="P36" s="60">
        <f>MIN(SUM(L36,M36,O36),R36)</f>
        <v>2</v>
      </c>
      <c r="R36" s="61">
        <v>5</v>
      </c>
      <c r="U36" s="4"/>
      <c r="V36" s="61">
        <f>U36</f>
        <v>0</v>
      </c>
      <c r="Y36" s="15" t="s">
        <v>1461</v>
      </c>
      <c r="Z36" s="61" t="str">
        <f>IFERROR(VLOOKUP(AA36,tblManoeuvre[],2,FALSE),"")</f>
        <v/>
      </c>
      <c r="AA36" s="61" t="str">
        <f t="shared" si="3"/>
        <v/>
      </c>
      <c r="AI36" s="15" t="s">
        <v>45</v>
      </c>
      <c r="AJ36" s="61">
        <f t="shared" si="1"/>
        <v>2</v>
      </c>
      <c r="AK36" s="61">
        <f>IF(AJ36=0,IF(COUNTIF($E$42:$E$49,AI36)&gt;0,-3,-1),AJ36)</f>
        <v>2</v>
      </c>
    </row>
    <row r="37" spans="1:37">
      <c r="A37" s="1" t="s">
        <v>36</v>
      </c>
      <c r="B37" t="str">
        <f>REPT("●",IFERROR(INDEX($P$42:$P$69,MATCH(tblCharDataReneM[[#This Row],[Field]],$E$42:$E$69,0)),0))&amp;REPT("○",IFERROR(INDEX($V$42:$V$69,MATCH(tblCharDataReneM[[#This Row],[Field]],$E$42:$E$69,0)),0))&amp;IF(IFERROR(INDEX($W$42:$W$69,MATCH(tblCharDataReneM[[#This Row],[Field]],$E$42:$E$69,0)),0)=1,"†","")</f>
        <v>●●</v>
      </c>
      <c r="D37" s="18"/>
      <c r="E37" s="15" t="s">
        <v>23</v>
      </c>
      <c r="F37" s="18"/>
      <c r="G37" s="3"/>
      <c r="H37" s="18"/>
      <c r="I37" s="18"/>
      <c r="L37" s="3">
        <v>1</v>
      </c>
      <c r="M37" s="60">
        <f>IF(E37=$F$24,2,1)</f>
        <v>2</v>
      </c>
      <c r="N37" s="3"/>
      <c r="O37" s="61">
        <f>ROUNDDOWN(N37/4,0)</f>
        <v>0</v>
      </c>
      <c r="P37" s="60">
        <f>MIN(SUM(L37,M37,O37),R37)</f>
        <v>3</v>
      </c>
      <c r="R37" s="61">
        <v>5</v>
      </c>
      <c r="U37" s="4"/>
      <c r="V37" s="61">
        <f>U37</f>
        <v>0</v>
      </c>
      <c r="Y37" s="15" t="s">
        <v>1462</v>
      </c>
      <c r="Z37" s="61" t="str">
        <f>IFERROR(VLOOKUP(AA37,tblManoeuvre[],2,FALSE),"")</f>
        <v/>
      </c>
      <c r="AA37" s="61" t="str">
        <f t="shared" si="3"/>
        <v/>
      </c>
      <c r="AI37" s="15" t="s">
        <v>31</v>
      </c>
      <c r="AJ37" s="61">
        <f t="shared" si="1"/>
        <v>2</v>
      </c>
      <c r="AK37" s="61">
        <f>IF(AJ37=0,IF(COUNTIF($E$42:$E$49,AI37)&gt;0,-3,-1),AJ37)</f>
        <v>2</v>
      </c>
    </row>
    <row r="38" spans="1:37">
      <c r="A38" s="1" t="s">
        <v>37</v>
      </c>
      <c r="B38" t="str">
        <f>REPT("●",IFERROR(INDEX($P$42:$P$69,MATCH(tblCharDataReneM[[#This Row],[Field]],$E$42:$E$69,0)),0))&amp;REPT("○",IFERROR(INDEX($V$42:$V$69,MATCH(tblCharDataReneM[[#This Row],[Field]],$E$42:$E$69,0)),0))&amp;IF(IFERROR(INDEX($W$42:$W$69,MATCH(tblCharDataReneM[[#This Row],[Field]],$E$42:$E$69,0)),0)=1,"†","")</f>
        <v>●●●</v>
      </c>
      <c r="D38" s="18"/>
      <c r="E38" s="15" t="s">
        <v>24</v>
      </c>
      <c r="F38" s="18"/>
      <c r="G38" s="3"/>
      <c r="H38" s="18"/>
      <c r="I38" s="18"/>
      <c r="L38" s="3">
        <v>2</v>
      </c>
      <c r="M38" s="60">
        <f>IF(E38=$F$24,2,1)</f>
        <v>1</v>
      </c>
      <c r="N38" s="3"/>
      <c r="O38" s="61">
        <f>ROUNDDOWN(N38/4,0)</f>
        <v>0</v>
      </c>
      <c r="P38" s="60">
        <f>MIN(SUM(L38,M38,O38),R38)</f>
        <v>3</v>
      </c>
      <c r="R38" s="61">
        <v>5</v>
      </c>
      <c r="U38" s="4"/>
      <c r="V38" s="61">
        <f>U38</f>
        <v>0</v>
      </c>
      <c r="Y38" s="15" t="s">
        <v>1463</v>
      </c>
      <c r="Z38" s="61" t="str">
        <f>IFERROR(VLOOKUP(AA38,tblManoeuvre[],2,FALSE),"")</f>
        <v/>
      </c>
      <c r="AA38" s="61" t="str">
        <f t="shared" si="3"/>
        <v/>
      </c>
      <c r="AI38" s="15" t="s">
        <v>22</v>
      </c>
      <c r="AJ38" s="61">
        <f t="shared" si="1"/>
        <v>2</v>
      </c>
      <c r="AK38" s="61">
        <f>AJ38+IFERROR(INDEX($V$26:$V$38,MATCH(AI38,$E$26:$E$38,0)),0)</f>
        <v>2</v>
      </c>
    </row>
    <row r="39" spans="1:37">
      <c r="A39" s="1" t="s">
        <v>38</v>
      </c>
      <c r="B39" t="str">
        <f>REPT("●",IFERROR(INDEX($P$42:$P$69,MATCH(tblCharDataReneM[[#This Row],[Field]],$E$42:$E$69,0)),0))&amp;REPT("○",IFERROR(INDEX($V$42:$V$69,MATCH(tblCharDataReneM[[#This Row],[Field]],$E$42:$E$69,0)),0))&amp;IF(IFERROR(INDEX($W$42:$W$69,MATCH(tblCharDataReneM[[#This Row],[Field]],$E$42:$E$69,0)),0)=1,"†","")</f>
        <v/>
      </c>
      <c r="Y39" s="15" t="s">
        <v>1464</v>
      </c>
      <c r="Z39" s="61" t="str">
        <f>IFERROR(VLOOKUP(AA39,tblManoeuvre[],2,FALSE),"")</f>
        <v/>
      </c>
      <c r="AA39" s="61" t="str">
        <f t="shared" si="3"/>
        <v/>
      </c>
      <c r="AI39" s="15" t="s">
        <v>243</v>
      </c>
      <c r="AJ39" s="61">
        <f t="shared" si="1"/>
        <v>0</v>
      </c>
      <c r="AK39" s="61">
        <f>AJ39</f>
        <v>0</v>
      </c>
    </row>
    <row r="40" spans="1:37" ht="15.75" thickBot="1">
      <c r="A40" s="1" t="s">
        <v>39</v>
      </c>
      <c r="B40" t="str">
        <f>REPT("●",IFERROR(INDEX($P$42:$P$69,MATCH(tblCharDataReneM[[#This Row],[Field]],$E$42:$E$69,0)),0))&amp;REPT("○",IFERROR(INDEX($V$42:$V$69,MATCH(tblCharDataReneM[[#This Row],[Field]],$E$42:$E$69,0)),0))&amp;IF(IFERROR(INDEX($W$42:$W$69,MATCH(tblCharDataReneM[[#This Row],[Field]],$E$42:$E$69,0)),0)=1,"†","")</f>
        <v/>
      </c>
      <c r="D40" s="14" t="s">
        <v>1465</v>
      </c>
      <c r="E40" s="14"/>
      <c r="F40" s="14"/>
      <c r="G40" s="14"/>
      <c r="H40" s="14"/>
      <c r="I40" s="14"/>
      <c r="N40" s="60">
        <f>SUM(N42:N49,N52:N59,N62:N69)</f>
        <v>0</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1"/>
        <v>0</v>
      </c>
      <c r="AK40" s="61">
        <f>AJ40</f>
        <v>0</v>
      </c>
    </row>
    <row r="41" spans="1:37">
      <c r="A41" s="1" t="s">
        <v>40</v>
      </c>
      <c r="B41" t="str">
        <f>REPT("●",IFERROR(INDEX($P$42:$P$69,MATCH(tblCharDataReneM[[#This Row],[Field]],$E$42:$E$69,0)),0))&amp;REPT("○",IFERROR(INDEX($V$42:$V$69,MATCH(tblCharDataReneM[[#This Row],[Field]],$E$42:$E$69,0)),0))&amp;IF(IFERROR(INDEX($W$42:$W$69,MATCH(tblCharDataReneM[[#This Row],[Field]],$E$42:$E$69,0)),0)=1,"†","")</f>
        <v/>
      </c>
      <c r="D41" s="16" t="s">
        <v>1444</v>
      </c>
      <c r="E41" s="17"/>
      <c r="F41" s="17"/>
      <c r="G41" s="17" t="s">
        <v>1467</v>
      </c>
      <c r="H41" s="16" t="s">
        <v>1446</v>
      </c>
      <c r="I41" s="3" t="s">
        <v>1566</v>
      </c>
      <c r="L41" s="60">
        <f>IF(I41="",0,VLOOKUP(I41,tblPriority[#Data],3,FALSE))-SUM(L42:L49)</f>
        <v>0</v>
      </c>
      <c r="T41" s="60">
        <f>MAX(3+IF(P161&gt;=3,2,0)-SUM(T42:T49,T52:T59,T62:T69),0)</f>
        <v>3</v>
      </c>
      <c r="Y41" s="15" t="s">
        <v>1468</v>
      </c>
      <c r="Z41" s="61" t="str">
        <f>IFERROR(VLOOKUP(AA41,tblManoeuvre[],2,FALSE),"")</f>
        <v/>
      </c>
      <c r="AA41" s="61" t="str">
        <f t="shared" si="3"/>
        <v/>
      </c>
      <c r="AI41" s="15" t="s">
        <v>244</v>
      </c>
      <c r="AJ41" s="61">
        <f t="shared" si="1"/>
        <v>0</v>
      </c>
      <c r="AK41" s="61">
        <f>AJ41</f>
        <v>0</v>
      </c>
    </row>
    <row r="42" spans="1:37">
      <c r="A42" s="1" t="s">
        <v>41</v>
      </c>
      <c r="B42" t="str">
        <f>REPT("●",IFERROR(INDEX($P$42:$P$69,MATCH(tblCharDataReneM[[#This Row],[Field]],$E$42:$E$69,0)),0))&amp;REPT("○",IFERROR(INDEX($V$42:$V$69,MATCH(tblCharDataReneM[[#This Row],[Field]],$E$42:$E$69,0)),0))&amp;IF(IFERROR(INDEX($W$42:$W$69,MATCH(tblCharDataReneM[[#This Row],[Field]],$E$42:$E$69,0)),0)=1,"†","")</f>
        <v/>
      </c>
      <c r="D42" s="18"/>
      <c r="E42" s="15" t="s">
        <v>25</v>
      </c>
      <c r="F42" s="18"/>
      <c r="G42" s="3"/>
      <c r="H42" s="18"/>
      <c r="I42" s="18"/>
      <c r="L42" s="4"/>
      <c r="M42" s="60"/>
      <c r="N42" s="4"/>
      <c r="O42" s="61">
        <f>ROUNDDOWN(N42/2,0)</f>
        <v>0</v>
      </c>
      <c r="P42" s="60">
        <f t="shared" ref="P42:P49" si="4">MIN(SUM(L42,M42,O42),R42)</f>
        <v>0</v>
      </c>
      <c r="R42" s="61">
        <v>5</v>
      </c>
      <c r="T42" s="4"/>
      <c r="U42" s="4"/>
      <c r="V42" s="61">
        <f t="shared" ref="V42:V49" si="5">U42</f>
        <v>0</v>
      </c>
      <c r="W42" s="4"/>
      <c r="AI42" s="15" t="s">
        <v>18</v>
      </c>
      <c r="AJ42" s="61">
        <f t="shared" si="1"/>
        <v>3</v>
      </c>
      <c r="AK42" s="61">
        <f>AJ42+IFERROR(INDEX($V$26:$V$38,MATCH(AI42,$E$26:$E$38,0)),0)</f>
        <v>3</v>
      </c>
    </row>
    <row r="43" spans="1:37">
      <c r="A43" s="1" t="s">
        <v>42</v>
      </c>
      <c r="B43" t="str">
        <f>REPT("●",IFERROR(INDEX($P$42:$P$69,MATCH(tblCharDataReneM[[#This Row],[Field]],$E$42:$E$69,0)),0))&amp;REPT("○",IFERROR(INDEX($V$42:$V$69,MATCH(tblCharDataReneM[[#This Row],[Field]],$E$42:$E$69,0)),0))&amp;IF(IFERROR(INDEX($W$42:$W$69,MATCH(tblCharDataReneM[[#This Row],[Field]],$E$42:$E$69,0)),0)=1,"†","")</f>
        <v>●●●†</v>
      </c>
      <c r="D43" s="18"/>
      <c r="E43" s="15" t="s">
        <v>26</v>
      </c>
      <c r="F43" s="18"/>
      <c r="G43" s="3"/>
      <c r="H43" s="18"/>
      <c r="I43" s="18"/>
      <c r="L43" s="4"/>
      <c r="M43" s="60"/>
      <c r="N43" s="4"/>
      <c r="O43" s="61">
        <f t="shared" ref="O43:O49" si="6">ROUNDDOWN(N43/2,0)</f>
        <v>0</v>
      </c>
      <c r="P43" s="60">
        <f t="shared" si="4"/>
        <v>0</v>
      </c>
      <c r="R43" s="61">
        <v>5</v>
      </c>
      <c r="T43" s="4"/>
      <c r="U43" s="4"/>
      <c r="V43" s="61">
        <f t="shared" si="5"/>
        <v>0</v>
      </c>
      <c r="W43" s="4"/>
      <c r="AI43" s="15" t="s">
        <v>32</v>
      </c>
      <c r="AJ43" s="61">
        <f t="shared" si="1"/>
        <v>0</v>
      </c>
      <c r="AK43" s="61">
        <f>IF(AJ43=0,IF(COUNTIF($E$42:$E$49,AI43)&gt;0,-3,-1),AJ43)</f>
        <v>-3</v>
      </c>
    </row>
    <row r="44" spans="1:37">
      <c r="A44" s="1" t="s">
        <v>43</v>
      </c>
      <c r="B44" t="str">
        <f>REPT("●",IFERROR(INDEX($P$42:$P$69,MATCH(tblCharDataReneM[[#This Row],[Field]],$E$42:$E$69,0)),0))&amp;REPT("○",IFERROR(INDEX($V$42:$V$69,MATCH(tblCharDataReneM[[#This Row],[Field]],$E$42:$E$69,0)),0))&amp;IF(IFERROR(INDEX($W$42:$W$69,MATCH(tblCharDataReneM[[#This Row],[Field]],$E$42:$E$69,0)),0)=1,"†","")</f>
        <v/>
      </c>
      <c r="D44" s="18"/>
      <c r="E44" s="15" t="s">
        <v>27</v>
      </c>
      <c r="F44" s="18"/>
      <c r="G44" s="3"/>
      <c r="H44" s="18"/>
      <c r="I44" s="18"/>
      <c r="L44" s="4"/>
      <c r="M44" s="60"/>
      <c r="N44" s="4"/>
      <c r="O44" s="61">
        <f t="shared" si="6"/>
        <v>0</v>
      </c>
      <c r="P44" s="60">
        <f t="shared" si="4"/>
        <v>0</v>
      </c>
      <c r="R44" s="61">
        <v>5</v>
      </c>
      <c r="T44" s="4"/>
      <c r="U44" s="4"/>
      <c r="V44" s="61">
        <f t="shared" si="5"/>
        <v>0</v>
      </c>
      <c r="W44" s="4"/>
      <c r="Y44" s="15">
        <v>1</v>
      </c>
      <c r="Z44" s="61" t="s">
        <v>236</v>
      </c>
      <c r="AA44" s="60" t="str" cm="1">
        <f t="array" ref="AA44">IF(OR(Y44=0,Y44=""),"",IF(VLOOKUP(Z44,$AI$1:$AJ$58,2,FALSE)&gt;=Y44,INDEX(tblDisciplines[Name],MATCH(1,(tblDisciplines[Discipline]=Z44)*(tblDisciplines[Rank]=Y44),0)),""))</f>
        <v/>
      </c>
      <c r="AC44" s="60" t="str" cm="1">
        <f t="array" ref="AC44:AC54">IFERROR(_xlfn.VSTACK(IFERROR(_xlfn._xlws.FILTER(AA44:AA121,AA44:AA121&lt;&gt;""),""),IFERROR(_xlfn._xlws.SORT(_xlfn._xlws.FILTER(AA123:AA132,AA123:AA132&lt;&gt;"")),"")),"")</f>
        <v>Beast's Hackles</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Auspex ● | Beast's Hackles</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Free (1 V for Insight)  •  Pool: - - Composure &amp; Closed Book  •  Instant  •  Scene</v>
      </c>
      <c r="AF44" s="20" t="str">
        <f>IF(AC44="","",IFERROR(VLOOKUP(AC44,tblDisciplines[],12,FALSE),VLOOKUP(AC44,tblPacts[],5,FALSE)))</f>
        <v>Add Auspex dots to any rolls to resist surprise. Access to Tier 1 Auspex Insight questions.</v>
      </c>
      <c r="AI44" s="15" t="s">
        <v>353</v>
      </c>
      <c r="AJ44" s="61">
        <f t="shared" si="1"/>
        <v>5</v>
      </c>
      <c r="AK44" s="61">
        <f>AJ44</f>
        <v>5</v>
      </c>
    </row>
    <row r="45" spans="1:37">
      <c r="A45" s="1" t="s">
        <v>44</v>
      </c>
      <c r="B45" t="str">
        <f>REPT("●",IFERROR(INDEX($P$42:$P$69,MATCH(tblCharDataReneM[[#This Row],[Field]],$E$42:$E$69,0)),0))&amp;REPT("○",IFERROR(INDEX($V$42:$V$69,MATCH(tblCharDataReneM[[#This Row],[Field]],$E$42:$E$69,0)),0))&amp;IF(IFERROR(INDEX($W$42:$W$69,MATCH(tblCharDataReneM[[#This Row],[Field]],$E$42:$E$69,0)),0)=1,"†","")</f>
        <v/>
      </c>
      <c r="D45" s="18"/>
      <c r="E45" s="15" t="s">
        <v>28</v>
      </c>
      <c r="F45" s="18"/>
      <c r="G45" s="3"/>
      <c r="H45" s="18"/>
      <c r="I45" s="18"/>
      <c r="L45" s="4"/>
      <c r="M45" s="60"/>
      <c r="N45" s="4"/>
      <c r="O45" s="61">
        <f t="shared" si="6"/>
        <v>0</v>
      </c>
      <c r="P45" s="60">
        <f t="shared" si="4"/>
        <v>0</v>
      </c>
      <c r="R45" s="61">
        <v>5</v>
      </c>
      <c r="T45" s="4"/>
      <c r="U45" s="4"/>
      <c r="V45" s="61">
        <f t="shared" si="5"/>
        <v>0</v>
      </c>
      <c r="W45" s="4"/>
      <c r="Y45" s="15">
        <v>2</v>
      </c>
      <c r="Z45" s="61" t="s">
        <v>236</v>
      </c>
      <c r="AA45" s="60" t="str" cm="1">
        <f t="array" ref="AA45">IF(OR(Y45=0,Y45=""),"",IF(VLOOKUP(Z45,$AI$1:$AJ$58,2,FALSE)&gt;=Y45,INDEX(tblDisciplines[Name],MATCH(1,(tblDisciplines[Discipline]=Z45)*(tblDisciplines[Rank]=Y45),0)),""))</f>
        <v/>
      </c>
      <c r="AC45" s="60" t="str">
        <v>Uncanny Perception</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Auspex ●● | Uncanny Perception</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Free (1 V for Insight) Must perceive target  •  Pool: -  •  Instant  •  Scene</v>
      </c>
      <c r="AF45" s="20" t="str">
        <f>IF(AC45="","",IFERROR(VLOOKUP(AC45,tblDisciplines[],12,FALSE),VLOOKUP(AC45,tblPacts[],5,FALSE)))</f>
        <v>Persistent Acute Senses Merit, doubles actual merit. Access to Tier 2 Auspex Insight questions.</v>
      </c>
      <c r="AI45" s="15" t="s">
        <v>46</v>
      </c>
      <c r="AJ45" s="61">
        <f t="shared" si="1"/>
        <v>0</v>
      </c>
      <c r="AK45" s="61">
        <f>IF(AJ45=0,IF(COUNTIF($E$42:$E$49,AI45)&gt;0,-3,-1),AJ45)</f>
        <v>-1</v>
      </c>
    </row>
    <row r="46" spans="1:37">
      <c r="A46" s="1" t="s">
        <v>45</v>
      </c>
      <c r="B46" t="str">
        <f>REPT("●",IFERROR(INDEX($P$42:$P$69,MATCH(tblCharDataReneM[[#This Row],[Field]],$E$42:$E$69,0)),0))&amp;REPT("○",IFERROR(INDEX($V$42:$V$69,MATCH(tblCharDataReneM[[#This Row],[Field]],$E$42:$E$69,0)),0))&amp;IF(IFERROR(INDEX($W$42:$W$69,MATCH(tblCharDataReneM[[#This Row],[Field]],$E$42:$E$69,0)),0)=1,"†","")</f>
        <v>●●</v>
      </c>
      <c r="D46" s="18"/>
      <c r="E46" s="15" t="s">
        <v>29</v>
      </c>
      <c r="F46" s="18"/>
      <c r="G46" s="3"/>
      <c r="H46" s="18"/>
      <c r="I46" s="18"/>
      <c r="L46" s="4"/>
      <c r="M46" s="60"/>
      <c r="N46" s="4"/>
      <c r="O46" s="61">
        <f t="shared" si="6"/>
        <v>0</v>
      </c>
      <c r="P46" s="60">
        <f t="shared" si="4"/>
        <v>0</v>
      </c>
      <c r="R46" s="61">
        <v>5</v>
      </c>
      <c r="T46" s="4"/>
      <c r="U46" s="4"/>
      <c r="V46" s="61">
        <f t="shared" si="5"/>
        <v>0</v>
      </c>
      <c r="W46" s="4"/>
      <c r="Y46" s="15">
        <v>3</v>
      </c>
      <c r="Z46" s="61" t="s">
        <v>236</v>
      </c>
      <c r="AA46" s="60" t="str" cm="1">
        <f t="array" ref="AA46">IF(OR(Y46=0,Y46=""),"",IF(VLOOKUP(Z46,$AI$1:$AJ$58,2,FALSE)&gt;=Y46,INDEX(tblDisciplines[Name],MATCH(1,(tblDisciplines[Discipline]=Z46)*(tblDisciplines[Rank]=Y46),0)),""))</f>
        <v/>
      </c>
      <c r="AC46" s="60" t="str">
        <v>Spirit's Touch</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Auspex ●●● | Spirit's Touch</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Free (1 WP for clash / 1 V for Insight)  •  Pool: - v Resolve + Stealth + Obf  •  Reflexive  •  Immediate</v>
      </c>
      <c r="AF46" s="20" t="str">
        <f>IF(AC46="","",IFERROR(VLOOKUP(AC46,tblDisciplines[],12,FALSE),VLOOKUP(AC46,tblPacts[],5,FALSE)))</f>
        <v xml:space="preserve">Passively scan for anyone under Obfuscate 1 or 3, can provoke a challenge. Access to Tier 3 Auspex Insight questions. </v>
      </c>
      <c r="AI46" s="15" t="s">
        <v>354</v>
      </c>
      <c r="AJ46" s="61">
        <f t="shared" ca="1" si="1"/>
        <v>10</v>
      </c>
      <c r="AK46" s="61">
        <f ca="1">AJ46</f>
        <v>10</v>
      </c>
    </row>
    <row r="47" spans="1:37">
      <c r="A47" s="1" t="s">
        <v>46</v>
      </c>
      <c r="B47" t="str">
        <f>REPT("●",IFERROR(INDEX($P$42:$P$69,MATCH(tblCharDataReneM[[#This Row],[Field]],$E$42:$E$69,0)),0))&amp;REPT("○",IFERROR(INDEX($V$42:$V$69,MATCH(tblCharDataReneM[[#This Row],[Field]],$E$42:$E$69,0)),0))&amp;IF(IFERROR(INDEX($W$42:$W$69,MATCH(tblCharDataReneM[[#This Row],[Field]],$E$42:$E$69,0)),0)=1,"†","")</f>
        <v/>
      </c>
      <c r="D47" s="18"/>
      <c r="E47" s="15" t="s">
        <v>30</v>
      </c>
      <c r="F47" s="18"/>
      <c r="G47" s="3" t="s">
        <v>1252</v>
      </c>
      <c r="H47" s="18"/>
      <c r="I47" s="18"/>
      <c r="L47" s="4">
        <v>2</v>
      </c>
      <c r="M47" s="60"/>
      <c r="N47" s="4"/>
      <c r="O47" s="61">
        <f t="shared" si="6"/>
        <v>0</v>
      </c>
      <c r="P47" s="60">
        <f t="shared" si="4"/>
        <v>2</v>
      </c>
      <c r="R47" s="61">
        <v>5</v>
      </c>
      <c r="T47" s="4"/>
      <c r="U47" s="4"/>
      <c r="V47" s="61">
        <f t="shared" si="5"/>
        <v>0</v>
      </c>
      <c r="W47" s="4"/>
      <c r="Y47" s="15">
        <v>4</v>
      </c>
      <c r="Z47" s="61" t="s">
        <v>236</v>
      </c>
      <c r="AA47" s="60" t="str" cm="1">
        <f t="array" ref="AA47">IF(OR(Y47=0,Y47=""),"",IF(VLOOKUP(Z47,$AI$1:$AJ$58,2,FALSE)&gt;=Y47,INDEX(tblDisciplines[Name],MATCH(1,(tblDisciplines[Discipline]=Z47)*(tblDisciplines[Rank]=Y47),0)),""))</f>
        <v/>
      </c>
      <c r="AC47" s="60" t="str">
        <v>Celerity 3</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Celerity ●●●</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Cost: 1 V per effect  •  Pool: -  •  Reflexive  •  1 turn</v>
      </c>
      <c r="AF47" s="20" t="str">
        <f>IF(AC47="","",IFERROR(VLOOKUP(AC47,tblDisciplines[],12,FALSE),VLOOKUP(AC47,tblPacts[],5,FALSE)))</f>
        <v>Persistent improved Defence or Dodge. Activate for supernatural speed benefits. Unnatural Grace: add Celerity dots as bonus dice to non-combat speed-based pools.</v>
      </c>
      <c r="AI47" s="15" t="s">
        <v>21</v>
      </c>
      <c r="AJ47" s="61">
        <f t="shared" si="1"/>
        <v>2</v>
      </c>
      <c r="AK47" s="61">
        <f>AJ47+IFERROR(INDEX($V$26:$V$38,MATCH(AI47,$E$26:$E$38,0)),0)</f>
        <v>2</v>
      </c>
    </row>
    <row r="48" spans="1:37">
      <c r="A48" s="1" t="s">
        <v>47</v>
      </c>
      <c r="B48" t="str">
        <f>REPT("●",IFERROR(INDEX($P$42:$P$69,MATCH(tblCharDataReneM[[#This Row],[Field]],$E$42:$E$69,0)),0))&amp;REPT("○",IFERROR(INDEX($V$42:$V$69,MATCH(tblCharDataReneM[[#This Row],[Field]],$E$42:$E$69,0)),0))&amp;IF(IFERROR(INDEX($W$42:$W$69,MATCH(tblCharDataReneM[[#This Row],[Field]],$E$42:$E$69,0)),0)=1,"†","")</f>
        <v>●●●†</v>
      </c>
      <c r="D48" s="18"/>
      <c r="E48" s="15" t="s">
        <v>31</v>
      </c>
      <c r="F48" s="18"/>
      <c r="G48" s="3" t="s">
        <v>1253</v>
      </c>
      <c r="H48" s="18"/>
      <c r="I48" s="18"/>
      <c r="L48" s="4">
        <v>2</v>
      </c>
      <c r="M48" s="60"/>
      <c r="N48" s="4"/>
      <c r="O48" s="61">
        <f t="shared" si="6"/>
        <v>0</v>
      </c>
      <c r="P48" s="60">
        <f t="shared" si="4"/>
        <v>2</v>
      </c>
      <c r="R48" s="61">
        <v>5</v>
      </c>
      <c r="T48" s="4"/>
      <c r="U48" s="4"/>
      <c r="V48" s="61">
        <f t="shared" si="5"/>
        <v>0</v>
      </c>
      <c r="W48" s="4"/>
      <c r="Y48" s="15">
        <v>5</v>
      </c>
      <c r="Z48" s="61" t="s">
        <v>236</v>
      </c>
      <c r="AA48" s="60" t="str" cm="1">
        <f t="array" ref="AA48">IF(OR(Y48=0,Y48=""),"",IF(VLOOKUP(Z48,$AI$1:$AJ$58,2,FALSE)&gt;=Y48,INDEX(tblDisciplines[Name],MATCH(1,(tblDisciplines[Discipline]=Z48)*(tblDisciplines[Rank]=Y48),0)),""))</f>
        <v/>
      </c>
      <c r="AC48" s="60" t="str">
        <v>Awe</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Majesty ● | Awe</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Cost: -  •  Pool: -  •  Instant  •  Scene</v>
      </c>
      <c r="AF48" s="20" t="str">
        <f>IF(AC48="","",IFERROR(VLOOKUP(AC48,tblDisciplines[],12,FALSE),VLOOKUP(AC48,tblPacts[],5,FALSE)))</f>
        <v>Become centre of attention. Subjects become Awed.</v>
      </c>
      <c r="AI48" s="15" t="s">
        <v>38</v>
      </c>
      <c r="AJ48" s="61">
        <f t="shared" si="1"/>
        <v>0</v>
      </c>
      <c r="AK48" s="61">
        <f>IF(AJ48=0,IF(COUNTIF($E$42:$E$49,AI48)&gt;0,-3,-1),AJ48)</f>
        <v>-1</v>
      </c>
    </row>
    <row r="49" spans="1:37">
      <c r="A49" s="1" t="s">
        <v>48</v>
      </c>
      <c r="B49" t="str">
        <f>REPT("●",IFERROR(INDEX($P$42:$P$69,MATCH(tblCharDataReneM[[#This Row],[Field]],$E$42:$E$69,0)),0))&amp;REPT("○",IFERROR(INDEX($V$42:$V$69,MATCH(tblCharDataReneM[[#This Row],[Field]],$E$42:$E$69,0)),0))&amp;IF(IFERROR(INDEX($W$42:$W$69,MATCH(tblCharDataReneM[[#This Row],[Field]],$E$42:$E$69,0)),0)=1,"†","")</f>
        <v>●●●</v>
      </c>
      <c r="D49" s="18"/>
      <c r="E49" s="15" t="s">
        <v>32</v>
      </c>
      <c r="F49" s="18"/>
      <c r="G49" s="3"/>
      <c r="H49" s="18"/>
      <c r="I49" s="18"/>
      <c r="L49" s="4"/>
      <c r="M49" s="60"/>
      <c r="N49" s="4"/>
      <c r="O49" s="61">
        <f t="shared" si="6"/>
        <v>0</v>
      </c>
      <c r="P49" s="60">
        <f t="shared" si="4"/>
        <v>0</v>
      </c>
      <c r="R49" s="61">
        <v>5</v>
      </c>
      <c r="T49" s="4"/>
      <c r="U49" s="4"/>
      <c r="V49" s="61">
        <f t="shared" si="5"/>
        <v>0</v>
      </c>
      <c r="W49" s="4"/>
      <c r="Y49" s="15">
        <v>1</v>
      </c>
      <c r="Z49" s="61" t="s">
        <v>237</v>
      </c>
      <c r="AA49" s="60" t="str" cm="1">
        <f t="array" ref="AA49">IF(OR(Y49=0,Y49=""),"",IF(VLOOKUP(Z49,$AI$1:$AJ$58,2,FALSE)&gt;=Y49,INDEX(tblDisciplines[Name],MATCH(1,(tblDisciplines[Discipline]=Z49)*(tblDisciplines[Rank]=Y49),0)),""))</f>
        <v>Beast's Hackles</v>
      </c>
      <c r="AC49" s="60" t="str">
        <v>Face in the Crowd</v>
      </c>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Obfuscate ● | Face in the Crowd</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Cost: -  •  Pool: -  •  Instant  •  Scene</v>
      </c>
      <c r="AF49" s="20" t="str">
        <f>IF(AC49="","",IFERROR(VLOOKUP(AC49,tblDisciplines[],12,FALSE),VLOOKUP(AC49,tblPacts[],5,FALSE)))</f>
        <v>Blend into surroundings, visible but unnoticeable. Predatory aura fully on or off. Leaving combat: Wits + Composure - Obfuscate to notice; auto Clash of Wills vs Auspex.</v>
      </c>
      <c r="AI49" s="15" t="s">
        <v>47</v>
      </c>
      <c r="AJ49" s="61">
        <f t="shared" si="1"/>
        <v>3</v>
      </c>
      <c r="AK49" s="61">
        <f>IF(AJ49=0,IF(COUNTIF($E$42:$E$49,AI49)&gt;0,-3,-1),AJ49)</f>
        <v>3</v>
      </c>
    </row>
    <row r="50" spans="1:37">
      <c r="A50" s="1" t="s">
        <v>49</v>
      </c>
      <c r="B50" t="str">
        <f ca="1">REPT("●",VLOOKUP(tblCharDataReneM[[#This Row],[Field]],INDIRECT($AH$1),2,FALSE)) &amp; REPT("○",10-VLOOKUP(tblCharDataReneM[[#This Row],[Field]],INDIRECT($AH$1),2,FALSE)) &amp; REPT("○",10-VLOOKUP(tblCharDataReneM[[#This Row],[Field]],INDIRECT($AH$1),2,FALSE))</f>
        <v>●○○○○○○○○○○○○○○○○○○</v>
      </c>
      <c r="Y50" s="15">
        <v>2</v>
      </c>
      <c r="Z50" s="61" t="s">
        <v>237</v>
      </c>
      <c r="AA50" s="60" t="str" cm="1">
        <f t="array" ref="AA50">IF(OR(Y50=0,Y50=""),"",IF(VLOOKUP(Z50,$AI$1:$AJ$58,2,FALSE)&gt;=Y50,INDEX(tblDisciplines[Name],MATCH(1,(tblDisciplines[Discipline]=Z50)*(tblDisciplines[Rank]=Y50),0)),""))</f>
        <v>Uncanny Perception</v>
      </c>
      <c r="AC50" s="60" t="str">
        <v>Vigour 1</v>
      </c>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Vigour ●</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Cost: 1 V per effect  •  Pool: -  •  Reflexive  •  1 turn</v>
      </c>
      <c r="AF50" s="20" t="str">
        <f>IF(AC50="","",IFERROR(VLOOKUP(AC50,tblDisciplines[],12,FALSE),VLOOKUP(AC50,tblPacts[],5,FALSE)))</f>
        <v>Improve Strength. Add Vigour dots as bonus successes only if at least one net success achieved.</v>
      </c>
      <c r="AI50" s="15" t="s">
        <v>19</v>
      </c>
      <c r="AJ50" s="61">
        <f t="shared" si="1"/>
        <v>1</v>
      </c>
      <c r="AK50" s="61">
        <f>AJ50+IFERROR(INDEX($V$26:$V$38,MATCH(AI50,$E$26:$E$38,0)),0)</f>
        <v>2</v>
      </c>
    </row>
    <row r="51" spans="1:37">
      <c r="A51" s="1" t="s">
        <v>50</v>
      </c>
      <c r="B51">
        <f>P72</f>
        <v>1</v>
      </c>
      <c r="D51" s="16" t="s">
        <v>1453</v>
      </c>
      <c r="E51" s="17"/>
      <c r="F51" s="17"/>
      <c r="G51" s="17" t="s">
        <v>1467</v>
      </c>
      <c r="H51" s="16" t="s">
        <v>1446</v>
      </c>
      <c r="I51" s="3" t="s">
        <v>1567</v>
      </c>
      <c r="L51" s="60">
        <f>IF(I51="",0,VLOOKUP(I51,tblPriority[#Data],3,FALSE))-SUM(L52:L59)</f>
        <v>0</v>
      </c>
      <c r="Y51" s="15">
        <v>3</v>
      </c>
      <c r="Z51" s="61" t="s">
        <v>237</v>
      </c>
      <c r="AA51" s="60" t="str" cm="1">
        <f t="array" ref="AA51">IF(OR(Y51=0,Y51=""),"",IF(VLOOKUP(Z51,$AI$1:$AJ$58,2,FALSE)&gt;=Y51,INDEX(tblDisciplines[Name],MATCH(1,(tblDisciplines[Discipline]=Z51)*(tblDisciplines[Rank]=Y51),0)),""))</f>
        <v>Spirit's Touch</v>
      </c>
      <c r="AC51" s="60" t="str">
        <v>Turn of Phrase</v>
      </c>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Devotion  | Turn of Phrase</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Cost: Free (Zelani Only)  •  Pool: -  •  Instant  •  Scene</v>
      </c>
      <c r="AF51" s="20" t="str">
        <f>IF(AC51="","",IFERROR(VLOOKUP(AC51,tblDisciplines[],12,FALSE),VLOOKUP(AC51,tblPacts[],5,FALSE)))</f>
        <v>Add Majesty dots to social pools for non-face-to-face communication (art, phone, letters, etc).</v>
      </c>
      <c r="AI51" s="15" t="s">
        <v>48</v>
      </c>
      <c r="AJ51" s="61">
        <f t="shared" si="1"/>
        <v>3</v>
      </c>
      <c r="AK51" s="61">
        <f>IF(AJ51=0,IF(COUNTIF($E$42:$E$49,AI51)&gt;0,-3,-1),AJ51)</f>
        <v>3</v>
      </c>
    </row>
    <row r="52" spans="1:37">
      <c r="A52" s="1" t="s">
        <v>51</v>
      </c>
      <c r="B52" t="str">
        <f>_xlfn.IFNA(VLOOKUP(P72,tblBloodPotency[#Data],5,FALSE),"")</f>
        <v/>
      </c>
      <c r="D52" s="18"/>
      <c r="E52" s="15" t="s">
        <v>33</v>
      </c>
      <c r="F52" s="18"/>
      <c r="G52" s="3"/>
      <c r="H52" s="18"/>
      <c r="I52" s="18"/>
      <c r="L52" s="4">
        <v>2</v>
      </c>
      <c r="M52" s="60"/>
      <c r="N52" s="4"/>
      <c r="O52" s="61">
        <f>ROUNDDOWN(N52/2,0)</f>
        <v>0</v>
      </c>
      <c r="P52" s="60">
        <f t="shared" ref="P52:P59" si="7">MIN(SUM(L52,M52,O52),R52)</f>
        <v>2</v>
      </c>
      <c r="R52" s="61">
        <v>5</v>
      </c>
      <c r="T52" s="4"/>
      <c r="U52" s="4"/>
      <c r="V52" s="61">
        <f t="shared" ref="V52:V59" si="8">U52</f>
        <v>0</v>
      </c>
      <c r="W52" s="4"/>
      <c r="Y52" s="15">
        <v>4</v>
      </c>
      <c r="Z52" s="61" t="s">
        <v>237</v>
      </c>
      <c r="AA52" s="60" t="str" cm="1">
        <f t="array" ref="AA52">IF(OR(Y52=0,Y52=""),"",IF(VLOOKUP(Z52,$AI$1:$AJ$58,2,FALSE)&gt;=Y52,INDEX(tblDisciplines[Name],MATCH(1,(tblDisciplines[Discipline]=Z52)*(tblDisciplines[Rank]=Y52),0)),""))</f>
        <v/>
      </c>
      <c r="AC52" s="60" t="str">
        <v>Quicken Sight</v>
      </c>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Devotion  | Quicken Sight</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Cost: 1 V  •  Pool: -  •  Reflexive  •  1 turn</v>
      </c>
      <c r="AF52" s="20" t="str">
        <f>IF(AC52="","",IFERROR(VLOOKUP(AC52,tblDisciplines[],12,FALSE),VLOOKUP(AC52,tblPacts[],5,FALSE)))</f>
        <v>Examine fast-moving details. Apply Defence to ranged attacks. Benefit from aiming instantly.</v>
      </c>
      <c r="AI52" s="15" t="s">
        <v>39</v>
      </c>
      <c r="AJ52" s="61">
        <f t="shared" si="1"/>
        <v>0</v>
      </c>
      <c r="AK52" s="61">
        <f>IF(AJ52=0,IF(COUNTIF($E$42:$E$49,AI52)&gt;0,-3,-1),AJ52)</f>
        <v>-1</v>
      </c>
    </row>
    <row r="53" spans="1:37">
      <c r="A53" s="1" t="s">
        <v>52</v>
      </c>
      <c r="B53" t="str">
        <f ca="1">REPT("□",P221) &amp; REPT("■",15-P221)</f>
        <v>□□□□□□□■■■■■■■■</v>
      </c>
      <c r="D53" s="18"/>
      <c r="E53" s="15" t="s">
        <v>34</v>
      </c>
      <c r="F53" s="18"/>
      <c r="G53" s="3"/>
      <c r="H53" s="18"/>
      <c r="I53" s="18"/>
      <c r="L53" s="4"/>
      <c r="M53" s="60"/>
      <c r="N53" s="4"/>
      <c r="O53" s="61">
        <f t="shared" ref="O53:O59" si="9">ROUNDDOWN(N53/2,0)</f>
        <v>0</v>
      </c>
      <c r="P53" s="60">
        <f t="shared" si="7"/>
        <v>0</v>
      </c>
      <c r="R53" s="61">
        <v>5</v>
      </c>
      <c r="T53" s="4"/>
      <c r="U53" s="4"/>
      <c r="V53" s="61">
        <f t="shared" si="8"/>
        <v>0</v>
      </c>
      <c r="W53" s="4"/>
      <c r="Y53" s="15">
        <v>5</v>
      </c>
      <c r="Z53" s="61" t="s">
        <v>237</v>
      </c>
      <c r="AA53" s="60" t="str" cm="1">
        <f t="array" ref="AA53">IF(OR(Y53=0,Y53=""),"",IF(VLOOKUP(Z53,$AI$1:$AJ$58,2,FALSE)&gt;=Y53,INDEX(tblDisciplines[Name],MATCH(1,(tblDisciplines[Discipline]=Z53)*(tblDisciplines[Rank]=Y53),0)),""))</f>
        <v/>
      </c>
      <c r="AC53" s="60" t="str">
        <v>Hold my Beer</v>
      </c>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Devotion  | Hold my Beer</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Cost: 1 WP (optional +1 V) (Zelani Only)  •  Pool: 8  •  Reflexive  •  Scene</v>
      </c>
      <c r="AF53" s="20" t="str">
        <f>IF(AC53="","",IFERROR(VLOOKUP(AC53,tblDisciplines[],12,FALSE),VLOOKUP(AC53,tblPacts[],5,FALSE)))</f>
        <v>Distribute successes as dots among unskilled Skills (max 2 per Skill). +1 V: convert any Chance Die to a pool of 3 dice.</v>
      </c>
      <c r="AI53" s="15" t="s">
        <v>247</v>
      </c>
      <c r="AJ53" s="61">
        <f t="shared" si="1"/>
        <v>0</v>
      </c>
      <c r="AK53" s="61">
        <f>AJ53</f>
        <v>0</v>
      </c>
    </row>
    <row r="54" spans="1:37">
      <c r="A54" s="1" t="s">
        <v>53</v>
      </c>
      <c r="B54" t="str">
        <f>_xlfn.CONCAT(P74-L224," / ",P74)</f>
        <v>6 / 6</v>
      </c>
      <c r="D54" s="18"/>
      <c r="E54" s="15" t="s">
        <v>35</v>
      </c>
      <c r="F54" s="18"/>
      <c r="G54" s="3"/>
      <c r="H54" s="18"/>
      <c r="I54" s="18"/>
      <c r="L54" s="4"/>
      <c r="M54" s="60"/>
      <c r="N54" s="4"/>
      <c r="O54" s="61">
        <f t="shared" si="9"/>
        <v>0</v>
      </c>
      <c r="P54" s="60">
        <f t="shared" si="7"/>
        <v>0</v>
      </c>
      <c r="R54" s="61">
        <v>5</v>
      </c>
      <c r="T54" s="4"/>
      <c r="U54" s="4"/>
      <c r="V54" s="61">
        <f t="shared" si="8"/>
        <v>0</v>
      </c>
      <c r="W54" s="4"/>
      <c r="Y54" s="15">
        <f>P167</f>
        <v>3</v>
      </c>
      <c r="Z54" s="61" t="s">
        <v>238</v>
      </c>
      <c r="AA54" s="60" t="str" cm="1">
        <f t="array" ref="AA54">IF(OR(Y54=0,Y54=""),"",IF(VLOOKUP(Z54,$AI$1:$AJ$58,2,FALSE)&gt;=Y54,INDEX(tblDisciplines[Name],MATCH(1,(tblDisciplines[Discipline]=Z54)*(tblDisciplines[Rank]=Y54),0)),""))</f>
        <v>Celerity 3</v>
      </c>
      <c r="AC54" s="60" t="str">
        <v/>
      </c>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
      </c>
      <c r="AF54" s="20" t="str">
        <f>IF(AC54="","",IFERROR(VLOOKUP(AC54,tblDisciplines[],12,FALSE),VLOOKUP(AC54,tblPacts[],5,FALSE)))</f>
        <v/>
      </c>
      <c r="AI54" s="15" t="s">
        <v>252</v>
      </c>
      <c r="AJ54" s="61">
        <f t="shared" si="1"/>
        <v>0</v>
      </c>
      <c r="AK54" s="61">
        <f>AJ54</f>
        <v>0</v>
      </c>
    </row>
    <row r="55" spans="1:37">
      <c r="A55" s="1" t="s">
        <v>54</v>
      </c>
      <c r="B55" t="str">
        <f>REPT("□",P74) &amp; REPT("■",10-P74)</f>
        <v>□□□□□□■■■■</v>
      </c>
      <c r="D55" s="18"/>
      <c r="E55" s="15" t="s">
        <v>36</v>
      </c>
      <c r="F55" s="18"/>
      <c r="G55" s="3"/>
      <c r="H55" s="18"/>
      <c r="I55" s="18"/>
      <c r="L55" s="4">
        <v>2</v>
      </c>
      <c r="M55" s="60"/>
      <c r="N55" s="4"/>
      <c r="O55" s="61">
        <f t="shared" si="9"/>
        <v>0</v>
      </c>
      <c r="P55" s="60">
        <f t="shared" si="7"/>
        <v>2</v>
      </c>
      <c r="R55" s="61">
        <v>5</v>
      </c>
      <c r="T55" s="4"/>
      <c r="U55" s="4"/>
      <c r="V55" s="61">
        <f t="shared" si="8"/>
        <v>0</v>
      </c>
      <c r="W55" s="4"/>
      <c r="Y55" s="15">
        <v>1</v>
      </c>
      <c r="Z55" s="61" t="s">
        <v>239</v>
      </c>
      <c r="AA55" s="60" t="str" cm="1">
        <f t="array" ref="AA55">IF(OR(Y55=0,Y55=""),"",IF(VLOOKUP(Z55,$AI$1:$AJ$58,2,FALSE)&gt;=Y55,INDEX(tblDisciplines[Name],MATCH(1,(tblDisciplines[Discipline]=Z55)*(tblDisciplines[Rank]=Y55),0)),""))</f>
        <v/>
      </c>
      <c r="AC55" s="60"/>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
      </c>
      <c r="AF55" s="20" t="str">
        <f>IF(AC55="","",IFERROR(VLOOKUP(AC55,tblDisciplines[],12,FALSE),VLOOKUP(AC55,tblPacts[],5,FALSE)))</f>
        <v/>
      </c>
      <c r="AI55" s="15" t="s">
        <v>245</v>
      </c>
      <c r="AJ55" s="61">
        <f t="shared" si="1"/>
        <v>1</v>
      </c>
      <c r="AK55" s="61">
        <f>AJ55+IFERROR(INDEX($V$26:$V$38,MATCH(AI55,$E$26:$E$38,0)),0)</f>
        <v>1</v>
      </c>
    </row>
    <row r="56" spans="1:37">
      <c r="A56" s="1" t="s">
        <v>55</v>
      </c>
      <c r="B56" t="str">
        <f ca="1">_xlfn.CONCAT(P75-L223," / ",P75)</f>
        <v>10 / 10</v>
      </c>
      <c r="D56" s="19"/>
      <c r="E56" s="15" t="s">
        <v>37</v>
      </c>
      <c r="F56" s="18"/>
      <c r="G56" s="3"/>
      <c r="H56" s="18"/>
      <c r="I56" s="18"/>
      <c r="L56" s="4">
        <v>3</v>
      </c>
      <c r="M56" s="60"/>
      <c r="N56" s="4"/>
      <c r="O56" s="61">
        <f t="shared" si="9"/>
        <v>0</v>
      </c>
      <c r="P56" s="60">
        <f t="shared" si="7"/>
        <v>3</v>
      </c>
      <c r="R56" s="61">
        <v>5</v>
      </c>
      <c r="T56" s="4"/>
      <c r="U56" s="4"/>
      <c r="V56" s="61">
        <f t="shared" si="8"/>
        <v>0</v>
      </c>
      <c r="W56" s="4"/>
      <c r="Y56" s="15">
        <v>2</v>
      </c>
      <c r="Z56" s="61" t="s">
        <v>239</v>
      </c>
      <c r="AA56" s="60" t="str" cm="1">
        <f t="array" ref="AA56">IF(OR(Y56=0,Y56=""),"",IF(VLOOKUP(Z56,$AI$1:$AJ$58,2,FALSE)&gt;=Y56,INDEX(tblDisciplines[Name],MATCH(1,(tblDisciplines[Discipline]=Z56)*(tblDisciplines[Rank]=Y56),0)),""))</f>
        <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1"/>
        <v>0</v>
      </c>
      <c r="AK56" s="61">
        <f>IF(AJ56=0,IF(COUNTIF($E$42:$E$49,AI56)&gt;0,-3,-1),AJ56)</f>
        <v>-1</v>
      </c>
    </row>
    <row r="57" spans="1:37">
      <c r="A57" s="1" t="s">
        <v>56</v>
      </c>
      <c r="B57" t="str">
        <f ca="1">REPT("□",P75-L223) &amp; REPT("■",20-P75+L223)</f>
        <v>□□□□□□□□□□■■■■■■■■■■</v>
      </c>
      <c r="D57" s="19"/>
      <c r="E57" s="15" t="s">
        <v>38</v>
      </c>
      <c r="F57" s="18"/>
      <c r="G57" s="3"/>
      <c r="H57" s="18"/>
      <c r="I57" s="18"/>
      <c r="L57" s="4"/>
      <c r="M57" s="60"/>
      <c r="N57" s="4"/>
      <c r="O57" s="61">
        <f t="shared" si="9"/>
        <v>0</v>
      </c>
      <c r="P57" s="60">
        <f t="shared" si="7"/>
        <v>0</v>
      </c>
      <c r="R57" s="61">
        <v>5</v>
      </c>
      <c r="T57" s="4"/>
      <c r="U57" s="4"/>
      <c r="V57" s="61">
        <f t="shared" si="8"/>
        <v>0</v>
      </c>
      <c r="W57" s="4"/>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1"/>
        <v>6</v>
      </c>
      <c r="AK57" s="61">
        <f>AJ57</f>
        <v>6</v>
      </c>
    </row>
    <row r="58" spans="1:37">
      <c r="A58" s="1" t="s">
        <v>57</v>
      </c>
      <c r="B58">
        <f ca="1">VLOOKUP(VLOOKUP("Blood Potency", INDIRECT($AH$1),2,FALSE),tblBloodPotency[#Data],3,FALSE)</f>
        <v>1</v>
      </c>
      <c r="D58" s="19"/>
      <c r="E58" s="15" t="s">
        <v>39</v>
      </c>
      <c r="F58" s="18"/>
      <c r="G58" s="3"/>
      <c r="H58" s="18"/>
      <c r="I58" s="18"/>
      <c r="L58" s="4"/>
      <c r="M58" s="60"/>
      <c r="N58" s="4"/>
      <c r="O58" s="61">
        <f t="shared" si="9"/>
        <v>0</v>
      </c>
      <c r="P58" s="60">
        <f t="shared" si="7"/>
        <v>0</v>
      </c>
      <c r="R58" s="61">
        <v>5</v>
      </c>
      <c r="T58" s="4"/>
      <c r="U58" s="4"/>
      <c r="V58" s="61">
        <f t="shared" si="8"/>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1"/>
        <v>3</v>
      </c>
      <c r="AK58" s="61">
        <f>AJ58+IFERROR(INDEX($V$26:$V$38,MATCH(AI58,$E$26:$E$38,0)),0)</f>
        <v>3</v>
      </c>
    </row>
    <row r="59" spans="1:37">
      <c r="A59" s="1" t="s">
        <v>58</v>
      </c>
      <c r="B59" t="str">
        <f ca="1">VLOOKUP(VLOOKUP("Blood Potency", INDIRECT($AH$1),2,FALSE),tblBloodPotency[#Data],4,FALSE)</f>
        <v>Animals</v>
      </c>
      <c r="D59" s="19"/>
      <c r="E59" s="15" t="s">
        <v>40</v>
      </c>
      <c r="F59" s="18"/>
      <c r="G59" s="3"/>
      <c r="H59" s="18"/>
      <c r="I59" s="18"/>
      <c r="L59" s="4"/>
      <c r="M59" s="60"/>
      <c r="N59" s="4"/>
      <c r="O59" s="61">
        <f t="shared" si="9"/>
        <v>0</v>
      </c>
      <c r="P59" s="60">
        <f t="shared" si="7"/>
        <v>0</v>
      </c>
      <c r="R59" s="61">
        <v>5</v>
      </c>
      <c r="T59" s="4"/>
      <c r="U59" s="4"/>
      <c r="V59" s="61">
        <f t="shared" si="8"/>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0">IFERROR(IF(VLOOKUP(SUBSTITUTE(A60," Spec",""),$E$42:$G$69,3,FALSE)=0,"",VLOOKUP(SUBSTITUTE(A60," Spec",""),$E$42:$G$69,3,FALSE)),"")</f>
        <v/>
      </c>
      <c r="Y60" s="15">
        <v>1</v>
      </c>
      <c r="Z60" s="61" t="s">
        <v>240</v>
      </c>
      <c r="AA60" s="60" t="str" cm="1">
        <f t="array" ref="AA60">IF(OR(Y60=0,Y60=""),"",IF(VLOOKUP(Z60,$AI$1:$AJ$58,2,FALSE)&gt;=Y60,INDEX(tblDisciplines[Name],MATCH(1,(tblDisciplines[Discipline]=Z60)*(tblDisciplines[Rank]=Y60),0)),""))</f>
        <v>Awe</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0"/>
        <v/>
      </c>
      <c r="D61" s="16" t="s">
        <v>1459</v>
      </c>
      <c r="E61" s="17"/>
      <c r="F61" s="17"/>
      <c r="G61" s="17" t="s">
        <v>1467</v>
      </c>
      <c r="H61" s="16" t="s">
        <v>1446</v>
      </c>
      <c r="I61" s="3" t="s">
        <v>1565</v>
      </c>
      <c r="L61" s="60">
        <f>IF(I61="",0,VLOOKUP(I61,tblPriority[#Data],3,FALSE))-SUM(L62:L69)</f>
        <v>0</v>
      </c>
      <c r="Y61" s="15">
        <v>2</v>
      </c>
      <c r="Z61" s="61" t="s">
        <v>240</v>
      </c>
      <c r="AA61" s="60" t="str" cm="1">
        <f t="array" ref="AA61">IF(OR(Y61=0,Y61=""),"",IF(VLOOKUP(Z61,$AI$1:$AJ$58,2,FALSE)&gt;=Y61,INDEX(tblDisciplines[Name],MATCH(1,(tblDisciplines[Discipline]=Z61)*(tblDisciplines[Rank]=Y61),0)),""))</f>
        <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0"/>
        <v/>
      </c>
      <c r="D62" s="18"/>
      <c r="E62" s="15" t="s">
        <v>41</v>
      </c>
      <c r="F62" s="18"/>
      <c r="G62" s="3"/>
      <c r="H62" s="18"/>
      <c r="I62" s="18"/>
      <c r="L62" s="4"/>
      <c r="M62" s="60"/>
      <c r="N62" s="4"/>
      <c r="O62" s="61">
        <f>ROUNDDOWN(N62/2,0)</f>
        <v>0</v>
      </c>
      <c r="P62" s="60">
        <f t="shared" ref="P62:P69" si="11">MIN(SUM(L62,M62,O62),R62)</f>
        <v>0</v>
      </c>
      <c r="R62" s="61">
        <v>5</v>
      </c>
      <c r="T62" s="4"/>
      <c r="U62" s="4"/>
      <c r="V62" s="61">
        <f t="shared" ref="V62:V69" si="12">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0"/>
        <v/>
      </c>
      <c r="D63" s="19"/>
      <c r="E63" s="15" t="s">
        <v>42</v>
      </c>
      <c r="F63" s="18"/>
      <c r="G63" s="3"/>
      <c r="H63" s="18"/>
      <c r="I63" s="18"/>
      <c r="L63" s="4">
        <v>3</v>
      </c>
      <c r="M63" s="60"/>
      <c r="N63" s="4"/>
      <c r="O63" s="61">
        <f t="shared" ref="O63:O69" si="13">ROUNDDOWN(N63/2,0)</f>
        <v>0</v>
      </c>
      <c r="P63" s="60">
        <f t="shared" si="11"/>
        <v>3</v>
      </c>
      <c r="R63" s="61">
        <v>5</v>
      </c>
      <c r="T63" s="4"/>
      <c r="U63" s="4"/>
      <c r="V63" s="61">
        <f t="shared" si="12"/>
        <v>0</v>
      </c>
      <c r="W63" s="4">
        <v>1</v>
      </c>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0"/>
        <v/>
      </c>
      <c r="D64" s="19"/>
      <c r="E64" s="15" t="s">
        <v>43</v>
      </c>
      <c r="F64" s="18"/>
      <c r="G64" s="3"/>
      <c r="H64" s="18"/>
      <c r="I64" s="18"/>
      <c r="L64" s="4"/>
      <c r="M64" s="60"/>
      <c r="N64" s="4"/>
      <c r="O64" s="61">
        <f t="shared" si="13"/>
        <v>0</v>
      </c>
      <c r="P64" s="60">
        <f t="shared" si="11"/>
        <v>0</v>
      </c>
      <c r="R64" s="61">
        <v>5</v>
      </c>
      <c r="T64" s="4"/>
      <c r="U64" s="4"/>
      <c r="V64" s="61">
        <f t="shared" si="12"/>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0"/>
        <v>Supernatural Compulsions</v>
      </c>
      <c r="D65" s="19"/>
      <c r="E65" s="15" t="s">
        <v>44</v>
      </c>
      <c r="F65" s="18"/>
      <c r="G65" s="3"/>
      <c r="H65" s="18"/>
      <c r="I65" s="18"/>
      <c r="L65" s="4"/>
      <c r="M65" s="60"/>
      <c r="N65" s="4"/>
      <c r="O65" s="61">
        <f t="shared" si="13"/>
        <v>0</v>
      </c>
      <c r="P65" s="60">
        <f t="shared" si="11"/>
        <v>0</v>
      </c>
      <c r="R65" s="61">
        <v>5</v>
      </c>
      <c r="T65" s="4"/>
      <c r="U65" s="4"/>
      <c r="V65" s="61">
        <f t="shared" si="12"/>
        <v>0</v>
      </c>
      <c r="W65" s="4"/>
      <c r="Y65" s="15">
        <v>1</v>
      </c>
      <c r="Z65" s="61" t="s">
        <v>241</v>
      </c>
      <c r="AA65" s="60" t="str" cm="1">
        <f t="array" ref="AA65">IF(OR(Y65=0,Y65=""),"",IF(VLOOKUP(Z65,$AI$1:$AJ$58,2,FALSE)&gt;=Y65,INDEX(tblDisciplines[Name],MATCH(1,(tblDisciplines[Discipline]=Z65)*(tblDisciplines[Rank]=Y65),0)),""))</f>
        <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0"/>
        <v>Activism</v>
      </c>
      <c r="D66" s="19"/>
      <c r="E66" s="15" t="s">
        <v>45</v>
      </c>
      <c r="F66" s="18"/>
      <c r="G66" s="3"/>
      <c r="H66" s="18"/>
      <c r="I66" s="18"/>
      <c r="L66" s="4">
        <v>2</v>
      </c>
      <c r="M66" s="60"/>
      <c r="N66" s="4"/>
      <c r="O66" s="61">
        <f t="shared" si="13"/>
        <v>0</v>
      </c>
      <c r="P66" s="60">
        <f t="shared" si="11"/>
        <v>2</v>
      </c>
      <c r="R66" s="61">
        <v>5</v>
      </c>
      <c r="T66" s="4"/>
      <c r="U66" s="4"/>
      <c r="V66" s="61">
        <f t="shared" si="12"/>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0"/>
        <v/>
      </c>
      <c r="D67" s="19"/>
      <c r="E67" s="15" t="s">
        <v>46</v>
      </c>
      <c r="F67" s="18"/>
      <c r="G67" s="3"/>
      <c r="H67" s="18"/>
      <c r="I67" s="18"/>
      <c r="L67" s="4"/>
      <c r="M67" s="60"/>
      <c r="N67" s="4"/>
      <c r="O67" s="61">
        <f t="shared" si="13"/>
        <v>0</v>
      </c>
      <c r="P67" s="60">
        <f t="shared" si="11"/>
        <v>0</v>
      </c>
      <c r="R67" s="61">
        <v>5</v>
      </c>
      <c r="T67" s="4"/>
      <c r="U67" s="4"/>
      <c r="V67" s="61">
        <f t="shared" si="12"/>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0"/>
        <v/>
      </c>
      <c r="D68" s="18"/>
      <c r="E68" s="15" t="s">
        <v>47</v>
      </c>
      <c r="F68" s="18"/>
      <c r="G68" s="3" t="s">
        <v>1254</v>
      </c>
      <c r="H68" s="18"/>
      <c r="I68" s="18"/>
      <c r="L68" s="4">
        <v>3</v>
      </c>
      <c r="M68" s="60"/>
      <c r="N68" s="4"/>
      <c r="O68" s="61">
        <f t="shared" si="13"/>
        <v>0</v>
      </c>
      <c r="P68" s="60">
        <f t="shared" si="11"/>
        <v>3</v>
      </c>
      <c r="R68" s="61">
        <v>5</v>
      </c>
      <c r="T68" s="4"/>
      <c r="U68" s="4"/>
      <c r="V68" s="61">
        <f t="shared" si="12"/>
        <v>0</v>
      </c>
      <c r="W68" s="4">
        <v>1</v>
      </c>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0"/>
        <v/>
      </c>
      <c r="D69" s="18"/>
      <c r="E69" s="15" t="s">
        <v>48</v>
      </c>
      <c r="F69" s="18"/>
      <c r="G69" s="3"/>
      <c r="H69" s="18"/>
      <c r="I69" s="18"/>
      <c r="L69" s="4">
        <v>3</v>
      </c>
      <c r="M69" s="60"/>
      <c r="N69" s="4"/>
      <c r="O69" s="61">
        <f t="shared" si="13"/>
        <v>0</v>
      </c>
      <c r="P69" s="60">
        <f t="shared" si="11"/>
        <v>3</v>
      </c>
      <c r="R69" s="61">
        <v>5</v>
      </c>
      <c r="T69" s="4"/>
      <c r="U69" s="4"/>
      <c r="V69" s="61">
        <f t="shared" si="12"/>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0"/>
        <v/>
      </c>
      <c r="Y70" s="15">
        <v>1</v>
      </c>
      <c r="Z70" s="61" t="s">
        <v>242</v>
      </c>
      <c r="AA70" s="60" t="str" cm="1">
        <f t="array" ref="AA70">IF(OR(Y70=0,Y70=""),"",IF(VLOOKUP(Z70,$AI$1:$AJ$58,2,FALSE)&gt;=Y70,INDEX(tblDisciplines[Name],MATCH(1,(tblDisciplines[Discipline]=Z70)*(tblDisciplines[Rank]=Y70),0)),""))</f>
        <v>Face in the Crowd</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0"/>
        <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0"/>
        <v/>
      </c>
      <c r="D72" s="19"/>
      <c r="E72" s="15" t="s">
        <v>49</v>
      </c>
      <c r="F72" s="19"/>
      <c r="G72" s="19"/>
      <c r="H72" s="19"/>
      <c r="I72" s="19"/>
      <c r="K72" s="4"/>
      <c r="L72" s="4"/>
      <c r="M72" s="60">
        <v>1</v>
      </c>
      <c r="N72" s="4"/>
      <c r="O72" s="61">
        <f>ROUNDDOWN(N72/5,0)</f>
        <v>0</v>
      </c>
      <c r="P72" s="60">
        <f>MIN(SUM(K72*-1,ROUNDDOWN(L72/5,0),M72,O72),R72)</f>
        <v>1</v>
      </c>
      <c r="R72" s="61">
        <v>2</v>
      </c>
      <c r="Y72" s="15">
        <v>3</v>
      </c>
      <c r="Z72" s="61" t="s">
        <v>242</v>
      </c>
      <c r="AA72" s="60" t="str" cm="1">
        <f t="array" ref="AA72">IF(OR(Y72=0,Y72=""),"",IF(VLOOKUP(Z72,$AI$1:$AJ$58,2,FALSE)&gt;=Y72,INDEX(tblDisciplines[Name],MATCH(1,(tblDisciplines[Discipline]=Z72)*(tblDisciplines[Rank]=Y72),0)),""))</f>
        <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0"/>
        <v/>
      </c>
      <c r="D73" s="19"/>
      <c r="E73" s="15" t="s">
        <v>1448</v>
      </c>
      <c r="F73" s="19"/>
      <c r="G73" s="19"/>
      <c r="H73" s="19"/>
      <c r="I73" s="19"/>
      <c r="K73" s="4">
        <v>2</v>
      </c>
      <c r="M73" s="60">
        <v>7</v>
      </c>
      <c r="N73" s="4"/>
      <c r="O73" s="61">
        <f>ROUNDDOWN(N73/2,0)</f>
        <v>0</v>
      </c>
      <c r="P73" s="60">
        <f>MIN(SUM(K73*-1,M73,O73),R73)</f>
        <v>5</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0"/>
        <v/>
      </c>
      <c r="D74" s="19"/>
      <c r="E74" s="15" t="s">
        <v>53</v>
      </c>
      <c r="F74" s="19"/>
      <c r="G74" s="19"/>
      <c r="H74" s="19"/>
      <c r="I74" s="19"/>
      <c r="K74" s="4"/>
      <c r="M74" s="60">
        <f>P28+P38</f>
        <v>6</v>
      </c>
      <c r="N74" s="4"/>
      <c r="O74" s="61">
        <f>N74</f>
        <v>0</v>
      </c>
      <c r="P74" s="60">
        <f>MIN(SUM(K74*-1,M74,O74),R74)</f>
        <v>6</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0"/>
        <v/>
      </c>
      <c r="D75" s="19"/>
      <c r="E75" s="15" t="s">
        <v>55</v>
      </c>
      <c r="F75" s="19"/>
      <c r="G75" s="19"/>
      <c r="H75" s="19"/>
      <c r="I75" s="19"/>
      <c r="P75" s="60">
        <f ca="1">VLOOKUP(VLOOKUP("Blood Potency",INDIRECT($AH$1),2,FALSE),tblBloodPotency[],2,FALSE)</f>
        <v>10</v>
      </c>
      <c r="Y75" s="15">
        <v>1</v>
      </c>
      <c r="Z75" s="61" t="s">
        <v>243</v>
      </c>
      <c r="AA75" s="60" t="str" cm="1">
        <f t="array" ref="AA75">IF(OR(Y75=0,Y75=""),"",IF(VLOOKUP(Z75,$AI$1:$AJ$58,2,FALSE)&gt;=Y75,INDEX(tblDisciplines[Name],MATCH(1,(tblDisciplines[Discipline]=Z75)*(tblDisciplines[Rank]=Y75),0)),""))</f>
        <v/>
      </c>
    </row>
    <row r="76" spans="1:32">
      <c r="A76" s="1" t="s">
        <v>75</v>
      </c>
      <c r="B76" t="str">
        <f t="shared" si="10"/>
        <v/>
      </c>
      <c r="Y76" s="15">
        <v>2</v>
      </c>
      <c r="Z76" s="61" t="s">
        <v>243</v>
      </c>
      <c r="AA76" s="60" t="str" cm="1">
        <f t="array" ref="AA76">IF(OR(Y76=0,Y76=""),"",IF(VLOOKUP(Z76,$AI$1:$AJ$58,2,FALSE)&gt;=Y76,INDEX(tblDisciplines[Name],MATCH(1,(tblDisciplines[Discipline]=Z76)*(tblDisciplines[Rank]=Y76),0)),""))</f>
        <v/>
      </c>
    </row>
    <row r="77" spans="1:32" ht="15.75" thickBot="1">
      <c r="A77" s="1" t="s">
        <v>76</v>
      </c>
      <c r="B77" t="str">
        <f t="shared" si="10"/>
        <v/>
      </c>
      <c r="D77" s="14" t="s">
        <v>1470</v>
      </c>
      <c r="E77" s="14"/>
      <c r="F77" s="14"/>
      <c r="G77" s="14"/>
      <c r="H77" s="14"/>
      <c r="I77" s="14"/>
      <c r="N77" s="60">
        <f>SUM(N79:N98,N101:N120,N206:N215,N132:N135,N138:N157,N160:N161)</f>
        <v>8</v>
      </c>
      <c r="Y77" s="15">
        <v>3</v>
      </c>
      <c r="Z77" s="61" t="s">
        <v>243</v>
      </c>
      <c r="AA77" s="60" t="str" cm="1">
        <f t="array" ref="AA77">IF(OR(Y77=0,Y77=""),"",IF(VLOOKUP(Z77,$AI$1:$AJ$58,2,FALSE)&gt;=Y77,INDEX(tblDisciplines[Name],MATCH(1,(tblDisciplines[Discipline]=Z77)*(tblDisciplines[Rank]=Y77),0)),""))</f>
        <v/>
      </c>
    </row>
    <row r="78" spans="1:32">
      <c r="A78" s="1" t="s">
        <v>77</v>
      </c>
      <c r="B78" t="str">
        <f t="shared" si="10"/>
        <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0"/>
        <v/>
      </c>
      <c r="D79" s="19"/>
      <c r="E79" s="15" t="s">
        <v>114</v>
      </c>
      <c r="F79" s="3" t="s">
        <v>1696</v>
      </c>
      <c r="G79" s="3" t="s">
        <v>1767</v>
      </c>
      <c r="H79" s="67" t="str">
        <f>_xlfn.IFNA(IF(VLOOKUP(F79,tblMerits[],6,FALSE)=0,"None",VLOOKUP(F79,tblMerits[],6,FALSE)),"None")</f>
        <v>Subterfuge 3</v>
      </c>
      <c r="I79" s="67"/>
      <c r="L79" s="4">
        <v>1</v>
      </c>
      <c r="M79" s="4"/>
      <c r="N79" s="4"/>
      <c r="O79" s="61">
        <f>N79</f>
        <v>0</v>
      </c>
      <c r="P79" s="60">
        <f t="shared" ref="P79:P98" si="14">MIN(SUM(L79,M79,O79),R79)</f>
        <v>1</v>
      </c>
      <c r="Q79" s="61">
        <f>_xlfn.IFNA(VLOOKUP($F79,tblMerits[],3,FALSE),"")</f>
        <v>1</v>
      </c>
      <c r="R79" s="61">
        <f>_xlfn.IFNA(VLOOKUP($F79,tblMerits[],4,FALSE),"")</f>
        <v>1</v>
      </c>
      <c r="Y79" s="15">
        <v>5</v>
      </c>
      <c r="Z79" s="61" t="s">
        <v>243</v>
      </c>
      <c r="AA79" s="60" t="str" cm="1">
        <f t="array" ref="AA79">IF(OR(Y79=0,Y79=""),"",IF(VLOOKUP(Z79,$AI$1:$AJ$58,2,FALSE)&gt;=Y79,INDEX(tblDisciplines[Name],MATCH(1,(tblDisciplines[Discipline]=Z79)*(tblDisciplines[Rank]=Y79),0)),""))</f>
        <v/>
      </c>
    </row>
    <row r="80" spans="1:32">
      <c r="A80" s="1" t="s">
        <v>79</v>
      </c>
      <c r="B80" t="str">
        <f t="shared" si="10"/>
        <v/>
      </c>
      <c r="D80" s="58" t="s">
        <v>1798</v>
      </c>
      <c r="E80" s="15" t="s">
        <v>115</v>
      </c>
      <c r="F80" s="3" t="s">
        <v>1767</v>
      </c>
      <c r="G80" s="3"/>
      <c r="H80" s="67" t="str">
        <f>_xlfn.IFNA(IF(VLOOKUP(F80,tblMerits[],6,FALSE)=0,"None",VLOOKUP(F80,tblMerits[],6,FALSE)),"None")</f>
        <v>Resolve 3</v>
      </c>
      <c r="I80" s="67"/>
      <c r="L80" s="4">
        <v>1</v>
      </c>
      <c r="M80" s="4"/>
      <c r="N80" s="4"/>
      <c r="O80" s="61">
        <f t="shared" ref="O80:O98" si="15">N80</f>
        <v>0</v>
      </c>
      <c r="P80" s="60">
        <f t="shared" si="14"/>
        <v>1</v>
      </c>
      <c r="Q80" s="61">
        <f>_xlfn.IFNA(VLOOKUP($F80,tblMerits[],3,FALSE),"")</f>
        <v>1</v>
      </c>
      <c r="R80" s="61">
        <f>_xlfn.IFNA(VLOOKUP($F80,tblMerits[],4,FALSE),"")</f>
        <v>1</v>
      </c>
      <c r="Y80" s="15">
        <f>P173</f>
        <v>0</v>
      </c>
      <c r="Z80" s="61" t="s">
        <v>244</v>
      </c>
      <c r="AA80" s="60" t="str" cm="1">
        <f t="array" ref="AA80">IF(OR(Y80=0,Y80=""),"",IF(VLOOKUP(Z80,$AI$1:$AJ$58,2,FALSE)&gt;=Y80,INDEX(tblDisciplines[Name],MATCH(1,(tblDisciplines[Discipline]=Z80)*(tblDisciplines[Rank]=Y80),0)),""))</f>
        <v/>
      </c>
    </row>
    <row r="81" spans="1:27">
      <c r="A81" s="1" t="s">
        <v>80</v>
      </c>
      <c r="B81" t="str">
        <f t="shared" si="10"/>
        <v/>
      </c>
      <c r="D81" s="19"/>
      <c r="E81" s="15" t="s">
        <v>116</v>
      </c>
      <c r="F81" s="3" t="s">
        <v>1590</v>
      </c>
      <c r="G81" s="3"/>
      <c r="H81" s="67" t="str">
        <f>_xlfn.IFNA(IF(VLOOKUP(F81,tblMerits[],6,FALSE)=0,"None",VLOOKUP(F81,tblMerits[],6,FALSE)),"None")</f>
        <v>Resolve 3</v>
      </c>
      <c r="I81" s="67"/>
      <c r="L81" s="4">
        <v>2</v>
      </c>
      <c r="M81" s="4"/>
      <c r="N81" s="4"/>
      <c r="O81" s="61">
        <f t="shared" si="15"/>
        <v>0</v>
      </c>
      <c r="P81" s="60">
        <f t="shared" si="14"/>
        <v>2</v>
      </c>
      <c r="Q81" s="61">
        <f>_xlfn.IFNA(VLOOKUP($F81,tblMerits[],3,FALSE),"")</f>
        <v>2</v>
      </c>
      <c r="R81" s="61">
        <f>_xlfn.IFNA(VLOOKUP($F81,tblMerits[],4,FALSE),"")</f>
        <v>2</v>
      </c>
      <c r="Y81" s="15">
        <f>P174</f>
        <v>1</v>
      </c>
      <c r="Z81" s="61" t="s">
        <v>245</v>
      </c>
      <c r="AA81" s="60" t="str" cm="1">
        <f t="array" ref="AA81">IF(OR(Y81=0,Y81=""),"",IF(VLOOKUP(Z81,$AI$1:$AJ$58,2,FALSE)&gt;=Y81,INDEX(tblDisciplines[Name],MATCH(1,(tblDisciplines[Discipline]=Z81)*(tblDisciplines[Rank]=Y81),0)),""))</f>
        <v>Vigour 1</v>
      </c>
    </row>
    <row r="82" spans="1:27">
      <c r="A82" s="1" t="s">
        <v>81</v>
      </c>
      <c r="B82" t="str">
        <f t="shared" si="10"/>
        <v>Rumours</v>
      </c>
      <c r="D82" s="19"/>
      <c r="E82" s="15" t="s">
        <v>117</v>
      </c>
      <c r="F82" s="3" t="s">
        <v>1589</v>
      </c>
      <c r="G82" s="3"/>
      <c r="H82" s="67" t="str">
        <f>_xlfn.IFNA(IF(VLOOKUP(F82,tblMerits[],6,FALSE)=0,"None",VLOOKUP(F82,tblMerits[],6,FALSE)),"None")</f>
        <v>Composure 3, Manipulation 3, Wits 3</v>
      </c>
      <c r="I82" s="67"/>
      <c r="L82" s="4"/>
      <c r="M82" s="4"/>
      <c r="N82" s="4">
        <v>1</v>
      </c>
      <c r="O82" s="61">
        <f t="shared" si="15"/>
        <v>1</v>
      </c>
      <c r="P82" s="60">
        <f t="shared" si="14"/>
        <v>1</v>
      </c>
      <c r="Q82" s="61">
        <f>_xlfn.IFNA(VLOOKUP($F82,tblMerits[],3,FALSE),"")</f>
        <v>1</v>
      </c>
      <c r="R82" s="61">
        <f>_xlfn.IFNA(VLOOKUP($F82,tblMerits[],4,FALSE),"")</f>
        <v>1</v>
      </c>
      <c r="Y82" s="61" t="s">
        <v>1472</v>
      </c>
      <c r="Z82" s="19"/>
      <c r="AA82" s="60" t="str">
        <f>IF(P177="","",F177)</f>
        <v>Turn of Phrase</v>
      </c>
    </row>
    <row r="83" spans="1:27">
      <c r="A83" s="1" t="s">
        <v>82</v>
      </c>
      <c r="B83" t="str">
        <f t="shared" si="10"/>
        <v/>
      </c>
      <c r="D83" s="19"/>
      <c r="E83" s="15" t="s">
        <v>118</v>
      </c>
      <c r="F83" s="3" t="s">
        <v>1695</v>
      </c>
      <c r="G83" s="3"/>
      <c r="H83" s="67" t="str">
        <f>_xlfn.IFNA(IF(VLOOKUP(F83,tblMerits[],6,FALSE)=0,"None",VLOOKUP(F83,tblMerits[],6,FALSE)),"None")</f>
        <v>Carthian Status 1</v>
      </c>
      <c r="I83" s="67"/>
      <c r="L83" s="4">
        <v>1</v>
      </c>
      <c r="M83" s="4"/>
      <c r="N83" s="4"/>
      <c r="O83" s="61">
        <f t="shared" si="15"/>
        <v>0</v>
      </c>
      <c r="P83" s="60">
        <f t="shared" si="14"/>
        <v>1</v>
      </c>
      <c r="Q83" s="61">
        <f>_xlfn.IFNA(VLOOKUP($F83,tblMerits[],3,FALSE),"")</f>
        <v>1</v>
      </c>
      <c r="R83" s="61">
        <f>_xlfn.IFNA(VLOOKUP($F83,tblMerits[],4,FALSE),"")</f>
        <v>1</v>
      </c>
      <c r="Y83" s="61" t="s">
        <v>1472</v>
      </c>
      <c r="Z83" s="19"/>
      <c r="AA83" s="60" t="str">
        <f>IF(P178="","",F178)</f>
        <v>Quicken Sight</v>
      </c>
    </row>
    <row r="84" spans="1:27">
      <c r="A84" s="1" t="s">
        <v>83</v>
      </c>
      <c r="B84">
        <f>P124</f>
        <v>1</v>
      </c>
      <c r="D84" s="19"/>
      <c r="E84" s="15" t="s">
        <v>119</v>
      </c>
      <c r="F84" s="3" t="s">
        <v>1799</v>
      </c>
      <c r="G84" s="3"/>
      <c r="H84" s="67" t="str">
        <f>_xlfn.IFNA(IF(VLOOKUP(F84,tblMerits[],6,FALSE)=0,"None",VLOOKUP(F84,tblMerits[],6,FALSE)),"None")</f>
        <v>Carthian Status 1</v>
      </c>
      <c r="I84" s="67"/>
      <c r="L84" s="4"/>
      <c r="M84" s="4"/>
      <c r="N84" s="4">
        <v>1</v>
      </c>
      <c r="O84" s="61">
        <f t="shared" si="15"/>
        <v>1</v>
      </c>
      <c r="P84" s="60">
        <f t="shared" si="14"/>
        <v>1</v>
      </c>
      <c r="Q84" s="61">
        <f>_xlfn.IFNA(VLOOKUP($F84,tblMerits[],3,FALSE),"")</f>
        <v>1</v>
      </c>
      <c r="R84" s="61">
        <f>_xlfn.IFNA(VLOOKUP($F84,tblMerits[],4,FALSE),"")</f>
        <v>1</v>
      </c>
      <c r="Y84" s="61" t="s">
        <v>1472</v>
      </c>
      <c r="Z84" s="19"/>
      <c r="AA84" s="60" t="str">
        <f>IF(P179="","",F179)</f>
        <v>Hold my Beer</v>
      </c>
    </row>
    <row r="85" spans="1:27">
      <c r="A85" s="1" t="s">
        <v>84</v>
      </c>
      <c r="B85">
        <f>P125</f>
        <v>2</v>
      </c>
      <c r="D85" s="19"/>
      <c r="E85" s="15" t="s">
        <v>120</v>
      </c>
      <c r="F85" s="3"/>
      <c r="G85" s="3"/>
      <c r="H85" s="67" t="str">
        <f>_xlfn.IFNA(IF(VLOOKUP(F85,tblMerits[],6,FALSE)=0,"None",VLOOKUP(F85,tblMerits[],6,FALSE)),"None")</f>
        <v>None</v>
      </c>
      <c r="I85" s="67"/>
      <c r="L85" s="4"/>
      <c r="M85" s="4"/>
      <c r="N85" s="4"/>
      <c r="O85" s="61">
        <f t="shared" si="15"/>
        <v>0</v>
      </c>
      <c r="P85" s="60">
        <f t="shared" si="14"/>
        <v>0</v>
      </c>
      <c r="Q85" s="61" t="str">
        <f>_xlfn.IFNA(VLOOKUP($F85,tblMerits[],3,FALSE),"")</f>
        <v/>
      </c>
      <c r="R85" s="61" t="str">
        <f>_xlfn.IFNA(VLOOKUP($F85,tblMerits[],4,FALSE),"")</f>
        <v/>
      </c>
      <c r="Y85" s="61" t="s">
        <v>1472</v>
      </c>
      <c r="Z85" s="19"/>
      <c r="AA85" s="60" t="str">
        <f>IF(P180="","",F180)</f>
        <v/>
      </c>
    </row>
    <row r="86" spans="1:27">
      <c r="A86" s="1" t="s">
        <v>85</v>
      </c>
      <c r="B86">
        <f>P126</f>
        <v>2</v>
      </c>
      <c r="D86" s="19"/>
      <c r="E86" s="15" t="s">
        <v>121</v>
      </c>
      <c r="F86" s="3"/>
      <c r="G86" s="3"/>
      <c r="H86" s="67" t="str">
        <f>_xlfn.IFNA(IF(VLOOKUP(F86,tblMerits[],6,FALSE)=0,"None",VLOOKUP(F86,tblMerits[],6,FALSE)),"None")</f>
        <v>None</v>
      </c>
      <c r="I86" s="67"/>
      <c r="L86" s="4"/>
      <c r="M86" s="4"/>
      <c r="N86" s="4"/>
      <c r="O86" s="61">
        <f t="shared" si="15"/>
        <v>0</v>
      </c>
      <c r="P86" s="60">
        <f t="shared" si="14"/>
        <v>0</v>
      </c>
      <c r="Q86" s="61" t="str">
        <f>_xlfn.IFNA(VLOOKUP($F86,tblMerits[],3,FALSE),"")</f>
        <v/>
      </c>
      <c r="R86" s="61" t="str">
        <f>_xlfn.IFNA(VLOOKUP($F86,tblMerits[],4,FALSE),"")</f>
        <v/>
      </c>
      <c r="Y86" s="61" t="s">
        <v>1472</v>
      </c>
      <c r="Z86" s="19"/>
      <c r="AA86" s="60" t="str">
        <f>IF(P181="","",F181)</f>
        <v/>
      </c>
    </row>
    <row r="87" spans="1:27">
      <c r="A87" s="1" t="s">
        <v>86</v>
      </c>
      <c r="B87" t="str">
        <f>IF(F126="","¬",F126)</f>
        <v>Carthian</v>
      </c>
      <c r="D87" s="19"/>
      <c r="E87" s="15" t="s">
        <v>122</v>
      </c>
      <c r="F87" s="3"/>
      <c r="G87" s="3"/>
      <c r="H87" s="67" t="str">
        <f>_xlfn.IFNA(IF(VLOOKUP(F87,tblMerits[],6,FALSE)=0,"None",VLOOKUP(F87,tblMerits[],6,FALSE)),"None")</f>
        <v>None</v>
      </c>
      <c r="I87" s="67"/>
      <c r="L87" s="4"/>
      <c r="M87" s="4"/>
      <c r="N87" s="4"/>
      <c r="O87" s="61">
        <f t="shared" si="15"/>
        <v>0</v>
      </c>
      <c r="P87" s="60">
        <f t="shared" si="14"/>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
      </c>
    </row>
    <row r="88" spans="1:27">
      <c r="A88" s="1" t="s">
        <v>87</v>
      </c>
      <c r="B88" t="str">
        <f>REPT("●",P126)</f>
        <v>●●</v>
      </c>
      <c r="D88" s="19"/>
      <c r="E88" s="15" t="s">
        <v>123</v>
      </c>
      <c r="F88" s="3"/>
      <c r="G88" s="3"/>
      <c r="H88" s="67" t="str">
        <f>_xlfn.IFNA(IF(VLOOKUP(F88,tblMerits[],6,FALSE)=0,"None",VLOOKUP(F88,tblMerits[],6,FALSE)),"None")</f>
        <v>None</v>
      </c>
      <c r="I88" s="67"/>
      <c r="L88" s="4"/>
      <c r="M88" s="4"/>
      <c r="N88" s="4"/>
      <c r="O88" s="61">
        <f t="shared" si="15"/>
        <v>0</v>
      </c>
      <c r="P88" s="60">
        <f t="shared" si="14"/>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Crone</v>
      </c>
      <c r="D89" s="19"/>
      <c r="E89" s="15" t="s">
        <v>124</v>
      </c>
      <c r="F89" s="3"/>
      <c r="G89" s="3"/>
      <c r="H89" s="67" t="str">
        <f>_xlfn.IFNA(IF(VLOOKUP(F89,tblMerits[],6,FALSE)=0,"None",VLOOKUP(F89,tblMerits[],6,FALSE)),"None")</f>
        <v>None</v>
      </c>
      <c r="I89" s="67"/>
      <c r="L89" s="4"/>
      <c r="M89" s="4"/>
      <c r="N89" s="4"/>
      <c r="O89" s="61">
        <f t="shared" si="15"/>
        <v>0</v>
      </c>
      <c r="P89" s="60">
        <f t="shared" si="14"/>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_xlfn.IFNA(IF(VLOOKUP(F90,tblMerits[],6,FALSE)=0,"None",VLOOKUP(F90,tblMerits[],6,FALSE)),"None")</f>
        <v>None</v>
      </c>
      <c r="I90" s="67"/>
      <c r="L90" s="4"/>
      <c r="M90" s="4"/>
      <c r="N90" s="4"/>
      <c r="O90" s="61">
        <f t="shared" si="15"/>
        <v>0</v>
      </c>
      <c r="P90" s="60">
        <f t="shared" si="14"/>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Invictus</v>
      </c>
      <c r="D91" s="19"/>
      <c r="E91" s="15" t="s">
        <v>126</v>
      </c>
      <c r="F91" s="3"/>
      <c r="G91" s="3"/>
      <c r="H91" s="67" t="str">
        <f>_xlfn.IFNA(IF(VLOOKUP(F91,tblMerits[],6,FALSE)=0,"None",VLOOKUP(F91,tblMerits[],6,FALSE)),"None")</f>
        <v>None</v>
      </c>
      <c r="I91" s="67"/>
      <c r="L91" s="4"/>
      <c r="M91" s="4"/>
      <c r="N91" s="4"/>
      <c r="O91" s="61">
        <f t="shared" si="15"/>
        <v>0</v>
      </c>
      <c r="P91" s="60">
        <f t="shared" si="14"/>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5"/>
        <v>0</v>
      </c>
      <c r="P92" s="60">
        <f t="shared" si="14"/>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Lance</v>
      </c>
      <c r="D93" s="19"/>
      <c r="E93" s="15" t="s">
        <v>128</v>
      </c>
      <c r="F93" s="3"/>
      <c r="G93" s="3"/>
      <c r="H93" s="67" t="str">
        <f>_xlfn.IFNA(IF(VLOOKUP(F93,tblMerits[],6,FALSE)=0,"None",VLOOKUP(F93,tblMerits[],6,FALSE)),"None")</f>
        <v>None</v>
      </c>
      <c r="I93" s="67"/>
      <c r="L93" s="4"/>
      <c r="M93" s="4"/>
      <c r="N93" s="4"/>
      <c r="O93" s="61">
        <f t="shared" si="15"/>
        <v>0</v>
      </c>
      <c r="P93" s="60">
        <f t="shared" si="14"/>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5"/>
        <v>0</v>
      </c>
      <c r="P94" s="60">
        <f t="shared" si="14"/>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5"/>
        <v>0</v>
      </c>
      <c r="P95" s="60">
        <f t="shared" si="14"/>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5"/>
        <v>0</v>
      </c>
      <c r="P96" s="60">
        <f t="shared" si="14"/>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5"/>
        <v>0</v>
      </c>
      <c r="P97" s="60">
        <f t="shared" si="14"/>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5"/>
        <v>0</v>
      </c>
      <c r="P98" s="60">
        <f t="shared" si="14"/>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t="s">
        <v>1800</v>
      </c>
      <c r="G101" s="60" t="str">
        <f>IFERROR(VLOOKUP(F101,tblManoeuvre[],2,FALSE)&amp;" "&amp;VLOOKUP(F101,tblManoeuvre[],3,FALSE),"")</f>
        <v>Fast-Talking 1</v>
      </c>
      <c r="H101" s="67" t="str">
        <f>IFERROR(IF(VLOOKUP(F101,tblManoeuvre[],8,FALSE)=0,"None",VLOOKUP(F101,tblManoeuvre[],8,FALSE)),"None")</f>
        <v>Manipulation 3, Subterfuge 2</v>
      </c>
      <c r="I101" s="67"/>
      <c r="L101" s="4">
        <v>1</v>
      </c>
      <c r="M101" s="4"/>
      <c r="N101" s="4"/>
      <c r="O101" s="61">
        <f t="shared" ref="O101:O120" si="16">N101</f>
        <v>0</v>
      </c>
      <c r="P101" s="60">
        <f t="shared" ref="P101:P120" si="17">MIN(SUM(L101,M101,O101),R101)</f>
        <v>1</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
      </c>
      <c r="D102" s="19"/>
      <c r="E102" s="15" t="s">
        <v>1441</v>
      </c>
      <c r="F102" s="3" t="s">
        <v>1801</v>
      </c>
      <c r="G102" s="60" t="str">
        <f>IFERROR(VLOOKUP(F102,tblManoeuvre[],2,FALSE)&amp;" "&amp;VLOOKUP(F102,tblManoeuvre[],3,FALSE),"")</f>
        <v>Marksmanship 1</v>
      </c>
      <c r="H102" s="67" t="str">
        <f>IFERROR(IF(VLOOKUP(F102,tblManoeuvre[],8,FALSE)=0,"None",VLOOKUP(F102,tblManoeuvre[],8,FALSE)),"None")</f>
        <v>Composure 3, Resolve 3, Firearms 2</v>
      </c>
      <c r="I102" s="67"/>
      <c r="L102" s="4">
        <v>1</v>
      </c>
      <c r="M102" s="4"/>
      <c r="N102" s="4"/>
      <c r="O102" s="61">
        <f t="shared" si="16"/>
        <v>0</v>
      </c>
      <c r="P102" s="60">
        <f t="shared" si="17"/>
        <v>1</v>
      </c>
      <c r="Q102" s="61">
        <v>1</v>
      </c>
      <c r="R102" s="61">
        <v>1</v>
      </c>
      <c r="Y102" s="15">
        <v>1</v>
      </c>
      <c r="Z102" s="61" t="s">
        <v>251</v>
      </c>
      <c r="AA102" s="60" t="str" cm="1">
        <f t="array" ref="AA102">IF(VLOOKUP(Z102,$AI$1:$AJ$58,2,FALSE)&gt;=Y102,INDEX(tblDisciplines[Name],MATCH(1,(tblDisciplines[Discipline]=Z102)*(tblDisciplines[Rank]=Y102),0)),"")</f>
        <v/>
      </c>
    </row>
    <row r="103" spans="1:27">
      <c r="A103" s="1" t="s">
        <v>102</v>
      </c>
      <c r="B103">
        <f>P73</f>
        <v>5</v>
      </c>
      <c r="D103" s="19"/>
      <c r="E103" s="15" t="s">
        <v>1443</v>
      </c>
      <c r="F103" s="3" t="s">
        <v>1744</v>
      </c>
      <c r="G103" s="60" t="str">
        <f>IFERROR(VLOOKUP(F103,tblManoeuvre[],2,FALSE)&amp;" "&amp;VLOOKUP(F103,tblManoeuvre[],3,FALSE),"")</f>
        <v>Cacophony Savvy 1</v>
      </c>
      <c r="H103" s="67" t="str">
        <f>IFERROR(IF(VLOOKUP(F103,tblManoeuvre[],8,FALSE)=0,"None",VLOOKUP(F103,tblManoeuvre[],8,FALSE)),"None")</f>
        <v>City Status 1</v>
      </c>
      <c r="I103" s="67"/>
      <c r="L103" s="4">
        <v>1</v>
      </c>
      <c r="M103" s="4"/>
      <c r="N103" s="4"/>
      <c r="O103" s="61">
        <f t="shared" si="16"/>
        <v>0</v>
      </c>
      <c r="P103" s="60">
        <f t="shared" si="17"/>
        <v>1</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t="s">
        <v>1745</v>
      </c>
      <c r="G104" s="60" t="str">
        <f>IFERROR(VLOOKUP(F104,tblManoeuvre[],2,FALSE)&amp;" "&amp;VLOOKUP(F104,tblManoeuvre[],3,FALSE),"")</f>
        <v>Cacophony Savvy 2</v>
      </c>
      <c r="H104" s="67" t="str">
        <f>IFERROR(IF(VLOOKUP(F104,tblManoeuvre[],8,FALSE)=0,"None",VLOOKUP(F104,tblManoeuvre[],8,FALSE)),"None")</f>
        <v>City Status 1</v>
      </c>
      <c r="I104" s="67"/>
      <c r="L104" s="4"/>
      <c r="M104" s="4"/>
      <c r="N104" s="4">
        <v>1</v>
      </c>
      <c r="O104" s="61">
        <f t="shared" si="16"/>
        <v>1</v>
      </c>
      <c r="P104" s="60">
        <f t="shared" si="17"/>
        <v>1</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c r="G105" s="60" t="str">
        <f>IFERROR(VLOOKUP(F105,tblManoeuvre[],2,FALSE)&amp;" "&amp;VLOOKUP(F105,tblManoeuvre[],3,FALSE),"")</f>
        <v/>
      </c>
      <c r="H105" s="67" t="str">
        <f>IFERROR(IF(VLOOKUP(F105,tblManoeuvre[],8,FALSE)=0,"None",VLOOKUP(F105,tblManoeuvre[],8,FALSE)),"None")</f>
        <v>None</v>
      </c>
      <c r="I105" s="67"/>
      <c r="L105" s="4"/>
      <c r="M105" s="4"/>
      <c r="N105" s="4"/>
      <c r="O105" s="61">
        <f t="shared" si="16"/>
        <v>0</v>
      </c>
      <c r="P105" s="60">
        <f t="shared" si="17"/>
        <v>0</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IFERROR(VLOOKUP(F106,tblManoeuvre[],2,FALSE)&amp;" "&amp;VLOOKUP(F106,tblManoeuvre[],3,FALSE),"")</f>
        <v/>
      </c>
      <c r="H106" s="67" t="str">
        <f>IFERROR(IF(VLOOKUP(F106,tblManoeuvre[],8,FALSE)=0,"None",VLOOKUP(F106,tblManoeuvre[],8,FALSE)),"None")</f>
        <v>None</v>
      </c>
      <c r="I106" s="67"/>
      <c r="L106" s="4"/>
      <c r="M106" s="4"/>
      <c r="N106" s="4"/>
      <c r="O106" s="61">
        <f t="shared" si="16"/>
        <v>0</v>
      </c>
      <c r="P106" s="60">
        <f t="shared" si="17"/>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IFERROR(VLOOKUP(F107,tblManoeuvre[],2,FALSE)&amp;" "&amp;VLOOKUP(F107,tblManoeuvre[],3,FALSE),"")</f>
        <v/>
      </c>
      <c r="H107" s="67" t="str">
        <f>IFERROR(IF(VLOOKUP(F107,tblManoeuvre[],8,FALSE)=0,"None",VLOOKUP(F107,tblManoeuvre[],8,FALSE)),"None")</f>
        <v>None</v>
      </c>
      <c r="I107" s="67"/>
      <c r="L107" s="4"/>
      <c r="M107" s="4"/>
      <c r="N107" s="4"/>
      <c r="O107" s="61">
        <f t="shared" si="16"/>
        <v>0</v>
      </c>
      <c r="P107" s="60">
        <f t="shared" si="17"/>
        <v>0</v>
      </c>
      <c r="Q107" s="61">
        <v>1</v>
      </c>
      <c r="R107" s="61">
        <v>1</v>
      </c>
      <c r="Y107" s="15">
        <v>1</v>
      </c>
      <c r="Z107" s="61" t="s">
        <v>252</v>
      </c>
      <c r="AA107" s="60" t="str" cm="1">
        <f t="array" ref="AA107">IF(VLOOKUP(Z107,$AI$1:$AJ$58,2,FALSE)&gt;=Y107,INDEX(tblDisciplines[Name],MATCH(1,(tblDisciplines[Discipline]=Z107)*(tblDisciplines[Rank]=Y107),0)),"")</f>
        <v/>
      </c>
    </row>
    <row r="108" spans="1:27">
      <c r="A108" s="1" t="s">
        <v>107</v>
      </c>
      <c r="B108" t="str">
        <f>IF($P$73&gt;=7,"●","○") &amp; IF(F226&lt;&gt;""," (" &amp; F226 &amp; ")","")</f>
        <v>○</v>
      </c>
      <c r="D108" s="19"/>
      <c r="E108" s="15" t="s">
        <v>1452</v>
      </c>
      <c r="F108" s="3"/>
      <c r="G108" s="60" t="str">
        <f>IFERROR(VLOOKUP(F108,tblManoeuvre[],2,FALSE)&amp;" "&amp;VLOOKUP(F108,tblManoeuvre[],3,FALSE),"")</f>
        <v/>
      </c>
      <c r="H108" s="67" t="str">
        <f>IFERROR(IF(VLOOKUP(F108,tblManoeuvre[],8,FALSE)=0,"None",VLOOKUP(F108,tblManoeuvre[],8,FALSE)),"None")</f>
        <v>None</v>
      </c>
      <c r="I108" s="67"/>
      <c r="L108" s="4"/>
      <c r="M108" s="4"/>
      <c r="N108" s="4"/>
      <c r="O108" s="61">
        <f t="shared" si="16"/>
        <v>0</v>
      </c>
      <c r="P108" s="60">
        <f t="shared" si="17"/>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v>
      </c>
      <c r="D109" s="19"/>
      <c r="E109" s="15" t="s">
        <v>1454</v>
      </c>
      <c r="F109" s="3"/>
      <c r="G109" s="60" t="str">
        <f>IFERROR(VLOOKUP(F109,tblManoeuvre[],2,FALSE)&amp;" "&amp;VLOOKUP(F109,tblManoeuvre[],3,FALSE),"")</f>
        <v/>
      </c>
      <c r="H109" s="67" t="str">
        <f>IFERROR(IF(VLOOKUP(F109,tblManoeuvre[],8,FALSE)=0,"None",VLOOKUP(F109,tblManoeuvre[],8,FALSE)),"None")</f>
        <v>None</v>
      </c>
      <c r="I109" s="67"/>
      <c r="L109" s="4"/>
      <c r="M109" s="4"/>
      <c r="N109" s="4"/>
      <c r="O109" s="61">
        <f t="shared" si="16"/>
        <v>0</v>
      </c>
      <c r="P109" s="60">
        <f t="shared" si="17"/>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v>
      </c>
      <c r="D110" s="19"/>
      <c r="E110" s="15" t="s">
        <v>1455</v>
      </c>
      <c r="F110" s="3"/>
      <c r="G110" s="60" t="str">
        <f>IFERROR(VLOOKUP(F110,tblManoeuvre[],2,FALSE)&amp;" "&amp;VLOOKUP(F110,tblManoeuvre[],3,FALSE),"")</f>
        <v/>
      </c>
      <c r="H110" s="67" t="str">
        <f>IFERROR(IF(VLOOKUP(F110,tblManoeuvre[],8,FALSE)=0,"None",VLOOKUP(F110,tblManoeuvre[],8,FALSE)),"None")</f>
        <v>None</v>
      </c>
      <c r="I110" s="67"/>
      <c r="L110" s="4"/>
      <c r="M110" s="4"/>
      <c r="N110" s="4"/>
      <c r="O110" s="61">
        <f t="shared" si="16"/>
        <v>0</v>
      </c>
      <c r="P110" s="60">
        <f t="shared" si="17"/>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t="str">
        <f>IFERROR(VLOOKUP(F111,tblManoeuvre[],2,FALSE)&amp;" "&amp;VLOOKUP(F111,tblManoeuvre[],3,FALSE),"")</f>
        <v/>
      </c>
      <c r="H111" s="67" t="str">
        <f>IFERROR(IF(VLOOKUP(F111,tblManoeuvre[],8,FALSE)=0,"None",VLOOKUP(F111,tblManoeuvre[],8,FALSE)),"None")</f>
        <v>None</v>
      </c>
      <c r="I111" s="67"/>
      <c r="L111" s="4"/>
      <c r="M111" s="4"/>
      <c r="N111" s="4"/>
      <c r="O111" s="61">
        <f t="shared" si="16"/>
        <v>0</v>
      </c>
      <c r="P111" s="60">
        <f t="shared" si="17"/>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t="str">
        <f>IFERROR(VLOOKUP(F112,tblManoeuvre[],2,FALSE)&amp;" "&amp;VLOOKUP(F112,tblManoeuvre[],3,FALSE),"")</f>
        <v/>
      </c>
      <c r="H112" s="67" t="str">
        <f>IFERROR(IF(VLOOKUP(F112,tblManoeuvre[],8,FALSE)=0,"None",VLOOKUP(F112,tblManoeuvre[],8,FALSE)),"None")</f>
        <v>None</v>
      </c>
      <c r="I112" s="67"/>
      <c r="L112" s="4"/>
      <c r="M112" s="4"/>
      <c r="N112" s="4"/>
      <c r="O112" s="61">
        <f t="shared" si="16"/>
        <v>0</v>
      </c>
      <c r="P112" s="60">
        <f t="shared" si="17"/>
        <v>0</v>
      </c>
      <c r="Q112" s="61">
        <v>1</v>
      </c>
      <c r="R112" s="61">
        <v>1</v>
      </c>
      <c r="Y112" s="61" t="s">
        <v>1474</v>
      </c>
      <c r="Z112" s="61" t="str">
        <f t="shared" ref="Z112:Z121" si="18">G194</f>
        <v/>
      </c>
      <c r="AA112" s="60" t="str">
        <f t="shared" ref="AA112:AA121" si="19">IF(P194="","",F194)</f>
        <v/>
      </c>
    </row>
    <row r="113" spans="1:27">
      <c r="A113" s="1" t="s">
        <v>112</v>
      </c>
      <c r="B113" t="str">
        <f>IF($P$73&gt;=2,"●","○") &amp; IF(F231&lt;&gt;""," (" &amp; F231 &amp; ")","")</f>
        <v>●</v>
      </c>
      <c r="D113" s="19"/>
      <c r="E113" s="15" t="s">
        <v>1458</v>
      </c>
      <c r="F113" s="3"/>
      <c r="G113" s="60" t="str">
        <f>IFERROR(VLOOKUP(F113,tblManoeuvre[],2,FALSE)&amp;" "&amp;VLOOKUP(F113,tblManoeuvre[],3,FALSE),"")</f>
        <v/>
      </c>
      <c r="H113" s="67" t="str">
        <f>IFERROR(IF(VLOOKUP(F113,tblManoeuvre[],8,FALSE)=0,"None",VLOOKUP(F113,tblManoeuvre[],8,FALSE)),"None")</f>
        <v>None</v>
      </c>
      <c r="I113" s="67"/>
      <c r="L113" s="4"/>
      <c r="M113" s="4"/>
      <c r="N113" s="4"/>
      <c r="O113" s="61">
        <f t="shared" si="16"/>
        <v>0</v>
      </c>
      <c r="P113" s="60">
        <f t="shared" si="17"/>
        <v>0</v>
      </c>
      <c r="Q113" s="61">
        <v>1</v>
      </c>
      <c r="R113" s="61">
        <v>1</v>
      </c>
      <c r="Y113" s="61" t="s">
        <v>1474</v>
      </c>
      <c r="Z113" s="61" t="str">
        <f t="shared" si="18"/>
        <v/>
      </c>
      <c r="AA113" s="60" t="str">
        <f t="shared" si="19"/>
        <v/>
      </c>
    </row>
    <row r="114" spans="1:27">
      <c r="A114" s="1" t="s">
        <v>113</v>
      </c>
      <c r="B114" t="str">
        <f>IF($P$73&gt;=1,"●","○") &amp; IF(F232&lt;&gt;""," (" &amp; F232 &amp; ")","")</f>
        <v>●</v>
      </c>
      <c r="D114" s="19"/>
      <c r="E114" s="15" t="s">
        <v>1460</v>
      </c>
      <c r="F114" s="3"/>
      <c r="G114" s="60" t="str">
        <f>IFERROR(VLOOKUP(F114,tblManoeuvre[],2,FALSE)&amp;" "&amp;VLOOKUP(F114,tblManoeuvre[],3,FALSE),"")</f>
        <v/>
      </c>
      <c r="H114" s="67" t="str">
        <f>IFERROR(IF(VLOOKUP(F114,tblManoeuvre[],8,FALSE)=0,"None",VLOOKUP(F114,tblManoeuvre[],8,FALSE)),"None")</f>
        <v>None</v>
      </c>
      <c r="I114" s="67"/>
      <c r="L114" s="4"/>
      <c r="M114" s="4"/>
      <c r="N114" s="4"/>
      <c r="O114" s="61">
        <f t="shared" si="16"/>
        <v>0</v>
      </c>
      <c r="P114" s="60">
        <f t="shared" si="17"/>
        <v>0</v>
      </c>
      <c r="Q114" s="61">
        <v>1</v>
      </c>
      <c r="R114" s="61">
        <v>1</v>
      </c>
      <c r="Y114" s="61" t="s">
        <v>1474</v>
      </c>
      <c r="Z114" s="61" t="str">
        <f t="shared" si="18"/>
        <v/>
      </c>
      <c r="AA114" s="60" t="str">
        <f t="shared" si="19"/>
        <v/>
      </c>
    </row>
    <row r="115" spans="1:27">
      <c r="A115" s="1" t="s">
        <v>114</v>
      </c>
      <c r="B115" t="str">
        <f t="shared" ref="B115:B144" si="20">IF(AD2="","¬",AD2)</f>
        <v>Finger on the Pulse ●</v>
      </c>
      <c r="D115" s="19"/>
      <c r="E115" s="15" t="s">
        <v>1461</v>
      </c>
      <c r="F115" s="3"/>
      <c r="G115" s="60" t="str">
        <f>IFERROR(VLOOKUP(F115,tblManoeuvre[],2,FALSE)&amp;" "&amp;VLOOKUP(F115,tblManoeuvre[],3,FALSE),"")</f>
        <v/>
      </c>
      <c r="H115" s="67" t="str">
        <f>IFERROR(IF(VLOOKUP(F115,tblManoeuvre[],8,FALSE)=0,"None",VLOOKUP(F115,tblManoeuvre[],8,FALSE)),"None")</f>
        <v>None</v>
      </c>
      <c r="I115" s="67"/>
      <c r="L115" s="4"/>
      <c r="M115" s="4"/>
      <c r="N115" s="4"/>
      <c r="O115" s="61">
        <f t="shared" si="16"/>
        <v>0</v>
      </c>
      <c r="P115" s="60">
        <f t="shared" si="17"/>
        <v>0</v>
      </c>
      <c r="Q115" s="61">
        <v>1</v>
      </c>
      <c r="R115" s="61">
        <v>1</v>
      </c>
      <c r="Y115" s="61" t="s">
        <v>1474</v>
      </c>
      <c r="Z115" s="61" t="str">
        <f t="shared" si="18"/>
        <v/>
      </c>
      <c r="AA115" s="60" t="str">
        <f t="shared" si="19"/>
        <v/>
      </c>
    </row>
    <row r="116" spans="1:27">
      <c r="A116" s="1" t="s">
        <v>115</v>
      </c>
      <c r="B116" t="str">
        <f t="shared" si="20"/>
        <v>Fucking Thief (Sorcerous Eunuch) ●</v>
      </c>
      <c r="D116" s="19"/>
      <c r="E116" s="15" t="s">
        <v>1462</v>
      </c>
      <c r="F116" s="3"/>
      <c r="G116" s="60" t="str">
        <f>IFERROR(VLOOKUP(F116,tblManoeuvre[],2,FALSE)&amp;" "&amp;VLOOKUP(F116,tblManoeuvre[],3,FALSE),"")</f>
        <v/>
      </c>
      <c r="H116" s="67" t="str">
        <f>IFERROR(IF(VLOOKUP(F116,tblManoeuvre[],8,FALSE)=0,"None",VLOOKUP(F116,tblManoeuvre[],8,FALSE)),"None")</f>
        <v>None</v>
      </c>
      <c r="I116" s="67"/>
      <c r="L116" s="4"/>
      <c r="M116" s="4"/>
      <c r="N116" s="4"/>
      <c r="O116" s="61">
        <f t="shared" si="16"/>
        <v>0</v>
      </c>
      <c r="P116" s="60">
        <f t="shared" si="17"/>
        <v>0</v>
      </c>
      <c r="Q116" s="61">
        <v>1</v>
      </c>
      <c r="R116" s="61">
        <v>1</v>
      </c>
      <c r="Y116" s="61" t="s">
        <v>1474</v>
      </c>
      <c r="Z116" s="61" t="str">
        <f t="shared" si="18"/>
        <v/>
      </c>
      <c r="AA116" s="60" t="str">
        <f t="shared" si="19"/>
        <v/>
      </c>
    </row>
    <row r="117" spans="1:27">
      <c r="A117" s="1" t="s">
        <v>116</v>
      </c>
      <c r="B117" t="str">
        <f t="shared" si="20"/>
        <v>Honey With Vinegar ●</v>
      </c>
      <c r="D117" s="19"/>
      <c r="E117" s="15" t="s">
        <v>1463</v>
      </c>
      <c r="F117" s="3"/>
      <c r="G117" s="60" t="str">
        <f>IFERROR(VLOOKUP(F117,tblManoeuvre[],2,FALSE)&amp;" "&amp;VLOOKUP(F117,tblManoeuvre[],3,FALSE),"")</f>
        <v/>
      </c>
      <c r="H117" s="67" t="str">
        <f>IFERROR(IF(VLOOKUP(F117,tblManoeuvre[],8,FALSE)=0,"None",VLOOKUP(F117,tblManoeuvre[],8,FALSE)),"None")</f>
        <v>None</v>
      </c>
      <c r="I117" s="67"/>
      <c r="L117" s="4"/>
      <c r="M117" s="4"/>
      <c r="N117" s="4"/>
      <c r="O117" s="61">
        <f t="shared" si="16"/>
        <v>0</v>
      </c>
      <c r="P117" s="60">
        <f t="shared" si="17"/>
        <v>0</v>
      </c>
      <c r="Q117" s="61">
        <v>1</v>
      </c>
      <c r="R117" s="61">
        <v>1</v>
      </c>
      <c r="Y117" s="61" t="s">
        <v>1474</v>
      </c>
      <c r="Z117" s="61" t="str">
        <f t="shared" si="18"/>
        <v/>
      </c>
      <c r="AA117" s="60" t="str">
        <f t="shared" si="19"/>
        <v/>
      </c>
    </row>
    <row r="118" spans="1:27">
      <c r="A118" s="1" t="s">
        <v>117</v>
      </c>
      <c r="B118" t="str">
        <f t="shared" si="20"/>
        <v>Indomitable ●●</v>
      </c>
      <c r="D118" s="19"/>
      <c r="E118" s="15" t="s">
        <v>1464</v>
      </c>
      <c r="F118" s="3"/>
      <c r="G118" s="60" t="str">
        <f>IFERROR(VLOOKUP(F118,tblManoeuvre[],2,FALSE)&amp;" "&amp;VLOOKUP(F118,tblManoeuvre[],3,FALSE),"")</f>
        <v/>
      </c>
      <c r="H118" s="67" t="str">
        <f>IFERROR(IF(VLOOKUP(F118,tblManoeuvre[],8,FALSE)=0,"None",VLOOKUP(F118,tblManoeuvre[],8,FALSE)),"None")</f>
        <v>None</v>
      </c>
      <c r="I118" s="67"/>
      <c r="L118" s="4"/>
      <c r="M118" s="4"/>
      <c r="N118" s="4"/>
      <c r="O118" s="61">
        <f t="shared" si="16"/>
        <v>0</v>
      </c>
      <c r="P118" s="60">
        <f t="shared" si="17"/>
        <v>0</v>
      </c>
      <c r="Q118" s="61">
        <v>1</v>
      </c>
      <c r="R118" s="61">
        <v>1</v>
      </c>
      <c r="Y118" s="61" t="s">
        <v>1474</v>
      </c>
      <c r="Z118" s="61" t="str">
        <f t="shared" si="18"/>
        <v/>
      </c>
      <c r="AA118" s="60" t="str">
        <f t="shared" si="19"/>
        <v/>
      </c>
    </row>
    <row r="119" spans="1:27">
      <c r="A119" s="1" t="s">
        <v>118</v>
      </c>
      <c r="B119" t="str">
        <f t="shared" si="20"/>
        <v>Sorcerous Eunuch ●</v>
      </c>
      <c r="D119" s="19"/>
      <c r="E119" s="15" t="s">
        <v>1466</v>
      </c>
      <c r="F119" s="3"/>
      <c r="G119" s="60" t="str">
        <f>IFERROR(VLOOKUP(F119,tblManoeuvre[],2,FALSE)&amp;" "&amp;VLOOKUP(F119,tblManoeuvre[],3,FALSE),"")</f>
        <v/>
      </c>
      <c r="H119" s="67" t="str">
        <f>IFERROR(IF(VLOOKUP(F119,tblManoeuvre[],8,FALSE)=0,"None",VLOOKUP(F119,tblManoeuvre[],8,FALSE)),"None")</f>
        <v>None</v>
      </c>
      <c r="I119" s="67"/>
      <c r="L119" s="4"/>
      <c r="M119" s="4"/>
      <c r="N119" s="4"/>
      <c r="O119" s="61">
        <f t="shared" si="16"/>
        <v>0</v>
      </c>
      <c r="P119" s="60">
        <f t="shared" si="17"/>
        <v>0</v>
      </c>
      <c r="Q119" s="61">
        <v>1</v>
      </c>
      <c r="R119" s="61">
        <v>1</v>
      </c>
      <c r="Y119" s="61" t="s">
        <v>1474</v>
      </c>
      <c r="Z119" s="61" t="str">
        <f t="shared" si="18"/>
        <v/>
      </c>
      <c r="AA119" s="60" t="str">
        <f t="shared" si="19"/>
        <v/>
      </c>
    </row>
    <row r="120" spans="1:27">
      <c r="A120" s="1" t="s">
        <v>119</v>
      </c>
      <c r="B120" t="str">
        <f t="shared" si="20"/>
        <v>Table Turner ●</v>
      </c>
      <c r="D120" s="19"/>
      <c r="E120" s="15" t="s">
        <v>1468</v>
      </c>
      <c r="F120" s="3"/>
      <c r="G120" s="60" t="str">
        <f>IFERROR(VLOOKUP(F120,tblManoeuvre[],2,FALSE)&amp;" "&amp;VLOOKUP(F120,tblManoeuvre[],3,FALSE),"")</f>
        <v/>
      </c>
      <c r="H120" s="67" t="str">
        <f>IFERROR(IF(VLOOKUP(F120,tblManoeuvre[],8,FALSE)=0,"None",VLOOKUP(F120,tblManoeuvre[],8,FALSE)),"None")</f>
        <v>None</v>
      </c>
      <c r="I120" s="67"/>
      <c r="L120" s="4"/>
      <c r="M120" s="4"/>
      <c r="N120" s="4"/>
      <c r="O120" s="61">
        <f t="shared" si="16"/>
        <v>0</v>
      </c>
      <c r="P120" s="60">
        <f t="shared" si="17"/>
        <v>0</v>
      </c>
      <c r="Q120" s="61">
        <v>1</v>
      </c>
      <c r="R120" s="61">
        <v>1</v>
      </c>
      <c r="Y120" s="61" t="s">
        <v>1474</v>
      </c>
      <c r="Z120" s="61" t="str">
        <f t="shared" si="18"/>
        <v/>
      </c>
      <c r="AA120" s="60" t="str">
        <f t="shared" si="19"/>
        <v/>
      </c>
    </row>
    <row r="121" spans="1:27">
      <c r="A121" s="1" t="s">
        <v>120</v>
      </c>
      <c r="B121" t="str">
        <f t="shared" si="20"/>
        <v>Cacophony Savvy ● | Gettin' Up</v>
      </c>
      <c r="Y121" s="61" t="s">
        <v>1474</v>
      </c>
      <c r="Z121" s="61" t="str">
        <f t="shared" si="18"/>
        <v/>
      </c>
      <c r="AA121" s="60" t="str">
        <f t="shared" si="19"/>
        <v/>
      </c>
    </row>
    <row r="122" spans="1:27" ht="15.75" thickBot="1">
      <c r="A122" s="1" t="s">
        <v>121</v>
      </c>
      <c r="B122" t="str">
        <f t="shared" si="20"/>
        <v>Cacophony Savvy ●● | Backpacker</v>
      </c>
      <c r="D122" s="14" t="s">
        <v>1475</v>
      </c>
      <c r="E122" s="14"/>
      <c r="F122" s="14"/>
      <c r="G122" s="14"/>
      <c r="H122" s="14"/>
      <c r="I122" s="14"/>
    </row>
    <row r="123" spans="1:27">
      <c r="A123" s="1" t="s">
        <v>122</v>
      </c>
      <c r="B123" t="str">
        <f t="shared" si="20"/>
        <v>Fast-Talking ● | Always Be Closing</v>
      </c>
      <c r="D123" s="16" t="s">
        <v>927</v>
      </c>
      <c r="E123" s="17"/>
      <c r="F123" s="17"/>
      <c r="G123" s="17"/>
      <c r="H123" s="17"/>
      <c r="I123" s="17"/>
      <c r="Y123" s="15" t="s">
        <v>1476</v>
      </c>
      <c r="Z123" s="19"/>
      <c r="AA123" s="61" t="str">
        <f t="shared" ref="AA123:AA132" si="21">_xlfn.LET(_xlpm.name,VLOOKUP(Y123,$E$2:$F$362,2,FALSE),_xlpm.paid,_xlfn.IFNA(VLOOKUP(_xlpm.name,$F$121:$Q$215,11,FALSE)&gt;=VLOOKUP(_xlpm.name,$F$121:$Q$215,12,FALSE),FALSE),IF(AND(_xlpm.name&lt;&gt;"",_xlpm.paid),_xlpm.name,""))</f>
        <v/>
      </c>
    </row>
    <row r="124" spans="1:27">
      <c r="A124" s="1" t="s">
        <v>123</v>
      </c>
      <c r="B124" t="str">
        <f t="shared" si="20"/>
        <v>Marksmanship ● | Through the Crosshairs</v>
      </c>
      <c r="D124" s="19"/>
      <c r="E124" s="15" t="s">
        <v>83</v>
      </c>
      <c r="F124" s="19"/>
      <c r="G124" s="19"/>
      <c r="H124" s="19"/>
      <c r="I124" s="19"/>
      <c r="L124" s="4">
        <v>1</v>
      </c>
      <c r="M124" s="61">
        <f>IFERROR(VLOOKUP(G13,tblEffectiveStatus[#Data],2,FALSE),0)</f>
        <v>0</v>
      </c>
      <c r="P124" s="60">
        <f>MIN(L124+M124,R124)</f>
        <v>1</v>
      </c>
      <c r="R124" s="61">
        <v>10</v>
      </c>
      <c r="Y124" s="15" t="s">
        <v>1477</v>
      </c>
      <c r="Z124" s="19"/>
      <c r="AA124" s="61" t="str">
        <f t="shared" si="21"/>
        <v/>
      </c>
    </row>
    <row r="125" spans="1:27">
      <c r="A125" s="1" t="s">
        <v>124</v>
      </c>
      <c r="B125" t="str">
        <f t="shared" si="20"/>
        <v>¬</v>
      </c>
      <c r="D125" s="19"/>
      <c r="E125" s="15" t="str">
        <f>IF(F7="","Clan Status",F7&amp;" Status")</f>
        <v>Daeva Status</v>
      </c>
      <c r="F125" s="19"/>
      <c r="G125" s="19"/>
      <c r="H125" s="19"/>
      <c r="I125" s="19"/>
      <c r="L125" s="4">
        <v>2</v>
      </c>
      <c r="P125" s="60">
        <f>IF(L125="",0,MIN(L125,R125))</f>
        <v>2</v>
      </c>
      <c r="R125" s="61">
        <v>5</v>
      </c>
      <c r="Y125" s="15" t="s">
        <v>1478</v>
      </c>
      <c r="Z125" s="19"/>
      <c r="AA125" s="61" t="str">
        <f t="shared" si="21"/>
        <v/>
      </c>
    </row>
    <row r="126" spans="1:27">
      <c r="A126" s="1" t="s">
        <v>125</v>
      </c>
      <c r="B126" t="str">
        <f t="shared" si="20"/>
        <v>¬</v>
      </c>
      <c r="D126" s="19"/>
      <c r="E126" s="15" t="str">
        <f>IF(F9="","",F9&amp;" Status")</f>
        <v>Carthian Movement Status</v>
      </c>
      <c r="F126" s="19" t="str">
        <f>IF(F9="","",VLOOKUP(F9,tblCovenantShortName[#Data],2,FALSE))</f>
        <v>Carthian</v>
      </c>
      <c r="G126" s="19"/>
      <c r="H126" s="19"/>
      <c r="I126" s="19"/>
      <c r="L126" s="4">
        <v>2</v>
      </c>
      <c r="P126" s="60">
        <f>L126</f>
        <v>2</v>
      </c>
      <c r="R126" s="61">
        <f>5-SUM(L127:L129)</f>
        <v>5</v>
      </c>
      <c r="Y126" s="15" t="s">
        <v>1479</v>
      </c>
      <c r="Z126" s="19"/>
      <c r="AA126" s="61" t="str">
        <f t="shared" si="21"/>
        <v/>
      </c>
    </row>
    <row r="127" spans="1:27">
      <c r="A127" s="1" t="s">
        <v>126</v>
      </c>
      <c r="B127" t="str">
        <f t="shared" si="20"/>
        <v>¬</v>
      </c>
      <c r="D127" s="19"/>
      <c r="E127" s="15" t="str" cm="1">
        <f t="array" ref="E127">IF(F9="","",IFERROR(INDEX(Lists!$F$2:$F$5,SMALL(IF(Lists!$F$2:$F$5&lt;&gt;$F$9,ROW(Lists!$F$2:$F$5)-ROW(Lists!$F$2)+1),1))&amp;" Status",""))</f>
        <v>Circle of the Crone Status</v>
      </c>
      <c r="F127" s="19" t="str" cm="1">
        <f t="array" ref="F127">IF(F9="","",IFERROR(VLOOKUP(INDEX(Lists!$F$2:$F$5,SMALL(IF(Lists!$F$2:$F$5&lt;&gt;$F$9,ROW(Lists!$F$2:$F$5)-ROW(Lists!$F$2)+1),1)),tblCovenantShortName[],2,FALSE),""))</f>
        <v>Crone</v>
      </c>
      <c r="G127" s="19"/>
      <c r="H127" s="19"/>
      <c r="I127" s="19"/>
      <c r="L127" s="4"/>
      <c r="P127" s="60">
        <f>L127</f>
        <v>0</v>
      </c>
      <c r="R127" s="61">
        <f>MAX(0,MIN(P126-1,5-L126-L128-L129))</f>
        <v>1</v>
      </c>
      <c r="Y127" s="15" t="s">
        <v>1480</v>
      </c>
      <c r="Z127" s="19"/>
      <c r="AA127" s="61" t="str">
        <f t="shared" si="21"/>
        <v/>
      </c>
    </row>
    <row r="128" spans="1:27">
      <c r="A128" s="1" t="s">
        <v>127</v>
      </c>
      <c r="B128" t="str">
        <f t="shared" si="20"/>
        <v>¬</v>
      </c>
      <c r="D128" s="19"/>
      <c r="E128" s="15" t="str" cm="1">
        <f t="array" ref="E128">IF(F9="","",IFERROR(INDEX(Lists!$F$2:$F$5,SMALL(IF(Lists!$F$2:$F$5&lt;&gt;$F$9,ROW(Lists!$F$2:$F$5)-ROW(Lists!$F$2)+1),2))&amp;" Status",""))</f>
        <v>Invictus Status</v>
      </c>
      <c r="F128" s="19" t="str" cm="1">
        <f t="array" ref="F128">IF(F9="","",IFERROR(VLOOKUP(INDEX(Lists!$F$2:$F$5,SMALL(IF(Lists!$F$2:$F$5&lt;&gt;$F$9,ROW(Lists!$F$2:$F$5)-ROW(Lists!$F$2)+1),2)),tblCovenantShortName[],2,FALSE),""))</f>
        <v>Invictus</v>
      </c>
      <c r="G128" s="19"/>
      <c r="H128" s="19"/>
      <c r="I128" s="19"/>
      <c r="L128" s="4"/>
      <c r="P128" s="60">
        <f>L128</f>
        <v>0</v>
      </c>
      <c r="R128" s="61">
        <f>MAX(0,MIN(P126-1,5-L126-L127-L129))</f>
        <v>1</v>
      </c>
      <c r="Y128" s="15" t="s">
        <v>1481</v>
      </c>
      <c r="Z128" s="19"/>
      <c r="AA128" s="61" t="str">
        <f t="shared" si="21"/>
        <v/>
      </c>
    </row>
    <row r="129" spans="1:32">
      <c r="A129" s="1" t="s">
        <v>128</v>
      </c>
      <c r="B129" t="str">
        <f t="shared" si="20"/>
        <v>¬</v>
      </c>
      <c r="D129" s="19"/>
      <c r="E129" s="15" t="str" cm="1">
        <f t="array" ref="E129">IF(F9="","",IFERROR(INDEX(Lists!$F$2:$F$5,SMALL(IF(Lists!$F$2:$F$5&lt;&gt;$F$9,ROW(Lists!$F$2:$F$5)-ROW(Lists!$F$2)+1),3))&amp;" Status",""))</f>
        <v>Lancea et Sanctum Status</v>
      </c>
      <c r="F129" s="19" t="str" cm="1">
        <f t="array" ref="F129">IF(F9="","",IFERROR(VLOOKUP(INDEX(Lists!$F$2:$F$5,SMALL(IF(Lists!$F$2:$F$5&lt;&gt;$F$9,ROW(Lists!$F$2:$F$5)-ROW(Lists!$F$2)+1),3)),tblCovenantShortName[],2,FALSE),""))</f>
        <v>Lance</v>
      </c>
      <c r="G129" s="19"/>
      <c r="H129" s="19"/>
      <c r="I129" s="19"/>
      <c r="L129" s="4"/>
      <c r="P129" s="60">
        <f>L129</f>
        <v>0</v>
      </c>
      <c r="R129" s="61">
        <f>MAX(0,MIN(P126-1,5-L126-L127-L128))</f>
        <v>1</v>
      </c>
      <c r="Y129" s="15" t="s">
        <v>1482</v>
      </c>
      <c r="Z129" s="19"/>
      <c r="AA129" s="61" t="str">
        <f t="shared" si="21"/>
        <v/>
      </c>
    </row>
    <row r="130" spans="1:32">
      <c r="A130" s="1" t="s">
        <v>129</v>
      </c>
      <c r="B130" t="str">
        <f t="shared" si="20"/>
        <v>¬</v>
      </c>
      <c r="Y130" s="15" t="s">
        <v>1483</v>
      </c>
      <c r="Z130" s="19"/>
      <c r="AA130" s="61" t="str">
        <f t="shared" si="21"/>
        <v/>
      </c>
    </row>
    <row r="131" spans="1:32">
      <c r="A131" s="1" t="s">
        <v>130</v>
      </c>
      <c r="B131" t="str">
        <f t="shared" si="20"/>
        <v>¬</v>
      </c>
      <c r="D131" s="16" t="s">
        <v>1475</v>
      </c>
      <c r="E131" s="17"/>
      <c r="F131" s="16" t="s">
        <v>1446</v>
      </c>
      <c r="G131" s="17"/>
      <c r="H131" s="17"/>
      <c r="I131" s="17"/>
      <c r="Y131" s="15" t="s">
        <v>1484</v>
      </c>
      <c r="Z131" s="19"/>
      <c r="AA131" s="61" t="str">
        <f t="shared" si="21"/>
        <v/>
      </c>
    </row>
    <row r="132" spans="1:32">
      <c r="A132" s="1" t="s">
        <v>131</v>
      </c>
      <c r="B132" t="str">
        <f t="shared" si="20"/>
        <v>¬</v>
      </c>
      <c r="D132" s="19"/>
      <c r="E132" s="15" t="s">
        <v>94</v>
      </c>
      <c r="F132" s="3" t="s">
        <v>1802</v>
      </c>
      <c r="G132" s="19"/>
      <c r="H132" s="19"/>
      <c r="I132" s="19"/>
      <c r="L132" s="4">
        <v>1</v>
      </c>
      <c r="M132" s="4">
        <v>1</v>
      </c>
      <c r="N132" s="4"/>
      <c r="O132" s="61">
        <f>N132</f>
        <v>0</v>
      </c>
      <c r="P132" s="60">
        <f>MIN(SUM(L132,M132,O132),R132)</f>
        <v>2</v>
      </c>
      <c r="Q132" s="61">
        <f>_xlfn.IFNA(VLOOKUP($E132,tblDomain[],3,FALSE),"")</f>
        <v>1</v>
      </c>
      <c r="R132" s="61">
        <f>_xlfn.IFNA(VLOOKUP($E132,tblDomain[],4,FALSE),"")</f>
        <v>5</v>
      </c>
      <c r="Y132" s="15" t="s">
        <v>1485</v>
      </c>
      <c r="Z132" s="19"/>
      <c r="AA132" s="61" t="str">
        <f t="shared" si="21"/>
        <v/>
      </c>
    </row>
    <row r="133" spans="1:32">
      <c r="A133" s="1" t="s">
        <v>132</v>
      </c>
      <c r="B133" t="str">
        <f t="shared" si="20"/>
        <v>¬</v>
      </c>
      <c r="D133" s="19"/>
      <c r="E133" s="15" t="s">
        <v>95</v>
      </c>
      <c r="F133" s="3"/>
      <c r="G133" s="19"/>
      <c r="H133" s="19"/>
      <c r="I133" s="19"/>
      <c r="L133" s="4"/>
      <c r="M133" s="4">
        <v>1</v>
      </c>
      <c r="N133" s="4"/>
      <c r="O133" s="61">
        <f>N133</f>
        <v>0</v>
      </c>
      <c r="P133" s="60">
        <f>MIN(SUM(L133,M133,O133),R133)</f>
        <v>1</v>
      </c>
      <c r="Q133" s="61">
        <f>_xlfn.IFNA(VLOOKUP($E133,tblDomain[],3,FALSE),"")</f>
        <v>1</v>
      </c>
      <c r="R133" s="61">
        <f>_xlfn.IFNA(VLOOKUP($E133,tblDomain[],4,FALSE),"")</f>
        <v>5</v>
      </c>
    </row>
    <row r="134" spans="1:32">
      <c r="A134" s="1" t="s">
        <v>133</v>
      </c>
      <c r="B134" t="str">
        <f t="shared" si="20"/>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2">_xlfn.LET(_xlpm.name,VLOOKUP(Y134,$E$2:$F$362,2,FALSE),_xlpm.note,VLOOKUP(Y134,$E$2:$G$362,3,FALSE),_xlpm.row,MATCH(Y134,$E$138:$E$157,0),_xlpm.dots,INDEX($P$138:$P$157,_xlpm.row),_xlpm.max,INDEX($Q$138:$Q$157,_xlpm.row),_xlpm.paid,_xlfn.IFNA(_xlpm.dots&gt;=_xlpm.max,FALSE),IF(AND(_xlpm.name&lt;&gt;"",_xlpm.paid),IF(_xlpm.note="",_xlpm.name,_xlpm.name&amp;" ("&amp;_xlpm.note&amp;")"),""))</f>
        <v>Contacts (industry, politics, underworld, legal)</v>
      </c>
      <c r="AC134" s="60" t="str" cm="1">
        <f t="array" ref="AC134:AC135">_xlfn.LET(_xlpm.raw,IFERROR(_xlfn.VSTACK(IFERROR(_xlfn._xlws.SORT(_xlfn._xlws.FILTER(AA134:AA211,AA134:AA211&lt;&gt;"")),""),IFERROR(_xlfn._xlws.SORT(_xlfn._xlws.FILTER(AA213:AA222,AA213:AA222&lt;&gt;"")),"")),""),_xlpm.sorted,IFERROR(_xlfn._xlws.FILTER(_xlpm.raw,_xlpm.raw&lt;&gt;""),""),IFERROR(LEFT(_xlpm.sorted,FIND(" (",_xlpm.sorted)-1),_xlpm.sorted))</f>
        <v>Contacts</v>
      </c>
      <c r="AD134" s="20" t="str" cm="1">
        <f t="array" ref="AD134:AD135">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industry, politics, underworld, legal</v>
      </c>
      <c r="AE134" s="20">
        <f t="shared" ref="AE134:AE153" si="23">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2</v>
      </c>
      <c r="AF134" s="61" cm="1">
        <f t="array" ref="AF134">IF(AC134="","",SUMPRODUCT(($F$138:$F$157=AC134)*($G$138:$G$157=IF(AD134="","",AD134))*$P$138:$P$157))</f>
        <v>4</v>
      </c>
    </row>
    <row r="135" spans="1:32">
      <c r="A135" s="1" t="s">
        <v>134</v>
      </c>
      <c r="B135" t="str">
        <f t="shared" si="20"/>
        <v>¬</v>
      </c>
      <c r="D135" s="19"/>
      <c r="E135" s="15" t="s">
        <v>97</v>
      </c>
      <c r="F135" s="19"/>
      <c r="G135" s="19"/>
      <c r="H135" s="19"/>
      <c r="I135" s="19"/>
      <c r="L135" s="4"/>
      <c r="M135" s="4"/>
      <c r="N135" s="4"/>
      <c r="O135" s="61">
        <f>N135</f>
        <v>0</v>
      </c>
      <c r="P135" s="60">
        <f>MIN(SUM(L135,M135,O135),R135)</f>
        <v>0</v>
      </c>
      <c r="Q135" s="61">
        <f>_xlfn.IFNA(VLOOKUP($E135,tblDomain[],3,FALSE),"")</f>
        <v>1</v>
      </c>
      <c r="R135" s="61">
        <f>_xlfn.IFNA(VLOOKUP($E135,tblDomain[],4,FALSE),"")</f>
        <v>5</v>
      </c>
      <c r="Y135" s="15" t="s">
        <v>177</v>
      </c>
      <c r="Z135" s="19"/>
      <c r="AA135" s="61" t="str">
        <f t="shared" si="22"/>
        <v>Status (media)</v>
      </c>
      <c r="AC135" s="60" t="str">
        <v>Status</v>
      </c>
      <c r="AD135" s="20" t="str">
        <v>media</v>
      </c>
      <c r="AE135" s="20">
        <f t="shared" si="23"/>
        <v>1</v>
      </c>
      <c r="AF135" s="61" cm="1">
        <f t="array" ref="AF135">IF(AC135="","",SUMPRODUCT(($F$138:$F$157=AC135)*($G$138:$G$157=IF(AD135="","",AD135))*$P$138:$P$157))</f>
        <v>2</v>
      </c>
    </row>
    <row r="136" spans="1:32">
      <c r="A136" s="1" t="s">
        <v>135</v>
      </c>
      <c r="B136" t="str">
        <f t="shared" si="20"/>
        <v>¬</v>
      </c>
      <c r="Y136" s="15" t="s">
        <v>178</v>
      </c>
      <c r="Z136" s="19"/>
      <c r="AA136" s="61" t="str">
        <f t="shared" si="22"/>
        <v/>
      </c>
      <c r="AC136" s="60"/>
      <c r="AD136" s="20"/>
      <c r="AE136" s="20" t="str">
        <f t="shared" si="23"/>
        <v/>
      </c>
      <c r="AF136" s="61" t="str" cm="1">
        <f t="array" ref="AF136">IF(AC136="","",SUMPRODUCT(($F$138:$F$157=AC136)*($G$138:$G$157=IF(AD136="","",AD136))*$P$138:$P$157))</f>
        <v/>
      </c>
    </row>
    <row r="137" spans="1:32">
      <c r="A137" s="1" t="s">
        <v>136</v>
      </c>
      <c r="B137" t="str">
        <f t="shared" si="20"/>
        <v>¬</v>
      </c>
      <c r="D137" s="16" t="s">
        <v>174</v>
      </c>
      <c r="E137" s="17"/>
      <c r="F137" s="17"/>
      <c r="G137" s="17"/>
      <c r="H137" s="61">
        <f>L225</f>
        <v>5</v>
      </c>
      <c r="I137" s="61">
        <f>SUM(AE134:AE155)+SUM(P125:P129)</f>
        <v>7</v>
      </c>
      <c r="Y137" s="15" t="s">
        <v>179</v>
      </c>
      <c r="Z137" s="19"/>
      <c r="AA137" s="61" t="str">
        <f t="shared" si="22"/>
        <v/>
      </c>
      <c r="AC137" s="60"/>
      <c r="AD137" s="20"/>
      <c r="AE137" s="20" t="str">
        <f t="shared" si="23"/>
        <v/>
      </c>
      <c r="AF137" s="61" t="str" cm="1">
        <f t="array" ref="AF137">IF(AC137="","",SUMPRODUCT(($F$138:$F$157=AC137)*($G$138:$G$157=IF(AD137="","",AD137))*$P$138:$P$157))</f>
        <v/>
      </c>
    </row>
    <row r="138" spans="1:32">
      <c r="A138" s="1" t="s">
        <v>137</v>
      </c>
      <c r="B138" t="str">
        <f t="shared" si="20"/>
        <v>¬</v>
      </c>
      <c r="D138" s="19"/>
      <c r="E138" s="15" t="s">
        <v>176</v>
      </c>
      <c r="F138" s="3" t="s">
        <v>413</v>
      </c>
      <c r="G138" s="3" t="s">
        <v>1264</v>
      </c>
      <c r="H138" s="67" t="str">
        <f>IFERROR(IF(VLOOKUP(F138,tblManoeuvre[],8,FALSE)=0,"None",VLOOKUP(F138,tblManoeuvre[],8,FALSE)),"None")</f>
        <v>None</v>
      </c>
      <c r="I138" s="67"/>
      <c r="L138" s="4"/>
      <c r="M138" s="4">
        <v>2</v>
      </c>
      <c r="N138" s="4">
        <v>2</v>
      </c>
      <c r="O138" s="61">
        <f t="shared" ref="O138:O157" si="24">N138</f>
        <v>2</v>
      </c>
      <c r="P138" s="60">
        <f t="shared" ref="P138:P157" si="25">MIN(SUM(L138,M138,O138),R138)</f>
        <v>4</v>
      </c>
      <c r="Q138" s="61">
        <f>_xlfn.IFNA(VLOOKUP($F138,tblInfluence[],3,FALSE),"")</f>
        <v>1</v>
      </c>
      <c r="R138" s="61">
        <f>_xlfn.IFNA(VLOOKUP($F138,tblInfluence[],4,FALSE),"")</f>
        <v>5</v>
      </c>
      <c r="Y138" s="15" t="s">
        <v>180</v>
      </c>
      <c r="Z138" s="19"/>
      <c r="AA138" s="61" t="str">
        <f t="shared" si="22"/>
        <v/>
      </c>
      <c r="AC138" s="60"/>
      <c r="AD138" s="20"/>
      <c r="AE138" s="20" t="str">
        <f t="shared" si="23"/>
        <v/>
      </c>
      <c r="AF138" s="61" t="str" cm="1">
        <f t="array" ref="AF138">IF(AC138="","",SUMPRODUCT(($F$138:$F$157=AC138)*($G$138:$G$157=IF(AD138="","",AD138))*$P$138:$P$157))</f>
        <v/>
      </c>
    </row>
    <row r="139" spans="1:32">
      <c r="A139" s="1" t="s">
        <v>138</v>
      </c>
      <c r="B139" t="str">
        <f t="shared" si="20"/>
        <v>¬</v>
      </c>
      <c r="D139" s="19"/>
      <c r="E139" s="15" t="s">
        <v>177</v>
      </c>
      <c r="F139" s="3" t="s">
        <v>927</v>
      </c>
      <c r="G139" s="3" t="s">
        <v>1265</v>
      </c>
      <c r="H139" s="67" t="str">
        <f>IFERROR(IF(VLOOKUP(F139,tblManoeuvre[],8,FALSE)=0,"None",VLOOKUP(F139,tblManoeuvre[],8,FALSE)),"None")</f>
        <v>None</v>
      </c>
      <c r="I139" s="67"/>
      <c r="L139" s="4"/>
      <c r="M139" s="4"/>
      <c r="N139" s="4">
        <v>2</v>
      </c>
      <c r="O139" s="61">
        <f t="shared" si="24"/>
        <v>2</v>
      </c>
      <c r="P139" s="60">
        <f t="shared" si="25"/>
        <v>2</v>
      </c>
      <c r="Q139" s="61">
        <f>_xlfn.IFNA(VLOOKUP($F139,tblInfluence[],3,FALSE),"")</f>
        <v>1</v>
      </c>
      <c r="R139" s="61">
        <f>_xlfn.IFNA(VLOOKUP($F139,tblInfluence[],4,FALSE),"")</f>
        <v>5</v>
      </c>
      <c r="Y139" s="15" t="s">
        <v>181</v>
      </c>
      <c r="Z139" s="19"/>
      <c r="AA139" s="61" t="str">
        <f t="shared" si="22"/>
        <v/>
      </c>
      <c r="AC139" s="60"/>
      <c r="AD139" s="20"/>
      <c r="AE139" s="20" t="str">
        <f t="shared" si="23"/>
        <v/>
      </c>
      <c r="AF139" s="61" t="str" cm="1">
        <f t="array" ref="AF139">IF(AC139="","",SUMPRODUCT(($F$138:$F$157=AC139)*($G$138:$G$157=IF(AD139="","",AD139))*$P$138:$P$157))</f>
        <v/>
      </c>
    </row>
    <row r="140" spans="1:32">
      <c r="A140" s="1" t="s">
        <v>139</v>
      </c>
      <c r="B140" t="str">
        <f t="shared" si="20"/>
        <v>¬</v>
      </c>
      <c r="D140" s="19"/>
      <c r="E140" s="15" t="s">
        <v>178</v>
      </c>
      <c r="F140" s="3"/>
      <c r="G140" s="3"/>
      <c r="H140" s="67" t="str">
        <f>IFERROR(IF(VLOOKUP(F140,tblManoeuvre[],8,FALSE)=0,"None",VLOOKUP(F140,tblManoeuvre[],8,FALSE)),"None")</f>
        <v>None</v>
      </c>
      <c r="I140" s="67"/>
      <c r="L140" s="4"/>
      <c r="M140" s="4"/>
      <c r="N140" s="4"/>
      <c r="O140" s="61">
        <f t="shared" si="24"/>
        <v>0</v>
      </c>
      <c r="P140" s="60">
        <f t="shared" si="25"/>
        <v>0</v>
      </c>
      <c r="Q140" s="61" t="str">
        <f>_xlfn.IFNA(VLOOKUP($F140,tblInfluence[],3,FALSE),"")</f>
        <v/>
      </c>
      <c r="R140" s="61" t="str">
        <f>_xlfn.IFNA(VLOOKUP($F140,tblInfluence[],4,FALSE),"")</f>
        <v/>
      </c>
      <c r="Y140" s="15" t="s">
        <v>182</v>
      </c>
      <c r="Z140" s="19"/>
      <c r="AA140" s="61" t="str">
        <f t="shared" si="22"/>
        <v/>
      </c>
      <c r="AC140" s="60"/>
      <c r="AD140" s="20"/>
      <c r="AE140" s="20" t="str">
        <f t="shared" si="23"/>
        <v/>
      </c>
      <c r="AF140" s="61" t="str" cm="1">
        <f t="array" ref="AF140">IF(AC140="","",SUMPRODUCT(($F$138:$F$157=AC140)*($G$138:$G$157=IF(AD140="","",AD140))*$P$138:$P$157))</f>
        <v/>
      </c>
    </row>
    <row r="141" spans="1:32">
      <c r="A141" s="1" t="s">
        <v>140</v>
      </c>
      <c r="B141" t="str">
        <f t="shared" si="20"/>
        <v>¬</v>
      </c>
      <c r="D141" s="19"/>
      <c r="E141" s="15" t="s">
        <v>179</v>
      </c>
      <c r="F141" s="3"/>
      <c r="G141" s="3"/>
      <c r="H141" s="67" t="str">
        <f>IFERROR(IF(VLOOKUP(F141,tblManoeuvre[],8,FALSE)=0,"None",VLOOKUP(F141,tblManoeuvre[],8,FALSE)),"None")</f>
        <v>None</v>
      </c>
      <c r="I141" s="67"/>
      <c r="L141" s="4"/>
      <c r="M141" s="4"/>
      <c r="N141" s="4"/>
      <c r="O141" s="61">
        <f t="shared" si="24"/>
        <v>0</v>
      </c>
      <c r="P141" s="60">
        <f t="shared" si="25"/>
        <v>0</v>
      </c>
      <c r="Q141" s="61" t="str">
        <f>_xlfn.IFNA(VLOOKUP($F141,tblInfluence[],3,FALSE),"")</f>
        <v/>
      </c>
      <c r="R141" s="61" t="str">
        <f>_xlfn.IFNA(VLOOKUP($F141,tblInfluence[],4,FALSE),"")</f>
        <v/>
      </c>
      <c r="Y141" s="15" t="s">
        <v>183</v>
      </c>
      <c r="Z141" s="19"/>
      <c r="AA141" s="61" t="str">
        <f t="shared" si="22"/>
        <v/>
      </c>
      <c r="AC141" s="60"/>
      <c r="AD141" s="20"/>
      <c r="AE141" s="20" t="str">
        <f t="shared" si="23"/>
        <v/>
      </c>
      <c r="AF141" s="61" t="str" cm="1">
        <f t="array" ref="AF141">IF(AC141="","",SUMPRODUCT(($F$138:$F$157=AC141)*($G$138:$G$157=IF(AD141="","",AD141))*$P$138:$P$157))</f>
        <v/>
      </c>
    </row>
    <row r="142" spans="1:32">
      <c r="A142" s="1" t="s">
        <v>141</v>
      </c>
      <c r="B142" t="str">
        <f t="shared" si="20"/>
        <v>¬</v>
      </c>
      <c r="D142" s="19"/>
      <c r="E142" s="15" t="s">
        <v>180</v>
      </c>
      <c r="F142" s="3"/>
      <c r="G142" s="3"/>
      <c r="H142" s="67" t="str">
        <f>IFERROR(IF(VLOOKUP(F142,tblManoeuvre[],8,FALSE)=0,"None",VLOOKUP(F142,tblManoeuvre[],8,FALSE)),"None")</f>
        <v>None</v>
      </c>
      <c r="I142" s="67"/>
      <c r="L142" s="4"/>
      <c r="M142" s="4"/>
      <c r="N142" s="4"/>
      <c r="O142" s="61">
        <f t="shared" si="24"/>
        <v>0</v>
      </c>
      <c r="P142" s="60">
        <f t="shared" si="25"/>
        <v>0</v>
      </c>
      <c r="Q142" s="61" t="str">
        <f>_xlfn.IFNA(VLOOKUP($F142,tblInfluence[],3,FALSE),"")</f>
        <v/>
      </c>
      <c r="R142" s="61" t="str">
        <f>_xlfn.IFNA(VLOOKUP($F142,tblInfluence[],4,FALSE),"")</f>
        <v/>
      </c>
      <c r="Y142" s="15" t="s">
        <v>184</v>
      </c>
      <c r="Z142" s="19"/>
      <c r="AA142" s="61" t="str">
        <f t="shared" si="22"/>
        <v/>
      </c>
      <c r="AC142" s="60"/>
      <c r="AD142" s="20"/>
      <c r="AE142" s="20" t="str">
        <f t="shared" si="23"/>
        <v/>
      </c>
      <c r="AF142" s="61" t="str" cm="1">
        <f t="array" ref="AF142">IF(AC142="","",SUMPRODUCT(($F$138:$F$157=AC142)*($G$138:$G$157=IF(AD142="","",AD142))*$P$138:$P$157))</f>
        <v/>
      </c>
    </row>
    <row r="143" spans="1:32">
      <c r="A143" s="1" t="s">
        <v>142</v>
      </c>
      <c r="B143" t="str">
        <f t="shared" si="20"/>
        <v>¬</v>
      </c>
      <c r="D143" s="19"/>
      <c r="E143" s="15" t="s">
        <v>181</v>
      </c>
      <c r="F143" s="3"/>
      <c r="G143" s="3" t="str">
        <f>IFERROR(VLOOKUP(F143,tblManoeuvre[],2,FALSE)&amp;" "&amp;VLOOKUP(F143,tblManoeuvre[],3,FALSE),"")</f>
        <v/>
      </c>
      <c r="H143" s="67" t="str">
        <f>IFERROR(IF(VLOOKUP(F143,tblManoeuvre[],8,FALSE)=0,"None",VLOOKUP(F143,tblManoeuvre[],8,FALSE)),"None")</f>
        <v>None</v>
      </c>
      <c r="I143" s="67"/>
      <c r="L143" s="4"/>
      <c r="M143" s="4"/>
      <c r="N143" s="4"/>
      <c r="O143" s="61">
        <f t="shared" si="24"/>
        <v>0</v>
      </c>
      <c r="P143" s="60">
        <f t="shared" si="25"/>
        <v>0</v>
      </c>
      <c r="Q143" s="61" t="str">
        <f>_xlfn.IFNA(VLOOKUP($F143,tblInfluence[],3,FALSE),"")</f>
        <v/>
      </c>
      <c r="R143" s="61" t="str">
        <f>_xlfn.IFNA(VLOOKUP($F143,tblInfluence[],4,FALSE),"")</f>
        <v/>
      </c>
      <c r="Y143" s="15" t="s">
        <v>185</v>
      </c>
      <c r="Z143" s="19"/>
      <c r="AA143" s="61" t="str">
        <f t="shared" si="22"/>
        <v/>
      </c>
      <c r="AC143" s="60"/>
      <c r="AD143" s="20"/>
      <c r="AE143" s="20" t="str">
        <f t="shared" si="23"/>
        <v/>
      </c>
      <c r="AF143" s="61" t="str" cm="1">
        <f t="array" ref="AF143">IF(AC143="","",SUMPRODUCT(($F$138:$F$157=AC143)*($G$138:$G$157=IF(AD143="","",AD143))*$P$138:$P$157))</f>
        <v/>
      </c>
    </row>
    <row r="144" spans="1:32">
      <c r="A144" s="1" t="s">
        <v>143</v>
      </c>
      <c r="B144" t="str">
        <f t="shared" si="20"/>
        <v>¬</v>
      </c>
      <c r="D144" s="19"/>
      <c r="E144" s="15" t="s">
        <v>182</v>
      </c>
      <c r="F144" s="3"/>
      <c r="G144" s="3"/>
      <c r="H144" s="67" t="str">
        <f>IFERROR(IF(VLOOKUP(F144,tblManoeuvre[],8,FALSE)=0,"None",VLOOKUP(F144,tblManoeuvre[],8,FALSE)),"None")</f>
        <v>None</v>
      </c>
      <c r="I144" s="67"/>
      <c r="L144" s="4"/>
      <c r="M144" s="4"/>
      <c r="N144" s="4"/>
      <c r="O144" s="61">
        <f t="shared" si="24"/>
        <v>0</v>
      </c>
      <c r="P144" s="60">
        <f t="shared" si="25"/>
        <v>0</v>
      </c>
      <c r="Q144" s="61" t="str">
        <f>_xlfn.IFNA(VLOOKUP($F144,tblInfluence[],3,FALSE),"")</f>
        <v/>
      </c>
      <c r="R144" s="61" t="str">
        <f>_xlfn.IFNA(VLOOKUP($F144,tblInfluence[],4,FALSE),"")</f>
        <v/>
      </c>
      <c r="Y144" s="15" t="s">
        <v>186</v>
      </c>
      <c r="Z144" s="19"/>
      <c r="AA144" s="61" t="str">
        <f t="shared" si="22"/>
        <v/>
      </c>
      <c r="AC144" s="60"/>
      <c r="AD144" s="20"/>
      <c r="AE144" s="20" t="str">
        <f t="shared" si="23"/>
        <v/>
      </c>
      <c r="AF144" s="61" t="str" cm="1">
        <f t="array" ref="AF144">IF(AC144="","",SUMPRODUCT(($F$138:$F$157=AC144)*($G$138:$G$157=IF(AD144="","",AD144))*$P$138:$P$157))</f>
        <v/>
      </c>
    </row>
    <row r="145" spans="1:32">
      <c r="A145" s="1" t="s">
        <v>144</v>
      </c>
      <c r="B145" t="str">
        <f t="shared" ref="B145:B174" si="26">IF(AF2="","¬",AF2)</f>
        <v>You are immersed in the Cacophony, and do not suffer the drawback of Cacophony Savvy.</v>
      </c>
      <c r="D145" s="19"/>
      <c r="E145" s="15" t="s">
        <v>183</v>
      </c>
      <c r="F145" s="3"/>
      <c r="G145" s="3" t="str">
        <f>IFERROR(VLOOKUP(F145,tblManoeuvre[],2,FALSE)&amp;" "&amp;VLOOKUP(F145,tblManoeuvre[],3,FALSE),"")</f>
        <v/>
      </c>
      <c r="H145" s="67" t="str">
        <f>IFERROR(IF(VLOOKUP(F145,tblManoeuvre[],8,FALSE)=0,"None",VLOOKUP(F145,tblManoeuvre[],8,FALSE)),"None")</f>
        <v>None</v>
      </c>
      <c r="I145" s="67"/>
      <c r="L145" s="4"/>
      <c r="M145" s="4"/>
      <c r="N145" s="4"/>
      <c r="O145" s="61">
        <f t="shared" si="24"/>
        <v>0</v>
      </c>
      <c r="P145" s="60">
        <f t="shared" si="25"/>
        <v>0</v>
      </c>
      <c r="Q145" s="61" t="str">
        <f>_xlfn.IFNA(VLOOKUP($F145,tblInfluence[],3,FALSE),"")</f>
        <v/>
      </c>
      <c r="R145" s="61" t="str">
        <f>_xlfn.IFNA(VLOOKUP($F145,tblInfluence[],4,FALSE),"")</f>
        <v/>
      </c>
      <c r="Y145" s="15" t="s">
        <v>187</v>
      </c>
      <c r="Z145" s="19"/>
      <c r="AA145" s="61" t="str">
        <f t="shared" si="22"/>
        <v/>
      </c>
      <c r="AC145" s="60"/>
      <c r="AD145" s="20"/>
      <c r="AE145" s="20" t="str">
        <f t="shared" si="23"/>
        <v/>
      </c>
      <c r="AF145" s="61" t="str" cm="1">
        <f t="array" ref="AF145">IF(AC145="","",SUMPRODUCT(($F$138:$F$157=AC145)*($G$138:$G$157=IF(AD145="","",AD145))*$P$138:$P$157))</f>
        <v/>
      </c>
    </row>
    <row r="146" spans="1:32">
      <c r="A146" s="1" t="s">
        <v>145</v>
      </c>
      <c r="B146" t="str">
        <f t="shared" si="26"/>
        <v>Steal flawed knowledge of a single one-dot advantage restricted to another covenant.</v>
      </c>
      <c r="D146" s="19"/>
      <c r="E146" s="15" t="s">
        <v>184</v>
      </c>
      <c r="F146" s="3"/>
      <c r="G146" s="3" t="str">
        <f>IFERROR(VLOOKUP(F146,tblManoeuvre[],2,FALSE)&amp;" "&amp;VLOOKUP(F146,tblManoeuvre[],3,FALSE),"")</f>
        <v/>
      </c>
      <c r="H146" s="67" t="str">
        <f>IFERROR(IF(VLOOKUP(F146,tblManoeuvre[],8,FALSE)=0,"None",VLOOKUP(F146,tblManoeuvre[],8,FALSE)),"None")</f>
        <v>None</v>
      </c>
      <c r="I146" s="67"/>
      <c r="L146" s="4"/>
      <c r="M146" s="4"/>
      <c r="N146" s="4"/>
      <c r="O146" s="61">
        <f t="shared" si="24"/>
        <v>0</v>
      </c>
      <c r="P146" s="60">
        <f t="shared" si="25"/>
        <v>0</v>
      </c>
      <c r="Q146" s="61" t="str">
        <f>_xlfn.IFNA(VLOOKUP($F146,tblInfluence[],3,FALSE),"")</f>
        <v/>
      </c>
      <c r="R146" s="61" t="str">
        <f>_xlfn.IFNA(VLOOKUP($F146,tblInfluence[],4,FALSE),"")</f>
        <v/>
      </c>
      <c r="Y146" s="15" t="s">
        <v>188</v>
      </c>
      <c r="Z146" s="19"/>
      <c r="AA146" s="61" t="str">
        <f t="shared" si="22"/>
        <v/>
      </c>
      <c r="AC146" s="60"/>
      <c r="AD146" s="20"/>
      <c r="AE146" s="20" t="str">
        <f t="shared" si="23"/>
        <v/>
      </c>
      <c r="AF146" s="61" t="str" cm="1">
        <f t="array" ref="AF146">IF(AC146="","",SUMPRODUCT(($F$138:$F$157=AC146)*($G$138:$G$157=IF(AD146="","",AD146))*$P$138:$P$157))</f>
        <v/>
      </c>
    </row>
    <row r="147" spans="1:32">
      <c r="A147" s="1" t="s">
        <v>146</v>
      </c>
      <c r="B147" t="str">
        <f t="shared" si="26"/>
        <v>You earn influence from Allies, Contacts, and wide Mortal Status one step lower than normal. 1 point of influence at 2 dots or 4 dots respectively.</v>
      </c>
      <c r="D147" s="19"/>
      <c r="E147" s="15" t="s">
        <v>185</v>
      </c>
      <c r="F147" s="3"/>
      <c r="G147" s="3" t="str">
        <f>IFERROR(VLOOKUP(F147,tblManoeuvre[],2,FALSE)&amp;" "&amp;VLOOKUP(F147,tblManoeuvre[],3,FALSE),"")</f>
        <v/>
      </c>
      <c r="H147" s="67" t="str">
        <f>IFERROR(IF(VLOOKUP(F147,tblManoeuvre[],8,FALSE)=0,"None",VLOOKUP(F147,tblManoeuvre[],8,FALSE)),"None")</f>
        <v>None</v>
      </c>
      <c r="I147" s="67"/>
      <c r="L147" s="4"/>
      <c r="M147" s="4"/>
      <c r="N147" s="4"/>
      <c r="O147" s="61">
        <f t="shared" si="24"/>
        <v>0</v>
      </c>
      <c r="P147" s="60">
        <f t="shared" si="25"/>
        <v>0</v>
      </c>
      <c r="Q147" s="61" t="str">
        <f>_xlfn.IFNA(VLOOKUP($F147,tblInfluence[],3,FALSE),"")</f>
        <v/>
      </c>
      <c r="R147" s="61" t="str">
        <f>_xlfn.IFNA(VLOOKUP($F147,tblInfluence[],4,FALSE),"")</f>
        <v/>
      </c>
      <c r="Y147" s="15" t="s">
        <v>189</v>
      </c>
      <c r="Z147" s="19"/>
      <c r="AA147" s="61" t="str">
        <f t="shared" si="22"/>
        <v/>
      </c>
      <c r="AC147" s="60"/>
      <c r="AD147" s="20"/>
      <c r="AE147" s="20" t="str">
        <f t="shared" si="23"/>
        <v/>
      </c>
      <c r="AF147" s="61" t="str" cm="1">
        <f t="array" ref="AF147">IF(AC147="","",SUMPRODUCT(($F$138:$F$157=AC147)*($G$138:$G$157=IF(AD147="","",AD147))*$P$138:$P$157))</f>
        <v/>
      </c>
    </row>
    <row r="148" spans="1:32">
      <c r="A148" s="1" t="s">
        <v>147</v>
      </c>
      <c r="B148" t="str">
        <f t="shared" si="26"/>
        <v>+2 to contest or resist supernatural mental influence.</v>
      </c>
      <c r="D148" s="19"/>
      <c r="E148" s="15" t="s">
        <v>186</v>
      </c>
      <c r="F148" s="3"/>
      <c r="G148" s="3" t="str">
        <f>IFERROR(VLOOKUP(F148,tblManoeuvre[],2,FALSE)&amp;" "&amp;VLOOKUP(F148,tblManoeuvre[],3,FALSE),"")</f>
        <v/>
      </c>
      <c r="H148" s="67" t="str">
        <f>IFERROR(IF(VLOOKUP(F148,tblManoeuvre[],8,FALSE)=0,"None",VLOOKUP(F148,tblManoeuvre[],8,FALSE)),"None")</f>
        <v>None</v>
      </c>
      <c r="I148" s="67"/>
      <c r="L148" s="4"/>
      <c r="M148" s="4"/>
      <c r="N148" s="4"/>
      <c r="O148" s="61">
        <f t="shared" si="24"/>
        <v>0</v>
      </c>
      <c r="P148" s="60">
        <f t="shared" si="25"/>
        <v>0</v>
      </c>
      <c r="Q148" s="61" t="str">
        <f>_xlfn.IFNA(VLOOKUP($F148,tblInfluence[],3,FALSE),"")</f>
        <v/>
      </c>
      <c r="R148" s="61" t="str">
        <f>_xlfn.IFNA(VLOOKUP($F148,tblInfluence[],4,FALSE),"")</f>
        <v/>
      </c>
      <c r="Y148" s="15" t="s">
        <v>190</v>
      </c>
      <c r="Z148" s="19"/>
      <c r="AA148" s="61" t="str">
        <f t="shared" si="22"/>
        <v/>
      </c>
      <c r="AC148" s="60"/>
      <c r="AD148" s="20"/>
      <c r="AE148" s="20" t="str">
        <f t="shared" si="23"/>
        <v/>
      </c>
      <c r="AF148" s="61" t="str" cm="1">
        <f t="array" ref="AF148">IF(AC148="","",SUMPRODUCT(($F$138:$F$157=AC148)*($G$138:$G$157=IF(AD148="","",AD148))*$P$138:$P$157))</f>
        <v/>
      </c>
    </row>
    <row r="149" spans="1:32">
      <c r="A149" s="1" t="s">
        <v>148</v>
      </c>
      <c r="B149" t="str">
        <f t="shared" si="26"/>
        <v>Penalise sorcery against you by Resolve. Can't learn blood sorcery.</v>
      </c>
      <c r="D149" s="19"/>
      <c r="E149" s="15" t="s">
        <v>187</v>
      </c>
      <c r="F149" s="3"/>
      <c r="G149" s="3" t="str">
        <f>IFERROR(VLOOKUP(F149,tblManoeuvre[],2,FALSE)&amp;" "&amp;VLOOKUP(F149,tblManoeuvre[],3,FALSE),"")</f>
        <v/>
      </c>
      <c r="H149" s="67" t="str">
        <f>IFERROR(IF(VLOOKUP(F149,tblManoeuvre[],8,FALSE)=0,"None",VLOOKUP(F149,tblManoeuvre[],8,FALSE)),"None")</f>
        <v>None</v>
      </c>
      <c r="I149" s="67"/>
      <c r="L149" s="4"/>
      <c r="M149" s="4"/>
      <c r="N149" s="4"/>
      <c r="O149" s="61">
        <f t="shared" si="24"/>
        <v>0</v>
      </c>
      <c r="P149" s="60">
        <f t="shared" si="25"/>
        <v>0</v>
      </c>
      <c r="Q149" s="61" t="str">
        <f>_xlfn.IFNA(VLOOKUP($F149,tblInfluence[],3,FALSE),"")</f>
        <v/>
      </c>
      <c r="R149" s="61" t="str">
        <f>_xlfn.IFNA(VLOOKUP($F149,tblInfluence[],4,FALSE),"")</f>
        <v/>
      </c>
      <c r="Y149" s="15" t="s">
        <v>191</v>
      </c>
      <c r="Z149" s="19"/>
      <c r="AA149" s="61" t="str">
        <f t="shared" si="22"/>
        <v/>
      </c>
      <c r="AC149" s="60"/>
      <c r="AD149" s="20"/>
      <c r="AE149" s="20" t="str">
        <f t="shared" si="23"/>
        <v/>
      </c>
      <c r="AF149" s="61" t="str" cm="1">
        <f t="array" ref="AF149">IF(AC149="","",SUMPRODUCT(($F$138:$F$157=AC149)*($G$138:$G$157=IF(AD149="","",AD149))*$P$138:$P$157))</f>
        <v/>
      </c>
    </row>
    <row r="150" spans="1:32">
      <c r="A150" s="1" t="s">
        <v>149</v>
      </c>
      <c r="B150" t="str">
        <f t="shared" si="26"/>
        <v>Spend Willpower to preempt Social Manoeuvring with your own Social action.</v>
      </c>
      <c r="D150" s="19"/>
      <c r="E150" s="15" t="s">
        <v>188</v>
      </c>
      <c r="F150" s="3"/>
      <c r="G150" s="3" t="str">
        <f>IFERROR(VLOOKUP(F150,tblManoeuvre[],2,FALSE)&amp;" "&amp;VLOOKUP(F150,tblManoeuvre[],3,FALSE),"")</f>
        <v/>
      </c>
      <c r="H150" s="67" t="str">
        <f>IFERROR(IF(VLOOKUP(F150,tblManoeuvre[],8,FALSE)=0,"None",VLOOKUP(F150,tblManoeuvre[],8,FALSE)),"None")</f>
        <v>None</v>
      </c>
      <c r="I150" s="67"/>
      <c r="L150" s="4"/>
      <c r="M150" s="4"/>
      <c r="N150" s="4"/>
      <c r="O150" s="61">
        <f t="shared" si="24"/>
        <v>0</v>
      </c>
      <c r="P150" s="60">
        <f t="shared" si="25"/>
        <v>0</v>
      </c>
      <c r="Q150" s="61" t="str">
        <f>_xlfn.IFNA(VLOOKUP($F150,tblInfluence[],3,FALSE),"")</f>
        <v/>
      </c>
      <c r="R150" s="61" t="str">
        <f>_xlfn.IFNA(VLOOKUP($F150,tblInfluence[],4,FALSE),"")</f>
        <v/>
      </c>
      <c r="Y150" s="15" t="s">
        <v>192</v>
      </c>
      <c r="Z150" s="19"/>
      <c r="AA150" s="61" t="str">
        <f t="shared" si="22"/>
        <v/>
      </c>
      <c r="AC150" s="60"/>
      <c r="AD150" s="20"/>
      <c r="AE150" s="20" t="str">
        <f t="shared" si="23"/>
        <v/>
      </c>
      <c r="AF150" s="61" t="str" cm="1">
        <f t="array" ref="AF150">IF(AC150="","",SUMPRODUCT(($F$138:$F$157=AC150)*($G$138:$G$157=IF(AD150="","",AD150))*$P$138:$P$157))</f>
        <v/>
      </c>
    </row>
    <row r="151" spans="1:32">
      <c r="A151" s="1" t="s">
        <v>150</v>
      </c>
      <c r="B151" t="str">
        <f t="shared" si="26"/>
        <v>You can read the Cacophony with Intelligence + Streetwise. Within a vampire's Feeding Grounds, add their (not your) dots in that Merit as bonus dice.</v>
      </c>
      <c r="D151" s="19"/>
      <c r="E151" s="15" t="s">
        <v>189</v>
      </c>
      <c r="F151" s="3"/>
      <c r="G151" s="3" t="str">
        <f>IFERROR(VLOOKUP(F151,tblManoeuvre[],2,FALSE)&amp;" "&amp;VLOOKUP(F151,tblManoeuvre[],3,FALSE),"")</f>
        <v/>
      </c>
      <c r="H151" s="67" t="str">
        <f>IFERROR(IF(VLOOKUP(F151,tblManoeuvre[],8,FALSE)=0,"None",VLOOKUP(F151,tblManoeuvre[],8,FALSE)),"None")</f>
        <v>None</v>
      </c>
      <c r="I151" s="67"/>
      <c r="L151" s="4"/>
      <c r="M151" s="4"/>
      <c r="N151" s="4"/>
      <c r="O151" s="61">
        <f t="shared" si="24"/>
        <v>0</v>
      </c>
      <c r="P151" s="60">
        <f t="shared" si="25"/>
        <v>0</v>
      </c>
      <c r="Q151" s="61" t="str">
        <f>_xlfn.IFNA(VLOOKUP($F151,tblInfluence[],3,FALSE),"")</f>
        <v/>
      </c>
      <c r="R151" s="61" t="str">
        <f>_xlfn.IFNA(VLOOKUP($F151,tblInfluence[],4,FALSE),"")</f>
        <v/>
      </c>
      <c r="Y151" s="15" t="s">
        <v>193</v>
      </c>
      <c r="Z151" s="19"/>
      <c r="AA151" s="61" t="str">
        <f t="shared" si="22"/>
        <v/>
      </c>
      <c r="AC151" s="60"/>
      <c r="AD151" s="20"/>
      <c r="AE151" s="20" t="str">
        <f t="shared" si="23"/>
        <v/>
      </c>
      <c r="AF151" s="61" t="str" cm="1">
        <f t="array" ref="AF151">IF(AC151="","",SUMPRODUCT(($F$138:$F$157=AC151)*($G$138:$G$157=IF(AD151="","",AD151))*$P$138:$P$157))</f>
        <v/>
      </c>
    </row>
    <row r="152" spans="1:32">
      <c r="A152" s="1" t="s">
        <v>151</v>
      </c>
      <c r="B152" t="str">
        <f t="shared" si="26"/>
        <v>You quickly learn who's who and where they hunt, even newcomers to the city.</v>
      </c>
      <c r="D152" s="19"/>
      <c r="E152" s="15" t="s">
        <v>190</v>
      </c>
      <c r="F152" s="3"/>
      <c r="G152" s="3" t="str">
        <f>IFERROR(VLOOKUP(F152,tblManoeuvre[],2,FALSE)&amp;" "&amp;VLOOKUP(F152,tblManoeuvre[],3,FALSE),"")</f>
        <v/>
      </c>
      <c r="H152" s="67" t="str">
        <f>IFERROR(IF(VLOOKUP(F152,tblManoeuvre[],8,FALSE)=0,"None",VLOOKUP(F152,tblManoeuvre[],8,FALSE)),"None")</f>
        <v>None</v>
      </c>
      <c r="I152" s="67"/>
      <c r="L152" s="4"/>
      <c r="M152" s="4"/>
      <c r="N152" s="4"/>
      <c r="O152" s="61">
        <f t="shared" si="24"/>
        <v>0</v>
      </c>
      <c r="P152" s="60">
        <f t="shared" si="25"/>
        <v>0</v>
      </c>
      <c r="Q152" s="61" t="str">
        <f>_xlfn.IFNA(VLOOKUP($F152,tblInfluence[],3,FALSE),"")</f>
        <v/>
      </c>
      <c r="R152" s="61" t="str">
        <f>_xlfn.IFNA(VLOOKUP($F152,tblInfluence[],4,FALSE),"")</f>
        <v/>
      </c>
      <c r="Y152" s="15" t="s">
        <v>194</v>
      </c>
      <c r="Z152" s="19"/>
      <c r="AA152" s="61" t="str">
        <f t="shared" si="22"/>
        <v/>
      </c>
      <c r="AC152" s="60"/>
      <c r="AD152" s="20"/>
      <c r="AE152" s="20" t="str">
        <f t="shared" si="23"/>
        <v/>
      </c>
      <c r="AF152" s="61" t="str" cm="1">
        <f t="array" ref="AF152">IF(AC152="","",SUMPRODUCT(($F$138:$F$157=AC152)*($G$138:$G$157=IF(AD152="","",AD152))*$P$138:$P$157))</f>
        <v/>
      </c>
    </row>
    <row r="153" spans="1:32">
      <c r="A153" s="1" t="s">
        <v>152</v>
      </c>
      <c r="B153" t="str">
        <f t="shared" si="26"/>
        <v>Ignore one dot of a mark's Resolve or Composure when contested or resisted.</v>
      </c>
      <c r="D153" s="19"/>
      <c r="E153" s="15" t="s">
        <v>191</v>
      </c>
      <c r="F153" s="3"/>
      <c r="G153" s="3" t="str">
        <f>IFERROR(VLOOKUP(F153,tblManoeuvre[],2,FALSE)&amp;" "&amp;VLOOKUP(F153,tblManoeuvre[],3,FALSE),"")</f>
        <v/>
      </c>
      <c r="H153" s="67" t="str">
        <f>IFERROR(IF(VLOOKUP(F153,tblManoeuvre[],8,FALSE)=0,"None",VLOOKUP(F153,tblManoeuvre[],8,FALSE)),"None")</f>
        <v>None</v>
      </c>
      <c r="I153" s="67"/>
      <c r="L153" s="4"/>
      <c r="M153" s="4"/>
      <c r="N153" s="4"/>
      <c r="O153" s="61">
        <f t="shared" si="24"/>
        <v>0</v>
      </c>
      <c r="P153" s="60">
        <f t="shared" si="25"/>
        <v>0</v>
      </c>
      <c r="Q153" s="61" t="str">
        <f>_xlfn.IFNA(VLOOKUP($F153,tblInfluence[],3,FALSE),"")</f>
        <v/>
      </c>
      <c r="R153" s="61" t="str">
        <f>_xlfn.IFNA(VLOOKUP($F153,tblInfluence[],4,FALSE),"")</f>
        <v/>
      </c>
      <c r="Y153" s="15" t="s">
        <v>195</v>
      </c>
      <c r="Z153" s="19"/>
      <c r="AA153" s="61" t="str">
        <f t="shared" si="22"/>
        <v/>
      </c>
      <c r="AC153" s="60"/>
      <c r="AD153" s="20"/>
      <c r="AE153" s="20" t="str">
        <f t="shared" si="23"/>
        <v/>
      </c>
      <c r="AF153" s="61" t="str" cm="1">
        <f t="array" ref="AF153">IF(AC153="","",SUMPRODUCT(($F$138:$F$157=AC153)*($G$138:$G$157=IF(AD153="","",AD153))*$P$138:$P$157))</f>
        <v/>
      </c>
    </row>
    <row r="154" spans="1:32">
      <c r="A154" s="1" t="s">
        <v>153</v>
      </c>
      <c r="B154" t="str">
        <f t="shared" si="26"/>
        <v>Raise your maximum Aim bonus to Composure + Firearms.</v>
      </c>
      <c r="D154" s="19"/>
      <c r="E154" s="15" t="s">
        <v>192</v>
      </c>
      <c r="F154" s="3"/>
      <c r="G154" s="3" t="str">
        <f>IFERROR(VLOOKUP(F154,tblManoeuvre[],2,FALSE)&amp;" "&amp;VLOOKUP(F154,tblManoeuvre[],3,FALSE),"")</f>
        <v/>
      </c>
      <c r="H154" s="67" t="str">
        <f>IFERROR(IF(VLOOKUP(F154,tblManoeuvre[],8,FALSE)=0,"None",VLOOKUP(F154,tblManoeuvre[],8,FALSE)),"None")</f>
        <v>None</v>
      </c>
      <c r="I154" s="67"/>
      <c r="L154" s="4"/>
      <c r="M154" s="4"/>
      <c r="N154" s="4"/>
      <c r="O154" s="61">
        <f t="shared" si="24"/>
        <v>0</v>
      </c>
      <c r="P154" s="60">
        <f t="shared" si="25"/>
        <v>0</v>
      </c>
      <c r="Q154" s="61" t="str">
        <f>_xlfn.IFNA(VLOOKUP($F154,tblInfluence[],3,FALSE),"")</f>
        <v/>
      </c>
      <c r="R154" s="61" t="str">
        <f>_xlfn.IFNA(VLOOKUP($F154,tblInfluence[],4,FALSE),"")</f>
        <v/>
      </c>
    </row>
    <row r="155" spans="1:32">
      <c r="A155" s="1" t="s">
        <v>154</v>
      </c>
      <c r="B155" t="str">
        <f t="shared" si="26"/>
        <v>¬</v>
      </c>
      <c r="D155" s="19"/>
      <c r="E155" s="15" t="s">
        <v>193</v>
      </c>
      <c r="F155" s="3"/>
      <c r="G155" s="3" t="str">
        <f>IFERROR(VLOOKUP(F155,tblManoeuvre[],2,FALSE)&amp;" "&amp;VLOOKUP(F155,tblManoeuvre[],3,FALSE),"")</f>
        <v/>
      </c>
      <c r="H155" s="67" t="str">
        <f>IFERROR(IF(VLOOKUP(F155,tblManoeuvre[],8,FALSE)=0,"None",VLOOKUP(F155,tblManoeuvre[],8,FALSE)),"None")</f>
        <v>None</v>
      </c>
      <c r="I155" s="67"/>
      <c r="L155" s="4"/>
      <c r="M155" s="4"/>
      <c r="N155" s="4"/>
      <c r="O155" s="61">
        <f t="shared" si="24"/>
        <v>0</v>
      </c>
      <c r="P155" s="60">
        <f t="shared" si="25"/>
        <v>0</v>
      </c>
      <c r="Q155" s="61" t="str">
        <f>_xlfn.IFNA(VLOOKUP($F155,tblInfluence[],3,FALSE),"")</f>
        <v/>
      </c>
      <c r="R155" s="61" t="str">
        <f>_xlfn.IFNA(VLOOKUP($F155,tblInfluence[],4,FALSE),"")</f>
        <v/>
      </c>
      <c r="AE155" s="61">
        <f>IF(P160=5,1,0)</f>
        <v>0</v>
      </c>
    </row>
    <row r="156" spans="1:32">
      <c r="A156" s="1" t="s">
        <v>155</v>
      </c>
      <c r="B156" t="str">
        <f t="shared" si="26"/>
        <v>¬</v>
      </c>
      <c r="D156" s="19"/>
      <c r="E156" s="15" t="s">
        <v>194</v>
      </c>
      <c r="F156" s="3"/>
      <c r="G156" s="3" t="str">
        <f>IFERROR(VLOOKUP(F156,tblManoeuvre[],2,FALSE)&amp;" "&amp;VLOOKUP(F156,tblManoeuvre[],3,FALSE),"")</f>
        <v/>
      </c>
      <c r="H156" s="67" t="str">
        <f>IFERROR(IF(VLOOKUP(F156,tblManoeuvre[],8,FALSE)=0,"None",VLOOKUP(F156,tblManoeuvre[],8,FALSE)),"None")</f>
        <v>None</v>
      </c>
      <c r="I156" s="67"/>
      <c r="L156" s="4"/>
      <c r="M156" s="4"/>
      <c r="N156" s="4"/>
      <c r="O156" s="61">
        <f t="shared" si="24"/>
        <v>0</v>
      </c>
      <c r="P156" s="60">
        <f t="shared" si="25"/>
        <v>0</v>
      </c>
      <c r="Q156" s="61" t="str">
        <f>_xlfn.IFNA(VLOOKUP($F156,tblInfluence[],3,FALSE),"")</f>
        <v/>
      </c>
      <c r="R156" s="61" t="str">
        <f>_xlfn.IFNA(VLOOKUP($F156,tblInfluence[],4,FALSE),"")</f>
        <v/>
      </c>
      <c r="AE156" s="61" t="b">
        <f>COUNTIF(AA2:AA21,"*Honey With Vinegar*")&gt;0</f>
        <v>1</v>
      </c>
    </row>
    <row r="157" spans="1:32">
      <c r="A157" s="1" t="s">
        <v>156</v>
      </c>
      <c r="B157" t="str">
        <f t="shared" si="26"/>
        <v>¬</v>
      </c>
      <c r="D157" s="19"/>
      <c r="E157" s="15" t="s">
        <v>195</v>
      </c>
      <c r="F157" s="3"/>
      <c r="G157" s="3" t="str">
        <f>IFERROR(VLOOKUP(F157,tblManoeuvre[],2,FALSE)&amp;" "&amp;VLOOKUP(F157,tblManoeuvre[],3,FALSE),"")</f>
        <v/>
      </c>
      <c r="H157" s="67" t="str">
        <f>IFERROR(IF(VLOOKUP(F157,tblManoeuvre[],8,FALSE)=0,"None",VLOOKUP(F157,tblManoeuvre[],8,FALSE)),"None")</f>
        <v>None</v>
      </c>
      <c r="I157" s="67"/>
      <c r="L157" s="4"/>
      <c r="M157" s="4"/>
      <c r="N157" s="4"/>
      <c r="O157" s="61">
        <f t="shared" si="24"/>
        <v>0</v>
      </c>
      <c r="P157" s="60">
        <f t="shared" si="25"/>
        <v>0</v>
      </c>
      <c r="Q157" s="61" t="str">
        <f>_xlfn.IFNA(VLOOKUP($F157,tblInfluence[],3,FALSE),"")</f>
        <v/>
      </c>
      <c r="R157" s="61" t="str">
        <f>_xlfn.IFNA(VLOOKUP($F157,tblInfluence[],4,FALSE),"")</f>
        <v/>
      </c>
    </row>
    <row r="158" spans="1:32">
      <c r="A158" s="1" t="s">
        <v>157</v>
      </c>
      <c r="B158" t="str">
        <f t="shared" si="26"/>
        <v>¬</v>
      </c>
    </row>
    <row r="159" spans="1:32">
      <c r="A159" s="1" t="s">
        <v>158</v>
      </c>
      <c r="B159" t="str">
        <f t="shared" si="26"/>
        <v>¬</v>
      </c>
      <c r="D159" s="16" t="s">
        <v>1486</v>
      </c>
      <c r="E159" s="17"/>
      <c r="F159" s="17" t="s">
        <v>1487</v>
      </c>
      <c r="G159" s="17"/>
      <c r="H159" s="17"/>
      <c r="I159" s="17"/>
    </row>
    <row r="160" spans="1:32">
      <c r="A160" s="1" t="s">
        <v>159</v>
      </c>
      <c r="B160" t="str">
        <f t="shared" si="26"/>
        <v>¬</v>
      </c>
      <c r="D160" s="19"/>
      <c r="E160" s="15" t="s">
        <v>98</v>
      </c>
      <c r="F160" s="3"/>
      <c r="G160" s="60"/>
      <c r="H160" s="60"/>
      <c r="I160" s="60"/>
      <c r="L160" s="4"/>
      <c r="M160" s="4"/>
      <c r="N160" s="4"/>
      <c r="O160" s="61">
        <f>N160</f>
        <v>0</v>
      </c>
      <c r="P160" s="60">
        <f>MIN(SUM(L160,M160,O160),R160)</f>
        <v>0</v>
      </c>
      <c r="Q160" s="61">
        <v>1</v>
      </c>
      <c r="R160" s="61">
        <v>5</v>
      </c>
    </row>
    <row r="161" spans="1:18">
      <c r="A161" s="1" t="s">
        <v>160</v>
      </c>
      <c r="B161" t="str">
        <f t="shared" si="26"/>
        <v>¬</v>
      </c>
      <c r="D161" s="19"/>
      <c r="E161" s="15" t="s">
        <v>100</v>
      </c>
      <c r="F161" s="3"/>
      <c r="G161" s="60"/>
      <c r="H161" s="60"/>
      <c r="I161" s="60"/>
      <c r="L161" s="4">
        <v>1</v>
      </c>
      <c r="M161" s="4"/>
      <c r="N161" s="4">
        <v>1</v>
      </c>
      <c r="O161" s="61">
        <f>N161</f>
        <v>1</v>
      </c>
      <c r="P161" s="60">
        <f>MIN(SUM(L161,M161,O161),R161)</f>
        <v>2</v>
      </c>
      <c r="Q161" s="61">
        <v>1</v>
      </c>
      <c r="R161" s="61">
        <v>5</v>
      </c>
    </row>
    <row r="162" spans="1:18">
      <c r="A162" s="1" t="s">
        <v>161</v>
      </c>
      <c r="B162" t="str">
        <f t="shared" si="26"/>
        <v>¬</v>
      </c>
    </row>
    <row r="163" spans="1:18" ht="15.75" thickBot="1">
      <c r="A163" s="1" t="s">
        <v>162</v>
      </c>
      <c r="B163" t="str">
        <f t="shared" si="26"/>
        <v>¬</v>
      </c>
      <c r="D163" s="14" t="s">
        <v>1488</v>
      </c>
      <c r="E163" s="14"/>
      <c r="F163" s="14"/>
      <c r="G163" s="14"/>
      <c r="H163" s="14"/>
      <c r="I163" s="14"/>
      <c r="N163" s="60">
        <f>SUM(N165:N174)+SUM(N177:N181)+SUM(N184:N185)+SUM(N187:N191)+SUM(N194:N203)</f>
        <v>23</v>
      </c>
    </row>
    <row r="164" spans="1:18">
      <c r="A164" s="1" t="s">
        <v>163</v>
      </c>
      <c r="B164" t="str">
        <f t="shared" si="26"/>
        <v>¬</v>
      </c>
      <c r="D164" s="16" t="s">
        <v>1489</v>
      </c>
      <c r="E164" s="15" t="s">
        <v>1490</v>
      </c>
      <c r="F164" s="61" t="str">
        <f>IFERROR(IF($F$8="",VLOOKUP($F$7,tblClans[],5,FALSE),VLOOKUP($F$8,tblBloodlines[],5,FALSE)),"")</f>
        <v>Celerity</v>
      </c>
      <c r="G164" s="61" t="str">
        <f>IFERROR(IF($F$8="",VLOOKUP($F$7,tblClans[],6,FALSE),VLOOKUP($F$8,tblBloodlines[],6,FALSE)),"")</f>
        <v>Majesty</v>
      </c>
      <c r="H164" s="61" t="str">
        <f>IFERROR(IF($F$8="",VLOOKUP($F$7,tblClans[],7,FALSE),VLOOKUP($F$8,tblBloodlines[],7,FALSE)),"")</f>
        <v>Auspex</v>
      </c>
      <c r="I164" s="61" t="str">
        <f>IFERROR(IF($F$8="",VLOOKUP($F$7,tblClans[],8,FALSE),VLOOKUP($F$8,tblBloodlines[],8,FALSE)),"")</f>
        <v>Vigour</v>
      </c>
      <c r="L164" s="60">
        <f>3-SUM(L165:L174)-SUM(L184:L185)</f>
        <v>0</v>
      </c>
    </row>
    <row r="165" spans="1:18">
      <c r="A165" s="1" t="s">
        <v>164</v>
      </c>
      <c r="B165" t="str">
        <f t="shared" si="26"/>
        <v>¬</v>
      </c>
      <c r="D165" s="19"/>
      <c r="E165" s="15" t="s">
        <v>236</v>
      </c>
      <c r="F165" s="19"/>
      <c r="G165" s="19"/>
      <c r="H165" s="19"/>
      <c r="I165" s="19"/>
      <c r="L165" s="4"/>
      <c r="N165" s="4"/>
      <c r="O165" s="61">
        <f t="shared" ref="O165:O174" si="27">ROUNDDOWN(IF(COUNTIF($F$164:$I$164,$E165)&gt;0,N165/3,N165/4),0)</f>
        <v>0</v>
      </c>
      <c r="P165" s="60">
        <f>MIN(SUM(L165,O165),R165)</f>
        <v>0</v>
      </c>
      <c r="Q165" s="61">
        <v>0</v>
      </c>
      <c r="R165" s="61">
        <v>5</v>
      </c>
    </row>
    <row r="166" spans="1:18">
      <c r="A166" s="1" t="s">
        <v>165</v>
      </c>
      <c r="B166" t="str">
        <f t="shared" si="26"/>
        <v>¬</v>
      </c>
      <c r="D166" s="19"/>
      <c r="E166" s="15" t="s">
        <v>237</v>
      </c>
      <c r="F166" s="19"/>
      <c r="G166" s="19"/>
      <c r="H166" s="19"/>
      <c r="I166" s="19"/>
      <c r="L166" s="4">
        <v>1</v>
      </c>
      <c r="N166" s="4">
        <v>6</v>
      </c>
      <c r="O166" s="61">
        <f t="shared" si="27"/>
        <v>2</v>
      </c>
      <c r="P166" s="60">
        <f t="shared" ref="P166:P174" si="28">MIN(SUM(L166,O166),R166)</f>
        <v>3</v>
      </c>
      <c r="Q166" s="61">
        <v>0</v>
      </c>
      <c r="R166" s="61">
        <v>5</v>
      </c>
    </row>
    <row r="167" spans="1:18">
      <c r="A167" s="1" t="s">
        <v>166</v>
      </c>
      <c r="B167" t="str">
        <f t="shared" si="26"/>
        <v>¬</v>
      </c>
      <c r="D167" s="19"/>
      <c r="E167" s="15" t="s">
        <v>238</v>
      </c>
      <c r="F167" s="19"/>
      <c r="G167" s="19"/>
      <c r="H167" s="19"/>
      <c r="I167" s="19"/>
      <c r="L167" s="4">
        <v>1</v>
      </c>
      <c r="N167" s="4">
        <v>6</v>
      </c>
      <c r="O167" s="61">
        <f t="shared" si="27"/>
        <v>2</v>
      </c>
      <c r="P167" s="60">
        <f t="shared" si="28"/>
        <v>3</v>
      </c>
      <c r="Q167" s="61">
        <v>0</v>
      </c>
      <c r="R167" s="61">
        <v>5</v>
      </c>
    </row>
    <row r="168" spans="1:18">
      <c r="A168" s="1" t="s">
        <v>167</v>
      </c>
      <c r="B168" t="str">
        <f t="shared" si="26"/>
        <v>¬</v>
      </c>
      <c r="D168" s="19"/>
      <c r="E168" s="15" t="s">
        <v>239</v>
      </c>
      <c r="F168" s="19"/>
      <c r="G168" s="19"/>
      <c r="H168" s="19"/>
      <c r="I168" s="19"/>
      <c r="L168" s="4"/>
      <c r="N168" s="4"/>
      <c r="O168" s="61">
        <f t="shared" si="27"/>
        <v>0</v>
      </c>
      <c r="P168" s="60">
        <f t="shared" si="28"/>
        <v>0</v>
      </c>
      <c r="Q168" s="61">
        <v>0</v>
      </c>
      <c r="R168" s="61">
        <v>5</v>
      </c>
    </row>
    <row r="169" spans="1:18">
      <c r="A169" s="1" t="s">
        <v>168</v>
      </c>
      <c r="B169" t="str">
        <f t="shared" si="26"/>
        <v>¬</v>
      </c>
      <c r="D169" s="19"/>
      <c r="E169" s="15" t="s">
        <v>240</v>
      </c>
      <c r="F169" s="19"/>
      <c r="G169" s="19"/>
      <c r="H169" s="19"/>
      <c r="I169" s="19"/>
      <c r="L169" s="4"/>
      <c r="N169" s="4">
        <v>3</v>
      </c>
      <c r="O169" s="61">
        <f t="shared" si="27"/>
        <v>1</v>
      </c>
      <c r="P169" s="60">
        <f t="shared" si="28"/>
        <v>1</v>
      </c>
      <c r="Q169" s="61">
        <v>0</v>
      </c>
      <c r="R169" s="61">
        <v>5</v>
      </c>
    </row>
    <row r="170" spans="1:18">
      <c r="A170" s="1" t="s">
        <v>169</v>
      </c>
      <c r="B170" t="str">
        <f t="shared" si="26"/>
        <v>¬</v>
      </c>
      <c r="D170" s="19"/>
      <c r="E170" s="15" t="s">
        <v>241</v>
      </c>
      <c r="F170" s="19"/>
      <c r="G170" s="19"/>
      <c r="H170" s="19"/>
      <c r="I170" s="19"/>
      <c r="L170" s="4"/>
      <c r="N170" s="4"/>
      <c r="O170" s="61">
        <f t="shared" si="27"/>
        <v>0</v>
      </c>
      <c r="P170" s="60">
        <f t="shared" si="28"/>
        <v>0</v>
      </c>
      <c r="Q170" s="61">
        <v>0</v>
      </c>
      <c r="R170" s="61">
        <v>5</v>
      </c>
    </row>
    <row r="171" spans="1:18">
      <c r="A171" s="1" t="s">
        <v>170</v>
      </c>
      <c r="B171" t="str">
        <f t="shared" si="26"/>
        <v>¬</v>
      </c>
      <c r="D171" s="19"/>
      <c r="E171" s="15" t="s">
        <v>242</v>
      </c>
      <c r="F171" s="19"/>
      <c r="G171" s="19"/>
      <c r="H171" s="19"/>
      <c r="I171" s="19"/>
      <c r="L171" s="4">
        <v>1</v>
      </c>
      <c r="N171" s="4"/>
      <c r="O171" s="61">
        <f t="shared" si="27"/>
        <v>0</v>
      </c>
      <c r="P171" s="60">
        <f t="shared" si="28"/>
        <v>1</v>
      </c>
      <c r="Q171" s="61">
        <v>0</v>
      </c>
      <c r="R171" s="61">
        <v>5</v>
      </c>
    </row>
    <row r="172" spans="1:18">
      <c r="A172" s="1" t="s">
        <v>171</v>
      </c>
      <c r="B172" t="str">
        <f t="shared" si="26"/>
        <v>¬</v>
      </c>
      <c r="D172" s="19"/>
      <c r="E172" s="15" t="s">
        <v>243</v>
      </c>
      <c r="F172" s="19"/>
      <c r="G172" s="19"/>
      <c r="H172" s="19"/>
      <c r="I172" s="19"/>
      <c r="L172" s="4"/>
      <c r="N172" s="4"/>
      <c r="O172" s="61">
        <f t="shared" si="27"/>
        <v>0</v>
      </c>
      <c r="P172" s="60">
        <f t="shared" si="28"/>
        <v>0</v>
      </c>
      <c r="Q172" s="61">
        <v>0</v>
      </c>
      <c r="R172" s="61">
        <v>5</v>
      </c>
    </row>
    <row r="173" spans="1:18">
      <c r="A173" s="1" t="s">
        <v>172</v>
      </c>
      <c r="B173" t="str">
        <f t="shared" si="26"/>
        <v>¬</v>
      </c>
      <c r="D173" s="19"/>
      <c r="E173" s="15" t="s">
        <v>244</v>
      </c>
      <c r="F173" s="19"/>
      <c r="G173" s="19"/>
      <c r="H173" s="19"/>
      <c r="I173" s="19"/>
      <c r="L173" s="4"/>
      <c r="N173" s="4"/>
      <c r="O173" s="61">
        <f t="shared" si="27"/>
        <v>0</v>
      </c>
      <c r="P173" s="60">
        <f t="shared" si="28"/>
        <v>0</v>
      </c>
      <c r="Q173" s="61">
        <v>0</v>
      </c>
      <c r="R173" s="61">
        <v>5</v>
      </c>
    </row>
    <row r="174" spans="1:18">
      <c r="A174" s="1" t="s">
        <v>173</v>
      </c>
      <c r="B174" t="str">
        <f t="shared" si="26"/>
        <v>¬</v>
      </c>
      <c r="D174" s="19"/>
      <c r="E174" s="15" t="s">
        <v>245</v>
      </c>
      <c r="F174" s="19"/>
      <c r="G174" s="19"/>
      <c r="H174" s="19"/>
      <c r="I174" s="19"/>
      <c r="L174" s="4"/>
      <c r="N174" s="4">
        <v>3</v>
      </c>
      <c r="O174" s="61">
        <f t="shared" si="27"/>
        <v>1</v>
      </c>
      <c r="P174" s="60">
        <f t="shared" si="28"/>
        <v>1</v>
      </c>
      <c r="Q174" s="61">
        <v>0</v>
      </c>
      <c r="R174" s="61">
        <v>5</v>
      </c>
    </row>
    <row r="175" spans="1:18">
      <c r="A175" s="1" t="s">
        <v>174</v>
      </c>
      <c r="B175" t="str">
        <f>_xlfn.CONCAT(I137-H137," / ",I137)</f>
        <v>2 / 7</v>
      </c>
    </row>
    <row r="176" spans="1:18">
      <c r="A176" s="1" t="s">
        <v>175</v>
      </c>
      <c r="B176" t="str">
        <f>REPT("□",I137-H137) &amp; REPT("■",H137)</f>
        <v>□□■■■■■</v>
      </c>
      <c r="D176" s="16" t="s">
        <v>1491</v>
      </c>
      <c r="E176" s="16"/>
      <c r="F176" s="16"/>
      <c r="G176" s="16"/>
      <c r="H176" s="16"/>
      <c r="I176" s="16"/>
    </row>
    <row r="177" spans="1:18">
      <c r="A177" s="1" t="s">
        <v>176</v>
      </c>
      <c r="B177" t="str">
        <f t="shared" ref="B177:B196" si="29">IF(AC134="","¬",AC134)</f>
        <v>Contacts</v>
      </c>
      <c r="D177" s="19"/>
      <c r="E177" s="15" t="s">
        <v>1492</v>
      </c>
      <c r="F177" s="3" t="s">
        <v>1803</v>
      </c>
      <c r="G177" s="19"/>
      <c r="H177" s="72" t="str">
        <f>IFERROR(IF(VLOOKUP(F177,tblDisciplines[],14,FALSE)=0,"None",VLOOKUP(F177,tblDisciplines[],14,FALSE)),"None")</f>
        <v>Maje 1, Vigr 1</v>
      </c>
      <c r="I177" s="73"/>
      <c r="N177" s="4">
        <v>1</v>
      </c>
      <c r="O177" s="61">
        <f>N177</f>
        <v>1</v>
      </c>
      <c r="P177" s="60">
        <f>IF(O177=R177,O177,"")</f>
        <v>1</v>
      </c>
      <c r="R177" s="61">
        <f>_xlfn.IFNA(VLOOKUP(F177,tblDisciplines[],15,FALSE),"")</f>
        <v>1</v>
      </c>
    </row>
    <row r="178" spans="1:18">
      <c r="A178" s="1" t="s">
        <v>177</v>
      </c>
      <c r="B178" t="str">
        <f t="shared" si="29"/>
        <v>Status</v>
      </c>
      <c r="D178" s="19"/>
      <c r="E178" s="15" t="s">
        <v>1493</v>
      </c>
      <c r="F178" s="3" t="s">
        <v>1804</v>
      </c>
      <c r="G178" s="19"/>
      <c r="H178" s="72" t="str">
        <f>IFERROR(IF(VLOOKUP(F178,tblDisciplines[],14,FALSE)=0,"None",VLOOKUP(F178,tblDisciplines[],14,FALSE)),"None")</f>
        <v>Ausp 1, Clty 1</v>
      </c>
      <c r="I178" s="73"/>
      <c r="N178" s="4">
        <v>1</v>
      </c>
      <c r="O178" s="61">
        <f>N178</f>
        <v>1</v>
      </c>
      <c r="P178" s="60">
        <f>IF(O178=R178,O178,"")</f>
        <v>1</v>
      </c>
      <c r="R178" s="61">
        <f>_xlfn.IFNA(VLOOKUP(F178,tblDisciplines[],15,FALSE),"")</f>
        <v>1</v>
      </c>
    </row>
    <row r="179" spans="1:18">
      <c r="A179" s="1" t="s">
        <v>178</v>
      </c>
      <c r="B179" t="str">
        <f t="shared" si="29"/>
        <v>¬</v>
      </c>
      <c r="D179" s="19"/>
      <c r="E179" s="15" t="s">
        <v>1494</v>
      </c>
      <c r="F179" s="3" t="s">
        <v>1805</v>
      </c>
      <c r="G179" s="19"/>
      <c r="H179" s="72" t="str">
        <f>IFERROR(IF(VLOOKUP(F179,tblDisciplines[],14,FALSE)=0,"None",VLOOKUP(F179,tblDisciplines[],14,FALSE)),"None")</f>
        <v>Celr 3, Ausp 3, Maje 1</v>
      </c>
      <c r="I179" s="73"/>
      <c r="N179" s="4">
        <v>3</v>
      </c>
      <c r="O179" s="61">
        <f>N179</f>
        <v>3</v>
      </c>
      <c r="P179" s="60">
        <f>IF(O179=R179,O179,"")</f>
        <v>3</v>
      </c>
      <c r="R179" s="61">
        <f>_xlfn.IFNA(VLOOKUP(F179,tblDisciplines[],15,FALSE),"")</f>
        <v>3</v>
      </c>
    </row>
    <row r="180" spans="1:18">
      <c r="A180" s="1" t="s">
        <v>179</v>
      </c>
      <c r="B180" t="str">
        <f t="shared" si="29"/>
        <v>¬</v>
      </c>
      <c r="D180" s="19"/>
      <c r="E180" s="15" t="s">
        <v>1495</v>
      </c>
      <c r="F180" s="3"/>
      <c r="G180" s="19"/>
      <c r="H180" s="72" t="str">
        <f>IFERROR(IF(VLOOKUP(F180,tblDisciplines[],14,FALSE)=0,"None",VLOOKUP(F180,tblDisciplines[],14,FALSE)),"None")</f>
        <v>None</v>
      </c>
      <c r="I180" s="73"/>
      <c r="N180" s="4"/>
      <c r="O180" s="61">
        <f>N180</f>
        <v>0</v>
      </c>
      <c r="P180" s="60" t="str">
        <f>IF(O180=R180,O180,"")</f>
        <v/>
      </c>
      <c r="R180" s="61" t="str">
        <f>_xlfn.IFNA(VLOOKUP(F180,tblDisciplines[],15,FALSE),"")</f>
        <v/>
      </c>
    </row>
    <row r="181" spans="1:18">
      <c r="A181" s="1" t="s">
        <v>180</v>
      </c>
      <c r="B181" t="str">
        <f t="shared" si="29"/>
        <v>¬</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29"/>
        <v>¬</v>
      </c>
    </row>
    <row r="183" spans="1:18">
      <c r="A183" s="1" t="s">
        <v>182</v>
      </c>
      <c r="B183" t="str">
        <f t="shared" si="29"/>
        <v>¬</v>
      </c>
      <c r="D183" s="16" t="s">
        <v>1497</v>
      </c>
      <c r="E183" s="16"/>
      <c r="F183" s="16"/>
      <c r="G183" s="16"/>
      <c r="H183" s="16"/>
      <c r="I183" s="16"/>
    </row>
    <row r="184" spans="1:18">
      <c r="A184" s="1" t="s">
        <v>183</v>
      </c>
      <c r="B184" t="str">
        <f t="shared" si="29"/>
        <v>¬</v>
      </c>
      <c r="D184" s="19"/>
      <c r="E184" s="15" t="s">
        <v>246</v>
      </c>
      <c r="F184" s="19"/>
      <c r="G184" s="19"/>
      <c r="H184" s="19"/>
      <c r="I184" s="60" t="b">
        <f>IF(OR(F$9="Circle of the Crone",COUNTIF(F$79:F$93,"Chorister")&gt;0),TRUE,FALSE)</f>
        <v>0</v>
      </c>
      <c r="L184" s="4"/>
      <c r="N184" s="4"/>
      <c r="O184" s="61">
        <f>ROUNDDOWN(N184/4,0)</f>
        <v>0</v>
      </c>
      <c r="P184" s="60">
        <f>SUM(L184,O184)</f>
        <v>0</v>
      </c>
      <c r="Q184" s="61">
        <v>0</v>
      </c>
      <c r="R184" s="61">
        <v>5</v>
      </c>
    </row>
    <row r="185" spans="1:18">
      <c r="A185" s="1" t="s">
        <v>184</v>
      </c>
      <c r="B185" t="str">
        <f t="shared" si="29"/>
        <v>¬</v>
      </c>
      <c r="D185" s="19"/>
      <c r="E185" s="15" t="s">
        <v>247</v>
      </c>
      <c r="F185" s="19"/>
      <c r="G185" s="19"/>
      <c r="H185" s="19"/>
      <c r="I185" s="60" t="b">
        <f>IF(OR(F$9="Lancea et Sanctum",COUNTIF(F$79:F$93,"Laity")&gt;0),TRUE,FALSE)</f>
        <v>0</v>
      </c>
      <c r="L185" s="4"/>
      <c r="N185" s="4"/>
      <c r="O185" s="61">
        <f>ROUNDDOWN(N185/4,0)</f>
        <v>0</v>
      </c>
      <c r="P185" s="60">
        <f>SUM(L185,O185)</f>
        <v>0</v>
      </c>
      <c r="Q185" s="61">
        <v>0</v>
      </c>
      <c r="R185" s="61">
        <v>5</v>
      </c>
    </row>
    <row r="186" spans="1:18">
      <c r="A186" s="1" t="s">
        <v>185</v>
      </c>
      <c r="B186" t="str">
        <f t="shared" si="29"/>
        <v>¬</v>
      </c>
      <c r="D186" s="19"/>
      <c r="E186" s="19"/>
      <c r="F186" s="19"/>
      <c r="G186" s="19"/>
      <c r="H186" s="19"/>
      <c r="I186" s="19"/>
      <c r="L186" s="60">
        <f>SUM(P184:P185)-SUM(L187:L191)</f>
        <v>0</v>
      </c>
    </row>
    <row r="187" spans="1:18">
      <c r="A187" s="1" t="s">
        <v>186</v>
      </c>
      <c r="B187" t="str">
        <f t="shared" si="29"/>
        <v>¬</v>
      </c>
      <c r="D187" s="19"/>
      <c r="E187" s="15" t="s">
        <v>248</v>
      </c>
      <c r="F187" s="19"/>
      <c r="G187" s="19"/>
      <c r="H187" s="19"/>
      <c r="I187" s="19"/>
      <c r="L187" s="4"/>
      <c r="M187" s="61">
        <f>IF(AND(I184,L184&gt;=1),1,0)</f>
        <v>0</v>
      </c>
      <c r="N187" s="4"/>
      <c r="O187" s="61">
        <f>ROUNDDOWN(N187/2,0)</f>
        <v>0</v>
      </c>
      <c r="P187" s="60">
        <f>MIN(SUM(L187,M187,O187),R187)</f>
        <v>0</v>
      </c>
      <c r="Q187" s="61">
        <v>0</v>
      </c>
      <c r="R187" s="61">
        <f>MAX(P$184,P$185)</f>
        <v>0</v>
      </c>
    </row>
    <row r="188" spans="1:18">
      <c r="A188" s="1" t="s">
        <v>187</v>
      </c>
      <c r="B188" t="str">
        <f t="shared" si="29"/>
        <v>¬</v>
      </c>
      <c r="D188" s="19"/>
      <c r="E188" s="15" t="s">
        <v>249</v>
      </c>
      <c r="F188" s="19"/>
      <c r="G188" s="19"/>
      <c r="H188" s="19"/>
      <c r="I188" s="19"/>
      <c r="L188" s="4"/>
      <c r="M188" s="61"/>
      <c r="N188" s="4"/>
      <c r="O188" s="61">
        <f>ROUNDDOWN(N188/2,0)</f>
        <v>0</v>
      </c>
      <c r="P188" s="60">
        <f>MIN(SUM(L188,M188,O188),R188)</f>
        <v>0</v>
      </c>
      <c r="Q188" s="61">
        <v>0</v>
      </c>
      <c r="R188" s="61">
        <f>MAX(P$184,P$185)</f>
        <v>0</v>
      </c>
    </row>
    <row r="189" spans="1:18">
      <c r="A189" s="1" t="s">
        <v>188</v>
      </c>
      <c r="B189" t="str">
        <f t="shared" si="29"/>
        <v>¬</v>
      </c>
      <c r="D189" s="19"/>
      <c r="E189" s="15" t="s">
        <v>250</v>
      </c>
      <c r="F189" s="19"/>
      <c r="G189" s="19"/>
      <c r="H189" s="19"/>
      <c r="I189" s="19"/>
      <c r="L189" s="4"/>
      <c r="M189" s="61">
        <f>IF(AND(I185,L185&gt;=1),1,0)</f>
        <v>0</v>
      </c>
      <c r="N189" s="4"/>
      <c r="O189" s="61">
        <f>ROUNDDOWN(N189/2,0)</f>
        <v>0</v>
      </c>
      <c r="P189" s="60">
        <f>MIN(SUM(L189,M189,O189),R189)</f>
        <v>0</v>
      </c>
      <c r="Q189" s="61">
        <v>0</v>
      </c>
      <c r="R189" s="61">
        <f>MAX(P$184,P$185)</f>
        <v>0</v>
      </c>
    </row>
    <row r="190" spans="1:18">
      <c r="A190" s="1" t="s">
        <v>189</v>
      </c>
      <c r="B190" t="str">
        <f t="shared" si="29"/>
        <v>¬</v>
      </c>
      <c r="D190" s="19"/>
      <c r="E190" s="15" t="s">
        <v>251</v>
      </c>
      <c r="F190" s="19"/>
      <c r="G190" s="19"/>
      <c r="H190" s="19"/>
      <c r="I190" s="19"/>
      <c r="L190" s="4"/>
      <c r="M190" s="61">
        <f>IF(AND(I184,L184&gt;=1),1,0)</f>
        <v>0</v>
      </c>
      <c r="N190" s="4"/>
      <c r="O190" s="61">
        <f>ROUNDDOWN(N190/2,0)</f>
        <v>0</v>
      </c>
      <c r="P190" s="60">
        <f>MIN(SUM(L190,M190,O190),R190)</f>
        <v>0</v>
      </c>
      <c r="Q190" s="61">
        <v>0</v>
      </c>
      <c r="R190" s="61">
        <f>MAX(P$184,P$185)</f>
        <v>0</v>
      </c>
    </row>
    <row r="191" spans="1:18">
      <c r="A191" s="1" t="s">
        <v>190</v>
      </c>
      <c r="B191" t="str">
        <f t="shared" si="29"/>
        <v>¬</v>
      </c>
      <c r="D191" s="19"/>
      <c r="E191" s="15" t="s">
        <v>252</v>
      </c>
      <c r="F191" s="19"/>
      <c r="G191" s="19"/>
      <c r="H191" s="19"/>
      <c r="I191" s="19"/>
      <c r="L191" s="4"/>
      <c r="M191" s="61">
        <f>IF(AND(I185,L185&gt;=1),1,0)</f>
        <v>0</v>
      </c>
      <c r="N191" s="4"/>
      <c r="O191" s="61">
        <f>ROUNDDOWN(N191/2,0)</f>
        <v>0</v>
      </c>
      <c r="P191" s="60">
        <f>MIN(SUM(L191,M191,O191),R191)</f>
        <v>0</v>
      </c>
      <c r="Q191" s="61">
        <v>0</v>
      </c>
      <c r="R191" s="61">
        <f>MAX(P$184,P$185)</f>
        <v>0</v>
      </c>
    </row>
    <row r="192" spans="1:18">
      <c r="A192" s="1" t="s">
        <v>191</v>
      </c>
      <c r="B192" t="str">
        <f t="shared" si="29"/>
        <v>¬</v>
      </c>
    </row>
    <row r="193" spans="1:18">
      <c r="A193" s="1" t="s">
        <v>192</v>
      </c>
      <c r="B193" t="str">
        <f t="shared" si="29"/>
        <v>¬</v>
      </c>
      <c r="D193" s="16" t="s">
        <v>1474</v>
      </c>
      <c r="E193" s="16"/>
      <c r="F193" s="16"/>
      <c r="G193" s="16"/>
      <c r="H193" s="16"/>
      <c r="I193" s="16"/>
      <c r="L193" s="60">
        <f>SUM(P184:P185)+SUM(O187:O191)-SUM(L194:L203)</f>
        <v>0</v>
      </c>
    </row>
    <row r="194" spans="1:18">
      <c r="A194" s="1" t="s">
        <v>193</v>
      </c>
      <c r="B194" t="str">
        <f t="shared" si="29"/>
        <v>¬</v>
      </c>
      <c r="D194" s="19"/>
      <c r="E194" s="15" t="s">
        <v>1498</v>
      </c>
      <c r="F194" s="3"/>
      <c r="G194" s="61" t="str">
        <f>_xlfn.IFNA(VLOOKUP(F194,tblDisciplines[],2,FALSE),"")</f>
        <v/>
      </c>
      <c r="H194" s="19"/>
      <c r="I194" s="19"/>
      <c r="L194" s="4"/>
      <c r="N194" s="4"/>
      <c r="O194" s="61">
        <f>N194</f>
        <v>0</v>
      </c>
      <c r="P194" s="60" t="str">
        <f>IF(OR(L194=R194,O194=R194),R194,MIN(SUM(L194,O194),R194))</f>
        <v/>
      </c>
      <c r="R194" s="61" t="str">
        <f>_xlfn.IFNA(VLOOKUP(F194,tblDisciplines[],3,FALSE),"")</f>
        <v/>
      </c>
    </row>
    <row r="195" spans="1:18">
      <c r="A195" s="1" t="s">
        <v>194</v>
      </c>
      <c r="B195" t="str">
        <f t="shared" si="29"/>
        <v>¬</v>
      </c>
      <c r="D195" s="19"/>
      <c r="E195" s="15" t="s">
        <v>1499</v>
      </c>
      <c r="F195" s="3"/>
      <c r="G195" s="61" t="str">
        <f>_xlfn.IFNA(VLOOKUP(F195,tblDisciplines[],2,FALSE),"")</f>
        <v/>
      </c>
      <c r="H195" s="19"/>
      <c r="I195" s="19"/>
      <c r="L195" s="4"/>
      <c r="N195" s="4"/>
      <c r="O195" s="61">
        <f t="shared" ref="O195:O203" si="30">N195</f>
        <v>0</v>
      </c>
      <c r="P195" s="60" t="str">
        <f t="shared" ref="P195:P203" si="31">IF(OR(L195=R195,O195=R195),R195,MIN(SUM(L195,O195),R195))</f>
        <v/>
      </c>
      <c r="R195" s="61" t="str">
        <f>_xlfn.IFNA(VLOOKUP(F195,tblDisciplines[],3,FALSE),"")</f>
        <v/>
      </c>
    </row>
    <row r="196" spans="1:18">
      <c r="A196" s="1" t="s">
        <v>195</v>
      </c>
      <c r="B196" t="str">
        <f t="shared" si="29"/>
        <v>¬</v>
      </c>
      <c r="D196" s="19"/>
      <c r="E196" s="15" t="s">
        <v>1500</v>
      </c>
      <c r="F196" s="3"/>
      <c r="G196" s="61" t="str">
        <f>_xlfn.IFNA(VLOOKUP(F196,tblDisciplines[],2,FALSE),"")</f>
        <v/>
      </c>
      <c r="H196" s="19"/>
      <c r="I196" s="19"/>
      <c r="L196" s="4"/>
      <c r="N196" s="4"/>
      <c r="O196" s="61">
        <f t="shared" si="30"/>
        <v>0</v>
      </c>
      <c r="P196" s="60" t="str">
        <f t="shared" si="31"/>
        <v/>
      </c>
      <c r="R196" s="61" t="str">
        <f>_xlfn.IFNA(VLOOKUP(F196,tblDisciplines[],3,FALSE),"")</f>
        <v/>
      </c>
    </row>
    <row r="197" spans="1:18">
      <c r="A197" s="1" t="s">
        <v>196</v>
      </c>
      <c r="B197" t="str">
        <f>IF(AD134="","¬",AD134)</f>
        <v>industry, politics, underworld, legal</v>
      </c>
      <c r="D197" s="19"/>
      <c r="E197" s="15" t="s">
        <v>1501</v>
      </c>
      <c r="F197" s="3"/>
      <c r="G197" s="61" t="str">
        <f>_xlfn.IFNA(VLOOKUP(F197,tblDisciplines[],2,FALSE),"")</f>
        <v/>
      </c>
      <c r="H197" s="19"/>
      <c r="I197" s="19"/>
      <c r="L197" s="4"/>
      <c r="N197" s="4"/>
      <c r="O197" s="61">
        <f t="shared" si="30"/>
        <v>0</v>
      </c>
      <c r="P197" s="60" t="str">
        <f t="shared" si="31"/>
        <v/>
      </c>
      <c r="R197" s="61" t="str">
        <f>_xlfn.IFNA(VLOOKUP(F197,tblDisciplines[],3,FALSE),"")</f>
        <v/>
      </c>
    </row>
    <row r="198" spans="1:18">
      <c r="A198" s="1" t="s">
        <v>197</v>
      </c>
      <c r="B198" t="str">
        <f t="shared" ref="B198:B216" si="32">IF(AD135="","¬",AD135)</f>
        <v>media</v>
      </c>
      <c r="D198" s="19"/>
      <c r="E198" s="15" t="s">
        <v>1502</v>
      </c>
      <c r="F198" s="3"/>
      <c r="G198" s="61" t="str">
        <f>_xlfn.IFNA(VLOOKUP(F198,tblDisciplines[],2,FALSE),"")</f>
        <v/>
      </c>
      <c r="H198" s="19"/>
      <c r="I198" s="19"/>
      <c r="L198" s="4"/>
      <c r="N198" s="4"/>
      <c r="O198" s="61">
        <f t="shared" si="30"/>
        <v>0</v>
      </c>
      <c r="P198" s="60" t="str">
        <f t="shared" si="31"/>
        <v/>
      </c>
      <c r="R198" s="61" t="str">
        <f>_xlfn.IFNA(VLOOKUP(F198,tblDisciplines[],3,FALSE),"")</f>
        <v/>
      </c>
    </row>
    <row r="199" spans="1:18">
      <c r="A199" s="1" t="s">
        <v>198</v>
      </c>
      <c r="B199" t="str">
        <f t="shared" si="32"/>
        <v>¬</v>
      </c>
      <c r="D199" s="19"/>
      <c r="E199" s="15" t="s">
        <v>1503</v>
      </c>
      <c r="F199" s="3"/>
      <c r="G199" s="61" t="str">
        <f>_xlfn.IFNA(VLOOKUP(F199,tblDisciplines[],2,FALSE),"")</f>
        <v/>
      </c>
      <c r="H199" s="19"/>
      <c r="I199" s="19"/>
      <c r="L199" s="4"/>
      <c r="N199" s="4"/>
      <c r="O199" s="61">
        <f t="shared" si="30"/>
        <v>0</v>
      </c>
      <c r="P199" s="60" t="str">
        <f t="shared" si="31"/>
        <v/>
      </c>
      <c r="R199" s="61" t="str">
        <f>_xlfn.IFNA(VLOOKUP(F199,tblDisciplines[],3,FALSE),"")</f>
        <v/>
      </c>
    </row>
    <row r="200" spans="1:18">
      <c r="A200" s="1" t="s">
        <v>199</v>
      </c>
      <c r="B200" t="str">
        <f t="shared" si="32"/>
        <v>¬</v>
      </c>
      <c r="D200" s="19"/>
      <c r="E200" s="15" t="s">
        <v>1504</v>
      </c>
      <c r="F200" s="3"/>
      <c r="G200" s="61" t="str">
        <f>_xlfn.IFNA(VLOOKUP(F200,tblDisciplines[],2,FALSE),"")</f>
        <v/>
      </c>
      <c r="H200" s="19"/>
      <c r="I200" s="19"/>
      <c r="L200" s="4"/>
      <c r="N200" s="4"/>
      <c r="O200" s="61">
        <f t="shared" si="30"/>
        <v>0</v>
      </c>
      <c r="P200" s="60" t="str">
        <f t="shared" si="31"/>
        <v/>
      </c>
      <c r="R200" s="61" t="str">
        <f>_xlfn.IFNA(VLOOKUP(F200,tblDisciplines[],3,FALSE),"")</f>
        <v/>
      </c>
    </row>
    <row r="201" spans="1:18">
      <c r="A201" s="1" t="s">
        <v>200</v>
      </c>
      <c r="B201" t="str">
        <f t="shared" si="32"/>
        <v>¬</v>
      </c>
      <c r="D201" s="19"/>
      <c r="E201" s="15" t="s">
        <v>1505</v>
      </c>
      <c r="F201" s="3"/>
      <c r="G201" s="61" t="str">
        <f>_xlfn.IFNA(VLOOKUP(F201,tblDisciplines[],2,FALSE),"")</f>
        <v/>
      </c>
      <c r="H201" s="19"/>
      <c r="I201" s="19"/>
      <c r="L201" s="4"/>
      <c r="N201" s="4"/>
      <c r="O201" s="61">
        <f t="shared" si="30"/>
        <v>0</v>
      </c>
      <c r="P201" s="60" t="str">
        <f t="shared" si="31"/>
        <v/>
      </c>
      <c r="R201" s="61" t="str">
        <f>_xlfn.IFNA(VLOOKUP(F201,tblDisciplines[],3,FALSE),"")</f>
        <v/>
      </c>
    </row>
    <row r="202" spans="1:18">
      <c r="A202" s="1" t="s">
        <v>201</v>
      </c>
      <c r="B202" t="str">
        <f t="shared" si="32"/>
        <v>¬</v>
      </c>
      <c r="D202" s="19"/>
      <c r="E202" s="15" t="s">
        <v>1506</v>
      </c>
      <c r="F202" s="3"/>
      <c r="G202" s="61" t="str">
        <f>_xlfn.IFNA(VLOOKUP(F202,tblDisciplines[],2,FALSE),"")</f>
        <v/>
      </c>
      <c r="H202" s="19"/>
      <c r="I202" s="19"/>
      <c r="L202" s="4"/>
      <c r="N202" s="4"/>
      <c r="O202" s="61">
        <f t="shared" si="30"/>
        <v>0</v>
      </c>
      <c r="P202" s="60" t="str">
        <f t="shared" si="31"/>
        <v/>
      </c>
      <c r="R202" s="61" t="str">
        <f>_xlfn.IFNA(VLOOKUP(F202,tblDisciplines[],3,FALSE),"")</f>
        <v/>
      </c>
    </row>
    <row r="203" spans="1:18">
      <c r="A203" s="1" t="s">
        <v>202</v>
      </c>
      <c r="B203" t="str">
        <f t="shared" si="32"/>
        <v>¬</v>
      </c>
      <c r="D203" s="19"/>
      <c r="E203" s="15" t="s">
        <v>1507</v>
      </c>
      <c r="F203" s="3"/>
      <c r="G203" s="61" t="str">
        <f>_xlfn.IFNA(VLOOKUP(F203,tblDisciplines[],2,FALSE),"")</f>
        <v/>
      </c>
      <c r="H203" s="19"/>
      <c r="I203" s="19"/>
      <c r="L203" s="4"/>
      <c r="N203" s="4"/>
      <c r="O203" s="61">
        <f t="shared" si="30"/>
        <v>0</v>
      </c>
      <c r="P203" s="60" t="str">
        <f t="shared" si="31"/>
        <v/>
      </c>
      <c r="R203" s="61" t="str">
        <f>_xlfn.IFNA(VLOOKUP(F203,tblDisciplines[],3,FALSE),"")</f>
        <v/>
      </c>
    </row>
    <row r="204" spans="1:18">
      <c r="A204" s="1" t="s">
        <v>203</v>
      </c>
      <c r="B204" t="str">
        <f t="shared" si="32"/>
        <v>¬</v>
      </c>
    </row>
    <row r="205" spans="1:18">
      <c r="A205" s="1" t="s">
        <v>204</v>
      </c>
      <c r="B205" t="str">
        <f t="shared" si="32"/>
        <v>¬</v>
      </c>
      <c r="D205" s="16" t="s">
        <v>1508</v>
      </c>
      <c r="E205" s="17"/>
      <c r="F205" s="17"/>
      <c r="G205" s="17"/>
      <c r="H205" s="17"/>
      <c r="I205" s="17"/>
    </row>
    <row r="206" spans="1:18">
      <c r="A206" s="1" t="s">
        <v>205</v>
      </c>
      <c r="B206" t="str">
        <f t="shared" si="32"/>
        <v>¬</v>
      </c>
      <c r="D206" s="19"/>
      <c r="E206" s="15" t="s">
        <v>1476</v>
      </c>
      <c r="F206" s="3"/>
      <c r="G206" s="19" t="str">
        <f>IFERROR(VLOOKUP(F206,tblManoeuvre[],2,FALSE)&amp;" "&amp;VLOOKUP(F206,tblManoeuvre[],3,FALSE),"")</f>
        <v/>
      </c>
      <c r="H206" s="68" t="str">
        <f>_xlfn.IFNA(IF(VLOOKUP(F206,tblMerits[],6,FALSE)=0,"None",VLOOKUP(F206,tblMerits[],6,FALSE)),"None")</f>
        <v>None</v>
      </c>
      <c r="I206" s="69"/>
      <c r="L206" s="4"/>
      <c r="M206" s="4"/>
      <c r="N206" s="4"/>
      <c r="O206" s="61">
        <f t="shared" ref="O206:O215" si="33">N206</f>
        <v>0</v>
      </c>
      <c r="P206" s="60">
        <f t="shared" ref="P206:P215" si="34">MIN(SUM(L206,M206,O206),R206)</f>
        <v>0</v>
      </c>
      <c r="Q206" s="61" t="str">
        <f>_xlfn.IFNA(VLOOKUP($F206,tblPacts[],3,FALSE),"")</f>
        <v/>
      </c>
      <c r="R206" s="61" t="str">
        <f>_xlfn.IFNA(VLOOKUP($F206,tblPacts[],4,FALSE),"")</f>
        <v/>
      </c>
    </row>
    <row r="207" spans="1:18">
      <c r="A207" s="1" t="s">
        <v>206</v>
      </c>
      <c r="B207" t="str">
        <f t="shared" si="32"/>
        <v>¬</v>
      </c>
      <c r="D207" s="19"/>
      <c r="E207" s="15" t="s">
        <v>1477</v>
      </c>
      <c r="F207" s="3"/>
      <c r="G207" s="19" t="str">
        <f>IFERROR(VLOOKUP(F207,tblManoeuvre[],2,FALSE)&amp;" "&amp;VLOOKUP(F207,tblManoeuvre[],3,FALSE),"")</f>
        <v/>
      </c>
      <c r="H207" s="68" t="str">
        <f>_xlfn.IFNA(IF(VLOOKUP(F207,tblMerits[],6,FALSE)=0,"None",VLOOKUP(F207,tblMerits[],6,FALSE)),"None")</f>
        <v>None</v>
      </c>
      <c r="I207" s="69"/>
      <c r="L207" s="4"/>
      <c r="M207" s="4"/>
      <c r="N207" s="4"/>
      <c r="O207" s="61">
        <f t="shared" si="33"/>
        <v>0</v>
      </c>
      <c r="P207" s="60">
        <f t="shared" si="34"/>
        <v>0</v>
      </c>
      <c r="Q207" s="61" t="str">
        <f>_xlfn.IFNA(VLOOKUP($F207,tblPacts[],3,FALSE),"")</f>
        <v/>
      </c>
      <c r="R207" s="61" t="str">
        <f>_xlfn.IFNA(VLOOKUP($F207,tblPacts[],4,FALSE),"")</f>
        <v/>
      </c>
    </row>
    <row r="208" spans="1:18">
      <c r="A208" s="1" t="s">
        <v>207</v>
      </c>
      <c r="B208" t="str">
        <f t="shared" si="32"/>
        <v>¬</v>
      </c>
      <c r="D208" s="19"/>
      <c r="E208" s="15" t="s">
        <v>1478</v>
      </c>
      <c r="F208" s="3"/>
      <c r="G208" s="19" t="str">
        <f>IFERROR(VLOOKUP(F208,tblManoeuvre[],2,FALSE)&amp;" "&amp;VLOOKUP(F208,tblManoeuvre[],3,FALSE),"")</f>
        <v/>
      </c>
      <c r="H208" s="68" t="str">
        <f>_xlfn.IFNA(IF(VLOOKUP(F208,tblMerits[],6,FALSE)=0,"None",VLOOKUP(F208,tblMerits[],6,FALSE)),"None")</f>
        <v>None</v>
      </c>
      <c r="I208" s="69"/>
      <c r="L208" s="4"/>
      <c r="M208" s="4"/>
      <c r="N208" s="4"/>
      <c r="O208" s="61">
        <f t="shared" si="33"/>
        <v>0</v>
      </c>
      <c r="P208" s="60">
        <f t="shared" si="34"/>
        <v>0</v>
      </c>
      <c r="Q208" s="61" t="str">
        <f>_xlfn.IFNA(VLOOKUP($F208,tblPacts[],3,FALSE),"")</f>
        <v/>
      </c>
      <c r="R208" s="61" t="str">
        <f>_xlfn.IFNA(VLOOKUP($F208,tblPacts[],4,FALSE),"")</f>
        <v/>
      </c>
    </row>
    <row r="209" spans="1:18">
      <c r="A209" s="1" t="s">
        <v>208</v>
      </c>
      <c r="B209" t="str">
        <f t="shared" si="32"/>
        <v>¬</v>
      </c>
      <c r="D209" s="19"/>
      <c r="E209" s="15" t="s">
        <v>1479</v>
      </c>
      <c r="F209" s="3"/>
      <c r="G209" s="19" t="str">
        <f>IFERROR(VLOOKUP(F209,tblManoeuvre[],2,FALSE)&amp;" "&amp;VLOOKUP(F209,tblManoeuvre[],3,FALSE),"")</f>
        <v/>
      </c>
      <c r="H209" s="68" t="str">
        <f>_xlfn.IFNA(IF(VLOOKUP(F209,tblMerits[],6,FALSE)=0,"None",VLOOKUP(F209,tblMerits[],6,FALSE)),"None")</f>
        <v>None</v>
      </c>
      <c r="I209" s="69"/>
      <c r="L209" s="4"/>
      <c r="M209" s="4"/>
      <c r="N209" s="4"/>
      <c r="O209" s="61">
        <f t="shared" si="33"/>
        <v>0</v>
      </c>
      <c r="P209" s="60">
        <f t="shared" si="34"/>
        <v>0</v>
      </c>
      <c r="Q209" s="61" t="str">
        <f>_xlfn.IFNA(VLOOKUP($F209,tblPacts[],3,FALSE),"")</f>
        <v/>
      </c>
      <c r="R209" s="61" t="str">
        <f>_xlfn.IFNA(VLOOKUP($F209,tblPacts[],4,FALSE),"")</f>
        <v/>
      </c>
    </row>
    <row r="210" spans="1:18">
      <c r="A210" s="1" t="s">
        <v>209</v>
      </c>
      <c r="B210" t="str">
        <f t="shared" si="32"/>
        <v>¬</v>
      </c>
      <c r="D210" s="19"/>
      <c r="E210" s="15" t="s">
        <v>1480</v>
      </c>
      <c r="F210" s="3"/>
      <c r="G210" s="19" t="str">
        <f>IFERROR(VLOOKUP(F210,tblManoeuvre[],2,FALSE)&amp;" "&amp;VLOOKUP(F210,tblManoeuvre[],3,FALSE),"")</f>
        <v/>
      </c>
      <c r="H210" s="68" t="str">
        <f>_xlfn.IFNA(IF(VLOOKUP(F210,tblMerits[],6,FALSE)=0,"None",VLOOKUP(F210,tblMerits[],6,FALSE)),"None")</f>
        <v>None</v>
      </c>
      <c r="I210" s="69"/>
      <c r="L210" s="4"/>
      <c r="M210" s="4"/>
      <c r="N210" s="4"/>
      <c r="O210" s="61">
        <f t="shared" si="33"/>
        <v>0</v>
      </c>
      <c r="P210" s="60">
        <f t="shared" si="34"/>
        <v>0</v>
      </c>
      <c r="Q210" s="61" t="str">
        <f>_xlfn.IFNA(VLOOKUP($F210,tblPacts[],3,FALSE),"")</f>
        <v/>
      </c>
      <c r="R210" s="61" t="str">
        <f>_xlfn.IFNA(VLOOKUP($F210,tblPacts[],4,FALSE),"")</f>
        <v/>
      </c>
    </row>
    <row r="211" spans="1:18">
      <c r="A211" s="1" t="s">
        <v>210</v>
      </c>
      <c r="B211" t="str">
        <f t="shared" si="32"/>
        <v>¬</v>
      </c>
      <c r="D211" s="19"/>
      <c r="E211" s="15" t="s">
        <v>1481</v>
      </c>
      <c r="F211" s="3"/>
      <c r="G211" s="19" t="str">
        <f>IFERROR(VLOOKUP(F211,tblManoeuvre[],2,FALSE)&amp;" "&amp;VLOOKUP(F211,tblManoeuvre[],3,FALSE),"")</f>
        <v/>
      </c>
      <c r="H211" s="68" t="str">
        <f>_xlfn.IFNA(IF(VLOOKUP(F211,tblMerits[],6,FALSE)=0,"None",VLOOKUP(F211,tblMerits[],6,FALSE)),"None")</f>
        <v>None</v>
      </c>
      <c r="I211" s="69"/>
      <c r="L211" s="4"/>
      <c r="M211" s="4"/>
      <c r="N211" s="4"/>
      <c r="O211" s="61">
        <f t="shared" si="33"/>
        <v>0</v>
      </c>
      <c r="P211" s="60">
        <f t="shared" si="34"/>
        <v>0</v>
      </c>
      <c r="Q211" s="61" t="str">
        <f>_xlfn.IFNA(VLOOKUP($F211,tblPacts[],3,FALSE),"")</f>
        <v/>
      </c>
      <c r="R211" s="61" t="str">
        <f>_xlfn.IFNA(VLOOKUP($F211,tblPacts[],4,FALSE),"")</f>
        <v/>
      </c>
    </row>
    <row r="212" spans="1:18">
      <c r="A212" s="1" t="s">
        <v>211</v>
      </c>
      <c r="B212" t="str">
        <f t="shared" si="32"/>
        <v>¬</v>
      </c>
      <c r="D212" s="19"/>
      <c r="E212" s="15" t="s">
        <v>1482</v>
      </c>
      <c r="F212" s="3"/>
      <c r="G212" s="19" t="str">
        <f>IFERROR(VLOOKUP(F212,tblManoeuvre[],2,FALSE)&amp;" "&amp;VLOOKUP(F212,tblManoeuvre[],3,FALSE),"")</f>
        <v/>
      </c>
      <c r="H212" s="68" t="str">
        <f>_xlfn.IFNA(IF(VLOOKUP(F212,tblMerits[],6,FALSE)=0,"None",VLOOKUP(F212,tblMerits[],6,FALSE)),"None")</f>
        <v>None</v>
      </c>
      <c r="I212" s="69"/>
      <c r="L212" s="4"/>
      <c r="M212" s="4"/>
      <c r="N212" s="4"/>
      <c r="O212" s="61">
        <f t="shared" si="33"/>
        <v>0</v>
      </c>
      <c r="P212" s="60">
        <f t="shared" si="34"/>
        <v>0</v>
      </c>
      <c r="Q212" s="61" t="str">
        <f>_xlfn.IFNA(VLOOKUP($F212,tblPacts[],3,FALSE),"")</f>
        <v/>
      </c>
      <c r="R212" s="61" t="str">
        <f>_xlfn.IFNA(VLOOKUP($F212,tblPacts[],4,FALSE),"")</f>
        <v/>
      </c>
    </row>
    <row r="213" spans="1:18">
      <c r="A213" s="1" t="s">
        <v>212</v>
      </c>
      <c r="B213" t="str">
        <f t="shared" si="32"/>
        <v>¬</v>
      </c>
      <c r="D213" s="19"/>
      <c r="E213" s="15" t="s">
        <v>1483</v>
      </c>
      <c r="F213" s="3"/>
      <c r="G213" s="19" t="str">
        <f>IFERROR(VLOOKUP(F213,tblManoeuvre[],2,FALSE)&amp;" "&amp;VLOOKUP(F213,tblManoeuvre[],3,FALSE),"")</f>
        <v/>
      </c>
      <c r="H213" s="68" t="str">
        <f>_xlfn.IFNA(IF(VLOOKUP(F213,tblMerits[],6,FALSE)=0,"None",VLOOKUP(F213,tblMerits[],6,FALSE)),"None")</f>
        <v>None</v>
      </c>
      <c r="I213" s="69"/>
      <c r="L213" s="4"/>
      <c r="M213" s="4"/>
      <c r="N213" s="4"/>
      <c r="O213" s="61">
        <f t="shared" si="33"/>
        <v>0</v>
      </c>
      <c r="P213" s="60">
        <f t="shared" si="34"/>
        <v>0</v>
      </c>
      <c r="Q213" s="61" t="str">
        <f>_xlfn.IFNA(VLOOKUP($F213,tblPacts[],3,FALSE),"")</f>
        <v/>
      </c>
      <c r="R213" s="61" t="str">
        <f>_xlfn.IFNA(VLOOKUP($F213,tblPacts[],4,FALSE),"")</f>
        <v/>
      </c>
    </row>
    <row r="214" spans="1:18">
      <c r="A214" s="1" t="s">
        <v>213</v>
      </c>
      <c r="B214" t="str">
        <f t="shared" si="32"/>
        <v>¬</v>
      </c>
      <c r="D214" s="19"/>
      <c r="E214" s="15" t="s">
        <v>1484</v>
      </c>
      <c r="F214" s="3"/>
      <c r="G214" s="19" t="str">
        <f>IFERROR(VLOOKUP(F214,tblManoeuvre[],2,FALSE)&amp;" "&amp;VLOOKUP(F214,tblManoeuvre[],3,FALSE),"")</f>
        <v/>
      </c>
      <c r="H214" s="68" t="str">
        <f>_xlfn.IFNA(IF(VLOOKUP(F214,tblMerits[],6,FALSE)=0,"None",VLOOKUP(F214,tblMerits[],6,FALSE)),"None")</f>
        <v>None</v>
      </c>
      <c r="I214" s="69"/>
      <c r="L214" s="4"/>
      <c r="M214" s="4"/>
      <c r="N214" s="4"/>
      <c r="O214" s="61">
        <f t="shared" si="33"/>
        <v>0</v>
      </c>
      <c r="P214" s="60">
        <f t="shared" si="34"/>
        <v>0</v>
      </c>
      <c r="Q214" s="61" t="str">
        <f>_xlfn.IFNA(VLOOKUP($F214,tblPacts[],3,FALSE),"")</f>
        <v/>
      </c>
      <c r="R214" s="61" t="str">
        <f>_xlfn.IFNA(VLOOKUP($F214,tblPacts[],4,FALSE),"")</f>
        <v/>
      </c>
    </row>
    <row r="215" spans="1:18">
      <c r="A215" s="1" t="s">
        <v>214</v>
      </c>
      <c r="B215" t="str">
        <f t="shared" si="32"/>
        <v>¬</v>
      </c>
      <c r="D215" s="19"/>
      <c r="E215" s="15" t="s">
        <v>1485</v>
      </c>
      <c r="F215" s="3"/>
      <c r="G215" s="19" t="str">
        <f>IFERROR(VLOOKUP(F215,tblManoeuvre[],2,FALSE)&amp;" "&amp;VLOOKUP(F215,tblManoeuvre[],3,FALSE),"")</f>
        <v/>
      </c>
      <c r="H215" s="68" t="str">
        <f>_xlfn.IFNA(IF(VLOOKUP(F215,tblMerits[],6,FALSE)=0,"None",VLOOKUP(F215,tblMerits[],6,FALSE)),"None")</f>
        <v>None</v>
      </c>
      <c r="I215" s="69"/>
      <c r="L215" s="4"/>
      <c r="M215" s="4"/>
      <c r="N215" s="4"/>
      <c r="O215" s="61">
        <f t="shared" si="33"/>
        <v>0</v>
      </c>
      <c r="P215" s="60">
        <f t="shared" si="34"/>
        <v>0</v>
      </c>
      <c r="Q215" s="61" t="str">
        <f>_xlfn.IFNA(VLOOKUP($F215,tblPacts[],3,FALSE),"")</f>
        <v/>
      </c>
      <c r="R215" s="61" t="str">
        <f>_xlfn.IFNA(VLOOKUP($F215,tblPacts[],4,FALSE),"")</f>
        <v/>
      </c>
    </row>
    <row r="216" spans="1:18">
      <c r="A216" s="1" t="s">
        <v>215</v>
      </c>
      <c r="B216" t="str">
        <f t="shared" si="32"/>
        <v>¬</v>
      </c>
    </row>
    <row r="217" spans="1:18">
      <c r="A217" s="1" t="s">
        <v>216</v>
      </c>
      <c r="B217" t="str">
        <f>IF(OR(AF134=0,AF134=""),"",REPT("●",AF134))</f>
        <v>●●●●</v>
      </c>
      <c r="D217" s="16" t="s">
        <v>1509</v>
      </c>
      <c r="E217" s="16"/>
      <c r="F217" s="16"/>
      <c r="G217" s="16"/>
      <c r="H217" s="16"/>
      <c r="I217" s="16"/>
    </row>
    <row r="218" spans="1:18">
      <c r="A218" s="1" t="s">
        <v>217</v>
      </c>
      <c r="B218" t="str">
        <f t="shared" ref="B218:B236" si="35">IF(OR(AF135=0,AF135=""),"",REPT("●",AF135))</f>
        <v>●●</v>
      </c>
      <c r="D218" s="19"/>
      <c r="E218" s="15" t="s">
        <v>353</v>
      </c>
      <c r="F218" s="19"/>
      <c r="G218" s="19"/>
      <c r="H218" s="19"/>
      <c r="I218" s="19"/>
      <c r="M218" s="61">
        <f>IF(COUNTIF(F79:F93,"Giant")&gt;0,1,0)+IF(COUNTIF(F79:F93,"Small-Framed")&gt;0,-1,0)</f>
        <v>0</v>
      </c>
      <c r="P218" s="60">
        <f>5+M218</f>
        <v>5</v>
      </c>
    </row>
    <row r="219" spans="1:18">
      <c r="A219" s="1" t="s">
        <v>218</v>
      </c>
      <c r="B219" t="str">
        <f t="shared" si="35"/>
        <v/>
      </c>
      <c r="D219" s="19"/>
      <c r="E219" s="15" t="s">
        <v>354</v>
      </c>
      <c r="F219" s="19"/>
      <c r="G219" s="19"/>
      <c r="H219" s="19"/>
      <c r="I219" s="19"/>
      <c r="P219" s="60">
        <f ca="1">VLOOKUP("Size",INDIRECT($AH$1),2,FALSE)+VLOOKUP("Strength",INDIRECT($AH$1),2,FALSE)+VLOOKUP("Dexterity",INDIRECT($AH$1),2,FALSE)+VLOOKUP("Vigour",INDIRECT($AH$1),2,FALSE)</f>
        <v>10</v>
      </c>
    </row>
    <row r="220" spans="1:18">
      <c r="A220" s="1" t="s">
        <v>219</v>
      </c>
      <c r="B220" t="str">
        <f t="shared" si="35"/>
        <v/>
      </c>
      <c r="D220" s="19"/>
      <c r="E220" s="15" t="s">
        <v>355</v>
      </c>
      <c r="F220" s="19"/>
      <c r="G220" s="19"/>
      <c r="H220" s="19"/>
      <c r="I220" s="19"/>
      <c r="P220" s="60">
        <f ca="1">MIN(VLOOKUP("Dexterity",INDIRECT($AH$1),2,FALSE),VLOOKUP("Wits",INDIRECT($AH$1),2,FALSE))+VLOOKUP("Athletics",INDIRECT($AH$1),2,FALSE)</f>
        <v>5</v>
      </c>
    </row>
    <row r="221" spans="1:18">
      <c r="A221" s="1" t="s">
        <v>220</v>
      </c>
      <c r="B221" t="str">
        <f t="shared" si="35"/>
        <v/>
      </c>
      <c r="D221" s="19"/>
      <c r="E221" s="15" t="s">
        <v>52</v>
      </c>
      <c r="F221" s="19"/>
      <c r="G221" s="19"/>
      <c r="H221" s="19"/>
      <c r="I221" s="19"/>
      <c r="P221" s="60">
        <f ca="1">VLOOKUP("Size",INDIRECT($AH$1),2,FALSE)+VLOOKUP("Stamina",INDIRECT($AH$1),2,FALSE)+VLOOKUP("Resilience",INDIRECT($AH$1),2,FALSE)</f>
        <v>7</v>
      </c>
    </row>
    <row r="222" spans="1:18">
      <c r="A222" s="1" t="s">
        <v>221</v>
      </c>
      <c r="B222" t="str">
        <f t="shared" si="35"/>
        <v/>
      </c>
      <c r="D222" s="19"/>
      <c r="E222" s="19"/>
      <c r="F222" s="19"/>
      <c r="G222" s="19"/>
      <c r="H222" s="15" t="s">
        <v>1510</v>
      </c>
      <c r="I222" s="19"/>
      <c r="L222" s="4"/>
    </row>
    <row r="223" spans="1:18">
      <c r="A223" s="1" t="s">
        <v>222</v>
      </c>
      <c r="B223" t="str">
        <f t="shared" si="35"/>
        <v/>
      </c>
      <c r="D223" s="19"/>
      <c r="E223" s="15" t="s">
        <v>1511</v>
      </c>
      <c r="F223" s="7"/>
      <c r="G223" s="19"/>
      <c r="H223" s="15" t="s">
        <v>1512</v>
      </c>
      <c r="I223" s="19"/>
      <c r="L223" s="4"/>
    </row>
    <row r="224" spans="1:18">
      <c r="A224" s="1" t="s">
        <v>223</v>
      </c>
      <c r="B224" t="str">
        <f t="shared" si="35"/>
        <v/>
      </c>
      <c r="D224" s="19"/>
      <c r="E224" s="15" t="s">
        <v>1513</v>
      </c>
      <c r="F224" s="7"/>
      <c r="G224" s="19"/>
      <c r="H224" s="15" t="s">
        <v>1514</v>
      </c>
      <c r="I224" s="19"/>
      <c r="L224" s="4"/>
    </row>
    <row r="225" spans="1:12">
      <c r="A225" s="1" t="s">
        <v>224</v>
      </c>
      <c r="B225" t="str">
        <f t="shared" si="35"/>
        <v/>
      </c>
      <c r="D225" s="19"/>
      <c r="E225" s="15" t="s">
        <v>1515</v>
      </c>
      <c r="F225" s="7"/>
      <c r="G225" s="19"/>
      <c r="H225" s="15" t="s">
        <v>1516</v>
      </c>
      <c r="I225" s="19"/>
      <c r="L225" s="4">
        <v>5</v>
      </c>
    </row>
    <row r="226" spans="1:12">
      <c r="A226" s="1" t="s">
        <v>225</v>
      </c>
      <c r="B226" t="str">
        <f t="shared" si="35"/>
        <v/>
      </c>
      <c r="D226" s="19"/>
      <c r="E226" s="15" t="s">
        <v>1517</v>
      </c>
      <c r="F226" s="7"/>
      <c r="G226" s="19"/>
      <c r="H226" s="19"/>
      <c r="I226" s="19"/>
    </row>
    <row r="227" spans="1:12">
      <c r="A227" s="1" t="s">
        <v>226</v>
      </c>
      <c r="B227" t="str">
        <f t="shared" si="35"/>
        <v/>
      </c>
      <c r="D227" s="19"/>
      <c r="E227" s="15" t="s">
        <v>1518</v>
      </c>
      <c r="F227" s="7"/>
      <c r="G227" s="19"/>
      <c r="H227" s="19"/>
      <c r="I227" s="19"/>
    </row>
    <row r="228" spans="1:12">
      <c r="A228" s="1" t="s">
        <v>227</v>
      </c>
      <c r="B228" t="str">
        <f t="shared" si="35"/>
        <v/>
      </c>
      <c r="D228" s="19"/>
      <c r="E228" s="15" t="s">
        <v>1519</v>
      </c>
      <c r="F228" s="7"/>
      <c r="G228" s="19"/>
      <c r="H228" s="19"/>
      <c r="I228" s="19"/>
    </row>
    <row r="229" spans="1:12">
      <c r="A229" s="1" t="s">
        <v>228</v>
      </c>
      <c r="B229" t="str">
        <f t="shared" si="35"/>
        <v/>
      </c>
      <c r="D229" s="19"/>
      <c r="E229" s="15" t="s">
        <v>1520</v>
      </c>
      <c r="F229" s="7"/>
      <c r="G229" s="19"/>
      <c r="H229" s="19"/>
      <c r="I229" s="19"/>
    </row>
    <row r="230" spans="1:12">
      <c r="A230" s="1" t="s">
        <v>229</v>
      </c>
      <c r="B230" t="str">
        <f t="shared" si="35"/>
        <v/>
      </c>
      <c r="D230" s="19"/>
      <c r="E230" s="15" t="s">
        <v>1521</v>
      </c>
      <c r="F230" s="7"/>
      <c r="G230" s="19"/>
      <c r="H230" s="19"/>
      <c r="I230" s="19"/>
    </row>
    <row r="231" spans="1:12">
      <c r="A231" s="1" t="s">
        <v>230</v>
      </c>
      <c r="B231" t="str">
        <f t="shared" si="35"/>
        <v/>
      </c>
      <c r="D231" s="19"/>
      <c r="E231" s="15" t="s">
        <v>1522</v>
      </c>
      <c r="F231" s="7"/>
      <c r="G231" s="19"/>
      <c r="H231" s="19"/>
      <c r="I231" s="19"/>
    </row>
    <row r="232" spans="1:12">
      <c r="A232" s="1" t="s">
        <v>231</v>
      </c>
      <c r="B232" t="str">
        <f t="shared" si="35"/>
        <v/>
      </c>
      <c r="D232" s="19"/>
      <c r="E232" s="15" t="s">
        <v>1523</v>
      </c>
      <c r="F232" s="7"/>
      <c r="G232" s="19"/>
      <c r="H232" s="19"/>
      <c r="I232" s="19"/>
    </row>
    <row r="233" spans="1:12">
      <c r="A233" s="1" t="s">
        <v>232</v>
      </c>
      <c r="B233" t="str">
        <f t="shared" si="35"/>
        <v/>
      </c>
      <c r="D233" s="19"/>
      <c r="E233" s="19"/>
      <c r="F233" s="19"/>
      <c r="G233" s="19"/>
      <c r="H233" s="19"/>
      <c r="I233" s="19"/>
    </row>
    <row r="234" spans="1:12">
      <c r="A234" s="1" t="s">
        <v>233</v>
      </c>
      <c r="B234" t="str">
        <f t="shared" si="35"/>
        <v/>
      </c>
      <c r="D234" s="19"/>
      <c r="E234" s="15" t="s">
        <v>343</v>
      </c>
      <c r="F234" s="61" t="str">
        <f>_xlfn.IFNA(VLOOKUP(F7,tblClans[],4,FALSE),"")</f>
        <v>Wanton Curse</v>
      </c>
      <c r="G234" s="19"/>
      <c r="H234" s="74" t="str">
        <f>_xlfn.IFNA(VLOOKUP(F234,tblBanes[],2,FALSE),"")</f>
        <v>Hungry at 5 or fewer Vitae, Starving at 3 or fewer. Dramatic Failures on feeding cause Persistent Dependent Condition toward a mortal NPC.</v>
      </c>
      <c r="I234" s="74"/>
    </row>
    <row r="235" spans="1:12">
      <c r="A235" s="1" t="s">
        <v>234</v>
      </c>
      <c r="B235" t="str">
        <f t="shared" si="35"/>
        <v/>
      </c>
      <c r="D235" s="19"/>
      <c r="E235" s="15" t="s">
        <v>344</v>
      </c>
      <c r="F235" s="19"/>
      <c r="G235" s="19"/>
      <c r="H235" s="19"/>
      <c r="I235" s="19"/>
    </row>
    <row r="236" spans="1:12">
      <c r="A236" s="1" t="s">
        <v>235</v>
      </c>
      <c r="B236" t="str">
        <f t="shared" si="35"/>
        <v/>
      </c>
      <c r="D236" s="19"/>
      <c r="E236" s="15" t="s">
        <v>345</v>
      </c>
      <c r="F236" s="3"/>
      <c r="G236" s="19"/>
      <c r="H236" s="70" t="str">
        <f>_xlfn.IFNA(VLOOKUP(F236,tblBanes[],2,FALSE),"")</f>
        <v/>
      </c>
      <c r="I236" s="71"/>
    </row>
    <row r="237" spans="1:12">
      <c r="A237" s="1" t="s">
        <v>236</v>
      </c>
      <c r="B237" t="str">
        <f ca="1">_xlfn.LET(_xlpm.v,VLOOKUP(tblCharDataReneM[[#This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_xlfn.LET(_xlpm.v,VLOOKUP(tblCharDataReneM[[#This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_xlfn.LET(_xlpm.v,VLOOKUP(tblCharDataReneM[[#This Row],[Field]],INDIRECT($AH$1),2,FALSE),IF(OR(_xlpm.v=0,_xlpm.v=""),"-",REPT("●",_xlpm.v)))</f>
        <v>●●●</v>
      </c>
      <c r="D239" s="19"/>
      <c r="E239" s="19"/>
      <c r="F239" s="19"/>
      <c r="G239" s="19"/>
      <c r="H239" s="19"/>
      <c r="I239" s="19"/>
    </row>
    <row r="240" spans="1:12">
      <c r="A240" s="1" t="s">
        <v>239</v>
      </c>
      <c r="B240" t="str">
        <f ca="1">_xlfn.LET(_xlpm.v,VLOOKUP(tblCharDataReneM[[#This Row],[Field]],INDIRECT($AH$1),2,FALSE),IF(OR(_xlpm.v=0,_xlpm.v=""),"-",REPT("●",_xlpm.v)))</f>
        <v>-</v>
      </c>
      <c r="D240" s="19"/>
      <c r="E240" s="15" t="s">
        <v>360</v>
      </c>
      <c r="F240" s="62"/>
      <c r="G240" s="63"/>
      <c r="H240" s="63"/>
      <c r="I240" s="64"/>
    </row>
    <row r="241" spans="1:9">
      <c r="A241" s="1" t="s">
        <v>240</v>
      </c>
      <c r="B241" t="str">
        <f ca="1">_xlfn.LET(_xlpm.v,VLOOKUP(tblCharDataReneM[[#This Row],[Field]],INDIRECT($AH$1),2,FALSE),IF(OR(_xlpm.v=0,_xlpm.v=""),"-",REPT("●",_xlpm.v)))</f>
        <v>●</v>
      </c>
      <c r="D241" s="19"/>
      <c r="E241" s="15" t="s">
        <v>361</v>
      </c>
      <c r="F241" s="62"/>
      <c r="G241" s="63"/>
      <c r="H241" s="63"/>
      <c r="I241" s="64"/>
    </row>
    <row r="242" spans="1:9">
      <c r="A242" s="1" t="s">
        <v>241</v>
      </c>
      <c r="B242" t="str">
        <f ca="1">_xlfn.LET(_xlpm.v,VLOOKUP(tblCharDataReneM[[#This Row],[Field]],INDIRECT($AH$1),2,FALSE),IF(OR(_xlpm.v=0,_xlpm.v=""),"-",REPT("●",_xlpm.v)))</f>
        <v>-</v>
      </c>
      <c r="D242" s="19"/>
      <c r="E242" s="15" t="s">
        <v>362</v>
      </c>
      <c r="F242" s="62"/>
      <c r="G242" s="63"/>
      <c r="H242" s="63"/>
      <c r="I242" s="64"/>
    </row>
    <row r="243" spans="1:9">
      <c r="A243" s="1" t="s">
        <v>242</v>
      </c>
      <c r="B243" t="str">
        <f ca="1">_xlfn.LET(_xlpm.v,VLOOKUP(tblCharDataReneM[[#This Row],[Field]],INDIRECT($AH$1),2,FALSE),IF(OR(_xlpm.v=0,_xlpm.v=""),"-",REPT("●",_xlpm.v)))</f>
        <v>●</v>
      </c>
      <c r="D243" s="19"/>
      <c r="E243" s="19"/>
      <c r="F243" s="19"/>
      <c r="G243" s="19"/>
      <c r="H243" s="19"/>
      <c r="I243" s="19"/>
    </row>
    <row r="244" spans="1:9">
      <c r="A244" s="1" t="s">
        <v>243</v>
      </c>
      <c r="B244" t="str">
        <f ca="1">_xlfn.LET(_xlpm.v,VLOOKUP(tblCharDataReneM[[#This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_xlfn.LET(_xlpm.v,VLOOKUP(tblCharDataReneM[[#This Row],[Field]],INDIRECT($AH$1),2,FALSE),IF(OR(_xlpm.v=0,_xlpm.v=""),"-",REPT("●",_xlpm.v)))</f>
        <v>-</v>
      </c>
      <c r="D245" s="19"/>
      <c r="E245" s="15" t="s">
        <v>1524</v>
      </c>
      <c r="F245" s="62"/>
      <c r="G245" s="63"/>
      <c r="H245" s="63"/>
      <c r="I245" s="64"/>
    </row>
    <row r="246" spans="1:9">
      <c r="A246" s="1" t="s">
        <v>245</v>
      </c>
      <c r="B246" t="str">
        <f ca="1">_xlfn.LET(_xlpm.v,VLOOKUP(tblCharDataReneM[[#This Row],[Field]],INDIRECT($AH$1),2,FALSE),IF(OR(_xlpm.v=0,_xlpm.v=""),"-",REPT("●",_xlpm.v)))</f>
        <v>●</v>
      </c>
    </row>
    <row r="247" spans="1:9">
      <c r="A247" s="1" t="s">
        <v>246</v>
      </c>
      <c r="B247" t="str">
        <f ca="1">_xlfn.LET(_xlpm.v,VLOOKUP(tblCharDataReneM[[#This Row],[Field]],INDIRECT($AH$1),2,FALSE),IF(OR(_xlpm.v=0,_xlpm.v=""),"-",REPT("●",_xlpm.v)))</f>
        <v>-</v>
      </c>
      <c r="D247" s="16" t="s">
        <v>1525</v>
      </c>
      <c r="E247" s="16"/>
      <c r="F247" s="16" t="s">
        <v>1526</v>
      </c>
      <c r="G247" s="16" t="s">
        <v>1527</v>
      </c>
      <c r="H247" s="16"/>
      <c r="I247" s="16"/>
    </row>
    <row r="248" spans="1:9">
      <c r="A248" s="1" t="s">
        <v>247</v>
      </c>
      <c r="B248" t="str">
        <f ca="1">_xlfn.LET(_xlpm.v,VLOOKUP(tblCharDataReneM[[#This Row],[Field]],INDIRECT($AH$1),2,FALSE),IF(OR(_xlpm.v=0,_xlpm.v=""),"-",REPT("●",_xlpm.v)))</f>
        <v>-</v>
      </c>
      <c r="D248" s="19"/>
      <c r="E248" s="15" t="s">
        <v>1528</v>
      </c>
      <c r="F248" s="7"/>
      <c r="G248" s="7"/>
      <c r="H248" s="19"/>
      <c r="I248" s="19" t="s">
        <v>1529</v>
      </c>
    </row>
    <row r="249" spans="1:9">
      <c r="A249" s="1" t="s">
        <v>248</v>
      </c>
      <c r="B249" t="str">
        <f ca="1">_xlfn.LET(_xlpm.v,VLOOKUP(tblCharDataReneM[[#This Row],[Field]],INDIRECT($AH$1),2,FALSE),IF(OR(_xlpm.v=0,_xlpm.v=""),"-",REPT("●",_xlpm.v)))</f>
        <v>-</v>
      </c>
      <c r="D249" s="19"/>
      <c r="E249" s="15" t="s">
        <v>1530</v>
      </c>
      <c r="F249" s="7"/>
      <c r="G249" s="7"/>
      <c r="H249" s="19"/>
      <c r="I249" s="19" t="s">
        <v>1531</v>
      </c>
    </row>
    <row r="250" spans="1:9">
      <c r="A250" s="1" t="s">
        <v>249</v>
      </c>
      <c r="B250" t="str">
        <f ca="1">_xlfn.LET(_xlpm.v,VLOOKUP(tblCharDataReneM[[#This Row],[Field]],INDIRECT($AH$1),2,FALSE),IF(OR(_xlpm.v=0,_xlpm.v=""),"-",REPT("●",_xlpm.v)))</f>
        <v>-</v>
      </c>
      <c r="D250" s="19" t="s">
        <v>1532</v>
      </c>
      <c r="E250" s="15" t="s">
        <v>1533</v>
      </c>
      <c r="F250" s="7"/>
      <c r="G250" s="7"/>
      <c r="H250" s="19"/>
      <c r="I250" s="19"/>
    </row>
    <row r="251" spans="1:9">
      <c r="A251" s="1" t="s">
        <v>250</v>
      </c>
      <c r="B251" t="str">
        <f ca="1">_xlfn.LET(_xlpm.v,VLOOKUP(tblCharDataReneM[[#This Row],[Field]],INDIRECT($AH$1),2,FALSE),IF(OR(_xlpm.v=0,_xlpm.v=""),"-",REPT("●",_xlpm.v)))</f>
        <v>-</v>
      </c>
      <c r="D251" s="19" t="s">
        <v>1532</v>
      </c>
      <c r="E251" s="15" t="s">
        <v>1534</v>
      </c>
      <c r="F251" s="7"/>
      <c r="G251" s="7"/>
      <c r="H251" s="19"/>
      <c r="I251" s="19"/>
    </row>
    <row r="252" spans="1:9">
      <c r="A252" s="1" t="s">
        <v>251</v>
      </c>
      <c r="B252" t="str">
        <f ca="1">_xlfn.LET(_xlpm.v,VLOOKUP(tblCharDataReneM[[#This Row],[Field]],INDIRECT($AH$1),2,FALSE),IF(OR(_xlpm.v=0,_xlpm.v=""),"-",REPT("●",_xlpm.v)))</f>
        <v>-</v>
      </c>
      <c r="D252" s="19" t="s">
        <v>1532</v>
      </c>
      <c r="E252" s="15" t="s">
        <v>1535</v>
      </c>
      <c r="F252" s="7"/>
      <c r="G252" s="7"/>
      <c r="H252" s="19"/>
      <c r="I252" s="19"/>
    </row>
    <row r="253" spans="1:9">
      <c r="A253" s="1" t="s">
        <v>252</v>
      </c>
      <c r="B253" t="str">
        <f ca="1">_xlfn.LET(_xlpm.v,VLOOKUP(tblCharDataReneM[[#This Row],[Field]],INDIRECT($AH$1),2,FALSE),IF(OR(_xlpm.v=0,_xlpm.v=""),"-",REPT("●",_xlpm.v)))</f>
        <v>-</v>
      </c>
      <c r="D253" s="19" t="s">
        <v>1532</v>
      </c>
      <c r="E253" s="15" t="s">
        <v>1536</v>
      </c>
      <c r="F253" s="7"/>
      <c r="G253" s="7"/>
      <c r="H253" s="19"/>
      <c r="I253" s="19"/>
    </row>
    <row r="254" spans="1:9">
      <c r="A254" s="1" t="s">
        <v>253</v>
      </c>
      <c r="B254" t="str">
        <f t="shared" ref="B254:B283" si="36">IF(AD44="","¬",AD44)</f>
        <v>Auspex ● | Beast's Hackles</v>
      </c>
      <c r="D254" s="19" t="s">
        <v>1532</v>
      </c>
      <c r="E254" s="15" t="s">
        <v>1537</v>
      </c>
      <c r="F254" s="7"/>
      <c r="G254" s="7"/>
      <c r="H254" s="19"/>
      <c r="I254" s="19"/>
    </row>
    <row r="255" spans="1:9">
      <c r="A255" s="1" t="s">
        <v>254</v>
      </c>
      <c r="B255" t="str">
        <f t="shared" si="36"/>
        <v>Auspex ●● | Uncanny Perception</v>
      </c>
      <c r="D255" s="19" t="s">
        <v>1532</v>
      </c>
      <c r="E255" s="15" t="s">
        <v>1538</v>
      </c>
      <c r="F255" s="7"/>
      <c r="G255" s="7"/>
      <c r="H255" s="19"/>
      <c r="I255" s="19"/>
    </row>
    <row r="256" spans="1:9">
      <c r="A256" s="1" t="s">
        <v>255</v>
      </c>
      <c r="B256" t="str">
        <f t="shared" si="36"/>
        <v>Auspex ●●● | Spirit's Touch</v>
      </c>
      <c r="D256" s="19" t="s">
        <v>1532</v>
      </c>
      <c r="E256" s="15" t="s">
        <v>1539</v>
      </c>
      <c r="F256" s="7"/>
      <c r="G256" s="7"/>
      <c r="H256" s="19"/>
      <c r="I256" s="19"/>
    </row>
    <row r="257" spans="1:9">
      <c r="A257" s="1" t="s">
        <v>256</v>
      </c>
      <c r="B257" t="str">
        <f t="shared" si="36"/>
        <v>Celerity ●●●</v>
      </c>
      <c r="D257" s="19" t="s">
        <v>1532</v>
      </c>
      <c r="E257" s="15" t="s">
        <v>1540</v>
      </c>
      <c r="F257" s="7"/>
      <c r="G257" s="7"/>
      <c r="H257" s="19"/>
      <c r="I257" s="19"/>
    </row>
    <row r="258" spans="1:9">
      <c r="A258" s="1" t="s">
        <v>257</v>
      </c>
      <c r="B258" t="str">
        <f t="shared" si="36"/>
        <v>Majesty ● | Awe</v>
      </c>
      <c r="D258" s="19" t="s">
        <v>1532</v>
      </c>
      <c r="E258" s="15" t="s">
        <v>1541</v>
      </c>
      <c r="F258" s="7"/>
      <c r="G258" s="7"/>
      <c r="H258" s="19"/>
      <c r="I258" s="19"/>
    </row>
    <row r="259" spans="1:9">
      <c r="A259" s="1" t="s">
        <v>258</v>
      </c>
      <c r="B259" t="str">
        <f t="shared" si="36"/>
        <v>Obfuscate ● | Face in the Crowd</v>
      </c>
      <c r="D259" s="19" t="s">
        <v>1532</v>
      </c>
      <c r="E259" s="15" t="s">
        <v>1542</v>
      </c>
      <c r="F259" s="7"/>
      <c r="G259" s="7"/>
      <c r="H259" s="19"/>
      <c r="I259" s="19"/>
    </row>
    <row r="260" spans="1:9">
      <c r="A260" s="1" t="s">
        <v>259</v>
      </c>
      <c r="B260" t="str">
        <f t="shared" si="36"/>
        <v>Vigour ●</v>
      </c>
      <c r="D260" s="19" t="s">
        <v>1532</v>
      </c>
      <c r="E260" s="15" t="s">
        <v>1543</v>
      </c>
      <c r="F260" s="7"/>
      <c r="G260" s="7"/>
      <c r="H260" s="19"/>
      <c r="I260" s="19"/>
    </row>
    <row r="261" spans="1:9">
      <c r="A261" s="1" t="s">
        <v>260</v>
      </c>
      <c r="B261" t="str">
        <f t="shared" si="36"/>
        <v>Devotion  | Turn of Phrase</v>
      </c>
      <c r="D261" s="19" t="s">
        <v>1532</v>
      </c>
      <c r="E261" s="15" t="s">
        <v>1544</v>
      </c>
      <c r="F261" s="7"/>
      <c r="G261" s="7"/>
      <c r="H261" s="19"/>
      <c r="I261" s="19"/>
    </row>
    <row r="262" spans="1:9">
      <c r="A262" s="1" t="s">
        <v>261</v>
      </c>
      <c r="B262" t="str">
        <f t="shared" si="36"/>
        <v>Devotion  | Quicken Sight</v>
      </c>
      <c r="D262" s="19" t="s">
        <v>1532</v>
      </c>
      <c r="E262" s="15" t="s">
        <v>1545</v>
      </c>
      <c r="F262" s="7"/>
      <c r="G262" s="7"/>
      <c r="H262" s="19"/>
      <c r="I262" s="19"/>
    </row>
    <row r="263" spans="1:9">
      <c r="A263" s="1" t="s">
        <v>262</v>
      </c>
      <c r="B263" t="str">
        <f t="shared" si="36"/>
        <v>Devotion  | Hold my Beer</v>
      </c>
      <c r="D263" s="19" t="s">
        <v>1532</v>
      </c>
      <c r="E263" s="15" t="s">
        <v>1546</v>
      </c>
      <c r="F263" s="7"/>
      <c r="G263" s="7"/>
      <c r="H263" s="19"/>
      <c r="I263" s="19"/>
    </row>
    <row r="264" spans="1:9">
      <c r="A264" s="1" t="s">
        <v>263</v>
      </c>
      <c r="B264" t="str">
        <f t="shared" si="36"/>
        <v>¬</v>
      </c>
      <c r="D264" s="19" t="s">
        <v>1532</v>
      </c>
      <c r="E264" s="15" t="s">
        <v>1547</v>
      </c>
      <c r="F264" s="7"/>
      <c r="G264" s="7"/>
      <c r="H264" s="19"/>
      <c r="I264" s="19"/>
    </row>
    <row r="265" spans="1:9">
      <c r="A265" s="1" t="s">
        <v>264</v>
      </c>
      <c r="B265" t="str">
        <f t="shared" si="36"/>
        <v>¬</v>
      </c>
      <c r="D265" s="19" t="s">
        <v>1532</v>
      </c>
      <c r="E265" s="15" t="s">
        <v>1548</v>
      </c>
      <c r="F265" s="7"/>
      <c r="G265" s="7"/>
      <c r="H265" s="19"/>
      <c r="I265" s="19"/>
    </row>
    <row r="266" spans="1:9">
      <c r="A266" s="1" t="s">
        <v>265</v>
      </c>
      <c r="B266" t="str">
        <f t="shared" si="36"/>
        <v>¬</v>
      </c>
      <c r="D266" s="19" t="s">
        <v>1532</v>
      </c>
      <c r="E266" s="15" t="s">
        <v>1549</v>
      </c>
      <c r="F266" s="7"/>
      <c r="G266" s="7"/>
      <c r="H266" s="19"/>
      <c r="I266" s="19"/>
    </row>
    <row r="267" spans="1:9">
      <c r="A267" s="1" t="s">
        <v>266</v>
      </c>
      <c r="B267" t="str">
        <f t="shared" si="36"/>
        <v>¬</v>
      </c>
      <c r="D267" s="19" t="s">
        <v>1532</v>
      </c>
      <c r="E267" s="15" t="s">
        <v>1550</v>
      </c>
      <c r="F267" s="7"/>
      <c r="G267" s="7"/>
      <c r="H267" s="19"/>
      <c r="I267" s="19"/>
    </row>
    <row r="268" spans="1:9">
      <c r="A268" s="1" t="s">
        <v>267</v>
      </c>
      <c r="B268" t="str">
        <f t="shared" si="36"/>
        <v>¬</v>
      </c>
      <c r="D268" s="19" t="s">
        <v>1532</v>
      </c>
      <c r="E268" s="15" t="s">
        <v>1551</v>
      </c>
      <c r="F268" s="7"/>
      <c r="G268" s="7"/>
      <c r="H268" s="19"/>
      <c r="I268" s="19"/>
    </row>
    <row r="269" spans="1:9">
      <c r="A269" s="1" t="s">
        <v>268</v>
      </c>
      <c r="B269" t="str">
        <f t="shared" si="36"/>
        <v>¬</v>
      </c>
      <c r="D269" s="19" t="s">
        <v>1532</v>
      </c>
      <c r="E269" s="15" t="s">
        <v>1552</v>
      </c>
      <c r="F269" s="7"/>
      <c r="G269" s="7"/>
      <c r="H269" s="19"/>
      <c r="I269" s="19"/>
    </row>
    <row r="270" spans="1:9">
      <c r="A270" s="1" t="s">
        <v>269</v>
      </c>
      <c r="B270" t="str">
        <f t="shared" si="36"/>
        <v>¬</v>
      </c>
      <c r="D270" s="19" t="s">
        <v>1532</v>
      </c>
      <c r="E270" s="15" t="s">
        <v>1553</v>
      </c>
      <c r="F270" s="7"/>
      <c r="G270" s="7"/>
      <c r="H270" s="19"/>
      <c r="I270" s="19"/>
    </row>
    <row r="271" spans="1:9">
      <c r="A271" s="1" t="s">
        <v>270</v>
      </c>
      <c r="B271" t="str">
        <f t="shared" si="36"/>
        <v>¬</v>
      </c>
      <c r="D271" s="19" t="s">
        <v>1532</v>
      </c>
      <c r="E271" s="15" t="s">
        <v>1554</v>
      </c>
      <c r="F271" s="7"/>
      <c r="G271" s="7"/>
      <c r="H271" s="19"/>
      <c r="I271" s="19"/>
    </row>
    <row r="272" spans="1:9">
      <c r="A272" s="1" t="s">
        <v>271</v>
      </c>
      <c r="B272" t="str">
        <f t="shared" si="36"/>
        <v>¬</v>
      </c>
      <c r="D272" s="19" t="s">
        <v>1532</v>
      </c>
      <c r="E272" s="15" t="s">
        <v>1555</v>
      </c>
      <c r="F272" s="7"/>
      <c r="G272" s="7"/>
      <c r="H272" s="19"/>
      <c r="I272" s="19"/>
    </row>
    <row r="273" spans="1:14">
      <c r="A273" s="1" t="s">
        <v>272</v>
      </c>
      <c r="B273" t="str">
        <f t="shared" si="36"/>
        <v>¬</v>
      </c>
      <c r="D273" s="19" t="s">
        <v>1532</v>
      </c>
      <c r="E273" s="15" t="s">
        <v>1556</v>
      </c>
      <c r="F273" s="7"/>
      <c r="G273" s="7"/>
      <c r="H273" s="19"/>
      <c r="I273" s="19"/>
    </row>
    <row r="274" spans="1:14">
      <c r="A274" s="1" t="s">
        <v>273</v>
      </c>
      <c r="B274" t="str">
        <f t="shared" si="36"/>
        <v>¬</v>
      </c>
      <c r="D274" s="19" t="s">
        <v>1532</v>
      </c>
      <c r="E274" s="15" t="s">
        <v>1557</v>
      </c>
      <c r="F274" s="7"/>
      <c r="G274" s="7"/>
      <c r="H274" s="19"/>
      <c r="I274" s="19"/>
    </row>
    <row r="275" spans="1:14">
      <c r="A275" s="1" t="s">
        <v>274</v>
      </c>
      <c r="B275" t="str">
        <f t="shared" si="36"/>
        <v>¬</v>
      </c>
      <c r="D275" s="19" t="s">
        <v>1532</v>
      </c>
      <c r="E275" s="15" t="s">
        <v>1558</v>
      </c>
      <c r="F275" s="7"/>
      <c r="G275" s="7"/>
      <c r="H275" s="19"/>
      <c r="I275" s="19"/>
    </row>
    <row r="276" spans="1:14">
      <c r="A276" s="1" t="s">
        <v>275</v>
      </c>
      <c r="B276" t="str">
        <f t="shared" si="36"/>
        <v>¬</v>
      </c>
      <c r="D276" s="19" t="s">
        <v>1532</v>
      </c>
      <c r="E276" s="15" t="s">
        <v>1559</v>
      </c>
      <c r="F276" s="7"/>
      <c r="G276" s="7"/>
      <c r="H276" s="19"/>
      <c r="I276" s="19"/>
    </row>
    <row r="277" spans="1:14">
      <c r="A277" s="1" t="s">
        <v>276</v>
      </c>
      <c r="B277" t="str">
        <f t="shared" si="36"/>
        <v>¬</v>
      </c>
      <c r="D277" s="19" t="s">
        <v>1532</v>
      </c>
      <c r="E277" s="15" t="s">
        <v>1560</v>
      </c>
      <c r="F277" s="7"/>
      <c r="G277" s="7"/>
      <c r="H277" s="19"/>
      <c r="I277" s="19"/>
    </row>
    <row r="278" spans="1:14">
      <c r="A278" s="1" t="s">
        <v>277</v>
      </c>
      <c r="B278" t="str">
        <f t="shared" si="36"/>
        <v>¬</v>
      </c>
    </row>
    <row r="279" spans="1:14">
      <c r="A279" s="1" t="s">
        <v>278</v>
      </c>
      <c r="B279" t="str">
        <f t="shared" si="36"/>
        <v>¬</v>
      </c>
      <c r="D279" s="16" t="s">
        <v>1561</v>
      </c>
      <c r="E279" s="16"/>
      <c r="F279" s="16" t="s">
        <v>1347</v>
      </c>
      <c r="G279" s="16" t="s">
        <v>1348</v>
      </c>
      <c r="H279" s="16" t="s">
        <v>1349</v>
      </c>
      <c r="I279" s="16" t="s">
        <v>1350</v>
      </c>
      <c r="N279" s="60">
        <f ca="1">SUM(N280:N282)</f>
        <v>4</v>
      </c>
    </row>
    <row r="280" spans="1:14">
      <c r="A280" s="1" t="s">
        <v>279</v>
      </c>
      <c r="B280" t="str">
        <f t="shared" si="36"/>
        <v>¬</v>
      </c>
      <c r="D280" s="61" t="str" cm="1">
        <f t="array" aca="1" ref="D280" ca="1">INDEX(Attendance!$C$14:$GP$44,
       MATCH($F$4, Attendance!$C$14:$C$44, 0),
       MATCH(1, (Attendance!$C$12:$GP$12=$E280) * (Attendance!$C$13:$GP$13="Paid"), 0)
)</f>
        <v>PayID</v>
      </c>
      <c r="E280" s="41">
        <v>46054</v>
      </c>
      <c r="F280" s="61" cm="1">
        <f t="array" aca="1" ref="F280" ca="1">N(INDEX(Attendance!$C$14:$GP$104,
       MATCH($F$4, Attendance!$C$14:$C$104, 0),
       MATCH(1, (Attendance!$C$12:$GP$12=$E280) * (Attendance!$C$13:$GP$13=$F$279), 0)
))</f>
        <v>3</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1</v>
      </c>
      <c r="I280" s="61" t="str" cm="1">
        <f t="array" aca="1" ref="I280" ca="1">INDEX(Attendance!$C$14:$GP$44,
       MATCH($F$4, Attendance!$C$14:$C$44, 0),
       MATCH(1, (Attendance!$C$12:$GP$12=$E280) * (Attendance!$C$13:$GP$13=$I$279), 0)
)</f>
        <v>Quiet</v>
      </c>
      <c r="K280" s="18"/>
      <c r="L280" s="18"/>
      <c r="M280" s="18" t="s">
        <v>1562</v>
      </c>
      <c r="N280" s="61">
        <f ca="1">SUM(F$280:F$316)</f>
        <v>3</v>
      </c>
    </row>
    <row r="281" spans="1:14">
      <c r="A281" s="1" t="s">
        <v>280</v>
      </c>
      <c r="B281" t="str">
        <f t="shared" si="36"/>
        <v>¬</v>
      </c>
      <c r="D281" s="61" t="str" cm="1">
        <f t="array" aca="1" ref="D281" ca="1">INDEX(Attendance!$C$14:$GP$44,
       MATCH($F$4, Attendance!$C$14:$C$44, 0),
       MATCH(1, (Attendance!$C$12:$GP$12=$E281) * (Attendance!$C$13:$GP$13="Paid"), 0)
)</f>
        <v> </v>
      </c>
      <c r="E281" s="42">
        <f t="shared" ref="E281:E316" si="37">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6"/>
        <v>¬</v>
      </c>
      <c r="D282" s="61" t="str" cm="1">
        <f t="array" aca="1" ref="D282" ca="1">INDEX(Attendance!$C$14:$GP$44,
       MATCH($F$4, Attendance!$C$14:$C$44, 0),
       MATCH(1, (Attendance!$C$12:$GP$12=$E282) * (Attendance!$C$13:$GP$13="Paid"), 0)
)</f>
        <v> </v>
      </c>
      <c r="E282" s="42">
        <f t="shared" si="37"/>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1</v>
      </c>
    </row>
    <row r="283" spans="1:14">
      <c r="A283" s="1" t="s">
        <v>282</v>
      </c>
      <c r="B283" t="str">
        <f t="shared" si="36"/>
        <v>¬</v>
      </c>
      <c r="D283" s="61" t="str" cm="1">
        <f t="array" aca="1" ref="D283" ca="1">INDEX(Attendance!$C$14:$GP$44,
       MATCH($F$4, Attendance!$C$14:$C$44, 0),
       MATCH(1, (Attendance!$C$12:$GP$12=$E283) * (Attendance!$C$13:$GP$13="Paid"), 0)
)</f>
        <v> </v>
      </c>
      <c r="E283" s="42">
        <f t="shared" si="37"/>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8">IF(AE44="","¬",AE44)</f>
        <v>Cost: Free (1 V for Insight)  •  Pool: - - Composure &amp; Closed Book  •  Instant  •  Scene</v>
      </c>
      <c r="D284" s="61" t="str" cm="1">
        <f t="array" aca="1" ref="D284" ca="1">INDEX(Attendance!$C$14:$GP$44,
       MATCH($F$4, Attendance!$C$14:$C$44, 0),
       MATCH(1, (Attendance!$C$12:$GP$12=$E284) * (Attendance!$C$13:$GP$13="Paid"), 0)
)</f>
        <v> </v>
      </c>
      <c r="E284" s="42">
        <f t="shared" si="37"/>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8"/>
        <v>Cost: Free (1 V for Insight) Must perceive target  •  Pool: -  •  Instant  •  Scene</v>
      </c>
      <c r="D285" s="61" t="str" cm="1">
        <f t="array" aca="1" ref="D285" ca="1">INDEX(Attendance!$C$14:$GP$44,
       MATCH($F$4, Attendance!$C$14:$C$44, 0),
       MATCH(1, (Attendance!$C$12:$GP$12=$E285) * (Attendance!$C$13:$GP$13="Paid"), 0)
)</f>
        <v> </v>
      </c>
      <c r="E285" s="42">
        <f t="shared" si="37"/>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8"/>
        <v>Cost: Free (1 WP for clash / 1 V for Insight)  •  Pool: - v Resolve + Stealth + Obf  •  Reflexive  •  Immediate</v>
      </c>
      <c r="D286" s="61" t="str" cm="1">
        <f t="array" aca="1" ref="D286" ca="1">INDEX(Attendance!$C$14:$GP$44,
       MATCH($F$4, Attendance!$C$14:$C$44, 0),
       MATCH(1, (Attendance!$C$12:$GP$12=$E286) * (Attendance!$C$13:$GP$13="Paid"), 0)
)</f>
        <v> </v>
      </c>
      <c r="E286" s="42">
        <f t="shared" si="37"/>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8"/>
        <v>Cost: 1 V per effect  •  Pool: -  •  Reflexive  •  1 turn</v>
      </c>
      <c r="D287" s="61" t="str" cm="1">
        <f t="array" aca="1" ref="D287" ca="1">INDEX(Attendance!$C$14:$GP$44,
       MATCH($F$4, Attendance!$C$14:$C$44, 0),
       MATCH(1, (Attendance!$C$12:$GP$12=$E287) * (Attendance!$C$13:$GP$13="Paid"), 0)
)</f>
        <v> </v>
      </c>
      <c r="E287" s="42">
        <f t="shared" si="37"/>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8"/>
        <v>Cost: -  •  Pool: -  •  Instant  •  Scene</v>
      </c>
      <c r="D288" s="61" t="str" cm="1">
        <f t="array" aca="1" ref="D288" ca="1">INDEX(Attendance!$C$14:$GP$44,
       MATCH($F$4, Attendance!$C$14:$C$44, 0),
       MATCH(1, (Attendance!$C$12:$GP$12=$E288) * (Attendance!$C$13:$GP$13="Paid"), 0)
)</f>
        <v> </v>
      </c>
      <c r="E288" s="42">
        <f t="shared" si="37"/>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8"/>
        <v>Cost: -  •  Pool: -  •  Instant  •  Scene</v>
      </c>
      <c r="D289" s="61" t="str" cm="1">
        <f t="array" aca="1" ref="D289" ca="1">INDEX(Attendance!$C$14:$GP$44,
       MATCH($F$4, Attendance!$C$14:$C$44, 0),
       MATCH(1, (Attendance!$C$12:$GP$12=$E289) * (Attendance!$C$13:$GP$13="Paid"), 0)
)</f>
        <v> </v>
      </c>
      <c r="E289" s="42">
        <f t="shared" si="37"/>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8"/>
        <v>Cost: 1 V per effect  •  Pool: -  •  Reflexive  •  1 turn</v>
      </c>
      <c r="D290" s="61" t="str" cm="1">
        <f t="array" aca="1" ref="D290" ca="1">INDEX(Attendance!$C$14:$GP$44,
       MATCH($F$4, Attendance!$C$14:$C$44, 0),
       MATCH(1, (Attendance!$C$12:$GP$12=$E290) * (Attendance!$C$13:$GP$13="Paid"), 0)
)</f>
        <v> </v>
      </c>
      <c r="E290" s="42">
        <f t="shared" si="37"/>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8"/>
        <v>Cost: Free (Zelani Only)  •  Pool: -  •  Instant  •  Scene</v>
      </c>
      <c r="D291" s="61" t="str" cm="1">
        <f t="array" aca="1" ref="D291" ca="1">INDEX(Attendance!$C$14:$GP$44,
       MATCH($F$4, Attendance!$C$14:$C$44, 0),
       MATCH(1, (Attendance!$C$12:$GP$12=$E291) * (Attendance!$C$13:$GP$13="Paid"), 0)
)</f>
        <v> </v>
      </c>
      <c r="E291" s="42">
        <f t="shared" si="37"/>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8"/>
        <v>Cost: 1 V  •  Pool: -  •  Reflexive  •  1 turn</v>
      </c>
      <c r="D292" s="61" t="str" cm="1">
        <f t="array" aca="1" ref="D292" ca="1">INDEX(Attendance!$C$14:$GP$44,
       MATCH($F$4, Attendance!$C$14:$C$44, 0),
       MATCH(1, (Attendance!$C$12:$GP$12=$E292) * (Attendance!$C$13:$GP$13="Paid"), 0)
)</f>
        <v> </v>
      </c>
      <c r="E292" s="42">
        <f t="shared" si="37"/>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8"/>
        <v>Cost: 1 WP (optional +1 V) (Zelani Only)  •  Pool: 8  •  Reflexive  •  Scene</v>
      </c>
      <c r="D293" s="61" t="str" cm="1">
        <f t="array" aca="1" ref="D293" ca="1">INDEX(Attendance!$C$14:$GP$44,
       MATCH($F$4, Attendance!$C$14:$C$44, 0),
       MATCH(1, (Attendance!$C$12:$GP$12=$E293) * (Attendance!$C$13:$GP$13="Paid"), 0)
)</f>
        <v> </v>
      </c>
      <c r="E293" s="42">
        <f t="shared" si="37"/>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8"/>
        <v>¬</v>
      </c>
      <c r="D294" s="61" t="str" cm="1">
        <f t="array" aca="1" ref="D294" ca="1">INDEX(Attendance!$C$14:$GP$44,
       MATCH($F$4, Attendance!$C$14:$C$44, 0),
       MATCH(1, (Attendance!$C$12:$GP$12=$E294) * (Attendance!$C$13:$GP$13="Paid"), 0)
)</f>
        <v> </v>
      </c>
      <c r="E294" s="42">
        <f t="shared" si="37"/>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8"/>
        <v>¬</v>
      </c>
      <c r="D295" s="61" t="str" cm="1">
        <f t="array" aca="1" ref="D295" ca="1">INDEX(Attendance!$C$14:$GP$44,
       MATCH($F$4, Attendance!$C$14:$C$44, 0),
       MATCH(1, (Attendance!$C$12:$GP$12=$E295) * (Attendance!$C$13:$GP$13="Paid"), 0)
)</f>
        <v> </v>
      </c>
      <c r="E295" s="42">
        <f t="shared" si="37"/>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8"/>
        <v>¬</v>
      </c>
      <c r="D296" s="61" t="str" cm="1">
        <f t="array" aca="1" ref="D296" ca="1">INDEX(Attendance!$C$14:$GP$44,
       MATCH($F$4, Attendance!$C$14:$C$44, 0),
       MATCH(1, (Attendance!$C$12:$GP$12=$E296) * (Attendance!$C$13:$GP$13="Paid"), 0)
)</f>
        <v> </v>
      </c>
      <c r="E296" s="42">
        <f t="shared" si="37"/>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8"/>
        <v>¬</v>
      </c>
      <c r="D297" s="61" t="str" cm="1">
        <f t="array" aca="1" ref="D297" ca="1">INDEX(Attendance!$C$14:$GP$44,
       MATCH($F$4, Attendance!$C$14:$C$44, 0),
       MATCH(1, (Attendance!$C$12:$GP$12=$E297) * (Attendance!$C$13:$GP$13="Paid"), 0)
)</f>
        <v> </v>
      </c>
      <c r="E297" s="42">
        <f t="shared" si="37"/>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8"/>
        <v>¬</v>
      </c>
      <c r="D298" s="61" t="str" cm="1">
        <f t="array" aca="1" ref="D298" ca="1">INDEX(Attendance!$C$14:$GP$44,
       MATCH($F$4, Attendance!$C$14:$C$44, 0),
       MATCH(1, (Attendance!$C$12:$GP$12=$E298) * (Attendance!$C$13:$GP$13="Paid"), 0)
)</f>
        <v> </v>
      </c>
      <c r="E298" s="42">
        <f t="shared" si="37"/>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8"/>
        <v>¬</v>
      </c>
      <c r="D299" s="61" t="str" cm="1">
        <f t="array" aca="1" ref="D299" ca="1">INDEX(Attendance!$C$14:$GP$44,
       MATCH($F$4, Attendance!$C$14:$C$44, 0),
       MATCH(1, (Attendance!$C$12:$GP$12=$E299) * (Attendance!$C$13:$GP$13="Paid"), 0)
)</f>
        <v> </v>
      </c>
      <c r="E299" s="42">
        <f t="shared" si="37"/>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8"/>
        <v>¬</v>
      </c>
      <c r="D300" s="61" t="str" cm="1">
        <f t="array" aca="1" ref="D300" ca="1">INDEX(Attendance!$C$14:$GP$44,
       MATCH($F$4, Attendance!$C$14:$C$44, 0),
       MATCH(1, (Attendance!$C$12:$GP$12=$E300) * (Attendance!$C$13:$GP$13="Paid"), 0)
)</f>
        <v> </v>
      </c>
      <c r="E300" s="42">
        <f t="shared" si="37"/>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8"/>
        <v>¬</v>
      </c>
      <c r="D301" s="61" t="str" cm="1">
        <f t="array" aca="1" ref="D301" ca="1">INDEX(Attendance!$C$14:$GP$44,
       MATCH($F$4, Attendance!$C$14:$C$44, 0),
       MATCH(1, (Attendance!$C$12:$GP$12=$E301) * (Attendance!$C$13:$GP$13="Paid"), 0)
)</f>
        <v> </v>
      </c>
      <c r="E301" s="42">
        <f t="shared" si="37"/>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8"/>
        <v>¬</v>
      </c>
      <c r="D302" s="61" t="str" cm="1">
        <f t="array" aca="1" ref="D302" ca="1">INDEX(Attendance!$C$14:$GP$44,
       MATCH($F$4, Attendance!$C$14:$C$44, 0),
       MATCH(1, (Attendance!$C$12:$GP$12=$E302) * (Attendance!$C$13:$GP$13="Paid"), 0)
)</f>
        <v> </v>
      </c>
      <c r="E302" s="42">
        <f t="shared" si="37"/>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8"/>
        <v>¬</v>
      </c>
      <c r="D303" s="61" t="str" cm="1">
        <f t="array" aca="1" ref="D303" ca="1">INDEX(Attendance!$C$14:$GP$44,
       MATCH($F$4, Attendance!$C$14:$C$44, 0),
       MATCH(1, (Attendance!$C$12:$GP$12=$E303) * (Attendance!$C$13:$GP$13="Paid"), 0)
)</f>
        <v> </v>
      </c>
      <c r="E303" s="42">
        <f t="shared" si="37"/>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8"/>
        <v>¬</v>
      </c>
      <c r="D304" s="61" t="str" cm="1">
        <f t="array" aca="1" ref="D304" ca="1">INDEX(Attendance!$C$14:$GP$44,
       MATCH($F$4, Attendance!$C$14:$C$44, 0),
       MATCH(1, (Attendance!$C$12:$GP$12=$E304) * (Attendance!$C$13:$GP$13="Paid"), 0)
)</f>
        <v> </v>
      </c>
      <c r="E304" s="42">
        <f t="shared" si="37"/>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8"/>
        <v>¬</v>
      </c>
      <c r="D305" s="61" t="str" cm="1">
        <f t="array" aca="1" ref="D305" ca="1">INDEX(Attendance!$C$14:$GP$44,
       MATCH($F$4, Attendance!$C$14:$C$44, 0),
       MATCH(1, (Attendance!$C$12:$GP$12=$E305) * (Attendance!$C$13:$GP$13="Paid"), 0)
)</f>
        <v> </v>
      </c>
      <c r="E305" s="42">
        <f t="shared" si="37"/>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8"/>
        <v>¬</v>
      </c>
      <c r="D306" s="61" t="str" cm="1">
        <f t="array" aca="1" ref="D306" ca="1">INDEX(Attendance!$C$14:$GP$44,
       MATCH($F$4, Attendance!$C$14:$C$44, 0),
       MATCH(1, (Attendance!$C$12:$GP$12=$E306) * (Attendance!$C$13:$GP$13="Paid"), 0)
)</f>
        <v> </v>
      </c>
      <c r="E306" s="42">
        <f t="shared" si="37"/>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8"/>
        <v>¬</v>
      </c>
      <c r="D307" s="61" t="str" cm="1">
        <f t="array" aca="1" ref="D307" ca="1">INDEX(Attendance!$C$14:$GP$44,
       MATCH($F$4, Attendance!$C$14:$C$44, 0),
       MATCH(1, (Attendance!$C$12:$GP$12=$E307) * (Attendance!$C$13:$GP$13="Paid"), 0)
)</f>
        <v> </v>
      </c>
      <c r="E307" s="42">
        <f t="shared" si="37"/>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8"/>
        <v>¬</v>
      </c>
      <c r="D308" s="61" t="str" cm="1">
        <f t="array" aca="1" ref="D308" ca="1">INDEX(Attendance!$C$14:$GP$44,
       MATCH($F$4, Attendance!$C$14:$C$44, 0),
       MATCH(1, (Attendance!$C$12:$GP$12=$E308) * (Attendance!$C$13:$GP$13="Paid"), 0)
)</f>
        <v> </v>
      </c>
      <c r="E308" s="42">
        <f t="shared" si="37"/>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8"/>
        <v>¬</v>
      </c>
      <c r="D309" s="61" t="str" cm="1">
        <f t="array" aca="1" ref="D309" ca="1">INDEX(Attendance!$C$14:$GP$44,
       MATCH($F$4, Attendance!$C$14:$C$44, 0),
       MATCH(1, (Attendance!$C$12:$GP$12=$E309) * (Attendance!$C$13:$GP$13="Paid"), 0)
)</f>
        <v> </v>
      </c>
      <c r="E309" s="42">
        <f t="shared" si="37"/>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8"/>
        <v>¬</v>
      </c>
      <c r="D310" s="61" t="str" cm="1">
        <f t="array" aca="1" ref="D310" ca="1">INDEX(Attendance!$C$14:$GP$44,
       MATCH($F$4, Attendance!$C$14:$C$44, 0),
       MATCH(1, (Attendance!$C$12:$GP$12=$E310) * (Attendance!$C$13:$GP$13="Paid"), 0)
)</f>
        <v> </v>
      </c>
      <c r="E310" s="42">
        <f t="shared" si="37"/>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8"/>
        <v>¬</v>
      </c>
      <c r="D311" s="61" t="str" cm="1">
        <f t="array" aca="1" ref="D311" ca="1">INDEX(Attendance!$C$14:$GP$44,
       MATCH($F$4, Attendance!$C$14:$C$44, 0),
       MATCH(1, (Attendance!$C$12:$GP$12=$E311) * (Attendance!$C$13:$GP$13="Paid"), 0)
)</f>
        <v> </v>
      </c>
      <c r="E311" s="42">
        <f t="shared" si="37"/>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8"/>
        <v>¬</v>
      </c>
      <c r="D312" s="61" t="str" cm="1">
        <f t="array" aca="1" ref="D312" ca="1">INDEX(Attendance!$C$14:$GP$44,
       MATCH($F$4, Attendance!$C$14:$C$44, 0),
       MATCH(1, (Attendance!$C$12:$GP$12=$E312) * (Attendance!$C$13:$GP$13="Paid"), 0)
)</f>
        <v> </v>
      </c>
      <c r="E312" s="42">
        <f t="shared" si="37"/>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8"/>
        <v>¬</v>
      </c>
      <c r="D313" s="61" t="str" cm="1">
        <f t="array" aca="1" ref="D313" ca="1">INDEX(Attendance!$C$14:$GP$44,
       MATCH($F$4, Attendance!$C$14:$C$44, 0),
       MATCH(1, (Attendance!$C$12:$GP$12=$E313) * (Attendance!$C$13:$GP$13="Paid"), 0)
)</f>
        <v> </v>
      </c>
      <c r="E313" s="42">
        <f t="shared" si="37"/>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39">IF(AF44="","¬",AF44)</f>
        <v>Add Auspex dots to any rolls to resist surprise. Access to Tier 1 Auspex Insight questions.</v>
      </c>
      <c r="D314" s="61" t="str" cm="1">
        <f t="array" aca="1" ref="D314" ca="1">INDEX(Attendance!$C$14:$GP$44,
       MATCH($F$4, Attendance!$C$14:$C$44, 0),
       MATCH(1, (Attendance!$C$12:$GP$12=$E314) * (Attendance!$C$13:$GP$13="Paid"), 0)
)</f>
        <v> </v>
      </c>
      <c r="E314" s="42">
        <f t="shared" si="37"/>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39"/>
        <v>Persistent Acute Senses Merit, doubles actual merit. Access to Tier 2 Auspex Insight questions.</v>
      </c>
      <c r="D315" s="61" t="str" cm="1">
        <f t="array" aca="1" ref="D315" ca="1">INDEX(Attendance!$C$14:$GP$44,
       MATCH($F$4, Attendance!$C$14:$C$44, 0),
       MATCH(1, (Attendance!$C$12:$GP$12=$E315) * (Attendance!$C$13:$GP$13="Paid"), 0)
)</f>
        <v> </v>
      </c>
      <c r="E315" s="42">
        <f t="shared" si="37"/>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39"/>
        <v xml:space="preserve">Passively scan for anyone under Obfuscate 1 or 3, can provoke a challenge. Access to Tier 3 Auspex Insight questions. </v>
      </c>
      <c r="D316" s="61" t="str" cm="1">
        <f t="array" aca="1" ref="D316" ca="1">INDEX(Attendance!$C$14:$GP$44,
       MATCH($F$4, Attendance!$C$14:$C$44, 0),
       MATCH(1, (Attendance!$C$12:$GP$12=$E316) * (Attendance!$C$13:$GP$13="Paid"), 0)
)</f>
        <v> </v>
      </c>
      <c r="E316" s="42">
        <f t="shared" si="37"/>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39"/>
        <v>Persistent improved Defence or Dodge. Activate for supernatural speed benefits. Unnatural Grace: add Celerity dots as bonus dice to non-combat speed-based pools.</v>
      </c>
    </row>
    <row r="318" spans="1:9">
      <c r="A318" s="1" t="s">
        <v>317</v>
      </c>
      <c r="B318" t="str">
        <f t="shared" si="39"/>
        <v>Become centre of attention. Subjects become Awed.</v>
      </c>
    </row>
    <row r="319" spans="1:9">
      <c r="A319" s="1" t="s">
        <v>318</v>
      </c>
      <c r="B319" t="str">
        <f t="shared" si="39"/>
        <v>Blend into surroundings, visible but unnoticeable. Predatory aura fully on or off. Leaving combat: Wits + Composure - Obfuscate to notice; auto Clash of Wills vs Auspex.</v>
      </c>
    </row>
    <row r="320" spans="1:9">
      <c r="A320" s="1" t="s">
        <v>319</v>
      </c>
      <c r="B320" t="str">
        <f t="shared" si="39"/>
        <v>Improve Strength. Add Vigour dots as bonus successes only if at least one net success achieved.</v>
      </c>
    </row>
    <row r="321" spans="1:2">
      <c r="A321" s="1" t="s">
        <v>320</v>
      </c>
      <c r="B321" t="str">
        <f t="shared" si="39"/>
        <v>Add Majesty dots to social pools for non-face-to-face communication (art, phone, letters, etc).</v>
      </c>
    </row>
    <row r="322" spans="1:2">
      <c r="A322" s="1" t="s">
        <v>321</v>
      </c>
      <c r="B322" t="str">
        <f t="shared" si="39"/>
        <v>Examine fast-moving details. Apply Defence to ranged attacks. Benefit from aiming instantly.</v>
      </c>
    </row>
    <row r="323" spans="1:2">
      <c r="A323" s="1" t="s">
        <v>322</v>
      </c>
      <c r="B323" t="str">
        <f t="shared" si="39"/>
        <v>Distribute successes as dots among unskilled Skills (max 2 per Skill). +1 V: convert any Chance Die to a pool of 3 dice.</v>
      </c>
    </row>
    <row r="324" spans="1:2">
      <c r="A324" s="1" t="s">
        <v>323</v>
      </c>
      <c r="B324" t="str">
        <f t="shared" si="39"/>
        <v>¬</v>
      </c>
    </row>
    <row r="325" spans="1:2">
      <c r="A325" s="1" t="s">
        <v>324</v>
      </c>
      <c r="B325" t="str">
        <f t="shared" si="39"/>
        <v>¬</v>
      </c>
    </row>
    <row r="326" spans="1:2">
      <c r="A326" s="1" t="s">
        <v>325</v>
      </c>
      <c r="B326" t="str">
        <f t="shared" si="39"/>
        <v>¬</v>
      </c>
    </row>
    <row r="327" spans="1:2">
      <c r="A327" s="1" t="s">
        <v>326</v>
      </c>
      <c r="B327" t="str">
        <f t="shared" si="39"/>
        <v>¬</v>
      </c>
    </row>
    <row r="328" spans="1:2">
      <c r="A328" s="1" t="s">
        <v>327</v>
      </c>
      <c r="B328" t="str">
        <f t="shared" si="39"/>
        <v>¬</v>
      </c>
    </row>
    <row r="329" spans="1:2">
      <c r="A329" s="1" t="s">
        <v>328</v>
      </c>
      <c r="B329" t="str">
        <f t="shared" si="39"/>
        <v>¬</v>
      </c>
    </row>
    <row r="330" spans="1:2">
      <c r="A330" s="1" t="s">
        <v>329</v>
      </c>
      <c r="B330" t="str">
        <f t="shared" si="39"/>
        <v>¬</v>
      </c>
    </row>
    <row r="331" spans="1:2">
      <c r="A331" s="1" t="s">
        <v>330</v>
      </c>
      <c r="B331" t="str">
        <f t="shared" si="39"/>
        <v>¬</v>
      </c>
    </row>
    <row r="332" spans="1:2">
      <c r="A332" s="1" t="s">
        <v>331</v>
      </c>
      <c r="B332" t="str">
        <f t="shared" si="39"/>
        <v>¬</v>
      </c>
    </row>
    <row r="333" spans="1:2">
      <c r="A333" s="1" t="s">
        <v>332</v>
      </c>
      <c r="B333" t="str">
        <f t="shared" si="39"/>
        <v>¬</v>
      </c>
    </row>
    <row r="334" spans="1:2">
      <c r="A334" s="1" t="s">
        <v>333</v>
      </c>
      <c r="B334" t="str">
        <f t="shared" si="39"/>
        <v>¬</v>
      </c>
    </row>
    <row r="335" spans="1:2">
      <c r="A335" s="1" t="s">
        <v>334</v>
      </c>
      <c r="B335" t="str">
        <f t="shared" si="39"/>
        <v>¬</v>
      </c>
    </row>
    <row r="336" spans="1:2">
      <c r="A336" s="1" t="s">
        <v>335</v>
      </c>
      <c r="B336" t="str">
        <f t="shared" si="39"/>
        <v>¬</v>
      </c>
    </row>
    <row r="337" spans="1:2">
      <c r="A337" s="1" t="s">
        <v>336</v>
      </c>
      <c r="B337" t="str">
        <f t="shared" si="39"/>
        <v>¬</v>
      </c>
    </row>
    <row r="338" spans="1:2">
      <c r="A338" s="1" t="s">
        <v>337</v>
      </c>
      <c r="B338" t="str">
        <f t="shared" si="39"/>
        <v>¬</v>
      </c>
    </row>
    <row r="339" spans="1:2">
      <c r="A339" s="1" t="s">
        <v>338</v>
      </c>
      <c r="B339" t="str">
        <f t="shared" si="39"/>
        <v>¬</v>
      </c>
    </row>
    <row r="340" spans="1:2">
      <c r="A340" s="1" t="s">
        <v>339</v>
      </c>
      <c r="B340" t="str">
        <f t="shared" si="39"/>
        <v>¬</v>
      </c>
    </row>
    <row r="341" spans="1:2">
      <c r="A341" s="1" t="s">
        <v>340</v>
      </c>
      <c r="B341" t="str">
        <f t="shared" si="39"/>
        <v>¬</v>
      </c>
    </row>
    <row r="342" spans="1:2">
      <c r="A342" s="1" t="s">
        <v>341</v>
      </c>
      <c r="B342" t="str">
        <f t="shared" si="39"/>
        <v>¬</v>
      </c>
    </row>
    <row r="343" spans="1:2">
      <c r="A343" s="1" t="s">
        <v>342</v>
      </c>
      <c r="B343" t="str">
        <f t="shared" si="39"/>
        <v>¬</v>
      </c>
    </row>
    <row r="344" spans="1:2">
      <c r="A344" s="1" t="s">
        <v>343</v>
      </c>
      <c r="B344" s="8" t="str">
        <f>IF(VLOOKUP(tblCharDataReneM[[#This Row],[Field]],$E$2:$F$361,2,FALSE)="","¬",VLOOKUP(tblCharDataReneM[[#This Row],[Field]],$E$2:$F$361,2,FALSE))</f>
        <v>Wanton Curse</v>
      </c>
    </row>
    <row r="345" spans="1:2">
      <c r="A345" s="1" t="s">
        <v>344</v>
      </c>
      <c r="B345" s="8" t="str">
        <f>IF(VLOOKUP(tblCharDataReneM[[#This Row],[Field]],$E$2:$F$361,2,FALSE)="","¬",VLOOKUP(tblCharDataReneM[[#This Row],[Field]],$E$2:$F$361,2,FALSE))</f>
        <v>¬</v>
      </c>
    </row>
    <row r="346" spans="1:2">
      <c r="A346" s="1" t="s">
        <v>345</v>
      </c>
      <c r="B346" s="8" t="str">
        <f>IF(VLOOKUP(tblCharDataReneM[[#This Row],[Field]],$E$2:$F$361,2,FALSE)="","¬",VLOOKUP(tblCharDataReneM[[#This Row],[Field]],$E$2:$F$361,2,FALSE))</f>
        <v>¬</v>
      </c>
    </row>
    <row r="347" spans="1:2">
      <c r="A347" s="1" t="s">
        <v>346</v>
      </c>
      <c r="B347" s="8" t="str">
        <f>IF(VLOOKUP(tblCharDataReneM[[#This Row],[Field]],$E$2:$F$361,2,FALSE)="","¬",VLOOKUP(tblCharDataReneM[[#This Row],[Field]],$E$2:$F$361,2,FALSE))</f>
        <v>¬</v>
      </c>
    </row>
    <row r="348" spans="1:2">
      <c r="A348" s="1" t="s">
        <v>347</v>
      </c>
      <c r="B348" s="8" t="str">
        <f>IF(VLOOKUP(tblCharDataReneM[[#This Row],[Field]],$E$2:$F$361,2,FALSE)="","¬",VLOOKUP(tblCharDataReneM[[#This Row],[Field]],$E$2:$F$361,2,FALSE))</f>
        <v>¬</v>
      </c>
    </row>
    <row r="349" spans="1:2">
      <c r="A349" s="1" t="s">
        <v>348</v>
      </c>
      <c r="B349" t="str">
        <f>_xlfn.IFNA(VLOOKUP(B344,$F$234:$I$238,3,FALSE),"")</f>
        <v>Hungry at 5 or fewer Vitae, Starving at 3 or fewer. Dramatic Failures on feeding cause Persistent Dependent Condition toward a mortal NPC.</v>
      </c>
    </row>
    <row r="350" spans="1:2">
      <c r="A350" s="1" t="s">
        <v>349</v>
      </c>
      <c r="B350" t="str">
        <f>_xlfn.IFNA(VLOOKUP(B345,$F$234:$I$238,3,FALSE),"¬")</f>
        <v>¬</v>
      </c>
    </row>
    <row r="351" spans="1:2">
      <c r="A351" s="1" t="s">
        <v>350</v>
      </c>
      <c r="B351" t="str">
        <f>_xlfn.IFNA(VLOOKUP(B346,$F$234:$I$238,3,FALSE),"")</f>
        <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10</v>
      </c>
    </row>
    <row r="356" spans="1:2">
      <c r="A356" s="1" t="s">
        <v>355</v>
      </c>
      <c r="B356">
        <f ca="1">P220</f>
        <v>5</v>
      </c>
    </row>
    <row r="357" spans="1:2">
      <c r="A357" s="1" t="s">
        <v>356</v>
      </c>
      <c r="B357" t="str">
        <f>IF(F10="","¬",VLOOKUP(F10,tblAnchors[],2,FALSE))</f>
        <v>Put yourself out to help another succeed.</v>
      </c>
    </row>
    <row r="358" spans="1:2">
      <c r="A358" s="1" t="s">
        <v>357</v>
      </c>
      <c r="B358" t="str">
        <f>IF(F10="","¬",VLOOKUP(F10,tblAnchors[],3,FALSE))</f>
        <v>Take full responsibility for another's dangerous mistake.</v>
      </c>
    </row>
    <row r="359" spans="1:2">
      <c r="A359" s="1" t="s">
        <v>358</v>
      </c>
      <c r="B359" t="str">
        <f>IF(F11="","¬",VLOOKUP(F11,tblAnchors[],2,FALSE))</f>
        <v>Deny a compromise that would water down your ideal.</v>
      </c>
    </row>
    <row r="360" spans="1:2">
      <c r="A360" s="1" t="s">
        <v>359</v>
      </c>
      <c r="B360" t="str">
        <f>IF(F11="","¬",VLOOKUP(F11,tblAnchors[],3,FALSE))</f>
        <v>Refuse safety for fear of abandoning your ideal's purity.</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late 20s</v>
      </c>
    </row>
    <row r="365" spans="1:2">
      <c r="A365" s="1" t="s">
        <v>364</v>
      </c>
      <c r="B365" t="str">
        <f>_xlfn.LET(_xlpm.a,IF(F244="","",F244),_xlpm.b,IF(F245="","",F245),IF(AND(_xlpm.a&lt;&gt;"",_xlpm.b&lt;&gt;""),_xlpm.a&amp;", "&amp;_xlpm.b,IF(_xlpm.a&lt;&gt;"",_xlpm.a,IF(_xlpm.b&lt;&gt;"",_xlpm.b,""))))</f>
        <v/>
      </c>
    </row>
  </sheetData>
  <mergeCells count="89">
    <mergeCell ref="F240:I240"/>
    <mergeCell ref="F241:I241"/>
    <mergeCell ref="F242:I242"/>
    <mergeCell ref="F244:I244"/>
    <mergeCell ref="F245:I245"/>
    <mergeCell ref="H238:I238"/>
    <mergeCell ref="H208:I208"/>
    <mergeCell ref="H209:I209"/>
    <mergeCell ref="H210:I210"/>
    <mergeCell ref="H211:I211"/>
    <mergeCell ref="H212:I212"/>
    <mergeCell ref="H213:I213"/>
    <mergeCell ref="H214:I214"/>
    <mergeCell ref="H215:I215"/>
    <mergeCell ref="H234:I234"/>
    <mergeCell ref="H236:I236"/>
    <mergeCell ref="H237:I237"/>
    <mergeCell ref="H207:I207"/>
    <mergeCell ref="H153:I153"/>
    <mergeCell ref="H154:I154"/>
    <mergeCell ref="H155:I155"/>
    <mergeCell ref="H156:I156"/>
    <mergeCell ref="H157:I157"/>
    <mergeCell ref="H177:I177"/>
    <mergeCell ref="H178:I178"/>
    <mergeCell ref="H179:I179"/>
    <mergeCell ref="H180:I180"/>
    <mergeCell ref="H181:I181"/>
    <mergeCell ref="H206:I206"/>
    <mergeCell ref="H152:I152"/>
    <mergeCell ref="H141:I141"/>
    <mergeCell ref="H142:I142"/>
    <mergeCell ref="H143:I143"/>
    <mergeCell ref="H144:I144"/>
    <mergeCell ref="H145:I145"/>
    <mergeCell ref="H146:I146"/>
    <mergeCell ref="H147:I147"/>
    <mergeCell ref="H148:I148"/>
    <mergeCell ref="H149:I149"/>
    <mergeCell ref="H150:I150"/>
    <mergeCell ref="H151:I151"/>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11:I111"/>
    <mergeCell ref="H98:I98"/>
    <mergeCell ref="H101:I101"/>
    <mergeCell ref="H102:I102"/>
    <mergeCell ref="H103:I103"/>
    <mergeCell ref="H104:I104"/>
    <mergeCell ref="H105:I105"/>
    <mergeCell ref="H106:I106"/>
    <mergeCell ref="H107:I107"/>
    <mergeCell ref="H108:I108"/>
    <mergeCell ref="H109:I109"/>
    <mergeCell ref="H110:I110"/>
    <mergeCell ref="H97:I97"/>
    <mergeCell ref="H86:I86"/>
    <mergeCell ref="H87:I87"/>
    <mergeCell ref="H88:I88"/>
    <mergeCell ref="H89:I89"/>
    <mergeCell ref="H90:I90"/>
    <mergeCell ref="H91:I91"/>
    <mergeCell ref="H92:I92"/>
    <mergeCell ref="H93:I93"/>
    <mergeCell ref="H94:I94"/>
    <mergeCell ref="H95:I95"/>
    <mergeCell ref="H96:I96"/>
    <mergeCell ref="H85:I85"/>
    <mergeCell ref="O8:P8"/>
    <mergeCell ref="O9:P9"/>
    <mergeCell ref="O10:P10"/>
    <mergeCell ref="O11:P11"/>
    <mergeCell ref="O12:P12"/>
    <mergeCell ref="H79:I79"/>
    <mergeCell ref="H80:I80"/>
    <mergeCell ref="H81:I81"/>
    <mergeCell ref="H82:I82"/>
    <mergeCell ref="H83:I83"/>
    <mergeCell ref="H84:I84"/>
  </mergeCells>
  <dataValidations count="16">
    <dataValidation type="list" allowBlank="1" showInputMessage="1" showErrorMessage="1" sqref="G248:G277" xr:uid="{0EDCB81F-35EB-49D2-8967-F5B6B4E01D78}">
      <formula1>$I$248:$I$249</formula1>
    </dataValidation>
    <dataValidation type="list" allowBlank="1" showInputMessage="1" showErrorMessage="1" sqref="F105:F120" xr:uid="{5D57ED37-01A6-4B92-B2A0-DAE9F9B598ED}">
      <formula1>lstManoeuvres</formula1>
    </dataValidation>
    <dataValidation type="list" allowBlank="1" showInputMessage="1" showErrorMessage="1" sqref="F79:F98" xr:uid="{E6B06762-C2D6-4F99-93EC-A74BA7B8F7A0}">
      <formula1>lstMerits</formula1>
    </dataValidation>
    <dataValidation type="list" allowBlank="1" showInputMessage="1" showErrorMessage="1" sqref="F236:F238" xr:uid="{98C0F4FA-B98E-45C4-B675-BA9EFF2F9297}">
      <formula1>lstBanes</formula1>
    </dataValidation>
    <dataValidation type="list" allowBlank="1" showInputMessage="1" showErrorMessage="1" sqref="F206:F215" xr:uid="{C048BAA7-8A35-45DA-B3D3-7114350D49AD}">
      <formula1>lstPacts</formula1>
    </dataValidation>
    <dataValidation type="list" allowBlank="1" showInputMessage="1" showErrorMessage="1" sqref="G13" xr:uid="{DBC4CC27-B6E3-4365-A9C2-48861687729B}">
      <formula1>lstStatus</formula1>
    </dataValidation>
    <dataValidation type="list" allowBlank="1" showInputMessage="1" showErrorMessage="1" sqref="F194:F205 F207:F215" xr:uid="{74E20D15-E1C7-4964-8FD1-F0164628542F}">
      <formula1>lstRites</formula1>
    </dataValidation>
    <dataValidation type="list" allowBlank="1" showInputMessage="1" showErrorMessage="1" sqref="F177:F181" xr:uid="{B4422E76-9219-40AF-A1E5-7467E8641D58}">
      <formula1>lstDevotions</formula1>
    </dataValidation>
    <dataValidation type="list" allowBlank="1" showInputMessage="1" showErrorMessage="1" sqref="F17:F21" xr:uid="{90DE3023-D0E7-4A32-9313-AF9E95AA7C86}">
      <formula1>"TRUE,FALSE"</formula1>
    </dataValidation>
    <dataValidation type="list" allowBlank="1" showInputMessage="1" showErrorMessage="1" sqref="F24" xr:uid="{A538DFAC-D3B4-495B-AF60-1107E1E63F4F}">
      <formula1>$D$7:$D$8</formula1>
    </dataValidation>
    <dataValidation type="list" allowBlank="1" showInputMessage="1" showErrorMessage="1" sqref="I25 I30 I35 I41 I51 I61" xr:uid="{73369AED-2515-4315-83C4-C176CFF6BAA3}">
      <formula1>lstPriority</formula1>
    </dataValidation>
    <dataValidation type="list" allowBlank="1" showInputMessage="1" showErrorMessage="1" sqref="F10:F11" xr:uid="{357A73D9-93D4-44B4-B1B2-3123ACC102C1}">
      <formula1>lstNature</formula1>
    </dataValidation>
    <dataValidation type="list" allowBlank="1" showInputMessage="1" showErrorMessage="1" sqref="F8" xr:uid="{4EE618B0-AE57-42FA-9867-5B1C12726B13}">
      <formula1>lstBloodlines</formula1>
    </dataValidation>
    <dataValidation type="list" allowBlank="1" showInputMessage="1" showErrorMessage="1" sqref="F9" xr:uid="{DDCDD215-9F20-4248-AA87-31FA0D652309}">
      <formula1>lstCovenant</formula1>
    </dataValidation>
    <dataValidation type="list" allowBlank="1" showInputMessage="1" showErrorMessage="1" sqref="F7" xr:uid="{82F4A0BE-02AA-4B64-BE49-F565BDC3DCB4}">
      <formula1>lstClan</formula1>
    </dataValidation>
    <dataValidation type="list" allowBlank="1" showInputMessage="1" showErrorMessage="1" sqref="G12" xr:uid="{DF99BA46-CEEF-417A-A489-3597666FA453}">
      <formula1>INDIRECT("tblEffectiveStatus[Position]")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82C63E96-5479-4C8B-9C90-6C35B4143B8C}">
          <x14:formula1>
            <xm:f>'Lookup-Domain'!$A$2:$A$8</xm:f>
          </x14:formula1>
          <xm:sqref>F161 F140:F157</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2EF95-FF3C-4AB9-BD28-3C0707BEB216}">
  <dimension ref="A1:AK365"/>
  <sheetViews>
    <sheetView zoomScale="70" zoomScaleNormal="70" workbookViewId="0">
      <pane ySplit="1" topLeftCell="A2" activePane="bottomLeft" state="frozen"/>
      <selection pane="bottomLeft" activeCell="D81" sqref="D81"/>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Notary</v>
      </c>
      <c r="AC2" s="60" t="str" cm="1">
        <f t="array" ref="AC2:AC5">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Attaché</v>
      </c>
      <c r="AD2" s="20" t="str">
        <f>IF(AC2="","¬",_xlfn.LET(_xlpm.base,IFERROR(LEFT(AC2,FIND(" (",AC2)-1),AC2),IFERROR(VLOOKUP(_xlpm.base,tblManoeuvre[],2,FALSE) &amp; " " &amp; REPT("●",VLOOKUP(_xlpm.base,tblManoeuvre[],3,FALSE)) &amp; " | " &amp; AC2,AC2 &amp; " " &amp; REPT("●",VLOOKUP(_xlpm.base,$F$79:$P$120,11,FALSE)))))</f>
        <v>Attaché ●</v>
      </c>
      <c r="AE2" s="20"/>
      <c r="AF2" s="20" t="str">
        <f>IF(LEN(AC2)=0,"¬",_xlfn.LET(_xlpm.base,IFERROR(LEFT(AC2,FIND(" (",AC2)-1),AC2),IFERROR(VLOOKUP(_xlpm.base,tblMerits[],5,FALSE),IFERROR(VLOOKUP(_xlpm.base,tblManoeuvre[],9,FALSE),"¬"))))</f>
        <v>Retainers gain your Invictus Status in dots of Contacts, Resources and Safe Place.</v>
      </c>
      <c r="AI2" s="15" t="s">
        <v>25</v>
      </c>
      <c r="AJ2" s="61">
        <f t="shared" ref="AJ2:AJ33" si="1">VLOOKUP(AI2,$E$3:$P$221,12,FALSE)</f>
        <v>0</v>
      </c>
      <c r="AK2" s="61">
        <f>IF(AJ2=0,IF(COUNTIF($E$42:$E$49,AI2)&gt;0,-3,-1),AJ2)</f>
        <v>-3</v>
      </c>
    </row>
    <row r="3" spans="1:37">
      <c r="A3" s="1" t="s">
        <v>2</v>
      </c>
      <c r="B3">
        <f ca="1">N3</f>
        <v>0</v>
      </c>
      <c r="D3" s="19"/>
      <c r="E3" s="15" t="s">
        <v>4</v>
      </c>
      <c r="F3" s="3" t="s">
        <v>1278</v>
      </c>
      <c r="G3" s="18"/>
      <c r="H3" s="18"/>
      <c r="I3" s="18" t="s">
        <v>1425</v>
      </c>
      <c r="N3" s="60">
        <f ca="1">10+SUM(N4:N6)-SUM(N7)</f>
        <v>0</v>
      </c>
      <c r="Y3" s="15" t="s">
        <v>115</v>
      </c>
      <c r="Z3" s="19"/>
      <c r="AA3" s="61" t="str">
        <f t="shared" si="0"/>
        <v>Friends in High Places</v>
      </c>
      <c r="AC3" s="60" t="str">
        <v>Friends in High Places</v>
      </c>
      <c r="AD3" s="20" t="str">
        <f>IF(AC3="","¬",_xlfn.LET(_xlpm.base,IFERROR(LEFT(AC3,FIND(" (",AC3)-1),AC3),IFERROR(VLOOKUP(_xlpm.base,tblManoeuvre[],2,FALSE) &amp; " " &amp; REPT("●",VLOOKUP(_xlpm.base,tblManoeuvre[],3,FALSE)) &amp; " | " &amp; AC3,AC3 &amp; " " &amp; REPT("●",VLOOKUP(_xlpm.base,$F$79:$P$120,11,FALSE)))))</f>
        <v>Friends in High Places ●</v>
      </c>
      <c r="AE3" s="20"/>
      <c r="AF3" s="20" t="str">
        <f>IF(LEN(AC3)=0,"¬",_xlfn.LET(_xlpm.base,IFERROR(LEFT(AC3,FIND(" (",AC3)-1),AC3),IFERROR(VLOOKUP(_xlpm.base,tblMerits[],5,FALSE),IFERROR(VLOOKUP(_xlpm.base,tblManoeuvre[],9,FALSE),"¬"))))</f>
        <v>Once per chapter, use Invictus Status as Mortal Status in areas you don't possess. Drawback: Other Invictus may be informed.</v>
      </c>
      <c r="AI3" s="15" t="s">
        <v>41</v>
      </c>
      <c r="AJ3" s="61">
        <f t="shared" si="1"/>
        <v>0</v>
      </c>
      <c r="AK3" s="61">
        <f>IF(AJ3=0,IF(COUNTIF($E$42:$E$49,AI3)&gt;0,-3,-1),AJ3)</f>
        <v>-1</v>
      </c>
    </row>
    <row r="4" spans="1:37">
      <c r="A4" s="1" t="s">
        <v>3</v>
      </c>
      <c r="B4">
        <f ca="1">SUM(N3:N9)</f>
        <v>40</v>
      </c>
      <c r="D4" s="19"/>
      <c r="E4" s="15" t="s">
        <v>5</v>
      </c>
      <c r="F4" s="3" t="s">
        <v>1279</v>
      </c>
      <c r="G4" s="18"/>
      <c r="H4" s="18"/>
      <c r="I4" s="18" t="s">
        <v>1426</v>
      </c>
      <c r="N4" s="61">
        <f>K73*2</f>
        <v>4</v>
      </c>
      <c r="Y4" s="15" t="s">
        <v>116</v>
      </c>
      <c r="Z4" s="19"/>
      <c r="AA4" s="61" t="str">
        <f t="shared" si="0"/>
        <v>Invested</v>
      </c>
      <c r="AC4" s="60" t="str">
        <v>Invested</v>
      </c>
      <c r="AD4" s="20" t="str">
        <f>IF(AC4="","¬",_xlfn.LET(_xlpm.base,IFERROR(LEFT(AC4,FIND(" (",AC4)-1),AC4),IFERROR(VLOOKUP(_xlpm.base,tblManoeuvre[],2,FALSE) &amp; " " &amp; REPT("●",VLOOKUP(_xlpm.base,tblManoeuvre[],3,FALSE)) &amp; " | " &amp; AC4,AC4 &amp; " " &amp; REPT("●",VLOOKUP(_xlpm.base,$F$79:$P$120,11,FALSE)))))</f>
        <v>Invested ●</v>
      </c>
      <c r="AE4" s="20"/>
      <c r="AF4" s="20" t="str">
        <f>IF(LEN(AC4)=0,"¬",_xlfn.LET(_xlpm.base,IFERROR(LEFT(AC4,FIND(" (",AC4)-1),AC4),IFERROR(VLOOKUP(_xlpm.base,tblMerits[],5,FALSE),IFERROR(VLOOKUP(_xlpm.base,tblManoeuvre[],9,FALSE),"¬"))))</f>
        <v>Distribute Invictus Status dots among free Herd, Mentor, Resources and Retainer.</v>
      </c>
      <c r="AI4" s="15" t="s">
        <v>236</v>
      </c>
      <c r="AJ4" s="61">
        <f t="shared" si="1"/>
        <v>0</v>
      </c>
      <c r="AK4" s="61">
        <f>AJ4</f>
        <v>0</v>
      </c>
    </row>
    <row r="5" spans="1:37">
      <c r="A5" s="1" t="s">
        <v>4</v>
      </c>
      <c r="B5" t="str">
        <f>IF(VLOOKUP(tblCharDataReneSt[[#This Row],[Field]],$E$2:$F$362,2,FALSE)="","¬",VLOOKUP(tblCharDataReneSt[[#This Row],[Field]],$E$2:$F$362,2,FALSE))</f>
        <v>Matt B</v>
      </c>
      <c r="D5" s="19"/>
      <c r="E5" s="15" t="s">
        <v>6</v>
      </c>
      <c r="F5" s="3" t="s">
        <v>1280</v>
      </c>
      <c r="G5" s="18"/>
      <c r="H5" s="18"/>
      <c r="I5" s="18" t="s">
        <v>1427</v>
      </c>
      <c r="N5" s="61">
        <f>N16</f>
        <v>6</v>
      </c>
      <c r="Y5" s="15" t="s">
        <v>117</v>
      </c>
      <c r="Z5" s="19"/>
      <c r="AA5" s="61" t="str">
        <f t="shared" si="0"/>
        <v>Attaché</v>
      </c>
      <c r="AC5" s="60" t="str">
        <v>Notary</v>
      </c>
      <c r="AD5" s="20" t="str">
        <f>IF(AC5="","¬",_xlfn.LET(_xlpm.base,IFERROR(LEFT(AC5,FIND(" (",AC5)-1),AC5),IFERROR(VLOOKUP(_xlpm.base,tblManoeuvre[],2,FALSE) &amp; " " &amp; REPT("●",VLOOKUP(_xlpm.base,tblManoeuvre[],3,FALSE)) &amp; " | " &amp; AC5,AC5 &amp; " " &amp; REPT("●",VLOOKUP(_xlpm.base,$F$79:$P$120,11,FALSE)))))</f>
        <v>Notary ●●</v>
      </c>
      <c r="AE5" s="20"/>
      <c r="AF5" s="20" t="str">
        <f>IF(LEN(AC5)=0,"¬",_xlfn.LET(_xlpm.base,IFERROR(LEFT(AC5,FIND(" (",AC5)-1),AC5),IFERROR(VLOOKUP(_xlpm.base,tblMerits[],5,FALSE),IFERROR(VLOOKUP(_xlpm.base,tblManoeuvre[],9,FALSE),"¬"))))</f>
        <v>Preside over Invictus Oaths. Invictus Status can't be used against you. Monthly, call one dot of Allies, Contacts, Herd, Mentor or Resources.</v>
      </c>
      <c r="AI5" s="15" t="s">
        <v>33</v>
      </c>
      <c r="AJ5" s="61">
        <f t="shared" si="1"/>
        <v>0</v>
      </c>
      <c r="AK5" s="61">
        <f>IF(AJ5=0,IF(COUNTIF($E$42:$E$49,AI5)&gt;0,-3,-1),AJ5)</f>
        <v>-1</v>
      </c>
    </row>
    <row r="6" spans="1:37">
      <c r="A6" s="1" t="s">
        <v>5</v>
      </c>
      <c r="B6" t="str">
        <f>IF(VLOOKUP(tblCharDataReneSt[[#This Row],[Field]],$E$2:$F$362,2,FALSE)="","¬",VLOOKUP(tblCharDataReneSt[[#This Row],[Field]],$E$2:$F$362,2,FALSE))</f>
        <v>René St. Dominique</v>
      </c>
      <c r="D6" s="19"/>
      <c r="E6" s="15" t="s">
        <v>7</v>
      </c>
      <c r="F6" s="3" t="s">
        <v>552</v>
      </c>
      <c r="G6" s="18"/>
      <c r="H6" s="18"/>
      <c r="I6" s="18" t="s">
        <v>1347</v>
      </c>
      <c r="N6" s="61">
        <f ca="1">N279</f>
        <v>3</v>
      </c>
      <c r="Y6" s="15" t="s">
        <v>118</v>
      </c>
      <c r="Z6" s="19"/>
      <c r="AA6" s="61" t="str">
        <f t="shared" si="0"/>
        <v/>
      </c>
      <c r="AC6" s="60"/>
      <c r="AD6" s="20" t="str">
        <f>IF(AC6="","¬",_xlfn.LET(_xlpm.base,IFERROR(LEFT(AC6,FIND(" (",AC6)-1),AC6),IFERROR(VLOOKUP(_xlpm.base,tblManoeuvre[],2,FALSE) &amp; " " &amp; REPT("●",VLOOKUP(_xlpm.base,tblManoeuvre[],3,FALSE)) &amp; " | " &amp; AC6,AC6 &amp; " " &amp; REPT("●",VLOOKUP(_xlpm.base,$F$79:$P$120,11,FALSE)))))</f>
        <v>¬</v>
      </c>
      <c r="AE6" s="20"/>
      <c r="AF6" s="20" t="str">
        <f>IF(LEN(AC6)=0,"¬",_xlfn.LET(_xlpm.base,IFERROR(LEFT(AC6,FIND(" (",AC6)-1),AC6),IFERROR(VLOOKUP(_xlpm.base,tblMerits[],5,FALSE),IFERROR(VLOOKUP(_xlpm.base,tblManoeuvre[],9,FALSE),"¬"))))</f>
        <v>¬</v>
      </c>
      <c r="AI6" s="15" t="s">
        <v>237</v>
      </c>
      <c r="AJ6" s="61">
        <f t="shared" si="1"/>
        <v>0</v>
      </c>
      <c r="AK6" s="61">
        <f>AJ6</f>
        <v>0</v>
      </c>
    </row>
    <row r="7" spans="1:37">
      <c r="A7" s="1" t="s">
        <v>6</v>
      </c>
      <c r="B7" t="str">
        <f>IF(VLOOKUP(tblCharDataReneSt[[#This Row],[Field]],$E$2:$F$362,2,FALSE)="","¬",VLOOKUP(tblCharDataReneSt[[#This Row],[Field]],$E$2:$F$362,2,FALSE))</f>
        <v>Dillitant</v>
      </c>
      <c r="D7" s="19" t="str">
        <f>VLOOKUP(F7,tblClans[],3,FALSE)</f>
        <v>Resolve</v>
      </c>
      <c r="E7" s="15" t="s">
        <v>8</v>
      </c>
      <c r="F7" s="3" t="s">
        <v>553</v>
      </c>
      <c r="G7" s="18"/>
      <c r="H7" s="18"/>
      <c r="I7" s="18"/>
      <c r="N7" s="60">
        <f>SUM(N8:N12)</f>
        <v>23</v>
      </c>
      <c r="Y7" s="15" t="s">
        <v>119</v>
      </c>
      <c r="Z7" s="19"/>
      <c r="AA7" s="61" t="str">
        <f t="shared" si="0"/>
        <v/>
      </c>
      <c r="AC7" s="60"/>
      <c r="AD7" s="20" t="str">
        <f>IF(AC7="","¬",_xlfn.LET(_xlpm.base,IFERROR(LEFT(AC7,FIND(" (",AC7)-1),AC7),IFERROR(VLOOKUP(_xlpm.base,tblManoeuvre[],2,FALSE) &amp; " " &amp; REPT("●",VLOOKUP(_xlpm.base,tblManoeuvre[],3,FALSE)) &amp; " | " &amp; AC7,AC7 &amp; " " &amp; REPT("●",VLOOKUP(_xlpm.base,$F$79:$P$120,11,FALSE)))))</f>
        <v>¬</v>
      </c>
      <c r="AE7" s="20"/>
      <c r="AF7" s="20" t="str">
        <f>IF(LEN(AC7)=0,"¬",_xlfn.LET(_xlpm.base,IFERROR(LEFT(AC7,FIND(" (",AC7)-1),AC7),IFERROR(VLOOKUP(_xlpm.base,tblMerits[],5,FALSE),IFERROR(VLOOKUP(_xlpm.base,tblManoeuvre[],9,FALSE),"¬"))))</f>
        <v>¬</v>
      </c>
      <c r="AI7" s="15" t="s">
        <v>49</v>
      </c>
      <c r="AJ7" s="61">
        <f t="shared" si="1"/>
        <v>2</v>
      </c>
      <c r="AK7" s="61">
        <f>AJ7</f>
        <v>2</v>
      </c>
    </row>
    <row r="8" spans="1:37">
      <c r="A8" s="1" t="s">
        <v>7</v>
      </c>
      <c r="B8" t="str">
        <f>IF(VLOOKUP(tblCharDataReneSt[[#This Row],[Field]],$E$2:$F$362,2,FALSE)="","¬",LOWER(VLOOKUP(tblCharDataReneSt[[#This Row],[Field]],$E$2:$F$362,2,FALSE)))</f>
        <v>he/him</v>
      </c>
      <c r="D8" s="19" t="str">
        <f>VLOOKUP(F7,tblClans[],2,FALSE)</f>
        <v>Presence</v>
      </c>
      <c r="E8" s="15" t="s">
        <v>10</v>
      </c>
      <c r="F8" s="3" t="s">
        <v>1281</v>
      </c>
      <c r="G8" s="61" t="b">
        <f>IFERROR(IF(OR(AND(VLOOKUP(F8,tblBloodlines[],2,FALSE)="",VLOOKUP(F8,tblBloodlines[],3,FALSE)="",VLOOKUP(F8,tblBloodlines[],4,FALSE)=""),AND(VLOOKUP(F8,tblBloodlines[],2,FALSE)="",VLOOKUP(F8,tblBloodlines[],3,FALSE)="",F9=VLOOKUP(F8,tblBloodlines[],4,FALSE)),F7=VLOOKUP(F8,tblBloodlines[],2,FALSE),F7=VLOOKUP(F8,tblBloodlines[],3,FALSE)),TRUE,FALSE),"")</f>
        <v>1</v>
      </c>
      <c r="H8" s="18"/>
      <c r="I8" s="18" t="s">
        <v>1428</v>
      </c>
      <c r="N8" s="61">
        <f>N23</f>
        <v>0</v>
      </c>
      <c r="O8" s="65">
        <f>N8/SUM(N$7:N$12)</f>
        <v>0</v>
      </c>
      <c r="P8" s="66"/>
      <c r="Y8" s="15" t="s">
        <v>120</v>
      </c>
      <c r="Z8" s="19"/>
      <c r="AA8" s="61" t="str">
        <f t="shared" si="0"/>
        <v/>
      </c>
      <c r="AC8" s="60"/>
      <c r="AD8" s="20" t="str">
        <f>IF(AC8="","¬",_xlfn.LET(_xlpm.base,IFERROR(LEFT(AC8,FIND(" (",AC8)-1),AC8),IFERROR(VLOOKUP(_xlpm.base,tblManoeuvre[],2,FALSE) &amp; " " &amp; REPT("●",VLOOKUP(_xlpm.base,tblManoeuvre[],3,FALSE)) &amp; " | " &amp; AC8,AC8 &amp; " " &amp; REPT("●",VLOOKUP(_xlpm.base,$F$79:$P$120,11,FALSE)))))</f>
        <v>¬</v>
      </c>
      <c r="AE8" s="20"/>
      <c r="AF8" s="20" t="str">
        <f>IF(LEN(AC8)=0,"¬",_xlfn.LET(_xlpm.base,IFERROR(LEFT(AC8,FIND(" (",AC8)-1),AC8),IFERROR(VLOOKUP(_xlpm.base,tblMerits[],5,FALSE),IFERROR(VLOOKUP(_xlpm.base,tblManoeuvre[],9,FALSE),"¬"))))</f>
        <v>¬</v>
      </c>
      <c r="AI8" s="15" t="s">
        <v>34</v>
      </c>
      <c r="AJ8" s="61">
        <f t="shared" si="1"/>
        <v>0</v>
      </c>
      <c r="AK8" s="61">
        <f>IF(AJ8=0,IF(COUNTIF($E$42:$E$49,AI8)&gt;0,-3,-1),AJ8)</f>
        <v>-1</v>
      </c>
    </row>
    <row r="9" spans="1:37">
      <c r="A9" s="1" t="s">
        <v>8</v>
      </c>
      <c r="B9" t="str">
        <f>IF(VLOOKUP(tblCharDataReneSt[[#This Row],[Field]],$E$2:$F$362,2,FALSE)="","¬",VLOOKUP(tblCharDataReneSt[[#This Row],[Field]],$E$2:$F$362,2,FALSE))</f>
        <v>Ventrue</v>
      </c>
      <c r="D9" s="19"/>
      <c r="E9" s="15" t="s">
        <v>11</v>
      </c>
      <c r="F9" s="3" t="s">
        <v>396</v>
      </c>
      <c r="G9" s="18"/>
      <c r="H9" s="18"/>
      <c r="I9" s="18" t="s">
        <v>1429</v>
      </c>
      <c r="N9" s="61">
        <f>N40+T40</f>
        <v>4</v>
      </c>
      <c r="O9" s="65">
        <f>N9/SUM(N$7:N$12)</f>
        <v>8.6956521739130432E-2</v>
      </c>
      <c r="P9" s="66"/>
      <c r="Y9" s="15" t="s">
        <v>121</v>
      </c>
      <c r="Z9" s="19"/>
      <c r="AA9" s="61" t="str">
        <f t="shared" si="0"/>
        <v/>
      </c>
      <c r="AC9" s="60"/>
      <c r="AD9" s="20" t="str">
        <f>IF(AC9="","¬",_xlfn.LET(_xlpm.base,IFERROR(LEFT(AC9,FIND(" (",AC9)-1),AC9),IFERROR(VLOOKUP(_xlpm.base,tblManoeuvre[],2,FALSE) &amp; " " &amp; REPT("●",VLOOKUP(_xlpm.base,tblManoeuvre[],3,FALSE)) &amp; " | " &amp; AC9,AC9 &amp; " " &amp; REPT("●",VLOOKUP(_xlpm.base,$F$79:$P$120,11,FALSE)))))</f>
        <v>¬</v>
      </c>
      <c r="AE9" s="20"/>
      <c r="AF9" s="20" t="str">
        <f>IF(LEN(AC9)=0,"¬",_xlfn.LET(_xlpm.base,IFERROR(LEFT(AC9,FIND(" (",AC9)-1),AC9),IFERROR(VLOOKUP(_xlpm.base,tblMerits[],5,FALSE),IFERROR(VLOOKUP(_xlpm.base,tblManoeuvre[],9,FALSE),"¬"))))</f>
        <v>¬</v>
      </c>
      <c r="AI9" s="15" t="s">
        <v>238</v>
      </c>
      <c r="AJ9" s="61">
        <f t="shared" si="1"/>
        <v>0</v>
      </c>
      <c r="AK9" s="61">
        <f>AJ9</f>
        <v>0</v>
      </c>
    </row>
    <row r="10" spans="1:37">
      <c r="A10" s="1" t="s">
        <v>9</v>
      </c>
      <c r="B10" t="str">
        <f>CONCATENATE(Elements,B9," icon.svg")</f>
        <v>D:\Terra Mortis\Character Sheets\Sheet Elements\Ventrue icon.svg</v>
      </c>
      <c r="D10" s="19"/>
      <c r="E10" s="15" t="s">
        <v>13</v>
      </c>
      <c r="F10" s="3" t="s">
        <v>792</v>
      </c>
      <c r="G10" s="18"/>
      <c r="H10" s="18"/>
      <c r="I10" s="18" t="s">
        <v>1430</v>
      </c>
      <c r="N10" s="61">
        <f>N77</f>
        <v>6</v>
      </c>
      <c r="O10" s="65">
        <f>N10/SUM(N$7:N$12)</f>
        <v>0.13043478260869565</v>
      </c>
      <c r="P10" s="66"/>
      <c r="Y10" s="15" t="s">
        <v>122</v>
      </c>
      <c r="Z10" s="19"/>
      <c r="AA10" s="61" t="str">
        <f t="shared" si="0"/>
        <v/>
      </c>
      <c r="AC10" s="60"/>
      <c r="AD10" s="20" t="str">
        <f>IF(AC10="","¬",_xlfn.LET(_xlpm.base,IFERROR(LEFT(AC10,FIND(" (",AC10)-1),AC10),IFERROR(VLOOKUP(_xlpm.base,tblManoeuvre[],2,FALSE) &amp; " " &amp; REPT("●",VLOOKUP(_xlpm.base,tblManoeuvre[],3,FALSE)) &amp; " | " &amp; AC10,AC10 &amp; " " &amp; REPT("●",VLOOKUP(_xlpm.base,$F$79:$P$120,11,FALSE)))))</f>
        <v>¬</v>
      </c>
      <c r="AE10" s="20"/>
      <c r="AF10" s="20" t="str">
        <f>IF(LEN(AC10)=0,"¬",_xlfn.LET(_xlpm.base,IFERROR(LEFT(AC10,FIND(" (",AC10)-1),AC10),IFERROR(VLOOKUP(_xlpm.base,tblMerits[],5,FALSE),IFERROR(VLOOKUP(_xlpm.base,tblManoeuvre[],9,FALSE),"¬"))))</f>
        <v>¬</v>
      </c>
      <c r="AI10" s="15" t="s">
        <v>24</v>
      </c>
      <c r="AJ10" s="61">
        <f t="shared" si="1"/>
        <v>2</v>
      </c>
      <c r="AK10" s="61">
        <f>AJ10+IFERROR(INDEX($V$26:$V$38,MATCH(AI10,$E$26:$E$38,0)),0)</f>
        <v>2</v>
      </c>
    </row>
    <row r="11" spans="1:37">
      <c r="A11" s="1" t="s">
        <v>10</v>
      </c>
      <c r="B11" t="str">
        <f>IF(VLOOKUP(tblCharDataReneSt[[#This Row],[Field]],$E$2:$F$362,2,FALSE)="","¬",VLOOKUP(tblCharDataReneSt[[#This Row],[Field]],$E$2:$F$362,2,FALSE))</f>
        <v>Apollinaire</v>
      </c>
      <c r="D11" s="19"/>
      <c r="E11" s="15" t="s">
        <v>14</v>
      </c>
      <c r="F11" s="3" t="s">
        <v>1282</v>
      </c>
      <c r="G11" s="18"/>
      <c r="H11" s="18"/>
      <c r="I11" s="18" t="s">
        <v>1431</v>
      </c>
      <c r="N11" s="61">
        <f>N163</f>
        <v>13</v>
      </c>
      <c r="O11" s="65">
        <f>N11/SUM(N$7:N$12)</f>
        <v>0.28260869565217389</v>
      </c>
      <c r="P11" s="66"/>
      <c r="Y11" s="15" t="s">
        <v>123</v>
      </c>
      <c r="Z11" s="19"/>
      <c r="AA11" s="61" t="str">
        <f t="shared" si="0"/>
        <v/>
      </c>
      <c r="AC11" s="60"/>
      <c r="AD11" s="20" t="str">
        <f>IF(AC11="","¬",_xlfn.LET(_xlpm.base,IFERROR(LEFT(AC11,FIND(" (",AC11)-1),AC11),IFERROR(VLOOKUP(_xlpm.base,tblManoeuvre[],2,FALSE) &amp; " " &amp; REPT("●",VLOOKUP(_xlpm.base,tblManoeuvre[],3,FALSE)) &amp; " | " &amp; AC11,AC11 &amp; " " &amp; REPT("●",VLOOKUP(_xlpm.base,$F$79:$P$120,11,FALSE)))))</f>
        <v>¬</v>
      </c>
      <c r="AE11" s="20"/>
      <c r="AF11" s="20" t="str">
        <f>IF(LEN(AC11)=0,"¬",_xlfn.LET(_xlpm.base,IFERROR(LEFT(AC11,FIND(" (",AC11)-1),AC11),IFERROR(VLOOKUP(_xlpm.base,tblMerits[],5,FALSE),IFERROR(VLOOKUP(_xlpm.base,tblManoeuvre[],9,FALSE),"¬"))))</f>
        <v>¬</v>
      </c>
      <c r="AI11" s="15" t="s">
        <v>26</v>
      </c>
      <c r="AJ11" s="61">
        <f t="shared" si="1"/>
        <v>0</v>
      </c>
      <c r="AK11" s="61">
        <f>IF(AJ11=0,IF(COUNTIF($E$42:$E$49,AI11)&gt;0,-3,-1),AJ11)</f>
        <v>-3</v>
      </c>
    </row>
    <row r="12" spans="1:37">
      <c r="A12" s="1" t="s">
        <v>11</v>
      </c>
      <c r="B12" t="str">
        <f>IF(VLOOKUP(tblCharDataReneSt[[#This Row],[Field]],$E$2:$F$362,2,FALSE)="","¬",VLOOKUP(tblCharDataReneSt[[#This Row],[Field]],$E$2:$F$362,2,FALSE))</f>
        <v>Invictus</v>
      </c>
      <c r="D12" s="19"/>
      <c r="E12" s="15" t="s">
        <v>15</v>
      </c>
      <c r="F12" s="3" t="s">
        <v>854</v>
      </c>
      <c r="G12" s="3" t="s">
        <v>854</v>
      </c>
      <c r="H12" s="18"/>
      <c r="I12" s="18" t="s">
        <v>1432</v>
      </c>
      <c r="N12" s="61">
        <f>N71</f>
        <v>0</v>
      </c>
      <c r="O12" s="65">
        <f>N12/SUM(N$7:N$12)</f>
        <v>0</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2</v>
      </c>
      <c r="AK12" s="61">
        <f>IF(AJ12=0,IF(COUNTIF($E$42:$E$49,AI12)&gt;0,-3,-1),AJ12)</f>
        <v>2</v>
      </c>
    </row>
    <row r="13" spans="1:37">
      <c r="A13" s="1" t="s">
        <v>12</v>
      </c>
      <c r="B13" t="str">
        <f>_xlfn.IFNA(CONCATENATE(Elements,VLOOKUP(B12,tblCovenantShortName[#Data],2,FALSE)," icon.svg"),"")</f>
        <v>D:\Terra Mortis\Character Sheets\Sheet Elements\Invictus icon.svg</v>
      </c>
      <c r="D13" s="19"/>
      <c r="E13" s="15" t="s">
        <v>15</v>
      </c>
      <c r="F13" s="3" t="s">
        <v>377</v>
      </c>
      <c r="G13" s="3" t="s">
        <v>377</v>
      </c>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0</v>
      </c>
      <c r="AK13" s="61">
        <f t="shared" ref="AK13:AK19" si="2">AJ13</f>
        <v>0</v>
      </c>
    </row>
    <row r="14" spans="1:37">
      <c r="A14" s="1" t="s">
        <v>13</v>
      </c>
      <c r="B14" t="str">
        <f>IF(VLOOKUP(tblCharDataReneSt[[#This Row],[Field]],$E$2:$F$362,2,FALSE)="","¬",VLOOKUP(tblCharDataReneSt[[#This Row],[Field]],$E$2:$F$362,2,FALSE))</f>
        <v>Courtesan</v>
      </c>
      <c r="D14" s="19"/>
      <c r="E14" s="15" t="s">
        <v>1433</v>
      </c>
      <c r="F14" s="28"/>
      <c r="G14" s="3"/>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0</v>
      </c>
      <c r="AK14" s="61">
        <f t="shared" si="2"/>
        <v>0</v>
      </c>
    </row>
    <row r="15" spans="1:37">
      <c r="A15" s="1" t="s">
        <v>14</v>
      </c>
      <c r="B15" t="str">
        <f>IF(VLOOKUP(tblCharDataReneSt[[#This Row],[Field]],$E$2:$F$362,2,FALSE)="","¬",VLOOKUP(tblCharDataReneSt[[#This Row],[Field]],$E$2:$F$362,2,FALSE))</f>
        <v>Deviant</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3</v>
      </c>
      <c r="AK15" s="61">
        <f t="shared" ca="1" si="2"/>
        <v>3</v>
      </c>
    </row>
    <row r="16" spans="1:37" ht="15.75" thickBot="1">
      <c r="A16" s="1" t="s">
        <v>15</v>
      </c>
      <c r="B16" t="str">
        <f ca="1">_xlfn.LET(_xlpm.a,VLOOKUP(tblCharDataReneSt[[#This Row],[Field]],$E$2:$F$362,2,FALSE),_xlpm.b,VLOOKUP(OFFSET(tblCharDataReneSt[[#This Row],[Field]],1,0),$E$2:$F$362,2,FALSE),IF(AND(_xlpm.a&lt;&gt;"",_xlpm.b&lt;&gt;""),_xlpm.a&amp;" &amp; "&amp;_xlpm.b,IF(_xlpm.a&lt;&gt;"",_xlpm.a,IF(_xlpm.b&lt;&gt;"",_xlpm.b,"¬"))))</f>
        <v>Primogen</v>
      </c>
      <c r="D16" s="14" t="s">
        <v>1427</v>
      </c>
      <c r="E16" s="14"/>
      <c r="F16" s="14"/>
      <c r="G16" s="14"/>
      <c r="H16" s="14"/>
      <c r="I16" s="14"/>
      <c r="N16" s="60">
        <f>SUM(N17:N21)</f>
        <v>6</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REPT("●",IFERROR(INDEX($P$26:$P$38,MATCH(tblCharDataReneSt[[#This Row],[Field]],$E$26:$E$38,0)),0))&amp;REPT("○",IFERROR(INDEX($V$26:$V$38,MATCH(tblCharDataReneSt[[#This Row],[Field]],$E$26:$E$38,0)),0))</f>
        <v>●●●</v>
      </c>
      <c r="D17" s="19"/>
      <c r="E17" s="15" t="s">
        <v>1435</v>
      </c>
      <c r="F17" s="3"/>
      <c r="G17" s="19"/>
      <c r="H17" s="19"/>
      <c r="I17" s="19"/>
      <c r="N17" s="61">
        <f>IF(F17=TRUE,3,0)</f>
        <v>0</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3</v>
      </c>
      <c r="AK17" s="61">
        <f>AJ17+IFERROR(INDEX($V$26:$V$38,MATCH(AI17,$E$26:$E$38,0)),0)</f>
        <v>3</v>
      </c>
    </row>
    <row r="18" spans="1:37">
      <c r="A18" s="1" t="s">
        <v>17</v>
      </c>
      <c r="B18" t="str">
        <f>REPT("●",IFERROR(INDEX($P$26:$P$38,MATCH(tblCharDataReneSt[[#This Row],[Field]],$E$26:$E$38,0)),0))&amp;REPT("○",IFERROR(INDEX($V$26:$V$38,MATCH(tblCharDataReneSt[[#This Row],[Field]],$E$26:$E$38,0)),0))</f>
        <v>●●●</v>
      </c>
      <c r="D18" s="19"/>
      <c r="E18" s="15" t="s">
        <v>1436</v>
      </c>
      <c r="F18" s="3" t="b">
        <v>1</v>
      </c>
      <c r="G18" s="19"/>
      <c r="H18" s="19"/>
      <c r="I18" s="19"/>
      <c r="N18" s="61">
        <f>IF(F18=TRUE,3,0)</f>
        <v>3</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0</v>
      </c>
      <c r="AK18" s="61">
        <f t="shared" si="2"/>
        <v>0</v>
      </c>
    </row>
    <row r="19" spans="1:37">
      <c r="A19" s="1" t="s">
        <v>18</v>
      </c>
      <c r="B19" t="str">
        <f>REPT("●",IFERROR(INDEX($P$26:$P$38,MATCH(tblCharDataReneSt[[#This Row],[Field]],$E$26:$E$38,0)),0))&amp;REPT("○",IFERROR(INDEX($V$26:$V$38,MATCH(tblCharDataReneSt[[#This Row],[Field]],$E$26:$E$38,0)),0))</f>
        <v>●●●</v>
      </c>
      <c r="D19" s="19"/>
      <c r="E19" s="15" t="s">
        <v>1437</v>
      </c>
      <c r="F19" s="3"/>
      <c r="G19" s="19"/>
      <c r="H19" s="19"/>
      <c r="I19" s="19"/>
      <c r="N19" s="61">
        <f>IF(F19=TRUE,3,0)</f>
        <v>0</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1</v>
      </c>
      <c r="AK19" s="61">
        <f t="shared" si="2"/>
        <v>1</v>
      </c>
    </row>
    <row r="20" spans="1:37">
      <c r="A20" s="1" t="s">
        <v>19</v>
      </c>
      <c r="B20" t="str">
        <f>REPT("●",IFERROR(INDEX($P$26:$P$38,MATCH(tblCharDataReneSt[[#This Row],[Field]],$E$26:$E$38,0)),0))&amp;REPT("○",IFERROR(INDEX($V$26:$V$38,MATCH(tblCharDataReneSt[[#This Row],[Field]],$E$26:$E$38,0)),0))</f>
        <v>●●</v>
      </c>
      <c r="D20" s="19"/>
      <c r="E20" s="15" t="s">
        <v>1438</v>
      </c>
      <c r="F20" s="3"/>
      <c r="G20" s="19"/>
      <c r="H20" s="19"/>
      <c r="I20" s="19"/>
      <c r="N20" s="61">
        <f>IF(F20=TRUE,3,0)</f>
        <v>0</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REPT("●",IFERROR(INDEX($P$26:$P$38,MATCH(tblCharDataReneSt[[#This Row],[Field]],$E$26:$E$38,0)),0))&amp;REPT("○",IFERROR(INDEX($V$26:$V$38,MATCH(tblCharDataReneSt[[#This Row],[Field]],$E$26:$E$38,0)),0))</f>
        <v>●●●</v>
      </c>
      <c r="D21" s="19"/>
      <c r="E21" s="15" t="s">
        <v>11</v>
      </c>
      <c r="F21" s="3" t="b">
        <v>1</v>
      </c>
      <c r="G21" s="19"/>
      <c r="H21" s="19"/>
      <c r="I21" s="19"/>
      <c r="N21" s="61">
        <f>IF(F21=TRUE,3,0)</f>
        <v>3</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0</v>
      </c>
      <c r="AK21" s="61">
        <f>IF(AJ21=0,IF(COUNTIF($E$42:$E$49,AI21)&gt;0,-3,-1),AJ21)</f>
        <v>-1</v>
      </c>
    </row>
    <row r="22" spans="1:37">
      <c r="A22" s="1" t="s">
        <v>21</v>
      </c>
      <c r="B22" t="str">
        <f>REPT("●",IFERROR(INDEX($P$26:$P$38,MATCH(tblCharDataReneSt[[#This Row],[Field]],$E$26:$E$38,0)),0))&amp;REPT("○",IFERROR(INDEX($V$26:$V$38,MATCH(tblCharDataReneSt[[#This Row],[Field]],$E$26:$E$38,0)),0))</f>
        <v>●○</v>
      </c>
      <c r="Y22" s="15" t="s">
        <v>1439</v>
      </c>
      <c r="Z22" s="61" t="str">
        <f>IFERROR(VLOOKUP(AA22,tblManoeuvre[],2,FALSE),"")</f>
        <v/>
      </c>
      <c r="AA22" s="61" t="str">
        <f t="shared" ref="AA22:AA41" si="3">_xlfn.LET(_xlpm.name,VLOOKUP(Y22,$E$2:$F$362,2,FALSE),_xlpm.paid,_xlfn.IFNA(VLOOKUP(_xlpm.name,$F$79:$Q$120,11,FALSE)&gt;=VLOOKUP(_xlpm.name,$F$79:$Q$120,12,FALSE),FALSE),IF(AND(_xlpm.name&lt;&gt;"",_xlpm.paid),_xlpm.name,""))</f>
        <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5</v>
      </c>
      <c r="AK22" s="61">
        <f>IF(AJ22=0,IF(COUNTIF($E$42:$E$49,AI22)&gt;0,-3,-1),AJ22)</f>
        <v>5</v>
      </c>
    </row>
    <row r="23" spans="1:37" ht="15.75" thickBot="1">
      <c r="A23" s="1" t="s">
        <v>22</v>
      </c>
      <c r="B23" t="str">
        <f>REPT("●",IFERROR(INDEX($P$26:$P$38,MATCH(tblCharDataReneSt[[#This Row],[Field]],$E$26:$E$38,0)),0))&amp;REPT("○",IFERROR(INDEX($V$26:$V$38,MATCH(tblCharDataReneSt[[#This Row],[Field]],$E$26:$E$38,0)),0))</f>
        <v>●●●</v>
      </c>
      <c r="D23" s="14" t="s">
        <v>1440</v>
      </c>
      <c r="E23" s="14"/>
      <c r="F23" s="14"/>
      <c r="G23" s="14"/>
      <c r="H23" s="14"/>
      <c r="I23" s="14"/>
      <c r="N23" s="60">
        <f>SUM(N26:N28,N31:N33,N36:N38)</f>
        <v>0</v>
      </c>
      <c r="Y23" s="15" t="s">
        <v>1441</v>
      </c>
      <c r="Z23" s="61" t="str">
        <f>IFERROR(VLOOKUP(AA23,tblManoeuvre[],2,FALSE),"")</f>
        <v/>
      </c>
      <c r="AA23" s="61" t="str">
        <f t="shared" si="3"/>
        <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0</v>
      </c>
      <c r="AK23" s="61">
        <f>IF(AJ23=0,VLOOKUP(AI23,$E$42:$Q$69,13,FALSE),AJ23)</f>
        <v>0</v>
      </c>
    </row>
    <row r="24" spans="1:37">
      <c r="A24" s="1" t="s">
        <v>23</v>
      </c>
      <c r="B24" t="str">
        <f>REPT("●",IFERROR(INDEX($P$26:$P$38,MATCH(tblCharDataReneSt[[#This Row],[Field]],$E$26:$E$38,0)),0))&amp;REPT("○",IFERROR(INDEX($V$26:$V$38,MATCH(tblCharDataReneSt[[#This Row],[Field]],$E$26:$E$38,0)),0))</f>
        <v>●●</v>
      </c>
      <c r="E24" s="15" t="s">
        <v>1442</v>
      </c>
      <c r="F24" s="3" t="s">
        <v>18</v>
      </c>
      <c r="Y24" s="15" t="s">
        <v>1443</v>
      </c>
      <c r="Z24" s="61" t="str">
        <f>IFERROR(VLOOKUP(AA24,tblManoeuvre[],2,FALSE),"")</f>
        <v/>
      </c>
      <c r="AA24" s="61" t="str">
        <f t="shared" si="3"/>
        <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7</v>
      </c>
      <c r="AK24" s="61">
        <f ca="1">AJ24</f>
        <v>7</v>
      </c>
    </row>
    <row r="25" spans="1:37">
      <c r="A25" s="1" t="s">
        <v>24</v>
      </c>
      <c r="B25" t="str">
        <f>REPT("●",IFERROR(INDEX($P$26:$P$38,MATCH(tblCharDataReneSt[[#This Row],[Field]],$E$26:$E$38,0)),0))&amp;REPT("○",IFERROR(INDEX($V$26:$V$38,MATCH(tblCharDataReneSt[[#This Row],[Field]],$E$26:$E$38,0)),0))</f>
        <v>●●</v>
      </c>
      <c r="D25" s="16" t="s">
        <v>1444</v>
      </c>
      <c r="E25" s="17"/>
      <c r="F25" s="17"/>
      <c r="G25" s="17" t="s">
        <v>1445</v>
      </c>
      <c r="H25" s="16" t="s">
        <v>1446</v>
      </c>
      <c r="I25" s="3" t="s">
        <v>1565</v>
      </c>
      <c r="L25" s="60">
        <f>IF(I25="",0,VLOOKUP(I25,tblPriority[#Data],2,FALSE))-SUM(L26:L28)</f>
        <v>0</v>
      </c>
      <c r="Y25" s="15" t="s">
        <v>1447</v>
      </c>
      <c r="Z25" s="61" t="str">
        <f>IFERROR(VLOOKUP(AA25,tblManoeuvre[],2,FALSE),"")</f>
        <v/>
      </c>
      <c r="AA25" s="61" t="str">
        <f t="shared" si="3"/>
        <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5</v>
      </c>
      <c r="AK25" s="61">
        <f>AJ25</f>
        <v>5</v>
      </c>
    </row>
    <row r="26" spans="1:37">
      <c r="A26" s="1" t="s">
        <v>25</v>
      </c>
      <c r="B26" t="str">
        <f>REPT("●",IFERROR(INDEX($P$42:$P$69,MATCH(tblCharDataReneSt[[#This Row],[Field]],$E$42:$E$69,0)),0))&amp;REPT("○",IFERROR(INDEX($V$42:$V$69,MATCH(tblCharDataReneSt[[#This Row],[Field]],$E$42:$E$69,0)),0))&amp;IF(IFERROR(INDEX($W$42:$W$69,MATCH(tblCharDataReneSt[[#This Row],[Field]],$E$42:$E$69,0)),0)=1,"†","")</f>
        <v/>
      </c>
      <c r="D26" s="18"/>
      <c r="E26" s="15" t="s">
        <v>16</v>
      </c>
      <c r="F26" s="18"/>
      <c r="G26" s="3"/>
      <c r="H26" s="18"/>
      <c r="I26" s="18"/>
      <c r="L26" s="3">
        <v>2</v>
      </c>
      <c r="M26" s="60">
        <f>IF(E26=$F$24,2,1)</f>
        <v>1</v>
      </c>
      <c r="N26" s="3"/>
      <c r="O26" s="61">
        <f>ROUNDDOWN(N26/4,0)</f>
        <v>0</v>
      </c>
      <c r="P26" s="60">
        <f>MIN(SUM(L26,M26,O26),R26)</f>
        <v>3</v>
      </c>
      <c r="R26" s="61">
        <v>5</v>
      </c>
      <c r="U26" s="4"/>
      <c r="V26" s="61">
        <f>U26</f>
        <v>0</v>
      </c>
      <c r="Y26" s="15" t="s">
        <v>1449</v>
      </c>
      <c r="Z26" s="61" t="str">
        <f>IFERROR(VLOOKUP(AA26,tblManoeuvre[],2,FALSE),"")</f>
        <v/>
      </c>
      <c r="AA26" s="61" t="str">
        <f t="shared" si="3"/>
        <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3</v>
      </c>
      <c r="AK26" s="61">
        <f>AJ26+IFERROR(INDEX($V$26:$V$38,MATCH(AI26,$E$26:$E$38,0)),0)</f>
        <v>3</v>
      </c>
    </row>
    <row r="27" spans="1:37">
      <c r="A27" s="1" t="s">
        <v>26</v>
      </c>
      <c r="B27" t="str">
        <f>REPT("●",IFERROR(INDEX($P$42:$P$69,MATCH(tblCharDataReneSt[[#This Row],[Field]],$E$42:$E$69,0)),0))&amp;REPT("○",IFERROR(INDEX($V$42:$V$69,MATCH(tblCharDataReneSt[[#This Row],[Field]],$E$42:$E$69,0)),0))&amp;IF(IFERROR(INDEX($W$42:$W$69,MATCH(tblCharDataReneSt[[#This Row],[Field]],$E$42:$E$69,0)),0)=1,"†","")</f>
        <v/>
      </c>
      <c r="D27" s="18"/>
      <c r="E27" s="15" t="s">
        <v>17</v>
      </c>
      <c r="F27" s="18"/>
      <c r="G27" s="3"/>
      <c r="H27" s="18"/>
      <c r="I27" s="18"/>
      <c r="L27" s="3">
        <v>2</v>
      </c>
      <c r="M27" s="60">
        <f>IF(E27=$F$24,2,1)</f>
        <v>1</v>
      </c>
      <c r="N27" s="3"/>
      <c r="O27" s="61">
        <f>ROUNDDOWN(N27/4,0)</f>
        <v>0</v>
      </c>
      <c r="P27" s="60">
        <f>MIN(SUM(L27,M27,O27),R27)</f>
        <v>3</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2</v>
      </c>
      <c r="AK27" s="61">
        <f>IF(AJ27=0,IF(COUNTIF($E$42:$E$49,AI27)&gt;0,-3,-1),AJ27)</f>
        <v>2</v>
      </c>
    </row>
    <row r="28" spans="1:37">
      <c r="A28" s="1" t="s">
        <v>27</v>
      </c>
      <c r="B28" t="str">
        <f>REPT("●",IFERROR(INDEX($P$42:$P$69,MATCH(tblCharDataReneSt[[#This Row],[Field]],$E$42:$E$69,0)),0))&amp;REPT("○",IFERROR(INDEX($V$42:$V$69,MATCH(tblCharDataReneSt[[#This Row],[Field]],$E$42:$E$69,0)),0))&amp;IF(IFERROR(INDEX($W$42:$W$69,MATCH(tblCharDataReneSt[[#This Row],[Field]],$E$42:$E$69,0)),0)=1,"†","")</f>
        <v>●●</v>
      </c>
      <c r="D28" s="18"/>
      <c r="E28" s="15" t="s">
        <v>18</v>
      </c>
      <c r="F28" s="18"/>
      <c r="G28" s="3"/>
      <c r="H28" s="18"/>
      <c r="I28" s="18"/>
      <c r="L28" s="3">
        <v>1</v>
      </c>
      <c r="M28" s="60">
        <f>IF(E28=$F$24,2,1)</f>
        <v>2</v>
      </c>
      <c r="N28" s="3"/>
      <c r="O28" s="61">
        <f>ROUNDDOWN(N28/4,0)</f>
        <v>0</v>
      </c>
      <c r="P28" s="60">
        <f>MIN(SUM(L28,M28,O28),R28)</f>
        <v>3</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0</v>
      </c>
      <c r="AK28" s="61">
        <f>IF(AJ28=0,IF(COUNTIF($E$42:$E$49,AI28)&gt;0,-3,-1),AJ28)</f>
        <v>-3</v>
      </c>
    </row>
    <row r="29" spans="1:37">
      <c r="A29" s="1" t="s">
        <v>28</v>
      </c>
      <c r="B29" t="str">
        <f>REPT("●",IFERROR(INDEX($P$42:$P$69,MATCH(tblCharDataReneSt[[#This Row],[Field]],$E$42:$E$69,0)),0))&amp;REPT("○",IFERROR(INDEX($V$42:$V$69,MATCH(tblCharDataReneSt[[#This Row],[Field]],$E$42:$E$69,0)),0))&amp;IF(IFERROR(INDEX($W$42:$W$69,MATCH(tblCharDataReneSt[[#This Row],[Field]],$E$42:$E$69,0)),0)=1,"†","")</f>
        <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2</v>
      </c>
      <c r="AK29" s="61">
        <f>IF(AJ29=0,IF(COUNTIF($E$42:$E$49,AI29)&gt;0,-3,-1),AJ29)</f>
        <v>2</v>
      </c>
    </row>
    <row r="30" spans="1:37">
      <c r="A30" s="1" t="s">
        <v>29</v>
      </c>
      <c r="B30" t="str">
        <f>REPT("●",IFERROR(INDEX($P$42:$P$69,MATCH(tblCharDataReneSt[[#This Row],[Field]],$E$42:$E$69,0)),0))&amp;REPT("○",IFERROR(INDEX($V$42:$V$69,MATCH(tblCharDataReneSt[[#This Row],[Field]],$E$42:$E$69,0)),0))&amp;IF(IFERROR(INDEX($W$42:$W$69,MATCH(tblCharDataReneSt[[#This Row],[Field]],$E$42:$E$69,0)),0)=1,"†","")</f>
        <v/>
      </c>
      <c r="D30" s="16" t="s">
        <v>1453</v>
      </c>
      <c r="E30" s="17"/>
      <c r="F30" s="17"/>
      <c r="G30" s="17" t="s">
        <v>1445</v>
      </c>
      <c r="H30" s="16" t="s">
        <v>1446</v>
      </c>
      <c r="I30" s="3" t="s">
        <v>1566</v>
      </c>
      <c r="L30" s="60">
        <f>IF(I30="",0,VLOOKUP(I30,tblPriority[#Data],2,FALSE))-SUM(L31:L33)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0</v>
      </c>
      <c r="AK30" s="61">
        <f>AJ30</f>
        <v>0</v>
      </c>
    </row>
    <row r="31" spans="1:37">
      <c r="A31" s="1" t="s">
        <v>30</v>
      </c>
      <c r="B31" t="str">
        <f>REPT("●",IFERROR(INDEX($P$42:$P$69,MATCH(tblCharDataReneSt[[#This Row],[Field]],$E$42:$E$69,0)),0))&amp;REPT("○",IFERROR(INDEX($V$42:$V$69,MATCH(tblCharDataReneSt[[#This Row],[Field]],$E$42:$E$69,0)),0))&amp;IF(IFERROR(INDEX($W$42:$W$69,MATCH(tblCharDataReneSt[[#This Row],[Field]],$E$42:$E$69,0)),0)=1,"†","")</f>
        <v>●●●●●</v>
      </c>
      <c r="D31" s="18"/>
      <c r="E31" s="15" t="s">
        <v>19</v>
      </c>
      <c r="F31" s="18"/>
      <c r="G31" s="3"/>
      <c r="H31" s="18"/>
      <c r="I31" s="18"/>
      <c r="L31" s="3">
        <v>1</v>
      </c>
      <c r="M31" s="60">
        <f>IF(E31=$F$24,2,1)</f>
        <v>1</v>
      </c>
      <c r="N31" s="3"/>
      <c r="O31" s="61">
        <f>ROUNDDOWN(N31/4,0)</f>
        <v>0</v>
      </c>
      <c r="P31" s="60">
        <f>MIN(SUM(L31,M31,O31),R31)</f>
        <v>2</v>
      </c>
      <c r="R31" s="61">
        <v>5</v>
      </c>
      <c r="U31" s="4"/>
      <c r="V31" s="61">
        <f>$P$174+U31</f>
        <v>0</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2</v>
      </c>
      <c r="AK31" s="61">
        <f>AJ31+IFERROR(INDEX($V$26:$V$38,MATCH(AI31,$E$26:$E$38,0)),0)</f>
        <v>2</v>
      </c>
    </row>
    <row r="32" spans="1:37">
      <c r="A32" s="1" t="s">
        <v>31</v>
      </c>
      <c r="B32" t="str">
        <f>REPT("●",IFERROR(INDEX($P$42:$P$69,MATCH(tblCharDataReneSt[[#This Row],[Field]],$E$42:$E$69,0)),0))&amp;REPT("○",IFERROR(INDEX($V$42:$V$69,MATCH(tblCharDataReneSt[[#This Row],[Field]],$E$42:$E$69,0)),0))&amp;IF(IFERROR(INDEX($W$42:$W$69,MATCH(tblCharDataReneSt[[#This Row],[Field]],$E$42:$E$69,0)),0)=1,"†","")</f>
        <v>●</v>
      </c>
      <c r="D32" s="18"/>
      <c r="E32" s="15" t="s">
        <v>20</v>
      </c>
      <c r="F32" s="18"/>
      <c r="G32" s="3"/>
      <c r="H32" s="18"/>
      <c r="I32" s="18"/>
      <c r="L32" s="3">
        <v>2</v>
      </c>
      <c r="M32" s="60">
        <f>IF(E32=$F$24,2,1)</f>
        <v>1</v>
      </c>
      <c r="N32" s="3"/>
      <c r="O32" s="61">
        <f>ROUNDDOWN(N32/4,0)</f>
        <v>0</v>
      </c>
      <c r="P32" s="60">
        <f>MIN(SUM(L32,M32,O32),R32)</f>
        <v>3</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REPT("●",IFERROR(INDEX($P$42:$P$69,MATCH(tblCharDataReneSt[[#This Row],[Field]],$E$42:$E$69,0)),0))&amp;REPT("○",IFERROR(INDEX($V$42:$V$69,MATCH(tblCharDataReneSt[[#This Row],[Field]],$E$42:$E$69,0)),0))&amp;IF(IFERROR(INDEX($W$42:$W$69,MATCH(tblCharDataReneSt[[#This Row],[Field]],$E$42:$E$69,0)),0)=1,"†","")</f>
        <v/>
      </c>
      <c r="D33" s="18"/>
      <c r="E33" s="15" t="s">
        <v>21</v>
      </c>
      <c r="F33" s="18"/>
      <c r="G33" s="3"/>
      <c r="H33" s="18"/>
      <c r="I33" s="18"/>
      <c r="L33" s="3"/>
      <c r="M33" s="60">
        <f>IF(E33=$F$24,2,1)</f>
        <v>1</v>
      </c>
      <c r="N33" s="3"/>
      <c r="O33" s="61">
        <f>ROUNDDOWN(N33/4,0)</f>
        <v>0</v>
      </c>
      <c r="P33" s="60">
        <f>MIN(SUM(L33,M33,O33),R33)</f>
        <v>1</v>
      </c>
      <c r="R33" s="61">
        <v>5</v>
      </c>
      <c r="U33" s="4"/>
      <c r="V33" s="61">
        <f>$P$173+U33</f>
        <v>1</v>
      </c>
      <c r="Y33" s="15" t="s">
        <v>1457</v>
      </c>
      <c r="Z33" s="61" t="str">
        <f>IFERROR(VLOOKUP(AA33,tblManoeuvre[],2,FALSE),"")</f>
        <v/>
      </c>
      <c r="AA33" s="61" t="str">
        <f t="shared" si="3"/>
        <v/>
      </c>
      <c r="AI33" s="15" t="s">
        <v>241</v>
      </c>
      <c r="AJ33" s="61">
        <f t="shared" si="1"/>
        <v>0</v>
      </c>
      <c r="AK33" s="61">
        <f>AJ33</f>
        <v>0</v>
      </c>
    </row>
    <row r="34" spans="1:37">
      <c r="A34" s="1" t="s">
        <v>33</v>
      </c>
      <c r="B34" t="str">
        <f>REPT("●",IFERROR(INDEX($P$42:$P$69,MATCH(tblCharDataReneSt[[#This Row],[Field]],$E$42:$E$69,0)),0))&amp;REPT("○",IFERROR(INDEX($V$42:$V$69,MATCH(tblCharDataReneSt[[#This Row],[Field]],$E$42:$E$69,0)),0))&amp;IF(IFERROR(INDEX($W$42:$W$69,MATCH(tblCharDataReneSt[[#This Row],[Field]],$E$42:$E$69,0)),0)=1,"†","")</f>
        <v/>
      </c>
      <c r="Y34" s="15" t="s">
        <v>1458</v>
      </c>
      <c r="Z34" s="61" t="str">
        <f>IFERROR(VLOOKUP(AA34,tblManoeuvre[],2,FALSE),"")</f>
        <v/>
      </c>
      <c r="AA34" s="61" t="str">
        <f t="shared" si="3"/>
        <v/>
      </c>
      <c r="AI34" s="15" t="s">
        <v>242</v>
      </c>
      <c r="AJ34" s="61">
        <f t="shared" ref="AJ34:AJ58" si="4">VLOOKUP(AI34,$E$3:$P$221,12,FALSE)</f>
        <v>4</v>
      </c>
      <c r="AK34" s="61">
        <f>AJ34</f>
        <v>4</v>
      </c>
    </row>
    <row r="35" spans="1:37">
      <c r="A35" s="1" t="s">
        <v>34</v>
      </c>
      <c r="B35" t="str">
        <f>REPT("●",IFERROR(INDEX($P$42:$P$69,MATCH(tblCharDataReneSt[[#This Row],[Field]],$E$42:$E$69,0)),0))&amp;REPT("○",IFERROR(INDEX($V$42:$V$69,MATCH(tblCharDataReneSt[[#This Row],[Field]],$E$42:$E$69,0)),0))&amp;IF(IFERROR(INDEX($W$42:$W$69,MATCH(tblCharDataReneSt[[#This Row],[Field]],$E$42:$E$69,0)),0)=1,"†","")</f>
        <v/>
      </c>
      <c r="D35" s="16" t="s">
        <v>1459</v>
      </c>
      <c r="E35" s="17"/>
      <c r="F35" s="17"/>
      <c r="G35" s="17" t="s">
        <v>1445</v>
      </c>
      <c r="H35" s="16" t="s">
        <v>1446</v>
      </c>
      <c r="I35" s="3" t="s">
        <v>1567</v>
      </c>
      <c r="L35" s="60">
        <f>IF(I35="",0,VLOOKUP(I35,tblPriority[#Data],2,FALSE))-SUM(L36:L38)</f>
        <v>0</v>
      </c>
      <c r="Y35" s="15" t="s">
        <v>1460</v>
      </c>
      <c r="Z35" s="61" t="str">
        <f>IFERROR(VLOOKUP(AA35,tblManoeuvre[],2,FALSE),"")</f>
        <v/>
      </c>
      <c r="AA35" s="61" t="str">
        <f t="shared" si="3"/>
        <v/>
      </c>
      <c r="AI35" s="15" t="s">
        <v>30</v>
      </c>
      <c r="AJ35" s="61">
        <f t="shared" si="4"/>
        <v>5</v>
      </c>
      <c r="AK35" s="61">
        <f>IF(AJ35=0,IF(COUNTIF($E$42:$E$49,AI35)&gt;0,-3,-1),AJ35)</f>
        <v>5</v>
      </c>
    </row>
    <row r="36" spans="1:37">
      <c r="A36" s="1" t="s">
        <v>35</v>
      </c>
      <c r="B36" t="str">
        <f>REPT("●",IFERROR(INDEX($P$42:$P$69,MATCH(tblCharDataReneSt[[#This Row],[Field]],$E$42:$E$69,0)),0))&amp;REPT("○",IFERROR(INDEX($V$42:$V$69,MATCH(tblCharDataReneSt[[#This Row],[Field]],$E$42:$E$69,0)),0))&amp;IF(IFERROR(INDEX($W$42:$W$69,MATCH(tblCharDataReneSt[[#This Row],[Field]],$E$42:$E$69,0)),0)=1,"†","")</f>
        <v/>
      </c>
      <c r="D36" s="18"/>
      <c r="E36" s="15" t="s">
        <v>22</v>
      </c>
      <c r="F36" s="18"/>
      <c r="G36" s="3"/>
      <c r="H36" s="18"/>
      <c r="I36" s="18"/>
      <c r="L36" s="3">
        <v>2</v>
      </c>
      <c r="M36" s="60">
        <f>IF(E36=$F$24,2,1)</f>
        <v>1</v>
      </c>
      <c r="N36" s="3"/>
      <c r="O36" s="61">
        <f>ROUNDDOWN(N36/4,0)</f>
        <v>0</v>
      </c>
      <c r="P36" s="60">
        <f>MIN(SUM(L36,M36,O36),R36)</f>
        <v>3</v>
      </c>
      <c r="R36" s="61">
        <v>5</v>
      </c>
      <c r="U36" s="4"/>
      <c r="V36" s="61">
        <f>U36</f>
        <v>0</v>
      </c>
      <c r="Y36" s="15" t="s">
        <v>1461</v>
      </c>
      <c r="Z36" s="61" t="str">
        <f>IFERROR(VLOOKUP(AA36,tblManoeuvre[],2,FALSE),"")</f>
        <v/>
      </c>
      <c r="AA36" s="61" t="str">
        <f t="shared" si="3"/>
        <v/>
      </c>
      <c r="AI36" s="15" t="s">
        <v>45</v>
      </c>
      <c r="AJ36" s="61">
        <f t="shared" si="4"/>
        <v>3</v>
      </c>
      <c r="AK36" s="61">
        <f>IF(AJ36=0,IF(COUNTIF($E$42:$E$49,AI36)&gt;0,-3,-1),AJ36)</f>
        <v>3</v>
      </c>
    </row>
    <row r="37" spans="1:37">
      <c r="A37" s="1" t="s">
        <v>36</v>
      </c>
      <c r="B37" t="str">
        <f>REPT("●",IFERROR(INDEX($P$42:$P$69,MATCH(tblCharDataReneSt[[#This Row],[Field]],$E$42:$E$69,0)),0))&amp;REPT("○",IFERROR(INDEX($V$42:$V$69,MATCH(tblCharDataReneSt[[#This Row],[Field]],$E$42:$E$69,0)),0))&amp;IF(IFERROR(INDEX($W$42:$W$69,MATCH(tblCharDataReneSt[[#This Row],[Field]],$E$42:$E$69,0)),0)=1,"†","")</f>
        <v/>
      </c>
      <c r="D37" s="18"/>
      <c r="E37" s="15" t="s">
        <v>23</v>
      </c>
      <c r="F37" s="18"/>
      <c r="G37" s="3"/>
      <c r="H37" s="18"/>
      <c r="I37" s="18"/>
      <c r="L37" s="3">
        <v>1</v>
      </c>
      <c r="M37" s="60">
        <f>IF(E37=$F$24,2,1)</f>
        <v>1</v>
      </c>
      <c r="N37" s="3"/>
      <c r="O37" s="61">
        <f>ROUNDDOWN(N37/4,0)</f>
        <v>0</v>
      </c>
      <c r="P37" s="60">
        <f>MIN(SUM(L37,M37,O37),R37)</f>
        <v>2</v>
      </c>
      <c r="R37" s="61">
        <v>5</v>
      </c>
      <c r="U37" s="4"/>
      <c r="V37" s="61">
        <f>U37</f>
        <v>0</v>
      </c>
      <c r="Y37" s="15" t="s">
        <v>1462</v>
      </c>
      <c r="Z37" s="61" t="str">
        <f>IFERROR(VLOOKUP(AA37,tblManoeuvre[],2,FALSE),"")</f>
        <v/>
      </c>
      <c r="AA37" s="61" t="str">
        <f t="shared" si="3"/>
        <v/>
      </c>
      <c r="AI37" s="15" t="s">
        <v>31</v>
      </c>
      <c r="AJ37" s="61">
        <f t="shared" si="4"/>
        <v>1</v>
      </c>
      <c r="AK37" s="61">
        <f>IF(AJ37=0,IF(COUNTIF($E$42:$E$49,AI37)&gt;0,-3,-1),AJ37)</f>
        <v>1</v>
      </c>
    </row>
    <row r="38" spans="1:37">
      <c r="A38" s="1" t="s">
        <v>37</v>
      </c>
      <c r="B38" t="str">
        <f>REPT("●",IFERROR(INDEX($P$42:$P$69,MATCH(tblCharDataReneSt[[#This Row],[Field]],$E$42:$E$69,0)),0))&amp;REPT("○",IFERROR(INDEX($V$42:$V$69,MATCH(tblCharDataReneSt[[#This Row],[Field]],$E$42:$E$69,0)),0))&amp;IF(IFERROR(INDEX($W$42:$W$69,MATCH(tblCharDataReneSt[[#This Row],[Field]],$E$42:$E$69,0)),0)=1,"†","")</f>
        <v>●●</v>
      </c>
      <c r="D38" s="18"/>
      <c r="E38" s="15" t="s">
        <v>24</v>
      </c>
      <c r="F38" s="18"/>
      <c r="G38" s="3"/>
      <c r="H38" s="18"/>
      <c r="I38" s="18"/>
      <c r="L38" s="3">
        <v>1</v>
      </c>
      <c r="M38" s="60">
        <f>IF(E38=$F$24,2,1)</f>
        <v>1</v>
      </c>
      <c r="N38" s="3"/>
      <c r="O38" s="61">
        <f>ROUNDDOWN(N38/4,0)</f>
        <v>0</v>
      </c>
      <c r="P38" s="60">
        <f>MIN(SUM(L38,M38,O38),R38)</f>
        <v>2</v>
      </c>
      <c r="R38" s="61">
        <v>5</v>
      </c>
      <c r="U38" s="4"/>
      <c r="V38" s="61">
        <f>U38</f>
        <v>0</v>
      </c>
      <c r="Y38" s="15" t="s">
        <v>1463</v>
      </c>
      <c r="Z38" s="61" t="str">
        <f>IFERROR(VLOOKUP(AA38,tblManoeuvre[],2,FALSE),"")</f>
        <v/>
      </c>
      <c r="AA38" s="61" t="str">
        <f t="shared" si="3"/>
        <v/>
      </c>
      <c r="AI38" s="15" t="s">
        <v>22</v>
      </c>
      <c r="AJ38" s="61">
        <f t="shared" si="4"/>
        <v>3</v>
      </c>
      <c r="AK38" s="61">
        <f>AJ38+IFERROR(INDEX($V$26:$V$38,MATCH(AI38,$E$26:$E$38,0)),0)</f>
        <v>3</v>
      </c>
    </row>
    <row r="39" spans="1:37">
      <c r="A39" s="1" t="s">
        <v>38</v>
      </c>
      <c r="B39" t="str">
        <f>REPT("●",IFERROR(INDEX($P$42:$P$69,MATCH(tblCharDataReneSt[[#This Row],[Field]],$E$42:$E$69,0)),0))&amp;REPT("○",IFERROR(INDEX($V$42:$V$69,MATCH(tblCharDataReneSt[[#This Row],[Field]],$E$42:$E$69,0)),0))&amp;IF(IFERROR(INDEX($W$42:$W$69,MATCH(tblCharDataReneSt[[#This Row],[Field]],$E$42:$E$69,0)),0)=1,"†","")</f>
        <v>●●</v>
      </c>
      <c r="Y39" s="15" t="s">
        <v>1464</v>
      </c>
      <c r="Z39" s="61" t="str">
        <f>IFERROR(VLOOKUP(AA39,tblManoeuvre[],2,FALSE),"")</f>
        <v/>
      </c>
      <c r="AA39" s="61" t="str">
        <f t="shared" si="3"/>
        <v/>
      </c>
      <c r="AI39" s="15" t="s">
        <v>243</v>
      </c>
      <c r="AJ39" s="61">
        <f t="shared" si="4"/>
        <v>0</v>
      </c>
      <c r="AK39" s="61">
        <f>AJ39</f>
        <v>0</v>
      </c>
    </row>
    <row r="40" spans="1:37" ht="15.75" thickBot="1">
      <c r="A40" s="1" t="s">
        <v>39</v>
      </c>
      <c r="B40" t="str">
        <f>REPT("●",IFERROR(INDEX($P$42:$P$69,MATCH(tblCharDataReneSt[[#This Row],[Field]],$E$42:$E$69,0)),0))&amp;REPT("○",IFERROR(INDEX($V$42:$V$69,MATCH(tblCharDataReneSt[[#This Row],[Field]],$E$42:$E$69,0)),0))&amp;IF(IFERROR(INDEX($W$42:$W$69,MATCH(tblCharDataReneSt[[#This Row],[Field]],$E$42:$E$69,0)),0)=1,"†","")</f>
        <v/>
      </c>
      <c r="D40" s="14" t="s">
        <v>1465</v>
      </c>
      <c r="E40" s="14"/>
      <c r="F40" s="14"/>
      <c r="G40" s="14"/>
      <c r="H40" s="14"/>
      <c r="I40" s="14"/>
      <c r="N40" s="60">
        <f>SUM(N42:N49,N52:N59,N62:N69)</f>
        <v>4</v>
      </c>
      <c r="T40" s="60">
        <f>MAX(0,SUM(T42:T49,T52:T59,T62:T69)-(3+IF(P161&gt;=3,2,0)))</f>
        <v>0</v>
      </c>
      <c r="U40" s="60">
        <f>IF(P161&gt;=4,1,0)-SUM(U42:U49,U52:U59,U62:U69)</f>
        <v>1</v>
      </c>
      <c r="W40" s="60" cm="1">
        <f t="array" ref="W40">IF($P$161&gt;=1,2+IF($P$161&gt;=3,1,0),0)+IF(SUMPRODUCT(($F$206:$F$215="Oath of the Hard Motherfucker")*($P$206:$P$215&gt;0))&gt;0,2,0)-SUM(W42:W49,W52:W59,W62:W69)</f>
        <v>5</v>
      </c>
      <c r="Y40" s="15" t="s">
        <v>1466</v>
      </c>
      <c r="Z40" s="61" t="str">
        <f>IFERROR(VLOOKUP(AA40,tblManoeuvre[],2,FALSE),"")</f>
        <v/>
      </c>
      <c r="AA40" s="61" t="str">
        <f t="shared" si="3"/>
        <v/>
      </c>
      <c r="AI40" s="15" t="s">
        <v>251</v>
      </c>
      <c r="AJ40" s="61">
        <f t="shared" si="4"/>
        <v>0</v>
      </c>
      <c r="AK40" s="61">
        <f>AJ40</f>
        <v>0</v>
      </c>
    </row>
    <row r="41" spans="1:37">
      <c r="A41" s="1" t="s">
        <v>40</v>
      </c>
      <c r="B41" t="str">
        <f>REPT("●",IFERROR(INDEX($P$42:$P$69,MATCH(tblCharDataReneSt[[#This Row],[Field]],$E$42:$E$69,0)),0))&amp;REPT("○",IFERROR(INDEX($V$42:$V$69,MATCH(tblCharDataReneSt[[#This Row],[Field]],$E$42:$E$69,0)),0))&amp;IF(IFERROR(INDEX($W$42:$W$69,MATCH(tblCharDataReneSt[[#This Row],[Field]],$E$42:$E$69,0)),0)=1,"†","")</f>
        <v/>
      </c>
      <c r="D41" s="16" t="s">
        <v>1444</v>
      </c>
      <c r="E41" s="17"/>
      <c r="F41" s="17"/>
      <c r="G41" s="17" t="s">
        <v>1467</v>
      </c>
      <c r="H41" s="16" t="s">
        <v>1446</v>
      </c>
      <c r="I41" s="3" t="s">
        <v>1567</v>
      </c>
      <c r="L41" s="60">
        <f>IF(I41="",0,VLOOKUP(I41,tblPriority[#Data],3,FALSE))-SUM(L42:L49)</f>
        <v>0</v>
      </c>
      <c r="T41" s="60">
        <f>MAX(3+IF(P161&gt;=3,2,0)-SUM(T42:T49,T52:T59,T62:T69),0)</f>
        <v>3</v>
      </c>
      <c r="Y41" s="15" t="s">
        <v>1468</v>
      </c>
      <c r="Z41" s="61" t="str">
        <f>IFERROR(VLOOKUP(AA41,tblManoeuvre[],2,FALSE),"")</f>
        <v/>
      </c>
      <c r="AA41" s="61" t="str">
        <f t="shared" si="3"/>
        <v/>
      </c>
      <c r="AI41" s="15" t="s">
        <v>244</v>
      </c>
      <c r="AJ41" s="61">
        <f t="shared" si="4"/>
        <v>1</v>
      </c>
      <c r="AK41" s="61">
        <f>AJ41</f>
        <v>1</v>
      </c>
    </row>
    <row r="42" spans="1:37">
      <c r="A42" s="1" t="s">
        <v>41</v>
      </c>
      <c r="B42" t="str">
        <f>REPT("●",IFERROR(INDEX($P$42:$P$69,MATCH(tblCharDataReneSt[[#This Row],[Field]],$E$42:$E$69,0)),0))&amp;REPT("○",IFERROR(INDEX($V$42:$V$69,MATCH(tblCharDataReneSt[[#This Row],[Field]],$E$42:$E$69,0)),0))&amp;IF(IFERROR(INDEX($W$42:$W$69,MATCH(tblCharDataReneSt[[#This Row],[Field]],$E$42:$E$69,0)),0)=1,"†","")</f>
        <v/>
      </c>
      <c r="D42" s="18"/>
      <c r="E42" s="15" t="s">
        <v>25</v>
      </c>
      <c r="F42" s="18"/>
      <c r="G42" s="3"/>
      <c r="H42" s="18"/>
      <c r="I42" s="18"/>
      <c r="L42" s="4"/>
      <c r="M42" s="60"/>
      <c r="N42" s="4"/>
      <c r="O42" s="61">
        <f>ROUNDDOWN(N42/2,0)</f>
        <v>0</v>
      </c>
      <c r="P42" s="60">
        <f t="shared" ref="P42:P49" si="5">MIN(SUM(L42,M42,O42),R42)</f>
        <v>0</v>
      </c>
      <c r="R42" s="61">
        <v>5</v>
      </c>
      <c r="T42" s="4"/>
      <c r="U42" s="4"/>
      <c r="V42" s="61">
        <f t="shared" ref="V42:V49" si="6">U42</f>
        <v>0</v>
      </c>
      <c r="W42" s="4"/>
      <c r="AI42" s="15" t="s">
        <v>18</v>
      </c>
      <c r="AJ42" s="61">
        <f t="shared" si="4"/>
        <v>3</v>
      </c>
      <c r="AK42" s="61">
        <f>AJ42+IFERROR(INDEX($V$26:$V$38,MATCH(AI42,$E$26:$E$38,0)),0)</f>
        <v>3</v>
      </c>
    </row>
    <row r="43" spans="1:37">
      <c r="A43" s="1" t="s">
        <v>42</v>
      </c>
      <c r="B43" t="str">
        <f>REPT("●",IFERROR(INDEX($P$42:$P$69,MATCH(tblCharDataReneSt[[#This Row],[Field]],$E$42:$E$69,0)),0))&amp;REPT("○",IFERROR(INDEX($V$42:$V$69,MATCH(tblCharDataReneSt[[#This Row],[Field]],$E$42:$E$69,0)),0))&amp;IF(IFERROR(INDEX($W$42:$W$69,MATCH(tblCharDataReneSt[[#This Row],[Field]],$E$42:$E$69,0)),0)=1,"†","")</f>
        <v/>
      </c>
      <c r="D43" s="18"/>
      <c r="E43" s="15" t="s">
        <v>26</v>
      </c>
      <c r="F43" s="18"/>
      <c r="G43" s="3"/>
      <c r="H43" s="18"/>
      <c r="I43" s="18"/>
      <c r="L43" s="4"/>
      <c r="M43" s="60"/>
      <c r="N43" s="4"/>
      <c r="O43" s="61">
        <f t="shared" ref="O43:O49" si="7">ROUNDDOWN(N43/2,0)</f>
        <v>0</v>
      </c>
      <c r="P43" s="60">
        <f t="shared" si="5"/>
        <v>0</v>
      </c>
      <c r="R43" s="61">
        <v>5</v>
      </c>
      <c r="T43" s="4"/>
      <c r="U43" s="4"/>
      <c r="V43" s="61">
        <f t="shared" si="6"/>
        <v>0</v>
      </c>
      <c r="W43" s="4"/>
      <c r="AI43" s="15" t="s">
        <v>32</v>
      </c>
      <c r="AJ43" s="61">
        <f t="shared" si="4"/>
        <v>0</v>
      </c>
      <c r="AK43" s="61">
        <f>IF(AJ43=0,IF(COUNTIF($E$42:$E$49,AI43)&gt;0,-3,-1),AJ43)</f>
        <v>-3</v>
      </c>
    </row>
    <row r="44" spans="1:37">
      <c r="A44" s="1" t="s">
        <v>43</v>
      </c>
      <c r="B44" t="str">
        <f>REPT("●",IFERROR(INDEX($P$42:$P$69,MATCH(tblCharDataReneSt[[#This Row],[Field]],$E$42:$E$69,0)),0))&amp;REPT("○",IFERROR(INDEX($V$42:$V$69,MATCH(tblCharDataReneSt[[#This Row],[Field]],$E$42:$E$69,0)),0))&amp;IF(IFERROR(INDEX($W$42:$W$69,MATCH(tblCharDataReneSt[[#This Row],[Field]],$E$42:$E$69,0)),0)=1,"†","")</f>
        <v>●●●●●</v>
      </c>
      <c r="D44" s="18"/>
      <c r="E44" s="15" t="s">
        <v>27</v>
      </c>
      <c r="F44" s="18"/>
      <c r="G44" s="3"/>
      <c r="H44" s="18"/>
      <c r="I44" s="18"/>
      <c r="L44" s="4">
        <v>2</v>
      </c>
      <c r="M44" s="60"/>
      <c r="N44" s="4"/>
      <c r="O44" s="61">
        <f t="shared" si="7"/>
        <v>0</v>
      </c>
      <c r="P44" s="60">
        <f t="shared" si="5"/>
        <v>2</v>
      </c>
      <c r="R44" s="61">
        <v>5</v>
      </c>
      <c r="T44" s="4"/>
      <c r="U44" s="4"/>
      <c r="V44" s="61">
        <f t="shared" si="6"/>
        <v>0</v>
      </c>
      <c r="W44" s="4"/>
      <c r="Y44" s="15">
        <v>1</v>
      </c>
      <c r="Z44" s="61" t="s">
        <v>236</v>
      </c>
      <c r="AA44" s="60" t="str" cm="1">
        <f t="array" ref="AA44">IF(OR(Y44=0,Y44=""),"",IF(VLOOKUP(Z44,$AI$1:$AJ$58,2,FALSE)&gt;=Y44,INDEX(tblDisciplines[Name],MATCH(1,(tblDisciplines[Discipline]=Z44)*(tblDisciplines[Rank]=Y44),0)),""))</f>
        <v/>
      </c>
      <c r="AC44" s="60" t="str" cm="1">
        <f t="array" ref="AC44:AC53">IFERROR(_xlfn.VSTACK(IFERROR(_xlfn._xlws.FILTER(AA44:AA121,AA44:AA121&lt;&gt;""),""),IFERROR(_xlfn._xlws.SORT(_xlfn._xlws.FILTER(AA123:AA132,AA123:AA132&lt;&gt;"")),"")),"")</f>
        <v>Mesmerise</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Dominate ● | Mesmerise</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 -3 in combat unless Blinded  •  Pool: 9  v Resolve + BP  •  Instant  •  Instant</v>
      </c>
      <c r="AF44" s="20" t="str">
        <f>IF(AC44="","",IFERROR(VLOOKUP(AC44,tblDisciplines[],12,FALSE),VLOOKUP(AC44,tblPacts[],5,FALSE)))</f>
        <v>Impose Mesmerised Condition. Control with short commands.</v>
      </c>
      <c r="AI44" s="15" t="s">
        <v>353</v>
      </c>
      <c r="AJ44" s="61">
        <f t="shared" si="4"/>
        <v>5</v>
      </c>
      <c r="AK44" s="61">
        <f>AJ44</f>
        <v>5</v>
      </c>
    </row>
    <row r="45" spans="1:37">
      <c r="A45" s="1" t="s">
        <v>44</v>
      </c>
      <c r="B45" t="str">
        <f>REPT("●",IFERROR(INDEX($P$42:$P$69,MATCH(tblCharDataReneSt[[#This Row],[Field]],$E$42:$E$69,0)),0))&amp;REPT("○",IFERROR(INDEX($V$42:$V$69,MATCH(tblCharDataReneSt[[#This Row],[Field]],$E$42:$E$69,0)),0))&amp;IF(IFERROR(INDEX($W$42:$W$69,MATCH(tblCharDataReneSt[[#This Row],[Field]],$E$42:$E$69,0)),0)=1,"†","")</f>
        <v>●●</v>
      </c>
      <c r="D45" s="18"/>
      <c r="E45" s="15" t="s">
        <v>28</v>
      </c>
      <c r="F45" s="18"/>
      <c r="G45" s="3"/>
      <c r="H45" s="18"/>
      <c r="I45" s="18"/>
      <c r="L45" s="4"/>
      <c r="M45" s="60"/>
      <c r="N45" s="4"/>
      <c r="O45" s="61">
        <f t="shared" si="7"/>
        <v>0</v>
      </c>
      <c r="P45" s="60">
        <f t="shared" si="5"/>
        <v>0</v>
      </c>
      <c r="R45" s="61">
        <v>5</v>
      </c>
      <c r="T45" s="4"/>
      <c r="U45" s="4"/>
      <c r="V45" s="61">
        <f t="shared" si="6"/>
        <v>0</v>
      </c>
      <c r="W45" s="4"/>
      <c r="Y45" s="15">
        <v>2</v>
      </c>
      <c r="Z45" s="61" t="s">
        <v>236</v>
      </c>
      <c r="AA45" s="60" t="str" cm="1">
        <f t="array" ref="AA45">IF(OR(Y45=0,Y45=""),"",IF(VLOOKUP(Z45,$AI$1:$AJ$58,2,FALSE)&gt;=Y45,INDEX(tblDisciplines[Name],MATCH(1,(tblDisciplines[Discipline]=Z45)*(tblDisciplines[Rank]=Y45),0)),""))</f>
        <v/>
      </c>
      <c r="AC45" s="60" t="str">
        <v>Face in the Crowd</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Obfuscate ● | Face in the Crowd</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  •  Pool: -  •  Instant  •  Scene</v>
      </c>
      <c r="AF45" s="20" t="str">
        <f>IF(AC45="","",IFERROR(VLOOKUP(AC45,tblDisciplines[],12,FALSE),VLOOKUP(AC45,tblPacts[],5,FALSE)))</f>
        <v>Blend into surroundings, visible but unnoticeable. Predatory aura fully on or off. Leaving combat: Wits + Composure - Obfuscate to notice; auto Clash of Wills vs Auspex.</v>
      </c>
      <c r="AI45" s="15" t="s">
        <v>46</v>
      </c>
      <c r="AJ45" s="61">
        <f t="shared" si="4"/>
        <v>0</v>
      </c>
      <c r="AK45" s="61">
        <f>IF(AJ45=0,IF(COUNTIF($E$42:$E$49,AI45)&gt;0,-3,-1),AJ45)</f>
        <v>-1</v>
      </c>
    </row>
    <row r="46" spans="1:37">
      <c r="A46" s="1" t="s">
        <v>45</v>
      </c>
      <c r="B46" t="str">
        <f>REPT("●",IFERROR(INDEX($P$42:$P$69,MATCH(tblCharDataReneSt[[#This Row],[Field]],$E$42:$E$69,0)),0))&amp;REPT("○",IFERROR(INDEX($V$42:$V$69,MATCH(tblCharDataReneSt[[#This Row],[Field]],$E$42:$E$69,0)),0))&amp;IF(IFERROR(INDEX($W$42:$W$69,MATCH(tblCharDataReneSt[[#This Row],[Field]],$E$42:$E$69,0)),0)=1,"†","")</f>
        <v>●●●</v>
      </c>
      <c r="D46" s="18"/>
      <c r="E46" s="15" t="s">
        <v>29</v>
      </c>
      <c r="F46" s="18"/>
      <c r="G46" s="3"/>
      <c r="H46" s="18"/>
      <c r="I46" s="18"/>
      <c r="L46" s="4"/>
      <c r="M46" s="60"/>
      <c r="N46" s="4"/>
      <c r="O46" s="61">
        <f t="shared" si="7"/>
        <v>0</v>
      </c>
      <c r="P46" s="60">
        <f t="shared" si="5"/>
        <v>0</v>
      </c>
      <c r="R46" s="61">
        <v>5</v>
      </c>
      <c r="T46" s="4"/>
      <c r="U46" s="4"/>
      <c r="V46" s="61">
        <f t="shared" si="6"/>
        <v>0</v>
      </c>
      <c r="W46" s="4"/>
      <c r="Y46" s="15">
        <v>3</v>
      </c>
      <c r="Z46" s="61" t="s">
        <v>236</v>
      </c>
      <c r="AA46" s="60" t="str" cm="1">
        <f t="array" ref="AA46">IF(OR(Y46=0,Y46=""),"",IF(VLOOKUP(Z46,$AI$1:$AJ$58,2,FALSE)&gt;=Y46,INDEX(tblDisciplines[Name],MATCH(1,(tblDisciplines[Discipline]=Z46)*(tblDisciplines[Rank]=Y46),0)),""))</f>
        <v/>
      </c>
      <c r="AC46" s="60" t="str">
        <v>Touch of Shadow</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Obfuscate ●● | Touch of Shadow</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1 V  •  Pool: 9  •  Instant  •  Scene</v>
      </c>
      <c r="AF46" s="20" t="str">
        <f>IF(AC46="","",IFERROR(VLOOKUP(AC46,tblDisciplines[],12,FALSE),VLOOKUP(AC46,tblPacts[],5,FALSE)))</f>
        <v>Cast Face in the Crowd on object or person. Free and unlimited duration on carried/worn objects if not drawing attention.</v>
      </c>
      <c r="AI46" s="15" t="s">
        <v>354</v>
      </c>
      <c r="AJ46" s="61">
        <f t="shared" ca="1" si="4"/>
        <v>10</v>
      </c>
      <c r="AK46" s="61">
        <f ca="1">AJ46</f>
        <v>10</v>
      </c>
    </row>
    <row r="47" spans="1:37">
      <c r="A47" s="1" t="s">
        <v>46</v>
      </c>
      <c r="B47" t="str">
        <f>REPT("●",IFERROR(INDEX($P$42:$P$69,MATCH(tblCharDataReneSt[[#This Row],[Field]],$E$42:$E$69,0)),0))&amp;REPT("○",IFERROR(INDEX($V$42:$V$69,MATCH(tblCharDataReneSt[[#This Row],[Field]],$E$42:$E$69,0)),0))&amp;IF(IFERROR(INDEX($W$42:$W$69,MATCH(tblCharDataReneSt[[#This Row],[Field]],$E$42:$E$69,0)),0)=1,"†","")</f>
        <v/>
      </c>
      <c r="D47" s="18" t="s">
        <v>1806</v>
      </c>
      <c r="E47" s="15" t="s">
        <v>30</v>
      </c>
      <c r="F47" s="18"/>
      <c r="G47" s="3" t="s">
        <v>1283</v>
      </c>
      <c r="H47" s="18"/>
      <c r="I47" s="18"/>
      <c r="L47" s="4">
        <v>4</v>
      </c>
      <c r="M47" s="60">
        <v>1</v>
      </c>
      <c r="N47" s="4"/>
      <c r="O47" s="61">
        <f t="shared" si="7"/>
        <v>0</v>
      </c>
      <c r="P47" s="60">
        <f t="shared" si="5"/>
        <v>5</v>
      </c>
      <c r="R47" s="61">
        <v>5</v>
      </c>
      <c r="T47" s="4">
        <v>1</v>
      </c>
      <c r="U47" s="4"/>
      <c r="V47" s="61">
        <f t="shared" si="6"/>
        <v>0</v>
      </c>
      <c r="W47" s="4"/>
      <c r="Y47" s="15">
        <v>4</v>
      </c>
      <c r="Z47" s="61" t="s">
        <v>236</v>
      </c>
      <c r="AA47" s="60" t="str" cm="1">
        <f t="array" ref="AA47">IF(OR(Y47=0,Y47=""),"",IF(VLOOKUP(Z47,$AI$1:$AJ$58,2,FALSE)&gt;=Y47,INDEX(tblDisciplines[Name],MATCH(1,(tblDisciplines[Discipline]=Z47)*(tblDisciplines[Rank]=Y47),0)),""))</f>
        <v/>
      </c>
      <c r="AC47" s="60" t="str">
        <v>Cloak of Night</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Obfuscate ●●● | Cloak of Night</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Cost: 1 V  •  Pool: -  •  None</v>
      </c>
      <c r="AF47" s="20" t="str">
        <f>IF(AC47="","",IFERROR(VLOOKUP(AC47,tblDisciplines[],12,FALSE),VLOOKUP(AC47,tblPacts[],5,FALSE)))</f>
        <v>Become invisible. Leaving combat: auto Clash of Wills vs Auspex 2.</v>
      </c>
      <c r="AI47" s="15" t="s">
        <v>21</v>
      </c>
      <c r="AJ47" s="61">
        <f t="shared" si="4"/>
        <v>1</v>
      </c>
      <c r="AK47" s="61">
        <f>AJ47+IFERROR(INDEX($V$26:$V$38,MATCH(AI47,$E$26:$E$38,0)),0)</f>
        <v>2</v>
      </c>
    </row>
    <row r="48" spans="1:37">
      <c r="A48" s="1" t="s">
        <v>47</v>
      </c>
      <c r="B48" t="str">
        <f>REPT("●",IFERROR(INDEX($P$42:$P$69,MATCH(tblCharDataReneSt[[#This Row],[Field]],$E$42:$E$69,0)),0))&amp;REPT("○",IFERROR(INDEX($V$42:$V$69,MATCH(tblCharDataReneSt[[#This Row],[Field]],$E$42:$E$69,0)),0))&amp;IF(IFERROR(INDEX($W$42:$W$69,MATCH(tblCharDataReneSt[[#This Row],[Field]],$E$42:$E$69,0)),0)=1,"†","")</f>
        <v/>
      </c>
      <c r="D48" s="18"/>
      <c r="E48" s="15" t="s">
        <v>31</v>
      </c>
      <c r="F48" s="18"/>
      <c r="G48" s="3" t="s">
        <v>1284</v>
      </c>
      <c r="H48" s="18"/>
      <c r="I48" s="18"/>
      <c r="L48" s="4">
        <v>1</v>
      </c>
      <c r="M48" s="60"/>
      <c r="N48" s="4"/>
      <c r="O48" s="61">
        <f t="shared" si="7"/>
        <v>0</v>
      </c>
      <c r="P48" s="60">
        <f t="shared" si="5"/>
        <v>1</v>
      </c>
      <c r="R48" s="61">
        <v>5</v>
      </c>
      <c r="T48" s="4">
        <v>1</v>
      </c>
      <c r="U48" s="4"/>
      <c r="V48" s="61">
        <f t="shared" si="6"/>
        <v>0</v>
      </c>
      <c r="W48" s="4"/>
      <c r="Y48" s="15">
        <v>5</v>
      </c>
      <c r="Z48" s="61" t="s">
        <v>236</v>
      </c>
      <c r="AA48" s="60" t="str" cm="1">
        <f t="array" ref="AA48">IF(OR(Y48=0,Y48=""),"",IF(VLOOKUP(Z48,$AI$1:$AJ$58,2,FALSE)&gt;=Y48,INDEX(tblDisciplines[Name],MATCH(1,(tblDisciplines[Discipline]=Z48)*(tblDisciplines[Rank]=Y48),0)),""))</f>
        <v/>
      </c>
      <c r="AC48" s="60" t="str">
        <v>The Familiar Stranger</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Obfuscate ●●●● | The Familiar Stranger</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Cost: 2 V  •  Pool: -  •  None</v>
      </c>
      <c r="AF48" s="20" t="str">
        <f>IF(AC48="","",IFERROR(VLOOKUP(AC48,tblDisciplines[],12,FALSE),VLOOKUP(AC48,tblPacts[],5,FALSE)))</f>
        <v>Disguise self or other as a desired person. Free unlimited duration to reskin carried/worn objects, but no equipment bonus without Vitae.</v>
      </c>
      <c r="AI48" s="15" t="s">
        <v>38</v>
      </c>
      <c r="AJ48" s="61">
        <f t="shared" si="4"/>
        <v>2</v>
      </c>
      <c r="AK48" s="61">
        <f>IF(AJ48=0,IF(COUNTIF($E$42:$E$49,AI48)&gt;0,-3,-1),AJ48)</f>
        <v>2</v>
      </c>
    </row>
    <row r="49" spans="1:37">
      <c r="A49" s="1" t="s">
        <v>48</v>
      </c>
      <c r="B49" t="str">
        <f>REPT("●",IFERROR(INDEX($P$42:$P$69,MATCH(tblCharDataReneSt[[#This Row],[Field]],$E$42:$E$69,0)),0))&amp;REPT("○",IFERROR(INDEX($V$42:$V$69,MATCH(tblCharDataReneSt[[#This Row],[Field]],$E$42:$E$69,0)),0))&amp;IF(IFERROR(INDEX($W$42:$W$69,MATCH(tblCharDataReneSt[[#This Row],[Field]],$E$42:$E$69,0)),0)=1,"†","")</f>
        <v>●●●</v>
      </c>
      <c r="D49" s="18"/>
      <c r="E49" s="15" t="s">
        <v>32</v>
      </c>
      <c r="F49" s="18"/>
      <c r="G49" s="3"/>
      <c r="H49" s="18"/>
      <c r="I49" s="18"/>
      <c r="L49" s="4"/>
      <c r="M49" s="60"/>
      <c r="N49" s="4"/>
      <c r="O49" s="61">
        <f t="shared" si="7"/>
        <v>0</v>
      </c>
      <c r="P49" s="60">
        <f t="shared" si="5"/>
        <v>0</v>
      </c>
      <c r="R49" s="61">
        <v>5</v>
      </c>
      <c r="T49" s="4"/>
      <c r="U49" s="4"/>
      <c r="V49" s="61">
        <f t="shared" si="6"/>
        <v>0</v>
      </c>
      <c r="W49" s="4"/>
      <c r="Y49" s="15">
        <v>1</v>
      </c>
      <c r="Z49" s="61" t="s">
        <v>237</v>
      </c>
      <c r="AA49" s="60" t="str" cm="1">
        <f t="array" ref="AA49">IF(OR(Y49=0,Y49=""),"",IF(VLOOKUP(Z49,$AI$1:$AJ$58,2,FALSE)&gt;=Y49,INDEX(tblDisciplines[Name],MATCH(1,(tblDisciplines[Discipline]=Z49)*(tblDisciplines[Rank]=Y49),0)),""))</f>
        <v/>
      </c>
      <c r="AC49" s="60" t="str">
        <v>Resilience 1</v>
      </c>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Resilience ●</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Cost: 1 V per effect  •  Pool: -  •  Reflexive  •  1 turn</v>
      </c>
      <c r="AF49" s="20" t="str">
        <f>IF(AC49="","",IFERROR(VLOOKUP(AC49,tblDisciplines[],12,FALSE),VLOOKUP(AC49,tblPacts[],5,FALSE)))</f>
        <v>Downgrade damage and increase Stamina. Improve Armour and Defences. Unnatural Fortitude: add Resilience dots as bonus dice to non-combat Stamina pools.</v>
      </c>
      <c r="AI49" s="15" t="s">
        <v>47</v>
      </c>
      <c r="AJ49" s="61">
        <f t="shared" si="4"/>
        <v>0</v>
      </c>
      <c r="AK49" s="61">
        <f>IF(AJ49=0,IF(COUNTIF($E$42:$E$49,AI49)&gt;0,-3,-1),AJ49)</f>
        <v>-1</v>
      </c>
    </row>
    <row r="50" spans="1:37">
      <c r="A50" s="1" t="s">
        <v>49</v>
      </c>
      <c r="B50" t="str">
        <f ca="1">REPT("●",VLOOKUP(tblCharDataReneSt[[#This Row],[Field]],INDIRECT($AH$1),2,FALSE)) &amp; REPT("○",10-VLOOKUP(tblCharDataReneSt[[#This Row],[Field]],INDIRECT($AH$1),2,FALSE)) &amp; REPT("○",10-VLOOKUP(tblCharDataReneSt[[#This Row],[Field]],INDIRECT($AH$1),2,FALSE))</f>
        <v>●●○○○○○○○○○○○○○○○○</v>
      </c>
      <c r="Y50" s="15">
        <v>2</v>
      </c>
      <c r="Z50" s="61" t="s">
        <v>237</v>
      </c>
      <c r="AA50" s="60" t="str" cm="1">
        <f t="array" ref="AA50">IF(OR(Y50=0,Y50=""),"",IF(VLOOKUP(Z50,$AI$1:$AJ$58,2,FALSE)&gt;=Y50,INDEX(tblDisciplines[Name],MATCH(1,(tblDisciplines[Discipline]=Z50)*(tblDisciplines[Rank]=Y50),0)),""))</f>
        <v/>
      </c>
      <c r="AC50" s="60" t="str">
        <v>Govi Trap</v>
      </c>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Devotion  | Govi Trap</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Cost: 1 V (Apollinaire Only); ghost within sight; small container with lid  •  Pool: 7  v Finesse + Resistance  •  Contested  •  1 hour per Dominate dot</v>
      </c>
      <c r="AF50" s="20" t="str">
        <f>IF(AC50="","",IFERROR(VLOOKUP(AC50,tblDisciplines[],12,FALSE),VLOOKUP(AC50,tblPacts[],5,FALSE)))</f>
        <v>Compel a ghost to enter and remain in a govi (container). Released if lid removed or container broken.</v>
      </c>
      <c r="AI50" s="15" t="s">
        <v>19</v>
      </c>
      <c r="AJ50" s="61">
        <f t="shared" si="4"/>
        <v>2</v>
      </c>
      <c r="AK50" s="61">
        <f>AJ50+IFERROR(INDEX($V$26:$V$38,MATCH(AI50,$E$26:$E$38,0)),0)</f>
        <v>2</v>
      </c>
    </row>
    <row r="51" spans="1:37">
      <c r="A51" s="1" t="s">
        <v>50</v>
      </c>
      <c r="B51">
        <f>P72</f>
        <v>2</v>
      </c>
      <c r="D51" s="16" t="s">
        <v>1453</v>
      </c>
      <c r="E51" s="17"/>
      <c r="F51" s="17"/>
      <c r="G51" s="17" t="s">
        <v>1467</v>
      </c>
      <c r="H51" s="16" t="s">
        <v>1446</v>
      </c>
      <c r="I51" s="3" t="s">
        <v>1566</v>
      </c>
      <c r="L51" s="60">
        <f>IF(I51="",0,VLOOKUP(I51,tblPriority[#Data],3,FALSE))-SUM(L52:L59)</f>
        <v>0</v>
      </c>
      <c r="Y51" s="15">
        <v>3</v>
      </c>
      <c r="Z51" s="61" t="s">
        <v>237</v>
      </c>
      <c r="AA51" s="60" t="str" cm="1">
        <f t="array" ref="AA51">IF(OR(Y51=0,Y51=""),"",IF(VLOOKUP(Z51,$AI$1:$AJ$58,2,FALSE)&gt;=Y51,INDEX(tblDisciplines[Name],MATCH(1,(tblDisciplines[Discipline]=Z51)*(tblDisciplines[Rank]=Y51),0)),""))</f>
        <v/>
      </c>
      <c r="AC51" s="60" t="str">
        <v>Skeleton Key</v>
      </c>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Devotion  | Skeleton Key</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Cost: 1 V (Apollinaire Only)  •  Pool: 6  •  Instant  •  Instant / Permanent</v>
      </c>
      <c r="AF51" s="20" t="str">
        <f>IF(AC51="","",IFERROR(VLOOKUP(AC51,tblDisciplines[],12,FALSE),VLOOKUP(AC51,tblPacts[],5,FALSE)))</f>
        <v>Open any door regardless of locks/security without triggering alarms. Or lock any door until destroyed or Skeleton Key used again. +1 V prevents other Gatekeepers using Skeleton Key on it.</v>
      </c>
      <c r="AI51" s="15" t="s">
        <v>48</v>
      </c>
      <c r="AJ51" s="61">
        <f t="shared" si="4"/>
        <v>3</v>
      </c>
      <c r="AK51" s="61">
        <f>IF(AJ51=0,IF(COUNTIF($E$42:$E$49,AI51)&gt;0,-3,-1),AJ51)</f>
        <v>3</v>
      </c>
    </row>
    <row r="52" spans="1:37">
      <c r="A52" s="1" t="s">
        <v>51</v>
      </c>
      <c r="B52" t="str">
        <f>_xlfn.IFNA(VLOOKUP(P72,tblBloodPotency[#Data],5,FALSE),"")</f>
        <v>†</v>
      </c>
      <c r="D52" s="18"/>
      <c r="E52" s="15" t="s">
        <v>33</v>
      </c>
      <c r="F52" s="18"/>
      <c r="G52" s="3"/>
      <c r="H52" s="18"/>
      <c r="I52" s="18"/>
      <c r="L52" s="4"/>
      <c r="M52" s="60"/>
      <c r="N52" s="4"/>
      <c r="O52" s="61">
        <f>ROUNDDOWN(N52/2,0)</f>
        <v>0</v>
      </c>
      <c r="P52" s="60">
        <f t="shared" ref="P52:P59" si="8">MIN(SUM(L52,M52,O52),R52)</f>
        <v>0</v>
      </c>
      <c r="R52" s="61">
        <v>5</v>
      </c>
      <c r="T52" s="4"/>
      <c r="U52" s="4"/>
      <c r="V52" s="61">
        <f t="shared" ref="V52:V59" si="9">U52</f>
        <v>0</v>
      </c>
      <c r="W52" s="4"/>
      <c r="Y52" s="15">
        <v>4</v>
      </c>
      <c r="Z52" s="61" t="s">
        <v>237</v>
      </c>
      <c r="AA52" s="60" t="str" cm="1">
        <f t="array" ref="AA52">IF(OR(Y52=0,Y52=""),"",IF(VLOOKUP(Z52,$AI$1:$AJ$58,2,FALSE)&gt;=Y52,INDEX(tblDisciplines[Name],MATCH(1,(tblDisciplines[Discipline]=Z52)*(tblDisciplines[Rank]=Y52),0)),""))</f>
        <v/>
      </c>
      <c r="AC52" s="60" t="str">
        <v>Veve Passageway</v>
      </c>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Devotion  | Veve Passageway</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Cost: 1 V (Apollinaire Only); white chalk  •  Pool: 9  •  Instant  •  1 hour per success</v>
      </c>
      <c r="AF52" s="20" t="str">
        <f>IF(AC52="","",IFERROR(VLOOKUP(AC52,tblDisciplines[],12,FALSE),VLOOKUP(AC52,tblPacts[],5,FALSE)))</f>
        <v>Draw a door on a wall. It becomes a real door opening to nearest room or empty space (up to 1 mile behind the drawing).</v>
      </c>
      <c r="AI52" s="15" t="s">
        <v>39</v>
      </c>
      <c r="AJ52" s="61">
        <f t="shared" si="4"/>
        <v>0</v>
      </c>
      <c r="AK52" s="61">
        <f>IF(AJ52=0,IF(COUNTIF($E$42:$E$49,AI52)&gt;0,-3,-1),AJ52)</f>
        <v>-1</v>
      </c>
    </row>
    <row r="53" spans="1:37">
      <c r="A53" s="1" t="s">
        <v>52</v>
      </c>
      <c r="B53" t="str">
        <f ca="1">REPT("□",P221) &amp; REPT("■",15-P221)</f>
        <v>□□□□□□□■■■■■■■■</v>
      </c>
      <c r="D53" s="18"/>
      <c r="E53" s="15" t="s">
        <v>34</v>
      </c>
      <c r="F53" s="18"/>
      <c r="G53" s="3"/>
      <c r="H53" s="18"/>
      <c r="I53" s="18"/>
      <c r="L53" s="4"/>
      <c r="M53" s="60"/>
      <c r="N53" s="4"/>
      <c r="O53" s="61">
        <f t="shared" ref="O53:O59" si="10">ROUNDDOWN(N53/2,0)</f>
        <v>0</v>
      </c>
      <c r="P53" s="60">
        <f t="shared" si="8"/>
        <v>0</v>
      </c>
      <c r="R53" s="61">
        <v>5</v>
      </c>
      <c r="T53" s="4"/>
      <c r="U53" s="4"/>
      <c r="V53" s="61">
        <f t="shared" si="9"/>
        <v>0</v>
      </c>
      <c r="W53" s="4"/>
      <c r="Y53" s="15">
        <v>5</v>
      </c>
      <c r="Z53" s="61" t="s">
        <v>237</v>
      </c>
      <c r="AA53" s="60" t="str" cm="1">
        <f t="array" ref="AA53">IF(OR(Y53=0,Y53=""),"",IF(VLOOKUP(Z53,$AI$1:$AJ$58,2,FALSE)&gt;=Y53,INDEX(tblDisciplines[Name],MATCH(1,(tblDisciplines[Discipline]=Z53)*(tblDisciplines[Rank]=Y53),0)),""))</f>
        <v/>
      </c>
      <c r="AC53" s="60" t="str">
        <v>Oath of the Hard Motherfucker</v>
      </c>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Oath of the Hard Motherfucker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v>
      </c>
      <c r="AF53" s="20" t="str">
        <f>IF(AC53="","",IFERROR(VLOOKUP(AC53,tblDisciplines[],12,FALSE),VLOOKUP(AC53,tblPacts[],5,FALSE)))</f>
        <v>Kill a Carthian or oathbreaker for Invictus Status 1, Friends in High Places 1, 9-Again on two Skills, and Allies/Contacts/Resources 1. All stripped if broken.</v>
      </c>
      <c r="AI53" s="15" t="s">
        <v>247</v>
      </c>
      <c r="AJ53" s="61">
        <f t="shared" si="4"/>
        <v>0</v>
      </c>
      <c r="AK53" s="61">
        <f>AJ53</f>
        <v>0</v>
      </c>
    </row>
    <row r="54" spans="1:37">
      <c r="A54" s="1" t="s">
        <v>53</v>
      </c>
      <c r="B54" t="str">
        <f>_xlfn.CONCAT(P74-L224," / ",P74)</f>
        <v>5 / 5</v>
      </c>
      <c r="D54" s="18"/>
      <c r="E54" s="15" t="s">
        <v>35</v>
      </c>
      <c r="F54" s="18"/>
      <c r="G54" s="3"/>
      <c r="H54" s="18"/>
      <c r="I54" s="18"/>
      <c r="L54" s="4"/>
      <c r="M54" s="60"/>
      <c r="N54" s="4"/>
      <c r="O54" s="61">
        <f t="shared" si="10"/>
        <v>0</v>
      </c>
      <c r="P54" s="60">
        <f t="shared" si="8"/>
        <v>0</v>
      </c>
      <c r="R54" s="61">
        <v>5</v>
      </c>
      <c r="T54" s="4"/>
      <c r="U54" s="4"/>
      <c r="V54" s="61">
        <f t="shared" si="9"/>
        <v>0</v>
      </c>
      <c r="W54" s="4"/>
      <c r="Y54" s="15">
        <f>P167</f>
        <v>0</v>
      </c>
      <c r="Z54" s="61" t="s">
        <v>238</v>
      </c>
      <c r="AA54" s="60" t="str" cm="1">
        <f t="array" ref="AA54">IF(OR(Y54=0,Y54=""),"",IF(VLOOKUP(Z54,$AI$1:$AJ$58,2,FALSE)&gt;=Y54,INDEX(tblDisciplines[Name],MATCH(1,(tblDisciplines[Discipline]=Z54)*(tblDisciplines[Rank]=Y54),0)),""))</f>
        <v/>
      </c>
      <c r="AC54" s="60"/>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
      </c>
      <c r="AF54" s="20" t="str">
        <f>IF(AC54="","",IFERROR(VLOOKUP(AC54,tblDisciplines[],12,FALSE),VLOOKUP(AC54,tblPacts[],5,FALSE)))</f>
        <v/>
      </c>
      <c r="AI54" s="15" t="s">
        <v>252</v>
      </c>
      <c r="AJ54" s="61">
        <f t="shared" si="4"/>
        <v>0</v>
      </c>
      <c r="AK54" s="61">
        <f>AJ54</f>
        <v>0</v>
      </c>
    </row>
    <row r="55" spans="1:37">
      <c r="A55" s="1" t="s">
        <v>54</v>
      </c>
      <c r="B55" t="str">
        <f>REPT("□",P74) &amp; REPT("■",10-P74)</f>
        <v>□□□□□■■■■■</v>
      </c>
      <c r="D55" s="18"/>
      <c r="E55" s="15" t="s">
        <v>36</v>
      </c>
      <c r="F55" s="18"/>
      <c r="G55" s="3"/>
      <c r="H55" s="18"/>
      <c r="I55" s="18"/>
      <c r="L55" s="4"/>
      <c r="M55" s="60"/>
      <c r="N55" s="4"/>
      <c r="O55" s="61">
        <f t="shared" si="10"/>
        <v>0</v>
      </c>
      <c r="P55" s="60">
        <f t="shared" si="8"/>
        <v>0</v>
      </c>
      <c r="R55" s="61">
        <v>5</v>
      </c>
      <c r="T55" s="4"/>
      <c r="U55" s="4"/>
      <c r="V55" s="61">
        <f t="shared" si="9"/>
        <v>0</v>
      </c>
      <c r="W55" s="4"/>
      <c r="Y55" s="15">
        <v>1</v>
      </c>
      <c r="Z55" s="61" t="s">
        <v>239</v>
      </c>
      <c r="AA55" s="60" t="str" cm="1">
        <f t="array" ref="AA55">IF(OR(Y55=0,Y55=""),"",IF(VLOOKUP(Z55,$AI$1:$AJ$58,2,FALSE)&gt;=Y55,INDEX(tblDisciplines[Name],MATCH(1,(tblDisciplines[Discipline]=Z55)*(tblDisciplines[Rank]=Y55),0)),""))</f>
        <v>Mesmerise</v>
      </c>
      <c r="AC55" s="60"/>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
      </c>
      <c r="AF55" s="20" t="str">
        <f>IF(AC55="","",IFERROR(VLOOKUP(AC55,tblDisciplines[],12,FALSE),VLOOKUP(AC55,tblPacts[],5,FALSE)))</f>
        <v/>
      </c>
      <c r="AI55" s="15" t="s">
        <v>245</v>
      </c>
      <c r="AJ55" s="61">
        <f t="shared" si="4"/>
        <v>0</v>
      </c>
      <c r="AK55" s="61">
        <f>AJ55+IFERROR(INDEX($V$26:$V$38,MATCH(AI55,$E$26:$E$38,0)),0)</f>
        <v>0</v>
      </c>
    </row>
    <row r="56" spans="1:37">
      <c r="A56" s="1" t="s">
        <v>55</v>
      </c>
      <c r="B56" t="str">
        <f ca="1">_xlfn.CONCAT(P75-L223," / ",P75)</f>
        <v>11 / 11</v>
      </c>
      <c r="D56" s="19"/>
      <c r="E56" s="15" t="s">
        <v>37</v>
      </c>
      <c r="F56" s="18"/>
      <c r="G56" s="3"/>
      <c r="H56" s="18"/>
      <c r="I56" s="18"/>
      <c r="L56" s="4">
        <v>2</v>
      </c>
      <c r="M56" s="60"/>
      <c r="N56" s="4"/>
      <c r="O56" s="61">
        <f t="shared" si="10"/>
        <v>0</v>
      </c>
      <c r="P56" s="60">
        <f t="shared" si="8"/>
        <v>2</v>
      </c>
      <c r="R56" s="61">
        <v>5</v>
      </c>
      <c r="T56" s="4"/>
      <c r="U56" s="4"/>
      <c r="V56" s="61">
        <f t="shared" si="9"/>
        <v>0</v>
      </c>
      <c r="W56" s="4"/>
      <c r="Y56" s="15">
        <v>2</v>
      </c>
      <c r="Z56" s="61" t="s">
        <v>239</v>
      </c>
      <c r="AA56" s="60" t="str" cm="1">
        <f t="array" ref="AA56">IF(OR(Y56=0,Y56=""),"",IF(VLOOKUP(Z56,$AI$1:$AJ$58,2,FALSE)&gt;=Y56,INDEX(tblDisciplines[Name],MATCH(1,(tblDisciplines[Discipline]=Z56)*(tblDisciplines[Rank]=Y56),0)),""))</f>
        <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4"/>
        <v>0</v>
      </c>
      <c r="AK56" s="61">
        <f>IF(AJ56=0,IF(COUNTIF($E$42:$E$49,AI56)&gt;0,-3,-1),AJ56)</f>
        <v>-1</v>
      </c>
    </row>
    <row r="57" spans="1:37">
      <c r="A57" s="1" t="s">
        <v>56</v>
      </c>
      <c r="B57" t="str">
        <f ca="1">REPT("□",P75-L223) &amp; REPT("■",20-P75+L223)</f>
        <v>□□□□□□□□□□□■■■■■■■■■</v>
      </c>
      <c r="D57" s="19"/>
      <c r="E57" s="15" t="s">
        <v>38</v>
      </c>
      <c r="F57" s="18"/>
      <c r="G57" s="3"/>
      <c r="H57" s="18"/>
      <c r="I57" s="18"/>
      <c r="L57" s="4">
        <v>2</v>
      </c>
      <c r="M57" s="60"/>
      <c r="N57" s="4"/>
      <c r="O57" s="61">
        <f t="shared" si="10"/>
        <v>0</v>
      </c>
      <c r="P57" s="60">
        <f t="shared" si="8"/>
        <v>2</v>
      </c>
      <c r="R57" s="61">
        <v>5</v>
      </c>
      <c r="T57" s="4"/>
      <c r="U57" s="4"/>
      <c r="V57" s="61">
        <f t="shared" si="9"/>
        <v>0</v>
      </c>
      <c r="W57" s="4"/>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4"/>
        <v>5</v>
      </c>
      <c r="AK57" s="61">
        <f>AJ57</f>
        <v>5</v>
      </c>
    </row>
    <row r="58" spans="1:37">
      <c r="A58" s="1" t="s">
        <v>57</v>
      </c>
      <c r="B58">
        <f ca="1">VLOOKUP(VLOOKUP("Blood Potency", INDIRECT($AH$1),2,FALSE),tblBloodPotency[#Data],3,FALSE)</f>
        <v>2</v>
      </c>
      <c r="D58" s="19"/>
      <c r="E58" s="15" t="s">
        <v>39</v>
      </c>
      <c r="F58" s="18"/>
      <c r="G58" s="3"/>
      <c r="H58" s="18"/>
      <c r="I58" s="18"/>
      <c r="L58" s="4"/>
      <c r="M58" s="60"/>
      <c r="N58" s="4"/>
      <c r="O58" s="61">
        <f t="shared" si="10"/>
        <v>0</v>
      </c>
      <c r="P58" s="60">
        <f t="shared" si="8"/>
        <v>0</v>
      </c>
      <c r="R58" s="61">
        <v>5</v>
      </c>
      <c r="T58" s="4"/>
      <c r="U58" s="4"/>
      <c r="V58" s="61">
        <f t="shared" si="9"/>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4"/>
        <v>3</v>
      </c>
      <c r="AK58" s="61">
        <f>AJ58+IFERROR(INDEX($V$26:$V$38,MATCH(AI58,$E$26:$E$38,0)),0)</f>
        <v>3</v>
      </c>
    </row>
    <row r="59" spans="1:37">
      <c r="A59" s="1" t="s">
        <v>58</v>
      </c>
      <c r="B59" t="str">
        <f ca="1">VLOOKUP(VLOOKUP("Blood Potency", INDIRECT($AH$1),2,FALSE),tblBloodPotency[#Data],4,FALSE)</f>
        <v>Animals</v>
      </c>
      <c r="D59" s="19"/>
      <c r="E59" s="15" t="s">
        <v>40</v>
      </c>
      <c r="F59" s="18"/>
      <c r="G59" s="3"/>
      <c r="H59" s="18"/>
      <c r="I59" s="18"/>
      <c r="L59" s="4"/>
      <c r="M59" s="60"/>
      <c r="N59" s="4"/>
      <c r="O59" s="61">
        <f t="shared" si="10"/>
        <v>0</v>
      </c>
      <c r="P59" s="60">
        <f t="shared" si="8"/>
        <v>0</v>
      </c>
      <c r="R59" s="61">
        <v>5</v>
      </c>
      <c r="T59" s="4"/>
      <c r="U59" s="4"/>
      <c r="V59" s="61">
        <f t="shared" si="9"/>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1">IFERROR(IF(VLOOKUP(SUBSTITUTE(A60," Spec",""),$E$42:$G$69,3,FALSE)=0,"",VLOOKUP(SUBSTITUTE(A60," Spec",""),$E$42:$G$69,3,FALSE)),"")</f>
        <v/>
      </c>
      <c r="Y60" s="15">
        <v>1</v>
      </c>
      <c r="Z60" s="61" t="s">
        <v>240</v>
      </c>
      <c r="AA60" s="60" t="str" cm="1">
        <f t="array" ref="AA60">IF(OR(Y60=0,Y60=""),"",IF(VLOOKUP(Z60,$AI$1:$AJ$58,2,FALSE)&gt;=Y60,INDEX(tblDisciplines[Name],MATCH(1,(tblDisciplines[Discipline]=Z60)*(tblDisciplines[Rank]=Y60),0)),""))</f>
        <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1"/>
        <v/>
      </c>
      <c r="D61" s="16" t="s">
        <v>1459</v>
      </c>
      <c r="E61" s="17"/>
      <c r="F61" s="17"/>
      <c r="G61" s="17" t="s">
        <v>1467</v>
      </c>
      <c r="H61" s="16" t="s">
        <v>1446</v>
      </c>
      <c r="I61" s="3" t="s">
        <v>1565</v>
      </c>
      <c r="L61" s="60">
        <f>IF(I61="",0,VLOOKUP(I61,tblPriority[#Data],3,FALSE))-SUM(L62:L69)</f>
        <v>0</v>
      </c>
      <c r="Y61" s="15">
        <v>2</v>
      </c>
      <c r="Z61" s="61" t="s">
        <v>240</v>
      </c>
      <c r="AA61" s="60" t="str" cm="1">
        <f t="array" ref="AA61">IF(OR(Y61=0,Y61=""),"",IF(VLOOKUP(Z61,$AI$1:$AJ$58,2,FALSE)&gt;=Y61,INDEX(tblDisciplines[Name],MATCH(1,(tblDisciplines[Discipline]=Z61)*(tblDisciplines[Rank]=Y61),0)),""))</f>
        <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1"/>
        <v/>
      </c>
      <c r="D62" s="18"/>
      <c r="E62" s="15" t="s">
        <v>41</v>
      </c>
      <c r="F62" s="18"/>
      <c r="G62" s="3"/>
      <c r="H62" s="18"/>
      <c r="I62" s="18"/>
      <c r="L62" s="4"/>
      <c r="M62" s="60"/>
      <c r="N62" s="4"/>
      <c r="O62" s="61">
        <f>ROUNDDOWN(N62/2,0)</f>
        <v>0</v>
      </c>
      <c r="P62" s="60">
        <f t="shared" ref="P62:P69" si="12">MIN(SUM(L62,M62,O62),R62)</f>
        <v>0</v>
      </c>
      <c r="R62" s="61">
        <v>5</v>
      </c>
      <c r="T62" s="4"/>
      <c r="U62" s="4"/>
      <c r="V62" s="61">
        <f t="shared" ref="V62:V69" si="13">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1"/>
        <v/>
      </c>
      <c r="D63" s="19"/>
      <c r="E63" s="15" t="s">
        <v>42</v>
      </c>
      <c r="F63" s="18"/>
      <c r="G63" s="3"/>
      <c r="H63" s="18"/>
      <c r="I63" s="18"/>
      <c r="L63" s="4"/>
      <c r="M63" s="60"/>
      <c r="N63" s="4"/>
      <c r="O63" s="61">
        <f t="shared" ref="O63:O69" si="14">ROUNDDOWN(N63/2,0)</f>
        <v>0</v>
      </c>
      <c r="P63" s="60">
        <f t="shared" si="12"/>
        <v>0</v>
      </c>
      <c r="R63" s="61">
        <v>5</v>
      </c>
      <c r="T63" s="4"/>
      <c r="U63" s="4"/>
      <c r="V63" s="61">
        <f t="shared" si="13"/>
        <v>0</v>
      </c>
      <c r="W63" s="4"/>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1"/>
        <v/>
      </c>
      <c r="D64" s="19"/>
      <c r="E64" s="15" t="s">
        <v>43</v>
      </c>
      <c r="F64" s="18"/>
      <c r="G64" s="3" t="s">
        <v>1285</v>
      </c>
      <c r="H64" s="18"/>
      <c r="I64" s="18"/>
      <c r="L64" s="4">
        <v>3</v>
      </c>
      <c r="M64" s="60"/>
      <c r="N64" s="4">
        <v>4</v>
      </c>
      <c r="O64" s="61">
        <f t="shared" si="14"/>
        <v>2</v>
      </c>
      <c r="P64" s="60">
        <f t="shared" si="12"/>
        <v>5</v>
      </c>
      <c r="R64" s="61">
        <v>5</v>
      </c>
      <c r="T64" s="4"/>
      <c r="U64" s="4"/>
      <c r="V64" s="61">
        <f t="shared" si="13"/>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1"/>
        <v>A9A Voudun</v>
      </c>
      <c r="D65" s="19"/>
      <c r="E65" s="15" t="s">
        <v>44</v>
      </c>
      <c r="F65" s="18"/>
      <c r="G65" s="3"/>
      <c r="H65" s="18"/>
      <c r="I65" s="18"/>
      <c r="L65" s="4">
        <v>2</v>
      </c>
      <c r="M65" s="60"/>
      <c r="N65" s="4"/>
      <c r="O65" s="61">
        <f t="shared" si="14"/>
        <v>0</v>
      </c>
      <c r="P65" s="60">
        <f t="shared" si="12"/>
        <v>2</v>
      </c>
      <c r="R65" s="61">
        <v>5</v>
      </c>
      <c r="T65" s="4"/>
      <c r="U65" s="4"/>
      <c r="V65" s="61">
        <f t="shared" si="13"/>
        <v>0</v>
      </c>
      <c r="W65" s="4"/>
      <c r="Y65" s="15">
        <v>1</v>
      </c>
      <c r="Z65" s="61" t="s">
        <v>241</v>
      </c>
      <c r="AA65" s="60" t="str" cm="1">
        <f t="array" ref="AA65">IF(OR(Y65=0,Y65=""),"",IF(VLOOKUP(Z65,$AI$1:$AJ$58,2,FALSE)&gt;=Y65,INDEX(tblDisciplines[Name],MATCH(1,(tblDisciplines[Discipline]=Z65)*(tblDisciplines[Rank]=Y65),0)),""))</f>
        <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1"/>
        <v>Invictus lore</v>
      </c>
      <c r="D66" s="19"/>
      <c r="E66" s="15" t="s">
        <v>45</v>
      </c>
      <c r="F66" s="18"/>
      <c r="G66" s="3" t="s">
        <v>1285</v>
      </c>
      <c r="H66" s="18"/>
      <c r="I66" s="18"/>
      <c r="L66" s="4">
        <v>3</v>
      </c>
      <c r="M66" s="60"/>
      <c r="N66" s="4"/>
      <c r="O66" s="61">
        <f t="shared" si="14"/>
        <v>0</v>
      </c>
      <c r="P66" s="60">
        <f t="shared" si="12"/>
        <v>3</v>
      </c>
      <c r="R66" s="61">
        <v>5</v>
      </c>
      <c r="T66" s="4"/>
      <c r="U66" s="4"/>
      <c r="V66" s="61">
        <f t="shared" si="13"/>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1"/>
        <v/>
      </c>
      <c r="D67" s="19"/>
      <c r="E67" s="15" t="s">
        <v>46</v>
      </c>
      <c r="F67" s="18"/>
      <c r="G67" s="3"/>
      <c r="H67" s="18"/>
      <c r="I67" s="18"/>
      <c r="L67" s="4"/>
      <c r="M67" s="60"/>
      <c r="N67" s="4"/>
      <c r="O67" s="61">
        <f t="shared" si="14"/>
        <v>0</v>
      </c>
      <c r="P67" s="60">
        <f t="shared" si="12"/>
        <v>0</v>
      </c>
      <c r="R67" s="61">
        <v>5</v>
      </c>
      <c r="T67" s="4"/>
      <c r="U67" s="4"/>
      <c r="V67" s="61">
        <f t="shared" si="13"/>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1"/>
        <v/>
      </c>
      <c r="D68" s="18"/>
      <c r="E68" s="15" t="s">
        <v>47</v>
      </c>
      <c r="F68" s="18"/>
      <c r="G68" s="3"/>
      <c r="H68" s="18"/>
      <c r="I68" s="18"/>
      <c r="L68" s="4"/>
      <c r="M68" s="60"/>
      <c r="N68" s="4"/>
      <c r="O68" s="61">
        <f t="shared" si="14"/>
        <v>0</v>
      </c>
      <c r="P68" s="60">
        <f t="shared" si="12"/>
        <v>0</v>
      </c>
      <c r="R68" s="61">
        <v>5</v>
      </c>
      <c r="T68" s="4"/>
      <c r="U68" s="4"/>
      <c r="V68" s="61">
        <f t="shared" si="13"/>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1"/>
        <v/>
      </c>
      <c r="D69" s="18"/>
      <c r="E69" s="15" t="s">
        <v>48</v>
      </c>
      <c r="F69" s="18"/>
      <c r="G69" s="3"/>
      <c r="H69" s="18"/>
      <c r="I69" s="18"/>
      <c r="L69" s="4">
        <v>3</v>
      </c>
      <c r="M69" s="60"/>
      <c r="N69" s="4"/>
      <c r="O69" s="61">
        <f t="shared" si="14"/>
        <v>0</v>
      </c>
      <c r="P69" s="60">
        <f t="shared" si="12"/>
        <v>3</v>
      </c>
      <c r="R69" s="61">
        <v>5</v>
      </c>
      <c r="T69" s="4"/>
      <c r="U69" s="4"/>
      <c r="V69" s="61">
        <f t="shared" si="13"/>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1"/>
        <v/>
      </c>
      <c r="Y70" s="15">
        <v>1</v>
      </c>
      <c r="Z70" s="61" t="s">
        <v>242</v>
      </c>
      <c r="AA70" s="60" t="str" cm="1">
        <f t="array" ref="AA70">IF(OR(Y70=0,Y70=""),"",IF(VLOOKUP(Z70,$AI$1:$AJ$58,2,FALSE)&gt;=Y70,INDEX(tblDisciplines[Name],MATCH(1,(tblDisciplines[Discipline]=Z70)*(tblDisciplines[Rank]=Y70),0)),""))</f>
        <v>Face in the Crowd</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1"/>
        <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Touch of Shadow</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1"/>
        <v/>
      </c>
      <c r="D72" s="19"/>
      <c r="E72" s="15" t="s">
        <v>49</v>
      </c>
      <c r="F72" s="19"/>
      <c r="G72" s="19"/>
      <c r="H72" s="19"/>
      <c r="I72" s="19"/>
      <c r="K72" s="4"/>
      <c r="L72" s="4">
        <v>5</v>
      </c>
      <c r="M72" s="60">
        <v>1</v>
      </c>
      <c r="N72" s="4"/>
      <c r="O72" s="61">
        <f>ROUNDDOWN(N72/5,0)</f>
        <v>0</v>
      </c>
      <c r="P72" s="60">
        <f>MIN(SUM(K72*-1,ROUNDDOWN(L72/5,0),M72,O72),R72)</f>
        <v>2</v>
      </c>
      <c r="R72" s="61">
        <v>2</v>
      </c>
      <c r="Y72" s="15">
        <v>3</v>
      </c>
      <c r="Z72" s="61" t="s">
        <v>242</v>
      </c>
      <c r="AA72" s="60" t="str" cm="1">
        <f t="array" ref="AA72">IF(OR(Y72=0,Y72=""),"",IF(VLOOKUP(Z72,$AI$1:$AJ$58,2,FALSE)&gt;=Y72,INDEX(tblDisciplines[Name],MATCH(1,(tblDisciplines[Discipline]=Z72)*(tblDisciplines[Rank]=Y72),0)),""))</f>
        <v>Cloak of Night</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1"/>
        <v/>
      </c>
      <c r="D73" s="19"/>
      <c r="E73" s="15" t="s">
        <v>1448</v>
      </c>
      <c r="F73" s="19"/>
      <c r="G73" s="19"/>
      <c r="H73" s="19"/>
      <c r="I73" s="19"/>
      <c r="K73" s="4">
        <v>2</v>
      </c>
      <c r="M73" s="60">
        <v>7</v>
      </c>
      <c r="N73" s="4"/>
      <c r="O73" s="61">
        <f>ROUNDDOWN(N73/2,0)</f>
        <v>0</v>
      </c>
      <c r="P73" s="60">
        <f>MIN(SUM(K73*-1,M73,O73),R73)</f>
        <v>5</v>
      </c>
      <c r="R73" s="61">
        <v>10</v>
      </c>
      <c r="Y73" s="15">
        <v>4</v>
      </c>
      <c r="Z73" s="61" t="s">
        <v>242</v>
      </c>
      <c r="AA73" s="60" t="str" cm="1">
        <f t="array" ref="AA73">IF(OR(Y73=0,Y73=""),"",IF(VLOOKUP(Z73,$AI$1:$AJ$58,2,FALSE)&gt;=Y73,INDEX(tblDisciplines[Name],MATCH(1,(tblDisciplines[Discipline]=Z73)*(tblDisciplines[Rank]=Y73),0)),""))</f>
        <v>The Familiar Stranger</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1"/>
        <v/>
      </c>
      <c r="D74" s="19"/>
      <c r="E74" s="15" t="s">
        <v>53</v>
      </c>
      <c r="F74" s="19"/>
      <c r="G74" s="19"/>
      <c r="H74" s="19"/>
      <c r="I74" s="19"/>
      <c r="K74" s="4"/>
      <c r="M74" s="60">
        <f>P28+P38</f>
        <v>5</v>
      </c>
      <c r="N74" s="4"/>
      <c r="O74" s="61">
        <f>N74</f>
        <v>0</v>
      </c>
      <c r="P74" s="60">
        <f>MIN(SUM(K74*-1,M74,O74),R74)</f>
        <v>5</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1"/>
        <v/>
      </c>
      <c r="D75" s="19"/>
      <c r="E75" s="15" t="s">
        <v>55</v>
      </c>
      <c r="F75" s="19"/>
      <c r="G75" s="19"/>
      <c r="H75" s="19"/>
      <c r="I75" s="19"/>
      <c r="P75" s="60">
        <f ca="1">VLOOKUP(VLOOKUP("Blood Potency",INDIRECT($AH$1),2,FALSE),tblBloodPotency[],2,FALSE)</f>
        <v>11</v>
      </c>
      <c r="Y75" s="15">
        <v>1</v>
      </c>
      <c r="Z75" s="61" t="s">
        <v>243</v>
      </c>
      <c r="AA75" s="60" t="str" cm="1">
        <f t="array" ref="AA75">IF(OR(Y75=0,Y75=""),"",IF(VLOOKUP(Z75,$AI$1:$AJ$58,2,FALSE)&gt;=Y75,INDEX(tblDisciplines[Name],MATCH(1,(tblDisciplines[Discipline]=Z75)*(tblDisciplines[Rank]=Y75),0)),""))</f>
        <v/>
      </c>
    </row>
    <row r="76" spans="1:32">
      <c r="A76" s="1" t="s">
        <v>75</v>
      </c>
      <c r="B76" t="str">
        <f t="shared" si="11"/>
        <v/>
      </c>
      <c r="Y76" s="15">
        <v>2</v>
      </c>
      <c r="Z76" s="61" t="s">
        <v>243</v>
      </c>
      <c r="AA76" s="60" t="str" cm="1">
        <f t="array" ref="AA76">IF(OR(Y76=0,Y76=""),"",IF(VLOOKUP(Z76,$AI$1:$AJ$58,2,FALSE)&gt;=Y76,INDEX(tblDisciplines[Name],MATCH(1,(tblDisciplines[Discipline]=Z76)*(tblDisciplines[Rank]=Y76),0)),""))</f>
        <v/>
      </c>
    </row>
    <row r="77" spans="1:32" ht="15.75" thickBot="1">
      <c r="A77" s="1" t="s">
        <v>76</v>
      </c>
      <c r="B77" t="str">
        <f t="shared" si="11"/>
        <v/>
      </c>
      <c r="D77" s="14" t="s">
        <v>1470</v>
      </c>
      <c r="E77" s="14"/>
      <c r="F77" s="14"/>
      <c r="G77" s="14"/>
      <c r="H77" s="14"/>
      <c r="I77" s="14"/>
      <c r="N77" s="60">
        <f>SUM(N79:N98,N101:N120,N206:N215,N132:N135,N138:N157,N160:N161)</f>
        <v>6</v>
      </c>
      <c r="Y77" s="15">
        <v>3</v>
      </c>
      <c r="Z77" s="61" t="s">
        <v>243</v>
      </c>
      <c r="AA77" s="60" t="str" cm="1">
        <f t="array" ref="AA77">IF(OR(Y77=0,Y77=""),"",IF(VLOOKUP(Z77,$AI$1:$AJ$58,2,FALSE)&gt;=Y77,INDEX(tblDisciplines[Name],MATCH(1,(tblDisciplines[Discipline]=Z77)*(tblDisciplines[Rank]=Y77),0)),""))</f>
        <v/>
      </c>
    </row>
    <row r="78" spans="1:32">
      <c r="A78" s="1" t="s">
        <v>77</v>
      </c>
      <c r="B78" t="str">
        <f t="shared" si="11"/>
        <v>A9A something</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1"/>
        <v/>
      </c>
      <c r="D79" s="19"/>
      <c r="E79" s="15" t="s">
        <v>114</v>
      </c>
      <c r="F79" s="3" t="s">
        <v>1807</v>
      </c>
      <c r="G79" s="3"/>
      <c r="H79" s="67" t="str">
        <f>_xlfn.IFNA(IF(VLOOKUP(F79,tblMerits[],6,FALSE)=0,"None",VLOOKUP(F79,tblMerits[],6,FALSE)),"None")</f>
        <v>Invictus Status 2</v>
      </c>
      <c r="I79" s="67"/>
      <c r="L79" s="4">
        <v>2</v>
      </c>
      <c r="M79" s="4"/>
      <c r="N79" s="4"/>
      <c r="O79" s="61">
        <f>N79</f>
        <v>0</v>
      </c>
      <c r="P79" s="60">
        <f t="shared" ref="P79:P98" si="15">MIN(SUM(L79,M79,O79),R79)</f>
        <v>2</v>
      </c>
      <c r="Q79" s="61">
        <f>_xlfn.IFNA(VLOOKUP($F79,tblMerits[],3,FALSE),"")</f>
        <v>2</v>
      </c>
      <c r="R79" s="61">
        <f>_xlfn.IFNA(VLOOKUP($F79,tblMerits[],4,FALSE),"")</f>
        <v>2</v>
      </c>
      <c r="Y79" s="15">
        <v>5</v>
      </c>
      <c r="Z79" s="61" t="s">
        <v>243</v>
      </c>
      <c r="AA79" s="60" t="str" cm="1">
        <f t="array" ref="AA79">IF(OR(Y79=0,Y79=""),"",IF(VLOOKUP(Z79,$AI$1:$AJ$58,2,FALSE)&gt;=Y79,INDEX(tblDisciplines[Name],MATCH(1,(tblDisciplines[Discipline]=Z79)*(tblDisciplines[Rank]=Y79),0)),""))</f>
        <v/>
      </c>
    </row>
    <row r="80" spans="1:32">
      <c r="A80" s="1" t="s">
        <v>79</v>
      </c>
      <c r="B80" t="str">
        <f t="shared" si="11"/>
        <v>A9A something</v>
      </c>
      <c r="D80" s="58" t="s">
        <v>1808</v>
      </c>
      <c r="E80" s="15" t="s">
        <v>115</v>
      </c>
      <c r="F80" s="3" t="s">
        <v>1634</v>
      </c>
      <c r="G80" s="3"/>
      <c r="H80" s="67" t="str">
        <f>_xlfn.IFNA(IF(VLOOKUP(F80,tblMerits[],6,FALSE)=0,"None",VLOOKUP(F80,tblMerits[],6,FALSE)),"None")</f>
        <v>Invictus Status 1</v>
      </c>
      <c r="I80" s="67"/>
      <c r="L80" s="4"/>
      <c r="M80" s="4">
        <v>1</v>
      </c>
      <c r="N80" s="4"/>
      <c r="O80" s="61">
        <f t="shared" ref="O80:O98" si="16">N80</f>
        <v>0</v>
      </c>
      <c r="P80" s="60">
        <f t="shared" si="15"/>
        <v>1</v>
      </c>
      <c r="Q80" s="61">
        <f>_xlfn.IFNA(VLOOKUP($F80,tblMerits[],3,FALSE),"")</f>
        <v>1</v>
      </c>
      <c r="R80" s="61">
        <f>_xlfn.IFNA(VLOOKUP($F80,tblMerits[],4,FALSE),"")</f>
        <v>1</v>
      </c>
      <c r="Y80" s="15">
        <f>P173</f>
        <v>1</v>
      </c>
      <c r="Z80" s="61" t="s">
        <v>244</v>
      </c>
      <c r="AA80" s="60" t="str" cm="1">
        <f t="array" ref="AA80">IF(OR(Y80=0,Y80=""),"",IF(VLOOKUP(Z80,$AI$1:$AJ$58,2,FALSE)&gt;=Y80,INDEX(tblDisciplines[Name],MATCH(1,(tblDisciplines[Discipline]=Z80)*(tblDisciplines[Rank]=Y80),0)),""))</f>
        <v>Resilience 1</v>
      </c>
    </row>
    <row r="81" spans="1:27">
      <c r="A81" s="1" t="s">
        <v>80</v>
      </c>
      <c r="B81" t="str">
        <f t="shared" si="11"/>
        <v/>
      </c>
      <c r="D81" s="58"/>
      <c r="E81" s="15" t="s">
        <v>116</v>
      </c>
      <c r="F81" s="3" t="s">
        <v>1627</v>
      </c>
      <c r="G81" s="3"/>
      <c r="H81" s="67" t="str">
        <f>_xlfn.IFNA(IF(VLOOKUP(F81,tblMerits[],6,FALSE)=0,"None",VLOOKUP(F81,tblMerits[],6,FALSE)),"None")</f>
        <v>None</v>
      </c>
      <c r="I81" s="67"/>
      <c r="L81" s="4">
        <v>1</v>
      </c>
      <c r="M81" s="4"/>
      <c r="N81" s="4"/>
      <c r="O81" s="61">
        <f t="shared" si="16"/>
        <v>0</v>
      </c>
      <c r="P81" s="60">
        <f t="shared" si="15"/>
        <v>1</v>
      </c>
      <c r="Q81" s="61">
        <f>_xlfn.IFNA(VLOOKUP($F81,tblMerits[],3,FALSE),"")</f>
        <v>1</v>
      </c>
      <c r="R81" s="61">
        <f>_xlfn.IFNA(VLOOKUP($F81,tblMerits[],4,FALSE),"")</f>
        <v>1</v>
      </c>
      <c r="Y81" s="15">
        <f>P174</f>
        <v>0</v>
      </c>
      <c r="Z81" s="61" t="s">
        <v>245</v>
      </c>
      <c r="AA81" s="60" t="str" cm="1">
        <f t="array" ref="AA81">IF(OR(Y81=0,Y81=""),"",IF(VLOOKUP(Z81,$AI$1:$AJ$58,2,FALSE)&gt;=Y81,INDEX(tblDisciplines[Name],MATCH(1,(tblDisciplines[Discipline]=Z81)*(tblDisciplines[Rank]=Y81),0)),""))</f>
        <v/>
      </c>
    </row>
    <row r="82" spans="1:27">
      <c r="A82" s="1" t="s">
        <v>81</v>
      </c>
      <c r="B82" t="str">
        <f t="shared" si="11"/>
        <v/>
      </c>
      <c r="D82" s="57" t="s">
        <v>1809</v>
      </c>
      <c r="E82" s="15" t="s">
        <v>117</v>
      </c>
      <c r="F82" s="3" t="s">
        <v>1701</v>
      </c>
      <c r="G82" s="3"/>
      <c r="H82" s="67" t="str">
        <f>_xlfn.IFNA(IF(VLOOKUP(F82,tblMerits[],6,FALSE)=0,"None",VLOOKUP(F82,tblMerits[],6,FALSE)),"None")</f>
        <v>Invictus Status 1</v>
      </c>
      <c r="I82" s="67"/>
      <c r="L82" s="4"/>
      <c r="M82" s="4">
        <v>1</v>
      </c>
      <c r="N82" s="4"/>
      <c r="O82" s="61">
        <f t="shared" si="16"/>
        <v>0</v>
      </c>
      <c r="P82" s="60">
        <f t="shared" si="15"/>
        <v>1</v>
      </c>
      <c r="Q82" s="61">
        <f>_xlfn.IFNA(VLOOKUP($F82,tblMerits[],3,FALSE),"")</f>
        <v>1</v>
      </c>
      <c r="R82" s="61">
        <f>_xlfn.IFNA(VLOOKUP($F82,tblMerits[],4,FALSE),"")</f>
        <v>1</v>
      </c>
      <c r="Y82" s="61" t="s">
        <v>1472</v>
      </c>
      <c r="Z82" s="19"/>
      <c r="AA82" s="60" t="str">
        <f>IF(P177="","",F177)</f>
        <v>Govi Trap</v>
      </c>
    </row>
    <row r="83" spans="1:27">
      <c r="A83" s="1" t="s">
        <v>82</v>
      </c>
      <c r="B83" t="str">
        <f t="shared" si="11"/>
        <v/>
      </c>
      <c r="D83" s="19"/>
      <c r="E83" s="15" t="s">
        <v>118</v>
      </c>
      <c r="F83" s="3"/>
      <c r="G83" s="3"/>
      <c r="H83" s="67" t="str">
        <f>_xlfn.IFNA(IF(VLOOKUP(F83,tblMerits[],6,FALSE)=0,"None",VLOOKUP(F83,tblMerits[],6,FALSE)),"None")</f>
        <v>None</v>
      </c>
      <c r="I83" s="67"/>
      <c r="L83" s="4"/>
      <c r="M83" s="4"/>
      <c r="N83" s="4"/>
      <c r="O83" s="61">
        <f t="shared" si="16"/>
        <v>0</v>
      </c>
      <c r="P83" s="60">
        <f t="shared" si="15"/>
        <v>0</v>
      </c>
      <c r="Q83" s="61" t="str">
        <f>_xlfn.IFNA(VLOOKUP($F83,tblMerits[],3,FALSE),"")</f>
        <v/>
      </c>
      <c r="R83" s="61" t="str">
        <f>_xlfn.IFNA(VLOOKUP($F83,tblMerits[],4,FALSE),"")</f>
        <v/>
      </c>
      <c r="Y83" s="61" t="s">
        <v>1472</v>
      </c>
      <c r="Z83" s="19"/>
      <c r="AA83" s="60" t="str">
        <f>IF(P178="","",F178)</f>
        <v>Skeleton Key</v>
      </c>
    </row>
    <row r="84" spans="1:27">
      <c r="A84" s="1" t="s">
        <v>83</v>
      </c>
      <c r="B84">
        <f>P124</f>
        <v>1</v>
      </c>
      <c r="D84" s="19"/>
      <c r="E84" s="15" t="s">
        <v>119</v>
      </c>
      <c r="F84" s="3"/>
      <c r="G84" s="3"/>
      <c r="H84" s="67" t="str">
        <f>_xlfn.IFNA(IF(VLOOKUP(F84,tblMerits[],6,FALSE)=0,"None",VLOOKUP(F84,tblMerits[],6,FALSE)),"None")</f>
        <v>None</v>
      </c>
      <c r="I84" s="67"/>
      <c r="L84" s="4"/>
      <c r="M84" s="4"/>
      <c r="N84" s="4"/>
      <c r="O84" s="61">
        <f t="shared" si="16"/>
        <v>0</v>
      </c>
      <c r="P84" s="60">
        <f t="shared" si="15"/>
        <v>0</v>
      </c>
      <c r="Q84" s="61" t="str">
        <f>_xlfn.IFNA(VLOOKUP($F84,tblMerits[],3,FALSE),"")</f>
        <v/>
      </c>
      <c r="R84" s="61" t="str">
        <f>_xlfn.IFNA(VLOOKUP($F84,tblMerits[],4,FALSE),"")</f>
        <v/>
      </c>
      <c r="Y84" s="61" t="s">
        <v>1472</v>
      </c>
      <c r="Z84" s="19"/>
      <c r="AA84" s="60" t="str">
        <f>IF(P179="","",F179)</f>
        <v>Veve Passageway</v>
      </c>
    </row>
    <row r="85" spans="1:27">
      <c r="A85" s="1" t="s">
        <v>84</v>
      </c>
      <c r="B85">
        <f>P125</f>
        <v>2</v>
      </c>
      <c r="D85" s="19"/>
      <c r="E85" s="15" t="s">
        <v>120</v>
      </c>
      <c r="F85" s="3"/>
      <c r="G85" s="3"/>
      <c r="H85" s="67" t="str">
        <f>_xlfn.IFNA(IF(VLOOKUP(F85,tblMerits[],6,FALSE)=0,"None",VLOOKUP(F85,tblMerits[],6,FALSE)),"None")</f>
        <v>None</v>
      </c>
      <c r="I85" s="67"/>
      <c r="L85" s="4"/>
      <c r="M85" s="4"/>
      <c r="N85" s="4"/>
      <c r="O85" s="61">
        <f t="shared" si="16"/>
        <v>0</v>
      </c>
      <c r="P85" s="60">
        <f t="shared" si="15"/>
        <v>0</v>
      </c>
      <c r="Q85" s="61" t="str">
        <f>_xlfn.IFNA(VLOOKUP($F85,tblMerits[],3,FALSE),"")</f>
        <v/>
      </c>
      <c r="R85" s="61" t="str">
        <f>_xlfn.IFNA(VLOOKUP($F85,tblMerits[],4,FALSE),"")</f>
        <v/>
      </c>
      <c r="Y85" s="61" t="s">
        <v>1472</v>
      </c>
      <c r="Z85" s="19"/>
      <c r="AA85" s="60" t="str">
        <f>IF(P180="","",F180)</f>
        <v/>
      </c>
    </row>
    <row r="86" spans="1:27">
      <c r="A86" s="1" t="s">
        <v>85</v>
      </c>
      <c r="B86">
        <f>P126</f>
        <v>4</v>
      </c>
      <c r="D86" s="19"/>
      <c r="E86" s="15" t="s">
        <v>121</v>
      </c>
      <c r="F86" s="3"/>
      <c r="G86" s="3"/>
      <c r="H86" s="67" t="str">
        <f>_xlfn.IFNA(IF(VLOOKUP(F86,tblMerits[],6,FALSE)=0,"None",VLOOKUP(F86,tblMerits[],6,FALSE)),"None")</f>
        <v>None</v>
      </c>
      <c r="I86" s="67"/>
      <c r="L86" s="4"/>
      <c r="M86" s="4"/>
      <c r="N86" s="4"/>
      <c r="O86" s="61">
        <f t="shared" si="16"/>
        <v>0</v>
      </c>
      <c r="P86" s="60">
        <f t="shared" si="15"/>
        <v>0</v>
      </c>
      <c r="Q86" s="61" t="str">
        <f>_xlfn.IFNA(VLOOKUP($F86,tblMerits[],3,FALSE),"")</f>
        <v/>
      </c>
      <c r="R86" s="61" t="str">
        <f>_xlfn.IFNA(VLOOKUP($F86,tblMerits[],4,FALSE),"")</f>
        <v/>
      </c>
      <c r="Y86" s="61" t="s">
        <v>1472</v>
      </c>
      <c r="Z86" s="19"/>
      <c r="AA86" s="60" t="str">
        <f>IF(P181="","",F181)</f>
        <v/>
      </c>
    </row>
    <row r="87" spans="1:27">
      <c r="A87" s="1" t="s">
        <v>86</v>
      </c>
      <c r="B87" t="str">
        <f>IF(F126="","¬",F126)</f>
        <v>Invictus</v>
      </c>
      <c r="D87" s="19"/>
      <c r="E87" s="15" t="s">
        <v>122</v>
      </c>
      <c r="F87" s="3"/>
      <c r="G87" s="3"/>
      <c r="H87" s="67" t="str">
        <f>_xlfn.IFNA(IF(VLOOKUP(F87,tblMerits[],6,FALSE)=0,"None",VLOOKUP(F87,tblMerits[],6,FALSE)),"None")</f>
        <v>None</v>
      </c>
      <c r="I87" s="67"/>
      <c r="L87" s="4"/>
      <c r="M87" s="4"/>
      <c r="N87" s="4"/>
      <c r="O87" s="61">
        <f t="shared" si="16"/>
        <v>0</v>
      </c>
      <c r="P87" s="60">
        <f t="shared" si="15"/>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
      </c>
    </row>
    <row r="88" spans="1:27">
      <c r="A88" s="1" t="s">
        <v>87</v>
      </c>
      <c r="B88" t="str">
        <f>REPT("●",P126)</f>
        <v>●●●●</v>
      </c>
      <c r="D88" s="19"/>
      <c r="E88" s="15" t="s">
        <v>123</v>
      </c>
      <c r="F88" s="3"/>
      <c r="G88" s="3"/>
      <c r="H88" s="67" t="str">
        <f>_xlfn.IFNA(IF(VLOOKUP(F88,tblMerits[],6,FALSE)=0,"None",VLOOKUP(F88,tblMerits[],6,FALSE)),"None")</f>
        <v>None</v>
      </c>
      <c r="I88" s="67"/>
      <c r="L88" s="4"/>
      <c r="M88" s="4"/>
      <c r="N88" s="4"/>
      <c r="O88" s="61">
        <f t="shared" si="16"/>
        <v>0</v>
      </c>
      <c r="P88" s="60">
        <f t="shared" si="15"/>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Carthian</v>
      </c>
      <c r="D89" s="19"/>
      <c r="E89" s="15" t="s">
        <v>124</v>
      </c>
      <c r="F89" s="3"/>
      <c r="G89" s="3"/>
      <c r="H89" s="67" t="str">
        <f>_xlfn.IFNA(IF(VLOOKUP(F89,tblMerits[],6,FALSE)=0,"None",VLOOKUP(F89,tblMerits[],6,FALSE)),"None")</f>
        <v>None</v>
      </c>
      <c r="I89" s="67"/>
      <c r="L89" s="4"/>
      <c r="M89" s="4"/>
      <c r="N89" s="4"/>
      <c r="O89" s="61">
        <f t="shared" si="16"/>
        <v>0</v>
      </c>
      <c r="P89" s="60">
        <f t="shared" si="15"/>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_xlfn.IFNA(IF(VLOOKUP(F90,tblMerits[],6,FALSE)=0,"None",VLOOKUP(F90,tblMerits[],6,FALSE)),"None")</f>
        <v>None</v>
      </c>
      <c r="I90" s="67"/>
      <c r="L90" s="4"/>
      <c r="M90" s="4"/>
      <c r="N90" s="4"/>
      <c r="O90" s="61">
        <f t="shared" si="16"/>
        <v>0</v>
      </c>
      <c r="P90" s="60">
        <f t="shared" si="15"/>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Crone</v>
      </c>
      <c r="D91" s="19"/>
      <c r="E91" s="15" t="s">
        <v>126</v>
      </c>
      <c r="F91" s="3"/>
      <c r="G91" s="3"/>
      <c r="H91" s="67" t="str">
        <f>_xlfn.IFNA(IF(VLOOKUP(F91,tblMerits[],6,FALSE)=0,"None",VLOOKUP(F91,tblMerits[],6,FALSE)),"None")</f>
        <v>None</v>
      </c>
      <c r="I91" s="67"/>
      <c r="L91" s="4"/>
      <c r="M91" s="4"/>
      <c r="N91" s="4"/>
      <c r="O91" s="61">
        <f t="shared" si="16"/>
        <v>0</v>
      </c>
      <c r="P91" s="60">
        <f t="shared" si="15"/>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6"/>
        <v>0</v>
      </c>
      <c r="P92" s="60">
        <f t="shared" si="15"/>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Lance</v>
      </c>
      <c r="D93" s="19"/>
      <c r="E93" s="15" t="s">
        <v>128</v>
      </c>
      <c r="F93" s="3"/>
      <c r="G93" s="3"/>
      <c r="H93" s="67" t="str">
        <f>_xlfn.IFNA(IF(VLOOKUP(F93,tblMerits[],6,FALSE)=0,"None",VLOOKUP(F93,tblMerits[],6,FALSE)),"None")</f>
        <v>None</v>
      </c>
      <c r="I93" s="67"/>
      <c r="L93" s="4"/>
      <c r="M93" s="4"/>
      <c r="N93" s="4"/>
      <c r="O93" s="61">
        <f t="shared" si="16"/>
        <v>0</v>
      </c>
      <c r="P93" s="60">
        <f t="shared" si="15"/>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6"/>
        <v>0</v>
      </c>
      <c r="P94" s="60">
        <f t="shared" si="15"/>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6"/>
        <v>0</v>
      </c>
      <c r="P95" s="60">
        <f t="shared" si="15"/>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6"/>
        <v>0</v>
      </c>
      <c r="P96" s="60">
        <f t="shared" si="15"/>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6"/>
        <v>0</v>
      </c>
      <c r="P97" s="60">
        <f t="shared" si="15"/>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6"/>
        <v>0</v>
      </c>
      <c r="P98" s="60">
        <f t="shared" si="15"/>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c r="G101" s="60" t="str">
        <f>IFERROR(VLOOKUP(F101,tblManoeuvre[],2,FALSE)&amp;" "&amp;VLOOKUP(F101,tblManoeuvre[],3,FALSE),"")</f>
        <v/>
      </c>
      <c r="H101" s="67" t="str">
        <f>IFERROR(IF(VLOOKUP(F101,tblManoeuvre[],8,FALSE)=0,"None",VLOOKUP(F101,tblManoeuvre[],8,FALSE)),"None")</f>
        <v>None</v>
      </c>
      <c r="I101" s="67"/>
      <c r="L101" s="4"/>
      <c r="M101" s="4"/>
      <c r="N101" s="4"/>
      <c r="O101" s="61">
        <f t="shared" ref="O101:O120" si="17">N101</f>
        <v>0</v>
      </c>
      <c r="P101" s="60">
        <f t="shared" ref="P101:P120" si="18">MIN(SUM(L101,M101,O101),R101)</f>
        <v>0</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Voudun Priest</v>
      </c>
      <c r="D102" s="19"/>
      <c r="E102" s="15" t="s">
        <v>1441</v>
      </c>
      <c r="F102" s="3"/>
      <c r="G102" s="60" t="str">
        <f>IFERROR(VLOOKUP(F102,tblManoeuvre[],2,FALSE)&amp;" "&amp;VLOOKUP(F102,tblManoeuvre[],3,FALSE),"")</f>
        <v/>
      </c>
      <c r="H102" s="67" t="str">
        <f>IFERROR(IF(VLOOKUP(F102,tblManoeuvre[],8,FALSE)=0,"None",VLOOKUP(F102,tblManoeuvre[],8,FALSE)),"None")</f>
        <v>None</v>
      </c>
      <c r="I102" s="67"/>
      <c r="L102" s="4"/>
      <c r="M102" s="4"/>
      <c r="N102" s="4"/>
      <c r="O102" s="61">
        <f t="shared" si="17"/>
        <v>0</v>
      </c>
      <c r="P102" s="60">
        <f t="shared" si="18"/>
        <v>0</v>
      </c>
      <c r="Q102" s="61">
        <v>1</v>
      </c>
      <c r="R102" s="61">
        <v>1</v>
      </c>
      <c r="Y102" s="15">
        <v>1</v>
      </c>
      <c r="Z102" s="61" t="s">
        <v>251</v>
      </c>
      <c r="AA102" s="60" t="str" cm="1">
        <f t="array" ref="AA102">IF(VLOOKUP(Z102,$AI$1:$AJ$58,2,FALSE)&gt;=Y102,INDEX(tblDisciplines[Name],MATCH(1,(tblDisciplines[Discipline]=Z102)*(tblDisciplines[Rank]=Y102),0)),"")</f>
        <v/>
      </c>
    </row>
    <row r="103" spans="1:27">
      <c r="A103" s="1" t="s">
        <v>102</v>
      </c>
      <c r="B103">
        <f>P73</f>
        <v>5</v>
      </c>
      <c r="D103" s="19"/>
      <c r="E103" s="15" t="s">
        <v>1443</v>
      </c>
      <c r="F103" s="3"/>
      <c r="G103" s="60" t="str">
        <f>IFERROR(VLOOKUP(F103,tblManoeuvre[],2,FALSE)&amp;" "&amp;VLOOKUP(F103,tblManoeuvre[],3,FALSE),"")</f>
        <v/>
      </c>
      <c r="H103" s="67" t="str">
        <f>IFERROR(IF(VLOOKUP(F103,tblManoeuvre[],8,FALSE)=0,"None",VLOOKUP(F103,tblManoeuvre[],8,FALSE)),"None")</f>
        <v>None</v>
      </c>
      <c r="I103" s="67"/>
      <c r="L103" s="4"/>
      <c r="M103" s="4"/>
      <c r="N103" s="4"/>
      <c r="O103" s="61">
        <f t="shared" si="17"/>
        <v>0</v>
      </c>
      <c r="P103" s="60">
        <f t="shared" si="18"/>
        <v>0</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c r="G104" s="60" t="str">
        <f>IFERROR(VLOOKUP(F104,tblManoeuvre[],2,FALSE)&amp;" "&amp;VLOOKUP(F104,tblManoeuvre[],3,FALSE),"")</f>
        <v/>
      </c>
      <c r="H104" s="67" t="str">
        <f>IFERROR(IF(VLOOKUP(F104,tblManoeuvre[],8,FALSE)=0,"None",VLOOKUP(F104,tblManoeuvre[],8,FALSE)),"None")</f>
        <v>None</v>
      </c>
      <c r="I104" s="67"/>
      <c r="L104" s="4"/>
      <c r="M104" s="4"/>
      <c r="N104" s="4"/>
      <c r="O104" s="61">
        <f t="shared" si="17"/>
        <v>0</v>
      </c>
      <c r="P104" s="60">
        <f t="shared" si="18"/>
        <v>0</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c r="G105" s="60" t="str">
        <f>IFERROR(VLOOKUP(F105,tblManoeuvre[],2,FALSE)&amp;" "&amp;VLOOKUP(F105,tblManoeuvre[],3,FALSE),"")</f>
        <v/>
      </c>
      <c r="H105" s="67" t="str">
        <f>IFERROR(IF(VLOOKUP(F105,tblManoeuvre[],8,FALSE)=0,"None",VLOOKUP(F105,tblManoeuvre[],8,FALSE)),"None")</f>
        <v>None</v>
      </c>
      <c r="I105" s="67"/>
      <c r="L105" s="4"/>
      <c r="M105" s="4"/>
      <c r="N105" s="4"/>
      <c r="O105" s="61">
        <f t="shared" si="17"/>
        <v>0</v>
      </c>
      <c r="P105" s="60">
        <f t="shared" si="18"/>
        <v>0</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IFERROR(VLOOKUP(F106,tblManoeuvre[],2,FALSE)&amp;" "&amp;VLOOKUP(F106,tblManoeuvre[],3,FALSE),"")</f>
        <v/>
      </c>
      <c r="H106" s="67" t="str">
        <f>IFERROR(IF(VLOOKUP(F106,tblManoeuvre[],8,FALSE)=0,"None",VLOOKUP(F106,tblManoeuvre[],8,FALSE)),"None")</f>
        <v>None</v>
      </c>
      <c r="I106" s="67"/>
      <c r="L106" s="4"/>
      <c r="M106" s="4"/>
      <c r="N106" s="4"/>
      <c r="O106" s="61">
        <f t="shared" si="17"/>
        <v>0</v>
      </c>
      <c r="P106" s="60">
        <f t="shared" si="18"/>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IFERROR(VLOOKUP(F107,tblManoeuvre[],2,FALSE)&amp;" "&amp;VLOOKUP(F107,tblManoeuvre[],3,FALSE),"")</f>
        <v/>
      </c>
      <c r="H107" s="67" t="str">
        <f>IFERROR(IF(VLOOKUP(F107,tblManoeuvre[],8,FALSE)=0,"None",VLOOKUP(F107,tblManoeuvre[],8,FALSE)),"None")</f>
        <v>None</v>
      </c>
      <c r="I107" s="67"/>
      <c r="L107" s="4"/>
      <c r="M107" s="4"/>
      <c r="N107" s="4"/>
      <c r="O107" s="61">
        <f t="shared" si="17"/>
        <v>0</v>
      </c>
      <c r="P107" s="60">
        <f t="shared" si="18"/>
        <v>0</v>
      </c>
      <c r="Q107" s="61">
        <v>1</v>
      </c>
      <c r="R107" s="61">
        <v>1</v>
      </c>
      <c r="Y107" s="15">
        <v>1</v>
      </c>
      <c r="Z107" s="61" t="s">
        <v>252</v>
      </c>
      <c r="AA107" s="60" t="str" cm="1">
        <f t="array" ref="AA107">IF(VLOOKUP(Z107,$AI$1:$AJ$58,2,FALSE)&gt;=Y107,INDEX(tblDisciplines[Name],MATCH(1,(tblDisciplines[Discipline]=Z107)*(tblDisciplines[Rank]=Y107),0)),"")</f>
        <v/>
      </c>
    </row>
    <row r="108" spans="1:27">
      <c r="A108" s="1" t="s">
        <v>107</v>
      </c>
      <c r="B108" t="str">
        <f>IF($P$73&gt;=7,"●","○") &amp; IF(F226&lt;&gt;""," (" &amp; F226 &amp; ")","")</f>
        <v>○ (Unnamed lawyer/clerk)</v>
      </c>
      <c r="D108" s="19"/>
      <c r="E108" s="15" t="s">
        <v>1452</v>
      </c>
      <c r="F108" s="3"/>
      <c r="G108" s="60" t="str">
        <f>IFERROR(VLOOKUP(F108,tblManoeuvre[],2,FALSE)&amp;" "&amp;VLOOKUP(F108,tblManoeuvre[],3,FALSE),"")</f>
        <v/>
      </c>
      <c r="H108" s="67" t="str">
        <f>IFERROR(IF(VLOOKUP(F108,tblManoeuvre[],8,FALSE)=0,"None",VLOOKUP(F108,tblManoeuvre[],8,FALSE)),"None")</f>
        <v>None</v>
      </c>
      <c r="I108" s="67"/>
      <c r="L108" s="4"/>
      <c r="M108" s="4"/>
      <c r="N108" s="4"/>
      <c r="O108" s="61">
        <f t="shared" si="17"/>
        <v>0</v>
      </c>
      <c r="P108" s="60">
        <f t="shared" si="18"/>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v>
      </c>
      <c r="D109" s="19"/>
      <c r="E109" s="15" t="s">
        <v>1454</v>
      </c>
      <c r="F109" s="3"/>
      <c r="G109" s="60" t="str">
        <f>IFERROR(VLOOKUP(F109,tblManoeuvre[],2,FALSE)&amp;" "&amp;VLOOKUP(F109,tblManoeuvre[],3,FALSE),"")</f>
        <v/>
      </c>
      <c r="H109" s="67" t="str">
        <f>IFERROR(IF(VLOOKUP(F109,tblManoeuvre[],8,FALSE)=0,"None",VLOOKUP(F109,tblManoeuvre[],8,FALSE)),"None")</f>
        <v>None</v>
      </c>
      <c r="I109" s="67"/>
      <c r="L109" s="4"/>
      <c r="M109" s="4"/>
      <c r="N109" s="4"/>
      <c r="O109" s="61">
        <f t="shared" si="17"/>
        <v>0</v>
      </c>
      <c r="P109" s="60">
        <f t="shared" si="18"/>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v>
      </c>
      <c r="D110" s="19"/>
      <c r="E110" s="15" t="s">
        <v>1455</v>
      </c>
      <c r="F110" s="3"/>
      <c r="G110" s="60" t="str">
        <f>IFERROR(VLOOKUP(F110,tblManoeuvre[],2,FALSE)&amp;" "&amp;VLOOKUP(F110,tblManoeuvre[],3,FALSE),"")</f>
        <v/>
      </c>
      <c r="H110" s="67" t="str">
        <f>IFERROR(IF(VLOOKUP(F110,tblManoeuvre[],8,FALSE)=0,"None",VLOOKUP(F110,tblManoeuvre[],8,FALSE)),"None")</f>
        <v>None</v>
      </c>
      <c r="I110" s="67"/>
      <c r="L110" s="4"/>
      <c r="M110" s="4"/>
      <c r="N110" s="4"/>
      <c r="O110" s="61">
        <f t="shared" si="17"/>
        <v>0</v>
      </c>
      <c r="P110" s="60">
        <f t="shared" si="18"/>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t="str">
        <f>IFERROR(VLOOKUP(F111,tblManoeuvre[],2,FALSE)&amp;" "&amp;VLOOKUP(F111,tblManoeuvre[],3,FALSE),"")</f>
        <v/>
      </c>
      <c r="H111" s="67" t="str">
        <f>IFERROR(IF(VLOOKUP(F111,tblManoeuvre[],8,FALSE)=0,"None",VLOOKUP(F111,tblManoeuvre[],8,FALSE)),"None")</f>
        <v>None</v>
      </c>
      <c r="I111" s="67"/>
      <c r="L111" s="4"/>
      <c r="M111" s="4"/>
      <c r="N111" s="4"/>
      <c r="O111" s="61">
        <f t="shared" si="17"/>
        <v>0</v>
      </c>
      <c r="P111" s="60">
        <f t="shared" si="18"/>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t="str">
        <f>IFERROR(VLOOKUP(F112,tblManoeuvre[],2,FALSE)&amp;" "&amp;VLOOKUP(F112,tblManoeuvre[],3,FALSE),"")</f>
        <v/>
      </c>
      <c r="H112" s="67" t="str">
        <f>IFERROR(IF(VLOOKUP(F112,tblManoeuvre[],8,FALSE)=0,"None",VLOOKUP(F112,tblManoeuvre[],8,FALSE)),"None")</f>
        <v>None</v>
      </c>
      <c r="I112" s="67"/>
      <c r="L112" s="4"/>
      <c r="M112" s="4"/>
      <c r="N112" s="4"/>
      <c r="O112" s="61">
        <f t="shared" si="17"/>
        <v>0</v>
      </c>
      <c r="P112" s="60">
        <f t="shared" si="18"/>
        <v>0</v>
      </c>
      <c r="Q112" s="61">
        <v>1</v>
      </c>
      <c r="R112" s="61">
        <v>1</v>
      </c>
      <c r="Y112" s="61" t="s">
        <v>1474</v>
      </c>
      <c r="Z112" s="61" t="str">
        <f t="shared" ref="Z112:Z121" si="19">G194</f>
        <v/>
      </c>
      <c r="AA112" s="60" t="str">
        <f t="shared" ref="AA112:AA121" si="20">IF(P194="","",F194)</f>
        <v/>
      </c>
    </row>
    <row r="113" spans="1:27">
      <c r="A113" s="1" t="s">
        <v>112</v>
      </c>
      <c r="B113" t="str">
        <f>IF($P$73&gt;=2,"●","○") &amp; IF(F231&lt;&gt;""," (" &amp; F231 &amp; ")","")</f>
        <v>●</v>
      </c>
      <c r="D113" s="19"/>
      <c r="E113" s="15" t="s">
        <v>1458</v>
      </c>
      <c r="F113" s="3"/>
      <c r="G113" s="60" t="str">
        <f>IFERROR(VLOOKUP(F113,tblManoeuvre[],2,FALSE)&amp;" "&amp;VLOOKUP(F113,tblManoeuvre[],3,FALSE),"")</f>
        <v/>
      </c>
      <c r="H113" s="67" t="str">
        <f>IFERROR(IF(VLOOKUP(F113,tblManoeuvre[],8,FALSE)=0,"None",VLOOKUP(F113,tblManoeuvre[],8,FALSE)),"None")</f>
        <v>None</v>
      </c>
      <c r="I113" s="67"/>
      <c r="L113" s="4"/>
      <c r="M113" s="4"/>
      <c r="N113" s="4"/>
      <c r="O113" s="61">
        <f t="shared" si="17"/>
        <v>0</v>
      </c>
      <c r="P113" s="60">
        <f t="shared" si="18"/>
        <v>0</v>
      </c>
      <c r="Q113" s="61">
        <v>1</v>
      </c>
      <c r="R113" s="61">
        <v>1</v>
      </c>
      <c r="Y113" s="61" t="s">
        <v>1474</v>
      </c>
      <c r="Z113" s="61" t="str">
        <f t="shared" si="19"/>
        <v/>
      </c>
      <c r="AA113" s="60" t="str">
        <f t="shared" si="20"/>
        <v/>
      </c>
    </row>
    <row r="114" spans="1:27">
      <c r="A114" s="1" t="s">
        <v>113</v>
      </c>
      <c r="B114" t="str">
        <f>IF($P$73&gt;=1,"●","○") &amp; IF(F232&lt;&gt;""," (" &amp; F232 &amp; ")","")</f>
        <v>●</v>
      </c>
      <c r="D114" s="19"/>
      <c r="E114" s="15" t="s">
        <v>1460</v>
      </c>
      <c r="F114" s="3"/>
      <c r="G114" s="60" t="str">
        <f>IFERROR(VLOOKUP(F114,tblManoeuvre[],2,FALSE)&amp;" "&amp;VLOOKUP(F114,tblManoeuvre[],3,FALSE),"")</f>
        <v/>
      </c>
      <c r="H114" s="67" t="str">
        <f>IFERROR(IF(VLOOKUP(F114,tblManoeuvre[],8,FALSE)=0,"None",VLOOKUP(F114,tblManoeuvre[],8,FALSE)),"None")</f>
        <v>None</v>
      </c>
      <c r="I114" s="67"/>
      <c r="L114" s="4"/>
      <c r="M114" s="4"/>
      <c r="N114" s="4"/>
      <c r="O114" s="61">
        <f t="shared" si="17"/>
        <v>0</v>
      </c>
      <c r="P114" s="60">
        <f t="shared" si="18"/>
        <v>0</v>
      </c>
      <c r="Q114" s="61">
        <v>1</v>
      </c>
      <c r="R114" s="61">
        <v>1</v>
      </c>
      <c r="Y114" s="61" t="s">
        <v>1474</v>
      </c>
      <c r="Z114" s="61" t="str">
        <f t="shared" si="19"/>
        <v/>
      </c>
      <c r="AA114" s="60" t="str">
        <f t="shared" si="20"/>
        <v/>
      </c>
    </row>
    <row r="115" spans="1:27">
      <c r="A115" s="1" t="s">
        <v>114</v>
      </c>
      <c r="B115" t="str">
        <f t="shared" ref="B115:B144" si="21">IF(AD2="","¬",AD2)</f>
        <v>Attaché ●</v>
      </c>
      <c r="D115" s="19"/>
      <c r="E115" s="15" t="s">
        <v>1461</v>
      </c>
      <c r="F115" s="3"/>
      <c r="G115" s="60" t="str">
        <f>IFERROR(VLOOKUP(F115,tblManoeuvre[],2,FALSE)&amp;" "&amp;VLOOKUP(F115,tblManoeuvre[],3,FALSE),"")</f>
        <v/>
      </c>
      <c r="H115" s="67" t="str">
        <f>IFERROR(IF(VLOOKUP(F115,tblManoeuvre[],8,FALSE)=0,"None",VLOOKUP(F115,tblManoeuvre[],8,FALSE)),"None")</f>
        <v>None</v>
      </c>
      <c r="I115" s="67"/>
      <c r="L115" s="4"/>
      <c r="M115" s="4"/>
      <c r="N115" s="4"/>
      <c r="O115" s="61">
        <f t="shared" si="17"/>
        <v>0</v>
      </c>
      <c r="P115" s="60">
        <f t="shared" si="18"/>
        <v>0</v>
      </c>
      <c r="Q115" s="61">
        <v>1</v>
      </c>
      <c r="R115" s="61">
        <v>1</v>
      </c>
      <c r="Y115" s="61" t="s">
        <v>1474</v>
      </c>
      <c r="Z115" s="61" t="str">
        <f t="shared" si="19"/>
        <v/>
      </c>
      <c r="AA115" s="60" t="str">
        <f t="shared" si="20"/>
        <v/>
      </c>
    </row>
    <row r="116" spans="1:27">
      <c r="A116" s="1" t="s">
        <v>115</v>
      </c>
      <c r="B116" t="str">
        <f t="shared" si="21"/>
        <v>Friends in High Places ●</v>
      </c>
      <c r="D116" s="19"/>
      <c r="E116" s="15" t="s">
        <v>1462</v>
      </c>
      <c r="F116" s="3"/>
      <c r="G116" s="60" t="str">
        <f>IFERROR(VLOOKUP(F116,tblManoeuvre[],2,FALSE)&amp;" "&amp;VLOOKUP(F116,tblManoeuvre[],3,FALSE),"")</f>
        <v/>
      </c>
      <c r="H116" s="67" t="str">
        <f>IFERROR(IF(VLOOKUP(F116,tblManoeuvre[],8,FALSE)=0,"None",VLOOKUP(F116,tblManoeuvre[],8,FALSE)),"None")</f>
        <v>None</v>
      </c>
      <c r="I116" s="67"/>
      <c r="L116" s="4"/>
      <c r="M116" s="4"/>
      <c r="N116" s="4"/>
      <c r="O116" s="61">
        <f t="shared" si="17"/>
        <v>0</v>
      </c>
      <c r="P116" s="60">
        <f t="shared" si="18"/>
        <v>0</v>
      </c>
      <c r="Q116" s="61">
        <v>1</v>
      </c>
      <c r="R116" s="61">
        <v>1</v>
      </c>
      <c r="Y116" s="61" t="s">
        <v>1474</v>
      </c>
      <c r="Z116" s="61" t="str">
        <f t="shared" si="19"/>
        <v/>
      </c>
      <c r="AA116" s="60" t="str">
        <f t="shared" si="20"/>
        <v/>
      </c>
    </row>
    <row r="117" spans="1:27">
      <c r="A117" s="1" t="s">
        <v>116</v>
      </c>
      <c r="B117" t="str">
        <f t="shared" si="21"/>
        <v>Invested ●</v>
      </c>
      <c r="D117" s="19"/>
      <c r="E117" s="15" t="s">
        <v>1463</v>
      </c>
      <c r="F117" s="3"/>
      <c r="G117" s="60" t="str">
        <f>IFERROR(VLOOKUP(F117,tblManoeuvre[],2,FALSE)&amp;" "&amp;VLOOKUP(F117,tblManoeuvre[],3,FALSE),"")</f>
        <v/>
      </c>
      <c r="H117" s="67" t="str">
        <f>IFERROR(IF(VLOOKUP(F117,tblManoeuvre[],8,FALSE)=0,"None",VLOOKUP(F117,tblManoeuvre[],8,FALSE)),"None")</f>
        <v>None</v>
      </c>
      <c r="I117" s="67"/>
      <c r="L117" s="4"/>
      <c r="M117" s="4"/>
      <c r="N117" s="4"/>
      <c r="O117" s="61">
        <f t="shared" si="17"/>
        <v>0</v>
      </c>
      <c r="P117" s="60">
        <f t="shared" si="18"/>
        <v>0</v>
      </c>
      <c r="Q117" s="61">
        <v>1</v>
      </c>
      <c r="R117" s="61">
        <v>1</v>
      </c>
      <c r="Y117" s="61" t="s">
        <v>1474</v>
      </c>
      <c r="Z117" s="61" t="str">
        <f t="shared" si="19"/>
        <v/>
      </c>
      <c r="AA117" s="60" t="str">
        <f t="shared" si="20"/>
        <v/>
      </c>
    </row>
    <row r="118" spans="1:27">
      <c r="A118" s="1" t="s">
        <v>117</v>
      </c>
      <c r="B118" t="str">
        <f t="shared" si="21"/>
        <v>Notary ●●</v>
      </c>
      <c r="D118" s="19"/>
      <c r="E118" s="15" t="s">
        <v>1464</v>
      </c>
      <c r="F118" s="3"/>
      <c r="G118" s="60" t="str">
        <f>IFERROR(VLOOKUP(F118,tblManoeuvre[],2,FALSE)&amp;" "&amp;VLOOKUP(F118,tblManoeuvre[],3,FALSE),"")</f>
        <v/>
      </c>
      <c r="H118" s="67" t="str">
        <f>IFERROR(IF(VLOOKUP(F118,tblManoeuvre[],8,FALSE)=0,"None",VLOOKUP(F118,tblManoeuvre[],8,FALSE)),"None")</f>
        <v>None</v>
      </c>
      <c r="I118" s="67"/>
      <c r="L118" s="4"/>
      <c r="M118" s="4"/>
      <c r="N118" s="4"/>
      <c r="O118" s="61">
        <f t="shared" si="17"/>
        <v>0</v>
      </c>
      <c r="P118" s="60">
        <f t="shared" si="18"/>
        <v>0</v>
      </c>
      <c r="Q118" s="61">
        <v>1</v>
      </c>
      <c r="R118" s="61">
        <v>1</v>
      </c>
      <c r="Y118" s="61" t="s">
        <v>1474</v>
      </c>
      <c r="Z118" s="61" t="str">
        <f t="shared" si="19"/>
        <v/>
      </c>
      <c r="AA118" s="60" t="str">
        <f t="shared" si="20"/>
        <v/>
      </c>
    </row>
    <row r="119" spans="1:27">
      <c r="A119" s="1" t="s">
        <v>118</v>
      </c>
      <c r="B119" t="str">
        <f t="shared" si="21"/>
        <v>¬</v>
      </c>
      <c r="D119" s="19"/>
      <c r="E119" s="15" t="s">
        <v>1466</v>
      </c>
      <c r="F119" s="3"/>
      <c r="G119" s="60" t="str">
        <f>IFERROR(VLOOKUP(F119,tblManoeuvre[],2,FALSE)&amp;" "&amp;VLOOKUP(F119,tblManoeuvre[],3,FALSE),"")</f>
        <v/>
      </c>
      <c r="H119" s="67" t="str">
        <f>IFERROR(IF(VLOOKUP(F119,tblManoeuvre[],8,FALSE)=0,"None",VLOOKUP(F119,tblManoeuvre[],8,FALSE)),"None")</f>
        <v>None</v>
      </c>
      <c r="I119" s="67"/>
      <c r="L119" s="4"/>
      <c r="M119" s="4"/>
      <c r="N119" s="4"/>
      <c r="O119" s="61">
        <f t="shared" si="17"/>
        <v>0</v>
      </c>
      <c r="P119" s="60">
        <f t="shared" si="18"/>
        <v>0</v>
      </c>
      <c r="Q119" s="61">
        <v>1</v>
      </c>
      <c r="R119" s="61">
        <v>1</v>
      </c>
      <c r="Y119" s="61" t="s">
        <v>1474</v>
      </c>
      <c r="Z119" s="61" t="str">
        <f t="shared" si="19"/>
        <v/>
      </c>
      <c r="AA119" s="60" t="str">
        <f t="shared" si="20"/>
        <v/>
      </c>
    </row>
    <row r="120" spans="1:27">
      <c r="A120" s="1" t="s">
        <v>119</v>
      </c>
      <c r="B120" t="str">
        <f t="shared" si="21"/>
        <v>¬</v>
      </c>
      <c r="D120" s="19"/>
      <c r="E120" s="15" t="s">
        <v>1468</v>
      </c>
      <c r="F120" s="3"/>
      <c r="G120" s="60" t="str">
        <f>IFERROR(VLOOKUP(F120,tblManoeuvre[],2,FALSE)&amp;" "&amp;VLOOKUP(F120,tblManoeuvre[],3,FALSE),"")</f>
        <v/>
      </c>
      <c r="H120" s="67" t="str">
        <f>IFERROR(IF(VLOOKUP(F120,tblManoeuvre[],8,FALSE)=0,"None",VLOOKUP(F120,tblManoeuvre[],8,FALSE)),"None")</f>
        <v>None</v>
      </c>
      <c r="I120" s="67"/>
      <c r="L120" s="4"/>
      <c r="M120" s="4"/>
      <c r="N120" s="4"/>
      <c r="O120" s="61">
        <f t="shared" si="17"/>
        <v>0</v>
      </c>
      <c r="P120" s="60">
        <f t="shared" si="18"/>
        <v>0</v>
      </c>
      <c r="Q120" s="61">
        <v>1</v>
      </c>
      <c r="R120" s="61">
        <v>1</v>
      </c>
      <c r="Y120" s="61" t="s">
        <v>1474</v>
      </c>
      <c r="Z120" s="61" t="str">
        <f t="shared" si="19"/>
        <v/>
      </c>
      <c r="AA120" s="60" t="str">
        <f t="shared" si="20"/>
        <v/>
      </c>
    </row>
    <row r="121" spans="1:27">
      <c r="A121" s="1" t="s">
        <v>120</v>
      </c>
      <c r="B121" t="str">
        <f t="shared" si="21"/>
        <v>¬</v>
      </c>
      <c r="Y121" s="61" t="s">
        <v>1474</v>
      </c>
      <c r="Z121" s="61" t="str">
        <f t="shared" si="19"/>
        <v/>
      </c>
      <c r="AA121" s="60" t="str">
        <f t="shared" si="20"/>
        <v/>
      </c>
    </row>
    <row r="122" spans="1:27" ht="15.75" thickBot="1">
      <c r="A122" s="1" t="s">
        <v>121</v>
      </c>
      <c r="B122" t="str">
        <f t="shared" si="21"/>
        <v>¬</v>
      </c>
      <c r="D122" s="14" t="s">
        <v>1475</v>
      </c>
      <c r="E122" s="14"/>
      <c r="F122" s="14"/>
      <c r="G122" s="14"/>
      <c r="H122" s="14"/>
      <c r="I122" s="14"/>
    </row>
    <row r="123" spans="1:27">
      <c r="A123" s="1" t="s">
        <v>122</v>
      </c>
      <c r="B123" t="str">
        <f t="shared" si="21"/>
        <v>¬</v>
      </c>
      <c r="D123" s="16" t="s">
        <v>927</v>
      </c>
      <c r="E123" s="17"/>
      <c r="F123" s="17"/>
      <c r="G123" s="17"/>
      <c r="H123" s="17"/>
      <c r="I123" s="17"/>
      <c r="Y123" s="15" t="s">
        <v>1476</v>
      </c>
      <c r="Z123" s="19"/>
      <c r="AA123" s="61" t="str">
        <f t="shared" ref="AA123:AA132" si="22">_xlfn.LET(_xlpm.name,VLOOKUP(Y123,$E$2:$F$362,2,FALSE),_xlpm.paid,_xlfn.IFNA(VLOOKUP(_xlpm.name,$F$121:$Q$215,11,FALSE)&gt;=VLOOKUP(_xlpm.name,$F$121:$Q$215,12,FALSE),FALSE),IF(AND(_xlpm.name&lt;&gt;"",_xlpm.paid),_xlpm.name,""))</f>
        <v>Oath of the Hard Motherfucker</v>
      </c>
    </row>
    <row r="124" spans="1:27">
      <c r="A124" s="1" t="s">
        <v>123</v>
      </c>
      <c r="B124" t="str">
        <f t="shared" si="21"/>
        <v>¬</v>
      </c>
      <c r="D124" s="19"/>
      <c r="E124" s="15" t="s">
        <v>83</v>
      </c>
      <c r="F124" s="19"/>
      <c r="G124" s="19"/>
      <c r="H124" s="19"/>
      <c r="I124" s="19"/>
      <c r="L124" s="4">
        <v>1</v>
      </c>
      <c r="M124" s="61">
        <f>IFERROR(VLOOKUP(G13,tblEffectiveStatus[#Data],2,FALSE),0)</f>
        <v>0</v>
      </c>
      <c r="P124" s="60">
        <f>MIN(L124+M124,R124)</f>
        <v>1</v>
      </c>
      <c r="R124" s="61">
        <v>10</v>
      </c>
      <c r="Y124" s="15" t="s">
        <v>1477</v>
      </c>
      <c r="Z124" s="19"/>
      <c r="AA124" s="61" t="str">
        <f t="shared" si="22"/>
        <v/>
      </c>
    </row>
    <row r="125" spans="1:27">
      <c r="A125" s="1" t="s">
        <v>124</v>
      </c>
      <c r="B125" t="str">
        <f t="shared" si="21"/>
        <v>¬</v>
      </c>
      <c r="D125" s="19"/>
      <c r="E125" s="15" t="str">
        <f>IF(F7="","Clan Status",F7&amp;" Status")</f>
        <v>Ventrue Status</v>
      </c>
      <c r="F125" s="19"/>
      <c r="G125" s="19"/>
      <c r="H125" s="19"/>
      <c r="I125" s="19"/>
      <c r="L125" s="4">
        <v>2</v>
      </c>
      <c r="P125" s="60">
        <f>IF(L125="",0,MIN(L125,R125))</f>
        <v>2</v>
      </c>
      <c r="R125" s="61">
        <v>5</v>
      </c>
      <c r="Y125" s="15" t="s">
        <v>1478</v>
      </c>
      <c r="Z125" s="19"/>
      <c r="AA125" s="61" t="str">
        <f t="shared" si="22"/>
        <v/>
      </c>
    </row>
    <row r="126" spans="1:27">
      <c r="A126" s="1" t="s">
        <v>125</v>
      </c>
      <c r="B126" t="str">
        <f t="shared" si="21"/>
        <v>¬</v>
      </c>
      <c r="D126" s="19"/>
      <c r="E126" s="15" t="str">
        <f>IF(F9="","",F9&amp;" Status")</f>
        <v>Invictus Status</v>
      </c>
      <c r="F126" s="19" t="str">
        <f>IF(F9="","",VLOOKUP(F9,tblCovenantShortName[#Data],2,FALSE))</f>
        <v>Invictus</v>
      </c>
      <c r="G126" s="19"/>
      <c r="H126" s="19"/>
      <c r="I126" s="19"/>
      <c r="L126" s="4">
        <v>4</v>
      </c>
      <c r="P126" s="60">
        <f>L126</f>
        <v>4</v>
      </c>
      <c r="R126" s="61">
        <f>5-SUM(L127:L129)</f>
        <v>5</v>
      </c>
      <c r="Y126" s="15" t="s">
        <v>1479</v>
      </c>
      <c r="Z126" s="19"/>
      <c r="AA126" s="61" t="str">
        <f t="shared" si="22"/>
        <v/>
      </c>
    </row>
    <row r="127" spans="1:27">
      <c r="A127" s="1" t="s">
        <v>126</v>
      </c>
      <c r="B127" t="str">
        <f t="shared" si="21"/>
        <v>¬</v>
      </c>
      <c r="D127" s="19"/>
      <c r="E127" s="15" t="str" cm="1">
        <f t="array" ref="E127">IF(F9="","",IFERROR(INDEX(Lists!$F$2:$F$5,SMALL(IF(Lists!$F$2:$F$5&lt;&gt;$F$9,ROW(Lists!$F$2:$F$5)-ROW(Lists!$F$2)+1),1))&amp;" Status",""))</f>
        <v>Carthian Movement Status</v>
      </c>
      <c r="F127" s="19" t="str" cm="1">
        <f t="array" ref="F127">IF(F9="","",IFERROR(VLOOKUP(INDEX(Lists!$F$2:$F$5,SMALL(IF(Lists!$F$2:$F$5&lt;&gt;$F$9,ROW(Lists!$F$2:$F$5)-ROW(Lists!$F$2)+1),1)),tblCovenantShortName[],2,FALSE),""))</f>
        <v>Carthian</v>
      </c>
      <c r="G127" s="19"/>
      <c r="H127" s="19"/>
      <c r="I127" s="19"/>
      <c r="L127" s="4"/>
      <c r="P127" s="60">
        <f>L127</f>
        <v>0</v>
      </c>
      <c r="R127" s="61">
        <f>MAX(0,MIN(P126-1,5-L126-L128-L129))</f>
        <v>1</v>
      </c>
      <c r="Y127" s="15" t="s">
        <v>1480</v>
      </c>
      <c r="Z127" s="19"/>
      <c r="AA127" s="61" t="str">
        <f t="shared" si="22"/>
        <v/>
      </c>
    </row>
    <row r="128" spans="1:27">
      <c r="A128" s="1" t="s">
        <v>127</v>
      </c>
      <c r="B128" t="str">
        <f t="shared" si="21"/>
        <v>¬</v>
      </c>
      <c r="D128" s="19"/>
      <c r="E128" s="15" t="str" cm="1">
        <f t="array" ref="E128">IF(F9="","",IFERROR(INDEX(Lists!$F$2:$F$5,SMALL(IF(Lists!$F$2:$F$5&lt;&gt;$F$9,ROW(Lists!$F$2:$F$5)-ROW(Lists!$F$2)+1),2))&amp;" Status",""))</f>
        <v>Circle of the Crone Status</v>
      </c>
      <c r="F128" s="19" t="str" cm="1">
        <f t="array" ref="F128">IF(F9="","",IFERROR(VLOOKUP(INDEX(Lists!$F$2:$F$5,SMALL(IF(Lists!$F$2:$F$5&lt;&gt;$F$9,ROW(Lists!$F$2:$F$5)-ROW(Lists!$F$2)+1),2)),tblCovenantShortName[],2,FALSE),""))</f>
        <v>Crone</v>
      </c>
      <c r="G128" s="19"/>
      <c r="H128" s="19"/>
      <c r="I128" s="19"/>
      <c r="L128" s="4"/>
      <c r="P128" s="60">
        <f>L128</f>
        <v>0</v>
      </c>
      <c r="R128" s="61">
        <f>MAX(0,MIN(P126-1,5-L126-L127-L129))</f>
        <v>1</v>
      </c>
      <c r="Y128" s="15" t="s">
        <v>1481</v>
      </c>
      <c r="Z128" s="19"/>
      <c r="AA128" s="61" t="str">
        <f t="shared" si="22"/>
        <v/>
      </c>
    </row>
    <row r="129" spans="1:32">
      <c r="A129" s="1" t="s">
        <v>128</v>
      </c>
      <c r="B129" t="str">
        <f t="shared" si="21"/>
        <v>¬</v>
      </c>
      <c r="D129" s="19"/>
      <c r="E129" s="15" t="str" cm="1">
        <f t="array" ref="E129">IF(F9="","",IFERROR(INDEX(Lists!$F$2:$F$5,SMALL(IF(Lists!$F$2:$F$5&lt;&gt;$F$9,ROW(Lists!$F$2:$F$5)-ROW(Lists!$F$2)+1),3))&amp;" Status",""))</f>
        <v>Lancea et Sanctum Status</v>
      </c>
      <c r="F129" s="19" t="str" cm="1">
        <f t="array" ref="F129">IF(F9="","",IFERROR(VLOOKUP(INDEX(Lists!$F$2:$F$5,SMALL(IF(Lists!$F$2:$F$5&lt;&gt;$F$9,ROW(Lists!$F$2:$F$5)-ROW(Lists!$F$2)+1),3)),tblCovenantShortName[],2,FALSE),""))</f>
        <v>Lance</v>
      </c>
      <c r="G129" s="19"/>
      <c r="H129" s="19"/>
      <c r="I129" s="19"/>
      <c r="L129" s="4"/>
      <c r="P129" s="60">
        <f>L129</f>
        <v>0</v>
      </c>
      <c r="R129" s="61">
        <f>MAX(0,MIN(P126-1,5-L126-L127-L128))</f>
        <v>1</v>
      </c>
      <c r="Y129" s="15" t="s">
        <v>1482</v>
      </c>
      <c r="Z129" s="19"/>
      <c r="AA129" s="61" t="str">
        <f t="shared" si="22"/>
        <v/>
      </c>
    </row>
    <row r="130" spans="1:32">
      <c r="A130" s="1" t="s">
        <v>129</v>
      </c>
      <c r="B130" t="str">
        <f t="shared" si="21"/>
        <v>¬</v>
      </c>
      <c r="Y130" s="15" t="s">
        <v>1483</v>
      </c>
      <c r="Z130" s="19"/>
      <c r="AA130" s="61" t="str">
        <f t="shared" si="22"/>
        <v/>
      </c>
    </row>
    <row r="131" spans="1:32">
      <c r="A131" s="1" t="s">
        <v>130</v>
      </c>
      <c r="B131" t="str">
        <f t="shared" si="21"/>
        <v>¬</v>
      </c>
      <c r="D131" s="16" t="s">
        <v>1475</v>
      </c>
      <c r="E131" s="17"/>
      <c r="F131" s="16" t="s">
        <v>1446</v>
      </c>
      <c r="G131" s="17"/>
      <c r="H131" s="17"/>
      <c r="I131" s="17"/>
      <c r="Y131" s="15" t="s">
        <v>1484</v>
      </c>
      <c r="Z131" s="19"/>
      <c r="AA131" s="61" t="str">
        <f t="shared" si="22"/>
        <v/>
      </c>
    </row>
    <row r="132" spans="1:32">
      <c r="A132" s="1" t="s">
        <v>131</v>
      </c>
      <c r="B132" t="str">
        <f t="shared" si="21"/>
        <v>¬</v>
      </c>
      <c r="D132" s="19"/>
      <c r="E132" s="15" t="s">
        <v>94</v>
      </c>
      <c r="F132" s="3" t="s">
        <v>1810</v>
      </c>
      <c r="G132" s="19"/>
      <c r="H132" s="19"/>
      <c r="I132" s="19"/>
      <c r="L132" s="4"/>
      <c r="M132" s="4">
        <v>5</v>
      </c>
      <c r="N132" s="4"/>
      <c r="O132" s="61">
        <f>N132</f>
        <v>0</v>
      </c>
      <c r="P132" s="60">
        <f>MIN(SUM(L132,M132,O132),R132)</f>
        <v>5</v>
      </c>
      <c r="Q132" s="61">
        <f>_xlfn.IFNA(VLOOKUP($E132,tblDomain[],3,FALSE),"")</f>
        <v>1</v>
      </c>
      <c r="R132" s="61">
        <f>_xlfn.IFNA(VLOOKUP($E132,tblDomain[],4,FALSE),"")</f>
        <v>5</v>
      </c>
      <c r="Y132" s="15" t="s">
        <v>1485</v>
      </c>
      <c r="Z132" s="19"/>
      <c r="AA132" s="61" t="str">
        <f t="shared" si="22"/>
        <v/>
      </c>
    </row>
    <row r="133" spans="1:32">
      <c r="A133" s="1" t="s">
        <v>132</v>
      </c>
      <c r="B133" t="str">
        <f t="shared" si="21"/>
        <v>¬</v>
      </c>
      <c r="D133" s="19"/>
      <c r="E133" s="15" t="s">
        <v>95</v>
      </c>
      <c r="F133" s="3" t="str">
        <f>IFERROR(VLOOKUP(E133,tblManoeuvre[#Data],2,FALSE)&amp;" "&amp;VLOOKUP(E133,tblManoeuvre[#Data],3,FALSE),"")</f>
        <v/>
      </c>
      <c r="G133" s="19"/>
      <c r="H133" s="19"/>
      <c r="I133" s="19"/>
      <c r="L133" s="4">
        <v>1</v>
      </c>
      <c r="M133" s="4"/>
      <c r="N133" s="4"/>
      <c r="O133" s="61">
        <f>N133</f>
        <v>0</v>
      </c>
      <c r="P133" s="60">
        <f>MIN(SUM(L133,M133,O133),R133)</f>
        <v>1</v>
      </c>
      <c r="Q133" s="61">
        <f>_xlfn.IFNA(VLOOKUP($E133,tblDomain[],3,FALSE),"")</f>
        <v>1</v>
      </c>
      <c r="R133" s="61">
        <f>_xlfn.IFNA(VLOOKUP($E133,tblDomain[],4,FALSE),"")</f>
        <v>5</v>
      </c>
    </row>
    <row r="134" spans="1:32">
      <c r="A134" s="1" t="s">
        <v>133</v>
      </c>
      <c r="B134" t="str">
        <f t="shared" si="21"/>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3">_xlfn.LET(_xlpm.name,VLOOKUP(Y134,$E$2:$F$362,2,FALSE),_xlpm.note,VLOOKUP(Y134,$E$2:$G$362,3,FALSE),_xlpm.row,MATCH(Y134,$E$138:$E$157,0),_xlpm.dots,INDEX($P$138:$P$157,_xlpm.row),_xlpm.max,INDEX($Q$138:$Q$157,_xlpm.row),_xlpm.paid,_xlfn.IFNA(_xlpm.dots&gt;=_xlpm.max,FALSE),IF(AND(_xlpm.name&lt;&gt;"",_xlpm.paid),IF(_xlpm.note="",_xlpm.name,_xlpm.name&amp;" ("&amp;_xlpm.note&amp;")"),""))</f>
        <v>Retainer</v>
      </c>
      <c r="AC134" s="60" t="str" cm="1">
        <f t="array" ref="AC134:AC137">_xlfn.LET(_xlpm.raw,IFERROR(_xlfn.VSTACK(IFERROR(_xlfn._xlws.SORT(_xlfn._xlws.FILTER(AA134:AA211,AA134:AA211&lt;&gt;"")),""),IFERROR(_xlfn._xlws.SORT(_xlfn._xlws.FILTER(AA213:AA222,AA213:AA222&lt;&gt;"")),"")),""),_xlpm.sorted,IFERROR(_xlfn._xlws.FILTER(_xlpm.raw,_xlpm.raw&lt;&gt;""),""),IFERROR(LEFT(_xlpm.sorted,FIND(" (",_xlpm.sorted)-1),_xlpm.sorted))</f>
        <v>Allies</v>
      </c>
      <c r="AD134" s="20" t="str" cm="1">
        <f t="array" ref="AD134:AD137">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
      </c>
      <c r="AE134" s="20">
        <f t="shared" ref="AE134:AE153" si="24">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0</v>
      </c>
      <c r="AF134" s="61" cm="1">
        <f t="array" ref="AF134">IF(AC134="","",SUMPRODUCT(($F$138:$F$157=AC134)*($G$138:$G$157=IF(AD134="","",AD134))*$P$138:$P$157))</f>
        <v>1</v>
      </c>
    </row>
    <row r="135" spans="1:32">
      <c r="A135" s="1" t="s">
        <v>134</v>
      </c>
      <c r="B135" t="str">
        <f t="shared" si="21"/>
        <v>¬</v>
      </c>
      <c r="D135" s="19"/>
      <c r="E135" s="15" t="s">
        <v>97</v>
      </c>
      <c r="F135" s="19"/>
      <c r="G135" s="19"/>
      <c r="H135" s="19"/>
      <c r="I135" s="19"/>
      <c r="L135" s="4">
        <v>1</v>
      </c>
      <c r="M135" s="4"/>
      <c r="N135" s="4"/>
      <c r="O135" s="61">
        <f>N135</f>
        <v>0</v>
      </c>
      <c r="P135" s="60">
        <f>MIN(SUM(L135,M135,O135),R135)</f>
        <v>1</v>
      </c>
      <c r="Q135" s="61">
        <f>_xlfn.IFNA(VLOOKUP($E135,tblDomain[],3,FALSE),"")</f>
        <v>1</v>
      </c>
      <c r="R135" s="61">
        <f>_xlfn.IFNA(VLOOKUP($E135,tblDomain[],4,FALSE),"")</f>
        <v>5</v>
      </c>
      <c r="Y135" s="15" t="s">
        <v>177</v>
      </c>
      <c r="Z135" s="19"/>
      <c r="AA135" s="61" t="str">
        <f t="shared" si="23"/>
        <v>Allies</v>
      </c>
      <c r="AC135" s="60" t="str">
        <v>Contacts</v>
      </c>
      <c r="AD135" s="20" t="str">
        <v/>
      </c>
      <c r="AE135" s="20">
        <f t="shared" si="24"/>
        <v>1</v>
      </c>
      <c r="AF135" s="61" cm="1">
        <f t="array" ref="AF135">IF(AC135="","",SUMPRODUCT(($F$138:$F$157=AC135)*($G$138:$G$157=IF(AD135="","",AD135))*$P$138:$P$157))</f>
        <v>3</v>
      </c>
    </row>
    <row r="136" spans="1:32">
      <c r="A136" s="1" t="s">
        <v>135</v>
      </c>
      <c r="B136" t="str">
        <f t="shared" si="21"/>
        <v>¬</v>
      </c>
      <c r="Y136" s="15" t="s">
        <v>178</v>
      </c>
      <c r="Z136" s="19"/>
      <c r="AA136" s="61" t="str">
        <f t="shared" si="23"/>
        <v>Contacts</v>
      </c>
      <c r="AC136" s="60" t="str">
        <v>Resources</v>
      </c>
      <c r="AD136" s="20" t="str">
        <v/>
      </c>
      <c r="AE136" s="20">
        <f t="shared" si="24"/>
        <v>0</v>
      </c>
      <c r="AF136" s="61" cm="1">
        <f t="array" ref="AF136">IF(AC136="","",SUMPRODUCT(($F$138:$F$157=AC136)*($G$138:$G$157=IF(AD136="","",AD136))*$P$138:$P$157))</f>
        <v>1</v>
      </c>
    </row>
    <row r="137" spans="1:32">
      <c r="A137" s="1" t="s">
        <v>136</v>
      </c>
      <c r="B137" t="str">
        <f t="shared" si="21"/>
        <v>¬</v>
      </c>
      <c r="D137" s="16" t="s">
        <v>174</v>
      </c>
      <c r="E137" s="17"/>
      <c r="F137" s="17"/>
      <c r="G137" s="17"/>
      <c r="H137" s="61">
        <f>L225</f>
        <v>0</v>
      </c>
      <c r="I137" s="61">
        <f>SUM(AE134:AE155)+SUM(P125:P129)</f>
        <v>9</v>
      </c>
      <c r="Y137" s="15" t="s">
        <v>179</v>
      </c>
      <c r="Z137" s="19"/>
      <c r="AA137" s="61" t="str">
        <f t="shared" si="23"/>
        <v>Resources</v>
      </c>
      <c r="AC137" s="60" t="str">
        <v>Retainer</v>
      </c>
      <c r="AD137" s="20" t="str">
        <v/>
      </c>
      <c r="AE137" s="20">
        <f t="shared" si="24"/>
        <v>2</v>
      </c>
      <c r="AF137" s="61" cm="1">
        <f t="array" ref="AF137">IF(AC137="","",SUMPRODUCT(($F$138:$F$157=AC137)*($G$138:$G$157=IF(AD137="","",AD137))*$P$138:$P$157))</f>
        <v>5</v>
      </c>
    </row>
    <row r="138" spans="1:32">
      <c r="A138" s="1" t="s">
        <v>137</v>
      </c>
      <c r="B138" t="str">
        <f t="shared" si="21"/>
        <v>¬</v>
      </c>
      <c r="D138" s="57" t="s">
        <v>1811</v>
      </c>
      <c r="E138" s="15" t="s">
        <v>176</v>
      </c>
      <c r="F138" s="3" t="s">
        <v>468</v>
      </c>
      <c r="G138" s="3"/>
      <c r="H138" s="67" t="str">
        <f>IFERROR(IF(VLOOKUP(F138,tblManoeuvre[],8,FALSE)=0,"None",VLOOKUP(F138,tblManoeuvre[],8,FALSE)),"None")</f>
        <v>None</v>
      </c>
      <c r="I138" s="67"/>
      <c r="L138" s="4"/>
      <c r="M138" s="4">
        <v>5</v>
      </c>
      <c r="N138" s="4"/>
      <c r="O138" s="61">
        <f t="shared" ref="O138:O157" si="25">N138</f>
        <v>0</v>
      </c>
      <c r="P138" s="60">
        <f t="shared" ref="P138:P157" si="26">MIN(SUM(L138,M138,O138),R138)</f>
        <v>5</v>
      </c>
      <c r="Q138" s="61">
        <f>_xlfn.IFNA(VLOOKUP($F138,tblInfluence[],3,FALSE),"")</f>
        <v>1</v>
      </c>
      <c r="R138" s="61">
        <f>_xlfn.IFNA(VLOOKUP($F138,tblInfluence[],4,FALSE),"")</f>
        <v>5</v>
      </c>
      <c r="Y138" s="15" t="s">
        <v>180</v>
      </c>
      <c r="Z138" s="19"/>
      <c r="AA138" s="61" t="str">
        <f t="shared" si="23"/>
        <v/>
      </c>
      <c r="AC138" s="60"/>
      <c r="AD138" s="20"/>
      <c r="AE138" s="20" t="str">
        <f t="shared" si="24"/>
        <v/>
      </c>
      <c r="AF138" s="61" t="str" cm="1">
        <f t="array" ref="AF138">IF(AC138="","",SUMPRODUCT(($F$138:$F$157=AC138)*($G$138:$G$157=IF(AD138="","",AD138))*$P$138:$P$157))</f>
        <v/>
      </c>
    </row>
    <row r="139" spans="1:32">
      <c r="A139" s="1" t="s">
        <v>138</v>
      </c>
      <c r="B139" t="str">
        <f t="shared" si="21"/>
        <v>¬</v>
      </c>
      <c r="D139" s="57" t="s">
        <v>1808</v>
      </c>
      <c r="E139" s="15" t="s">
        <v>177</v>
      </c>
      <c r="F139" s="3" t="s">
        <v>412</v>
      </c>
      <c r="G139" s="3"/>
      <c r="H139" s="67" t="str">
        <f>IFERROR(IF(VLOOKUP(F139,tblManoeuvre[],8,FALSE)=0,"None",VLOOKUP(F139,tblManoeuvre[],8,FALSE)),"None")</f>
        <v>None</v>
      </c>
      <c r="I139" s="67"/>
      <c r="L139" s="4"/>
      <c r="M139" s="4">
        <v>1</v>
      </c>
      <c r="N139" s="4"/>
      <c r="O139" s="61">
        <f t="shared" si="25"/>
        <v>0</v>
      </c>
      <c r="P139" s="60">
        <f t="shared" si="26"/>
        <v>1</v>
      </c>
      <c r="Q139" s="61">
        <f>_xlfn.IFNA(VLOOKUP($F139,tblInfluence[],3,FALSE),"")</f>
        <v>1</v>
      </c>
      <c r="R139" s="61">
        <f>_xlfn.IFNA(VLOOKUP($F139,tblInfluence[],4,FALSE),"")</f>
        <v>5</v>
      </c>
      <c r="Y139" s="15" t="s">
        <v>181</v>
      </c>
      <c r="Z139" s="19"/>
      <c r="AA139" s="61" t="str">
        <f t="shared" si="23"/>
        <v/>
      </c>
      <c r="AC139" s="60"/>
      <c r="AD139" s="20"/>
      <c r="AE139" s="20" t="str">
        <f t="shared" si="24"/>
        <v/>
      </c>
      <c r="AF139" s="61" t="str" cm="1">
        <f t="array" ref="AF139">IF(AC139="","",SUMPRODUCT(($F$138:$F$157=AC139)*($G$138:$G$157=IF(AD139="","",AD139))*$P$138:$P$157))</f>
        <v/>
      </c>
    </row>
    <row r="140" spans="1:32">
      <c r="A140" s="1" t="s">
        <v>139</v>
      </c>
      <c r="B140" t="str">
        <f t="shared" si="21"/>
        <v>¬</v>
      </c>
      <c r="D140" s="57" t="s">
        <v>1812</v>
      </c>
      <c r="E140" s="15" t="s">
        <v>178</v>
      </c>
      <c r="F140" s="3" t="s">
        <v>413</v>
      </c>
      <c r="G140" s="3"/>
      <c r="H140" s="67" t="str">
        <f>IFERROR(IF(VLOOKUP(F140,tblManoeuvre[],8,FALSE)=0,"None",VLOOKUP(F140,tblManoeuvre[],8,FALSE)),"None")</f>
        <v>None</v>
      </c>
      <c r="I140" s="67"/>
      <c r="L140" s="4"/>
      <c r="M140" s="4">
        <v>3</v>
      </c>
      <c r="N140" s="4"/>
      <c r="O140" s="61">
        <f t="shared" si="25"/>
        <v>0</v>
      </c>
      <c r="P140" s="60">
        <f t="shared" si="26"/>
        <v>3</v>
      </c>
      <c r="Q140" s="61">
        <f>_xlfn.IFNA(VLOOKUP($F140,tblInfluence[],3,FALSE),"")</f>
        <v>1</v>
      </c>
      <c r="R140" s="61">
        <f>_xlfn.IFNA(VLOOKUP($F140,tblInfluence[],4,FALSE),"")</f>
        <v>5</v>
      </c>
      <c r="Y140" s="15" t="s">
        <v>182</v>
      </c>
      <c r="Z140" s="19"/>
      <c r="AA140" s="61" t="str">
        <f t="shared" si="23"/>
        <v/>
      </c>
      <c r="AC140" s="60"/>
      <c r="AD140" s="20"/>
      <c r="AE140" s="20" t="str">
        <f t="shared" si="24"/>
        <v/>
      </c>
      <c r="AF140" s="61" t="str" cm="1">
        <f t="array" ref="AF140">IF(AC140="","",SUMPRODUCT(($F$138:$F$157=AC140)*($G$138:$G$157=IF(AD140="","",AD140))*$P$138:$P$157))</f>
        <v/>
      </c>
    </row>
    <row r="141" spans="1:32">
      <c r="A141" s="1" t="s">
        <v>140</v>
      </c>
      <c r="B141" t="str">
        <f t="shared" si="21"/>
        <v>¬</v>
      </c>
      <c r="D141" s="57" t="s">
        <v>1808</v>
      </c>
      <c r="E141" s="15" t="s">
        <v>179</v>
      </c>
      <c r="F141" s="3" t="s">
        <v>525</v>
      </c>
      <c r="G141" s="3"/>
      <c r="H141" s="67" t="str">
        <f>IFERROR(IF(VLOOKUP(F141,tblManoeuvre[],8,FALSE)=0,"None",VLOOKUP(F141,tblManoeuvre[],8,FALSE)),"None")</f>
        <v>None</v>
      </c>
      <c r="I141" s="67"/>
      <c r="L141" s="4"/>
      <c r="M141" s="4">
        <v>1</v>
      </c>
      <c r="N141" s="4"/>
      <c r="O141" s="61">
        <f t="shared" si="25"/>
        <v>0</v>
      </c>
      <c r="P141" s="60">
        <f t="shared" si="26"/>
        <v>1</v>
      </c>
      <c r="Q141" s="61">
        <f>_xlfn.IFNA(VLOOKUP($F141,tblInfluence[],3,FALSE),"")</f>
        <v>1</v>
      </c>
      <c r="R141" s="61">
        <f>_xlfn.IFNA(VLOOKUP($F141,tblInfluence[],4,FALSE),"")</f>
        <v>5</v>
      </c>
      <c r="Y141" s="15" t="s">
        <v>183</v>
      </c>
      <c r="Z141" s="19"/>
      <c r="AA141" s="61" t="str">
        <f t="shared" si="23"/>
        <v/>
      </c>
      <c r="AC141" s="60"/>
      <c r="AD141" s="20"/>
      <c r="AE141" s="20" t="str">
        <f t="shared" si="24"/>
        <v/>
      </c>
      <c r="AF141" s="61" t="str" cm="1">
        <f t="array" ref="AF141">IF(AC141="","",SUMPRODUCT(($F$138:$F$157=AC141)*($G$138:$G$157=IF(AD141="","",AD141))*$P$138:$P$157))</f>
        <v/>
      </c>
    </row>
    <row r="142" spans="1:32">
      <c r="A142" s="1" t="s">
        <v>141</v>
      </c>
      <c r="B142" t="str">
        <f t="shared" si="21"/>
        <v>¬</v>
      </c>
      <c r="D142" s="19"/>
      <c r="E142" s="15" t="s">
        <v>180</v>
      </c>
      <c r="F142" s="3"/>
      <c r="G142" s="3"/>
      <c r="H142" s="67" t="str">
        <f>IFERROR(IF(VLOOKUP(F142,tblManoeuvre[],8,FALSE)=0,"None",VLOOKUP(F142,tblManoeuvre[],8,FALSE)),"None")</f>
        <v>None</v>
      </c>
      <c r="I142" s="67"/>
      <c r="L142" s="4"/>
      <c r="M142" s="4"/>
      <c r="N142" s="4"/>
      <c r="O142" s="61">
        <f t="shared" si="25"/>
        <v>0</v>
      </c>
      <c r="P142" s="60">
        <f t="shared" si="26"/>
        <v>0</v>
      </c>
      <c r="Q142" s="61" t="str">
        <f>_xlfn.IFNA(VLOOKUP($F142,tblInfluence[],3,FALSE),"")</f>
        <v/>
      </c>
      <c r="R142" s="61" t="str">
        <f>_xlfn.IFNA(VLOOKUP($F142,tblInfluence[],4,FALSE),"")</f>
        <v/>
      </c>
      <c r="Y142" s="15" t="s">
        <v>184</v>
      </c>
      <c r="Z142" s="19"/>
      <c r="AA142" s="61" t="str">
        <f t="shared" si="23"/>
        <v/>
      </c>
      <c r="AC142" s="60"/>
      <c r="AD142" s="20"/>
      <c r="AE142" s="20" t="str">
        <f t="shared" si="24"/>
        <v/>
      </c>
      <c r="AF142" s="61" t="str" cm="1">
        <f t="array" ref="AF142">IF(AC142="","",SUMPRODUCT(($F$138:$F$157=AC142)*($G$138:$G$157=IF(AD142="","",AD142))*$P$138:$P$157))</f>
        <v/>
      </c>
    </row>
    <row r="143" spans="1:32">
      <c r="A143" s="1" t="s">
        <v>142</v>
      </c>
      <c r="B143" t="str">
        <f t="shared" si="21"/>
        <v>¬</v>
      </c>
      <c r="D143" s="19"/>
      <c r="E143" s="15" t="s">
        <v>181</v>
      </c>
      <c r="F143" s="3"/>
      <c r="G143" s="3" t="str">
        <f>IFERROR(VLOOKUP(F143,tblManoeuvre[],2,FALSE)&amp;" "&amp;VLOOKUP(F143,tblManoeuvre[],3,FALSE),"")</f>
        <v/>
      </c>
      <c r="H143" s="67" t="str">
        <f>IFERROR(IF(VLOOKUP(F143,tblManoeuvre[],8,FALSE)=0,"None",VLOOKUP(F143,tblManoeuvre[],8,FALSE)),"None")</f>
        <v>None</v>
      </c>
      <c r="I143" s="67"/>
      <c r="L143" s="4"/>
      <c r="M143" s="4"/>
      <c r="N143" s="4"/>
      <c r="O143" s="61">
        <f t="shared" si="25"/>
        <v>0</v>
      </c>
      <c r="P143" s="60">
        <f t="shared" si="26"/>
        <v>0</v>
      </c>
      <c r="Q143" s="61" t="str">
        <f>_xlfn.IFNA(VLOOKUP($F143,tblInfluence[],3,FALSE),"")</f>
        <v/>
      </c>
      <c r="R143" s="61" t="str">
        <f>_xlfn.IFNA(VLOOKUP($F143,tblInfluence[],4,FALSE),"")</f>
        <v/>
      </c>
      <c r="Y143" s="15" t="s">
        <v>185</v>
      </c>
      <c r="Z143" s="19"/>
      <c r="AA143" s="61" t="str">
        <f t="shared" si="23"/>
        <v/>
      </c>
      <c r="AC143" s="60"/>
      <c r="AD143" s="20"/>
      <c r="AE143" s="20" t="str">
        <f t="shared" si="24"/>
        <v/>
      </c>
      <c r="AF143" s="61" t="str" cm="1">
        <f t="array" ref="AF143">IF(AC143="","",SUMPRODUCT(($F$138:$F$157=AC143)*($G$138:$G$157=IF(AD143="","",AD143))*$P$138:$P$157))</f>
        <v/>
      </c>
    </row>
    <row r="144" spans="1:32">
      <c r="A144" s="1" t="s">
        <v>143</v>
      </c>
      <c r="B144" t="str">
        <f t="shared" si="21"/>
        <v>¬</v>
      </c>
      <c r="D144" s="19"/>
      <c r="E144" s="15" t="s">
        <v>182</v>
      </c>
      <c r="F144" s="3"/>
      <c r="G144" s="3"/>
      <c r="H144" s="67" t="str">
        <f>IFERROR(IF(VLOOKUP(F144,tblManoeuvre[],8,FALSE)=0,"None",VLOOKUP(F144,tblManoeuvre[],8,FALSE)),"None")</f>
        <v>None</v>
      </c>
      <c r="I144" s="67"/>
      <c r="L144" s="4"/>
      <c r="M144" s="4"/>
      <c r="N144" s="4"/>
      <c r="O144" s="61">
        <f t="shared" si="25"/>
        <v>0</v>
      </c>
      <c r="P144" s="60">
        <f t="shared" si="26"/>
        <v>0</v>
      </c>
      <c r="Q144" s="61" t="str">
        <f>_xlfn.IFNA(VLOOKUP($F144,tblInfluence[],3,FALSE),"")</f>
        <v/>
      </c>
      <c r="R144" s="61" t="str">
        <f>_xlfn.IFNA(VLOOKUP($F144,tblInfluence[],4,FALSE),"")</f>
        <v/>
      </c>
      <c r="Y144" s="15" t="s">
        <v>186</v>
      </c>
      <c r="Z144" s="19"/>
      <c r="AA144" s="61" t="str">
        <f t="shared" si="23"/>
        <v/>
      </c>
      <c r="AC144" s="60"/>
      <c r="AD144" s="20"/>
      <c r="AE144" s="20" t="str">
        <f t="shared" si="24"/>
        <v/>
      </c>
      <c r="AF144" s="61" t="str" cm="1">
        <f t="array" ref="AF144">IF(AC144="","",SUMPRODUCT(($F$138:$F$157=AC144)*($G$138:$G$157=IF(AD144="","",AD144))*$P$138:$P$157))</f>
        <v/>
      </c>
    </row>
    <row r="145" spans="1:32">
      <c r="A145" s="1" t="s">
        <v>144</v>
      </c>
      <c r="B145" t="str">
        <f t="shared" ref="B145:B167" si="27">IF(AF2="","¬",AF2)</f>
        <v>Retainers gain your Invictus Status in dots of Contacts, Resources and Safe Place.</v>
      </c>
      <c r="D145" s="19"/>
      <c r="E145" s="15" t="s">
        <v>183</v>
      </c>
      <c r="F145" s="3"/>
      <c r="G145" s="3" t="str">
        <f>IFERROR(VLOOKUP(F145,tblManoeuvre[],2,FALSE)&amp;" "&amp;VLOOKUP(F145,tblManoeuvre[],3,FALSE),"")</f>
        <v/>
      </c>
      <c r="H145" s="67" t="str">
        <f>IFERROR(IF(VLOOKUP(F145,tblManoeuvre[],8,FALSE)=0,"None",VLOOKUP(F145,tblManoeuvre[],8,FALSE)),"None")</f>
        <v>None</v>
      </c>
      <c r="I145" s="67"/>
      <c r="L145" s="4"/>
      <c r="M145" s="4"/>
      <c r="N145" s="4"/>
      <c r="O145" s="61">
        <f t="shared" si="25"/>
        <v>0</v>
      </c>
      <c r="P145" s="60">
        <f t="shared" si="26"/>
        <v>0</v>
      </c>
      <c r="Q145" s="61" t="str">
        <f>_xlfn.IFNA(VLOOKUP($F145,tblInfluence[],3,FALSE),"")</f>
        <v/>
      </c>
      <c r="R145" s="61" t="str">
        <f>_xlfn.IFNA(VLOOKUP($F145,tblInfluence[],4,FALSE),"")</f>
        <v/>
      </c>
      <c r="Y145" s="15" t="s">
        <v>187</v>
      </c>
      <c r="Z145" s="19"/>
      <c r="AA145" s="61" t="str">
        <f t="shared" si="23"/>
        <v/>
      </c>
      <c r="AC145" s="60"/>
      <c r="AD145" s="20"/>
      <c r="AE145" s="20" t="str">
        <f t="shared" si="24"/>
        <v/>
      </c>
      <c r="AF145" s="61" t="str" cm="1">
        <f t="array" ref="AF145">IF(AC145="","",SUMPRODUCT(($F$138:$F$157=AC145)*($G$138:$G$157=IF(AD145="","",AD145))*$P$138:$P$157))</f>
        <v/>
      </c>
    </row>
    <row r="146" spans="1:32">
      <c r="A146" s="1" t="s">
        <v>145</v>
      </c>
      <c r="B146" t="str">
        <f t="shared" si="27"/>
        <v>Once per chapter, use Invictus Status as Mortal Status in areas you don't possess. Drawback: Other Invictus may be informed.</v>
      </c>
      <c r="D146" s="19"/>
      <c r="E146" s="15" t="s">
        <v>184</v>
      </c>
      <c r="F146" s="3"/>
      <c r="G146" s="3" t="str">
        <f>IFERROR(VLOOKUP(F146,tblManoeuvre[],2,FALSE)&amp;" "&amp;VLOOKUP(F146,tblManoeuvre[],3,FALSE),"")</f>
        <v/>
      </c>
      <c r="H146" s="67" t="str">
        <f>IFERROR(IF(VLOOKUP(F146,tblManoeuvre[],8,FALSE)=0,"None",VLOOKUP(F146,tblManoeuvre[],8,FALSE)),"None")</f>
        <v>None</v>
      </c>
      <c r="I146" s="67"/>
      <c r="L146" s="4"/>
      <c r="M146" s="4"/>
      <c r="N146" s="4"/>
      <c r="O146" s="61">
        <f t="shared" si="25"/>
        <v>0</v>
      </c>
      <c r="P146" s="60">
        <f t="shared" si="26"/>
        <v>0</v>
      </c>
      <c r="Q146" s="61" t="str">
        <f>_xlfn.IFNA(VLOOKUP($F146,tblInfluence[],3,FALSE),"")</f>
        <v/>
      </c>
      <c r="R146" s="61" t="str">
        <f>_xlfn.IFNA(VLOOKUP($F146,tblInfluence[],4,FALSE),"")</f>
        <v/>
      </c>
      <c r="Y146" s="15" t="s">
        <v>188</v>
      </c>
      <c r="Z146" s="19"/>
      <c r="AA146" s="61" t="str">
        <f t="shared" si="23"/>
        <v/>
      </c>
      <c r="AC146" s="60"/>
      <c r="AD146" s="20"/>
      <c r="AE146" s="20" t="str">
        <f t="shared" si="24"/>
        <v/>
      </c>
      <c r="AF146" s="61" t="str" cm="1">
        <f t="array" ref="AF146">IF(AC146="","",SUMPRODUCT(($F$138:$F$157=AC146)*($G$138:$G$157=IF(AD146="","",AD146))*$P$138:$P$157))</f>
        <v/>
      </c>
    </row>
    <row r="147" spans="1:32">
      <c r="A147" s="1" t="s">
        <v>146</v>
      </c>
      <c r="B147" t="str">
        <f t="shared" si="27"/>
        <v>Distribute Invictus Status dots among free Herd, Mentor, Resources and Retainer.</v>
      </c>
      <c r="D147" s="19"/>
      <c r="E147" s="15" t="s">
        <v>185</v>
      </c>
      <c r="F147" s="3"/>
      <c r="G147" s="3" t="str">
        <f>IFERROR(VLOOKUP(F147,tblManoeuvre[],2,FALSE)&amp;" "&amp;VLOOKUP(F147,tblManoeuvre[],3,FALSE),"")</f>
        <v/>
      </c>
      <c r="H147" s="67" t="str">
        <f>IFERROR(IF(VLOOKUP(F147,tblManoeuvre[],8,FALSE)=0,"None",VLOOKUP(F147,tblManoeuvre[],8,FALSE)),"None")</f>
        <v>None</v>
      </c>
      <c r="I147" s="67"/>
      <c r="L147" s="4"/>
      <c r="M147" s="4"/>
      <c r="N147" s="4"/>
      <c r="O147" s="61">
        <f t="shared" si="25"/>
        <v>0</v>
      </c>
      <c r="P147" s="60">
        <f t="shared" si="26"/>
        <v>0</v>
      </c>
      <c r="Q147" s="61" t="str">
        <f>_xlfn.IFNA(VLOOKUP($F147,tblInfluence[],3,FALSE),"")</f>
        <v/>
      </c>
      <c r="R147" s="61" t="str">
        <f>_xlfn.IFNA(VLOOKUP($F147,tblInfluence[],4,FALSE),"")</f>
        <v/>
      </c>
      <c r="Y147" s="15" t="s">
        <v>189</v>
      </c>
      <c r="Z147" s="19"/>
      <c r="AA147" s="61" t="str">
        <f t="shared" si="23"/>
        <v/>
      </c>
      <c r="AC147" s="60"/>
      <c r="AD147" s="20"/>
      <c r="AE147" s="20" t="str">
        <f t="shared" si="24"/>
        <v/>
      </c>
      <c r="AF147" s="61" t="str" cm="1">
        <f t="array" ref="AF147">IF(AC147="","",SUMPRODUCT(($F$138:$F$157=AC147)*($G$138:$G$157=IF(AD147="","",AD147))*$P$138:$P$157))</f>
        <v/>
      </c>
    </row>
    <row r="148" spans="1:32">
      <c r="A148" s="1" t="s">
        <v>147</v>
      </c>
      <c r="B148" t="str">
        <f t="shared" si="27"/>
        <v>Preside over Invictus Oaths. Invictus Status can't be used against you. Monthly, call one dot of Allies, Contacts, Herd, Mentor or Resources.</v>
      </c>
      <c r="D148" s="19"/>
      <c r="E148" s="15" t="s">
        <v>186</v>
      </c>
      <c r="F148" s="3"/>
      <c r="G148" s="3" t="str">
        <f>IFERROR(VLOOKUP(F148,tblManoeuvre[],2,FALSE)&amp;" "&amp;VLOOKUP(F148,tblManoeuvre[],3,FALSE),"")</f>
        <v/>
      </c>
      <c r="H148" s="67" t="str">
        <f>IFERROR(IF(VLOOKUP(F148,tblManoeuvre[],8,FALSE)=0,"None",VLOOKUP(F148,tblManoeuvre[],8,FALSE)),"None")</f>
        <v>None</v>
      </c>
      <c r="I148" s="67"/>
      <c r="L148" s="4"/>
      <c r="M148" s="4"/>
      <c r="N148" s="4"/>
      <c r="O148" s="61">
        <f t="shared" si="25"/>
        <v>0</v>
      </c>
      <c r="P148" s="60">
        <f t="shared" si="26"/>
        <v>0</v>
      </c>
      <c r="Q148" s="61" t="str">
        <f>_xlfn.IFNA(VLOOKUP($F148,tblInfluence[],3,FALSE),"")</f>
        <v/>
      </c>
      <c r="R148" s="61" t="str">
        <f>_xlfn.IFNA(VLOOKUP($F148,tblInfluence[],4,FALSE),"")</f>
        <v/>
      </c>
      <c r="Y148" s="15" t="s">
        <v>190</v>
      </c>
      <c r="Z148" s="19"/>
      <c r="AA148" s="61" t="str">
        <f t="shared" si="23"/>
        <v/>
      </c>
      <c r="AC148" s="60"/>
      <c r="AD148" s="20"/>
      <c r="AE148" s="20" t="str">
        <f t="shared" si="24"/>
        <v/>
      </c>
      <c r="AF148" s="61" t="str" cm="1">
        <f t="array" ref="AF148">IF(AC148="","",SUMPRODUCT(($F$138:$F$157=AC148)*($G$138:$G$157=IF(AD148="","",AD148))*$P$138:$P$157))</f>
        <v/>
      </c>
    </row>
    <row r="149" spans="1:32">
      <c r="A149" s="1" t="s">
        <v>148</v>
      </c>
      <c r="B149" t="str">
        <f t="shared" si="27"/>
        <v>¬</v>
      </c>
      <c r="D149" s="19"/>
      <c r="E149" s="15" t="s">
        <v>187</v>
      </c>
      <c r="F149" s="3"/>
      <c r="G149" s="3" t="str">
        <f>IFERROR(VLOOKUP(F149,tblManoeuvre[],2,FALSE)&amp;" "&amp;VLOOKUP(F149,tblManoeuvre[],3,FALSE),"")</f>
        <v/>
      </c>
      <c r="H149" s="67" t="str">
        <f>IFERROR(IF(VLOOKUP(F149,tblManoeuvre[],8,FALSE)=0,"None",VLOOKUP(F149,tblManoeuvre[],8,FALSE)),"None")</f>
        <v>None</v>
      </c>
      <c r="I149" s="67"/>
      <c r="L149" s="4"/>
      <c r="M149" s="4"/>
      <c r="N149" s="4"/>
      <c r="O149" s="61">
        <f t="shared" si="25"/>
        <v>0</v>
      </c>
      <c r="P149" s="60">
        <f t="shared" si="26"/>
        <v>0</v>
      </c>
      <c r="Q149" s="61" t="str">
        <f>_xlfn.IFNA(VLOOKUP($F149,tblInfluence[],3,FALSE),"")</f>
        <v/>
      </c>
      <c r="R149" s="61" t="str">
        <f>_xlfn.IFNA(VLOOKUP($F149,tblInfluence[],4,FALSE),"")</f>
        <v/>
      </c>
      <c r="Y149" s="15" t="s">
        <v>191</v>
      </c>
      <c r="Z149" s="19"/>
      <c r="AA149" s="61" t="str">
        <f t="shared" si="23"/>
        <v/>
      </c>
      <c r="AC149" s="60"/>
      <c r="AD149" s="20"/>
      <c r="AE149" s="20" t="str">
        <f t="shared" si="24"/>
        <v/>
      </c>
      <c r="AF149" s="61" t="str" cm="1">
        <f t="array" ref="AF149">IF(AC149="","",SUMPRODUCT(($F$138:$F$157=AC149)*($G$138:$G$157=IF(AD149="","",AD149))*$P$138:$P$157))</f>
        <v/>
      </c>
    </row>
    <row r="150" spans="1:32">
      <c r="A150" s="1" t="s">
        <v>149</v>
      </c>
      <c r="B150" t="str">
        <f t="shared" si="27"/>
        <v>¬</v>
      </c>
      <c r="D150" s="19"/>
      <c r="E150" s="15" t="s">
        <v>188</v>
      </c>
      <c r="F150" s="3"/>
      <c r="G150" s="3" t="str">
        <f>IFERROR(VLOOKUP(F150,tblManoeuvre[],2,FALSE)&amp;" "&amp;VLOOKUP(F150,tblManoeuvre[],3,FALSE),"")</f>
        <v/>
      </c>
      <c r="H150" s="67" t="str">
        <f>IFERROR(IF(VLOOKUP(F150,tblManoeuvre[],8,FALSE)=0,"None",VLOOKUP(F150,tblManoeuvre[],8,FALSE)),"None")</f>
        <v>None</v>
      </c>
      <c r="I150" s="67"/>
      <c r="L150" s="4"/>
      <c r="M150" s="4"/>
      <c r="N150" s="4"/>
      <c r="O150" s="61">
        <f t="shared" si="25"/>
        <v>0</v>
      </c>
      <c r="P150" s="60">
        <f t="shared" si="26"/>
        <v>0</v>
      </c>
      <c r="Q150" s="61" t="str">
        <f>_xlfn.IFNA(VLOOKUP($F150,tblInfluence[],3,FALSE),"")</f>
        <v/>
      </c>
      <c r="R150" s="61" t="str">
        <f>_xlfn.IFNA(VLOOKUP($F150,tblInfluence[],4,FALSE),"")</f>
        <v/>
      </c>
      <c r="Y150" s="15" t="s">
        <v>192</v>
      </c>
      <c r="Z150" s="19"/>
      <c r="AA150" s="61" t="str">
        <f t="shared" si="23"/>
        <v/>
      </c>
      <c r="AC150" s="60"/>
      <c r="AD150" s="20"/>
      <c r="AE150" s="20" t="str">
        <f t="shared" si="24"/>
        <v/>
      </c>
      <c r="AF150" s="61" t="str" cm="1">
        <f t="array" ref="AF150">IF(AC150="","",SUMPRODUCT(($F$138:$F$157=AC150)*($G$138:$G$157=IF(AD150="","",AD150))*$P$138:$P$157))</f>
        <v/>
      </c>
    </row>
    <row r="151" spans="1:32">
      <c r="A151" s="1" t="s">
        <v>150</v>
      </c>
      <c r="B151" t="str">
        <f t="shared" si="27"/>
        <v>¬</v>
      </c>
      <c r="D151" s="19"/>
      <c r="E151" s="15" t="s">
        <v>189</v>
      </c>
      <c r="F151" s="3"/>
      <c r="G151" s="3" t="str">
        <f>IFERROR(VLOOKUP(F151,tblManoeuvre[],2,FALSE)&amp;" "&amp;VLOOKUP(F151,tblManoeuvre[],3,FALSE),"")</f>
        <v/>
      </c>
      <c r="H151" s="67" t="str">
        <f>IFERROR(IF(VLOOKUP(F151,tblManoeuvre[],8,FALSE)=0,"None",VLOOKUP(F151,tblManoeuvre[],8,FALSE)),"None")</f>
        <v>None</v>
      </c>
      <c r="I151" s="67"/>
      <c r="L151" s="4"/>
      <c r="M151" s="4"/>
      <c r="N151" s="4"/>
      <c r="O151" s="61">
        <f t="shared" si="25"/>
        <v>0</v>
      </c>
      <c r="P151" s="60">
        <f t="shared" si="26"/>
        <v>0</v>
      </c>
      <c r="Q151" s="61" t="str">
        <f>_xlfn.IFNA(VLOOKUP($F151,tblInfluence[],3,FALSE),"")</f>
        <v/>
      </c>
      <c r="R151" s="61" t="str">
        <f>_xlfn.IFNA(VLOOKUP($F151,tblInfluence[],4,FALSE),"")</f>
        <v/>
      </c>
      <c r="Y151" s="15" t="s">
        <v>193</v>
      </c>
      <c r="Z151" s="19"/>
      <c r="AA151" s="61" t="str">
        <f t="shared" si="23"/>
        <v/>
      </c>
      <c r="AC151" s="60"/>
      <c r="AD151" s="20"/>
      <c r="AE151" s="20" t="str">
        <f t="shared" si="24"/>
        <v/>
      </c>
      <c r="AF151" s="61" t="str" cm="1">
        <f t="array" ref="AF151">IF(AC151="","",SUMPRODUCT(($F$138:$F$157=AC151)*($G$138:$G$157=IF(AD151="","",AD151))*$P$138:$P$157))</f>
        <v/>
      </c>
    </row>
    <row r="152" spans="1:32">
      <c r="A152" s="1" t="s">
        <v>151</v>
      </c>
      <c r="B152" t="str">
        <f t="shared" si="27"/>
        <v>¬</v>
      </c>
      <c r="D152" s="19"/>
      <c r="E152" s="15" t="s">
        <v>190</v>
      </c>
      <c r="F152" s="3"/>
      <c r="G152" s="3" t="str">
        <f>IFERROR(VLOOKUP(F152,tblManoeuvre[],2,FALSE)&amp;" "&amp;VLOOKUP(F152,tblManoeuvre[],3,FALSE),"")</f>
        <v/>
      </c>
      <c r="H152" s="67" t="str">
        <f>IFERROR(IF(VLOOKUP(F152,tblManoeuvre[],8,FALSE)=0,"None",VLOOKUP(F152,tblManoeuvre[],8,FALSE)),"None")</f>
        <v>None</v>
      </c>
      <c r="I152" s="67"/>
      <c r="L152" s="4"/>
      <c r="M152" s="4"/>
      <c r="N152" s="4"/>
      <c r="O152" s="61">
        <f t="shared" si="25"/>
        <v>0</v>
      </c>
      <c r="P152" s="60">
        <f t="shared" si="26"/>
        <v>0</v>
      </c>
      <c r="Q152" s="61" t="str">
        <f>_xlfn.IFNA(VLOOKUP($F152,tblInfluence[],3,FALSE),"")</f>
        <v/>
      </c>
      <c r="R152" s="61" t="str">
        <f>_xlfn.IFNA(VLOOKUP($F152,tblInfluence[],4,FALSE),"")</f>
        <v/>
      </c>
      <c r="Y152" s="15" t="s">
        <v>194</v>
      </c>
      <c r="Z152" s="19"/>
      <c r="AA152" s="61" t="str">
        <f t="shared" si="23"/>
        <v/>
      </c>
      <c r="AC152" s="60"/>
      <c r="AD152" s="20"/>
      <c r="AE152" s="20" t="str">
        <f t="shared" si="24"/>
        <v/>
      </c>
      <c r="AF152" s="61" t="str" cm="1">
        <f t="array" ref="AF152">IF(AC152="","",SUMPRODUCT(($F$138:$F$157=AC152)*($G$138:$G$157=IF(AD152="","",AD152))*$P$138:$P$157))</f>
        <v/>
      </c>
    </row>
    <row r="153" spans="1:32">
      <c r="A153" s="1" t="s">
        <v>152</v>
      </c>
      <c r="B153" t="str">
        <f t="shared" si="27"/>
        <v>¬</v>
      </c>
      <c r="D153" s="19"/>
      <c r="E153" s="15" t="s">
        <v>191</v>
      </c>
      <c r="F153" s="3"/>
      <c r="G153" s="3" t="str">
        <f>IFERROR(VLOOKUP(F153,tblManoeuvre[],2,FALSE)&amp;" "&amp;VLOOKUP(F153,tblManoeuvre[],3,FALSE),"")</f>
        <v/>
      </c>
      <c r="H153" s="67" t="str">
        <f>IFERROR(IF(VLOOKUP(F153,tblManoeuvre[],8,FALSE)=0,"None",VLOOKUP(F153,tblManoeuvre[],8,FALSE)),"None")</f>
        <v>None</v>
      </c>
      <c r="I153" s="67"/>
      <c r="L153" s="4"/>
      <c r="M153" s="4"/>
      <c r="N153" s="4"/>
      <c r="O153" s="61">
        <f t="shared" si="25"/>
        <v>0</v>
      </c>
      <c r="P153" s="60">
        <f t="shared" si="26"/>
        <v>0</v>
      </c>
      <c r="Q153" s="61" t="str">
        <f>_xlfn.IFNA(VLOOKUP($F153,tblInfluence[],3,FALSE),"")</f>
        <v/>
      </c>
      <c r="R153" s="61" t="str">
        <f>_xlfn.IFNA(VLOOKUP($F153,tblInfluence[],4,FALSE),"")</f>
        <v/>
      </c>
      <c r="Y153" s="15" t="s">
        <v>195</v>
      </c>
      <c r="Z153" s="19"/>
      <c r="AA153" s="61" t="str">
        <f t="shared" si="23"/>
        <v/>
      </c>
      <c r="AC153" s="60"/>
      <c r="AD153" s="20"/>
      <c r="AE153" s="20" t="str">
        <f t="shared" si="24"/>
        <v/>
      </c>
      <c r="AF153" s="61" t="str" cm="1">
        <f t="array" ref="AF153">IF(AC153="","",SUMPRODUCT(($F$138:$F$157=AC153)*($G$138:$G$157=IF(AD153="","",AD153))*$P$138:$P$157))</f>
        <v/>
      </c>
    </row>
    <row r="154" spans="1:32">
      <c r="A154" s="1" t="s">
        <v>153</v>
      </c>
      <c r="B154" t="str">
        <f t="shared" si="27"/>
        <v>¬</v>
      </c>
      <c r="D154" s="19"/>
      <c r="E154" s="15" t="s">
        <v>192</v>
      </c>
      <c r="F154" s="3"/>
      <c r="G154" s="3" t="str">
        <f>IFERROR(VLOOKUP(F154,tblManoeuvre[],2,FALSE)&amp;" "&amp;VLOOKUP(F154,tblManoeuvre[],3,FALSE),"")</f>
        <v/>
      </c>
      <c r="H154" s="67" t="str">
        <f>IFERROR(IF(VLOOKUP(F154,tblManoeuvre[],8,FALSE)=0,"None",VLOOKUP(F154,tblManoeuvre[],8,FALSE)),"None")</f>
        <v>None</v>
      </c>
      <c r="I154" s="67"/>
      <c r="L154" s="4"/>
      <c r="M154" s="4"/>
      <c r="N154" s="4"/>
      <c r="O154" s="61">
        <f t="shared" si="25"/>
        <v>0</v>
      </c>
      <c r="P154" s="60">
        <f t="shared" si="26"/>
        <v>0</v>
      </c>
      <c r="Q154" s="61" t="str">
        <f>_xlfn.IFNA(VLOOKUP($F154,tblInfluence[],3,FALSE),"")</f>
        <v/>
      </c>
      <c r="R154" s="61" t="str">
        <f>_xlfn.IFNA(VLOOKUP($F154,tblInfluence[],4,FALSE),"")</f>
        <v/>
      </c>
    </row>
    <row r="155" spans="1:32">
      <c r="A155" s="1" t="s">
        <v>154</v>
      </c>
      <c r="B155" t="str">
        <f t="shared" si="27"/>
        <v>¬</v>
      </c>
      <c r="D155" s="19"/>
      <c r="E155" s="15" t="s">
        <v>193</v>
      </c>
      <c r="F155" s="3"/>
      <c r="G155" s="3" t="str">
        <f>IFERROR(VLOOKUP(F155,tblManoeuvre[],2,FALSE)&amp;" "&amp;VLOOKUP(F155,tblManoeuvre[],3,FALSE),"")</f>
        <v/>
      </c>
      <c r="H155" s="67" t="str">
        <f>IFERROR(IF(VLOOKUP(F155,tblManoeuvre[],8,FALSE)=0,"None",VLOOKUP(F155,tblManoeuvre[],8,FALSE)),"None")</f>
        <v>None</v>
      </c>
      <c r="I155" s="67"/>
      <c r="L155" s="4"/>
      <c r="M155" s="4"/>
      <c r="N155" s="4"/>
      <c r="O155" s="61">
        <f t="shared" si="25"/>
        <v>0</v>
      </c>
      <c r="P155" s="60">
        <f t="shared" si="26"/>
        <v>0</v>
      </c>
      <c r="Q155" s="61" t="str">
        <f>_xlfn.IFNA(VLOOKUP($F155,tblInfluence[],3,FALSE),"")</f>
        <v/>
      </c>
      <c r="R155" s="61" t="str">
        <f>_xlfn.IFNA(VLOOKUP($F155,tblInfluence[],4,FALSE),"")</f>
        <v/>
      </c>
      <c r="AE155" s="61">
        <f>IF(P160=5,1,0)</f>
        <v>0</v>
      </c>
    </row>
    <row r="156" spans="1:32">
      <c r="A156" s="1" t="s">
        <v>155</v>
      </c>
      <c r="B156" t="str">
        <f t="shared" si="27"/>
        <v>¬</v>
      </c>
      <c r="D156" s="19"/>
      <c r="E156" s="15" t="s">
        <v>194</v>
      </c>
      <c r="F156" s="3"/>
      <c r="G156" s="3" t="str">
        <f>IFERROR(VLOOKUP(F156,tblManoeuvre[],2,FALSE)&amp;" "&amp;VLOOKUP(F156,tblManoeuvre[],3,FALSE),"")</f>
        <v/>
      </c>
      <c r="H156" s="67" t="str">
        <f>IFERROR(IF(VLOOKUP(F156,tblManoeuvre[],8,FALSE)=0,"None",VLOOKUP(F156,tblManoeuvre[],8,FALSE)),"None")</f>
        <v>None</v>
      </c>
      <c r="I156" s="67"/>
      <c r="L156" s="4"/>
      <c r="M156" s="4"/>
      <c r="N156" s="4"/>
      <c r="O156" s="61">
        <f t="shared" si="25"/>
        <v>0</v>
      </c>
      <c r="P156" s="60">
        <f t="shared" si="26"/>
        <v>0</v>
      </c>
      <c r="Q156" s="61" t="str">
        <f>_xlfn.IFNA(VLOOKUP($F156,tblInfluence[],3,FALSE),"")</f>
        <v/>
      </c>
      <c r="R156" s="61" t="str">
        <f>_xlfn.IFNA(VLOOKUP($F156,tblInfluence[],4,FALSE),"")</f>
        <v/>
      </c>
      <c r="AE156" s="61" t="b">
        <f>COUNTIF(AA2:AA21,"*Honey With Vinegar*")&gt;0</f>
        <v>0</v>
      </c>
    </row>
    <row r="157" spans="1:32">
      <c r="A157" s="1" t="s">
        <v>156</v>
      </c>
      <c r="B157" t="str">
        <f t="shared" si="27"/>
        <v>¬</v>
      </c>
      <c r="D157" s="19"/>
      <c r="E157" s="15" t="s">
        <v>195</v>
      </c>
      <c r="F157" s="3"/>
      <c r="G157" s="3" t="str">
        <f>IFERROR(VLOOKUP(F157,tblManoeuvre[],2,FALSE)&amp;" "&amp;VLOOKUP(F157,tblManoeuvre[],3,FALSE),"")</f>
        <v/>
      </c>
      <c r="H157" s="67" t="str">
        <f>IFERROR(IF(VLOOKUP(F157,tblManoeuvre[],8,FALSE)=0,"None",VLOOKUP(F157,tblManoeuvre[],8,FALSE)),"None")</f>
        <v>None</v>
      </c>
      <c r="I157" s="67"/>
      <c r="L157" s="4"/>
      <c r="M157" s="4"/>
      <c r="N157" s="4"/>
      <c r="O157" s="61">
        <f t="shared" si="25"/>
        <v>0</v>
      </c>
      <c r="P157" s="60">
        <f t="shared" si="26"/>
        <v>0</v>
      </c>
      <c r="Q157" s="61" t="str">
        <f>_xlfn.IFNA(VLOOKUP($F157,tblInfluence[],3,FALSE),"")</f>
        <v/>
      </c>
      <c r="R157" s="61" t="str">
        <f>_xlfn.IFNA(VLOOKUP($F157,tblInfluence[],4,FALSE),"")</f>
        <v/>
      </c>
    </row>
    <row r="158" spans="1:32">
      <c r="A158" s="1" t="s">
        <v>157</v>
      </c>
      <c r="B158" t="str">
        <f t="shared" si="27"/>
        <v>¬</v>
      </c>
    </row>
    <row r="159" spans="1:32">
      <c r="A159" s="1" t="s">
        <v>158</v>
      </c>
      <c r="B159" t="str">
        <f t="shared" si="27"/>
        <v>¬</v>
      </c>
      <c r="D159" s="16" t="s">
        <v>1486</v>
      </c>
      <c r="E159" s="17"/>
      <c r="F159" s="17" t="s">
        <v>1487</v>
      </c>
      <c r="G159" s="17"/>
      <c r="H159" s="17"/>
      <c r="I159" s="17"/>
    </row>
    <row r="160" spans="1:32">
      <c r="A160" s="1" t="s">
        <v>159</v>
      </c>
      <c r="B160" t="str">
        <f t="shared" si="27"/>
        <v>¬</v>
      </c>
      <c r="D160" s="19"/>
      <c r="E160" s="15" t="s">
        <v>98</v>
      </c>
      <c r="F160" s="3"/>
      <c r="G160" s="60"/>
      <c r="H160" s="60"/>
      <c r="I160" s="60"/>
      <c r="L160" s="4"/>
      <c r="M160" s="4"/>
      <c r="N160" s="4"/>
      <c r="O160" s="61">
        <f>N160</f>
        <v>0</v>
      </c>
      <c r="P160" s="60">
        <f>MIN(SUM(L160,M160,O160),R160)</f>
        <v>0</v>
      </c>
      <c r="Q160" s="61">
        <v>1</v>
      </c>
      <c r="R160" s="61">
        <v>5</v>
      </c>
    </row>
    <row r="161" spans="1:18">
      <c r="A161" s="1" t="s">
        <v>160</v>
      </c>
      <c r="B161" t="str">
        <f t="shared" si="27"/>
        <v>¬</v>
      </c>
      <c r="D161" s="19"/>
      <c r="E161" s="15" t="s">
        <v>100</v>
      </c>
      <c r="F161" s="3" t="s">
        <v>1286</v>
      </c>
      <c r="G161" s="60"/>
      <c r="H161" s="60"/>
      <c r="I161" s="60"/>
      <c r="L161" s="4"/>
      <c r="M161" s="4"/>
      <c r="N161" s="4">
        <v>4</v>
      </c>
      <c r="O161" s="61">
        <f>N161</f>
        <v>4</v>
      </c>
      <c r="P161" s="60">
        <f>MIN(SUM(L161,M161,O161),R161)</f>
        <v>4</v>
      </c>
      <c r="Q161" s="61">
        <v>1</v>
      </c>
      <c r="R161" s="61">
        <v>5</v>
      </c>
    </row>
    <row r="162" spans="1:18">
      <c r="A162" s="1" t="s">
        <v>161</v>
      </c>
      <c r="B162" t="str">
        <f t="shared" si="27"/>
        <v>¬</v>
      </c>
    </row>
    <row r="163" spans="1:18" ht="15.75" thickBot="1">
      <c r="A163" s="1" t="s">
        <v>162</v>
      </c>
      <c r="B163" t="str">
        <f t="shared" si="27"/>
        <v>¬</v>
      </c>
      <c r="D163" s="14" t="s">
        <v>1488</v>
      </c>
      <c r="E163" s="14"/>
      <c r="F163" s="14"/>
      <c r="G163" s="14"/>
      <c r="H163" s="14"/>
      <c r="I163" s="14"/>
      <c r="N163" s="60">
        <f>SUM(N165:N174)+SUM(N177:N181)+SUM(N184:N185)+SUM(N187:N191)+SUM(N194:N203)</f>
        <v>13</v>
      </c>
    </row>
    <row r="164" spans="1:18">
      <c r="A164" s="1" t="s">
        <v>163</v>
      </c>
      <c r="B164" t="str">
        <f t="shared" si="27"/>
        <v>¬</v>
      </c>
      <c r="D164" s="16" t="s">
        <v>1489</v>
      </c>
      <c r="E164" s="15" t="s">
        <v>1490</v>
      </c>
      <c r="F164" s="61" t="str">
        <f>IFERROR(IF($F$8="",VLOOKUP($F$7,tblClans[#Data],5,FALSE),VLOOKUP($F$8,tblBloodlines[#Data],5,FALSE)),"")</f>
        <v>Animalism</v>
      </c>
      <c r="G164" s="61" t="str">
        <f>IFERROR(IF($F$8="",VLOOKUP($F$7,tblClans[],6,FALSE),VLOOKUP($F$8,tblBloodlines[],6,FALSE)),"")</f>
        <v>Dominate</v>
      </c>
      <c r="H164" s="61" t="str">
        <f>IFERROR(IF($F$8="",VLOOKUP($F$7,tblClans[],7,FALSE),VLOOKUP($F$8,tblBloodlines[],7,FALSE)),"")</f>
        <v>Resilience</v>
      </c>
      <c r="I164" s="61" t="str">
        <f>IFERROR(IF($F$8="",VLOOKUP($F$7,tblClans[],8,FALSE),VLOOKUP($F$8,tblBloodlines[],8,FALSE)),"")</f>
        <v>Obfuscate</v>
      </c>
      <c r="L164" s="60">
        <f>3-SUM(L165:L174)-SUM(L184:L185)</f>
        <v>0</v>
      </c>
    </row>
    <row r="165" spans="1:18">
      <c r="A165" s="1" t="s">
        <v>164</v>
      </c>
      <c r="B165" t="str">
        <f t="shared" si="27"/>
        <v>¬</v>
      </c>
      <c r="D165" s="19"/>
      <c r="E165" s="15" t="s">
        <v>236</v>
      </c>
      <c r="F165" s="19"/>
      <c r="G165" s="19"/>
      <c r="H165" s="19"/>
      <c r="I165" s="19"/>
      <c r="L165" s="4"/>
      <c r="N165" s="4"/>
      <c r="O165" s="61">
        <f t="shared" ref="O165:O174" si="28">ROUNDDOWN(IF(COUNTIF($F$164:$I$164,$E165)&gt;0,N165/3,N165/4),0)</f>
        <v>0</v>
      </c>
      <c r="P165" s="60">
        <f>MIN(SUM(L165,O165),R165)</f>
        <v>0</v>
      </c>
      <c r="Q165" s="61">
        <v>0</v>
      </c>
      <c r="R165" s="61">
        <v>5</v>
      </c>
    </row>
    <row r="166" spans="1:18">
      <c r="A166" s="1" t="s">
        <v>165</v>
      </c>
      <c r="B166" t="str">
        <f t="shared" si="27"/>
        <v>¬</v>
      </c>
      <c r="D166" s="19"/>
      <c r="E166" s="15" t="s">
        <v>237</v>
      </c>
      <c r="F166" s="19"/>
      <c r="G166" s="19"/>
      <c r="H166" s="19"/>
      <c r="I166" s="19"/>
      <c r="L166" s="4"/>
      <c r="N166" s="4"/>
      <c r="O166" s="61">
        <f t="shared" si="28"/>
        <v>0</v>
      </c>
      <c r="P166" s="60">
        <f t="shared" ref="P166:P174" si="29">MIN(SUM(L166,O166),R166)</f>
        <v>0</v>
      </c>
      <c r="Q166" s="61">
        <v>0</v>
      </c>
      <c r="R166" s="61">
        <v>5</v>
      </c>
    </row>
    <row r="167" spans="1:18">
      <c r="A167" s="1" t="s">
        <v>166</v>
      </c>
      <c r="B167" t="str">
        <f t="shared" si="27"/>
        <v>¬</v>
      </c>
      <c r="D167" s="19"/>
      <c r="E167" s="15" t="s">
        <v>238</v>
      </c>
      <c r="F167" s="19"/>
      <c r="G167" s="19"/>
      <c r="H167" s="19"/>
      <c r="I167" s="19"/>
      <c r="L167" s="4"/>
      <c r="N167" s="4"/>
      <c r="O167" s="61">
        <f t="shared" si="28"/>
        <v>0</v>
      </c>
      <c r="P167" s="60">
        <f t="shared" si="29"/>
        <v>0</v>
      </c>
      <c r="Q167" s="61">
        <v>0</v>
      </c>
      <c r="R167" s="61">
        <v>5</v>
      </c>
    </row>
    <row r="168" spans="1:18">
      <c r="A168" s="1" t="s">
        <v>167</v>
      </c>
      <c r="B168" t="str">
        <f t="shared" ref="B168:B174" si="30">IF(AF25="","¬",AF25)</f>
        <v>¬</v>
      </c>
      <c r="D168" s="19"/>
      <c r="E168" s="15" t="s">
        <v>239</v>
      </c>
      <c r="F168" s="19"/>
      <c r="G168" s="19"/>
      <c r="H168" s="19"/>
      <c r="I168" s="19"/>
      <c r="L168" s="4">
        <v>1</v>
      </c>
      <c r="N168" s="4"/>
      <c r="O168" s="61">
        <f t="shared" si="28"/>
        <v>0</v>
      </c>
      <c r="P168" s="60">
        <f t="shared" si="29"/>
        <v>1</v>
      </c>
      <c r="Q168" s="61">
        <v>0</v>
      </c>
      <c r="R168" s="61">
        <v>5</v>
      </c>
    </row>
    <row r="169" spans="1:18">
      <c r="A169" s="1" t="s">
        <v>168</v>
      </c>
      <c r="B169" t="str">
        <f t="shared" si="30"/>
        <v>¬</v>
      </c>
      <c r="D169" s="19"/>
      <c r="E169" s="15" t="s">
        <v>240</v>
      </c>
      <c r="F169" s="19"/>
      <c r="G169" s="19"/>
      <c r="H169" s="19"/>
      <c r="I169" s="19"/>
      <c r="L169" s="4"/>
      <c r="N169" s="4"/>
      <c r="O169" s="61">
        <f t="shared" si="28"/>
        <v>0</v>
      </c>
      <c r="P169" s="60">
        <f t="shared" si="29"/>
        <v>0</v>
      </c>
      <c r="Q169" s="61">
        <v>0</v>
      </c>
      <c r="R169" s="61">
        <v>5</v>
      </c>
    </row>
    <row r="170" spans="1:18">
      <c r="A170" s="1" t="s">
        <v>169</v>
      </c>
      <c r="B170" t="str">
        <f t="shared" si="30"/>
        <v>¬</v>
      </c>
      <c r="D170" s="19"/>
      <c r="E170" s="15" t="s">
        <v>241</v>
      </c>
      <c r="F170" s="19"/>
      <c r="G170" s="19"/>
      <c r="H170" s="19"/>
      <c r="I170" s="19"/>
      <c r="L170" s="4"/>
      <c r="N170" s="4"/>
      <c r="O170" s="61">
        <f t="shared" si="28"/>
        <v>0</v>
      </c>
      <c r="P170" s="60">
        <f t="shared" si="29"/>
        <v>0</v>
      </c>
      <c r="Q170" s="61">
        <v>0</v>
      </c>
      <c r="R170" s="61">
        <v>5</v>
      </c>
    </row>
    <row r="171" spans="1:18">
      <c r="A171" s="1" t="s">
        <v>170</v>
      </c>
      <c r="B171" t="str">
        <f t="shared" si="30"/>
        <v>¬</v>
      </c>
      <c r="D171" s="19"/>
      <c r="E171" s="15" t="s">
        <v>242</v>
      </c>
      <c r="F171" s="19"/>
      <c r="G171" s="19"/>
      <c r="H171" s="19"/>
      <c r="I171" s="19"/>
      <c r="L171" s="4">
        <v>2</v>
      </c>
      <c r="N171" s="4">
        <v>6</v>
      </c>
      <c r="O171" s="61">
        <f t="shared" si="28"/>
        <v>2</v>
      </c>
      <c r="P171" s="60">
        <f t="shared" si="29"/>
        <v>4</v>
      </c>
      <c r="Q171" s="61">
        <v>0</v>
      </c>
      <c r="R171" s="61">
        <v>5</v>
      </c>
    </row>
    <row r="172" spans="1:18">
      <c r="A172" s="1" t="s">
        <v>171</v>
      </c>
      <c r="B172" t="str">
        <f t="shared" si="30"/>
        <v>¬</v>
      </c>
      <c r="D172" s="19"/>
      <c r="E172" s="15" t="s">
        <v>243</v>
      </c>
      <c r="F172" s="19"/>
      <c r="G172" s="19"/>
      <c r="H172" s="19"/>
      <c r="I172" s="19"/>
      <c r="L172" s="4"/>
      <c r="N172" s="4"/>
      <c r="O172" s="61">
        <f t="shared" si="28"/>
        <v>0</v>
      </c>
      <c r="P172" s="60">
        <f t="shared" si="29"/>
        <v>0</v>
      </c>
      <c r="Q172" s="61">
        <v>0</v>
      </c>
      <c r="R172" s="61">
        <v>5</v>
      </c>
    </row>
    <row r="173" spans="1:18">
      <c r="A173" s="1" t="s">
        <v>172</v>
      </c>
      <c r="B173" t="str">
        <f t="shared" si="30"/>
        <v>¬</v>
      </c>
      <c r="D173" s="19"/>
      <c r="E173" s="15" t="s">
        <v>244</v>
      </c>
      <c r="F173" s="19"/>
      <c r="G173" s="19"/>
      <c r="H173" s="19"/>
      <c r="I173" s="19"/>
      <c r="L173" s="4"/>
      <c r="N173" s="4">
        <v>3</v>
      </c>
      <c r="O173" s="61">
        <f t="shared" si="28"/>
        <v>1</v>
      </c>
      <c r="P173" s="60">
        <f t="shared" si="29"/>
        <v>1</v>
      </c>
      <c r="Q173" s="61">
        <v>0</v>
      </c>
      <c r="R173" s="61">
        <v>5</v>
      </c>
    </row>
    <row r="174" spans="1:18">
      <c r="A174" s="1" t="s">
        <v>173</v>
      </c>
      <c r="B174" t="str">
        <f t="shared" si="30"/>
        <v>¬</v>
      </c>
      <c r="D174" s="19"/>
      <c r="E174" s="15" t="s">
        <v>245</v>
      </c>
      <c r="F174" s="19"/>
      <c r="G174" s="19"/>
      <c r="H174" s="19"/>
      <c r="I174" s="19"/>
      <c r="L174" s="4"/>
      <c r="N174" s="4"/>
      <c r="O174" s="61">
        <f t="shared" si="28"/>
        <v>0</v>
      </c>
      <c r="P174" s="60">
        <f t="shared" si="29"/>
        <v>0</v>
      </c>
      <c r="Q174" s="61">
        <v>0</v>
      </c>
      <c r="R174" s="61">
        <v>5</v>
      </c>
    </row>
    <row r="175" spans="1:18">
      <c r="A175" s="1" t="s">
        <v>174</v>
      </c>
      <c r="B175" t="str">
        <f>_xlfn.CONCAT(I137-H137," / ",I137)</f>
        <v>9 / 9</v>
      </c>
    </row>
    <row r="176" spans="1:18">
      <c r="A176" s="1" t="s">
        <v>175</v>
      </c>
      <c r="B176" t="str">
        <f>REPT("□",I137-H137) &amp; REPT("■",H137)</f>
        <v>□□□□□□□□□</v>
      </c>
      <c r="D176" s="16" t="s">
        <v>1491</v>
      </c>
      <c r="E176" s="16"/>
      <c r="F176" s="16"/>
      <c r="G176" s="16"/>
      <c r="H176" s="16"/>
      <c r="I176" s="16"/>
    </row>
    <row r="177" spans="1:18">
      <c r="A177" s="1" t="s">
        <v>176</v>
      </c>
      <c r="B177" t="str">
        <f t="shared" ref="B177:B196" si="31">IF(AC134="","¬",AC134)</f>
        <v>Allies</v>
      </c>
      <c r="D177" s="19"/>
      <c r="E177" s="15" t="s">
        <v>1492</v>
      </c>
      <c r="F177" s="3" t="s">
        <v>1813</v>
      </c>
      <c r="G177" s="19"/>
      <c r="H177" s="72" t="str">
        <f>IFERROR(IF(VLOOKUP(F177,tblDisciplines[],14,FALSE)=0,"None",VLOOKUP(F177,tblDisciplines[],14,FALSE)),"None")</f>
        <v>Domn 1, Obfs 1</v>
      </c>
      <c r="I177" s="73"/>
      <c r="N177" s="4">
        <v>1</v>
      </c>
      <c r="O177" s="61">
        <f>N177</f>
        <v>1</v>
      </c>
      <c r="P177" s="60">
        <f>IF(O177=R177,O177,"")</f>
        <v>1</v>
      </c>
      <c r="R177" s="61">
        <f>_xlfn.IFNA(VLOOKUP(F177,tblDisciplines[],15,FALSE),"")</f>
        <v>1</v>
      </c>
    </row>
    <row r="178" spans="1:18">
      <c r="A178" s="1" t="s">
        <v>177</v>
      </c>
      <c r="B178" t="str">
        <f t="shared" si="31"/>
        <v>Contacts</v>
      </c>
      <c r="D178" s="19"/>
      <c r="E178" s="15" t="s">
        <v>1493</v>
      </c>
      <c r="F178" s="3" t="s">
        <v>1814</v>
      </c>
      <c r="G178" s="19"/>
      <c r="H178" s="72" t="str">
        <f>IFERROR(IF(VLOOKUP(F178,tblDisciplines[],14,FALSE)=0,"None",VLOOKUP(F178,tblDisciplines[],14,FALSE)),"None")</f>
        <v>Domn 1, Obfs 2, Resl 1</v>
      </c>
      <c r="I178" s="73"/>
      <c r="N178" s="4">
        <v>1</v>
      </c>
      <c r="O178" s="61">
        <f>N178</f>
        <v>1</v>
      </c>
      <c r="P178" s="60">
        <f>IF(O178=R178,O178,"")</f>
        <v>1</v>
      </c>
      <c r="R178" s="61">
        <f>_xlfn.IFNA(VLOOKUP(F178,tblDisciplines[],15,FALSE),"")</f>
        <v>1</v>
      </c>
    </row>
    <row r="179" spans="1:18">
      <c r="A179" s="1" t="s">
        <v>178</v>
      </c>
      <c r="B179" t="str">
        <f t="shared" si="31"/>
        <v>Resources</v>
      </c>
      <c r="D179" s="19"/>
      <c r="E179" s="15" t="s">
        <v>1494</v>
      </c>
      <c r="F179" s="3" t="s">
        <v>1815</v>
      </c>
      <c r="G179" s="19"/>
      <c r="H179" s="72" t="str">
        <f>IFERROR(IF(VLOOKUP(F179,tblDisciplines[],14,FALSE)=0,"None",VLOOKUP(F179,tblDisciplines[],14,FALSE)),"None")</f>
        <v>Domn 1, Obfs 3, Resl 1</v>
      </c>
      <c r="I179" s="73"/>
      <c r="N179" s="4">
        <v>2</v>
      </c>
      <c r="O179" s="61">
        <f>N179</f>
        <v>2</v>
      </c>
      <c r="P179" s="60">
        <f>IF(O179=R179,O179,"")</f>
        <v>2</v>
      </c>
      <c r="R179" s="61">
        <f>_xlfn.IFNA(VLOOKUP(F179,tblDisciplines[],15,FALSE),"")</f>
        <v>2</v>
      </c>
    </row>
    <row r="180" spans="1:18">
      <c r="A180" s="1" t="s">
        <v>179</v>
      </c>
      <c r="B180" t="str">
        <f t="shared" si="31"/>
        <v>Retainer</v>
      </c>
      <c r="D180" s="19"/>
      <c r="E180" s="15" t="s">
        <v>1495</v>
      </c>
      <c r="F180" s="3" t="s">
        <v>1816</v>
      </c>
      <c r="G180" s="19"/>
      <c r="H180" s="72" t="str">
        <f>IFERROR(IF(VLOOKUP(F180,tblDisciplines[],14,FALSE)=0,"None",VLOOKUP(F180,tblDisciplines[],14,FALSE)),"None")</f>
        <v>Domn 1, Obfs 4, Resl 2</v>
      </c>
      <c r="I180" s="73"/>
      <c r="N180" s="4"/>
      <c r="O180" s="61">
        <f>N180</f>
        <v>0</v>
      </c>
      <c r="P180" s="60" t="str">
        <f>IF(O180=R180,O180,"")</f>
        <v/>
      </c>
      <c r="R180" s="61">
        <f>_xlfn.IFNA(VLOOKUP(F180,tblDisciplines[],15,FALSE),"")</f>
        <v>3</v>
      </c>
    </row>
    <row r="181" spans="1:18">
      <c r="A181" s="1" t="s">
        <v>180</v>
      </c>
      <c r="B181" t="str">
        <f t="shared" si="31"/>
        <v>¬</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31"/>
        <v>¬</v>
      </c>
    </row>
    <row r="183" spans="1:18">
      <c r="A183" s="1" t="s">
        <v>182</v>
      </c>
      <c r="B183" t="str">
        <f t="shared" si="31"/>
        <v>¬</v>
      </c>
      <c r="D183" s="16" t="s">
        <v>1497</v>
      </c>
      <c r="E183" s="16"/>
      <c r="F183" s="16"/>
      <c r="G183" s="16"/>
      <c r="H183" s="16"/>
      <c r="I183" s="16"/>
    </row>
    <row r="184" spans="1:18">
      <c r="A184" s="1" t="s">
        <v>183</v>
      </c>
      <c r="B184" t="str">
        <f t="shared" si="31"/>
        <v>¬</v>
      </c>
      <c r="D184" s="19"/>
      <c r="E184" s="15" t="s">
        <v>246</v>
      </c>
      <c r="F184" s="19"/>
      <c r="G184" s="19"/>
      <c r="H184" s="19"/>
      <c r="I184" s="60" t="b">
        <f>IF(OR(F$9="Circle of the Crone",COUNTIF(F$79:F$93,"Chorister")&gt;0),TRUE,FALSE)</f>
        <v>0</v>
      </c>
      <c r="L184" s="4"/>
      <c r="N184" s="4"/>
      <c r="O184" s="61">
        <f>ROUNDDOWN(N184/4,0)</f>
        <v>0</v>
      </c>
      <c r="P184" s="60">
        <f>SUM(L184,O184)</f>
        <v>0</v>
      </c>
      <c r="Q184" s="61">
        <v>0</v>
      </c>
      <c r="R184" s="61">
        <v>5</v>
      </c>
    </row>
    <row r="185" spans="1:18">
      <c r="A185" s="1" t="s">
        <v>184</v>
      </c>
      <c r="B185" t="str">
        <f t="shared" si="31"/>
        <v>¬</v>
      </c>
      <c r="D185" s="19"/>
      <c r="E185" s="15" t="s">
        <v>247</v>
      </c>
      <c r="F185" s="19"/>
      <c r="G185" s="19"/>
      <c r="H185" s="19"/>
      <c r="I185" s="60" t="b">
        <f>IF(OR(F$9="Lancea et Sanctum",COUNTIF(F$79:F$93,"Laity")&gt;0),TRUE,FALSE)</f>
        <v>0</v>
      </c>
      <c r="L185" s="4"/>
      <c r="N185" s="4"/>
      <c r="O185" s="61">
        <f>ROUNDDOWN(N185/4,0)</f>
        <v>0</v>
      </c>
      <c r="P185" s="60">
        <f>SUM(L185,O185)</f>
        <v>0</v>
      </c>
      <c r="Q185" s="61">
        <v>0</v>
      </c>
      <c r="R185" s="61">
        <v>5</v>
      </c>
    </row>
    <row r="186" spans="1:18">
      <c r="A186" s="1" t="s">
        <v>185</v>
      </c>
      <c r="B186" t="str">
        <f t="shared" si="31"/>
        <v>¬</v>
      </c>
      <c r="D186" s="19"/>
      <c r="E186" s="19"/>
      <c r="F186" s="19"/>
      <c r="G186" s="19"/>
      <c r="H186" s="19"/>
      <c r="I186" s="19"/>
      <c r="L186" s="60">
        <f>SUM(P184:P185)-SUM(L187:L191)</f>
        <v>0</v>
      </c>
    </row>
    <row r="187" spans="1:18">
      <c r="A187" s="1" t="s">
        <v>186</v>
      </c>
      <c r="B187" t="str">
        <f t="shared" si="31"/>
        <v>¬</v>
      </c>
      <c r="D187" s="19"/>
      <c r="E187" s="15" t="s">
        <v>248</v>
      </c>
      <c r="F187" s="19"/>
      <c r="G187" s="19"/>
      <c r="H187" s="19"/>
      <c r="I187" s="19"/>
      <c r="L187" s="4"/>
      <c r="M187" s="61">
        <f>IF(AND(I184,L184&gt;=1),1,0)</f>
        <v>0</v>
      </c>
      <c r="N187" s="4"/>
      <c r="O187" s="61">
        <f>ROUNDDOWN(N187/2,0)</f>
        <v>0</v>
      </c>
      <c r="P187" s="60">
        <f>MIN(SUM(L187,M187,O187),R187)</f>
        <v>0</v>
      </c>
      <c r="Q187" s="61">
        <v>0</v>
      </c>
      <c r="R187" s="61">
        <f>MAX(P$184,P$185)</f>
        <v>0</v>
      </c>
    </row>
    <row r="188" spans="1:18">
      <c r="A188" s="1" t="s">
        <v>187</v>
      </c>
      <c r="B188" t="str">
        <f t="shared" si="31"/>
        <v>¬</v>
      </c>
      <c r="D188" s="19"/>
      <c r="E188" s="15" t="s">
        <v>249</v>
      </c>
      <c r="F188" s="19"/>
      <c r="G188" s="19"/>
      <c r="H188" s="19"/>
      <c r="I188" s="19"/>
      <c r="L188" s="4"/>
      <c r="M188" s="61"/>
      <c r="N188" s="4"/>
      <c r="O188" s="61">
        <f>ROUNDDOWN(N188/2,0)</f>
        <v>0</v>
      </c>
      <c r="P188" s="60">
        <f>MIN(SUM(L188,M188,O188),R188)</f>
        <v>0</v>
      </c>
      <c r="Q188" s="61">
        <v>0</v>
      </c>
      <c r="R188" s="61">
        <f>MAX(P$184,P$185)</f>
        <v>0</v>
      </c>
    </row>
    <row r="189" spans="1:18">
      <c r="A189" s="1" t="s">
        <v>188</v>
      </c>
      <c r="B189" t="str">
        <f t="shared" si="31"/>
        <v>¬</v>
      </c>
      <c r="D189" s="19"/>
      <c r="E189" s="15" t="s">
        <v>250</v>
      </c>
      <c r="F189" s="19"/>
      <c r="G189" s="19"/>
      <c r="H189" s="19"/>
      <c r="I189" s="19"/>
      <c r="L189" s="4"/>
      <c r="M189" s="61">
        <f>IF(AND(I185,L185&gt;=1),1,0)</f>
        <v>0</v>
      </c>
      <c r="N189" s="4"/>
      <c r="O189" s="61">
        <f>ROUNDDOWN(N189/2,0)</f>
        <v>0</v>
      </c>
      <c r="P189" s="60">
        <f>MIN(SUM(L189,M189,O189),R189)</f>
        <v>0</v>
      </c>
      <c r="Q189" s="61">
        <v>0</v>
      </c>
      <c r="R189" s="61">
        <f>MAX(P$184,P$185)</f>
        <v>0</v>
      </c>
    </row>
    <row r="190" spans="1:18">
      <c r="A190" s="1" t="s">
        <v>189</v>
      </c>
      <c r="B190" t="str">
        <f t="shared" si="31"/>
        <v>¬</v>
      </c>
      <c r="D190" s="19"/>
      <c r="E190" s="15" t="s">
        <v>251</v>
      </c>
      <c r="F190" s="19"/>
      <c r="G190" s="19"/>
      <c r="H190" s="19"/>
      <c r="I190" s="19"/>
      <c r="L190" s="4"/>
      <c r="M190" s="61">
        <f>IF(AND(I184,L184&gt;=1),1,0)</f>
        <v>0</v>
      </c>
      <c r="N190" s="4"/>
      <c r="O190" s="61">
        <f>ROUNDDOWN(N190/2,0)</f>
        <v>0</v>
      </c>
      <c r="P190" s="60">
        <f>MIN(SUM(L190,M190,O190),R190)</f>
        <v>0</v>
      </c>
      <c r="Q190" s="61">
        <v>0</v>
      </c>
      <c r="R190" s="61">
        <f>MAX(P$184,P$185)</f>
        <v>0</v>
      </c>
    </row>
    <row r="191" spans="1:18">
      <c r="A191" s="1" t="s">
        <v>190</v>
      </c>
      <c r="B191" t="str">
        <f t="shared" si="31"/>
        <v>¬</v>
      </c>
      <c r="D191" s="19"/>
      <c r="E191" s="15" t="s">
        <v>252</v>
      </c>
      <c r="F191" s="19"/>
      <c r="G191" s="19"/>
      <c r="H191" s="19"/>
      <c r="I191" s="19"/>
      <c r="L191" s="4"/>
      <c r="M191" s="61">
        <f>IF(AND(I185,L185&gt;=1),1,0)</f>
        <v>0</v>
      </c>
      <c r="N191" s="4"/>
      <c r="O191" s="61">
        <f>ROUNDDOWN(N191/2,0)</f>
        <v>0</v>
      </c>
      <c r="P191" s="60">
        <f>MIN(SUM(L191,M191,O191),R191)</f>
        <v>0</v>
      </c>
      <c r="Q191" s="61">
        <v>0</v>
      </c>
      <c r="R191" s="61">
        <f>MAX(P$184,P$185)</f>
        <v>0</v>
      </c>
    </row>
    <row r="192" spans="1:18">
      <c r="A192" s="1" t="s">
        <v>191</v>
      </c>
      <c r="B192" t="str">
        <f t="shared" si="31"/>
        <v>¬</v>
      </c>
    </row>
    <row r="193" spans="1:18">
      <c r="A193" s="1" t="s">
        <v>192</v>
      </c>
      <c r="B193" t="str">
        <f t="shared" si="31"/>
        <v>¬</v>
      </c>
      <c r="D193" s="16" t="s">
        <v>1474</v>
      </c>
      <c r="E193" s="16"/>
      <c r="F193" s="16"/>
      <c r="G193" s="16"/>
      <c r="H193" s="16"/>
      <c r="I193" s="16"/>
      <c r="L193" s="60">
        <f>SUM(P184:P185)+SUM(O187:O191)-SUM(L194:L203)</f>
        <v>0</v>
      </c>
    </row>
    <row r="194" spans="1:18">
      <c r="A194" s="1" t="s">
        <v>193</v>
      </c>
      <c r="B194" t="str">
        <f t="shared" si="31"/>
        <v>¬</v>
      </c>
      <c r="D194" s="19"/>
      <c r="E194" s="15" t="s">
        <v>1498</v>
      </c>
      <c r="F194" s="3"/>
      <c r="G194" s="61" t="str">
        <f>_xlfn.IFNA(VLOOKUP(F194,tblDisciplines[],2,FALSE),"")</f>
        <v/>
      </c>
      <c r="H194" s="19"/>
      <c r="I194" s="19"/>
      <c r="L194" s="4"/>
      <c r="N194" s="4"/>
      <c r="O194" s="61">
        <f>N194</f>
        <v>0</v>
      </c>
      <c r="P194" s="60" t="str">
        <f>IF(OR(L194=R194,O194=R194),R194,MIN(SUM(L194,O194),R194))</f>
        <v/>
      </c>
      <c r="R194" s="61" t="str">
        <f>_xlfn.IFNA(VLOOKUP(F194,tblDisciplines[],3,FALSE),"")</f>
        <v/>
      </c>
    </row>
    <row r="195" spans="1:18">
      <c r="A195" s="1" t="s">
        <v>194</v>
      </c>
      <c r="B195" t="str">
        <f t="shared" si="31"/>
        <v>¬</v>
      </c>
      <c r="D195" s="19"/>
      <c r="E195" s="15" t="s">
        <v>1499</v>
      </c>
      <c r="F195" s="3"/>
      <c r="G195" s="61" t="str">
        <f>_xlfn.IFNA(VLOOKUP(F195,tblDisciplines[],2,FALSE),"")</f>
        <v/>
      </c>
      <c r="H195" s="19"/>
      <c r="I195" s="19"/>
      <c r="L195" s="4"/>
      <c r="N195" s="4"/>
      <c r="O195" s="61">
        <f t="shared" ref="O195:O203" si="32">N195</f>
        <v>0</v>
      </c>
      <c r="P195" s="60" t="str">
        <f t="shared" ref="P195:P203" si="33">IF(OR(L195=R195,O195=R195),R195,MIN(SUM(L195,O195),R195))</f>
        <v/>
      </c>
      <c r="R195" s="61" t="str">
        <f>_xlfn.IFNA(VLOOKUP(F195,tblDisciplines[],3,FALSE),"")</f>
        <v/>
      </c>
    </row>
    <row r="196" spans="1:18">
      <c r="A196" s="1" t="s">
        <v>195</v>
      </c>
      <c r="B196" t="str">
        <f t="shared" si="31"/>
        <v>¬</v>
      </c>
      <c r="D196" s="19"/>
      <c r="E196" s="15" t="s">
        <v>1500</v>
      </c>
      <c r="F196" s="3"/>
      <c r="G196" s="61" t="str">
        <f>_xlfn.IFNA(VLOOKUP(F196,tblDisciplines[],2,FALSE),"")</f>
        <v/>
      </c>
      <c r="H196" s="19"/>
      <c r="I196" s="19"/>
      <c r="L196" s="4"/>
      <c r="N196" s="4"/>
      <c r="O196" s="61">
        <f t="shared" si="32"/>
        <v>0</v>
      </c>
      <c r="P196" s="60" t="str">
        <f t="shared" si="33"/>
        <v/>
      </c>
      <c r="R196" s="61" t="str">
        <f>_xlfn.IFNA(VLOOKUP(F196,tblDisciplines[],3,FALSE),"")</f>
        <v/>
      </c>
    </row>
    <row r="197" spans="1:18">
      <c r="A197" s="1" t="s">
        <v>196</v>
      </c>
      <c r="B197" t="str">
        <f>IF(AD134="","¬",AD134)</f>
        <v>¬</v>
      </c>
      <c r="D197" s="19"/>
      <c r="E197" s="15" t="s">
        <v>1501</v>
      </c>
      <c r="F197" s="3"/>
      <c r="G197" s="61" t="str">
        <f>_xlfn.IFNA(VLOOKUP(F197,tblDisciplines[],2,FALSE),"")</f>
        <v/>
      </c>
      <c r="H197" s="19"/>
      <c r="I197" s="19"/>
      <c r="L197" s="4"/>
      <c r="N197" s="4"/>
      <c r="O197" s="61">
        <f t="shared" si="32"/>
        <v>0</v>
      </c>
      <c r="P197" s="60" t="str">
        <f t="shared" si="33"/>
        <v/>
      </c>
      <c r="R197" s="61" t="str">
        <f>_xlfn.IFNA(VLOOKUP(F197,tblDisciplines[],3,FALSE),"")</f>
        <v/>
      </c>
    </row>
    <row r="198" spans="1:18">
      <c r="A198" s="1" t="s">
        <v>197</v>
      </c>
      <c r="B198" t="str">
        <f t="shared" ref="B198:B216" si="34">IF(AD135="","¬",AD135)</f>
        <v>¬</v>
      </c>
      <c r="D198" s="19"/>
      <c r="E198" s="15" t="s">
        <v>1502</v>
      </c>
      <c r="F198" s="3"/>
      <c r="G198" s="61" t="str">
        <f>_xlfn.IFNA(VLOOKUP(F198,tblDisciplines[],2,FALSE),"")</f>
        <v/>
      </c>
      <c r="H198" s="19"/>
      <c r="I198" s="19"/>
      <c r="L198" s="4"/>
      <c r="N198" s="4"/>
      <c r="O198" s="61">
        <f t="shared" si="32"/>
        <v>0</v>
      </c>
      <c r="P198" s="60" t="str">
        <f t="shared" si="33"/>
        <v/>
      </c>
      <c r="R198" s="61" t="str">
        <f>_xlfn.IFNA(VLOOKUP(F198,tblDisciplines[],3,FALSE),"")</f>
        <v/>
      </c>
    </row>
    <row r="199" spans="1:18">
      <c r="A199" s="1" t="s">
        <v>198</v>
      </c>
      <c r="B199" t="str">
        <f t="shared" si="34"/>
        <v>¬</v>
      </c>
      <c r="D199" s="19"/>
      <c r="E199" s="15" t="s">
        <v>1503</v>
      </c>
      <c r="F199" s="3"/>
      <c r="G199" s="61" t="str">
        <f>_xlfn.IFNA(VLOOKUP(F199,tblDisciplines[],2,FALSE),"")</f>
        <v/>
      </c>
      <c r="H199" s="19"/>
      <c r="I199" s="19"/>
      <c r="L199" s="4"/>
      <c r="N199" s="4"/>
      <c r="O199" s="61">
        <f t="shared" si="32"/>
        <v>0</v>
      </c>
      <c r="P199" s="60" t="str">
        <f t="shared" si="33"/>
        <v/>
      </c>
      <c r="R199" s="61" t="str">
        <f>_xlfn.IFNA(VLOOKUP(F199,tblDisciplines[],3,FALSE),"")</f>
        <v/>
      </c>
    </row>
    <row r="200" spans="1:18">
      <c r="A200" s="1" t="s">
        <v>199</v>
      </c>
      <c r="B200" t="str">
        <f t="shared" si="34"/>
        <v>¬</v>
      </c>
      <c r="D200" s="19"/>
      <c r="E200" s="15" t="s">
        <v>1504</v>
      </c>
      <c r="F200" s="3"/>
      <c r="G200" s="61" t="str">
        <f>_xlfn.IFNA(VLOOKUP(F200,tblDisciplines[],2,FALSE),"")</f>
        <v/>
      </c>
      <c r="H200" s="19"/>
      <c r="I200" s="19"/>
      <c r="L200" s="4"/>
      <c r="N200" s="4"/>
      <c r="O200" s="61">
        <f t="shared" si="32"/>
        <v>0</v>
      </c>
      <c r="P200" s="60" t="str">
        <f t="shared" si="33"/>
        <v/>
      </c>
      <c r="R200" s="61" t="str">
        <f>_xlfn.IFNA(VLOOKUP(F200,tblDisciplines[],3,FALSE),"")</f>
        <v/>
      </c>
    </row>
    <row r="201" spans="1:18">
      <c r="A201" s="1" t="s">
        <v>200</v>
      </c>
      <c r="B201" t="str">
        <f t="shared" si="34"/>
        <v>¬</v>
      </c>
      <c r="D201" s="19"/>
      <c r="E201" s="15" t="s">
        <v>1505</v>
      </c>
      <c r="F201" s="3"/>
      <c r="G201" s="61" t="str">
        <f>_xlfn.IFNA(VLOOKUP(F201,tblDisciplines[],2,FALSE),"")</f>
        <v/>
      </c>
      <c r="H201" s="19"/>
      <c r="I201" s="19"/>
      <c r="L201" s="4"/>
      <c r="N201" s="4"/>
      <c r="O201" s="61">
        <f t="shared" si="32"/>
        <v>0</v>
      </c>
      <c r="P201" s="60" t="str">
        <f t="shared" si="33"/>
        <v/>
      </c>
      <c r="R201" s="61" t="str">
        <f>_xlfn.IFNA(VLOOKUP(F201,tblDisciplines[],3,FALSE),"")</f>
        <v/>
      </c>
    </row>
    <row r="202" spans="1:18">
      <c r="A202" s="1" t="s">
        <v>201</v>
      </c>
      <c r="B202" t="str">
        <f t="shared" si="34"/>
        <v>¬</v>
      </c>
      <c r="D202" s="19"/>
      <c r="E202" s="15" t="s">
        <v>1506</v>
      </c>
      <c r="F202" s="3"/>
      <c r="G202" s="61" t="str">
        <f>_xlfn.IFNA(VLOOKUP(F202,tblDisciplines[],2,FALSE),"")</f>
        <v/>
      </c>
      <c r="H202" s="19"/>
      <c r="I202" s="19"/>
      <c r="L202" s="4"/>
      <c r="N202" s="4"/>
      <c r="O202" s="61">
        <f t="shared" si="32"/>
        <v>0</v>
      </c>
      <c r="P202" s="60" t="str">
        <f t="shared" si="33"/>
        <v/>
      </c>
      <c r="R202" s="61" t="str">
        <f>_xlfn.IFNA(VLOOKUP(F202,tblDisciplines[],3,FALSE),"")</f>
        <v/>
      </c>
    </row>
    <row r="203" spans="1:18">
      <c r="A203" s="1" t="s">
        <v>202</v>
      </c>
      <c r="B203" t="str">
        <f t="shared" si="34"/>
        <v>¬</v>
      </c>
      <c r="D203" s="19"/>
      <c r="E203" s="15" t="s">
        <v>1507</v>
      </c>
      <c r="F203" s="3"/>
      <c r="G203" s="61" t="str">
        <f>_xlfn.IFNA(VLOOKUP(F203,tblDisciplines[],2,FALSE),"")</f>
        <v/>
      </c>
      <c r="H203" s="19"/>
      <c r="I203" s="19"/>
      <c r="L203" s="4"/>
      <c r="N203" s="4"/>
      <c r="O203" s="61">
        <f t="shared" si="32"/>
        <v>0</v>
      </c>
      <c r="P203" s="60" t="str">
        <f t="shared" si="33"/>
        <v/>
      </c>
      <c r="R203" s="61" t="str">
        <f>_xlfn.IFNA(VLOOKUP(F203,tblDisciplines[],3,FALSE),"")</f>
        <v/>
      </c>
    </row>
    <row r="204" spans="1:18">
      <c r="A204" s="1" t="s">
        <v>203</v>
      </c>
      <c r="B204" t="str">
        <f t="shared" si="34"/>
        <v>¬</v>
      </c>
    </row>
    <row r="205" spans="1:18">
      <c r="A205" s="1" t="s">
        <v>204</v>
      </c>
      <c r="B205" t="str">
        <f t="shared" si="34"/>
        <v>¬</v>
      </c>
      <c r="D205" s="16" t="s">
        <v>1508</v>
      </c>
      <c r="E205" s="17"/>
      <c r="F205" s="17"/>
      <c r="G205" s="17"/>
      <c r="H205" s="17"/>
      <c r="I205" s="17"/>
    </row>
    <row r="206" spans="1:18">
      <c r="A206" s="1" t="s">
        <v>205</v>
      </c>
      <c r="B206" t="str">
        <f t="shared" si="34"/>
        <v>¬</v>
      </c>
      <c r="D206" s="19"/>
      <c r="E206" s="15" t="s">
        <v>1476</v>
      </c>
      <c r="F206" s="3" t="s">
        <v>1658</v>
      </c>
      <c r="G206" s="19" t="str">
        <f>IFERROR(VLOOKUP(F206,tblManoeuvre[],2,FALSE)&amp;" "&amp;VLOOKUP(F206,tblManoeuvre[],3,FALSE),"")</f>
        <v/>
      </c>
      <c r="H206" s="68" t="str">
        <f>_xlfn.IFNA(IF(VLOOKUP(F206,tblMerits[],6,FALSE)=0,"None",VLOOKUP(F206,tblMerits[],6,FALSE)),"None")</f>
        <v>None</v>
      </c>
      <c r="I206" s="69"/>
      <c r="L206" s="4"/>
      <c r="M206" s="4"/>
      <c r="N206" s="4">
        <v>2</v>
      </c>
      <c r="O206" s="61">
        <f t="shared" ref="O206:O215" si="35">N206</f>
        <v>2</v>
      </c>
      <c r="P206" s="60">
        <f t="shared" ref="P206:P215" si="36">MIN(SUM(L206,M206,O206),R206)</f>
        <v>2</v>
      </c>
      <c r="Q206" s="61">
        <f>_xlfn.IFNA(VLOOKUP($F206,tblPacts[],3,FALSE),"")</f>
        <v>2</v>
      </c>
      <c r="R206" s="61">
        <f>_xlfn.IFNA(VLOOKUP($F206,tblPacts[],4,FALSE),"")</f>
        <v>2</v>
      </c>
    </row>
    <row r="207" spans="1:18">
      <c r="A207" s="1" t="s">
        <v>206</v>
      </c>
      <c r="B207" t="str">
        <f t="shared" si="34"/>
        <v>¬</v>
      </c>
      <c r="D207" s="19"/>
      <c r="E207" s="15" t="s">
        <v>1477</v>
      </c>
      <c r="F207" s="3"/>
      <c r="G207" s="19" t="str">
        <f>IFERROR(VLOOKUP(F207,tblManoeuvre[],2,FALSE)&amp;" "&amp;VLOOKUP(F207,tblManoeuvre[],3,FALSE),"")</f>
        <v/>
      </c>
      <c r="H207" s="68" t="str">
        <f>_xlfn.IFNA(IF(VLOOKUP(F207,tblMerits[],6,FALSE)=0,"None",VLOOKUP(F207,tblMerits[],6,FALSE)),"None")</f>
        <v>None</v>
      </c>
      <c r="I207" s="69"/>
      <c r="L207" s="4"/>
      <c r="M207" s="4"/>
      <c r="N207" s="4"/>
      <c r="O207" s="61">
        <f t="shared" si="35"/>
        <v>0</v>
      </c>
      <c r="P207" s="60">
        <f t="shared" si="36"/>
        <v>0</v>
      </c>
      <c r="Q207" s="61" t="str">
        <f>_xlfn.IFNA(VLOOKUP($F207,tblPacts[],3,FALSE),"")</f>
        <v/>
      </c>
      <c r="R207" s="61" t="str">
        <f>_xlfn.IFNA(VLOOKUP($F207,tblPacts[],4,FALSE),"")</f>
        <v/>
      </c>
    </row>
    <row r="208" spans="1:18">
      <c r="A208" s="1" t="s">
        <v>207</v>
      </c>
      <c r="B208" t="str">
        <f t="shared" si="34"/>
        <v>¬</v>
      </c>
      <c r="D208" s="19"/>
      <c r="E208" s="15" t="s">
        <v>1478</v>
      </c>
      <c r="F208" s="3"/>
      <c r="G208" s="19" t="str">
        <f>IFERROR(VLOOKUP(F208,tblManoeuvre[],2,FALSE)&amp;" "&amp;VLOOKUP(F208,tblManoeuvre[],3,FALSE),"")</f>
        <v/>
      </c>
      <c r="H208" s="68" t="str">
        <f>_xlfn.IFNA(IF(VLOOKUP(F208,tblMerits[],6,FALSE)=0,"None",VLOOKUP(F208,tblMerits[],6,FALSE)),"None")</f>
        <v>None</v>
      </c>
      <c r="I208" s="69"/>
      <c r="L208" s="4"/>
      <c r="M208" s="4"/>
      <c r="N208" s="4"/>
      <c r="O208" s="61">
        <f t="shared" si="35"/>
        <v>0</v>
      </c>
      <c r="P208" s="60">
        <f t="shared" si="36"/>
        <v>0</v>
      </c>
      <c r="Q208" s="61" t="str">
        <f>_xlfn.IFNA(VLOOKUP($F208,tblPacts[],3,FALSE),"")</f>
        <v/>
      </c>
      <c r="R208" s="61" t="str">
        <f>_xlfn.IFNA(VLOOKUP($F208,tblPacts[],4,FALSE),"")</f>
        <v/>
      </c>
    </row>
    <row r="209" spans="1:18">
      <c r="A209" s="1" t="s">
        <v>208</v>
      </c>
      <c r="B209" t="str">
        <f t="shared" si="34"/>
        <v>¬</v>
      </c>
      <c r="D209" s="19"/>
      <c r="E209" s="15" t="s">
        <v>1479</v>
      </c>
      <c r="F209" s="3"/>
      <c r="G209" s="19" t="str">
        <f>IFERROR(VLOOKUP(F209,tblManoeuvre[],2,FALSE)&amp;" "&amp;VLOOKUP(F209,tblManoeuvre[],3,FALSE),"")</f>
        <v/>
      </c>
      <c r="H209" s="68" t="str">
        <f>_xlfn.IFNA(IF(VLOOKUP(F209,tblMerits[],6,FALSE)=0,"None",VLOOKUP(F209,tblMerits[],6,FALSE)),"None")</f>
        <v>None</v>
      </c>
      <c r="I209" s="69"/>
      <c r="L209" s="4"/>
      <c r="M209" s="4"/>
      <c r="N209" s="4"/>
      <c r="O209" s="61">
        <f t="shared" si="35"/>
        <v>0</v>
      </c>
      <c r="P209" s="60">
        <f t="shared" si="36"/>
        <v>0</v>
      </c>
      <c r="Q209" s="61" t="str">
        <f>_xlfn.IFNA(VLOOKUP($F209,tblPacts[],3,FALSE),"")</f>
        <v/>
      </c>
      <c r="R209" s="61" t="str">
        <f>_xlfn.IFNA(VLOOKUP($F209,tblPacts[],4,FALSE),"")</f>
        <v/>
      </c>
    </row>
    <row r="210" spans="1:18">
      <c r="A210" s="1" t="s">
        <v>209</v>
      </c>
      <c r="B210" t="str">
        <f t="shared" si="34"/>
        <v>¬</v>
      </c>
      <c r="D210" s="19"/>
      <c r="E210" s="15" t="s">
        <v>1480</v>
      </c>
      <c r="F210" s="3"/>
      <c r="G210" s="19" t="str">
        <f>IFERROR(VLOOKUP(F210,tblManoeuvre[],2,FALSE)&amp;" "&amp;VLOOKUP(F210,tblManoeuvre[],3,FALSE),"")</f>
        <v/>
      </c>
      <c r="H210" s="68" t="str">
        <f>_xlfn.IFNA(IF(VLOOKUP(F210,tblMerits[],6,FALSE)=0,"None",VLOOKUP(F210,tblMerits[],6,FALSE)),"None")</f>
        <v>None</v>
      </c>
      <c r="I210" s="69"/>
      <c r="L210" s="4"/>
      <c r="M210" s="4"/>
      <c r="N210" s="4"/>
      <c r="O210" s="61">
        <f t="shared" si="35"/>
        <v>0</v>
      </c>
      <c r="P210" s="60">
        <f t="shared" si="36"/>
        <v>0</v>
      </c>
      <c r="Q210" s="61" t="str">
        <f>_xlfn.IFNA(VLOOKUP($F210,tblPacts[],3,FALSE),"")</f>
        <v/>
      </c>
      <c r="R210" s="61" t="str">
        <f>_xlfn.IFNA(VLOOKUP($F210,tblPacts[],4,FALSE),"")</f>
        <v/>
      </c>
    </row>
    <row r="211" spans="1:18">
      <c r="A211" s="1" t="s">
        <v>210</v>
      </c>
      <c r="B211" t="str">
        <f t="shared" si="34"/>
        <v>¬</v>
      </c>
      <c r="D211" s="19"/>
      <c r="E211" s="15" t="s">
        <v>1481</v>
      </c>
      <c r="F211" s="3"/>
      <c r="G211" s="19" t="str">
        <f>IFERROR(VLOOKUP(F211,tblManoeuvre[],2,FALSE)&amp;" "&amp;VLOOKUP(F211,tblManoeuvre[],3,FALSE),"")</f>
        <v/>
      </c>
      <c r="H211" s="68" t="str">
        <f>_xlfn.IFNA(IF(VLOOKUP(F211,tblMerits[],6,FALSE)=0,"None",VLOOKUP(F211,tblMerits[],6,FALSE)),"None")</f>
        <v>None</v>
      </c>
      <c r="I211" s="69"/>
      <c r="L211" s="4"/>
      <c r="M211" s="4"/>
      <c r="N211" s="4"/>
      <c r="O211" s="61">
        <f t="shared" si="35"/>
        <v>0</v>
      </c>
      <c r="P211" s="60">
        <f t="shared" si="36"/>
        <v>0</v>
      </c>
      <c r="Q211" s="61" t="str">
        <f>_xlfn.IFNA(VLOOKUP($F211,tblPacts[],3,FALSE),"")</f>
        <v/>
      </c>
      <c r="R211" s="61" t="str">
        <f>_xlfn.IFNA(VLOOKUP($F211,tblPacts[],4,FALSE),"")</f>
        <v/>
      </c>
    </row>
    <row r="212" spans="1:18">
      <c r="A212" s="1" t="s">
        <v>211</v>
      </c>
      <c r="B212" t="str">
        <f t="shared" si="34"/>
        <v>¬</v>
      </c>
      <c r="D212" s="19"/>
      <c r="E212" s="15" t="s">
        <v>1482</v>
      </c>
      <c r="F212" s="3"/>
      <c r="G212" s="19" t="str">
        <f>IFERROR(VLOOKUP(F212,tblManoeuvre[],2,FALSE)&amp;" "&amp;VLOOKUP(F212,tblManoeuvre[],3,FALSE),"")</f>
        <v/>
      </c>
      <c r="H212" s="68" t="str">
        <f>_xlfn.IFNA(IF(VLOOKUP(F212,tblMerits[],6,FALSE)=0,"None",VLOOKUP(F212,tblMerits[],6,FALSE)),"None")</f>
        <v>None</v>
      </c>
      <c r="I212" s="69"/>
      <c r="L212" s="4"/>
      <c r="M212" s="4"/>
      <c r="N212" s="4"/>
      <c r="O212" s="61">
        <f t="shared" si="35"/>
        <v>0</v>
      </c>
      <c r="P212" s="60">
        <f t="shared" si="36"/>
        <v>0</v>
      </c>
      <c r="Q212" s="61" t="str">
        <f>_xlfn.IFNA(VLOOKUP($F212,tblPacts[],3,FALSE),"")</f>
        <v/>
      </c>
      <c r="R212" s="61" t="str">
        <f>_xlfn.IFNA(VLOOKUP($F212,tblPacts[],4,FALSE),"")</f>
        <v/>
      </c>
    </row>
    <row r="213" spans="1:18">
      <c r="A213" s="1" t="s">
        <v>212</v>
      </c>
      <c r="B213" t="str">
        <f t="shared" si="34"/>
        <v>¬</v>
      </c>
      <c r="D213" s="19"/>
      <c r="E213" s="15" t="s">
        <v>1483</v>
      </c>
      <c r="F213" s="3"/>
      <c r="G213" s="19" t="str">
        <f>IFERROR(VLOOKUP(F213,tblManoeuvre[],2,FALSE)&amp;" "&amp;VLOOKUP(F213,tblManoeuvre[],3,FALSE),"")</f>
        <v/>
      </c>
      <c r="H213" s="68" t="str">
        <f>_xlfn.IFNA(IF(VLOOKUP(F213,tblMerits[],6,FALSE)=0,"None",VLOOKUP(F213,tblMerits[],6,FALSE)),"None")</f>
        <v>None</v>
      </c>
      <c r="I213" s="69"/>
      <c r="L213" s="4"/>
      <c r="M213" s="4"/>
      <c r="N213" s="4"/>
      <c r="O213" s="61">
        <f t="shared" si="35"/>
        <v>0</v>
      </c>
      <c r="P213" s="60">
        <f t="shared" si="36"/>
        <v>0</v>
      </c>
      <c r="Q213" s="61" t="str">
        <f>_xlfn.IFNA(VLOOKUP($F213,tblPacts[],3,FALSE),"")</f>
        <v/>
      </c>
      <c r="R213" s="61" t="str">
        <f>_xlfn.IFNA(VLOOKUP($F213,tblPacts[],4,FALSE),"")</f>
        <v/>
      </c>
    </row>
    <row r="214" spans="1:18">
      <c r="A214" s="1" t="s">
        <v>213</v>
      </c>
      <c r="B214" t="str">
        <f t="shared" si="34"/>
        <v>¬</v>
      </c>
      <c r="D214" s="19"/>
      <c r="E214" s="15" t="s">
        <v>1484</v>
      </c>
      <c r="F214" s="3"/>
      <c r="G214" s="19" t="str">
        <f>IFERROR(VLOOKUP(F214,tblManoeuvre[],2,FALSE)&amp;" "&amp;VLOOKUP(F214,tblManoeuvre[],3,FALSE),"")</f>
        <v/>
      </c>
      <c r="H214" s="68" t="str">
        <f>_xlfn.IFNA(IF(VLOOKUP(F214,tblMerits[],6,FALSE)=0,"None",VLOOKUP(F214,tblMerits[],6,FALSE)),"None")</f>
        <v>None</v>
      </c>
      <c r="I214" s="69"/>
      <c r="L214" s="4"/>
      <c r="M214" s="4"/>
      <c r="N214" s="4"/>
      <c r="O214" s="61">
        <f t="shared" si="35"/>
        <v>0</v>
      </c>
      <c r="P214" s="60">
        <f t="shared" si="36"/>
        <v>0</v>
      </c>
      <c r="Q214" s="61" t="str">
        <f>_xlfn.IFNA(VLOOKUP($F214,tblPacts[],3,FALSE),"")</f>
        <v/>
      </c>
      <c r="R214" s="61" t="str">
        <f>_xlfn.IFNA(VLOOKUP($F214,tblPacts[],4,FALSE),"")</f>
        <v/>
      </c>
    </row>
    <row r="215" spans="1:18">
      <c r="A215" s="1" t="s">
        <v>214</v>
      </c>
      <c r="B215" t="str">
        <f t="shared" si="34"/>
        <v>¬</v>
      </c>
      <c r="D215" s="19"/>
      <c r="E215" s="15" t="s">
        <v>1485</v>
      </c>
      <c r="F215" s="3"/>
      <c r="G215" s="19" t="str">
        <f>IFERROR(VLOOKUP(F215,tblManoeuvre[],2,FALSE)&amp;" "&amp;VLOOKUP(F215,tblManoeuvre[],3,FALSE),"")</f>
        <v/>
      </c>
      <c r="H215" s="68" t="str">
        <f>_xlfn.IFNA(IF(VLOOKUP(F215,tblMerits[],6,FALSE)=0,"None",VLOOKUP(F215,tblMerits[],6,FALSE)),"None")</f>
        <v>None</v>
      </c>
      <c r="I215" s="69"/>
      <c r="L215" s="4"/>
      <c r="M215" s="4"/>
      <c r="N215" s="4"/>
      <c r="O215" s="61">
        <f t="shared" si="35"/>
        <v>0</v>
      </c>
      <c r="P215" s="60">
        <f t="shared" si="36"/>
        <v>0</v>
      </c>
      <c r="Q215" s="61" t="str">
        <f>_xlfn.IFNA(VLOOKUP($F215,tblPacts[],3,FALSE),"")</f>
        <v/>
      </c>
      <c r="R215" s="61" t="str">
        <f>_xlfn.IFNA(VLOOKUP($F215,tblPacts[],4,FALSE),"")</f>
        <v/>
      </c>
    </row>
    <row r="216" spans="1:18">
      <c r="A216" s="1" t="s">
        <v>215</v>
      </c>
      <c r="B216" t="str">
        <f t="shared" si="34"/>
        <v>¬</v>
      </c>
    </row>
    <row r="217" spans="1:18">
      <c r="A217" s="1" t="s">
        <v>216</v>
      </c>
      <c r="B217" t="str">
        <f>IF(OR(AF134=0,AF134=""),"",REPT("●",AF134))</f>
        <v>●</v>
      </c>
      <c r="D217" s="16" t="s">
        <v>1509</v>
      </c>
      <c r="E217" s="16"/>
      <c r="F217" s="16"/>
      <c r="G217" s="16"/>
      <c r="H217" s="16"/>
      <c r="I217" s="16"/>
    </row>
    <row r="218" spans="1:18">
      <c r="A218" s="1" t="s">
        <v>217</v>
      </c>
      <c r="B218" t="str">
        <f t="shared" ref="B218:B236" si="37">IF(OR(AF135=0,AF135=""),"",REPT("●",AF135))</f>
        <v>●●●</v>
      </c>
      <c r="D218" s="19"/>
      <c r="E218" s="15" t="s">
        <v>353</v>
      </c>
      <c r="F218" s="19"/>
      <c r="G218" s="19"/>
      <c r="H218" s="19"/>
      <c r="I218" s="19"/>
      <c r="M218" s="61">
        <f>IF(COUNTIF(F79:F93,"Giant")&gt;0,1,0)+IF(COUNTIF(F79:F93,"Small-Framed")&gt;0,-1,0)</f>
        <v>0</v>
      </c>
      <c r="P218" s="60">
        <f>5+M218</f>
        <v>5</v>
      </c>
    </row>
    <row r="219" spans="1:18">
      <c r="A219" s="1" t="s">
        <v>218</v>
      </c>
      <c r="B219" t="str">
        <f t="shared" si="37"/>
        <v>●</v>
      </c>
      <c r="D219" s="19"/>
      <c r="E219" s="15" t="s">
        <v>354</v>
      </c>
      <c r="F219" s="19"/>
      <c r="G219" s="19"/>
      <c r="H219" s="19"/>
      <c r="I219" s="19"/>
      <c r="P219" s="60">
        <f ca="1">VLOOKUP("Size",INDIRECT($AH$1),2,FALSE)+VLOOKUP("Strength",INDIRECT($AH$1),2,FALSE)+VLOOKUP("Dexterity",INDIRECT($AH$1),2,FALSE)+VLOOKUP("Vigour",INDIRECT($AH$1),2,FALSE)</f>
        <v>10</v>
      </c>
    </row>
    <row r="220" spans="1:18">
      <c r="A220" s="1" t="s">
        <v>219</v>
      </c>
      <c r="B220" t="str">
        <f t="shared" si="37"/>
        <v>●●●●●</v>
      </c>
      <c r="D220" s="19"/>
      <c r="E220" s="15" t="s">
        <v>355</v>
      </c>
      <c r="F220" s="19"/>
      <c r="G220" s="19"/>
      <c r="H220" s="19"/>
      <c r="I220" s="19"/>
      <c r="P220" s="60">
        <f ca="1">MIN(VLOOKUP("Dexterity",INDIRECT($AH$1),2,FALSE),VLOOKUP("Wits",INDIRECT($AH$1),2,FALSE))+VLOOKUP("Athletics",INDIRECT($AH$1),2,FALSE)</f>
        <v>3</v>
      </c>
    </row>
    <row r="221" spans="1:18">
      <c r="A221" s="1" t="s">
        <v>220</v>
      </c>
      <c r="B221" t="str">
        <f t="shared" si="37"/>
        <v/>
      </c>
      <c r="D221" s="19"/>
      <c r="E221" s="15" t="s">
        <v>52</v>
      </c>
      <c r="F221" s="19"/>
      <c r="G221" s="19"/>
      <c r="H221" s="19"/>
      <c r="I221" s="19"/>
      <c r="P221" s="60">
        <f ca="1">VLOOKUP("Size",INDIRECT($AH$1),2,FALSE)+VLOOKUP("Stamina",INDIRECT($AH$1),2,FALSE)+VLOOKUP("Resilience",INDIRECT($AH$1),2,FALSE)</f>
        <v>7</v>
      </c>
    </row>
    <row r="222" spans="1:18">
      <c r="A222" s="1" t="s">
        <v>221</v>
      </c>
      <c r="B222" t="str">
        <f t="shared" si="37"/>
        <v/>
      </c>
      <c r="D222" s="19"/>
      <c r="E222" s="19"/>
      <c r="F222" s="19"/>
      <c r="G222" s="19"/>
      <c r="H222" s="15" t="s">
        <v>1510</v>
      </c>
      <c r="I222" s="19"/>
      <c r="L222" s="4"/>
    </row>
    <row r="223" spans="1:18">
      <c r="A223" s="1" t="s">
        <v>222</v>
      </c>
      <c r="B223" t="str">
        <f t="shared" si="37"/>
        <v/>
      </c>
      <c r="D223" s="19"/>
      <c r="E223" s="15" t="s">
        <v>1511</v>
      </c>
      <c r="F223" s="7"/>
      <c r="G223" s="19"/>
      <c r="H223" s="15" t="s">
        <v>1512</v>
      </c>
      <c r="I223" s="19"/>
      <c r="L223" s="4"/>
    </row>
    <row r="224" spans="1:18">
      <c r="A224" s="1" t="s">
        <v>223</v>
      </c>
      <c r="B224" t="str">
        <f t="shared" si="37"/>
        <v/>
      </c>
      <c r="D224" s="19"/>
      <c r="E224" s="15" t="s">
        <v>1513</v>
      </c>
      <c r="F224" s="7"/>
      <c r="G224" s="19"/>
      <c r="H224" s="15" t="s">
        <v>1514</v>
      </c>
      <c r="I224" s="19"/>
      <c r="L224" s="4"/>
    </row>
    <row r="225" spans="1:12">
      <c r="A225" s="1" t="s">
        <v>224</v>
      </c>
      <c r="B225" t="str">
        <f t="shared" si="37"/>
        <v/>
      </c>
      <c r="D225" s="19"/>
      <c r="E225" s="15" t="s">
        <v>1515</v>
      </c>
      <c r="F225" s="7"/>
      <c r="G225" s="19"/>
      <c r="H225" s="15" t="s">
        <v>1516</v>
      </c>
      <c r="I225" s="19"/>
      <c r="L225" s="4"/>
    </row>
    <row r="226" spans="1:12">
      <c r="A226" s="1" t="s">
        <v>225</v>
      </c>
      <c r="B226" t="str">
        <f t="shared" si="37"/>
        <v/>
      </c>
      <c r="D226" s="19"/>
      <c r="E226" s="15" t="s">
        <v>1517</v>
      </c>
      <c r="F226" s="7" t="s">
        <v>1817</v>
      </c>
      <c r="G226" s="19"/>
      <c r="H226" s="19"/>
      <c r="I226" s="19"/>
    </row>
    <row r="227" spans="1:12">
      <c r="A227" s="1" t="s">
        <v>226</v>
      </c>
      <c r="B227" t="str">
        <f t="shared" si="37"/>
        <v/>
      </c>
      <c r="D227" s="19"/>
      <c r="E227" s="15" t="s">
        <v>1518</v>
      </c>
      <c r="F227" s="7"/>
      <c r="G227" s="19"/>
      <c r="H227" s="19"/>
      <c r="I227" s="19"/>
    </row>
    <row r="228" spans="1:12">
      <c r="A228" s="1" t="s">
        <v>227</v>
      </c>
      <c r="B228" t="str">
        <f t="shared" si="37"/>
        <v/>
      </c>
      <c r="D228" s="19"/>
      <c r="E228" s="15" t="s">
        <v>1519</v>
      </c>
      <c r="F228" s="7"/>
      <c r="G228" s="19"/>
      <c r="H228" s="19"/>
      <c r="I228" s="19"/>
    </row>
    <row r="229" spans="1:12">
      <c r="A229" s="1" t="s">
        <v>228</v>
      </c>
      <c r="B229" t="str">
        <f t="shared" si="37"/>
        <v/>
      </c>
      <c r="D229" s="19"/>
      <c r="E229" s="15" t="s">
        <v>1520</v>
      </c>
      <c r="F229" s="7"/>
      <c r="G229" s="19"/>
      <c r="H229" s="19"/>
      <c r="I229" s="19"/>
    </row>
    <row r="230" spans="1:12">
      <c r="A230" s="1" t="s">
        <v>229</v>
      </c>
      <c r="B230" t="str">
        <f t="shared" si="37"/>
        <v/>
      </c>
      <c r="D230" s="19"/>
      <c r="E230" s="15" t="s">
        <v>1521</v>
      </c>
      <c r="F230" s="7"/>
      <c r="G230" s="19"/>
      <c r="H230" s="19"/>
      <c r="I230" s="19"/>
    </row>
    <row r="231" spans="1:12">
      <c r="A231" s="1" t="s">
        <v>230</v>
      </c>
      <c r="B231" t="str">
        <f t="shared" si="37"/>
        <v/>
      </c>
      <c r="D231" s="19"/>
      <c r="E231" s="15" t="s">
        <v>1522</v>
      </c>
      <c r="F231" s="7"/>
      <c r="G231" s="19"/>
      <c r="H231" s="19"/>
      <c r="I231" s="19"/>
    </row>
    <row r="232" spans="1:12">
      <c r="A232" s="1" t="s">
        <v>231</v>
      </c>
      <c r="B232" t="str">
        <f t="shared" si="37"/>
        <v/>
      </c>
      <c r="D232" s="19"/>
      <c r="E232" s="15" t="s">
        <v>1523</v>
      </c>
      <c r="F232" s="7"/>
      <c r="G232" s="19"/>
      <c r="H232" s="19"/>
      <c r="I232" s="19"/>
    </row>
    <row r="233" spans="1:12">
      <c r="A233" s="1" t="s">
        <v>232</v>
      </c>
      <c r="B233" t="str">
        <f t="shared" si="37"/>
        <v/>
      </c>
      <c r="D233" s="19"/>
      <c r="E233" s="19"/>
      <c r="F233" s="19"/>
      <c r="G233" s="19"/>
      <c r="H233" s="19"/>
      <c r="I233" s="19"/>
    </row>
    <row r="234" spans="1:12">
      <c r="A234" s="1" t="s">
        <v>233</v>
      </c>
      <c r="B234" t="str">
        <f t="shared" si="37"/>
        <v/>
      </c>
      <c r="D234" s="19"/>
      <c r="E234" s="15" t="s">
        <v>343</v>
      </c>
      <c r="F234" s="61" t="str">
        <f>_xlfn.IFNA(VLOOKUP(F7,tblClans[],4,FALSE),"")</f>
        <v>Aloof Curse</v>
      </c>
      <c r="G234" s="19"/>
      <c r="H234" s="74" t="str">
        <f>_xlfn.IFNA(VLOOKUP(F234,tblBanes[],2,FALSE),"")</f>
        <v>First Touchstone attaches to Humanity 7; losing it detaches on first Humanity loss. Breaking points always treated as one step lower.</v>
      </c>
      <c r="I234" s="74"/>
    </row>
    <row r="235" spans="1:12">
      <c r="A235" s="1" t="s">
        <v>234</v>
      </c>
      <c r="B235" t="str">
        <f t="shared" si="37"/>
        <v/>
      </c>
      <c r="D235" s="19"/>
      <c r="E235" s="15" t="s">
        <v>344</v>
      </c>
      <c r="F235" s="19"/>
      <c r="G235" s="19"/>
      <c r="H235" s="19"/>
      <c r="I235" s="19"/>
    </row>
    <row r="236" spans="1:12">
      <c r="A236" s="1" t="s">
        <v>235</v>
      </c>
      <c r="B236" t="str">
        <f t="shared" si="37"/>
        <v/>
      </c>
      <c r="D236" s="19"/>
      <c r="E236" s="15" t="s">
        <v>345</v>
      </c>
      <c r="F236" s="3"/>
      <c r="G236" s="19"/>
      <c r="H236" s="70" t="str">
        <f>_xlfn.IFNA(VLOOKUP(F236,tblBanes[],2,FALSE),"")</f>
        <v/>
      </c>
      <c r="I236" s="71"/>
    </row>
    <row r="237" spans="1:12">
      <c r="A237" s="1" t="s">
        <v>236</v>
      </c>
      <c r="B237" t="str">
        <f ca="1">_xlfn.LET(_xlpm.v,VLOOKUP(tblCharDataReneSt[[#This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_xlfn.LET(_xlpm.v,VLOOKUP(tblCharDataReneSt[[#This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_xlfn.LET(_xlpm.v,VLOOKUP(tblCharDataReneSt[[#This Row],[Field]],INDIRECT($AH$1),2,FALSE),IF(OR(_xlpm.v=0,_xlpm.v=""),"-",REPT("●",_xlpm.v)))</f>
        <v>-</v>
      </c>
      <c r="D239" s="19"/>
      <c r="E239" s="19"/>
      <c r="F239" s="19"/>
      <c r="G239" s="19"/>
      <c r="H239" s="19"/>
      <c r="I239" s="19"/>
    </row>
    <row r="240" spans="1:12">
      <c r="A240" s="1" t="s">
        <v>239</v>
      </c>
      <c r="B240" t="str">
        <f ca="1">_xlfn.LET(_xlpm.v,VLOOKUP(tblCharDataReneSt[[#This Row],[Field]],INDIRECT($AH$1),2,FALSE),IF(OR(_xlpm.v=0,_xlpm.v=""),"-",REPT("●",_xlpm.v)))</f>
        <v>●</v>
      </c>
      <c r="D240" s="19"/>
      <c r="E240" s="15" t="s">
        <v>360</v>
      </c>
      <c r="F240" s="62"/>
      <c r="G240" s="63"/>
      <c r="H240" s="63"/>
      <c r="I240" s="64"/>
    </row>
    <row r="241" spans="1:9">
      <c r="A241" s="1" t="s">
        <v>240</v>
      </c>
      <c r="B241" t="str">
        <f ca="1">_xlfn.LET(_xlpm.v,VLOOKUP(tblCharDataReneSt[[#This Row],[Field]],INDIRECT($AH$1),2,FALSE),IF(OR(_xlpm.v=0,_xlpm.v=""),"-",REPT("●",_xlpm.v)))</f>
        <v>-</v>
      </c>
      <c r="D241" s="19"/>
      <c r="E241" s="15" t="s">
        <v>361</v>
      </c>
      <c r="F241" s="62"/>
      <c r="G241" s="63"/>
      <c r="H241" s="63"/>
      <c r="I241" s="64"/>
    </row>
    <row r="242" spans="1:9">
      <c r="A242" s="1" t="s">
        <v>241</v>
      </c>
      <c r="B242" t="str">
        <f ca="1">_xlfn.LET(_xlpm.v,VLOOKUP(tblCharDataReneSt[[#This Row],[Field]],INDIRECT($AH$1),2,FALSE),IF(OR(_xlpm.v=0,_xlpm.v=""),"-",REPT("●",_xlpm.v)))</f>
        <v>-</v>
      </c>
      <c r="D242" s="19"/>
      <c r="E242" s="15" t="s">
        <v>362</v>
      </c>
      <c r="F242" s="62"/>
      <c r="G242" s="63"/>
      <c r="H242" s="63"/>
      <c r="I242" s="64"/>
    </row>
    <row r="243" spans="1:9">
      <c r="A243" s="1" t="s">
        <v>242</v>
      </c>
      <c r="B243" t="str">
        <f ca="1">_xlfn.LET(_xlpm.v,VLOOKUP(tblCharDataReneSt[[#This Row],[Field]],INDIRECT($AH$1),2,FALSE),IF(OR(_xlpm.v=0,_xlpm.v=""),"-",REPT("●",_xlpm.v)))</f>
        <v>●●●●</v>
      </c>
      <c r="D243" s="19"/>
      <c r="E243" s="19"/>
      <c r="F243" s="19"/>
      <c r="G243" s="19"/>
      <c r="H243" s="19"/>
      <c r="I243" s="19"/>
    </row>
    <row r="244" spans="1:9">
      <c r="A244" s="1" t="s">
        <v>243</v>
      </c>
      <c r="B244" t="str">
        <f ca="1">_xlfn.LET(_xlpm.v,VLOOKUP(tblCharDataReneSt[[#This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_xlfn.LET(_xlpm.v,VLOOKUP(tblCharDataReneSt[[#This Row],[Field]],INDIRECT($AH$1),2,FALSE),IF(OR(_xlpm.v=0,_xlpm.v=""),"-",REPT("●",_xlpm.v)))</f>
        <v>●</v>
      </c>
      <c r="D245" s="19"/>
      <c r="E245" s="15" t="s">
        <v>1524</v>
      </c>
      <c r="F245" s="62"/>
      <c r="G245" s="63"/>
      <c r="H245" s="63"/>
      <c r="I245" s="64"/>
    </row>
    <row r="246" spans="1:9">
      <c r="A246" s="1" t="s">
        <v>245</v>
      </c>
      <c r="B246" t="str">
        <f ca="1">_xlfn.LET(_xlpm.v,VLOOKUP(tblCharDataReneSt[[#This Row],[Field]],INDIRECT($AH$1),2,FALSE),IF(OR(_xlpm.v=0,_xlpm.v=""),"-",REPT("●",_xlpm.v)))</f>
        <v>-</v>
      </c>
    </row>
    <row r="247" spans="1:9">
      <c r="A247" s="1" t="s">
        <v>246</v>
      </c>
      <c r="B247" t="str">
        <f ca="1">_xlfn.LET(_xlpm.v,VLOOKUP(tblCharDataReneSt[[#This Row],[Field]],INDIRECT($AH$1),2,FALSE),IF(OR(_xlpm.v=0,_xlpm.v=""),"-",REPT("●",_xlpm.v)))</f>
        <v>-</v>
      </c>
      <c r="D247" s="16" t="s">
        <v>1525</v>
      </c>
      <c r="E247" s="16"/>
      <c r="F247" s="16" t="s">
        <v>1526</v>
      </c>
      <c r="G247" s="16" t="s">
        <v>1527</v>
      </c>
      <c r="H247" s="16"/>
      <c r="I247" s="16"/>
    </row>
    <row r="248" spans="1:9">
      <c r="A248" s="1" t="s">
        <v>247</v>
      </c>
      <c r="B248" t="str">
        <f ca="1">_xlfn.LET(_xlpm.v,VLOOKUP(tblCharDataReneSt[[#This Row],[Field]],INDIRECT($AH$1),2,FALSE),IF(OR(_xlpm.v=0,_xlpm.v=""),"-",REPT("●",_xlpm.v)))</f>
        <v>-</v>
      </c>
      <c r="D248" s="19"/>
      <c r="E248" s="15" t="s">
        <v>1528</v>
      </c>
      <c r="F248" s="7"/>
      <c r="G248" s="7"/>
      <c r="H248" s="19"/>
      <c r="I248" s="19" t="s">
        <v>1529</v>
      </c>
    </row>
    <row r="249" spans="1:9">
      <c r="A249" s="1" t="s">
        <v>248</v>
      </c>
      <c r="B249" t="str">
        <f ca="1">_xlfn.LET(_xlpm.v,VLOOKUP(tblCharDataReneSt[[#This Row],[Field]],INDIRECT($AH$1),2,FALSE),IF(OR(_xlpm.v=0,_xlpm.v=""),"-",REPT("●",_xlpm.v)))</f>
        <v>-</v>
      </c>
      <c r="D249" s="19"/>
      <c r="E249" s="15" t="s">
        <v>1530</v>
      </c>
      <c r="F249" s="7"/>
      <c r="G249" s="7"/>
      <c r="H249" s="19"/>
      <c r="I249" s="19" t="s">
        <v>1531</v>
      </c>
    </row>
    <row r="250" spans="1:9">
      <c r="A250" s="1" t="s">
        <v>249</v>
      </c>
      <c r="B250" t="str">
        <f ca="1">_xlfn.LET(_xlpm.v,VLOOKUP(tblCharDataReneSt[[#This Row],[Field]],INDIRECT($AH$1),2,FALSE),IF(OR(_xlpm.v=0,_xlpm.v=""),"-",REPT("●",_xlpm.v)))</f>
        <v>-</v>
      </c>
      <c r="D250" s="19" t="s">
        <v>1532</v>
      </c>
      <c r="E250" s="15" t="s">
        <v>1533</v>
      </c>
      <c r="F250" s="7"/>
      <c r="G250" s="7"/>
      <c r="H250" s="19"/>
      <c r="I250" s="19"/>
    </row>
    <row r="251" spans="1:9">
      <c r="A251" s="1" t="s">
        <v>250</v>
      </c>
      <c r="B251" t="str">
        <f ca="1">_xlfn.LET(_xlpm.v,VLOOKUP(tblCharDataReneSt[[#This Row],[Field]],INDIRECT($AH$1),2,FALSE),IF(OR(_xlpm.v=0,_xlpm.v=""),"-",REPT("●",_xlpm.v)))</f>
        <v>-</v>
      </c>
      <c r="D251" s="19" t="s">
        <v>1532</v>
      </c>
      <c r="E251" s="15" t="s">
        <v>1534</v>
      </c>
      <c r="F251" s="7"/>
      <c r="G251" s="7"/>
      <c r="H251" s="19"/>
      <c r="I251" s="19"/>
    </row>
    <row r="252" spans="1:9">
      <c r="A252" s="1" t="s">
        <v>251</v>
      </c>
      <c r="B252" t="str">
        <f ca="1">_xlfn.LET(_xlpm.v,VLOOKUP(tblCharDataReneSt[[#This Row],[Field]],INDIRECT($AH$1),2,FALSE),IF(OR(_xlpm.v=0,_xlpm.v=""),"-",REPT("●",_xlpm.v)))</f>
        <v>-</v>
      </c>
      <c r="D252" s="19" t="s">
        <v>1532</v>
      </c>
      <c r="E252" s="15" t="s">
        <v>1535</v>
      </c>
      <c r="F252" s="7"/>
      <c r="G252" s="7"/>
      <c r="H252" s="19"/>
      <c r="I252" s="19"/>
    </row>
    <row r="253" spans="1:9">
      <c r="A253" s="1" t="s">
        <v>252</v>
      </c>
      <c r="B253" t="str">
        <f ca="1">_xlfn.LET(_xlpm.v,VLOOKUP(tblCharDataReneSt[[#This Row],[Field]],INDIRECT($AH$1),2,FALSE),IF(OR(_xlpm.v=0,_xlpm.v=""),"-",REPT("●",_xlpm.v)))</f>
        <v>-</v>
      </c>
      <c r="D253" s="19" t="s">
        <v>1532</v>
      </c>
      <c r="E253" s="15" t="s">
        <v>1536</v>
      </c>
      <c r="F253" s="7"/>
      <c r="G253" s="7"/>
      <c r="H253" s="19"/>
      <c r="I253" s="19"/>
    </row>
    <row r="254" spans="1:9">
      <c r="A254" s="1" t="s">
        <v>253</v>
      </c>
      <c r="B254" t="str">
        <f t="shared" ref="B254:B283" si="38">IF(AD44="","¬",AD44)</f>
        <v>Dominate ● | Mesmerise</v>
      </c>
      <c r="D254" s="19" t="s">
        <v>1532</v>
      </c>
      <c r="E254" s="15" t="s">
        <v>1537</v>
      </c>
      <c r="F254" s="7"/>
      <c r="G254" s="7"/>
      <c r="H254" s="19"/>
      <c r="I254" s="19"/>
    </row>
    <row r="255" spans="1:9">
      <c r="A255" s="1" t="s">
        <v>254</v>
      </c>
      <c r="B255" t="str">
        <f t="shared" si="38"/>
        <v>Obfuscate ● | Face in the Crowd</v>
      </c>
      <c r="D255" s="19" t="s">
        <v>1532</v>
      </c>
      <c r="E255" s="15" t="s">
        <v>1538</v>
      </c>
      <c r="F255" s="7"/>
      <c r="G255" s="7"/>
      <c r="H255" s="19"/>
      <c r="I255" s="19"/>
    </row>
    <row r="256" spans="1:9">
      <c r="A256" s="1" t="s">
        <v>255</v>
      </c>
      <c r="B256" t="str">
        <f t="shared" si="38"/>
        <v>Obfuscate ●● | Touch of Shadow</v>
      </c>
      <c r="D256" s="19" t="s">
        <v>1532</v>
      </c>
      <c r="E256" s="15" t="s">
        <v>1539</v>
      </c>
      <c r="F256" s="7"/>
      <c r="G256" s="7"/>
      <c r="H256" s="19"/>
      <c r="I256" s="19"/>
    </row>
    <row r="257" spans="1:9">
      <c r="A257" s="1" t="s">
        <v>256</v>
      </c>
      <c r="B257" t="str">
        <f t="shared" si="38"/>
        <v>Obfuscate ●●● | Cloak of Night</v>
      </c>
      <c r="D257" s="19" t="s">
        <v>1532</v>
      </c>
      <c r="E257" s="15" t="s">
        <v>1540</v>
      </c>
      <c r="F257" s="7"/>
      <c r="G257" s="7"/>
      <c r="H257" s="19"/>
      <c r="I257" s="19"/>
    </row>
    <row r="258" spans="1:9">
      <c r="A258" s="1" t="s">
        <v>257</v>
      </c>
      <c r="B258" t="str">
        <f t="shared" si="38"/>
        <v>Obfuscate ●●●● | The Familiar Stranger</v>
      </c>
      <c r="D258" s="19" t="s">
        <v>1532</v>
      </c>
      <c r="E258" s="15" t="s">
        <v>1541</v>
      </c>
      <c r="F258" s="7"/>
      <c r="G258" s="7"/>
      <c r="H258" s="19"/>
      <c r="I258" s="19"/>
    </row>
    <row r="259" spans="1:9">
      <c r="A259" s="1" t="s">
        <v>258</v>
      </c>
      <c r="B259" t="str">
        <f t="shared" si="38"/>
        <v>Resilience ●</v>
      </c>
      <c r="D259" s="19" t="s">
        <v>1532</v>
      </c>
      <c r="E259" s="15" t="s">
        <v>1542</v>
      </c>
      <c r="F259" s="7"/>
      <c r="G259" s="7"/>
      <c r="H259" s="19"/>
      <c r="I259" s="19"/>
    </row>
    <row r="260" spans="1:9">
      <c r="A260" s="1" t="s">
        <v>259</v>
      </c>
      <c r="B260" t="str">
        <f t="shared" si="38"/>
        <v>Devotion  | Govi Trap</v>
      </c>
      <c r="D260" s="19" t="s">
        <v>1532</v>
      </c>
      <c r="E260" s="15" t="s">
        <v>1543</v>
      </c>
      <c r="F260" s="7"/>
      <c r="G260" s="7"/>
      <c r="H260" s="19"/>
      <c r="I260" s="19"/>
    </row>
    <row r="261" spans="1:9">
      <c r="A261" s="1" t="s">
        <v>260</v>
      </c>
      <c r="B261" t="str">
        <f t="shared" si="38"/>
        <v>Devotion  | Skeleton Key</v>
      </c>
      <c r="D261" s="19" t="s">
        <v>1532</v>
      </c>
      <c r="E261" s="15" t="s">
        <v>1544</v>
      </c>
      <c r="F261" s="7"/>
      <c r="G261" s="7"/>
      <c r="H261" s="19"/>
      <c r="I261" s="19"/>
    </row>
    <row r="262" spans="1:9">
      <c r="A262" s="1" t="s">
        <v>261</v>
      </c>
      <c r="B262" t="str">
        <f t="shared" si="38"/>
        <v>Devotion  | Veve Passageway</v>
      </c>
      <c r="D262" s="19" t="s">
        <v>1532</v>
      </c>
      <c r="E262" s="15" t="s">
        <v>1545</v>
      </c>
      <c r="F262" s="7"/>
      <c r="G262" s="7"/>
      <c r="H262" s="19"/>
      <c r="I262" s="19"/>
    </row>
    <row r="263" spans="1:9">
      <c r="A263" s="1" t="s">
        <v>262</v>
      </c>
      <c r="B263" t="str">
        <f t="shared" si="38"/>
        <v>Oath of the Hard Motherfucker ●●</v>
      </c>
      <c r="D263" s="19" t="s">
        <v>1532</v>
      </c>
      <c r="E263" s="15" t="s">
        <v>1546</v>
      </c>
      <c r="F263" s="7"/>
      <c r="G263" s="7"/>
      <c r="H263" s="19"/>
      <c r="I263" s="19"/>
    </row>
    <row r="264" spans="1:9">
      <c r="A264" s="1" t="s">
        <v>263</v>
      </c>
      <c r="B264" t="str">
        <f t="shared" si="38"/>
        <v>¬</v>
      </c>
      <c r="D264" s="19" t="s">
        <v>1532</v>
      </c>
      <c r="E264" s="15" t="s">
        <v>1547</v>
      </c>
      <c r="F264" s="7"/>
      <c r="G264" s="7"/>
      <c r="H264" s="19"/>
      <c r="I264" s="19"/>
    </row>
    <row r="265" spans="1:9">
      <c r="A265" s="1" t="s">
        <v>264</v>
      </c>
      <c r="B265" t="str">
        <f t="shared" si="38"/>
        <v>¬</v>
      </c>
      <c r="D265" s="19" t="s">
        <v>1532</v>
      </c>
      <c r="E265" s="15" t="s">
        <v>1548</v>
      </c>
      <c r="F265" s="7"/>
      <c r="G265" s="7"/>
      <c r="H265" s="19"/>
      <c r="I265" s="19"/>
    </row>
    <row r="266" spans="1:9">
      <c r="A266" s="1" t="s">
        <v>265</v>
      </c>
      <c r="B266" t="str">
        <f t="shared" si="38"/>
        <v>¬</v>
      </c>
      <c r="D266" s="19" t="s">
        <v>1532</v>
      </c>
      <c r="E266" s="15" t="s">
        <v>1549</v>
      </c>
      <c r="F266" s="7"/>
      <c r="G266" s="7"/>
      <c r="H266" s="19"/>
      <c r="I266" s="19"/>
    </row>
    <row r="267" spans="1:9">
      <c r="A267" s="1" t="s">
        <v>266</v>
      </c>
      <c r="B267" t="str">
        <f t="shared" si="38"/>
        <v>¬</v>
      </c>
      <c r="D267" s="19" t="s">
        <v>1532</v>
      </c>
      <c r="E267" s="15" t="s">
        <v>1550</v>
      </c>
      <c r="F267" s="7"/>
      <c r="G267" s="7"/>
      <c r="H267" s="19"/>
      <c r="I267" s="19"/>
    </row>
    <row r="268" spans="1:9">
      <c r="A268" s="1" t="s">
        <v>267</v>
      </c>
      <c r="B268" t="str">
        <f t="shared" si="38"/>
        <v>¬</v>
      </c>
      <c r="D268" s="19" t="s">
        <v>1532</v>
      </c>
      <c r="E268" s="15" t="s">
        <v>1551</v>
      </c>
      <c r="F268" s="7"/>
      <c r="G268" s="7"/>
      <c r="H268" s="19"/>
      <c r="I268" s="19"/>
    </row>
    <row r="269" spans="1:9">
      <c r="A269" s="1" t="s">
        <v>268</v>
      </c>
      <c r="B269" t="str">
        <f t="shared" si="38"/>
        <v>¬</v>
      </c>
      <c r="D269" s="19" t="s">
        <v>1532</v>
      </c>
      <c r="E269" s="15" t="s">
        <v>1552</v>
      </c>
      <c r="F269" s="7"/>
      <c r="G269" s="7"/>
      <c r="H269" s="19"/>
      <c r="I269" s="19"/>
    </row>
    <row r="270" spans="1:9">
      <c r="A270" s="1" t="s">
        <v>269</v>
      </c>
      <c r="B270" t="str">
        <f t="shared" si="38"/>
        <v>¬</v>
      </c>
      <c r="D270" s="19" t="s">
        <v>1532</v>
      </c>
      <c r="E270" s="15" t="s">
        <v>1553</v>
      </c>
      <c r="F270" s="7"/>
      <c r="G270" s="7"/>
      <c r="H270" s="19"/>
      <c r="I270" s="19"/>
    </row>
    <row r="271" spans="1:9">
      <c r="A271" s="1" t="s">
        <v>270</v>
      </c>
      <c r="B271" t="str">
        <f t="shared" si="38"/>
        <v>¬</v>
      </c>
      <c r="D271" s="19" t="s">
        <v>1532</v>
      </c>
      <c r="E271" s="15" t="s">
        <v>1554</v>
      </c>
      <c r="F271" s="7"/>
      <c r="G271" s="7"/>
      <c r="H271" s="19"/>
      <c r="I271" s="19"/>
    </row>
    <row r="272" spans="1:9">
      <c r="A272" s="1" t="s">
        <v>271</v>
      </c>
      <c r="B272" t="str">
        <f t="shared" si="38"/>
        <v>¬</v>
      </c>
      <c r="D272" s="19" t="s">
        <v>1532</v>
      </c>
      <c r="E272" s="15" t="s">
        <v>1555</v>
      </c>
      <c r="F272" s="7"/>
      <c r="G272" s="7"/>
      <c r="H272" s="19"/>
      <c r="I272" s="19"/>
    </row>
    <row r="273" spans="1:14">
      <c r="A273" s="1" t="s">
        <v>272</v>
      </c>
      <c r="B273" t="str">
        <f t="shared" si="38"/>
        <v>¬</v>
      </c>
      <c r="D273" s="19" t="s">
        <v>1532</v>
      </c>
      <c r="E273" s="15" t="s">
        <v>1556</v>
      </c>
      <c r="F273" s="7"/>
      <c r="G273" s="7"/>
      <c r="H273" s="19"/>
      <c r="I273" s="19"/>
    </row>
    <row r="274" spans="1:14">
      <c r="A274" s="1" t="s">
        <v>273</v>
      </c>
      <c r="B274" t="str">
        <f t="shared" si="38"/>
        <v>¬</v>
      </c>
      <c r="D274" s="19" t="s">
        <v>1532</v>
      </c>
      <c r="E274" s="15" t="s">
        <v>1557</v>
      </c>
      <c r="F274" s="7"/>
      <c r="G274" s="7"/>
      <c r="H274" s="19"/>
      <c r="I274" s="19"/>
    </row>
    <row r="275" spans="1:14">
      <c r="A275" s="1" t="s">
        <v>274</v>
      </c>
      <c r="B275" t="str">
        <f t="shared" si="38"/>
        <v>¬</v>
      </c>
      <c r="D275" s="19" t="s">
        <v>1532</v>
      </c>
      <c r="E275" s="15" t="s">
        <v>1558</v>
      </c>
      <c r="F275" s="7"/>
      <c r="G275" s="7"/>
      <c r="H275" s="19"/>
      <c r="I275" s="19"/>
    </row>
    <row r="276" spans="1:14">
      <c r="A276" s="1" t="s">
        <v>275</v>
      </c>
      <c r="B276" t="str">
        <f t="shared" si="38"/>
        <v>¬</v>
      </c>
      <c r="D276" s="19" t="s">
        <v>1532</v>
      </c>
      <c r="E276" s="15" t="s">
        <v>1559</v>
      </c>
      <c r="F276" s="7"/>
      <c r="G276" s="7"/>
      <c r="H276" s="19"/>
      <c r="I276" s="19"/>
    </row>
    <row r="277" spans="1:14">
      <c r="A277" s="1" t="s">
        <v>276</v>
      </c>
      <c r="B277" t="str">
        <f t="shared" si="38"/>
        <v>¬</v>
      </c>
      <c r="D277" s="19" t="s">
        <v>1532</v>
      </c>
      <c r="E277" s="15" t="s">
        <v>1560</v>
      </c>
      <c r="F277" s="7"/>
      <c r="G277" s="7"/>
      <c r="H277" s="19"/>
      <c r="I277" s="19"/>
    </row>
    <row r="278" spans="1:14">
      <c r="A278" s="1" t="s">
        <v>277</v>
      </c>
      <c r="B278" t="str">
        <f t="shared" si="38"/>
        <v>¬</v>
      </c>
    </row>
    <row r="279" spans="1:14">
      <c r="A279" s="1" t="s">
        <v>278</v>
      </c>
      <c r="B279" t="str">
        <f t="shared" si="38"/>
        <v>¬</v>
      </c>
      <c r="D279" s="16" t="s">
        <v>1561</v>
      </c>
      <c r="E279" s="16"/>
      <c r="F279" s="16" t="s">
        <v>1347</v>
      </c>
      <c r="G279" s="16" t="s">
        <v>1348</v>
      </c>
      <c r="H279" s="16" t="s">
        <v>1349</v>
      </c>
      <c r="I279" s="16" t="s">
        <v>1350</v>
      </c>
      <c r="N279" s="60">
        <f ca="1">SUM(N280:N282)</f>
        <v>3</v>
      </c>
    </row>
    <row r="280" spans="1:14">
      <c r="A280" s="1" t="s">
        <v>279</v>
      </c>
      <c r="B280" t="str">
        <f t="shared" si="38"/>
        <v>¬</v>
      </c>
      <c r="D280" s="61" t="str" cm="1">
        <f t="array" aca="1" ref="D280" ca="1">INDEX(Attendance!$C$14:$GP$44,
       MATCH($F$4, Attendance!$C$14:$C$44, 0),
       MATCH(1, (Attendance!$C$12:$GP$12=$E280) * (Attendance!$C$13:$GP$13="Paid"), 0)
)</f>
        <v>PayID</v>
      </c>
      <c r="E280" s="41">
        <v>46054</v>
      </c>
      <c r="F280" s="61" cm="1">
        <f t="array" aca="1" ref="F280" ca="1">N(INDEX(Attendance!$C$14:$GP$104,
       MATCH($F$4, Attendance!$C$14:$C$104, 0),
       MATCH(1, (Attendance!$C$12:$GP$12=$E280) * (Attendance!$C$13:$GP$13=$F$279), 0)
))</f>
        <v>3</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0</v>
      </c>
      <c r="I280" s="61" t="str" cm="1">
        <f t="array" aca="1" ref="I280" ca="1">INDEX(Attendance!$C$14:$GP$44,
       MATCH($F$4, Attendance!$C$14:$C$44, 0),
       MATCH(1, (Attendance!$C$12:$GP$12=$E280) * (Attendance!$C$13:$GP$13=$I$279), 0)
)</f>
        <v>Quiet</v>
      </c>
      <c r="K280" s="18"/>
      <c r="L280" s="18"/>
      <c r="M280" s="18" t="s">
        <v>1562</v>
      </c>
      <c r="N280" s="61">
        <f ca="1">SUM(F$280:F$316)</f>
        <v>3</v>
      </c>
    </row>
    <row r="281" spans="1:14">
      <c r="A281" s="1" t="s">
        <v>280</v>
      </c>
      <c r="B281" t="str">
        <f t="shared" si="38"/>
        <v>¬</v>
      </c>
      <c r="D281" s="61" t="str" cm="1">
        <f t="array" aca="1" ref="D281" ca="1">INDEX(Attendance!$C$14:$GP$44,
       MATCH($F$4, Attendance!$C$14:$C$44, 0),
       MATCH(1, (Attendance!$C$12:$GP$12=$E281) * (Attendance!$C$13:$GP$13="Paid"), 0)
)</f>
        <v> </v>
      </c>
      <c r="E281" s="42">
        <f t="shared" ref="E281:E316" si="39">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8"/>
        <v>¬</v>
      </c>
      <c r="D282" s="61" t="str" cm="1">
        <f t="array" aca="1" ref="D282" ca="1">INDEX(Attendance!$C$14:$GP$44,
       MATCH($F$4, Attendance!$C$14:$C$44, 0),
       MATCH(1, (Attendance!$C$12:$GP$12=$E282) * (Attendance!$C$13:$GP$13="Paid"), 0)
)</f>
        <v> </v>
      </c>
      <c r="E282" s="42">
        <f t="shared" si="39"/>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0</v>
      </c>
    </row>
    <row r="283" spans="1:14">
      <c r="A283" s="1" t="s">
        <v>282</v>
      </c>
      <c r="B283" t="str">
        <f t="shared" si="38"/>
        <v>¬</v>
      </c>
      <c r="D283" s="61" t="str" cm="1">
        <f t="array" aca="1" ref="D283" ca="1">INDEX(Attendance!$C$14:$GP$44,
       MATCH($F$4, Attendance!$C$14:$C$44, 0),
       MATCH(1, (Attendance!$C$12:$GP$12=$E283) * (Attendance!$C$13:$GP$13="Paid"), 0)
)</f>
        <v> </v>
      </c>
      <c r="E283" s="42">
        <f t="shared" si="39"/>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40">IF(AE44="","¬",AE44)</f>
        <v>Cost: - -3 in combat unless Blinded  •  Pool: 9  v Resolve + BP  •  Instant  •  Instant</v>
      </c>
      <c r="D284" s="61" t="str" cm="1">
        <f t="array" aca="1" ref="D284" ca="1">INDEX(Attendance!$C$14:$GP$44,
       MATCH($F$4, Attendance!$C$14:$C$44, 0),
       MATCH(1, (Attendance!$C$12:$GP$12=$E284) * (Attendance!$C$13:$GP$13="Paid"), 0)
)</f>
        <v> </v>
      </c>
      <c r="E284" s="42">
        <f t="shared" si="39"/>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40"/>
        <v>Cost: -  •  Pool: -  •  Instant  •  Scene</v>
      </c>
      <c r="D285" s="61" t="str" cm="1">
        <f t="array" aca="1" ref="D285" ca="1">INDEX(Attendance!$C$14:$GP$44,
       MATCH($F$4, Attendance!$C$14:$C$44, 0),
       MATCH(1, (Attendance!$C$12:$GP$12=$E285) * (Attendance!$C$13:$GP$13="Paid"), 0)
)</f>
        <v> </v>
      </c>
      <c r="E285" s="42">
        <f t="shared" si="39"/>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40"/>
        <v>Cost: 1 V  •  Pool: 9  •  Instant  •  Scene</v>
      </c>
      <c r="D286" s="61" t="str" cm="1">
        <f t="array" aca="1" ref="D286" ca="1">INDEX(Attendance!$C$14:$GP$44,
       MATCH($F$4, Attendance!$C$14:$C$44, 0),
       MATCH(1, (Attendance!$C$12:$GP$12=$E286) * (Attendance!$C$13:$GP$13="Paid"), 0)
)</f>
        <v> </v>
      </c>
      <c r="E286" s="42">
        <f t="shared" si="39"/>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40"/>
        <v>Cost: 1 V  •  Pool: -  •  None</v>
      </c>
      <c r="D287" s="61" t="str" cm="1">
        <f t="array" aca="1" ref="D287" ca="1">INDEX(Attendance!$C$14:$GP$44,
       MATCH($F$4, Attendance!$C$14:$C$44, 0),
       MATCH(1, (Attendance!$C$12:$GP$12=$E287) * (Attendance!$C$13:$GP$13="Paid"), 0)
)</f>
        <v> </v>
      </c>
      <c r="E287" s="42">
        <f t="shared" si="39"/>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40"/>
        <v>Cost: 2 V  •  Pool: -  •  None</v>
      </c>
      <c r="D288" s="61" t="str" cm="1">
        <f t="array" aca="1" ref="D288" ca="1">INDEX(Attendance!$C$14:$GP$44,
       MATCH($F$4, Attendance!$C$14:$C$44, 0),
       MATCH(1, (Attendance!$C$12:$GP$12=$E288) * (Attendance!$C$13:$GP$13="Paid"), 0)
)</f>
        <v> </v>
      </c>
      <c r="E288" s="42">
        <f t="shared" si="39"/>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40"/>
        <v>Cost: 1 V per effect  •  Pool: -  •  Reflexive  •  1 turn</v>
      </c>
      <c r="D289" s="61" t="str" cm="1">
        <f t="array" aca="1" ref="D289" ca="1">INDEX(Attendance!$C$14:$GP$44,
       MATCH($F$4, Attendance!$C$14:$C$44, 0),
       MATCH(1, (Attendance!$C$12:$GP$12=$E289) * (Attendance!$C$13:$GP$13="Paid"), 0)
)</f>
        <v> </v>
      </c>
      <c r="E289" s="42">
        <f t="shared" si="39"/>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40"/>
        <v>Cost: 1 V (Apollinaire Only); ghost within sight; small container with lid  •  Pool: 7  v Finesse + Resistance  •  Contested  •  1 hour per Dominate dot</v>
      </c>
      <c r="D290" s="61" t="str" cm="1">
        <f t="array" aca="1" ref="D290" ca="1">INDEX(Attendance!$C$14:$GP$44,
       MATCH($F$4, Attendance!$C$14:$C$44, 0),
       MATCH(1, (Attendance!$C$12:$GP$12=$E290) * (Attendance!$C$13:$GP$13="Paid"), 0)
)</f>
        <v> </v>
      </c>
      <c r="E290" s="42">
        <f t="shared" si="39"/>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40"/>
        <v>Cost: 1 V (Apollinaire Only)  •  Pool: 6  •  Instant  •  Instant / Permanent</v>
      </c>
      <c r="D291" s="61" t="str" cm="1">
        <f t="array" aca="1" ref="D291" ca="1">INDEX(Attendance!$C$14:$GP$44,
       MATCH($F$4, Attendance!$C$14:$C$44, 0),
       MATCH(1, (Attendance!$C$12:$GP$12=$E291) * (Attendance!$C$13:$GP$13="Paid"), 0)
)</f>
        <v> </v>
      </c>
      <c r="E291" s="42">
        <f t="shared" si="39"/>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40"/>
        <v>Cost: 1 V (Apollinaire Only); white chalk  •  Pool: 9  •  Instant  •  1 hour per success</v>
      </c>
      <c r="D292" s="61" t="str" cm="1">
        <f t="array" aca="1" ref="D292" ca="1">INDEX(Attendance!$C$14:$GP$44,
       MATCH($F$4, Attendance!$C$14:$C$44, 0),
       MATCH(1, (Attendance!$C$12:$GP$12=$E292) * (Attendance!$C$13:$GP$13="Paid"), 0)
)</f>
        <v> </v>
      </c>
      <c r="E292" s="42">
        <f t="shared" si="39"/>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40"/>
        <v>¬</v>
      </c>
      <c r="D293" s="61" t="str" cm="1">
        <f t="array" aca="1" ref="D293" ca="1">INDEX(Attendance!$C$14:$GP$44,
       MATCH($F$4, Attendance!$C$14:$C$44, 0),
       MATCH(1, (Attendance!$C$12:$GP$12=$E293) * (Attendance!$C$13:$GP$13="Paid"), 0)
)</f>
        <v> </v>
      </c>
      <c r="E293" s="42">
        <f t="shared" si="39"/>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40"/>
        <v>¬</v>
      </c>
      <c r="D294" s="61" t="str" cm="1">
        <f t="array" aca="1" ref="D294" ca="1">INDEX(Attendance!$C$14:$GP$44,
       MATCH($F$4, Attendance!$C$14:$C$44, 0),
       MATCH(1, (Attendance!$C$12:$GP$12=$E294) * (Attendance!$C$13:$GP$13="Paid"), 0)
)</f>
        <v> </v>
      </c>
      <c r="E294" s="42">
        <f t="shared" si="39"/>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40"/>
        <v>¬</v>
      </c>
      <c r="D295" s="61" t="str" cm="1">
        <f t="array" aca="1" ref="D295" ca="1">INDEX(Attendance!$C$14:$GP$44,
       MATCH($F$4, Attendance!$C$14:$C$44, 0),
       MATCH(1, (Attendance!$C$12:$GP$12=$E295) * (Attendance!$C$13:$GP$13="Paid"), 0)
)</f>
        <v> </v>
      </c>
      <c r="E295" s="42">
        <f t="shared" si="39"/>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40"/>
        <v>¬</v>
      </c>
      <c r="D296" s="61" t="str" cm="1">
        <f t="array" aca="1" ref="D296" ca="1">INDEX(Attendance!$C$14:$GP$44,
       MATCH($F$4, Attendance!$C$14:$C$44, 0),
       MATCH(1, (Attendance!$C$12:$GP$12=$E296) * (Attendance!$C$13:$GP$13="Paid"), 0)
)</f>
        <v> </v>
      </c>
      <c r="E296" s="42">
        <f t="shared" si="39"/>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40"/>
        <v>¬</v>
      </c>
      <c r="D297" s="61" t="str" cm="1">
        <f t="array" aca="1" ref="D297" ca="1">INDEX(Attendance!$C$14:$GP$44,
       MATCH($F$4, Attendance!$C$14:$C$44, 0),
       MATCH(1, (Attendance!$C$12:$GP$12=$E297) * (Attendance!$C$13:$GP$13="Paid"), 0)
)</f>
        <v> </v>
      </c>
      <c r="E297" s="42">
        <f t="shared" si="39"/>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40"/>
        <v>¬</v>
      </c>
      <c r="D298" s="61" t="str" cm="1">
        <f t="array" aca="1" ref="D298" ca="1">INDEX(Attendance!$C$14:$GP$44,
       MATCH($F$4, Attendance!$C$14:$C$44, 0),
       MATCH(1, (Attendance!$C$12:$GP$12=$E298) * (Attendance!$C$13:$GP$13="Paid"), 0)
)</f>
        <v> </v>
      </c>
      <c r="E298" s="42">
        <f t="shared" si="39"/>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40"/>
        <v>¬</v>
      </c>
      <c r="D299" s="61" t="str" cm="1">
        <f t="array" aca="1" ref="D299" ca="1">INDEX(Attendance!$C$14:$GP$44,
       MATCH($F$4, Attendance!$C$14:$C$44, 0),
       MATCH(1, (Attendance!$C$12:$GP$12=$E299) * (Attendance!$C$13:$GP$13="Paid"), 0)
)</f>
        <v> </v>
      </c>
      <c r="E299" s="42">
        <f t="shared" si="39"/>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40"/>
        <v>¬</v>
      </c>
      <c r="D300" s="61" t="str" cm="1">
        <f t="array" aca="1" ref="D300" ca="1">INDEX(Attendance!$C$14:$GP$44,
       MATCH($F$4, Attendance!$C$14:$C$44, 0),
       MATCH(1, (Attendance!$C$12:$GP$12=$E300) * (Attendance!$C$13:$GP$13="Paid"), 0)
)</f>
        <v> </v>
      </c>
      <c r="E300" s="42">
        <f t="shared" si="39"/>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40"/>
        <v>¬</v>
      </c>
      <c r="D301" s="61" t="str" cm="1">
        <f t="array" aca="1" ref="D301" ca="1">INDEX(Attendance!$C$14:$GP$44,
       MATCH($F$4, Attendance!$C$14:$C$44, 0),
       MATCH(1, (Attendance!$C$12:$GP$12=$E301) * (Attendance!$C$13:$GP$13="Paid"), 0)
)</f>
        <v> </v>
      </c>
      <c r="E301" s="42">
        <f t="shared" si="39"/>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40"/>
        <v>¬</v>
      </c>
      <c r="D302" s="61" t="str" cm="1">
        <f t="array" aca="1" ref="D302" ca="1">INDEX(Attendance!$C$14:$GP$44,
       MATCH($F$4, Attendance!$C$14:$C$44, 0),
       MATCH(1, (Attendance!$C$12:$GP$12=$E302) * (Attendance!$C$13:$GP$13="Paid"), 0)
)</f>
        <v> </v>
      </c>
      <c r="E302" s="42">
        <f t="shared" si="39"/>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40"/>
        <v>¬</v>
      </c>
      <c r="D303" s="61" t="str" cm="1">
        <f t="array" aca="1" ref="D303" ca="1">INDEX(Attendance!$C$14:$GP$44,
       MATCH($F$4, Attendance!$C$14:$C$44, 0),
       MATCH(1, (Attendance!$C$12:$GP$12=$E303) * (Attendance!$C$13:$GP$13="Paid"), 0)
)</f>
        <v> </v>
      </c>
      <c r="E303" s="42">
        <f t="shared" si="39"/>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40"/>
        <v>¬</v>
      </c>
      <c r="D304" s="61" t="str" cm="1">
        <f t="array" aca="1" ref="D304" ca="1">INDEX(Attendance!$C$14:$GP$44,
       MATCH($F$4, Attendance!$C$14:$C$44, 0),
       MATCH(1, (Attendance!$C$12:$GP$12=$E304) * (Attendance!$C$13:$GP$13="Paid"), 0)
)</f>
        <v> </v>
      </c>
      <c r="E304" s="42">
        <f t="shared" si="39"/>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40"/>
        <v>¬</v>
      </c>
      <c r="D305" s="61" t="str" cm="1">
        <f t="array" aca="1" ref="D305" ca="1">INDEX(Attendance!$C$14:$GP$44,
       MATCH($F$4, Attendance!$C$14:$C$44, 0),
       MATCH(1, (Attendance!$C$12:$GP$12=$E305) * (Attendance!$C$13:$GP$13="Paid"), 0)
)</f>
        <v> </v>
      </c>
      <c r="E305" s="42">
        <f t="shared" si="39"/>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40"/>
        <v>¬</v>
      </c>
      <c r="D306" s="61" t="str" cm="1">
        <f t="array" aca="1" ref="D306" ca="1">INDEX(Attendance!$C$14:$GP$44,
       MATCH($F$4, Attendance!$C$14:$C$44, 0),
       MATCH(1, (Attendance!$C$12:$GP$12=$E306) * (Attendance!$C$13:$GP$13="Paid"), 0)
)</f>
        <v> </v>
      </c>
      <c r="E306" s="42">
        <f t="shared" si="39"/>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40"/>
        <v>¬</v>
      </c>
      <c r="D307" s="61" t="str" cm="1">
        <f t="array" aca="1" ref="D307" ca="1">INDEX(Attendance!$C$14:$GP$44,
       MATCH($F$4, Attendance!$C$14:$C$44, 0),
       MATCH(1, (Attendance!$C$12:$GP$12=$E307) * (Attendance!$C$13:$GP$13="Paid"), 0)
)</f>
        <v> </v>
      </c>
      <c r="E307" s="42">
        <f t="shared" si="39"/>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40"/>
        <v>¬</v>
      </c>
      <c r="D308" s="61" t="str" cm="1">
        <f t="array" aca="1" ref="D308" ca="1">INDEX(Attendance!$C$14:$GP$44,
       MATCH($F$4, Attendance!$C$14:$C$44, 0),
       MATCH(1, (Attendance!$C$12:$GP$12=$E308) * (Attendance!$C$13:$GP$13="Paid"), 0)
)</f>
        <v> </v>
      </c>
      <c r="E308" s="42">
        <f t="shared" si="39"/>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40"/>
        <v>¬</v>
      </c>
      <c r="D309" s="61" t="str" cm="1">
        <f t="array" aca="1" ref="D309" ca="1">INDEX(Attendance!$C$14:$GP$44,
       MATCH($F$4, Attendance!$C$14:$C$44, 0),
       MATCH(1, (Attendance!$C$12:$GP$12=$E309) * (Attendance!$C$13:$GP$13="Paid"), 0)
)</f>
        <v> </v>
      </c>
      <c r="E309" s="42">
        <f t="shared" si="39"/>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40"/>
        <v>¬</v>
      </c>
      <c r="D310" s="61" t="str" cm="1">
        <f t="array" aca="1" ref="D310" ca="1">INDEX(Attendance!$C$14:$GP$44,
       MATCH($F$4, Attendance!$C$14:$C$44, 0),
       MATCH(1, (Attendance!$C$12:$GP$12=$E310) * (Attendance!$C$13:$GP$13="Paid"), 0)
)</f>
        <v> </v>
      </c>
      <c r="E310" s="42">
        <f t="shared" si="39"/>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40"/>
        <v>¬</v>
      </c>
      <c r="D311" s="61" t="str" cm="1">
        <f t="array" aca="1" ref="D311" ca="1">INDEX(Attendance!$C$14:$GP$44,
       MATCH($F$4, Attendance!$C$14:$C$44, 0),
       MATCH(1, (Attendance!$C$12:$GP$12=$E311) * (Attendance!$C$13:$GP$13="Paid"), 0)
)</f>
        <v> </v>
      </c>
      <c r="E311" s="42">
        <f t="shared" si="39"/>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40"/>
        <v>¬</v>
      </c>
      <c r="D312" s="61" t="str" cm="1">
        <f t="array" aca="1" ref="D312" ca="1">INDEX(Attendance!$C$14:$GP$44,
       MATCH($F$4, Attendance!$C$14:$C$44, 0),
       MATCH(1, (Attendance!$C$12:$GP$12=$E312) * (Attendance!$C$13:$GP$13="Paid"), 0)
)</f>
        <v> </v>
      </c>
      <c r="E312" s="42">
        <f t="shared" si="39"/>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40"/>
        <v>¬</v>
      </c>
      <c r="D313" s="61" t="str" cm="1">
        <f t="array" aca="1" ref="D313" ca="1">INDEX(Attendance!$C$14:$GP$44,
       MATCH($F$4, Attendance!$C$14:$C$44, 0),
       MATCH(1, (Attendance!$C$12:$GP$12=$E313) * (Attendance!$C$13:$GP$13="Paid"), 0)
)</f>
        <v> </v>
      </c>
      <c r="E313" s="42">
        <f t="shared" si="39"/>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41">IF(AF44="","¬",AF44)</f>
        <v>Impose Mesmerised Condition. Control with short commands.</v>
      </c>
      <c r="D314" s="61" t="str" cm="1">
        <f t="array" aca="1" ref="D314" ca="1">INDEX(Attendance!$C$14:$GP$44,
       MATCH($F$4, Attendance!$C$14:$C$44, 0),
       MATCH(1, (Attendance!$C$12:$GP$12=$E314) * (Attendance!$C$13:$GP$13="Paid"), 0)
)</f>
        <v> </v>
      </c>
      <c r="E314" s="42">
        <f t="shared" si="39"/>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41"/>
        <v>Blend into surroundings, visible but unnoticeable. Predatory aura fully on or off. Leaving combat: Wits + Composure - Obfuscate to notice; auto Clash of Wills vs Auspex.</v>
      </c>
      <c r="D315" s="61" t="str" cm="1">
        <f t="array" aca="1" ref="D315" ca="1">INDEX(Attendance!$C$14:$GP$44,
       MATCH($F$4, Attendance!$C$14:$C$44, 0),
       MATCH(1, (Attendance!$C$12:$GP$12=$E315) * (Attendance!$C$13:$GP$13="Paid"), 0)
)</f>
        <v> </v>
      </c>
      <c r="E315" s="42">
        <f t="shared" si="39"/>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41"/>
        <v>Cast Face in the Crowd on object or person. Free and unlimited duration on carried/worn objects if not drawing attention.</v>
      </c>
      <c r="D316" s="61" t="str" cm="1">
        <f t="array" aca="1" ref="D316" ca="1">INDEX(Attendance!$C$14:$GP$44,
       MATCH($F$4, Attendance!$C$14:$C$44, 0),
       MATCH(1, (Attendance!$C$12:$GP$12=$E316) * (Attendance!$C$13:$GP$13="Paid"), 0)
)</f>
        <v> </v>
      </c>
      <c r="E316" s="42">
        <f t="shared" si="39"/>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41"/>
        <v>Become invisible. Leaving combat: auto Clash of Wills vs Auspex 2.</v>
      </c>
    </row>
    <row r="318" spans="1:9">
      <c r="A318" s="1" t="s">
        <v>317</v>
      </c>
      <c r="B318" t="str">
        <f t="shared" si="41"/>
        <v>Disguise self or other as a desired person. Free unlimited duration to reskin carried/worn objects, but no equipment bonus without Vitae.</v>
      </c>
    </row>
    <row r="319" spans="1:9">
      <c r="A319" s="1" t="s">
        <v>318</v>
      </c>
      <c r="B319" t="str">
        <f t="shared" si="41"/>
        <v>Downgrade damage and increase Stamina. Improve Armour and Defences. Unnatural Fortitude: add Resilience dots as bonus dice to non-combat Stamina pools.</v>
      </c>
    </row>
    <row r="320" spans="1:9">
      <c r="A320" s="1" t="s">
        <v>319</v>
      </c>
      <c r="B320" t="str">
        <f t="shared" si="41"/>
        <v>Compel a ghost to enter and remain in a govi (container). Released if lid removed or container broken.</v>
      </c>
    </row>
    <row r="321" spans="1:2">
      <c r="A321" s="1" t="s">
        <v>320</v>
      </c>
      <c r="B321" t="str">
        <f t="shared" si="41"/>
        <v>Open any door regardless of locks/security without triggering alarms. Or lock any door until destroyed or Skeleton Key used again. +1 V prevents other Gatekeepers using Skeleton Key on it.</v>
      </c>
    </row>
    <row r="322" spans="1:2">
      <c r="A322" s="1" t="s">
        <v>321</v>
      </c>
      <c r="B322" t="str">
        <f t="shared" si="41"/>
        <v>Draw a door on a wall. It becomes a real door opening to nearest room or empty space (up to 1 mile behind the drawing).</v>
      </c>
    </row>
    <row r="323" spans="1:2">
      <c r="A323" s="1" t="s">
        <v>322</v>
      </c>
      <c r="B323" t="str">
        <f t="shared" si="41"/>
        <v>Kill a Carthian or oathbreaker for Invictus Status 1, Friends in High Places 1, 9-Again on two Skills, and Allies/Contacts/Resources 1. All stripped if broken.</v>
      </c>
    </row>
    <row r="324" spans="1:2">
      <c r="A324" s="1" t="s">
        <v>323</v>
      </c>
      <c r="B324" t="str">
        <f t="shared" si="41"/>
        <v>¬</v>
      </c>
    </row>
    <row r="325" spans="1:2">
      <c r="A325" s="1" t="s">
        <v>324</v>
      </c>
      <c r="B325" t="str">
        <f t="shared" si="41"/>
        <v>¬</v>
      </c>
    </row>
    <row r="326" spans="1:2">
      <c r="A326" s="1" t="s">
        <v>325</v>
      </c>
      <c r="B326" t="str">
        <f t="shared" si="41"/>
        <v>¬</v>
      </c>
    </row>
    <row r="327" spans="1:2">
      <c r="A327" s="1" t="s">
        <v>326</v>
      </c>
      <c r="B327" t="str">
        <f t="shared" si="41"/>
        <v>¬</v>
      </c>
    </row>
    <row r="328" spans="1:2">
      <c r="A328" s="1" t="s">
        <v>327</v>
      </c>
      <c r="B328" t="str">
        <f t="shared" si="41"/>
        <v>¬</v>
      </c>
    </row>
    <row r="329" spans="1:2">
      <c r="A329" s="1" t="s">
        <v>328</v>
      </c>
      <c r="B329" t="str">
        <f t="shared" si="41"/>
        <v>¬</v>
      </c>
    </row>
    <row r="330" spans="1:2">
      <c r="A330" s="1" t="s">
        <v>329</v>
      </c>
      <c r="B330" t="str">
        <f t="shared" si="41"/>
        <v>¬</v>
      </c>
    </row>
    <row r="331" spans="1:2">
      <c r="A331" s="1" t="s">
        <v>330</v>
      </c>
      <c r="B331" t="str">
        <f t="shared" si="41"/>
        <v>¬</v>
      </c>
    </row>
    <row r="332" spans="1:2">
      <c r="A332" s="1" t="s">
        <v>331</v>
      </c>
      <c r="B332" t="str">
        <f t="shared" si="41"/>
        <v>¬</v>
      </c>
    </row>
    <row r="333" spans="1:2">
      <c r="A333" s="1" t="s">
        <v>332</v>
      </c>
      <c r="B333" t="str">
        <f t="shared" si="41"/>
        <v>¬</v>
      </c>
    </row>
    <row r="334" spans="1:2">
      <c r="A334" s="1" t="s">
        <v>333</v>
      </c>
      <c r="B334" t="str">
        <f t="shared" si="41"/>
        <v>¬</v>
      </c>
    </row>
    <row r="335" spans="1:2">
      <c r="A335" s="1" t="s">
        <v>334</v>
      </c>
      <c r="B335" t="str">
        <f t="shared" si="41"/>
        <v>¬</v>
      </c>
    </row>
    <row r="336" spans="1:2">
      <c r="A336" s="1" t="s">
        <v>335</v>
      </c>
      <c r="B336" t="str">
        <f t="shared" si="41"/>
        <v>¬</v>
      </c>
    </row>
    <row r="337" spans="1:2">
      <c r="A337" s="1" t="s">
        <v>336</v>
      </c>
      <c r="B337" t="str">
        <f t="shared" si="41"/>
        <v>¬</v>
      </c>
    </row>
    <row r="338" spans="1:2">
      <c r="A338" s="1" t="s">
        <v>337</v>
      </c>
      <c r="B338" t="str">
        <f t="shared" si="41"/>
        <v>¬</v>
      </c>
    </row>
    <row r="339" spans="1:2">
      <c r="A339" s="1" t="s">
        <v>338</v>
      </c>
      <c r="B339" t="str">
        <f t="shared" si="41"/>
        <v>¬</v>
      </c>
    </row>
    <row r="340" spans="1:2">
      <c r="A340" s="1" t="s">
        <v>339</v>
      </c>
      <c r="B340" t="str">
        <f t="shared" si="41"/>
        <v>¬</v>
      </c>
    </row>
    <row r="341" spans="1:2">
      <c r="A341" s="1" t="s">
        <v>340</v>
      </c>
      <c r="B341" t="str">
        <f t="shared" si="41"/>
        <v>¬</v>
      </c>
    </row>
    <row r="342" spans="1:2">
      <c r="A342" s="1" t="s">
        <v>341</v>
      </c>
      <c r="B342" t="str">
        <f t="shared" si="41"/>
        <v>¬</v>
      </c>
    </row>
    <row r="343" spans="1:2">
      <c r="A343" s="1" t="s">
        <v>342</v>
      </c>
      <c r="B343" t="str">
        <f t="shared" si="41"/>
        <v>¬</v>
      </c>
    </row>
    <row r="344" spans="1:2">
      <c r="A344" s="1" t="s">
        <v>343</v>
      </c>
      <c r="B344" s="8" t="str">
        <f>IF(VLOOKUP(tblCharDataReneSt[[#This Row],[Field]],$E$2:$F$361,2,FALSE)="","¬",VLOOKUP(tblCharDataReneSt[[#This Row],[Field]],$E$2:$F$361,2,FALSE))</f>
        <v>Aloof Curse</v>
      </c>
    </row>
    <row r="345" spans="1:2">
      <c r="A345" s="1" t="s">
        <v>344</v>
      </c>
      <c r="B345" s="8" t="str">
        <f>IF(VLOOKUP(tblCharDataReneSt[[#This Row],[Field]],$E$2:$F$361,2,FALSE)="","¬",VLOOKUP(tblCharDataReneSt[[#This Row],[Field]],$E$2:$F$361,2,FALSE))</f>
        <v>¬</v>
      </c>
    </row>
    <row r="346" spans="1:2">
      <c r="A346" s="1" t="s">
        <v>345</v>
      </c>
      <c r="B346" s="8" t="str">
        <f>IF(VLOOKUP(tblCharDataReneSt[[#This Row],[Field]],$E$2:$F$361,2,FALSE)="","¬",VLOOKUP(tblCharDataReneSt[[#This Row],[Field]],$E$2:$F$361,2,FALSE))</f>
        <v>¬</v>
      </c>
    </row>
    <row r="347" spans="1:2">
      <c r="A347" s="1" t="s">
        <v>346</v>
      </c>
      <c r="B347" s="8" t="str">
        <f>IF(VLOOKUP(tblCharDataReneSt[[#This Row],[Field]],$E$2:$F$361,2,FALSE)="","¬",VLOOKUP(tblCharDataReneSt[[#This Row],[Field]],$E$2:$F$361,2,FALSE))</f>
        <v>¬</v>
      </c>
    </row>
    <row r="348" spans="1:2">
      <c r="A348" s="1" t="s">
        <v>347</v>
      </c>
      <c r="B348" s="8" t="str">
        <f>IF(VLOOKUP(tblCharDataReneSt[[#This Row],[Field]],$E$2:$F$361,2,FALSE)="","¬",VLOOKUP(tblCharDataReneSt[[#This Row],[Field]],$E$2:$F$361,2,FALSE))</f>
        <v>¬</v>
      </c>
    </row>
    <row r="349" spans="1:2">
      <c r="A349" s="1" t="s">
        <v>348</v>
      </c>
      <c r="B349" t="str">
        <f>_xlfn.IFNA(VLOOKUP(B344,$F$234:$I$238,3,FALSE),"")</f>
        <v>First Touchstone attaches to Humanity 7; losing it detaches on first Humanity loss. Breaking points always treated as one step lower.</v>
      </c>
    </row>
    <row r="350" spans="1:2">
      <c r="A350" s="1" t="s">
        <v>349</v>
      </c>
      <c r="B350" t="str">
        <f>_xlfn.IFNA(VLOOKUP(B345,$F$234:$I$238,3,FALSE),"¬")</f>
        <v>¬</v>
      </c>
    </row>
    <row r="351" spans="1:2">
      <c r="A351" s="1" t="s">
        <v>350</v>
      </c>
      <c r="B351" t="str">
        <f>_xlfn.IFNA(VLOOKUP(B346,$F$234:$I$238,3,FALSE),"")</f>
        <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10</v>
      </c>
    </row>
    <row r="356" spans="1:2">
      <c r="A356" s="1" t="s">
        <v>355</v>
      </c>
      <c r="B356">
        <f ca="1">P220</f>
        <v>3</v>
      </c>
    </row>
    <row r="357" spans="1:2">
      <c r="A357" s="1" t="s">
        <v>356</v>
      </c>
      <c r="B357" t="str">
        <f>IF(F10="","¬",VLOOKUP(F10,tblAnchors[],2,FALSE))</f>
        <v>Put yourself out for another's pleasure.</v>
      </c>
    </row>
    <row r="358" spans="1:2">
      <c r="A358" s="1" t="s">
        <v>357</v>
      </c>
      <c r="B358" t="str">
        <f>IF(F10="","¬",VLOOKUP(F10,tblAnchors[],3,FALSE))</f>
        <v>Be the last one dancing when the party is on fire.</v>
      </c>
    </row>
    <row r="359" spans="1:2">
      <c r="A359" s="1" t="s">
        <v>358</v>
      </c>
      <c r="B359" t="str">
        <f>IF(F11="","¬",VLOOKUP(F11,tblAnchors[],2,FALSE))</f>
        <v>Commit a crime against your recognised society.</v>
      </c>
    </row>
    <row r="360" spans="1:2">
      <c r="A360" s="1" t="s">
        <v>359</v>
      </c>
      <c r="B360" t="str">
        <f>IF(F11="","¬",VLOOKUP(F11,tblAnchors[],3,FALSE))</f>
        <v>Commit a high crime in plain view of an authority.</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
      </c>
    </row>
    <row r="365" spans="1:2">
      <c r="A365" s="1" t="s">
        <v>364</v>
      </c>
      <c r="B365" t="str">
        <f>_xlfn.LET(_xlpm.a,IF(F244="","",F244),_xlpm.b,IF(F245="","",F245),IF(AND(_xlpm.a&lt;&gt;"",_xlpm.b&lt;&gt;""),_xlpm.a&amp;", "&amp;_xlpm.b,IF(_xlpm.a&lt;&gt;"",_xlpm.a,IF(_xlpm.b&lt;&gt;"",_xlpm.b,""))))</f>
        <v/>
      </c>
    </row>
  </sheetData>
  <dataConsolidate/>
  <mergeCells count="89">
    <mergeCell ref="F240:I240"/>
    <mergeCell ref="F241:I241"/>
    <mergeCell ref="F242:I242"/>
    <mergeCell ref="F244:I244"/>
    <mergeCell ref="F245:I245"/>
    <mergeCell ref="H238:I238"/>
    <mergeCell ref="H208:I208"/>
    <mergeCell ref="H209:I209"/>
    <mergeCell ref="H210:I210"/>
    <mergeCell ref="H211:I211"/>
    <mergeCell ref="H212:I212"/>
    <mergeCell ref="H213:I213"/>
    <mergeCell ref="H214:I214"/>
    <mergeCell ref="H215:I215"/>
    <mergeCell ref="H234:I234"/>
    <mergeCell ref="H236:I236"/>
    <mergeCell ref="H237:I237"/>
    <mergeCell ref="H207:I207"/>
    <mergeCell ref="H153:I153"/>
    <mergeCell ref="H154:I154"/>
    <mergeCell ref="H155:I155"/>
    <mergeCell ref="H156:I156"/>
    <mergeCell ref="H157:I157"/>
    <mergeCell ref="H177:I177"/>
    <mergeCell ref="H178:I178"/>
    <mergeCell ref="H179:I179"/>
    <mergeCell ref="H180:I180"/>
    <mergeCell ref="H181:I181"/>
    <mergeCell ref="H206:I206"/>
    <mergeCell ref="H152:I152"/>
    <mergeCell ref="H141:I141"/>
    <mergeCell ref="H142:I142"/>
    <mergeCell ref="H143:I143"/>
    <mergeCell ref="H144:I144"/>
    <mergeCell ref="H145:I145"/>
    <mergeCell ref="H146:I146"/>
    <mergeCell ref="H147:I147"/>
    <mergeCell ref="H148:I148"/>
    <mergeCell ref="H149:I149"/>
    <mergeCell ref="H150:I150"/>
    <mergeCell ref="H151:I151"/>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11:I111"/>
    <mergeCell ref="H98:I98"/>
    <mergeCell ref="H101:I101"/>
    <mergeCell ref="H102:I102"/>
    <mergeCell ref="H103:I103"/>
    <mergeCell ref="H104:I104"/>
    <mergeCell ref="H105:I105"/>
    <mergeCell ref="H106:I106"/>
    <mergeCell ref="H107:I107"/>
    <mergeCell ref="H108:I108"/>
    <mergeCell ref="H109:I109"/>
    <mergeCell ref="H110:I110"/>
    <mergeCell ref="H97:I97"/>
    <mergeCell ref="H86:I86"/>
    <mergeCell ref="H87:I87"/>
    <mergeCell ref="H88:I88"/>
    <mergeCell ref="H89:I89"/>
    <mergeCell ref="H90:I90"/>
    <mergeCell ref="H91:I91"/>
    <mergeCell ref="H92:I92"/>
    <mergeCell ref="H93:I93"/>
    <mergeCell ref="H94:I94"/>
    <mergeCell ref="H95:I95"/>
    <mergeCell ref="H96:I96"/>
    <mergeCell ref="H85:I85"/>
    <mergeCell ref="O8:P8"/>
    <mergeCell ref="O9:P9"/>
    <mergeCell ref="O10:P10"/>
    <mergeCell ref="O11:P11"/>
    <mergeCell ref="O12:P12"/>
    <mergeCell ref="H79:I79"/>
    <mergeCell ref="H80:I80"/>
    <mergeCell ref="H81:I81"/>
    <mergeCell ref="H82:I82"/>
    <mergeCell ref="H83:I83"/>
    <mergeCell ref="H84:I84"/>
  </mergeCells>
  <dataValidations count="15">
    <dataValidation type="list" allowBlank="1" showInputMessage="1" showErrorMessage="1" sqref="G248:G277" xr:uid="{A8220E27-50C0-4825-8655-64EFAB0281CE}">
      <formula1>$I$248:$I$249</formula1>
    </dataValidation>
    <dataValidation type="list" allowBlank="1" showInputMessage="1" showErrorMessage="1" sqref="F79:F98" xr:uid="{03688C77-828F-4139-9153-4E970B495836}">
      <formula1>lstMerits</formula1>
    </dataValidation>
    <dataValidation type="list" allowBlank="1" showInputMessage="1" showErrorMessage="1" sqref="F236:F238" xr:uid="{51EC7136-5FD6-4330-95B3-72BE3D0BB3D3}">
      <formula1>lstBanes</formula1>
    </dataValidation>
    <dataValidation type="list" allowBlank="1" showInputMessage="1" showErrorMessage="1" sqref="F206:F215" xr:uid="{F6840879-F3CF-42C5-AB9D-97ECE70E45EC}">
      <formula1>lstPacts</formula1>
    </dataValidation>
    <dataValidation type="list" allowBlank="1" showInputMessage="1" showErrorMessage="1" sqref="G12" xr:uid="{AAFCCCA2-8ACA-4F2E-9EED-E8FFEB700CF6}">
      <formula1>lstStatus</formula1>
    </dataValidation>
    <dataValidation type="list" allowBlank="1" showInputMessage="1" showErrorMessage="1" sqref="F194:F205 F207:F215" xr:uid="{E5F6A662-46AC-4C54-BE32-8CD2B1FD6DD3}">
      <formula1>lstRites</formula1>
    </dataValidation>
    <dataValidation type="list" allowBlank="1" showInputMessage="1" showErrorMessage="1" sqref="F177:F181" xr:uid="{7DC3AA93-F356-4D5D-9080-4D4AA27E7EC1}">
      <formula1>lstDevotions</formula1>
    </dataValidation>
    <dataValidation type="list" allowBlank="1" showInputMessage="1" showErrorMessage="1" sqref="F17:F21" xr:uid="{06C2E8F6-D92E-4C81-B94C-55C5617572A3}">
      <formula1>"TRUE,FALSE"</formula1>
    </dataValidation>
    <dataValidation type="list" allowBlank="1" showInputMessage="1" showErrorMessage="1" sqref="F24" xr:uid="{A2B1497F-C98B-4B21-B84A-0245B5076EB9}">
      <formula1>$D$7:$D$8</formula1>
    </dataValidation>
    <dataValidation type="list" allowBlank="1" showInputMessage="1" showErrorMessage="1" sqref="I25 I30 I35 I41 I51 I61" xr:uid="{817DA795-2000-4BCC-8471-3BAC301E03EA}">
      <formula1>lstPriority</formula1>
    </dataValidation>
    <dataValidation type="list" allowBlank="1" showInputMessage="1" showErrorMessage="1" sqref="F10:F11" xr:uid="{7AF8B932-2620-40FD-88B2-3937B81986B4}">
      <formula1>lstNature</formula1>
    </dataValidation>
    <dataValidation type="list" allowBlank="1" showInputMessage="1" showErrorMessage="1" sqref="F8" xr:uid="{73DA95EB-E38C-48C9-9281-23BA85C33E61}">
      <formula1>lstBloodlines</formula1>
    </dataValidation>
    <dataValidation type="list" allowBlank="1" showInputMessage="1" showErrorMessage="1" sqref="F9" xr:uid="{A1FB2F7E-CB2F-4F31-ABF7-BAC86A953C26}">
      <formula1>lstCovenant</formula1>
    </dataValidation>
    <dataValidation type="list" allowBlank="1" showInputMessage="1" showErrorMessage="1" sqref="F7" xr:uid="{34D0D6E1-60E6-4A9A-BEE2-3187D64C833D}">
      <formula1>lstClan</formula1>
    </dataValidation>
    <dataValidation type="list" allowBlank="1" showInputMessage="1" showErrorMessage="1" sqref="G13" xr:uid="{2A7C0BCB-C965-4FAE-A65C-2B4CF60C7E81}">
      <formula1>INDIRECT("tblEffectiveStatus[Position]")</formula1>
    </dataValidation>
  </dataValidation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BE0C2-7B86-4794-A40D-898C5A668919}">
  <dimension ref="A1:AK365"/>
  <sheetViews>
    <sheetView zoomScale="70" zoomScaleNormal="70" workbookViewId="0">
      <pane ySplit="1" topLeftCell="A73" activePane="bottomLeft" state="frozen"/>
      <selection pane="bottomLeft" activeCell="M81" sqref="M81"/>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Atrocious</v>
      </c>
      <c r="AC2" s="60" t="str" cm="1">
        <f t="array" ref="AC2:AC7">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Atrocious</v>
      </c>
      <c r="AD2" s="20" t="str">
        <f>IF(AC2="","¬",_xlfn.LET(_xlpm.base,IFERROR(LEFT(AC2,FIND(" (",AC2)-1),AC2),IFERROR(VLOOKUP(_xlpm.base,tblManoeuvre[],2,FALSE) &amp; " " &amp; REPT("●",VLOOKUP(_xlpm.base,tblManoeuvre[],3,FALSE)) &amp; " | " &amp; AC2,AC2 &amp; " " &amp; REPT("●",VLOOKUP(_xlpm.base,$F$79:$P$120,11,FALSE)))))</f>
        <v>Atrocious ●</v>
      </c>
      <c r="AE2" s="20"/>
      <c r="AF2" s="20" t="str">
        <f>IF(LEN(AC2)=0,"¬",_xlfn.LET(_xlpm.base,IFERROR(LEFT(AC2,FIND(" (",AC2)-1),AC2),IFERROR(VLOOKUP(_xlpm.base,tblMerits[],5,FALSE),IFERROR(VLOOKUP(_xlpm.base,tblManoeuvre[],9,FALSE),"¬"))))</f>
        <v>Take 8-Again to evoke the monstrous Beast, but lose 10-Again to evoke or resist the seductive or competitive Beast.</v>
      </c>
      <c r="AI2" s="15" t="s">
        <v>25</v>
      </c>
      <c r="AJ2" s="61">
        <f t="shared" ref="AJ2:AJ58" si="1">VLOOKUP(AI2,$E$3:$P$221,12,FALSE)</f>
        <v>0</v>
      </c>
      <c r="AK2" s="61">
        <f>IF(AJ2=0,IF(COUNTIF($E$42:$E$49,AI2)&gt;0,-3,-1),AJ2)</f>
        <v>-3</v>
      </c>
    </row>
    <row r="3" spans="1:37">
      <c r="A3" s="1" t="s">
        <v>2</v>
      </c>
      <c r="B3">
        <f ca="1">N3</f>
        <v>0</v>
      </c>
      <c r="D3" s="19"/>
      <c r="E3" s="15" t="s">
        <v>4</v>
      </c>
      <c r="F3" s="3" t="s">
        <v>1305</v>
      </c>
      <c r="G3" s="18"/>
      <c r="H3" s="18"/>
      <c r="I3" s="18" t="s">
        <v>1425</v>
      </c>
      <c r="N3" s="60">
        <f ca="1">10+SUM(N4:N6)-SUM(N7)</f>
        <v>0</v>
      </c>
      <c r="Y3" s="15" t="s">
        <v>115</v>
      </c>
      <c r="Z3" s="19"/>
      <c r="AA3" s="61" t="str">
        <f t="shared" si="0"/>
        <v>Indomitable</v>
      </c>
      <c r="AC3" s="60" t="str">
        <v>Claws of the Unholy</v>
      </c>
      <c r="AD3" s="20" t="str">
        <f>IF(AC3="","¬",_xlfn.LET(_xlpm.base,IFERROR(LEFT(AC3,FIND(" (",AC3)-1),AC3),IFERROR(VLOOKUP(_xlpm.base,tblManoeuvre[],2,FALSE) &amp; " " &amp; REPT("●",VLOOKUP(_xlpm.base,tblManoeuvre[],3,FALSE)) &amp; " | " &amp; AC3,AC3 &amp; " " &amp; REPT("●",VLOOKUP(_xlpm.base,$F$79:$P$120,11,FALSE)))))</f>
        <v>Claws of the Unholy ●</v>
      </c>
      <c r="AE3" s="20"/>
      <c r="AF3" s="20" t="str">
        <f>IF(LEN(AC3)=0,"¬",_xlfn.LET(_xlpm.base,IFERROR(LEFT(AC3,FIND(" (",AC3)-1),AC3),IFERROR(VLOOKUP(_xlpm.base,tblMerits[],5,FALSE),IFERROR(VLOOKUP(_xlpm.base,tblManoeuvre[],9,FALSE),"¬"))))</f>
        <v>Unnatural Aspect claws in frenzy become +2A.</v>
      </c>
      <c r="AI3" s="15" t="s">
        <v>41</v>
      </c>
      <c r="AJ3" s="61">
        <f t="shared" si="1"/>
        <v>0</v>
      </c>
      <c r="AK3" s="61">
        <f>IF(AJ3=0,IF(COUNTIF($E$42:$E$49,AI3)&gt;0,-3,-1),AJ3)</f>
        <v>-1</v>
      </c>
    </row>
    <row r="4" spans="1:37">
      <c r="A4" s="1" t="s">
        <v>3</v>
      </c>
      <c r="B4">
        <f ca="1">SUM(N3:N9)</f>
        <v>40</v>
      </c>
      <c r="D4" s="19"/>
      <c r="E4" s="15" t="s">
        <v>5</v>
      </c>
      <c r="F4" s="3" t="s">
        <v>1306</v>
      </c>
      <c r="G4" s="18"/>
      <c r="H4" s="18"/>
      <c r="I4" s="18" t="s">
        <v>1426</v>
      </c>
      <c r="N4" s="61">
        <f>K73*2</f>
        <v>0</v>
      </c>
      <c r="Y4" s="15" t="s">
        <v>116</v>
      </c>
      <c r="Z4" s="19"/>
      <c r="AA4" s="61" t="str">
        <f t="shared" si="0"/>
        <v>Claws of the Unholy</v>
      </c>
      <c r="AC4" s="60" t="str">
        <v>Indomitable</v>
      </c>
      <c r="AD4" s="20" t="str">
        <f>IF(AC4="","¬",_xlfn.LET(_xlpm.base,IFERROR(LEFT(AC4,FIND(" (",AC4)-1),AC4),IFERROR(VLOOKUP(_xlpm.base,tblManoeuvre[],2,FALSE) &amp; " " &amp; REPT("●",VLOOKUP(_xlpm.base,tblManoeuvre[],3,FALSE)) &amp; " | " &amp; AC4,AC4 &amp; " " &amp; REPT("●",VLOOKUP(_xlpm.base,$F$79:$P$120,11,FALSE)))))</f>
        <v>Indomitable ●●</v>
      </c>
      <c r="AE4" s="20"/>
      <c r="AF4" s="20" t="str">
        <f>IF(LEN(AC4)=0,"¬",_xlfn.LET(_xlpm.base,IFERROR(LEFT(AC4,FIND(" (",AC4)-1),AC4),IFERROR(VLOOKUP(_xlpm.base,tblMerits[],5,FALSE),IFERROR(VLOOKUP(_xlpm.base,tblManoeuvre[],9,FALSE),"¬"))))</f>
        <v>+2 to contest or resist supernatural mental influence.</v>
      </c>
      <c r="AI4" s="15" t="s">
        <v>236</v>
      </c>
      <c r="AJ4" s="61">
        <f t="shared" si="1"/>
        <v>0</v>
      </c>
      <c r="AK4" s="61">
        <f>AJ4</f>
        <v>0</v>
      </c>
    </row>
    <row r="5" spans="1:37">
      <c r="A5" s="1" t="s">
        <v>4</v>
      </c>
      <c r="B5" t="str">
        <f>IF(VLOOKUP(tblCharDataRyan[[#This Row],[Field]],$E$2:$F$362,2,FALSE)="","¬",VLOOKUP(tblCharDataRyan[[#This Row],[Field]],$E$2:$F$362,2,FALSE))</f>
        <v>Patrick T</v>
      </c>
      <c r="D5" s="19"/>
      <c r="E5" s="15" t="s">
        <v>6</v>
      </c>
      <c r="F5" s="3" t="s">
        <v>1307</v>
      </c>
      <c r="G5" s="18"/>
      <c r="H5" s="18"/>
      <c r="I5" s="18" t="s">
        <v>1427</v>
      </c>
      <c r="N5" s="61">
        <f>N16</f>
        <v>12</v>
      </c>
      <c r="Y5" s="15" t="s">
        <v>117</v>
      </c>
      <c r="Z5" s="19"/>
      <c r="AA5" s="61" t="str">
        <f t="shared" si="0"/>
        <v/>
      </c>
      <c r="AC5" s="60" t="str">
        <v>Ravage</v>
      </c>
      <c r="AD5" s="20" t="str">
        <f>IF(AC5="","¬",_xlfn.LET(_xlpm.base,IFERROR(LEFT(AC5,FIND(" (",AC5)-1),AC5),IFERROR(VLOOKUP(_xlpm.base,tblManoeuvre[],2,FALSE) &amp; " " &amp; REPT("●",VLOOKUP(_xlpm.base,tblManoeuvre[],3,FALSE)) &amp; " | " &amp; AC5,AC5 &amp; " " &amp; REPT("●",VLOOKUP(_xlpm.base,$F$79:$P$120,11,FALSE)))))</f>
        <v>Riding the Wave ● | Ravage</v>
      </c>
      <c r="AE5" s="20"/>
      <c r="AF5" s="20" t="str">
        <f>IF(LEN(AC5)=0,"¬",_xlfn.LET(_xlpm.base,IFERROR(LEFT(AC5,FIND(" (",AC5)-1),AC5),IFERROR(VLOOKUP(_xlpm.base,tblMerits[],5,FALSE),IFERROR(VLOOKUP(_xlpm.base,tblManoeuvre[],9,FALSE),"¬"))))</f>
        <v>Bite attacks take a 1L weapon rating.</v>
      </c>
      <c r="AI5" s="15" t="s">
        <v>33</v>
      </c>
      <c r="AJ5" s="61">
        <f t="shared" si="1"/>
        <v>3</v>
      </c>
      <c r="AK5" s="61">
        <f>IF(AJ5=0,IF(COUNTIF($E$42:$E$49,AI5)&gt;0,-3,-1),AJ5)</f>
        <v>3</v>
      </c>
    </row>
    <row r="6" spans="1:37">
      <c r="A6" s="1" t="s">
        <v>5</v>
      </c>
      <c r="B6" t="str">
        <f>IF(VLOOKUP(tblCharDataRyan[[#This Row],[Field]],$E$2:$F$362,2,FALSE)="","¬",VLOOKUP(tblCharDataRyan[[#This Row],[Field]],$E$2:$F$362,2,FALSE))</f>
        <v>Ryan Ambrose</v>
      </c>
      <c r="D6" s="19"/>
      <c r="E6" s="15" t="s">
        <v>7</v>
      </c>
      <c r="F6" s="3"/>
      <c r="G6" s="18"/>
      <c r="H6" s="18"/>
      <c r="I6" s="18" t="s">
        <v>1347</v>
      </c>
      <c r="N6" s="61">
        <f ca="1">N279</f>
        <v>0</v>
      </c>
      <c r="Y6" s="15" t="s">
        <v>118</v>
      </c>
      <c r="Z6" s="19"/>
      <c r="AA6" s="61" t="str">
        <f t="shared" si="0"/>
        <v/>
      </c>
      <c r="AC6" s="60" t="str">
        <v>Primal Strength</v>
      </c>
      <c r="AD6" s="20" t="str">
        <f>IF(AC6="","¬",_xlfn.LET(_xlpm.base,IFERROR(LEFT(AC6,FIND(" (",AC6)-1),AC6),IFERROR(VLOOKUP(_xlpm.base,tblManoeuvre[],2,FALSE) &amp; " " &amp; REPT("●",VLOOKUP(_xlpm.base,tblManoeuvre[],3,FALSE)) &amp; " | " &amp; AC6,AC6 &amp; " " &amp; REPT("●",VLOOKUP(_xlpm.base,$F$79:$P$120,11,FALSE)))))</f>
        <v>Riding the Wave ●● | Primal Strength</v>
      </c>
      <c r="AE6" s="20"/>
      <c r="AF6" s="20" t="str">
        <f>IF(LEN(AC6)=0,"¬",_xlfn.LET(_xlpm.base,IFERROR(LEFT(AC6,FIND(" (",AC6)-1),AC6),IFERROR(VLOOKUP(_xlpm.base,tblMerits[],5,FALSE),IFERROR(VLOOKUP(_xlpm.base,tblManoeuvre[],9,FALSE),"¬"))))</f>
        <v>Double your Strength bonus from frenzy when lifting, jumping, or destroying objects.</v>
      </c>
      <c r="AI6" s="15" t="s">
        <v>237</v>
      </c>
      <c r="AJ6" s="61">
        <f t="shared" si="1"/>
        <v>0</v>
      </c>
      <c r="AK6" s="61">
        <f>AJ6</f>
        <v>0</v>
      </c>
    </row>
    <row r="7" spans="1:37">
      <c r="A7" s="1" t="s">
        <v>6</v>
      </c>
      <c r="B7" t="str">
        <f>IF(VLOOKUP(tblCharDataRyan[[#This Row],[Field]],$E$2:$F$362,2,FALSE)="","¬",VLOOKUP(tblCharDataRyan[[#This Row],[Field]],$E$2:$F$362,2,FALSE))</f>
        <v>Ruthless Rising Star</v>
      </c>
      <c r="D7" s="19" t="str">
        <f>VLOOKUP(F7,tblClans[],3,FALSE)</f>
        <v>Stamina</v>
      </c>
      <c r="E7" s="15" t="s">
        <v>8</v>
      </c>
      <c r="F7" s="3" t="s">
        <v>491</v>
      </c>
      <c r="G7" s="18"/>
      <c r="H7" s="18"/>
      <c r="I7" s="18"/>
      <c r="N7" s="60">
        <f>SUM(N8:N12)</f>
        <v>22</v>
      </c>
      <c r="Y7" s="15" t="s">
        <v>119</v>
      </c>
      <c r="Z7" s="19"/>
      <c r="AA7" s="61" t="str">
        <f t="shared" si="0"/>
        <v/>
      </c>
      <c r="AC7" s="60" t="str">
        <v>In the Zone</v>
      </c>
      <c r="AD7" s="20" t="str">
        <f>IF(AC7="","¬",_xlfn.LET(_xlpm.base,IFERROR(LEFT(AC7,FIND(" (",AC7)-1),AC7),IFERROR(VLOOKUP(_xlpm.base,tblManoeuvre[],2,FALSE) &amp; " " &amp; REPT("●",VLOOKUP(_xlpm.base,tblManoeuvre[],3,FALSE)) &amp; " | " &amp; AC7,AC7 &amp; " " &amp; REPT("●",VLOOKUP(_xlpm.base,$F$79:$P$120,11,FALSE)))))</f>
        <v>Riding the Wave ●●● | In the Zone</v>
      </c>
      <c r="AE7" s="20"/>
      <c r="AF7" s="20" t="str">
        <f>IF(LEN(AC7)=0,"¬",_xlfn.LET(_xlpm.base,IFERROR(LEFT(AC7,FIND(" (",AC7)-1),AC7),IFERROR(VLOOKUP(_xlpm.base,tblMerits[],5,FALSE),IFERROR(VLOOKUP(_xlpm.base,tblManoeuvre[],9,FALSE),"¬"))))</f>
        <v>When you spend Willpower to ride the wave, you also apply the normal +3 action bonus.</v>
      </c>
      <c r="AI7" s="15" t="s">
        <v>49</v>
      </c>
      <c r="AJ7" s="61">
        <f t="shared" si="1"/>
        <v>1</v>
      </c>
      <c r="AK7" s="61">
        <f>AJ7</f>
        <v>1</v>
      </c>
    </row>
    <row r="8" spans="1:37">
      <c r="A8" s="1" t="s">
        <v>7</v>
      </c>
      <c r="B8" t="str">
        <f>IF(VLOOKUP(tblCharDataRyan[[#This Row],[Field]],$E$2:$F$362,2,FALSE)="","¬",LOWER(VLOOKUP(tblCharDataRyan[[#This Row],[Field]],$E$2:$F$362,2,FALSE)))</f>
        <v>¬</v>
      </c>
      <c r="D8" s="19" t="str">
        <f>VLOOKUP(F7,tblClans[],2,FALSE)</f>
        <v>Composure</v>
      </c>
      <c r="E8" s="15" t="s">
        <v>10</v>
      </c>
      <c r="F8" s="3"/>
      <c r="G8" s="61" t="str">
        <f>IFERROR(IF(OR(AND(VLOOKUP(F8,tblBloodlines[],2,FALSE)="",VLOOKUP(F8,tblBloodlines[],3,FALSE)="",VLOOKUP(F8,tblBloodlines[],4,FALSE)=""),AND(VLOOKUP(F8,tblBloodlines[],2,FALSE)="",VLOOKUP(F8,tblBloodlines[],3,FALSE)="",F9=VLOOKUP(F8,tblBloodlines[],4,FALSE)),F7=VLOOKUP(F8,tblBloodlines[],2,FALSE),F7=VLOOKUP(F8,tblBloodlines[],3,FALSE)),TRUE,FALSE),"")</f>
        <v/>
      </c>
      <c r="H8" s="18"/>
      <c r="I8" s="18" t="s">
        <v>1428</v>
      </c>
      <c r="N8" s="61">
        <f>N23</f>
        <v>4</v>
      </c>
      <c r="O8" s="65">
        <f>N8/SUM(N$7:N$12)</f>
        <v>9.0909090909090912E-2</v>
      </c>
      <c r="P8" s="66"/>
      <c r="Y8" s="15" t="s">
        <v>120</v>
      </c>
      <c r="Z8" s="19"/>
      <c r="AA8" s="61" t="str">
        <f t="shared" si="0"/>
        <v/>
      </c>
      <c r="AC8" s="60"/>
      <c r="AD8" s="20" t="str">
        <f>IF(AC8="","¬",_xlfn.LET(_xlpm.base,IFERROR(LEFT(AC8,FIND(" (",AC8)-1),AC8),IFERROR(VLOOKUP(_xlpm.base,tblManoeuvre[],2,FALSE) &amp; " " &amp; REPT("●",VLOOKUP(_xlpm.base,tblManoeuvre[],3,FALSE)) &amp; " | " &amp; AC8,AC8 &amp; " " &amp; REPT("●",VLOOKUP(_xlpm.base,$F$79:$P$120,11,FALSE)))))</f>
        <v>¬</v>
      </c>
      <c r="AE8" s="20"/>
      <c r="AF8" s="20" t="str">
        <f>IF(LEN(AC8)=0,"¬",_xlfn.LET(_xlpm.base,IFERROR(LEFT(AC8,FIND(" (",AC8)-1),AC8),IFERROR(VLOOKUP(_xlpm.base,tblMerits[],5,FALSE),IFERROR(VLOOKUP(_xlpm.base,tblManoeuvre[],9,FALSE),"¬"))))</f>
        <v>¬</v>
      </c>
      <c r="AI8" s="15" t="s">
        <v>34</v>
      </c>
      <c r="AJ8" s="61">
        <f t="shared" si="1"/>
        <v>3</v>
      </c>
      <c r="AK8" s="61">
        <f>IF(AJ8=0,IF(COUNTIF($E$42:$E$49,AI8)&gt;0,-3,-1),AJ8)</f>
        <v>3</v>
      </c>
    </row>
    <row r="9" spans="1:37">
      <c r="A9" s="1" t="s">
        <v>8</v>
      </c>
      <c r="B9" t="str">
        <f>IF(VLOOKUP(tblCharDataRyan[[#This Row],[Field]],$E$2:$F$362,2,FALSE)="","¬",VLOOKUP(tblCharDataRyan[[#This Row],[Field]],$E$2:$F$362,2,FALSE))</f>
        <v>Gangrel</v>
      </c>
      <c r="D9" s="19"/>
      <c r="E9" s="15" t="s">
        <v>11</v>
      </c>
      <c r="F9" s="3" t="s">
        <v>396</v>
      </c>
      <c r="G9" s="18"/>
      <c r="H9" s="18"/>
      <c r="I9" s="18" t="s">
        <v>1429</v>
      </c>
      <c r="N9" s="61">
        <f>N40+T40</f>
        <v>2</v>
      </c>
      <c r="O9" s="65">
        <f>N9/SUM(N$7:N$12)</f>
        <v>4.5454545454545456E-2</v>
      </c>
      <c r="P9" s="66"/>
      <c r="Y9" s="15" t="s">
        <v>121</v>
      </c>
      <c r="Z9" s="19"/>
      <c r="AA9" s="61" t="str">
        <f t="shared" si="0"/>
        <v/>
      </c>
      <c r="AC9" s="60"/>
      <c r="AD9" s="20" t="str">
        <f>IF(AC9="","¬",_xlfn.LET(_xlpm.base,IFERROR(LEFT(AC9,FIND(" (",AC9)-1),AC9),IFERROR(VLOOKUP(_xlpm.base,tblManoeuvre[],2,FALSE) &amp; " " &amp; REPT("●",VLOOKUP(_xlpm.base,tblManoeuvre[],3,FALSE)) &amp; " | " &amp; AC9,AC9 &amp; " " &amp; REPT("●",VLOOKUP(_xlpm.base,$F$79:$P$120,11,FALSE)))))</f>
        <v>¬</v>
      </c>
      <c r="AE9" s="20"/>
      <c r="AF9" s="20" t="str">
        <f>IF(LEN(AC9)=0,"¬",_xlfn.LET(_xlpm.base,IFERROR(LEFT(AC9,FIND(" (",AC9)-1),AC9),IFERROR(VLOOKUP(_xlpm.base,tblMerits[],5,FALSE),IFERROR(VLOOKUP(_xlpm.base,tblManoeuvre[],9,FALSE),"¬"))))</f>
        <v>¬</v>
      </c>
      <c r="AI9" s="15" t="s">
        <v>238</v>
      </c>
      <c r="AJ9" s="61">
        <f t="shared" si="1"/>
        <v>0</v>
      </c>
      <c r="AK9" s="61">
        <f>AJ9</f>
        <v>0</v>
      </c>
    </row>
    <row r="10" spans="1:37">
      <c r="A10" s="1" t="s">
        <v>9</v>
      </c>
      <c r="B10" t="str">
        <f>CONCATENATE(Elements,B9," icon.svg")</f>
        <v>D:\Terra Mortis\Character Sheets\Sheet Elements\Gangrel icon.svg</v>
      </c>
      <c r="D10" s="19"/>
      <c r="E10" s="15" t="s">
        <v>13</v>
      </c>
      <c r="F10" s="3" t="s">
        <v>877</v>
      </c>
      <c r="G10" s="18"/>
      <c r="H10" s="18"/>
      <c r="I10" s="18" t="s">
        <v>1430</v>
      </c>
      <c r="N10" s="61">
        <f>N77</f>
        <v>3</v>
      </c>
      <c r="O10" s="65">
        <f>N10/SUM(N$7:N$12)</f>
        <v>6.8181818181818177E-2</v>
      </c>
      <c r="P10" s="66"/>
      <c r="Y10" s="15" t="s">
        <v>122</v>
      </c>
      <c r="Z10" s="19"/>
      <c r="AA10" s="61" t="str">
        <f t="shared" si="0"/>
        <v/>
      </c>
      <c r="AC10" s="60"/>
      <c r="AD10" s="20" t="str">
        <f>IF(AC10="","¬",_xlfn.LET(_xlpm.base,IFERROR(LEFT(AC10,FIND(" (",AC10)-1),AC10),IFERROR(VLOOKUP(_xlpm.base,tblManoeuvre[],2,FALSE) &amp; " " &amp; REPT("●",VLOOKUP(_xlpm.base,tblManoeuvre[],3,FALSE)) &amp; " | " &amp; AC10,AC10 &amp; " " &amp; REPT("●",VLOOKUP(_xlpm.base,$F$79:$P$120,11,FALSE)))))</f>
        <v>¬</v>
      </c>
      <c r="AE10" s="20"/>
      <c r="AF10" s="20" t="str">
        <f>IF(LEN(AC10)=0,"¬",_xlfn.LET(_xlpm.base,IFERROR(LEFT(AC10,FIND(" (",AC10)-1),AC10),IFERROR(VLOOKUP(_xlpm.base,tblMerits[],5,FALSE),IFERROR(VLOOKUP(_xlpm.base,tblManoeuvre[],9,FALSE),"¬"))))</f>
        <v>¬</v>
      </c>
      <c r="AI10" s="15" t="s">
        <v>24</v>
      </c>
      <c r="AJ10" s="61">
        <f t="shared" si="1"/>
        <v>3</v>
      </c>
      <c r="AK10" s="61">
        <f>AJ10+IFERROR(INDEX($V$26:$V$38,MATCH(AI10,$E$26:$E$38,0)),0)</f>
        <v>3</v>
      </c>
    </row>
    <row r="11" spans="1:37">
      <c r="A11" s="1" t="s">
        <v>10</v>
      </c>
      <c r="B11" t="str">
        <f>IF(VLOOKUP(tblCharDataRyan[[#This Row],[Field]],$E$2:$F$362,2,FALSE)="","¬",VLOOKUP(tblCharDataRyan[[#This Row],[Field]],$E$2:$F$362,2,FALSE))</f>
        <v>¬</v>
      </c>
      <c r="D11" s="19"/>
      <c r="E11" s="15" t="s">
        <v>14</v>
      </c>
      <c r="F11" s="3" t="s">
        <v>375</v>
      </c>
      <c r="G11" s="18"/>
      <c r="H11" s="18"/>
      <c r="I11" s="18" t="s">
        <v>1431</v>
      </c>
      <c r="N11" s="61">
        <f>N163</f>
        <v>13</v>
      </c>
      <c r="O11" s="65">
        <f>N11/SUM(N$7:N$12)</f>
        <v>0.29545454545454547</v>
      </c>
      <c r="P11" s="66"/>
      <c r="Y11" s="15" t="s">
        <v>123</v>
      </c>
      <c r="Z11" s="19"/>
      <c r="AA11" s="61" t="str">
        <f t="shared" si="0"/>
        <v/>
      </c>
      <c r="AC11" s="60"/>
      <c r="AD11" s="20" t="str">
        <f>IF(AC11="","¬",_xlfn.LET(_xlpm.base,IFERROR(LEFT(AC11,FIND(" (",AC11)-1),AC11),IFERROR(VLOOKUP(_xlpm.base,tblManoeuvre[],2,FALSE) &amp; " " &amp; REPT("●",VLOOKUP(_xlpm.base,tblManoeuvre[],3,FALSE)) &amp; " | " &amp; AC11,AC11 &amp; " " &amp; REPT("●",VLOOKUP(_xlpm.base,$F$79:$P$120,11,FALSE)))))</f>
        <v>¬</v>
      </c>
      <c r="AE11" s="20"/>
      <c r="AF11" s="20" t="str">
        <f>IF(LEN(AC11)=0,"¬",_xlfn.LET(_xlpm.base,IFERROR(LEFT(AC11,FIND(" (",AC11)-1),AC11),IFERROR(VLOOKUP(_xlpm.base,tblMerits[],5,FALSE),IFERROR(VLOOKUP(_xlpm.base,tblManoeuvre[],9,FALSE),"¬"))))</f>
        <v>¬</v>
      </c>
      <c r="AI11" s="15" t="s">
        <v>26</v>
      </c>
      <c r="AJ11" s="61">
        <f t="shared" si="1"/>
        <v>2</v>
      </c>
      <c r="AK11" s="61">
        <f>IF(AJ11=0,IF(COUNTIF($E$42:$E$49,AI11)&gt;0,-3,-1),AJ11)</f>
        <v>2</v>
      </c>
    </row>
    <row r="12" spans="1:37">
      <c r="A12" s="1" t="s">
        <v>11</v>
      </c>
      <c r="B12" t="str">
        <f>IF(VLOOKUP(tblCharDataRyan[[#This Row],[Field]],$E$2:$F$362,2,FALSE)="","¬",VLOOKUP(tblCharDataRyan[[#This Row],[Field]],$E$2:$F$362,2,FALSE))</f>
        <v>Invictus</v>
      </c>
      <c r="D12" s="19"/>
      <c r="E12" s="15" t="s">
        <v>15</v>
      </c>
      <c r="F12" s="3"/>
      <c r="G12" s="3"/>
      <c r="H12" s="18"/>
      <c r="I12" s="18" t="s">
        <v>1432</v>
      </c>
      <c r="N12" s="61">
        <f>N71</f>
        <v>0</v>
      </c>
      <c r="O12" s="65">
        <f>N12/SUM(N$7:N$12)</f>
        <v>0</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0</v>
      </c>
      <c r="AK12" s="61">
        <f>IF(AJ12=0,IF(COUNTIF($E$42:$E$49,AI12)&gt;0,-3,-1),AJ12)</f>
        <v>-3</v>
      </c>
    </row>
    <row r="13" spans="1:37">
      <c r="A13" s="1" t="s">
        <v>12</v>
      </c>
      <c r="B13" t="str">
        <f>_xlfn.IFNA(CONCATENATE(Elements,VLOOKUP(B12,tblCovenantShortName[#Data],2,FALSE)," icon.svg"),"")</f>
        <v>D:\Terra Mortis\Character Sheets\Sheet Elements\Invictus icon.svg</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0</v>
      </c>
      <c r="AK13" s="61">
        <f t="shared" ref="AK13:AK19" si="2">AJ13</f>
        <v>0</v>
      </c>
    </row>
    <row r="14" spans="1:37">
      <c r="A14" s="1" t="s">
        <v>13</v>
      </c>
      <c r="B14" t="str">
        <f>IF(VLOOKUP(tblCharDataRyan[[#This Row],[Field]],$E$2:$F$362,2,FALSE)="","¬",VLOOKUP(tblCharDataRyan[[#This Row],[Field]],$E$2:$F$362,2,FALSE))</f>
        <v>Competitor</v>
      </c>
      <c r="D14" s="19"/>
      <c r="E14" s="15" t="s">
        <v>1433</v>
      </c>
      <c r="F14" s="28"/>
      <c r="G14" s="3"/>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0</v>
      </c>
      <c r="AK14" s="61">
        <f t="shared" si="2"/>
        <v>0</v>
      </c>
    </row>
    <row r="15" spans="1:37">
      <c r="A15" s="1" t="s">
        <v>14</v>
      </c>
      <c r="B15" t="str">
        <f>IF(VLOOKUP(tblCharDataRyan[[#This Row],[Field]],$E$2:$F$362,2,FALSE)="","¬",VLOOKUP(tblCharDataRyan[[#This Row],[Field]],$E$2:$F$362,2,FALSE))</f>
        <v>Follower</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5</v>
      </c>
      <c r="AK15" s="61">
        <f t="shared" ca="1" si="2"/>
        <v>5</v>
      </c>
    </row>
    <row r="16" spans="1:37" ht="15.75" thickBot="1">
      <c r="A16" s="1" t="s">
        <v>15</v>
      </c>
      <c r="B16" t="str">
        <f ca="1">_xlfn.LET(_xlpm.a,VLOOKUP(tblCharDataRyan[[#This Row],[Field]],$E$2:$F$362,2,FALSE),_xlpm.b,VLOOKUP(OFFSET(tblCharDataRyan[[#This Row],[Field]],1,0),$E$2:$F$362,2,FALSE),IF(AND(_xlpm.a&lt;&gt;"",_xlpm.b&lt;&gt;""),_xlpm.a&amp;" &amp; "&amp;_xlpm.b,IF(_xlpm.a&lt;&gt;"",_xlpm.a,IF(_xlpm.b&lt;&gt;"",_xlpm.b,"¬"))))</f>
        <v>¬</v>
      </c>
      <c r="D16" s="14" t="s">
        <v>1427</v>
      </c>
      <c r="E16" s="14"/>
      <c r="F16" s="14"/>
      <c r="G16" s="14"/>
      <c r="H16" s="14"/>
      <c r="I16" s="14"/>
      <c r="N16" s="60">
        <f>SUM(N17:N21)</f>
        <v>12</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REPT("●",IFERROR(INDEX($P$26:$P$38,MATCH(tblCharDataRyan[[#This Row],[Field]],$E$26:$E$38,0)),0))&amp;REPT("○",IFERROR(INDEX($V$26:$V$38,MATCH(tblCharDataRyan[[#This Row],[Field]],$E$26:$E$38,0)),0))</f>
        <v>●</v>
      </c>
      <c r="D17" s="19"/>
      <c r="E17" s="15" t="s">
        <v>1435</v>
      </c>
      <c r="F17" s="3" t="b">
        <v>1</v>
      </c>
      <c r="G17" s="19"/>
      <c r="H17" s="19"/>
      <c r="I17" s="19"/>
      <c r="N17" s="61">
        <f>IF(F17=TRUE,3,0)</f>
        <v>3</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2</v>
      </c>
      <c r="AK17" s="61">
        <f>AJ17+IFERROR(INDEX($V$26:$V$38,MATCH(AI17,$E$26:$E$38,0)),0)</f>
        <v>2</v>
      </c>
    </row>
    <row r="18" spans="1:37">
      <c r="A18" s="1" t="s">
        <v>17</v>
      </c>
      <c r="B18" t="str">
        <f>REPT("●",IFERROR(INDEX($P$26:$P$38,MATCH(tblCharDataRyan[[#This Row],[Field]],$E$26:$E$38,0)),0))&amp;REPT("○",IFERROR(INDEX($V$26:$V$38,MATCH(tblCharDataRyan[[#This Row],[Field]],$E$26:$E$38,0)),0))</f>
        <v>●●●</v>
      </c>
      <c r="D18" s="19"/>
      <c r="E18" s="15" t="s">
        <v>1436</v>
      </c>
      <c r="F18" s="3" t="b">
        <v>1</v>
      </c>
      <c r="G18" s="19"/>
      <c r="H18" s="19"/>
      <c r="I18" s="19"/>
      <c r="N18" s="61">
        <f>IF(F18=TRUE,3,0)</f>
        <v>3</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0</v>
      </c>
      <c r="AK18" s="61">
        <f t="shared" si="2"/>
        <v>0</v>
      </c>
    </row>
    <row r="19" spans="1:37">
      <c r="A19" s="1" t="s">
        <v>18</v>
      </c>
      <c r="B19" t="str">
        <f>REPT("●",IFERROR(INDEX($P$26:$P$38,MATCH(tblCharDataRyan[[#This Row],[Field]],$E$26:$E$38,0)),0))&amp;REPT("○",IFERROR(INDEX($V$26:$V$38,MATCH(tblCharDataRyan[[#This Row],[Field]],$E$26:$E$38,0)),0))</f>
        <v>●●●</v>
      </c>
      <c r="D19" s="19"/>
      <c r="E19" s="15" t="s">
        <v>1437</v>
      </c>
      <c r="F19" s="3"/>
      <c r="G19" s="19"/>
      <c r="H19" s="19"/>
      <c r="I19" s="19"/>
      <c r="N19" s="61">
        <f>IF(F19=TRUE,3,0)</f>
        <v>0</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0</v>
      </c>
      <c r="AK19" s="61">
        <f t="shared" si="2"/>
        <v>0</v>
      </c>
    </row>
    <row r="20" spans="1:37">
      <c r="A20" s="1" t="s">
        <v>19</v>
      </c>
      <c r="B20" t="str">
        <f>REPT("●",IFERROR(INDEX($P$26:$P$38,MATCH(tblCharDataRyan[[#This Row],[Field]],$E$26:$E$38,0)),0))&amp;REPT("○",IFERROR(INDEX($V$26:$V$38,MATCH(tblCharDataRyan[[#This Row],[Field]],$E$26:$E$38,0)),0))</f>
        <v>●●●●○○</v>
      </c>
      <c r="D20" s="19"/>
      <c r="E20" s="15" t="s">
        <v>1438</v>
      </c>
      <c r="F20" s="3" t="b">
        <v>1</v>
      </c>
      <c r="G20" s="19"/>
      <c r="H20" s="19"/>
      <c r="I20" s="19"/>
      <c r="N20" s="61">
        <f>IF(F20=TRUE,3,0)</f>
        <v>3</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1</v>
      </c>
      <c r="AK20" s="61">
        <f>IF(AJ20=0,IF(COUNTIF($E$42:$E$49,AI20)&gt;0,-3,-1),AJ20)</f>
        <v>1</v>
      </c>
    </row>
    <row r="21" spans="1:37">
      <c r="A21" s="1" t="s">
        <v>20</v>
      </c>
      <c r="B21" t="str">
        <f>REPT("●",IFERROR(INDEX($P$26:$P$38,MATCH(tblCharDataRyan[[#This Row],[Field]],$E$26:$E$38,0)),0))&amp;REPT("○",IFERROR(INDEX($V$26:$V$38,MATCH(tblCharDataRyan[[#This Row],[Field]],$E$26:$E$38,0)),0))</f>
        <v>●●</v>
      </c>
      <c r="D21" s="19"/>
      <c r="E21" s="15" t="s">
        <v>11</v>
      </c>
      <c r="F21" s="3" t="b">
        <v>1</v>
      </c>
      <c r="G21" s="19"/>
      <c r="H21" s="19"/>
      <c r="I21" s="19"/>
      <c r="N21" s="61">
        <f>IF(F21=TRUE,3,0)</f>
        <v>3</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0</v>
      </c>
      <c r="AK21" s="61">
        <f>IF(AJ21=0,IF(COUNTIF($E$42:$E$49,AI21)&gt;0,-3,-1),AJ21)</f>
        <v>-1</v>
      </c>
    </row>
    <row r="22" spans="1:37">
      <c r="A22" s="1" t="s">
        <v>21</v>
      </c>
      <c r="B22" t="str">
        <f>REPT("●",IFERROR(INDEX($P$26:$P$38,MATCH(tblCharDataRyan[[#This Row],[Field]],$E$26:$E$38,0)),0))&amp;REPT("○",IFERROR(INDEX($V$26:$V$38,MATCH(tblCharDataRyan[[#This Row],[Field]],$E$26:$E$38,0)),0))</f>
        <v>●●○</v>
      </c>
      <c r="Y22" s="15" t="s">
        <v>1439</v>
      </c>
      <c r="Z22" s="61" t="str">
        <f>IFERROR(VLOOKUP(AA22,tblManoeuvre[],2,FALSE),"")</f>
        <v>Riding the Wave</v>
      </c>
      <c r="AA22" s="61" t="str">
        <f t="shared" ref="AA22:AA41" si="3">_xlfn.LET(_xlpm.name,VLOOKUP(Y22,$E$2:$F$362,2,FALSE),_xlpm.paid,_xlfn.IFNA(VLOOKUP(_xlpm.name,$F$79:$Q$120,11,FALSE)&gt;=VLOOKUP(_xlpm.name,$F$79:$Q$120,12,FALSE),FALSE),IF(AND(_xlpm.name&lt;&gt;"",_xlpm.paid),_xlpm.name,""))</f>
        <v>Ravage</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2</v>
      </c>
      <c r="AK22" s="61">
        <f>IF(AJ22=0,IF(COUNTIF($E$42:$E$49,AI22)&gt;0,-3,-1),AJ22)</f>
        <v>2</v>
      </c>
    </row>
    <row r="23" spans="1:37" ht="15.75" thickBot="1">
      <c r="A23" s="1" t="s">
        <v>22</v>
      </c>
      <c r="B23" t="str">
        <f>REPT("●",IFERROR(INDEX($P$26:$P$38,MATCH(tblCharDataRyan[[#This Row],[Field]],$E$26:$E$38,0)),0))&amp;REPT("○",IFERROR(INDEX($V$26:$V$38,MATCH(tblCharDataRyan[[#This Row],[Field]],$E$26:$E$38,0)),0))</f>
        <v>●●●</v>
      </c>
      <c r="D23" s="14" t="s">
        <v>1440</v>
      </c>
      <c r="E23" s="14"/>
      <c r="F23" s="14"/>
      <c r="G23" s="14"/>
      <c r="H23" s="14"/>
      <c r="I23" s="14"/>
      <c r="N23" s="60">
        <f>SUM(N26:N28,N31:N33,N36:N38)</f>
        <v>4</v>
      </c>
      <c r="Y23" s="15" t="s">
        <v>1441</v>
      </c>
      <c r="Z23" s="61" t="str">
        <f>IFERROR(VLOOKUP(AA23,tblManoeuvre[],2,FALSE),"")</f>
        <v>Riding the Wave</v>
      </c>
      <c r="AA23" s="61" t="str">
        <f t="shared" si="3"/>
        <v>Primal Strength</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1</v>
      </c>
      <c r="AK23" s="61">
        <f>IF(AJ23=0,VLOOKUP(AI23,$E$42:$Q$69,13,FALSE),AJ23)</f>
        <v>1</v>
      </c>
    </row>
    <row r="24" spans="1:37">
      <c r="A24" s="1" t="s">
        <v>23</v>
      </c>
      <c r="B24" t="str">
        <f>REPT("●",IFERROR(INDEX($P$26:$P$38,MATCH(tblCharDataRyan[[#This Row],[Field]],$E$26:$E$38,0)),0))&amp;REPT("○",IFERROR(INDEX($V$26:$V$38,MATCH(tblCharDataRyan[[#This Row],[Field]],$E$26:$E$38,0)),0))</f>
        <v>●●</v>
      </c>
      <c r="E24" s="15" t="s">
        <v>1442</v>
      </c>
      <c r="F24" s="3" t="s">
        <v>24</v>
      </c>
      <c r="Y24" s="15" t="s">
        <v>1443</v>
      </c>
      <c r="Z24" s="61" t="str">
        <f>IFERROR(VLOOKUP(AA24,tblManoeuvre[],2,FALSE),"")</f>
        <v>Riding the Wave</v>
      </c>
      <c r="AA24" s="61" t="str">
        <f t="shared" si="3"/>
        <v>In the Zone</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8</v>
      </c>
      <c r="AK24" s="61">
        <f ca="1">AJ24</f>
        <v>8</v>
      </c>
    </row>
    <row r="25" spans="1:37">
      <c r="A25" s="1" t="s">
        <v>24</v>
      </c>
      <c r="B25" t="str">
        <f>REPT("●",IFERROR(INDEX($P$26:$P$38,MATCH(tblCharDataRyan[[#This Row],[Field]],$E$26:$E$38,0)),0))&amp;REPT("○",IFERROR(INDEX($V$26:$V$38,MATCH(tblCharDataRyan[[#This Row],[Field]],$E$26:$E$38,0)),0))</f>
        <v>●●●</v>
      </c>
      <c r="D25" s="16" t="s">
        <v>1444</v>
      </c>
      <c r="E25" s="17"/>
      <c r="F25" s="17"/>
      <c r="G25" s="17" t="s">
        <v>1445</v>
      </c>
      <c r="H25" s="16" t="s">
        <v>1446</v>
      </c>
      <c r="I25" s="3" t="s">
        <v>1566</v>
      </c>
      <c r="L25" s="60">
        <f>IF(I25="",0,VLOOKUP(I25,tblPriority[#Data],2,FALSE))-SUM(L26:L28)</f>
        <v>0</v>
      </c>
      <c r="Y25" s="15" t="s">
        <v>1447</v>
      </c>
      <c r="Z25" s="61" t="str">
        <f>IFERROR(VLOOKUP(AA25,tblManoeuvre[],2,FALSE),"")</f>
        <v/>
      </c>
      <c r="AA25" s="61" t="str">
        <f t="shared" si="3"/>
        <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7</v>
      </c>
      <c r="AK25" s="61">
        <f>AJ25</f>
        <v>7</v>
      </c>
    </row>
    <row r="26" spans="1:37">
      <c r="A26" s="1" t="s">
        <v>25</v>
      </c>
      <c r="B26" t="str">
        <f>REPT("●",IFERROR(INDEX($P$42:$P$69,MATCH(tblCharDataRyan[[#This Row],[Field]],$E$42:$E$69,0)),0))&amp;REPT("○",IFERROR(INDEX($V$42:$V$69,MATCH(tblCharDataRyan[[#This Row],[Field]],$E$42:$E$69,0)),0))&amp;IF(IFERROR(INDEX($W$42:$W$69,MATCH(tblCharDataRyan[[#This Row],[Field]],$E$42:$E$69,0)),0)=1,"†","")</f>
        <v/>
      </c>
      <c r="D26" s="18"/>
      <c r="E26" s="15" t="s">
        <v>16</v>
      </c>
      <c r="F26" s="18"/>
      <c r="G26" s="3"/>
      <c r="H26" s="18"/>
      <c r="I26" s="18"/>
      <c r="L26" s="3"/>
      <c r="M26" s="60">
        <f>IF(E26=$F$24,2,1)</f>
        <v>1</v>
      </c>
      <c r="N26" s="3"/>
      <c r="O26" s="61">
        <f>ROUNDDOWN(N26/4,0)</f>
        <v>0</v>
      </c>
      <c r="P26" s="60">
        <f>MIN(SUM(L26,M26,O26),R26)</f>
        <v>1</v>
      </c>
      <c r="R26" s="61">
        <v>5</v>
      </c>
      <c r="U26" s="4"/>
      <c r="V26" s="61">
        <f>U26</f>
        <v>0</v>
      </c>
      <c r="Y26" s="15" t="s">
        <v>1449</v>
      </c>
      <c r="Z26" s="61" t="str">
        <f>IFERROR(VLOOKUP(AA26,tblManoeuvre[],2,FALSE),"")</f>
        <v/>
      </c>
      <c r="AA26" s="61" t="str">
        <f t="shared" si="3"/>
        <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1</v>
      </c>
      <c r="AK26" s="61">
        <f>AJ26+IFERROR(INDEX($V$26:$V$38,MATCH(AI26,$E$26:$E$38,0)),0)</f>
        <v>1</v>
      </c>
    </row>
    <row r="27" spans="1:37">
      <c r="A27" s="1" t="s">
        <v>26</v>
      </c>
      <c r="B27" t="str">
        <f>REPT("●",IFERROR(INDEX($P$42:$P$69,MATCH(tblCharDataRyan[[#This Row],[Field]],$E$42:$E$69,0)),0))&amp;REPT("○",IFERROR(INDEX($V$42:$V$69,MATCH(tblCharDataRyan[[#This Row],[Field]],$E$42:$E$69,0)),0))&amp;IF(IFERROR(INDEX($W$42:$W$69,MATCH(tblCharDataRyan[[#This Row],[Field]],$E$42:$E$69,0)),0)=1,"†","")</f>
        <v>●●</v>
      </c>
      <c r="D27" s="18"/>
      <c r="E27" s="15" t="s">
        <v>17</v>
      </c>
      <c r="F27" s="18"/>
      <c r="G27" s="3"/>
      <c r="H27" s="18"/>
      <c r="I27" s="18"/>
      <c r="L27" s="3">
        <v>2</v>
      </c>
      <c r="M27" s="60">
        <f>IF(E27=$F$24,2,1)</f>
        <v>1</v>
      </c>
      <c r="N27" s="3"/>
      <c r="O27" s="61">
        <f>ROUNDDOWN(N27/4,0)</f>
        <v>0</v>
      </c>
      <c r="P27" s="60">
        <f>MIN(SUM(L27,M27,O27),R27)</f>
        <v>3</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3</v>
      </c>
      <c r="AK27" s="61">
        <f>IF(AJ27=0,IF(COUNTIF($E$42:$E$49,AI27)&gt;0,-3,-1),AJ27)</f>
        <v>3</v>
      </c>
    </row>
    <row r="28" spans="1:37">
      <c r="A28" s="1" t="s">
        <v>27</v>
      </c>
      <c r="B28" t="str">
        <f>REPT("●",IFERROR(INDEX($P$42:$P$69,MATCH(tblCharDataRyan[[#This Row],[Field]],$E$42:$E$69,0)),0))&amp;REPT("○",IFERROR(INDEX($V$42:$V$69,MATCH(tblCharDataRyan[[#This Row],[Field]],$E$42:$E$69,0)),0))&amp;IF(IFERROR(INDEX($W$42:$W$69,MATCH(tblCharDataRyan[[#This Row],[Field]],$E$42:$E$69,0)),0)=1,"†","")</f>
        <v/>
      </c>
      <c r="D28" s="18"/>
      <c r="E28" s="15" t="s">
        <v>18</v>
      </c>
      <c r="F28" s="18"/>
      <c r="G28" s="3"/>
      <c r="H28" s="18"/>
      <c r="I28" s="18"/>
      <c r="L28" s="3">
        <v>1</v>
      </c>
      <c r="M28" s="60">
        <f>IF(E28=$F$24,2,1)</f>
        <v>1</v>
      </c>
      <c r="N28" s="3">
        <v>4</v>
      </c>
      <c r="O28" s="61">
        <f>ROUNDDOWN(N28/4,0)</f>
        <v>1</v>
      </c>
      <c r="P28" s="60">
        <f>MIN(SUM(L28,M28,O28),R28)</f>
        <v>3</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1</v>
      </c>
      <c r="AK28" s="61">
        <f>IF(AJ28=0,IF(COUNTIF($E$42:$E$49,AI28)&gt;0,-3,-1),AJ28)</f>
        <v>1</v>
      </c>
    </row>
    <row r="29" spans="1:37">
      <c r="A29" s="1" t="s">
        <v>28</v>
      </c>
      <c r="B29" t="str">
        <f>REPT("●",IFERROR(INDEX($P$42:$P$69,MATCH(tblCharDataRyan[[#This Row],[Field]],$E$42:$E$69,0)),0))&amp;REPT("○",IFERROR(INDEX($V$42:$V$69,MATCH(tblCharDataRyan[[#This Row],[Field]],$E$42:$E$69,0)),0))&amp;IF(IFERROR(INDEX($W$42:$W$69,MATCH(tblCharDataRyan[[#This Row],[Field]],$E$42:$E$69,0)),0)=1,"†","")</f>
        <v>●</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0</v>
      </c>
      <c r="AK29" s="61">
        <f>IF(AJ29=0,IF(COUNTIF($E$42:$E$49,AI29)&gt;0,-3,-1),AJ29)</f>
        <v>-1</v>
      </c>
    </row>
    <row r="30" spans="1:37">
      <c r="A30" s="1" t="s">
        <v>29</v>
      </c>
      <c r="B30" t="str">
        <f>REPT("●",IFERROR(INDEX($P$42:$P$69,MATCH(tblCharDataRyan[[#This Row],[Field]],$E$42:$E$69,0)),0))&amp;REPT("○",IFERROR(INDEX($V$42:$V$69,MATCH(tblCharDataRyan[[#This Row],[Field]],$E$42:$E$69,0)),0))&amp;IF(IFERROR(INDEX($W$42:$W$69,MATCH(tblCharDataRyan[[#This Row],[Field]],$E$42:$E$69,0)),0)=1,"†","")</f>
        <v/>
      </c>
      <c r="D30" s="16" t="s">
        <v>1453</v>
      </c>
      <c r="E30" s="17"/>
      <c r="F30" s="17"/>
      <c r="G30" s="17" t="s">
        <v>1445</v>
      </c>
      <c r="H30" s="16" t="s">
        <v>1446</v>
      </c>
      <c r="I30" s="3" t="s">
        <v>1565</v>
      </c>
      <c r="L30" s="60">
        <f>IF(I30="",0,VLOOKUP(I30,tblPriority[#Data],2,FALSE))-SUM(L31:L33)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0</v>
      </c>
      <c r="AK30" s="61">
        <f>AJ30</f>
        <v>0</v>
      </c>
    </row>
    <row r="31" spans="1:37">
      <c r="A31" s="1" t="s">
        <v>30</v>
      </c>
      <c r="B31" t="str">
        <f>REPT("●",IFERROR(INDEX($P$42:$P$69,MATCH(tblCharDataRyan[[#This Row],[Field]],$E$42:$E$69,0)),0))&amp;REPT("○",IFERROR(INDEX($V$42:$V$69,MATCH(tblCharDataRyan[[#This Row],[Field]],$E$42:$E$69,0)),0))&amp;IF(IFERROR(INDEX($W$42:$W$69,MATCH(tblCharDataRyan[[#This Row],[Field]],$E$42:$E$69,0)),0)=1,"†","")</f>
        <v/>
      </c>
      <c r="D31" s="18"/>
      <c r="E31" s="15" t="s">
        <v>19</v>
      </c>
      <c r="F31" s="18"/>
      <c r="G31" s="3"/>
      <c r="H31" s="18"/>
      <c r="I31" s="18"/>
      <c r="L31" s="3">
        <v>3</v>
      </c>
      <c r="M31" s="60">
        <f>IF(E31=$F$24,2,1)</f>
        <v>1</v>
      </c>
      <c r="N31" s="3"/>
      <c r="O31" s="61">
        <f>ROUNDDOWN(N31/4,0)</f>
        <v>0</v>
      </c>
      <c r="P31" s="60">
        <f>MIN(SUM(L31,M31,O31),R31)</f>
        <v>4</v>
      </c>
      <c r="R31" s="61">
        <v>5</v>
      </c>
      <c r="U31" s="4"/>
      <c r="V31" s="61">
        <f>$P$174+U31</f>
        <v>2</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2</v>
      </c>
      <c r="AK31" s="61">
        <f>AJ31+IFERROR(INDEX($V$26:$V$38,MATCH(AI31,$E$26:$E$38,0)),0)</f>
        <v>2</v>
      </c>
    </row>
    <row r="32" spans="1:37">
      <c r="A32" s="1" t="s">
        <v>31</v>
      </c>
      <c r="B32" t="str">
        <f>REPT("●",IFERROR(INDEX($P$42:$P$69,MATCH(tblCharDataRyan[[#This Row],[Field]],$E$42:$E$69,0)),0))&amp;REPT("○",IFERROR(INDEX($V$42:$V$69,MATCH(tblCharDataRyan[[#This Row],[Field]],$E$42:$E$69,0)),0))&amp;IF(IFERROR(INDEX($W$42:$W$69,MATCH(tblCharDataRyan[[#This Row],[Field]],$E$42:$E$69,0)),0)=1,"†","")</f>
        <v>●</v>
      </c>
      <c r="D32" s="18"/>
      <c r="E32" s="15" t="s">
        <v>20</v>
      </c>
      <c r="F32" s="18"/>
      <c r="G32" s="3"/>
      <c r="H32" s="18"/>
      <c r="I32" s="18"/>
      <c r="L32" s="3">
        <v>1</v>
      </c>
      <c r="M32" s="60">
        <f>IF(E32=$F$24,2,1)</f>
        <v>1</v>
      </c>
      <c r="N32" s="3"/>
      <c r="O32" s="61">
        <f>ROUNDDOWN(N32/4,0)</f>
        <v>0</v>
      </c>
      <c r="P32" s="60">
        <f>MIN(SUM(L32,M32,O32),R32)</f>
        <v>2</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REPT("●",IFERROR(INDEX($P$42:$P$69,MATCH(tblCharDataRyan[[#This Row],[Field]],$E$42:$E$69,0)),0))&amp;REPT("○",IFERROR(INDEX($V$42:$V$69,MATCH(tblCharDataRyan[[#This Row],[Field]],$E$42:$E$69,0)),0))&amp;IF(IFERROR(INDEX($W$42:$W$69,MATCH(tblCharDataRyan[[#This Row],[Field]],$E$42:$E$69,0)),0)=1,"†","")</f>
        <v/>
      </c>
      <c r="D33" s="18"/>
      <c r="E33" s="15" t="s">
        <v>21</v>
      </c>
      <c r="F33" s="18"/>
      <c r="G33" s="3"/>
      <c r="H33" s="18"/>
      <c r="I33" s="18"/>
      <c r="L33" s="3">
        <v>1</v>
      </c>
      <c r="M33" s="60">
        <f>IF(E33=$F$24,2,1)</f>
        <v>1</v>
      </c>
      <c r="N33" s="3"/>
      <c r="O33" s="61">
        <f>ROUNDDOWN(N33/4,0)</f>
        <v>0</v>
      </c>
      <c r="P33" s="60">
        <f>MIN(SUM(L33,M33,O33),R33)</f>
        <v>2</v>
      </c>
      <c r="R33" s="61">
        <v>5</v>
      </c>
      <c r="U33" s="4"/>
      <c r="V33" s="61">
        <f>$P$173+U33</f>
        <v>1</v>
      </c>
      <c r="Y33" s="15" t="s">
        <v>1457</v>
      </c>
      <c r="Z33" s="61" t="str">
        <f>IFERROR(VLOOKUP(AA33,tblManoeuvre[],2,FALSE),"")</f>
        <v/>
      </c>
      <c r="AA33" s="61" t="str">
        <f t="shared" si="3"/>
        <v/>
      </c>
      <c r="AI33" s="15" t="s">
        <v>241</v>
      </c>
      <c r="AJ33" s="61">
        <f t="shared" si="1"/>
        <v>0</v>
      </c>
      <c r="AK33" s="61">
        <f>AJ33</f>
        <v>0</v>
      </c>
    </row>
    <row r="34" spans="1:37">
      <c r="A34" s="1" t="s">
        <v>33</v>
      </c>
      <c r="B34" t="str">
        <f>REPT("●",IFERROR(INDEX($P$42:$P$69,MATCH(tblCharDataRyan[[#This Row],[Field]],$E$42:$E$69,0)),0))&amp;REPT("○",IFERROR(INDEX($V$42:$V$69,MATCH(tblCharDataRyan[[#This Row],[Field]],$E$42:$E$69,0)),0))&amp;IF(IFERROR(INDEX($W$42:$W$69,MATCH(tblCharDataRyan[[#This Row],[Field]],$E$42:$E$69,0)),0)=1,"†","")</f>
        <v>●●●</v>
      </c>
      <c r="Y34" s="15" t="s">
        <v>1458</v>
      </c>
      <c r="Z34" s="61" t="str">
        <f>IFERROR(VLOOKUP(AA34,tblManoeuvre[],2,FALSE),"")</f>
        <v/>
      </c>
      <c r="AA34" s="61" t="str">
        <f t="shared" si="3"/>
        <v/>
      </c>
      <c r="AI34" s="15" t="s">
        <v>242</v>
      </c>
      <c r="AJ34" s="61">
        <f t="shared" si="1"/>
        <v>0</v>
      </c>
      <c r="AK34" s="61">
        <f>AJ34</f>
        <v>0</v>
      </c>
    </row>
    <row r="35" spans="1:37">
      <c r="A35" s="1" t="s">
        <v>34</v>
      </c>
      <c r="B35" t="str">
        <f>REPT("●",IFERROR(INDEX($P$42:$P$69,MATCH(tblCharDataRyan[[#This Row],[Field]],$E$42:$E$69,0)),0))&amp;REPT("○",IFERROR(INDEX($V$42:$V$69,MATCH(tblCharDataRyan[[#This Row],[Field]],$E$42:$E$69,0)),0))&amp;IF(IFERROR(INDEX($W$42:$W$69,MATCH(tblCharDataRyan[[#This Row],[Field]],$E$42:$E$69,0)),0)=1,"†","")</f>
        <v>●●●</v>
      </c>
      <c r="D35" s="16" t="s">
        <v>1459</v>
      </c>
      <c r="E35" s="17"/>
      <c r="F35" s="17"/>
      <c r="G35" s="17" t="s">
        <v>1445</v>
      </c>
      <c r="H35" s="16" t="s">
        <v>1446</v>
      </c>
      <c r="I35" s="3" t="s">
        <v>1567</v>
      </c>
      <c r="L35" s="60">
        <f>IF(I35="",0,VLOOKUP(I35,tblPriority[#Data],2,FALSE))-SUM(L36:L38)</f>
        <v>0</v>
      </c>
      <c r="Y35" s="15" t="s">
        <v>1460</v>
      </c>
      <c r="Z35" s="61" t="str">
        <f>IFERROR(VLOOKUP(AA35,tblManoeuvre[],2,FALSE),"")</f>
        <v/>
      </c>
      <c r="AA35" s="61" t="str">
        <f t="shared" si="3"/>
        <v/>
      </c>
      <c r="AI35" s="15" t="s">
        <v>30</v>
      </c>
      <c r="AJ35" s="61">
        <f t="shared" si="1"/>
        <v>0</v>
      </c>
      <c r="AK35" s="61">
        <f>IF(AJ35=0,IF(COUNTIF($E$42:$E$49,AI35)&gt;0,-3,-1),AJ35)</f>
        <v>-3</v>
      </c>
    </row>
    <row r="36" spans="1:37">
      <c r="A36" s="1" t="s">
        <v>35</v>
      </c>
      <c r="B36" t="str">
        <f>REPT("●",IFERROR(INDEX($P$42:$P$69,MATCH(tblCharDataRyan[[#This Row],[Field]],$E$42:$E$69,0)),0))&amp;REPT("○",IFERROR(INDEX($V$42:$V$69,MATCH(tblCharDataRyan[[#This Row],[Field]],$E$42:$E$69,0)),0))&amp;IF(IFERROR(INDEX($W$42:$W$69,MATCH(tblCharDataRyan[[#This Row],[Field]],$E$42:$E$69,0)),0)=1,"†","")</f>
        <v>●</v>
      </c>
      <c r="D36" s="18"/>
      <c r="E36" s="15" t="s">
        <v>22</v>
      </c>
      <c r="F36" s="18"/>
      <c r="G36" s="3"/>
      <c r="H36" s="18"/>
      <c r="I36" s="18"/>
      <c r="L36" s="3">
        <v>2</v>
      </c>
      <c r="M36" s="60">
        <f>IF(E36=$F$24,2,1)</f>
        <v>1</v>
      </c>
      <c r="N36" s="3"/>
      <c r="O36" s="61">
        <f>ROUNDDOWN(N36/4,0)</f>
        <v>0</v>
      </c>
      <c r="P36" s="60">
        <f>MIN(SUM(L36,M36,O36),R36)</f>
        <v>3</v>
      </c>
      <c r="R36" s="61">
        <v>5</v>
      </c>
      <c r="U36" s="4"/>
      <c r="V36" s="61">
        <f>U36</f>
        <v>0</v>
      </c>
      <c r="Y36" s="15" t="s">
        <v>1461</v>
      </c>
      <c r="Z36" s="61" t="str">
        <f>IFERROR(VLOOKUP(AA36,tblManoeuvre[],2,FALSE),"")</f>
        <v/>
      </c>
      <c r="AA36" s="61" t="str">
        <f t="shared" si="3"/>
        <v/>
      </c>
      <c r="AI36" s="15" t="s">
        <v>45</v>
      </c>
      <c r="AJ36" s="61">
        <f t="shared" si="1"/>
        <v>1</v>
      </c>
      <c r="AK36" s="61">
        <f>IF(AJ36=0,IF(COUNTIF($E$42:$E$49,AI36)&gt;0,-3,-1),AJ36)</f>
        <v>1</v>
      </c>
    </row>
    <row r="37" spans="1:37">
      <c r="A37" s="1" t="s">
        <v>36</v>
      </c>
      <c r="B37" t="str">
        <f>REPT("●",IFERROR(INDEX($P$42:$P$69,MATCH(tblCharDataRyan[[#This Row],[Field]],$E$42:$E$69,0)),0))&amp;REPT("○",IFERROR(INDEX($V$42:$V$69,MATCH(tblCharDataRyan[[#This Row],[Field]],$E$42:$E$69,0)),0))&amp;IF(IFERROR(INDEX($W$42:$W$69,MATCH(tblCharDataRyan[[#This Row],[Field]],$E$42:$E$69,0)),0)=1,"†","")</f>
        <v>●</v>
      </c>
      <c r="D37" s="18"/>
      <c r="E37" s="15" t="s">
        <v>23</v>
      </c>
      <c r="F37" s="18"/>
      <c r="G37" s="3"/>
      <c r="H37" s="18"/>
      <c r="I37" s="18"/>
      <c r="L37" s="3">
        <v>1</v>
      </c>
      <c r="M37" s="60">
        <f>IF(E37=$F$24,2,1)</f>
        <v>1</v>
      </c>
      <c r="N37" s="3"/>
      <c r="O37" s="61">
        <f>ROUNDDOWN(N37/4,0)</f>
        <v>0</v>
      </c>
      <c r="P37" s="60">
        <f>MIN(SUM(L37,M37,O37),R37)</f>
        <v>2</v>
      </c>
      <c r="R37" s="61">
        <v>5</v>
      </c>
      <c r="U37" s="4"/>
      <c r="V37" s="61">
        <f>U37</f>
        <v>0</v>
      </c>
      <c r="Y37" s="15" t="s">
        <v>1462</v>
      </c>
      <c r="Z37" s="61" t="str">
        <f>IFERROR(VLOOKUP(AA37,tblManoeuvre[],2,FALSE),"")</f>
        <v/>
      </c>
      <c r="AA37" s="61" t="str">
        <f t="shared" si="3"/>
        <v/>
      </c>
      <c r="AI37" s="15" t="s">
        <v>31</v>
      </c>
      <c r="AJ37" s="61">
        <f t="shared" si="1"/>
        <v>1</v>
      </c>
      <c r="AK37" s="61">
        <f>IF(AJ37=0,IF(COUNTIF($E$42:$E$49,AI37)&gt;0,-3,-1),AJ37)</f>
        <v>1</v>
      </c>
    </row>
    <row r="38" spans="1:37">
      <c r="A38" s="1" t="s">
        <v>37</v>
      </c>
      <c r="B38" t="str">
        <f>REPT("●",IFERROR(INDEX($P$42:$P$69,MATCH(tblCharDataRyan[[#This Row],[Field]],$E$42:$E$69,0)),0))&amp;REPT("○",IFERROR(INDEX($V$42:$V$69,MATCH(tblCharDataRyan[[#This Row],[Field]],$E$42:$E$69,0)),0))&amp;IF(IFERROR(INDEX($W$42:$W$69,MATCH(tblCharDataRyan[[#This Row],[Field]],$E$42:$E$69,0)),0)=1,"†","")</f>
        <v/>
      </c>
      <c r="D38" s="18"/>
      <c r="E38" s="15" t="s">
        <v>24</v>
      </c>
      <c r="F38" s="18"/>
      <c r="G38" s="3"/>
      <c r="H38" s="18"/>
      <c r="I38" s="18"/>
      <c r="L38" s="3">
        <v>1</v>
      </c>
      <c r="M38" s="60">
        <f>IF(E38=$F$24,2,1)</f>
        <v>2</v>
      </c>
      <c r="N38" s="3"/>
      <c r="O38" s="61">
        <f>ROUNDDOWN(N38/4,0)</f>
        <v>0</v>
      </c>
      <c r="P38" s="60">
        <f>MIN(SUM(L38,M38,O38),R38)</f>
        <v>3</v>
      </c>
      <c r="R38" s="61">
        <v>5</v>
      </c>
      <c r="U38" s="4"/>
      <c r="V38" s="61">
        <f>U38</f>
        <v>0</v>
      </c>
      <c r="Y38" s="15" t="s">
        <v>1463</v>
      </c>
      <c r="Z38" s="61" t="str">
        <f>IFERROR(VLOOKUP(AA38,tblManoeuvre[],2,FALSE),"")</f>
        <v/>
      </c>
      <c r="AA38" s="61" t="str">
        <f t="shared" si="3"/>
        <v/>
      </c>
      <c r="AI38" s="15" t="s">
        <v>22</v>
      </c>
      <c r="AJ38" s="61">
        <f t="shared" si="1"/>
        <v>3</v>
      </c>
      <c r="AK38" s="61">
        <f>AJ38+IFERROR(INDEX($V$26:$V$38,MATCH(AI38,$E$26:$E$38,0)),0)</f>
        <v>3</v>
      </c>
    </row>
    <row r="39" spans="1:37">
      <c r="A39" s="1" t="s">
        <v>38</v>
      </c>
      <c r="B39" t="str">
        <f>REPT("●",IFERROR(INDEX($P$42:$P$69,MATCH(tblCharDataRyan[[#This Row],[Field]],$E$42:$E$69,0)),0))&amp;REPT("○",IFERROR(INDEX($V$42:$V$69,MATCH(tblCharDataRyan[[#This Row],[Field]],$E$42:$E$69,0)),0))&amp;IF(IFERROR(INDEX($W$42:$W$69,MATCH(tblCharDataRyan[[#This Row],[Field]],$E$42:$E$69,0)),0)=1,"†","")</f>
        <v/>
      </c>
      <c r="Y39" s="15" t="s">
        <v>1464</v>
      </c>
      <c r="Z39" s="61" t="str">
        <f>IFERROR(VLOOKUP(AA39,tblManoeuvre[],2,FALSE),"")</f>
        <v/>
      </c>
      <c r="AA39" s="61" t="str">
        <f t="shared" si="3"/>
        <v/>
      </c>
      <c r="AI39" s="15" t="s">
        <v>243</v>
      </c>
      <c r="AJ39" s="61">
        <f t="shared" si="1"/>
        <v>4</v>
      </c>
      <c r="AK39" s="61">
        <f>AJ39</f>
        <v>4</v>
      </c>
    </row>
    <row r="40" spans="1:37" ht="15.75" thickBot="1">
      <c r="A40" s="1" t="s">
        <v>39</v>
      </c>
      <c r="B40" t="str">
        <f>REPT("●",IFERROR(INDEX($P$42:$P$69,MATCH(tblCharDataRyan[[#This Row],[Field]],$E$42:$E$69,0)),0))&amp;REPT("○",IFERROR(INDEX($V$42:$V$69,MATCH(tblCharDataRyan[[#This Row],[Field]],$E$42:$E$69,0)),0))&amp;IF(IFERROR(INDEX($W$42:$W$69,MATCH(tblCharDataRyan[[#This Row],[Field]],$E$42:$E$69,0)),0)=1,"†","")</f>
        <v/>
      </c>
      <c r="D40" s="14" t="s">
        <v>1465</v>
      </c>
      <c r="E40" s="14"/>
      <c r="F40" s="14"/>
      <c r="G40" s="14"/>
      <c r="H40" s="14"/>
      <c r="I40" s="14"/>
      <c r="N40" s="60">
        <f>SUM(N42:N49,N52:N59,N62:N69)</f>
        <v>2</v>
      </c>
      <c r="T40" s="60">
        <f>MAX(0,SUM(T42:T49,T52:T59,T62:T69)-(3+IF(P161&gt;=3,2,0)))</f>
        <v>0</v>
      </c>
      <c r="U40" s="60">
        <f>IF(P161&gt;=4,1,0)-SUM(U42:U49,U52:U59,U62:U69)</f>
        <v>0</v>
      </c>
      <c r="W40" s="60" cm="1">
        <f t="array" ref="W40">IF($P$161&gt;=1,2+IF($P$161&gt;=3,1,0),0)+IF(SUMPRODUCT(($F$206:$F$215="Oath of the Hard Motherfucker")*($P$206:$P$215&gt;0))&gt;0,2,0)-SUM(W42:W49,W52:W59,W62:W69)</f>
        <v>2</v>
      </c>
      <c r="Y40" s="15" t="s">
        <v>1466</v>
      </c>
      <c r="Z40" s="61" t="str">
        <f>IFERROR(VLOOKUP(AA40,tblManoeuvre[],2,FALSE),"")</f>
        <v/>
      </c>
      <c r="AA40" s="61" t="str">
        <f t="shared" si="3"/>
        <v/>
      </c>
      <c r="AI40" s="15" t="s">
        <v>251</v>
      </c>
      <c r="AJ40" s="61">
        <f t="shared" si="1"/>
        <v>0</v>
      </c>
      <c r="AK40" s="61">
        <f>AJ40</f>
        <v>0</v>
      </c>
    </row>
    <row r="41" spans="1:37">
      <c r="A41" s="1" t="s">
        <v>40</v>
      </c>
      <c r="B41" t="str">
        <f>REPT("●",IFERROR(INDEX($P$42:$P$69,MATCH(tblCharDataRyan[[#This Row],[Field]],$E$42:$E$69,0)),0))&amp;REPT("○",IFERROR(INDEX($V$42:$V$69,MATCH(tblCharDataRyan[[#This Row],[Field]],$E$42:$E$69,0)),0))&amp;IF(IFERROR(INDEX($W$42:$W$69,MATCH(tblCharDataRyan[[#This Row],[Field]],$E$42:$E$69,0)),0)=1,"†","")</f>
        <v/>
      </c>
      <c r="D41" s="16" t="s">
        <v>1444</v>
      </c>
      <c r="E41" s="17"/>
      <c r="F41" s="17"/>
      <c r="G41" s="17" t="s">
        <v>1467</v>
      </c>
      <c r="H41" s="16" t="s">
        <v>1446</v>
      </c>
      <c r="I41" s="3" t="s">
        <v>1566</v>
      </c>
      <c r="L41" s="60">
        <f>IF(I41="",0,VLOOKUP(I41,tblPriority[#Data],3,FALSE))-SUM(L42:L49)</f>
        <v>0</v>
      </c>
      <c r="T41" s="60">
        <f>MAX(3+IF(P161&gt;=3,2,0)-SUM(T42:T49,T52:T59,T62:T69),0)</f>
        <v>0</v>
      </c>
      <c r="Y41" s="15" t="s">
        <v>1468</v>
      </c>
      <c r="Z41" s="61" t="str">
        <f>IFERROR(VLOOKUP(AA41,tblManoeuvre[],2,FALSE),"")</f>
        <v/>
      </c>
      <c r="AA41" s="61" t="str">
        <f t="shared" si="3"/>
        <v/>
      </c>
      <c r="AI41" s="15" t="s">
        <v>244</v>
      </c>
      <c r="AJ41" s="61">
        <f t="shared" si="1"/>
        <v>1</v>
      </c>
      <c r="AK41" s="61">
        <f>AJ41</f>
        <v>1</v>
      </c>
    </row>
    <row r="42" spans="1:37">
      <c r="A42" s="1" t="s">
        <v>41</v>
      </c>
      <c r="B42" t="str">
        <f>REPT("●",IFERROR(INDEX($P$42:$P$69,MATCH(tblCharDataRyan[[#This Row],[Field]],$E$42:$E$69,0)),0))&amp;REPT("○",IFERROR(INDEX($V$42:$V$69,MATCH(tblCharDataRyan[[#This Row],[Field]],$E$42:$E$69,0)),0))&amp;IF(IFERROR(INDEX($W$42:$W$69,MATCH(tblCharDataRyan[[#This Row],[Field]],$E$42:$E$69,0)),0)=1,"†","")</f>
        <v/>
      </c>
      <c r="D42" s="18"/>
      <c r="E42" s="15" t="s">
        <v>25</v>
      </c>
      <c r="F42" s="18"/>
      <c r="G42" s="3"/>
      <c r="H42" s="18"/>
      <c r="I42" s="18"/>
      <c r="L42" s="4"/>
      <c r="M42" s="60"/>
      <c r="N42" s="4"/>
      <c r="O42" s="61">
        <f>ROUNDDOWN(N42/2,0)</f>
        <v>0</v>
      </c>
      <c r="P42" s="60">
        <f t="shared" ref="P42:P49" si="4">MIN(SUM(L42,M42,O42),R42)</f>
        <v>0</v>
      </c>
      <c r="R42" s="61">
        <v>5</v>
      </c>
      <c r="T42" s="4"/>
      <c r="U42" s="4"/>
      <c r="V42" s="61">
        <f t="shared" ref="V42:V49" si="5">U42</f>
        <v>0</v>
      </c>
      <c r="W42" s="4"/>
      <c r="AI42" s="15" t="s">
        <v>18</v>
      </c>
      <c r="AJ42" s="61">
        <f t="shared" si="1"/>
        <v>3</v>
      </c>
      <c r="AK42" s="61">
        <f>AJ42+IFERROR(INDEX($V$26:$V$38,MATCH(AI42,$E$26:$E$38,0)),0)</f>
        <v>3</v>
      </c>
    </row>
    <row r="43" spans="1:37">
      <c r="A43" s="1" t="s">
        <v>42</v>
      </c>
      <c r="B43" t="str">
        <f>REPT("●",IFERROR(INDEX($P$42:$P$69,MATCH(tblCharDataRyan[[#This Row],[Field]],$E$42:$E$69,0)),0))&amp;REPT("○",IFERROR(INDEX($V$42:$V$69,MATCH(tblCharDataRyan[[#This Row],[Field]],$E$42:$E$69,0)),0))&amp;IF(IFERROR(INDEX($W$42:$W$69,MATCH(tblCharDataRyan[[#This Row],[Field]],$E$42:$E$69,0)),0)=1,"†","")</f>
        <v/>
      </c>
      <c r="D43" s="18"/>
      <c r="E43" s="15" t="s">
        <v>26</v>
      </c>
      <c r="F43" s="18"/>
      <c r="G43" s="3"/>
      <c r="H43" s="18"/>
      <c r="I43" s="18"/>
      <c r="L43" s="4">
        <v>2</v>
      </c>
      <c r="M43" s="60"/>
      <c r="N43" s="4"/>
      <c r="O43" s="61">
        <f t="shared" ref="O43:O49" si="6">ROUNDDOWN(N43/2,0)</f>
        <v>0</v>
      </c>
      <c r="P43" s="60">
        <f t="shared" si="4"/>
        <v>2</v>
      </c>
      <c r="R43" s="61">
        <v>5</v>
      </c>
      <c r="T43" s="4"/>
      <c r="U43" s="4"/>
      <c r="V43" s="61">
        <f t="shared" si="5"/>
        <v>0</v>
      </c>
      <c r="W43" s="4"/>
      <c r="AI43" s="15" t="s">
        <v>32</v>
      </c>
      <c r="AJ43" s="61">
        <f t="shared" si="1"/>
        <v>0</v>
      </c>
      <c r="AK43" s="61">
        <f>IF(AJ43=0,IF(COUNTIF($E$42:$E$49,AI43)&gt;0,-3,-1),AJ43)</f>
        <v>-3</v>
      </c>
    </row>
    <row r="44" spans="1:37">
      <c r="A44" s="1" t="s">
        <v>43</v>
      </c>
      <c r="B44" t="str">
        <f>REPT("●",IFERROR(INDEX($P$42:$P$69,MATCH(tblCharDataRyan[[#This Row],[Field]],$E$42:$E$69,0)),0))&amp;REPT("○",IFERROR(INDEX($V$42:$V$69,MATCH(tblCharDataRyan[[#This Row],[Field]],$E$42:$E$69,0)),0))&amp;IF(IFERROR(INDEX($W$42:$W$69,MATCH(tblCharDataRyan[[#This Row],[Field]],$E$42:$E$69,0)),0)=1,"†","")</f>
        <v>●●</v>
      </c>
      <c r="D44" s="18"/>
      <c r="E44" s="15" t="s">
        <v>27</v>
      </c>
      <c r="F44" s="18"/>
      <c r="G44" s="3"/>
      <c r="H44" s="18"/>
      <c r="I44" s="18"/>
      <c r="L44" s="4"/>
      <c r="M44" s="60"/>
      <c r="N44" s="4"/>
      <c r="O44" s="61">
        <f t="shared" si="6"/>
        <v>0</v>
      </c>
      <c r="P44" s="60">
        <f t="shared" si="4"/>
        <v>0</v>
      </c>
      <c r="R44" s="61">
        <v>5</v>
      </c>
      <c r="T44" s="4"/>
      <c r="U44" s="4"/>
      <c r="V44" s="61">
        <f t="shared" si="5"/>
        <v>0</v>
      </c>
      <c r="W44" s="4"/>
      <c r="Y44" s="15">
        <v>1</v>
      </c>
      <c r="Z44" s="61" t="s">
        <v>236</v>
      </c>
      <c r="AA44" s="60" t="str" cm="1">
        <f t="array" ref="AA44">IF(OR(Y44=0,Y44=""),"",IF(VLOOKUP(Z44,$AI$1:$AJ$58,2,FALSE)&gt;=Y44,INDEX(tblDisciplines[Name],MATCH(1,(tblDisciplines[Discipline]=Z44)*(tblDisciplines[Rank]=Y44),0)),""))</f>
        <v/>
      </c>
      <c r="AC44" s="60" t="str" cm="1">
        <f t="array" ref="AC44:AC50">IFERROR(_xlfn.VSTACK(IFERROR(_xlfn._xlws.FILTER(AA44:AA121,AA44:AA121&lt;&gt;""),""),IFERROR(_xlfn._xlws.SORT(_xlfn._xlws.FILTER(AA123:AA132,AA123:AA132&lt;&gt;"")),"")),"")</f>
        <v>Unmarked Grave</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Protean ● | Unmarked Grave</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Varies  •  Pool: -  •  Instant  •  Indefinite</v>
      </c>
      <c r="AF44" s="20" t="str">
        <f>IF(AC44="","",IFERROR(VLOOKUP(AC44,tblDisciplines[],12,FALSE),VLOOKUP(AC44,tblPacts[],5,FALSE)))</f>
        <v>Merge with soil.</v>
      </c>
      <c r="AI44" s="15" t="s">
        <v>353</v>
      </c>
      <c r="AJ44" s="61">
        <f t="shared" si="1"/>
        <v>5</v>
      </c>
      <c r="AK44" s="61">
        <f>AJ44</f>
        <v>5</v>
      </c>
    </row>
    <row r="45" spans="1:37">
      <c r="A45" s="1" t="s">
        <v>44</v>
      </c>
      <c r="B45" t="str">
        <f>REPT("●",IFERROR(INDEX($P$42:$P$69,MATCH(tblCharDataRyan[[#This Row],[Field]],$E$42:$E$69,0)),0))&amp;REPT("○",IFERROR(INDEX($V$42:$V$69,MATCH(tblCharDataRyan[[#This Row],[Field]],$E$42:$E$69,0)),0))&amp;IF(IFERROR(INDEX($W$42:$W$69,MATCH(tblCharDataRyan[[#This Row],[Field]],$E$42:$E$69,0)),0)=1,"†","")</f>
        <v>●●●</v>
      </c>
      <c r="D45" s="18"/>
      <c r="E45" s="15" t="s">
        <v>28</v>
      </c>
      <c r="F45" s="18"/>
      <c r="G45" s="3"/>
      <c r="H45" s="18"/>
      <c r="I45" s="18"/>
      <c r="L45" s="4">
        <v>1</v>
      </c>
      <c r="M45" s="60"/>
      <c r="N45" s="4"/>
      <c r="O45" s="61">
        <f t="shared" si="6"/>
        <v>0</v>
      </c>
      <c r="P45" s="60">
        <f t="shared" si="4"/>
        <v>1</v>
      </c>
      <c r="R45" s="61">
        <v>5</v>
      </c>
      <c r="T45" s="4"/>
      <c r="U45" s="4"/>
      <c r="V45" s="61">
        <f t="shared" si="5"/>
        <v>0</v>
      </c>
      <c r="W45" s="4"/>
      <c r="Y45" s="15">
        <v>2</v>
      </c>
      <c r="Z45" s="61" t="s">
        <v>236</v>
      </c>
      <c r="AA45" s="60" t="str" cm="1">
        <f t="array" ref="AA45">IF(OR(Y45=0,Y45=""),"",IF(VLOOKUP(Z45,$AI$1:$AJ$58,2,FALSE)&gt;=Y45,INDEX(tblDisciplines[Name],MATCH(1,(tblDisciplines[Discipline]=Z45)*(tblDisciplines[Rank]=Y45),0)),""))</f>
        <v/>
      </c>
      <c r="AC45" s="60" t="str">
        <v>Predatory Aspect</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Protean ●● | Predatory Aspect</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1 V  •  Pool: -  •  Instant  •  Scene</v>
      </c>
      <c r="AF45" s="20" t="str">
        <f>IF(AC45="","",IFERROR(VLOOKUP(AC45,tblDisciplines[],12,FALSE),VLOOKUP(AC45,tblPacts[],5,FALSE)))</f>
        <v>Take on animal traits.</v>
      </c>
      <c r="AI45" s="15" t="s">
        <v>46</v>
      </c>
      <c r="AJ45" s="61">
        <f t="shared" si="1"/>
        <v>2</v>
      </c>
      <c r="AK45" s="61">
        <f>IF(AJ45=0,IF(COUNTIF($E$42:$E$49,AI45)&gt;0,-3,-1),AJ45)</f>
        <v>2</v>
      </c>
    </row>
    <row r="46" spans="1:37">
      <c r="A46" s="1" t="s">
        <v>45</v>
      </c>
      <c r="B46" t="str">
        <f>REPT("●",IFERROR(INDEX($P$42:$P$69,MATCH(tblCharDataRyan[[#This Row],[Field]],$E$42:$E$69,0)),0))&amp;REPT("○",IFERROR(INDEX($V$42:$V$69,MATCH(tblCharDataRyan[[#This Row],[Field]],$E$42:$E$69,0)),0))&amp;IF(IFERROR(INDEX($W$42:$W$69,MATCH(tblCharDataRyan[[#This Row],[Field]],$E$42:$E$69,0)),0)=1,"†","")</f>
        <v>●</v>
      </c>
      <c r="D46" s="18"/>
      <c r="E46" s="15" t="s">
        <v>29</v>
      </c>
      <c r="F46" s="18"/>
      <c r="G46" s="3"/>
      <c r="H46" s="18"/>
      <c r="I46" s="18"/>
      <c r="L46" s="4"/>
      <c r="M46" s="60"/>
      <c r="N46" s="4"/>
      <c r="O46" s="61">
        <f t="shared" si="6"/>
        <v>0</v>
      </c>
      <c r="P46" s="60">
        <f t="shared" si="4"/>
        <v>0</v>
      </c>
      <c r="R46" s="61">
        <v>5</v>
      </c>
      <c r="T46" s="4"/>
      <c r="U46" s="4"/>
      <c r="V46" s="61">
        <f t="shared" si="5"/>
        <v>0</v>
      </c>
      <c r="W46" s="4"/>
      <c r="Y46" s="15">
        <v>3</v>
      </c>
      <c r="Z46" s="61" t="s">
        <v>236</v>
      </c>
      <c r="AA46" s="60" t="str" cm="1">
        <f t="array" ref="AA46">IF(OR(Y46=0,Y46=""),"",IF(VLOOKUP(Z46,$AI$1:$AJ$58,2,FALSE)&gt;=Y46,INDEX(tblDisciplines[Name],MATCH(1,(tblDisciplines[Discipline]=Z46)*(tblDisciplines[Rank]=Y46),0)),""))</f>
        <v/>
      </c>
      <c r="AC46" s="60" t="str">
        <v>Beast's Skin</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Protean ●●● | Beast's Skin</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2 V  •  Pool: -  •  Instant  •  Indefinite</v>
      </c>
      <c r="AF46" s="20" t="str">
        <f>IF(AC46="","",IFERROR(VLOOKUP(AC46,tblDisciplines[],12,FALSE),VLOOKUP(AC46,tblPacts[],5,FALSE)))</f>
        <v>Transform into predatory animal.</v>
      </c>
      <c r="AI46" s="15" t="s">
        <v>354</v>
      </c>
      <c r="AJ46" s="61">
        <f t="shared" ca="1" si="1"/>
        <v>13</v>
      </c>
      <c r="AK46" s="61">
        <f ca="1">AJ46</f>
        <v>13</v>
      </c>
    </row>
    <row r="47" spans="1:37">
      <c r="A47" s="1" t="s">
        <v>46</v>
      </c>
      <c r="B47" t="str">
        <f>REPT("●",IFERROR(INDEX($P$42:$P$69,MATCH(tblCharDataRyan[[#This Row],[Field]],$E$42:$E$69,0)),0))&amp;REPT("○",IFERROR(INDEX($V$42:$V$69,MATCH(tblCharDataRyan[[#This Row],[Field]],$E$42:$E$69,0)),0))&amp;IF(IFERROR(INDEX($W$42:$W$69,MATCH(tblCharDataRyan[[#This Row],[Field]],$E$42:$E$69,0)),0)=1,"†","")</f>
        <v>●●</v>
      </c>
      <c r="D47" s="18"/>
      <c r="E47" s="15" t="s">
        <v>30</v>
      </c>
      <c r="F47" s="18"/>
      <c r="G47" s="3"/>
      <c r="H47" s="18"/>
      <c r="I47" s="18"/>
      <c r="L47" s="4"/>
      <c r="M47" s="60"/>
      <c r="N47" s="4"/>
      <c r="O47" s="61">
        <f t="shared" si="6"/>
        <v>0</v>
      </c>
      <c r="P47" s="60">
        <f t="shared" si="4"/>
        <v>0</v>
      </c>
      <c r="R47" s="61">
        <v>5</v>
      </c>
      <c r="T47" s="4"/>
      <c r="U47" s="4"/>
      <c r="V47" s="61">
        <f t="shared" si="5"/>
        <v>0</v>
      </c>
      <c r="W47" s="4"/>
      <c r="Y47" s="15">
        <v>4</v>
      </c>
      <c r="Z47" s="61" t="s">
        <v>236</v>
      </c>
      <c r="AA47" s="60" t="str" cm="1">
        <f t="array" ref="AA47">IF(OR(Y47=0,Y47=""),"",IF(VLOOKUP(Z47,$AI$1:$AJ$58,2,FALSE)&gt;=Y47,INDEX(tblDisciplines[Name],MATCH(1,(tblDisciplines[Discipline]=Z47)*(tblDisciplines[Rank]=Y47),0)),""))</f>
        <v/>
      </c>
      <c r="AC47" s="60" t="str">
        <v>Unnatural Aspect</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Protean ●●●● | Unnatural Aspect</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Cost: 1 V  •  Pool: -  •  None  •  Scene</v>
      </c>
      <c r="AF47" s="20" t="str">
        <f>IF(AC47="","",IFERROR(VLOOKUP(AC47,tblDisciplines[],12,FALSE),VLOOKUP(AC47,tblPacts[],5,FALSE)))</f>
        <v>Take on a horrific trait. Barbed Hands damage is not lethal to vampires.</v>
      </c>
      <c r="AI47" s="15" t="s">
        <v>21</v>
      </c>
      <c r="AJ47" s="61">
        <f t="shared" si="1"/>
        <v>2</v>
      </c>
      <c r="AK47" s="61">
        <f>AJ47+IFERROR(INDEX($V$26:$V$38,MATCH(AI47,$E$26:$E$38,0)),0)</f>
        <v>3</v>
      </c>
    </row>
    <row r="48" spans="1:37">
      <c r="A48" s="1" t="s">
        <v>47</v>
      </c>
      <c r="B48" t="str">
        <f>REPT("●",IFERROR(INDEX($P$42:$P$69,MATCH(tblCharDataRyan[[#This Row],[Field]],$E$42:$E$69,0)),0))&amp;REPT("○",IFERROR(INDEX($V$42:$V$69,MATCH(tblCharDataRyan[[#This Row],[Field]],$E$42:$E$69,0)),0))&amp;IF(IFERROR(INDEX($W$42:$W$69,MATCH(tblCharDataRyan[[#This Row],[Field]],$E$42:$E$69,0)),0)=1,"†","")</f>
        <v>●●●</v>
      </c>
      <c r="D48" s="18"/>
      <c r="E48" s="15" t="s">
        <v>31</v>
      </c>
      <c r="F48" s="18"/>
      <c r="G48" s="3"/>
      <c r="H48" s="18"/>
      <c r="I48" s="18"/>
      <c r="L48" s="4">
        <v>1</v>
      </c>
      <c r="M48" s="60"/>
      <c r="N48" s="4"/>
      <c r="O48" s="61">
        <f t="shared" si="6"/>
        <v>0</v>
      </c>
      <c r="P48" s="60">
        <f t="shared" si="4"/>
        <v>1</v>
      </c>
      <c r="R48" s="61">
        <v>5</v>
      </c>
      <c r="T48" s="4"/>
      <c r="U48" s="4"/>
      <c r="V48" s="61">
        <f t="shared" si="5"/>
        <v>0</v>
      </c>
      <c r="W48" s="4"/>
      <c r="Y48" s="15">
        <v>5</v>
      </c>
      <c r="Z48" s="61" t="s">
        <v>236</v>
      </c>
      <c r="AA48" s="60" t="str" cm="1">
        <f t="array" ref="AA48">IF(OR(Y48=0,Y48=""),"",IF(VLOOKUP(Z48,$AI$1:$AJ$58,2,FALSE)&gt;=Y48,INDEX(tblDisciplines[Name],MATCH(1,(tblDisciplines[Discipline]=Z48)*(tblDisciplines[Rank]=Y48),0)),""))</f>
        <v/>
      </c>
      <c r="AC48" s="60" t="str">
        <v>Resilience 1</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Resilience ●</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Cost: 1 V per effect  •  Pool: -  •  Reflexive  •  1 turn</v>
      </c>
      <c r="AF48" s="20" t="str">
        <f>IF(AC48="","",IFERROR(VLOOKUP(AC48,tblDisciplines[],12,FALSE),VLOOKUP(AC48,tblPacts[],5,FALSE)))</f>
        <v>Downgrade damage and increase Stamina. Improve Armour and Defences. Unnatural Fortitude: add Resilience dots as bonus dice to non-combat Stamina pools.</v>
      </c>
      <c r="AI48" s="15" t="s">
        <v>38</v>
      </c>
      <c r="AJ48" s="61">
        <f t="shared" si="1"/>
        <v>0</v>
      </c>
      <c r="AK48" s="61">
        <f>IF(AJ48=0,IF(COUNTIF($E$42:$E$49,AI48)&gt;0,-3,-1),AJ48)</f>
        <v>-1</v>
      </c>
    </row>
    <row r="49" spans="1:37">
      <c r="A49" s="1" t="s">
        <v>48</v>
      </c>
      <c r="B49" t="str">
        <f>REPT("●",IFERROR(INDEX($P$42:$P$69,MATCH(tblCharDataRyan[[#This Row],[Field]],$E$42:$E$69,0)),0))&amp;REPT("○",IFERROR(INDEX($V$42:$V$69,MATCH(tblCharDataRyan[[#This Row],[Field]],$E$42:$E$69,0)),0))&amp;IF(IFERROR(INDEX($W$42:$W$69,MATCH(tblCharDataRyan[[#This Row],[Field]],$E$42:$E$69,0)),0)=1,"†","")</f>
        <v/>
      </c>
      <c r="D49" s="18"/>
      <c r="E49" s="15" t="s">
        <v>32</v>
      </c>
      <c r="F49" s="18"/>
      <c r="G49" s="3"/>
      <c r="H49" s="18"/>
      <c r="I49" s="18"/>
      <c r="L49" s="4"/>
      <c r="M49" s="60"/>
      <c r="N49" s="4"/>
      <c r="O49" s="61">
        <f t="shared" si="6"/>
        <v>0</v>
      </c>
      <c r="P49" s="60">
        <f t="shared" si="4"/>
        <v>0</v>
      </c>
      <c r="R49" s="61">
        <v>5</v>
      </c>
      <c r="T49" s="4"/>
      <c r="U49" s="4"/>
      <c r="V49" s="61">
        <f t="shared" si="5"/>
        <v>0</v>
      </c>
      <c r="W49" s="4"/>
      <c r="Y49" s="15">
        <v>1</v>
      </c>
      <c r="Z49" s="61" t="s">
        <v>237</v>
      </c>
      <c r="AA49" s="60" t="str" cm="1">
        <f t="array" ref="AA49">IF(OR(Y49=0,Y49=""),"",IF(VLOOKUP(Z49,$AI$1:$AJ$58,2,FALSE)&gt;=Y49,INDEX(tblDisciplines[Name],MATCH(1,(tblDisciplines[Discipline]=Z49)*(tblDisciplines[Rank]=Y49),0)),""))</f>
        <v/>
      </c>
      <c r="AC49" s="60" t="str">
        <v>Vigour 2</v>
      </c>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Vigour ●●</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Cost: 1 V per effect  •  Pool: -  •  Reflexive  •  1 turn</v>
      </c>
      <c r="AF49" s="20" t="str">
        <f>IF(AC49="","",IFERROR(VLOOKUP(AC49,tblDisciplines[],12,FALSE),VLOOKUP(AC49,tblPacts[],5,FALSE)))</f>
        <v>Improve Strength. Add Vigour dots as bonus successes only if at least one net success achieved.</v>
      </c>
      <c r="AI49" s="15" t="s">
        <v>47</v>
      </c>
      <c r="AJ49" s="61">
        <f t="shared" si="1"/>
        <v>3</v>
      </c>
      <c r="AK49" s="61">
        <f>IF(AJ49=0,IF(COUNTIF($E$42:$E$49,AI49)&gt;0,-3,-1),AJ49)</f>
        <v>3</v>
      </c>
    </row>
    <row r="50" spans="1:37">
      <c r="A50" s="1" t="s">
        <v>49</v>
      </c>
      <c r="B50" t="str">
        <f ca="1">REPT("●",VLOOKUP(tblCharDataRyan[[#This Row],[Field]],INDIRECT($AH$1),2,FALSE)) &amp; REPT("○",10-VLOOKUP(tblCharDataRyan[[#This Row],[Field]],INDIRECT($AH$1),2,FALSE)) &amp; REPT("○",10-VLOOKUP(tblCharDataRyan[[#This Row],[Field]],INDIRECT($AH$1),2,FALSE))</f>
        <v>●○○○○○○○○○○○○○○○○○○</v>
      </c>
      <c r="Y50" s="15">
        <v>2</v>
      </c>
      <c r="Z50" s="61" t="s">
        <v>237</v>
      </c>
      <c r="AA50" s="60" t="str" cm="1">
        <f t="array" ref="AA50">IF(OR(Y50=0,Y50=""),"",IF(VLOOKUP(Z50,$AI$1:$AJ$58,2,FALSE)&gt;=Y50,INDEX(tblDisciplines[Name],MATCH(1,(tblDisciplines[Discipline]=Z50)*(tblDisciplines[Rank]=Y50),0)),""))</f>
        <v/>
      </c>
      <c r="AC50" s="60" t="str">
        <v>Oath of the Hard Motherfucker</v>
      </c>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Oath of the Hard Motherfucker ●●</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v>
      </c>
      <c r="AF50" s="20" t="str">
        <f>IF(AC50="","",IFERROR(VLOOKUP(AC50,tblDisciplines[],12,FALSE),VLOOKUP(AC50,tblPacts[],5,FALSE)))</f>
        <v>Kill a Carthian or oathbreaker for Invictus Status 1, Friends in High Places 1, 9-Again on two Skills, and Allies/Contacts/Resources 1. All stripped if broken.</v>
      </c>
      <c r="AI50" s="15" t="s">
        <v>19</v>
      </c>
      <c r="AJ50" s="61">
        <f t="shared" si="1"/>
        <v>4</v>
      </c>
      <c r="AK50" s="61">
        <f>AJ50+IFERROR(INDEX($V$26:$V$38,MATCH(AI50,$E$26:$E$38,0)),0)</f>
        <v>6</v>
      </c>
    </row>
    <row r="51" spans="1:37">
      <c r="A51" s="1" t="s">
        <v>50</v>
      </c>
      <c r="B51">
        <f>P72</f>
        <v>1</v>
      </c>
      <c r="D51" s="16" t="s">
        <v>1453</v>
      </c>
      <c r="E51" s="17"/>
      <c r="F51" s="17"/>
      <c r="G51" s="17" t="s">
        <v>1467</v>
      </c>
      <c r="H51" s="16" t="s">
        <v>1446</v>
      </c>
      <c r="I51" s="3" t="s">
        <v>1567</v>
      </c>
      <c r="L51" s="60">
        <f>IF(I51="",0,VLOOKUP(I51,tblPriority[#Data],3,FALSE))-SUM(L52:L59)</f>
        <v>0</v>
      </c>
      <c r="Y51" s="15">
        <v>3</v>
      </c>
      <c r="Z51" s="61" t="s">
        <v>237</v>
      </c>
      <c r="AA51" s="60" t="str" cm="1">
        <f t="array" ref="AA51">IF(OR(Y51=0,Y51=""),"",IF(VLOOKUP(Z51,$AI$1:$AJ$58,2,FALSE)&gt;=Y51,INDEX(tblDisciplines[Name],MATCH(1,(tblDisciplines[Discipline]=Z51)*(tblDisciplines[Rank]=Y51),0)),""))</f>
        <v/>
      </c>
      <c r="AC51" s="60"/>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
      </c>
      <c r="AF51" s="20" t="str">
        <f>IF(AC51="","",IFERROR(VLOOKUP(AC51,tblDisciplines[],12,FALSE),VLOOKUP(AC51,tblPacts[],5,FALSE)))</f>
        <v/>
      </c>
      <c r="AI51" s="15" t="s">
        <v>48</v>
      </c>
      <c r="AJ51" s="61">
        <f t="shared" si="1"/>
        <v>0</v>
      </c>
      <c r="AK51" s="61">
        <f>IF(AJ51=0,IF(COUNTIF($E$42:$E$49,AI51)&gt;0,-3,-1),AJ51)</f>
        <v>-1</v>
      </c>
    </row>
    <row r="52" spans="1:37">
      <c r="A52" s="1" t="s">
        <v>51</v>
      </c>
      <c r="B52" t="str">
        <f>_xlfn.IFNA(VLOOKUP(P72,tblBloodPotency[#Data],5,FALSE),"")</f>
        <v/>
      </c>
      <c r="D52" s="18"/>
      <c r="E52" s="15" t="s">
        <v>33</v>
      </c>
      <c r="F52" s="18"/>
      <c r="G52" s="3"/>
      <c r="H52" s="18"/>
      <c r="I52" s="18"/>
      <c r="L52" s="4">
        <v>2</v>
      </c>
      <c r="M52" s="60"/>
      <c r="N52" s="4">
        <v>2</v>
      </c>
      <c r="O52" s="61">
        <f>ROUNDDOWN(N52/2,0)</f>
        <v>1</v>
      </c>
      <c r="P52" s="60">
        <f t="shared" ref="P52:P59" si="7">MIN(SUM(L52,M52,O52),R52)</f>
        <v>3</v>
      </c>
      <c r="R52" s="61">
        <v>5</v>
      </c>
      <c r="T52" s="4"/>
      <c r="U52" s="4"/>
      <c r="V52" s="61">
        <f t="shared" ref="V52:V59" si="8">U52</f>
        <v>0</v>
      </c>
      <c r="W52" s="4"/>
      <c r="Y52" s="15">
        <v>4</v>
      </c>
      <c r="Z52" s="61" t="s">
        <v>237</v>
      </c>
      <c r="AA52" s="60" t="str" cm="1">
        <f t="array" ref="AA52">IF(OR(Y52=0,Y52=""),"",IF(VLOOKUP(Z52,$AI$1:$AJ$58,2,FALSE)&gt;=Y52,INDEX(tblDisciplines[Name],MATCH(1,(tblDisciplines[Discipline]=Z52)*(tblDisciplines[Rank]=Y52),0)),""))</f>
        <v/>
      </c>
      <c r="AC52" s="60"/>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
      </c>
      <c r="AF52" s="20" t="str">
        <f>IF(AC52="","",IFERROR(VLOOKUP(AC52,tblDisciplines[],12,FALSE),VLOOKUP(AC52,tblPacts[],5,FALSE)))</f>
        <v/>
      </c>
      <c r="AI52" s="15" t="s">
        <v>39</v>
      </c>
      <c r="AJ52" s="61">
        <f t="shared" si="1"/>
        <v>0</v>
      </c>
      <c r="AK52" s="61">
        <f>IF(AJ52=0,IF(COUNTIF($E$42:$E$49,AI52)&gt;0,-3,-1),AJ52)</f>
        <v>-1</v>
      </c>
    </row>
    <row r="53" spans="1:37">
      <c r="A53" s="1" t="s">
        <v>52</v>
      </c>
      <c r="B53" t="str">
        <f ca="1">REPT("□",P221) &amp; REPT("■",15-P221)</f>
        <v>□□□□□□□□■■■■■■■</v>
      </c>
      <c r="D53" s="18"/>
      <c r="E53" s="15" t="s">
        <v>34</v>
      </c>
      <c r="F53" s="18"/>
      <c r="G53" s="3"/>
      <c r="H53" s="18"/>
      <c r="I53" s="18"/>
      <c r="L53" s="4">
        <v>3</v>
      </c>
      <c r="M53" s="60"/>
      <c r="N53" s="4"/>
      <c r="O53" s="61">
        <f t="shared" ref="O53:O59" si="9">ROUNDDOWN(N53/2,0)</f>
        <v>0</v>
      </c>
      <c r="P53" s="60">
        <f t="shared" si="7"/>
        <v>3</v>
      </c>
      <c r="R53" s="61">
        <v>5</v>
      </c>
      <c r="T53" s="4"/>
      <c r="U53" s="4"/>
      <c r="V53" s="61">
        <f t="shared" si="8"/>
        <v>0</v>
      </c>
      <c r="W53" s="4"/>
      <c r="Y53" s="15">
        <v>5</v>
      </c>
      <c r="Z53" s="61" t="s">
        <v>237</v>
      </c>
      <c r="AA53" s="60" t="str" cm="1">
        <f t="array" ref="AA53">IF(OR(Y53=0,Y53=""),"",IF(VLOOKUP(Z53,$AI$1:$AJ$58,2,FALSE)&gt;=Y53,INDEX(tblDisciplines[Name],MATCH(1,(tblDisciplines[Discipline]=Z53)*(tblDisciplines[Rank]=Y53),0)),""))</f>
        <v/>
      </c>
      <c r="AC53" s="60"/>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
      </c>
      <c r="AF53" s="20" t="str">
        <f>IF(AC53="","",IFERROR(VLOOKUP(AC53,tblDisciplines[],12,FALSE),VLOOKUP(AC53,tblPacts[],5,FALSE)))</f>
        <v/>
      </c>
      <c r="AI53" s="15" t="s">
        <v>247</v>
      </c>
      <c r="AJ53" s="61">
        <f t="shared" si="1"/>
        <v>0</v>
      </c>
      <c r="AK53" s="61">
        <f>AJ53</f>
        <v>0</v>
      </c>
    </row>
    <row r="54" spans="1:37">
      <c r="A54" s="1" t="s">
        <v>53</v>
      </c>
      <c r="B54" t="str">
        <f>_xlfn.CONCAT(P74-L224," / ",P74)</f>
        <v>6 / 6</v>
      </c>
      <c r="D54" s="18"/>
      <c r="E54" s="15" t="s">
        <v>35</v>
      </c>
      <c r="F54" s="18"/>
      <c r="G54" s="3" t="s">
        <v>1308</v>
      </c>
      <c r="H54" s="18"/>
      <c r="I54" s="18"/>
      <c r="L54" s="4">
        <v>1</v>
      </c>
      <c r="M54" s="60"/>
      <c r="N54" s="4"/>
      <c r="O54" s="61">
        <f t="shared" si="9"/>
        <v>0</v>
      </c>
      <c r="P54" s="60">
        <f t="shared" si="7"/>
        <v>1</v>
      </c>
      <c r="R54" s="61">
        <v>5</v>
      </c>
      <c r="T54" s="4">
        <v>1</v>
      </c>
      <c r="U54" s="4"/>
      <c r="V54" s="61">
        <f t="shared" si="8"/>
        <v>0</v>
      </c>
      <c r="W54" s="4"/>
      <c r="Y54" s="15">
        <f>P167</f>
        <v>0</v>
      </c>
      <c r="Z54" s="61" t="s">
        <v>238</v>
      </c>
      <c r="AA54" s="60" t="str" cm="1">
        <f t="array" ref="AA54">IF(OR(Y54=0,Y54=""),"",IF(VLOOKUP(Z54,$AI$1:$AJ$58,2,FALSE)&gt;=Y54,INDEX(tblDisciplines[Name],MATCH(1,(tblDisciplines[Discipline]=Z54)*(tblDisciplines[Rank]=Y54),0)),""))</f>
        <v/>
      </c>
      <c r="AC54" s="60"/>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
      </c>
      <c r="AF54" s="20" t="str">
        <f>IF(AC54="","",IFERROR(VLOOKUP(AC54,tblDisciplines[],12,FALSE),VLOOKUP(AC54,tblPacts[],5,FALSE)))</f>
        <v/>
      </c>
      <c r="AI54" s="15" t="s">
        <v>252</v>
      </c>
      <c r="AJ54" s="61">
        <f t="shared" si="1"/>
        <v>0</v>
      </c>
      <c r="AK54" s="61">
        <f>AJ54</f>
        <v>0</v>
      </c>
    </row>
    <row r="55" spans="1:37">
      <c r="A55" s="1" t="s">
        <v>54</v>
      </c>
      <c r="B55" t="str">
        <f>REPT("□",P74) &amp; REPT("■",10-P74)</f>
        <v>□□□□□□■■■■</v>
      </c>
      <c r="D55" s="18"/>
      <c r="E55" s="15" t="s">
        <v>36</v>
      </c>
      <c r="F55" s="18"/>
      <c r="G55" s="3"/>
      <c r="H55" s="18"/>
      <c r="I55" s="18"/>
      <c r="L55" s="4">
        <v>1</v>
      </c>
      <c r="M55" s="60"/>
      <c r="N55" s="4"/>
      <c r="O55" s="61">
        <f t="shared" si="9"/>
        <v>0</v>
      </c>
      <c r="P55" s="60">
        <f t="shared" si="7"/>
        <v>1</v>
      </c>
      <c r="R55" s="61">
        <v>5</v>
      </c>
      <c r="T55" s="4"/>
      <c r="U55" s="4"/>
      <c r="V55" s="61">
        <f t="shared" si="8"/>
        <v>0</v>
      </c>
      <c r="W55" s="4"/>
      <c r="Y55" s="15">
        <v>1</v>
      </c>
      <c r="Z55" s="61" t="s">
        <v>239</v>
      </c>
      <c r="AA55" s="60" t="str" cm="1">
        <f t="array" ref="AA55">IF(OR(Y55=0,Y55=""),"",IF(VLOOKUP(Z55,$AI$1:$AJ$58,2,FALSE)&gt;=Y55,INDEX(tblDisciplines[Name],MATCH(1,(tblDisciplines[Discipline]=Z55)*(tblDisciplines[Rank]=Y55),0)),""))</f>
        <v/>
      </c>
      <c r="AC55" s="60"/>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
      </c>
      <c r="AF55" s="20" t="str">
        <f>IF(AC55="","",IFERROR(VLOOKUP(AC55,tblDisciplines[],12,FALSE),VLOOKUP(AC55,tblPacts[],5,FALSE)))</f>
        <v/>
      </c>
      <c r="AI55" s="15" t="s">
        <v>245</v>
      </c>
      <c r="AJ55" s="61">
        <f t="shared" si="1"/>
        <v>2</v>
      </c>
      <c r="AK55" s="61">
        <f>AJ55+IFERROR(INDEX($V$26:$V$38,MATCH(AI55,$E$26:$E$38,0)),0)</f>
        <v>2</v>
      </c>
    </row>
    <row r="56" spans="1:37">
      <c r="A56" s="1" t="s">
        <v>55</v>
      </c>
      <c r="B56" t="str">
        <f ca="1">_xlfn.CONCAT(P75-L223," / ",P75)</f>
        <v>10 / 10</v>
      </c>
      <c r="D56" s="19"/>
      <c r="E56" s="15" t="s">
        <v>37</v>
      </c>
      <c r="F56" s="18"/>
      <c r="G56" s="3"/>
      <c r="H56" s="18"/>
      <c r="I56" s="18"/>
      <c r="L56" s="4"/>
      <c r="M56" s="60"/>
      <c r="N56" s="4"/>
      <c r="O56" s="61">
        <f t="shared" si="9"/>
        <v>0</v>
      </c>
      <c r="P56" s="60">
        <f t="shared" si="7"/>
        <v>0</v>
      </c>
      <c r="R56" s="61">
        <v>5</v>
      </c>
      <c r="T56" s="4"/>
      <c r="U56" s="4"/>
      <c r="V56" s="61">
        <f t="shared" si="8"/>
        <v>0</v>
      </c>
      <c r="W56" s="4"/>
      <c r="Y56" s="15">
        <v>2</v>
      </c>
      <c r="Z56" s="61" t="s">
        <v>239</v>
      </c>
      <c r="AA56" s="60" t="str" cm="1">
        <f t="array" ref="AA56">IF(OR(Y56=0,Y56=""),"",IF(VLOOKUP(Z56,$AI$1:$AJ$58,2,FALSE)&gt;=Y56,INDEX(tblDisciplines[Name],MATCH(1,(tblDisciplines[Discipline]=Z56)*(tblDisciplines[Rank]=Y56),0)),""))</f>
        <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1"/>
        <v>0</v>
      </c>
      <c r="AK56" s="61">
        <f>IF(AJ56=0,IF(COUNTIF($E$42:$E$49,AI56)&gt;0,-3,-1),AJ56)</f>
        <v>-1</v>
      </c>
    </row>
    <row r="57" spans="1:37">
      <c r="A57" s="1" t="s">
        <v>56</v>
      </c>
      <c r="B57" t="str">
        <f ca="1">REPT("□",P75-L223) &amp; REPT("■",20-P75+L223)</f>
        <v>□□□□□□□□□□■■■■■■■■■■</v>
      </c>
      <c r="D57" s="19"/>
      <c r="E57" s="15" t="s">
        <v>38</v>
      </c>
      <c r="F57" s="18"/>
      <c r="G57" s="3"/>
      <c r="H57" s="18"/>
      <c r="I57" s="18"/>
      <c r="L57" s="4"/>
      <c r="M57" s="60"/>
      <c r="N57" s="4"/>
      <c r="O57" s="61">
        <f t="shared" si="9"/>
        <v>0</v>
      </c>
      <c r="P57" s="60">
        <f t="shared" si="7"/>
        <v>0</v>
      </c>
      <c r="R57" s="61">
        <v>5</v>
      </c>
      <c r="T57" s="4"/>
      <c r="U57" s="4"/>
      <c r="V57" s="61">
        <f t="shared" si="8"/>
        <v>0</v>
      </c>
      <c r="W57" s="4"/>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1"/>
        <v>6</v>
      </c>
      <c r="AK57" s="61">
        <f>AJ57</f>
        <v>6</v>
      </c>
    </row>
    <row r="58" spans="1:37">
      <c r="A58" s="1" t="s">
        <v>57</v>
      </c>
      <c r="B58">
        <f ca="1">VLOOKUP(VLOOKUP("Blood Potency", INDIRECT($AH$1),2,FALSE),tblBloodPotency[#Data],3,FALSE)</f>
        <v>1</v>
      </c>
      <c r="D58" s="19"/>
      <c r="E58" s="15" t="s">
        <v>39</v>
      </c>
      <c r="F58" s="18"/>
      <c r="G58" s="3"/>
      <c r="H58" s="18"/>
      <c r="I58" s="18"/>
      <c r="L58" s="4"/>
      <c r="M58" s="60"/>
      <c r="N58" s="4"/>
      <c r="O58" s="61">
        <f t="shared" si="9"/>
        <v>0</v>
      </c>
      <c r="P58" s="60">
        <f t="shared" si="7"/>
        <v>0</v>
      </c>
      <c r="R58" s="61">
        <v>5</v>
      </c>
      <c r="T58" s="4"/>
      <c r="U58" s="4"/>
      <c r="V58" s="61">
        <f t="shared" si="8"/>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1"/>
        <v>3</v>
      </c>
      <c r="AK58" s="61">
        <f>AJ58+IFERROR(INDEX($V$26:$V$38,MATCH(AI58,$E$26:$E$38,0)),0)</f>
        <v>3</v>
      </c>
    </row>
    <row r="59" spans="1:37">
      <c r="A59" s="1" t="s">
        <v>58</v>
      </c>
      <c r="B59" t="str">
        <f ca="1">VLOOKUP(VLOOKUP("Blood Potency", INDIRECT($AH$1),2,FALSE),tblBloodPotency[#Data],4,FALSE)</f>
        <v>Animals</v>
      </c>
      <c r="D59" s="19"/>
      <c r="E59" s="15" t="s">
        <v>40</v>
      </c>
      <c r="F59" s="18"/>
      <c r="G59" s="3"/>
      <c r="H59" s="18"/>
      <c r="I59" s="18"/>
      <c r="L59" s="4"/>
      <c r="M59" s="60"/>
      <c r="N59" s="4"/>
      <c r="O59" s="61">
        <f t="shared" si="9"/>
        <v>0</v>
      </c>
      <c r="P59" s="60">
        <f t="shared" si="7"/>
        <v>0</v>
      </c>
      <c r="R59" s="61">
        <v>5</v>
      </c>
      <c r="T59" s="4"/>
      <c r="U59" s="4"/>
      <c r="V59" s="61">
        <f t="shared" si="8"/>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0">IFERROR(IF(VLOOKUP(SUBSTITUTE(A60," Spec",""),$E$42:$G$69,3,FALSE)=0,"",VLOOKUP(SUBSTITUTE(A60," Spec",""),$E$42:$G$69,3,FALSE)),"")</f>
        <v/>
      </c>
      <c r="Y60" s="15">
        <v>1</v>
      </c>
      <c r="Z60" s="61" t="s">
        <v>240</v>
      </c>
      <c r="AA60" s="60" t="str" cm="1">
        <f t="array" ref="AA60">IF(OR(Y60=0,Y60=""),"",IF(VLOOKUP(Z60,$AI$1:$AJ$58,2,FALSE)&gt;=Y60,INDEX(tblDisciplines[Name],MATCH(1,(tblDisciplines[Discipline]=Z60)*(tblDisciplines[Rank]=Y60),0)),""))</f>
        <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0"/>
        <v/>
      </c>
      <c r="D61" s="16" t="s">
        <v>1459</v>
      </c>
      <c r="E61" s="17"/>
      <c r="F61" s="17"/>
      <c r="G61" s="17" t="s">
        <v>1467</v>
      </c>
      <c r="H61" s="16" t="s">
        <v>1446</v>
      </c>
      <c r="I61" s="3" t="s">
        <v>1565</v>
      </c>
      <c r="L61" s="60">
        <f>IF(I61="",0,VLOOKUP(I61,tblPriority[#Data],3,FALSE))-SUM(L62:L69)</f>
        <v>0</v>
      </c>
      <c r="Y61" s="15">
        <v>2</v>
      </c>
      <c r="Z61" s="61" t="s">
        <v>240</v>
      </c>
      <c r="AA61" s="60" t="str" cm="1">
        <f t="array" ref="AA61">IF(OR(Y61=0,Y61=""),"",IF(VLOOKUP(Z61,$AI$1:$AJ$58,2,FALSE)&gt;=Y61,INDEX(tblDisciplines[Name],MATCH(1,(tblDisciplines[Discipline]=Z61)*(tblDisciplines[Rank]=Y61),0)),""))</f>
        <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0"/>
        <v/>
      </c>
      <c r="D62" s="18"/>
      <c r="E62" s="15" t="s">
        <v>41</v>
      </c>
      <c r="F62" s="18"/>
      <c r="G62" s="3"/>
      <c r="H62" s="18"/>
      <c r="I62" s="18"/>
      <c r="L62" s="4"/>
      <c r="M62" s="60"/>
      <c r="N62" s="4"/>
      <c r="O62" s="61">
        <f>ROUNDDOWN(N62/2,0)</f>
        <v>0</v>
      </c>
      <c r="P62" s="60">
        <f t="shared" ref="P62:P69" si="11">MIN(SUM(L62,M62,O62),R62)</f>
        <v>0</v>
      </c>
      <c r="R62" s="61">
        <v>5</v>
      </c>
      <c r="T62" s="4"/>
      <c r="U62" s="4"/>
      <c r="V62" s="61">
        <f t="shared" ref="V62:V69" si="12">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0"/>
        <v/>
      </c>
      <c r="D63" s="19"/>
      <c r="E63" s="15" t="s">
        <v>42</v>
      </c>
      <c r="F63" s="18"/>
      <c r="G63" s="3"/>
      <c r="H63" s="18"/>
      <c r="I63" s="18"/>
      <c r="L63" s="4"/>
      <c r="M63" s="60"/>
      <c r="N63" s="4"/>
      <c r="O63" s="61">
        <f t="shared" ref="O63:O69" si="13">ROUNDDOWN(N63/2,0)</f>
        <v>0</v>
      </c>
      <c r="P63" s="60">
        <f t="shared" si="11"/>
        <v>0</v>
      </c>
      <c r="R63" s="61">
        <v>5</v>
      </c>
      <c r="T63" s="4"/>
      <c r="U63" s="4"/>
      <c r="V63" s="61">
        <f t="shared" si="12"/>
        <v>0</v>
      </c>
      <c r="W63" s="4"/>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0"/>
        <v/>
      </c>
      <c r="D64" s="19"/>
      <c r="E64" s="15" t="s">
        <v>43</v>
      </c>
      <c r="F64" s="18"/>
      <c r="G64" s="3"/>
      <c r="H64" s="18"/>
      <c r="I64" s="18"/>
      <c r="L64" s="4">
        <v>2</v>
      </c>
      <c r="M64" s="60"/>
      <c r="N64" s="4"/>
      <c r="O64" s="61">
        <f t="shared" si="13"/>
        <v>0</v>
      </c>
      <c r="P64" s="60">
        <f t="shared" si="11"/>
        <v>2</v>
      </c>
      <c r="R64" s="61">
        <v>5</v>
      </c>
      <c r="T64" s="4"/>
      <c r="U64" s="4"/>
      <c r="V64" s="61">
        <f t="shared" si="12"/>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0"/>
        <v/>
      </c>
      <c r="D65" s="19"/>
      <c r="E65" s="15" t="s">
        <v>44</v>
      </c>
      <c r="F65" s="18"/>
      <c r="G65" s="3" t="s">
        <v>1309</v>
      </c>
      <c r="H65" s="18"/>
      <c r="I65" s="18"/>
      <c r="L65" s="4">
        <v>3</v>
      </c>
      <c r="M65" s="60"/>
      <c r="N65" s="4"/>
      <c r="O65" s="61">
        <f t="shared" si="13"/>
        <v>0</v>
      </c>
      <c r="P65" s="60">
        <f t="shared" si="11"/>
        <v>3</v>
      </c>
      <c r="R65" s="61">
        <v>5</v>
      </c>
      <c r="T65" s="4">
        <v>1</v>
      </c>
      <c r="U65" s="4"/>
      <c r="V65" s="61">
        <f t="shared" si="12"/>
        <v>0</v>
      </c>
      <c r="W65" s="4"/>
      <c r="Y65" s="15">
        <v>1</v>
      </c>
      <c r="Z65" s="61" t="s">
        <v>241</v>
      </c>
      <c r="AA65" s="60" t="str" cm="1">
        <f t="array" ref="AA65">IF(OR(Y65=0,Y65=""),"",IF(VLOOKUP(Z65,$AI$1:$AJ$58,2,FALSE)&gt;=Y65,INDEX(tblDisciplines[Name],MATCH(1,(tblDisciplines[Discipline]=Z65)*(tblDisciplines[Rank]=Y65),0)),""))</f>
        <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0"/>
        <v/>
      </c>
      <c r="D66" s="19"/>
      <c r="E66" s="15" t="s">
        <v>45</v>
      </c>
      <c r="F66" s="18"/>
      <c r="G66" s="3"/>
      <c r="H66" s="18"/>
      <c r="I66" s="18"/>
      <c r="L66" s="4">
        <v>1</v>
      </c>
      <c r="M66" s="60"/>
      <c r="N66" s="4"/>
      <c r="O66" s="61">
        <f t="shared" si="13"/>
        <v>0</v>
      </c>
      <c r="P66" s="60">
        <f t="shared" si="11"/>
        <v>1</v>
      </c>
      <c r="R66" s="61">
        <v>5</v>
      </c>
      <c r="T66" s="4"/>
      <c r="U66" s="4"/>
      <c r="V66" s="61">
        <f t="shared" si="12"/>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0"/>
        <v/>
      </c>
      <c r="D67" s="19"/>
      <c r="E67" s="15" t="s">
        <v>46</v>
      </c>
      <c r="F67" s="18"/>
      <c r="G67" s="3"/>
      <c r="H67" s="18"/>
      <c r="I67" s="18"/>
      <c r="L67" s="4">
        <v>2</v>
      </c>
      <c r="M67" s="60"/>
      <c r="N67" s="4"/>
      <c r="O67" s="61">
        <f t="shared" si="13"/>
        <v>0</v>
      </c>
      <c r="P67" s="60">
        <f t="shared" si="11"/>
        <v>2</v>
      </c>
      <c r="R67" s="61">
        <v>5</v>
      </c>
      <c r="T67" s="4"/>
      <c r="U67" s="4"/>
      <c r="V67" s="61">
        <f t="shared" si="12"/>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0"/>
        <v/>
      </c>
      <c r="D68" s="18"/>
      <c r="E68" s="15" t="s">
        <v>47</v>
      </c>
      <c r="F68" s="18"/>
      <c r="G68" s="3" t="s">
        <v>1310</v>
      </c>
      <c r="H68" s="18"/>
      <c r="I68" s="18"/>
      <c r="L68" s="4">
        <v>3</v>
      </c>
      <c r="M68" s="60"/>
      <c r="N68" s="4"/>
      <c r="O68" s="61">
        <f t="shared" si="13"/>
        <v>0</v>
      </c>
      <c r="P68" s="60">
        <f t="shared" si="11"/>
        <v>3</v>
      </c>
      <c r="R68" s="61">
        <v>5</v>
      </c>
      <c r="T68" s="4">
        <v>1</v>
      </c>
      <c r="U68" s="4"/>
      <c r="V68" s="61">
        <f t="shared" si="12"/>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0"/>
        <v/>
      </c>
      <c r="D69" s="18"/>
      <c r="E69" s="15" t="s">
        <v>48</v>
      </c>
      <c r="F69" s="18"/>
      <c r="G69" s="3"/>
      <c r="H69" s="18"/>
      <c r="I69" s="18"/>
      <c r="L69" s="4"/>
      <c r="M69" s="60"/>
      <c r="N69" s="4"/>
      <c r="O69" s="61">
        <f t="shared" si="13"/>
        <v>0</v>
      </c>
      <c r="P69" s="60">
        <f t="shared" si="11"/>
        <v>0</v>
      </c>
      <c r="R69" s="61">
        <v>5</v>
      </c>
      <c r="T69" s="4"/>
      <c r="U69" s="4"/>
      <c r="V69" s="61">
        <f t="shared" si="12"/>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0"/>
        <v>speeding</v>
      </c>
      <c r="Y70" s="15">
        <v>1</v>
      </c>
      <c r="Z70" s="61" t="s">
        <v>242</v>
      </c>
      <c r="AA70" s="60" t="str" cm="1">
        <f t="array" ref="AA70">IF(OR(Y70=0,Y70=""),"",IF(VLOOKUP(Z70,$AI$1:$AJ$58,2,FALSE)&gt;=Y70,INDEX(tblDisciplines[Name],MATCH(1,(tblDisciplines[Discipline]=Z70)*(tblDisciplines[Rank]=Y70),0)),""))</f>
        <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0"/>
        <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0"/>
        <v/>
      </c>
      <c r="D72" s="19"/>
      <c r="E72" s="15" t="s">
        <v>49</v>
      </c>
      <c r="F72" s="19"/>
      <c r="G72" s="19"/>
      <c r="H72" s="19"/>
      <c r="I72" s="19"/>
      <c r="K72" s="4"/>
      <c r="L72" s="4"/>
      <c r="M72" s="60">
        <v>1</v>
      </c>
      <c r="N72" s="4"/>
      <c r="O72" s="61">
        <f>ROUNDDOWN(N72/5,0)</f>
        <v>0</v>
      </c>
      <c r="P72" s="60">
        <f>MIN(SUM(K72*-1,ROUNDDOWN(L72/5,0),M72,O72),R72)</f>
        <v>1</v>
      </c>
      <c r="R72" s="61">
        <v>2</v>
      </c>
      <c r="Y72" s="15">
        <v>3</v>
      </c>
      <c r="Z72" s="61" t="s">
        <v>242</v>
      </c>
      <c r="AA72" s="60" t="str" cm="1">
        <f t="array" ref="AA72">IF(OR(Y72=0,Y72=""),"",IF(VLOOKUP(Z72,$AI$1:$AJ$58,2,FALSE)&gt;=Y72,INDEX(tblDisciplines[Name],MATCH(1,(tblDisciplines[Discipline]=Z72)*(tblDisciplines[Rank]=Y72),0)),""))</f>
        <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0"/>
        <v/>
      </c>
      <c r="D73" s="19"/>
      <c r="E73" s="15" t="s">
        <v>1448</v>
      </c>
      <c r="F73" s="19"/>
      <c r="G73" s="19"/>
      <c r="H73" s="19"/>
      <c r="I73" s="19"/>
      <c r="K73" s="4"/>
      <c r="M73" s="60">
        <v>7</v>
      </c>
      <c r="N73" s="4"/>
      <c r="O73" s="61">
        <f>ROUNDDOWN(N73/2,0)</f>
        <v>0</v>
      </c>
      <c r="P73" s="60">
        <f>MIN(SUM(K73*-1,M73,O73),R73)</f>
        <v>7</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0"/>
        <v/>
      </c>
      <c r="D74" s="19"/>
      <c r="E74" s="15" t="s">
        <v>53</v>
      </c>
      <c r="F74" s="19"/>
      <c r="G74" s="19"/>
      <c r="H74" s="19"/>
      <c r="I74" s="19"/>
      <c r="K74" s="4"/>
      <c r="M74" s="60">
        <f>P28+P38</f>
        <v>6</v>
      </c>
      <c r="N74" s="4"/>
      <c r="O74" s="61">
        <f>N74</f>
        <v>0</v>
      </c>
      <c r="P74" s="60">
        <f>MIN(SUM(K74*-1,M74,O74),R74)</f>
        <v>6</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0"/>
        <v/>
      </c>
      <c r="D75" s="19"/>
      <c r="E75" s="15" t="s">
        <v>55</v>
      </c>
      <c r="F75" s="19"/>
      <c r="G75" s="19"/>
      <c r="H75" s="19"/>
      <c r="I75" s="19"/>
      <c r="P75" s="60">
        <f ca="1">VLOOKUP(VLOOKUP("Blood Potency",INDIRECT($AH$1),2,FALSE),tblBloodPotency[],2,FALSE)</f>
        <v>10</v>
      </c>
      <c r="Y75" s="15">
        <v>1</v>
      </c>
      <c r="Z75" s="61" t="s">
        <v>243</v>
      </c>
      <c r="AA75" s="60" t="str" cm="1">
        <f t="array" ref="AA75">IF(OR(Y75=0,Y75=""),"",IF(VLOOKUP(Z75,$AI$1:$AJ$58,2,FALSE)&gt;=Y75,INDEX(tblDisciplines[Name],MATCH(1,(tblDisciplines[Discipline]=Z75)*(tblDisciplines[Rank]=Y75),0)),""))</f>
        <v>Unmarked Grave</v>
      </c>
    </row>
    <row r="76" spans="1:32">
      <c r="A76" s="1" t="s">
        <v>75</v>
      </c>
      <c r="B76" t="str">
        <f t="shared" si="10"/>
        <v/>
      </c>
      <c r="Y76" s="15">
        <v>2</v>
      </c>
      <c r="Z76" s="61" t="s">
        <v>243</v>
      </c>
      <c r="AA76" s="60" t="str" cm="1">
        <f t="array" ref="AA76">IF(OR(Y76=0,Y76=""),"",IF(VLOOKUP(Z76,$AI$1:$AJ$58,2,FALSE)&gt;=Y76,INDEX(tblDisciplines[Name],MATCH(1,(tblDisciplines[Discipline]=Z76)*(tblDisciplines[Rank]=Y76),0)),""))</f>
        <v>Predatory Aspect</v>
      </c>
    </row>
    <row r="77" spans="1:32" ht="15.75" thickBot="1">
      <c r="A77" s="1" t="s">
        <v>76</v>
      </c>
      <c r="B77" t="str">
        <f t="shared" si="10"/>
        <v/>
      </c>
      <c r="D77" s="14" t="s">
        <v>1470</v>
      </c>
      <c r="E77" s="14"/>
      <c r="F77" s="14"/>
      <c r="G77" s="14"/>
      <c r="H77" s="14"/>
      <c r="I77" s="14"/>
      <c r="N77" s="60">
        <f>SUM(N79:N98,N101:N120,N206:N215,N132:N135,N138:N157,N160:N161)</f>
        <v>3</v>
      </c>
      <c r="Y77" s="15">
        <v>3</v>
      </c>
      <c r="Z77" s="61" t="s">
        <v>243</v>
      </c>
      <c r="AA77" s="60" t="str" cm="1">
        <f t="array" ref="AA77">IF(OR(Y77=0,Y77=""),"",IF(VLOOKUP(Z77,$AI$1:$AJ$58,2,FALSE)&gt;=Y77,INDEX(tblDisciplines[Name],MATCH(1,(tblDisciplines[Discipline]=Z77)*(tblDisciplines[Rank]=Y77),0)),""))</f>
        <v>Beast's Skin</v>
      </c>
    </row>
    <row r="78" spans="1:32">
      <c r="A78" s="1" t="s">
        <v>77</v>
      </c>
      <c r="B78" t="str">
        <f t="shared" si="10"/>
        <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Unnatural Aspect</v>
      </c>
    </row>
    <row r="79" spans="1:32">
      <c r="A79" s="1" t="s">
        <v>78</v>
      </c>
      <c r="B79" t="str">
        <f t="shared" si="10"/>
        <v>veiled threats</v>
      </c>
      <c r="D79" s="19"/>
      <c r="E79" s="15" t="s">
        <v>114</v>
      </c>
      <c r="F79" s="3" t="s">
        <v>1818</v>
      </c>
      <c r="G79" s="3"/>
      <c r="H79" s="67" t="str">
        <f>_xlfn.IFNA(IF(VLOOKUP(F79,tblMerits[],6,FALSE)=0,"None",VLOOKUP(F79,tblMerits[],6,FALSE)),"None")</f>
        <v>Not Cutthroat or Enticing</v>
      </c>
      <c r="I79" s="67"/>
      <c r="L79" s="4">
        <v>1</v>
      </c>
      <c r="M79" s="4"/>
      <c r="N79" s="4"/>
      <c r="O79" s="61">
        <f>N79</f>
        <v>0</v>
      </c>
      <c r="P79" s="60">
        <f t="shared" ref="P79:P98" si="14">MIN(SUM(L79,M79,O79),R79)</f>
        <v>1</v>
      </c>
      <c r="Q79" s="61">
        <f>_xlfn.IFNA(VLOOKUP($F79,tblMerits[],3,FALSE),"")</f>
        <v>1</v>
      </c>
      <c r="R79" s="61">
        <f>_xlfn.IFNA(VLOOKUP($F79,tblMerits[],4,FALSE),"")</f>
        <v>1</v>
      </c>
      <c r="Y79" s="15">
        <v>5</v>
      </c>
      <c r="Z79" s="61" t="s">
        <v>243</v>
      </c>
      <c r="AA79" s="60" t="str" cm="1">
        <f t="array" ref="AA79">IF(OR(Y79=0,Y79=""),"",IF(VLOOKUP(Z79,$AI$1:$AJ$58,2,FALSE)&gt;=Y79,INDEX(tblDisciplines[Name],MATCH(1,(tblDisciplines[Discipline]=Z79)*(tblDisciplines[Rank]=Y79),0)),""))</f>
        <v/>
      </c>
    </row>
    <row r="80" spans="1:32">
      <c r="A80" s="1" t="s">
        <v>79</v>
      </c>
      <c r="B80" t="str">
        <f t="shared" si="10"/>
        <v/>
      </c>
      <c r="D80" s="19"/>
      <c r="E80" s="15" t="s">
        <v>115</v>
      </c>
      <c r="F80" s="3" t="s">
        <v>1590</v>
      </c>
      <c r="G80" s="3"/>
      <c r="H80" s="67" t="str">
        <f>_xlfn.IFNA(IF(VLOOKUP(F80,tblMerits[],6,FALSE)=0,"None",VLOOKUP(F80,tblMerits[],6,FALSE)),"None")</f>
        <v>Resolve 3</v>
      </c>
      <c r="I80" s="67"/>
      <c r="L80" s="4"/>
      <c r="M80" s="4"/>
      <c r="N80" s="4">
        <v>2</v>
      </c>
      <c r="O80" s="61">
        <f t="shared" ref="O80:O98" si="15">N80</f>
        <v>2</v>
      </c>
      <c r="P80" s="60">
        <f t="shared" si="14"/>
        <v>2</v>
      </c>
      <c r="Q80" s="61">
        <f>_xlfn.IFNA(VLOOKUP($F80,tblMerits[],3,FALSE),"")</f>
        <v>2</v>
      </c>
      <c r="R80" s="61">
        <f>_xlfn.IFNA(VLOOKUP($F80,tblMerits[],4,FALSE),"")</f>
        <v>2</v>
      </c>
      <c r="Y80" s="15">
        <f>P173</f>
        <v>1</v>
      </c>
      <c r="Z80" s="61" t="s">
        <v>244</v>
      </c>
      <c r="AA80" s="60" t="str" cm="1">
        <f t="array" ref="AA80">IF(OR(Y80=0,Y80=""),"",IF(VLOOKUP(Z80,$AI$1:$AJ$58,2,FALSE)&gt;=Y80,INDEX(tblDisciplines[Name],MATCH(1,(tblDisciplines[Discipline]=Z80)*(tblDisciplines[Rank]=Y80),0)),""))</f>
        <v>Resilience 1</v>
      </c>
    </row>
    <row r="81" spans="1:27">
      <c r="A81" s="1" t="s">
        <v>80</v>
      </c>
      <c r="B81" t="str">
        <f t="shared" si="10"/>
        <v/>
      </c>
      <c r="D81" s="19"/>
      <c r="E81" s="15" t="s">
        <v>116</v>
      </c>
      <c r="F81" s="3" t="s">
        <v>1684</v>
      </c>
      <c r="G81" s="3"/>
      <c r="H81" s="67" t="str">
        <f>_xlfn.IFNA(IF(VLOOKUP(F81,tblMerits[],6,FALSE)=0,"None",VLOOKUP(F81,tblMerits[],6,FALSE)),"None")</f>
        <v>Protean 4</v>
      </c>
      <c r="I81" s="67"/>
      <c r="L81" s="4"/>
      <c r="M81" s="4"/>
      <c r="N81" s="4">
        <v>1</v>
      </c>
      <c r="O81" s="61">
        <f t="shared" si="15"/>
        <v>1</v>
      </c>
      <c r="P81" s="60">
        <f t="shared" si="14"/>
        <v>1</v>
      </c>
      <c r="Q81" s="61">
        <f>_xlfn.IFNA(VLOOKUP($F81,tblMerits[],3,FALSE),"")</f>
        <v>1</v>
      </c>
      <c r="R81" s="61">
        <f>_xlfn.IFNA(VLOOKUP($F81,tblMerits[],4,FALSE),"")</f>
        <v>1</v>
      </c>
      <c r="Y81" s="15">
        <f>P174</f>
        <v>2</v>
      </c>
      <c r="Z81" s="61" t="s">
        <v>245</v>
      </c>
      <c r="AA81" s="60" t="str" cm="1">
        <f t="array" ref="AA81">IF(OR(Y81=0,Y81=""),"",IF(VLOOKUP(Z81,$AI$1:$AJ$58,2,FALSE)&gt;=Y81,INDEX(tblDisciplines[Name],MATCH(1,(tblDisciplines[Discipline]=Z81)*(tblDisciplines[Rank]=Y81),0)),""))</f>
        <v>Vigour 2</v>
      </c>
    </row>
    <row r="82" spans="1:27">
      <c r="A82" s="1" t="s">
        <v>81</v>
      </c>
      <c r="B82" t="str">
        <f t="shared" si="10"/>
        <v>Navigation</v>
      </c>
      <c r="D82" s="19"/>
      <c r="E82" s="15" t="s">
        <v>117</v>
      </c>
      <c r="F82" s="3"/>
      <c r="G82" s="3"/>
      <c r="H82" s="67" t="str">
        <f>_xlfn.IFNA(IF(VLOOKUP(F82,tblMerits[],6,FALSE)=0,"None",VLOOKUP(F82,tblMerits[],6,FALSE)),"None")</f>
        <v>None</v>
      </c>
      <c r="I82" s="67"/>
      <c r="L82" s="4"/>
      <c r="M82" s="4"/>
      <c r="N82" s="4"/>
      <c r="O82" s="61">
        <f t="shared" si="15"/>
        <v>0</v>
      </c>
      <c r="P82" s="60">
        <f t="shared" si="14"/>
        <v>0</v>
      </c>
      <c r="Q82" s="61" t="str">
        <f>_xlfn.IFNA(VLOOKUP($F82,tblMerits[],3,FALSE),"")</f>
        <v/>
      </c>
      <c r="R82" s="61" t="str">
        <f>_xlfn.IFNA(VLOOKUP($F82,tblMerits[],4,FALSE),"")</f>
        <v/>
      </c>
      <c r="Y82" s="61" t="s">
        <v>1472</v>
      </c>
      <c r="Z82" s="19"/>
      <c r="AA82" s="60" t="str">
        <f>IF(P177="","",F177)</f>
        <v/>
      </c>
    </row>
    <row r="83" spans="1:27">
      <c r="A83" s="1" t="s">
        <v>82</v>
      </c>
      <c r="B83" t="str">
        <f t="shared" si="10"/>
        <v/>
      </c>
      <c r="D83" s="19"/>
      <c r="E83" s="15" t="s">
        <v>118</v>
      </c>
      <c r="F83" s="3"/>
      <c r="G83" s="3"/>
      <c r="H83" s="67" t="str">
        <f>_xlfn.IFNA(IF(VLOOKUP(F83,tblMerits[],6,FALSE)=0,"None",VLOOKUP(F83,tblMerits[],6,FALSE)),"None")</f>
        <v>None</v>
      </c>
      <c r="I83" s="67"/>
      <c r="L83" s="4"/>
      <c r="M83" s="4"/>
      <c r="N83" s="4"/>
      <c r="O83" s="61">
        <f t="shared" si="15"/>
        <v>0</v>
      </c>
      <c r="P83" s="60">
        <f t="shared" si="14"/>
        <v>0</v>
      </c>
      <c r="Q83" s="61" t="str">
        <f>_xlfn.IFNA(VLOOKUP($F83,tblMerits[],3,FALSE),"")</f>
        <v/>
      </c>
      <c r="R83" s="61" t="str">
        <f>_xlfn.IFNA(VLOOKUP($F83,tblMerits[],4,FALSE),"")</f>
        <v/>
      </c>
      <c r="Y83" s="61" t="s">
        <v>1472</v>
      </c>
      <c r="Z83" s="19"/>
      <c r="AA83" s="60" t="str">
        <f>IF(P178="","",F178)</f>
        <v/>
      </c>
    </row>
    <row r="84" spans="1:27">
      <c r="A84" s="1" t="s">
        <v>83</v>
      </c>
      <c r="B84">
        <f>P124</f>
        <v>1</v>
      </c>
      <c r="D84" s="19"/>
      <c r="E84" s="15" t="s">
        <v>119</v>
      </c>
      <c r="F84" s="3"/>
      <c r="G84" s="3"/>
      <c r="H84" s="67" t="str">
        <f>_xlfn.IFNA(IF(VLOOKUP(F84,tblMerits[],6,FALSE)=0,"None",VLOOKUP(F84,tblMerits[],6,FALSE)),"None")</f>
        <v>None</v>
      </c>
      <c r="I84" s="67"/>
      <c r="L84" s="4"/>
      <c r="M84" s="4"/>
      <c r="N84" s="4"/>
      <c r="O84" s="61">
        <f t="shared" si="15"/>
        <v>0</v>
      </c>
      <c r="P84" s="60">
        <f t="shared" si="14"/>
        <v>0</v>
      </c>
      <c r="Q84" s="61" t="str">
        <f>_xlfn.IFNA(VLOOKUP($F84,tblMerits[],3,FALSE),"")</f>
        <v/>
      </c>
      <c r="R84" s="61" t="str">
        <f>_xlfn.IFNA(VLOOKUP($F84,tblMerits[],4,FALSE),"")</f>
        <v/>
      </c>
      <c r="Y84" s="61" t="s">
        <v>1472</v>
      </c>
      <c r="Z84" s="19"/>
      <c r="AA84" s="60" t="str">
        <f>IF(P179="","",F179)</f>
        <v/>
      </c>
    </row>
    <row r="85" spans="1:27">
      <c r="A85" s="1" t="s">
        <v>84</v>
      </c>
      <c r="B85">
        <f>P125</f>
        <v>2</v>
      </c>
      <c r="D85" s="19"/>
      <c r="E85" s="15" t="s">
        <v>120</v>
      </c>
      <c r="F85" s="3"/>
      <c r="G85" s="3"/>
      <c r="H85" s="67" t="str">
        <f>_xlfn.IFNA(IF(VLOOKUP(F85,tblMerits[],6,FALSE)=0,"None",VLOOKUP(F85,tblMerits[],6,FALSE)),"None")</f>
        <v>None</v>
      </c>
      <c r="I85" s="67"/>
      <c r="L85" s="4"/>
      <c r="M85" s="4"/>
      <c r="N85" s="4"/>
      <c r="O85" s="61">
        <f t="shared" si="15"/>
        <v>0</v>
      </c>
      <c r="P85" s="60">
        <f t="shared" si="14"/>
        <v>0</v>
      </c>
      <c r="Q85" s="61" t="str">
        <f>_xlfn.IFNA(VLOOKUP($F85,tblMerits[],3,FALSE),"")</f>
        <v/>
      </c>
      <c r="R85" s="61" t="str">
        <f>_xlfn.IFNA(VLOOKUP($F85,tblMerits[],4,FALSE),"")</f>
        <v/>
      </c>
      <c r="Y85" s="61" t="s">
        <v>1472</v>
      </c>
      <c r="Z85" s="19"/>
      <c r="AA85" s="60" t="str">
        <f>IF(P180="","",F180)</f>
        <v/>
      </c>
    </row>
    <row r="86" spans="1:27">
      <c r="A86" s="1" t="s">
        <v>85</v>
      </c>
      <c r="B86">
        <f>P126</f>
        <v>0</v>
      </c>
      <c r="D86" s="19"/>
      <c r="E86" s="15" t="s">
        <v>121</v>
      </c>
      <c r="F86" s="3"/>
      <c r="G86" s="3"/>
      <c r="H86" s="67" t="str">
        <f>_xlfn.IFNA(IF(VLOOKUP(F86,tblMerits[],6,FALSE)=0,"None",VLOOKUP(F86,tblMerits[],6,FALSE)),"None")</f>
        <v>None</v>
      </c>
      <c r="I86" s="67"/>
      <c r="L86" s="4"/>
      <c r="M86" s="4"/>
      <c r="N86" s="4"/>
      <c r="O86" s="61">
        <f t="shared" si="15"/>
        <v>0</v>
      </c>
      <c r="P86" s="60">
        <f t="shared" si="14"/>
        <v>0</v>
      </c>
      <c r="Q86" s="61" t="str">
        <f>_xlfn.IFNA(VLOOKUP($F86,tblMerits[],3,FALSE),"")</f>
        <v/>
      </c>
      <c r="R86" s="61" t="str">
        <f>_xlfn.IFNA(VLOOKUP($F86,tblMerits[],4,FALSE),"")</f>
        <v/>
      </c>
      <c r="Y86" s="61" t="s">
        <v>1472</v>
      </c>
      <c r="Z86" s="19"/>
      <c r="AA86" s="60" t="str">
        <f>IF(P181="","",F181)</f>
        <v/>
      </c>
    </row>
    <row r="87" spans="1:27">
      <c r="A87" s="1" t="s">
        <v>86</v>
      </c>
      <c r="B87" t="str">
        <f>IF(F126="","¬",F126)</f>
        <v>Invictus</v>
      </c>
      <c r="D87" s="19"/>
      <c r="E87" s="15" t="s">
        <v>122</v>
      </c>
      <c r="F87" s="3"/>
      <c r="G87" s="3"/>
      <c r="H87" s="67" t="str">
        <f>_xlfn.IFNA(IF(VLOOKUP(F87,tblMerits[],6,FALSE)=0,"None",VLOOKUP(F87,tblMerits[],6,FALSE)),"None")</f>
        <v>None</v>
      </c>
      <c r="I87" s="67"/>
      <c r="L87" s="4"/>
      <c r="M87" s="4"/>
      <c r="N87" s="4"/>
      <c r="O87" s="61">
        <f t="shared" si="15"/>
        <v>0</v>
      </c>
      <c r="P87" s="60">
        <f t="shared" si="14"/>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
      </c>
    </row>
    <row r="88" spans="1:27">
      <c r="A88" s="1" t="s">
        <v>87</v>
      </c>
      <c r="B88" t="str">
        <f>REPT("●",P126)</f>
        <v/>
      </c>
      <c r="D88" s="19"/>
      <c r="E88" s="15" t="s">
        <v>123</v>
      </c>
      <c r="F88" s="3"/>
      <c r="G88" s="3"/>
      <c r="H88" s="67" t="str">
        <f>_xlfn.IFNA(IF(VLOOKUP(F88,tblMerits[],6,FALSE)=0,"None",VLOOKUP(F88,tblMerits[],6,FALSE)),"None")</f>
        <v>None</v>
      </c>
      <c r="I88" s="67"/>
      <c r="L88" s="4"/>
      <c r="M88" s="4"/>
      <c r="N88" s="4"/>
      <c r="O88" s="61">
        <f t="shared" si="15"/>
        <v>0</v>
      </c>
      <c r="P88" s="60">
        <f t="shared" si="14"/>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Carthian</v>
      </c>
      <c r="D89" s="19"/>
      <c r="E89" s="15" t="s">
        <v>124</v>
      </c>
      <c r="F89" s="3"/>
      <c r="G89" s="3"/>
      <c r="H89" s="67" t="str">
        <f>_xlfn.IFNA(IF(VLOOKUP(F89,tblMerits[],6,FALSE)=0,"None",VLOOKUP(F89,tblMerits[],6,FALSE)),"None")</f>
        <v>None</v>
      </c>
      <c r="I89" s="67"/>
      <c r="L89" s="4"/>
      <c r="M89" s="4"/>
      <c r="N89" s="4"/>
      <c r="O89" s="61">
        <f t="shared" si="15"/>
        <v>0</v>
      </c>
      <c r="P89" s="60">
        <f t="shared" si="14"/>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_xlfn.IFNA(IF(VLOOKUP(F90,tblMerits[],6,FALSE)=0,"None",VLOOKUP(F90,tblMerits[],6,FALSE)),"None")</f>
        <v>None</v>
      </c>
      <c r="I90" s="67"/>
      <c r="L90" s="4"/>
      <c r="M90" s="4"/>
      <c r="N90" s="4"/>
      <c r="O90" s="61">
        <f t="shared" si="15"/>
        <v>0</v>
      </c>
      <c r="P90" s="60">
        <f t="shared" si="14"/>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Crone</v>
      </c>
      <c r="D91" s="19"/>
      <c r="E91" s="15" t="s">
        <v>126</v>
      </c>
      <c r="F91" s="3"/>
      <c r="G91" s="3"/>
      <c r="H91" s="67" t="str">
        <f>_xlfn.IFNA(IF(VLOOKUP(F91,tblMerits[],6,FALSE)=0,"None",VLOOKUP(F91,tblMerits[],6,FALSE)),"None")</f>
        <v>None</v>
      </c>
      <c r="I91" s="67"/>
      <c r="L91" s="4"/>
      <c r="M91" s="4"/>
      <c r="N91" s="4"/>
      <c r="O91" s="61">
        <f t="shared" si="15"/>
        <v>0</v>
      </c>
      <c r="P91" s="60">
        <f t="shared" si="14"/>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5"/>
        <v>0</v>
      </c>
      <c r="P92" s="60">
        <f t="shared" si="14"/>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Lance</v>
      </c>
      <c r="D93" s="19"/>
      <c r="E93" s="15" t="s">
        <v>128</v>
      </c>
      <c r="F93" s="3"/>
      <c r="G93" s="3"/>
      <c r="H93" s="67" t="str">
        <f>_xlfn.IFNA(IF(VLOOKUP(F93,tblMerits[],6,FALSE)=0,"None",VLOOKUP(F93,tblMerits[],6,FALSE)),"None")</f>
        <v>None</v>
      </c>
      <c r="I93" s="67"/>
      <c r="L93" s="4"/>
      <c r="M93" s="4"/>
      <c r="N93" s="4"/>
      <c r="O93" s="61">
        <f t="shared" si="15"/>
        <v>0</v>
      </c>
      <c r="P93" s="60">
        <f t="shared" si="14"/>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5"/>
        <v>0</v>
      </c>
      <c r="P94" s="60">
        <f t="shared" si="14"/>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5"/>
        <v>0</v>
      </c>
      <c r="P95" s="60">
        <f t="shared" si="14"/>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5"/>
        <v>0</v>
      </c>
      <c r="P96" s="60">
        <f t="shared" si="14"/>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5"/>
        <v>0</v>
      </c>
      <c r="P97" s="60">
        <f t="shared" si="14"/>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5"/>
        <v>0</v>
      </c>
      <c r="P98" s="60">
        <f t="shared" si="14"/>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t="s">
        <v>1593</v>
      </c>
      <c r="G101" s="60" t="str">
        <f>IFERROR(VLOOKUP(F101,tblManoeuvre[],2,FALSE)&amp;" "&amp;VLOOKUP(F101,tblManoeuvre[],3,FALSE),"")</f>
        <v>Riding the Wave 1</v>
      </c>
      <c r="H101" s="67" t="str">
        <f>IFERROR(IF(VLOOKUP(F101,tblManoeuvre[],8,FALSE)=0,"None",VLOOKUP(F101,tblManoeuvre[],8,FALSE)),"None")</f>
        <v>Composure 3, Resolve 3</v>
      </c>
      <c r="I101" s="67"/>
      <c r="L101" s="4">
        <v>1</v>
      </c>
      <c r="M101" s="4"/>
      <c r="N101" s="4"/>
      <c r="O101" s="61">
        <f t="shared" ref="O101:O120" si="16">N101</f>
        <v>0</v>
      </c>
      <c r="P101" s="60">
        <f t="shared" ref="P101:P120" si="17">MIN(SUM(L101,M101,O101),R101)</f>
        <v>1</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
      </c>
      <c r="D102" s="19"/>
      <c r="E102" s="15" t="s">
        <v>1441</v>
      </c>
      <c r="F102" s="3" t="s">
        <v>1594</v>
      </c>
      <c r="G102" s="60" t="str">
        <f>IFERROR(VLOOKUP(F102,tblManoeuvre[],2,FALSE)&amp;" "&amp;VLOOKUP(F102,tblManoeuvre[],3,FALSE),"")</f>
        <v>Riding the Wave 2</v>
      </c>
      <c r="H102" s="67" t="str">
        <f>IFERROR(IF(VLOOKUP(F102,tblManoeuvre[],8,FALSE)=0,"None",VLOOKUP(F102,tblManoeuvre[],8,FALSE)),"None")</f>
        <v>Composure 3, Resolve 3</v>
      </c>
      <c r="I102" s="67"/>
      <c r="L102" s="4">
        <v>1</v>
      </c>
      <c r="M102" s="4"/>
      <c r="N102" s="4"/>
      <c r="O102" s="61">
        <f t="shared" si="16"/>
        <v>0</v>
      </c>
      <c r="P102" s="60">
        <f t="shared" si="17"/>
        <v>1</v>
      </c>
      <c r="Q102" s="61">
        <v>1</v>
      </c>
      <c r="R102" s="61">
        <v>1</v>
      </c>
      <c r="Y102" s="15">
        <v>1</v>
      </c>
      <c r="Z102" s="61" t="s">
        <v>251</v>
      </c>
      <c r="AA102" s="60" t="str" cm="1">
        <f t="array" ref="AA102">IF(VLOOKUP(Z102,$AI$1:$AJ$58,2,FALSE)&gt;=Y102,INDEX(tblDisciplines[Name],MATCH(1,(tblDisciplines[Discipline]=Z102)*(tblDisciplines[Rank]=Y102),0)),"")</f>
        <v/>
      </c>
    </row>
    <row r="103" spans="1:27">
      <c r="A103" s="1" t="s">
        <v>102</v>
      </c>
      <c r="B103">
        <f>P73</f>
        <v>7</v>
      </c>
      <c r="D103" s="19"/>
      <c r="E103" s="15" t="s">
        <v>1443</v>
      </c>
      <c r="F103" s="3" t="s">
        <v>1595</v>
      </c>
      <c r="G103" s="60" t="str">
        <f>IFERROR(VLOOKUP(F103,tblManoeuvre[],2,FALSE)&amp;" "&amp;VLOOKUP(F103,tblManoeuvre[],3,FALSE),"")</f>
        <v>Riding the Wave 3</v>
      </c>
      <c r="H103" s="67" t="str">
        <f>IFERROR(IF(VLOOKUP(F103,tblManoeuvre[],8,FALSE)=0,"None",VLOOKUP(F103,tblManoeuvre[],8,FALSE)),"None")</f>
        <v>Composure 3, Resolve 3</v>
      </c>
      <c r="I103" s="67"/>
      <c r="L103" s="4">
        <v>1</v>
      </c>
      <c r="M103" s="4"/>
      <c r="N103" s="4"/>
      <c r="O103" s="61">
        <f t="shared" si="16"/>
        <v>0</v>
      </c>
      <c r="P103" s="60">
        <f t="shared" si="17"/>
        <v>1</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t="s">
        <v>1596</v>
      </c>
      <c r="G104" s="60" t="str">
        <f>IFERROR(VLOOKUP(F104,tblManoeuvre[],2,FALSE)&amp;" "&amp;VLOOKUP(F104,tblManoeuvre[],3,FALSE),"")</f>
        <v>Riding the Wave 4</v>
      </c>
      <c r="H104" s="67" t="str">
        <f>IFERROR(IF(VLOOKUP(F104,tblManoeuvre[],8,FALSE)=0,"None",VLOOKUP(F104,tblManoeuvre[],8,FALSE)),"None")</f>
        <v>Composure 3, Resolve 3</v>
      </c>
      <c r="I104" s="67"/>
      <c r="L104" s="4"/>
      <c r="M104" s="4"/>
      <c r="N104" s="4"/>
      <c r="O104" s="61">
        <f t="shared" si="16"/>
        <v>0</v>
      </c>
      <c r="P104" s="60">
        <f t="shared" si="17"/>
        <v>0</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t="s">
        <v>1819</v>
      </c>
      <c r="G105" s="60" t="str">
        <f>IFERROR(VLOOKUP(F105,tblManoeuvre[],2,FALSE)&amp;" "&amp;VLOOKUP(F105,tblManoeuvre[],3,FALSE),"")</f>
        <v>Riding the Wave 5</v>
      </c>
      <c r="H105" s="67" t="str">
        <f>IFERROR(IF(VLOOKUP(F105,tblManoeuvre[],8,FALSE)=0,"None",VLOOKUP(F105,tblManoeuvre[],8,FALSE)),"None")</f>
        <v>Composure 3, Resolve 3</v>
      </c>
      <c r="I105" s="67"/>
      <c r="L105" s="4"/>
      <c r="M105" s="4"/>
      <c r="N105" s="4"/>
      <c r="O105" s="61">
        <f t="shared" si="16"/>
        <v>0</v>
      </c>
      <c r="P105" s="60">
        <f t="shared" si="17"/>
        <v>0</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IFERROR(VLOOKUP(F106,tblManoeuvre[],2,FALSE)&amp;" "&amp;VLOOKUP(F106,tblManoeuvre[],3,FALSE),"")</f>
        <v/>
      </c>
      <c r="H106" s="67" t="str">
        <f>IFERROR(IF(VLOOKUP(F106,tblManoeuvre[],8,FALSE)=0,"None",VLOOKUP(F106,tblManoeuvre[],8,FALSE)),"None")</f>
        <v>None</v>
      </c>
      <c r="I106" s="67"/>
      <c r="L106" s="4"/>
      <c r="M106" s="4"/>
      <c r="N106" s="4"/>
      <c r="O106" s="61">
        <f t="shared" si="16"/>
        <v>0</v>
      </c>
      <c r="P106" s="60">
        <f t="shared" si="17"/>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IFERROR(VLOOKUP(F107,tblManoeuvre[],2,FALSE)&amp;" "&amp;VLOOKUP(F107,tblManoeuvre[],3,FALSE),"")</f>
        <v/>
      </c>
      <c r="H107" s="67" t="str">
        <f>IFERROR(IF(VLOOKUP(F107,tblManoeuvre[],8,FALSE)=0,"None",VLOOKUP(F107,tblManoeuvre[],8,FALSE)),"None")</f>
        <v>None</v>
      </c>
      <c r="I107" s="67"/>
      <c r="L107" s="4"/>
      <c r="M107" s="4"/>
      <c r="N107" s="4"/>
      <c r="O107" s="61">
        <f t="shared" si="16"/>
        <v>0</v>
      </c>
      <c r="P107" s="60">
        <f t="shared" si="17"/>
        <v>0</v>
      </c>
      <c r="Q107" s="61">
        <v>1</v>
      </c>
      <c r="R107" s="61">
        <v>1</v>
      </c>
      <c r="Y107" s="15">
        <v>1</v>
      </c>
      <c r="Z107" s="61" t="s">
        <v>252</v>
      </c>
      <c r="AA107" s="60" t="str" cm="1">
        <f t="array" ref="AA107">IF(VLOOKUP(Z107,$AI$1:$AJ$58,2,FALSE)&gt;=Y107,INDEX(tblDisciplines[Name],MATCH(1,(tblDisciplines[Discipline]=Z107)*(tblDisciplines[Rank]=Y107),0)),"")</f>
        <v/>
      </c>
    </row>
    <row r="108" spans="1:27">
      <c r="A108" s="1" t="s">
        <v>107</v>
      </c>
      <c r="B108" t="str">
        <f>IF($P$73&gt;=7,"●","○") &amp; IF(F226&lt;&gt;""," (" &amp; F226 &amp; ")","")</f>
        <v>●</v>
      </c>
      <c r="D108" s="19"/>
      <c r="E108" s="15" t="s">
        <v>1452</v>
      </c>
      <c r="F108" s="3"/>
      <c r="G108" s="60" t="str">
        <f>IFERROR(VLOOKUP(F108,tblManoeuvre[],2,FALSE)&amp;" "&amp;VLOOKUP(F108,tblManoeuvre[],3,FALSE),"")</f>
        <v/>
      </c>
      <c r="H108" s="67" t="str">
        <f>IFERROR(IF(VLOOKUP(F108,tblManoeuvre[],8,FALSE)=0,"None",VLOOKUP(F108,tblManoeuvre[],8,FALSE)),"None")</f>
        <v>None</v>
      </c>
      <c r="I108" s="67"/>
      <c r="L108" s="4"/>
      <c r="M108" s="4"/>
      <c r="N108" s="4"/>
      <c r="O108" s="61">
        <f t="shared" si="16"/>
        <v>0</v>
      </c>
      <c r="P108" s="60">
        <f t="shared" si="17"/>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v>
      </c>
      <c r="D109" s="19"/>
      <c r="E109" s="15" t="s">
        <v>1454</v>
      </c>
      <c r="F109" s="3"/>
      <c r="G109" s="60" t="str">
        <f>IFERROR(VLOOKUP(F109,tblManoeuvre[],2,FALSE)&amp;" "&amp;VLOOKUP(F109,tblManoeuvre[],3,FALSE),"")</f>
        <v/>
      </c>
      <c r="H109" s="67" t="str">
        <f>IFERROR(IF(VLOOKUP(F109,tblManoeuvre[],8,FALSE)=0,"None",VLOOKUP(F109,tblManoeuvre[],8,FALSE)),"None")</f>
        <v>None</v>
      </c>
      <c r="I109" s="67"/>
      <c r="L109" s="4"/>
      <c r="M109" s="4"/>
      <c r="N109" s="4"/>
      <c r="O109" s="61">
        <f t="shared" si="16"/>
        <v>0</v>
      </c>
      <c r="P109" s="60">
        <f t="shared" si="17"/>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v>
      </c>
      <c r="D110" s="19"/>
      <c r="E110" s="15" t="s">
        <v>1455</v>
      </c>
      <c r="F110" s="3"/>
      <c r="G110" s="60" t="str">
        <f>IFERROR(VLOOKUP(F110,tblManoeuvre[],2,FALSE)&amp;" "&amp;VLOOKUP(F110,tblManoeuvre[],3,FALSE),"")</f>
        <v/>
      </c>
      <c r="H110" s="67" t="str">
        <f>IFERROR(IF(VLOOKUP(F110,tblManoeuvre[],8,FALSE)=0,"None",VLOOKUP(F110,tblManoeuvre[],8,FALSE)),"None")</f>
        <v>None</v>
      </c>
      <c r="I110" s="67"/>
      <c r="L110" s="4"/>
      <c r="M110" s="4"/>
      <c r="N110" s="4"/>
      <c r="O110" s="61">
        <f t="shared" si="16"/>
        <v>0</v>
      </c>
      <c r="P110" s="60">
        <f t="shared" si="17"/>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t="str">
        <f>IFERROR(VLOOKUP(F111,tblManoeuvre[],2,FALSE)&amp;" "&amp;VLOOKUP(F111,tblManoeuvre[],3,FALSE),"")</f>
        <v/>
      </c>
      <c r="H111" s="67" t="str">
        <f>IFERROR(IF(VLOOKUP(F111,tblManoeuvre[],8,FALSE)=0,"None",VLOOKUP(F111,tblManoeuvre[],8,FALSE)),"None")</f>
        <v>None</v>
      </c>
      <c r="I111" s="67"/>
      <c r="L111" s="4"/>
      <c r="M111" s="4"/>
      <c r="N111" s="4"/>
      <c r="O111" s="61">
        <f t="shared" si="16"/>
        <v>0</v>
      </c>
      <c r="P111" s="60">
        <f t="shared" si="17"/>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t="str">
        <f>IFERROR(VLOOKUP(F112,tblManoeuvre[],2,FALSE)&amp;" "&amp;VLOOKUP(F112,tblManoeuvre[],3,FALSE),"")</f>
        <v/>
      </c>
      <c r="H112" s="67" t="str">
        <f>IFERROR(IF(VLOOKUP(F112,tblManoeuvre[],8,FALSE)=0,"None",VLOOKUP(F112,tblManoeuvre[],8,FALSE)),"None")</f>
        <v>None</v>
      </c>
      <c r="I112" s="67"/>
      <c r="L112" s="4"/>
      <c r="M112" s="4"/>
      <c r="N112" s="4"/>
      <c r="O112" s="61">
        <f t="shared" si="16"/>
        <v>0</v>
      </c>
      <c r="P112" s="60">
        <f t="shared" si="17"/>
        <v>0</v>
      </c>
      <c r="Q112" s="61">
        <v>1</v>
      </c>
      <c r="R112" s="61">
        <v>1</v>
      </c>
      <c r="Y112" s="61" t="s">
        <v>1474</v>
      </c>
      <c r="Z112" s="61" t="str">
        <f t="shared" ref="Z112:Z121" si="18">G194</f>
        <v/>
      </c>
      <c r="AA112" s="60" t="str">
        <f t="shared" ref="AA112:AA121" si="19">IF(P194="","",F194)</f>
        <v/>
      </c>
    </row>
    <row r="113" spans="1:27">
      <c r="A113" s="1" t="s">
        <v>112</v>
      </c>
      <c r="B113" t="str">
        <f>IF($P$73&gt;=2,"●","○") &amp; IF(F231&lt;&gt;""," (" &amp; F231 &amp; ")","")</f>
        <v>●</v>
      </c>
      <c r="D113" s="19"/>
      <c r="E113" s="15" t="s">
        <v>1458</v>
      </c>
      <c r="F113" s="3"/>
      <c r="G113" s="60" t="str">
        <f>IFERROR(VLOOKUP(F113,tblManoeuvre[],2,FALSE)&amp;" "&amp;VLOOKUP(F113,tblManoeuvre[],3,FALSE),"")</f>
        <v/>
      </c>
      <c r="H113" s="67" t="str">
        <f>IFERROR(IF(VLOOKUP(F113,tblManoeuvre[],8,FALSE)=0,"None",VLOOKUP(F113,tblManoeuvre[],8,FALSE)),"None")</f>
        <v>None</v>
      </c>
      <c r="I113" s="67"/>
      <c r="L113" s="4"/>
      <c r="M113" s="4"/>
      <c r="N113" s="4"/>
      <c r="O113" s="61">
        <f t="shared" si="16"/>
        <v>0</v>
      </c>
      <c r="P113" s="60">
        <f t="shared" si="17"/>
        <v>0</v>
      </c>
      <c r="Q113" s="61">
        <v>1</v>
      </c>
      <c r="R113" s="61">
        <v>1</v>
      </c>
      <c r="Y113" s="61" t="s">
        <v>1474</v>
      </c>
      <c r="Z113" s="61" t="str">
        <f t="shared" si="18"/>
        <v/>
      </c>
      <c r="AA113" s="60" t="str">
        <f t="shared" si="19"/>
        <v/>
      </c>
    </row>
    <row r="114" spans="1:27">
      <c r="A114" s="1" t="s">
        <v>113</v>
      </c>
      <c r="B114" t="str">
        <f>IF($P$73&gt;=1,"●","○") &amp; IF(F232&lt;&gt;""," (" &amp; F232 &amp; ")","")</f>
        <v>●</v>
      </c>
      <c r="D114" s="19"/>
      <c r="E114" s="15" t="s">
        <v>1460</v>
      </c>
      <c r="F114" s="3"/>
      <c r="G114" s="60" t="str">
        <f>IFERROR(VLOOKUP(F114,tblManoeuvre[],2,FALSE)&amp;" "&amp;VLOOKUP(F114,tblManoeuvre[],3,FALSE),"")</f>
        <v/>
      </c>
      <c r="H114" s="67" t="str">
        <f>IFERROR(IF(VLOOKUP(F114,tblManoeuvre[],8,FALSE)=0,"None",VLOOKUP(F114,tblManoeuvre[],8,FALSE)),"None")</f>
        <v>None</v>
      </c>
      <c r="I114" s="67"/>
      <c r="L114" s="4"/>
      <c r="M114" s="4"/>
      <c r="N114" s="4"/>
      <c r="O114" s="61">
        <f t="shared" si="16"/>
        <v>0</v>
      </c>
      <c r="P114" s="60">
        <f t="shared" si="17"/>
        <v>0</v>
      </c>
      <c r="Q114" s="61">
        <v>1</v>
      </c>
      <c r="R114" s="61">
        <v>1</v>
      </c>
      <c r="Y114" s="61" t="s">
        <v>1474</v>
      </c>
      <c r="Z114" s="61" t="str">
        <f t="shared" si="18"/>
        <v/>
      </c>
      <c r="AA114" s="60" t="str">
        <f t="shared" si="19"/>
        <v/>
      </c>
    </row>
    <row r="115" spans="1:27">
      <c r="A115" s="1" t="s">
        <v>114</v>
      </c>
      <c r="B115" t="str">
        <f t="shared" ref="B115:B144" si="20">IF(AD2="","¬",AD2)</f>
        <v>Atrocious ●</v>
      </c>
      <c r="D115" s="19"/>
      <c r="E115" s="15" t="s">
        <v>1461</v>
      </c>
      <c r="F115" s="3"/>
      <c r="G115" s="60" t="str">
        <f>IFERROR(VLOOKUP(F115,tblManoeuvre[],2,FALSE)&amp;" "&amp;VLOOKUP(F115,tblManoeuvre[],3,FALSE),"")</f>
        <v/>
      </c>
      <c r="H115" s="67" t="str">
        <f>IFERROR(IF(VLOOKUP(F115,tblManoeuvre[],8,FALSE)=0,"None",VLOOKUP(F115,tblManoeuvre[],8,FALSE)),"None")</f>
        <v>None</v>
      </c>
      <c r="I115" s="67"/>
      <c r="L115" s="4"/>
      <c r="M115" s="4"/>
      <c r="N115" s="4"/>
      <c r="O115" s="61">
        <f t="shared" si="16"/>
        <v>0</v>
      </c>
      <c r="P115" s="60">
        <f t="shared" si="17"/>
        <v>0</v>
      </c>
      <c r="Q115" s="61">
        <v>1</v>
      </c>
      <c r="R115" s="61">
        <v>1</v>
      </c>
      <c r="Y115" s="61" t="s">
        <v>1474</v>
      </c>
      <c r="Z115" s="61" t="str">
        <f t="shared" si="18"/>
        <v/>
      </c>
      <c r="AA115" s="60" t="str">
        <f t="shared" si="19"/>
        <v/>
      </c>
    </row>
    <row r="116" spans="1:27">
      <c r="A116" s="1" t="s">
        <v>115</v>
      </c>
      <c r="B116" t="str">
        <f t="shared" si="20"/>
        <v>Claws of the Unholy ●</v>
      </c>
      <c r="D116" s="19"/>
      <c r="E116" s="15" t="s">
        <v>1462</v>
      </c>
      <c r="F116" s="3"/>
      <c r="G116" s="60" t="str">
        <f>IFERROR(VLOOKUP(F116,tblManoeuvre[],2,FALSE)&amp;" "&amp;VLOOKUP(F116,tblManoeuvre[],3,FALSE),"")</f>
        <v/>
      </c>
      <c r="H116" s="67" t="str">
        <f>IFERROR(IF(VLOOKUP(F116,tblManoeuvre[],8,FALSE)=0,"None",VLOOKUP(F116,tblManoeuvre[],8,FALSE)),"None")</f>
        <v>None</v>
      </c>
      <c r="I116" s="67"/>
      <c r="L116" s="4"/>
      <c r="M116" s="4"/>
      <c r="N116" s="4"/>
      <c r="O116" s="61">
        <f t="shared" si="16"/>
        <v>0</v>
      </c>
      <c r="P116" s="60">
        <f t="shared" si="17"/>
        <v>0</v>
      </c>
      <c r="Q116" s="61">
        <v>1</v>
      </c>
      <c r="R116" s="61">
        <v>1</v>
      </c>
      <c r="Y116" s="61" t="s">
        <v>1474</v>
      </c>
      <c r="Z116" s="61" t="str">
        <f t="shared" si="18"/>
        <v/>
      </c>
      <c r="AA116" s="60" t="str">
        <f t="shared" si="19"/>
        <v/>
      </c>
    </row>
    <row r="117" spans="1:27">
      <c r="A117" s="1" t="s">
        <v>116</v>
      </c>
      <c r="B117" t="str">
        <f t="shared" si="20"/>
        <v>Indomitable ●●</v>
      </c>
      <c r="D117" s="19"/>
      <c r="E117" s="15" t="s">
        <v>1463</v>
      </c>
      <c r="F117" s="3"/>
      <c r="G117" s="60" t="str">
        <f>IFERROR(VLOOKUP(F117,tblManoeuvre[],2,FALSE)&amp;" "&amp;VLOOKUP(F117,tblManoeuvre[],3,FALSE),"")</f>
        <v/>
      </c>
      <c r="H117" s="67" t="str">
        <f>IFERROR(IF(VLOOKUP(F117,tblManoeuvre[],8,FALSE)=0,"None",VLOOKUP(F117,tblManoeuvre[],8,FALSE)),"None")</f>
        <v>None</v>
      </c>
      <c r="I117" s="67"/>
      <c r="L117" s="4"/>
      <c r="M117" s="4"/>
      <c r="N117" s="4"/>
      <c r="O117" s="61">
        <f t="shared" si="16"/>
        <v>0</v>
      </c>
      <c r="P117" s="60">
        <f t="shared" si="17"/>
        <v>0</v>
      </c>
      <c r="Q117" s="61">
        <v>1</v>
      </c>
      <c r="R117" s="61">
        <v>1</v>
      </c>
      <c r="Y117" s="61" t="s">
        <v>1474</v>
      </c>
      <c r="Z117" s="61" t="str">
        <f t="shared" si="18"/>
        <v/>
      </c>
      <c r="AA117" s="60" t="str">
        <f t="shared" si="19"/>
        <v/>
      </c>
    </row>
    <row r="118" spans="1:27">
      <c r="A118" s="1" t="s">
        <v>117</v>
      </c>
      <c r="B118" t="str">
        <f t="shared" si="20"/>
        <v>Riding the Wave ● | Ravage</v>
      </c>
      <c r="D118" s="19"/>
      <c r="E118" s="15" t="s">
        <v>1464</v>
      </c>
      <c r="F118" s="3"/>
      <c r="G118" s="60" t="str">
        <f>IFERROR(VLOOKUP(F118,tblManoeuvre[],2,FALSE)&amp;" "&amp;VLOOKUP(F118,tblManoeuvre[],3,FALSE),"")</f>
        <v/>
      </c>
      <c r="H118" s="67" t="str">
        <f>IFERROR(IF(VLOOKUP(F118,tblManoeuvre[],8,FALSE)=0,"None",VLOOKUP(F118,tblManoeuvre[],8,FALSE)),"None")</f>
        <v>None</v>
      </c>
      <c r="I118" s="67"/>
      <c r="L118" s="4"/>
      <c r="M118" s="4"/>
      <c r="N118" s="4"/>
      <c r="O118" s="61">
        <f t="shared" si="16"/>
        <v>0</v>
      </c>
      <c r="P118" s="60">
        <f t="shared" si="17"/>
        <v>0</v>
      </c>
      <c r="Q118" s="61">
        <v>1</v>
      </c>
      <c r="R118" s="61">
        <v>1</v>
      </c>
      <c r="Y118" s="61" t="s">
        <v>1474</v>
      </c>
      <c r="Z118" s="61" t="str">
        <f t="shared" si="18"/>
        <v/>
      </c>
      <c r="AA118" s="60" t="str">
        <f t="shared" si="19"/>
        <v/>
      </c>
    </row>
    <row r="119" spans="1:27">
      <c r="A119" s="1" t="s">
        <v>118</v>
      </c>
      <c r="B119" t="str">
        <f t="shared" si="20"/>
        <v>Riding the Wave ●● | Primal Strength</v>
      </c>
      <c r="D119" s="19"/>
      <c r="E119" s="15" t="s">
        <v>1466</v>
      </c>
      <c r="F119" s="3"/>
      <c r="G119" s="60" t="str">
        <f>IFERROR(VLOOKUP(F119,tblManoeuvre[],2,FALSE)&amp;" "&amp;VLOOKUP(F119,tblManoeuvre[],3,FALSE),"")</f>
        <v/>
      </c>
      <c r="H119" s="67" t="str">
        <f>IFERROR(IF(VLOOKUP(F119,tblManoeuvre[],8,FALSE)=0,"None",VLOOKUP(F119,tblManoeuvre[],8,FALSE)),"None")</f>
        <v>None</v>
      </c>
      <c r="I119" s="67"/>
      <c r="L119" s="4"/>
      <c r="M119" s="4"/>
      <c r="N119" s="4"/>
      <c r="O119" s="61">
        <f t="shared" si="16"/>
        <v>0</v>
      </c>
      <c r="P119" s="60">
        <f t="shared" si="17"/>
        <v>0</v>
      </c>
      <c r="Q119" s="61">
        <v>1</v>
      </c>
      <c r="R119" s="61">
        <v>1</v>
      </c>
      <c r="Y119" s="61" t="s">
        <v>1474</v>
      </c>
      <c r="Z119" s="61" t="str">
        <f t="shared" si="18"/>
        <v/>
      </c>
      <c r="AA119" s="60" t="str">
        <f t="shared" si="19"/>
        <v/>
      </c>
    </row>
    <row r="120" spans="1:27">
      <c r="A120" s="1" t="s">
        <v>119</v>
      </c>
      <c r="B120" t="str">
        <f t="shared" si="20"/>
        <v>Riding the Wave ●●● | In the Zone</v>
      </c>
      <c r="D120" s="19"/>
      <c r="E120" s="15" t="s">
        <v>1468</v>
      </c>
      <c r="F120" s="3"/>
      <c r="G120" s="60" t="str">
        <f>IFERROR(VLOOKUP(F120,tblManoeuvre[],2,FALSE)&amp;" "&amp;VLOOKUP(F120,tblManoeuvre[],3,FALSE),"")</f>
        <v/>
      </c>
      <c r="H120" s="67" t="str">
        <f>IFERROR(IF(VLOOKUP(F120,tblManoeuvre[],8,FALSE)=0,"None",VLOOKUP(F120,tblManoeuvre[],8,FALSE)),"None")</f>
        <v>None</v>
      </c>
      <c r="I120" s="67"/>
      <c r="L120" s="4"/>
      <c r="M120" s="4"/>
      <c r="N120" s="4"/>
      <c r="O120" s="61">
        <f t="shared" si="16"/>
        <v>0</v>
      </c>
      <c r="P120" s="60">
        <f t="shared" si="17"/>
        <v>0</v>
      </c>
      <c r="Q120" s="61">
        <v>1</v>
      </c>
      <c r="R120" s="61">
        <v>1</v>
      </c>
      <c r="Y120" s="61" t="s">
        <v>1474</v>
      </c>
      <c r="Z120" s="61" t="str">
        <f t="shared" si="18"/>
        <v/>
      </c>
      <c r="AA120" s="60" t="str">
        <f t="shared" si="19"/>
        <v/>
      </c>
    </row>
    <row r="121" spans="1:27">
      <c r="A121" s="1" t="s">
        <v>120</v>
      </c>
      <c r="B121" t="str">
        <f t="shared" si="20"/>
        <v>¬</v>
      </c>
      <c r="Y121" s="61" t="s">
        <v>1474</v>
      </c>
      <c r="Z121" s="61" t="str">
        <f t="shared" si="18"/>
        <v/>
      </c>
      <c r="AA121" s="60" t="str">
        <f t="shared" si="19"/>
        <v/>
      </c>
    </row>
    <row r="122" spans="1:27" ht="15.75" thickBot="1">
      <c r="A122" s="1" t="s">
        <v>121</v>
      </c>
      <c r="B122" t="str">
        <f t="shared" si="20"/>
        <v>¬</v>
      </c>
      <c r="D122" s="14" t="s">
        <v>1475</v>
      </c>
      <c r="E122" s="14"/>
      <c r="F122" s="14"/>
      <c r="G122" s="14"/>
      <c r="H122" s="14"/>
      <c r="I122" s="14"/>
    </row>
    <row r="123" spans="1:27">
      <c r="A123" s="1" t="s">
        <v>122</v>
      </c>
      <c r="B123" t="str">
        <f t="shared" si="20"/>
        <v>¬</v>
      </c>
      <c r="D123" s="16" t="s">
        <v>927</v>
      </c>
      <c r="E123" s="17"/>
      <c r="F123" s="17"/>
      <c r="G123" s="17"/>
      <c r="H123" s="17"/>
      <c r="I123" s="17"/>
      <c r="Y123" s="15" t="s">
        <v>1476</v>
      </c>
      <c r="Z123" s="19"/>
      <c r="AA123" s="61" t="str">
        <f t="shared" ref="AA123:AA132" si="21">_xlfn.LET(_xlpm.name,VLOOKUP(Y123,$E$2:$F$362,2,FALSE),_xlpm.paid,_xlfn.IFNA(VLOOKUP(_xlpm.name,$F$121:$Q$215,11,FALSE)&gt;=VLOOKUP(_xlpm.name,$F$121:$Q$215,12,FALSE),FALSE),IF(AND(_xlpm.name&lt;&gt;"",_xlpm.paid),_xlpm.name,""))</f>
        <v>Oath of the Hard Motherfucker</v>
      </c>
    </row>
    <row r="124" spans="1:27">
      <c r="A124" s="1" t="s">
        <v>123</v>
      </c>
      <c r="B124" t="str">
        <f t="shared" si="20"/>
        <v>¬</v>
      </c>
      <c r="D124" s="19"/>
      <c r="E124" s="15" t="s">
        <v>83</v>
      </c>
      <c r="F124" s="19"/>
      <c r="G124" s="19"/>
      <c r="H124" s="19"/>
      <c r="I124" s="19"/>
      <c r="L124" s="4">
        <v>1</v>
      </c>
      <c r="M124" s="61">
        <f>IFERROR(VLOOKUP(G13,tblEffectiveStatus[#Data],2,FALSE),0)</f>
        <v>0</v>
      </c>
      <c r="P124" s="60">
        <f>MIN(L124+M124,R124)</f>
        <v>1</v>
      </c>
      <c r="R124" s="61">
        <v>10</v>
      </c>
      <c r="Y124" s="15" t="s">
        <v>1477</v>
      </c>
      <c r="Z124" s="19"/>
      <c r="AA124" s="61" t="str">
        <f t="shared" si="21"/>
        <v/>
      </c>
    </row>
    <row r="125" spans="1:27">
      <c r="A125" s="1" t="s">
        <v>124</v>
      </c>
      <c r="B125" t="str">
        <f t="shared" si="20"/>
        <v>¬</v>
      </c>
      <c r="D125" s="19"/>
      <c r="E125" s="15" t="str">
        <f>IF(F7="","Clan Status",F7&amp;" Status")</f>
        <v>Gangrel Status</v>
      </c>
      <c r="F125" s="19"/>
      <c r="G125" s="19"/>
      <c r="H125" s="19"/>
      <c r="I125" s="19"/>
      <c r="L125" s="4">
        <v>2</v>
      </c>
      <c r="P125" s="60">
        <f>IF(L125="",0,MIN(L125,R125))</f>
        <v>2</v>
      </c>
      <c r="R125" s="61">
        <v>5</v>
      </c>
      <c r="Y125" s="15" t="s">
        <v>1478</v>
      </c>
      <c r="Z125" s="19"/>
      <c r="AA125" s="61" t="str">
        <f t="shared" si="21"/>
        <v/>
      </c>
    </row>
    <row r="126" spans="1:27">
      <c r="A126" s="1" t="s">
        <v>125</v>
      </c>
      <c r="B126" t="str">
        <f t="shared" si="20"/>
        <v>¬</v>
      </c>
      <c r="D126" s="19"/>
      <c r="E126" s="15" t="str">
        <f>IF(F9="","",F9&amp;" Status")</f>
        <v>Invictus Status</v>
      </c>
      <c r="F126" s="19" t="str">
        <f>IF(F9="","",VLOOKUP(F9,tblCovenantShortName[#Data],2,FALSE))</f>
        <v>Invictus</v>
      </c>
      <c r="G126" s="19"/>
      <c r="H126" s="19"/>
      <c r="I126" s="19"/>
      <c r="L126" s="4">
        <v>0</v>
      </c>
      <c r="P126" s="60">
        <f>L126</f>
        <v>0</v>
      </c>
      <c r="R126" s="61">
        <f>5-SUM(L127:L129)</f>
        <v>5</v>
      </c>
      <c r="Y126" s="15" t="s">
        <v>1479</v>
      </c>
      <c r="Z126" s="19"/>
      <c r="AA126" s="61" t="str">
        <f t="shared" si="21"/>
        <v/>
      </c>
    </row>
    <row r="127" spans="1:27">
      <c r="A127" s="1" t="s">
        <v>126</v>
      </c>
      <c r="B127" t="str">
        <f t="shared" si="20"/>
        <v>¬</v>
      </c>
      <c r="D127" s="19"/>
      <c r="E127" s="15" t="str" cm="1">
        <f t="array" ref="E127">IF(F9="","",IFERROR(INDEX(Lists!$F$2:$F$5,SMALL(IF(Lists!$F$2:$F$5&lt;&gt;$F$9,ROW(Lists!$F$2:$F$5)-ROW(Lists!$F$2)+1),1))&amp;" Status",""))</f>
        <v>Carthian Movement Status</v>
      </c>
      <c r="F127" s="19" t="str" cm="1">
        <f t="array" ref="F127">IF(F9="","",IFERROR(VLOOKUP(INDEX(Lists!$F$2:$F$5,SMALL(IF(Lists!$F$2:$F$5&lt;&gt;$F$9,ROW(Lists!$F$2:$F$5)-ROW(Lists!$F$2)+1),1)),tblCovenantShortName[],2,FALSE),""))</f>
        <v>Carthian</v>
      </c>
      <c r="G127" s="19"/>
      <c r="H127" s="19"/>
      <c r="I127" s="19"/>
      <c r="L127" s="4"/>
      <c r="P127" s="60">
        <f>L127</f>
        <v>0</v>
      </c>
      <c r="R127" s="61">
        <f>MAX(0,MIN(P126-1,5-L126-L128-L129))</f>
        <v>0</v>
      </c>
      <c r="Y127" s="15" t="s">
        <v>1480</v>
      </c>
      <c r="Z127" s="19"/>
      <c r="AA127" s="61" t="str">
        <f t="shared" si="21"/>
        <v/>
      </c>
    </row>
    <row r="128" spans="1:27">
      <c r="A128" s="1" t="s">
        <v>127</v>
      </c>
      <c r="B128" t="str">
        <f t="shared" si="20"/>
        <v>¬</v>
      </c>
      <c r="D128" s="19"/>
      <c r="E128" s="15" t="str" cm="1">
        <f t="array" ref="E128">IF(F9="","",IFERROR(INDEX(Lists!$F$2:$F$5,SMALL(IF(Lists!$F$2:$F$5&lt;&gt;$F$9,ROW(Lists!$F$2:$F$5)-ROW(Lists!$F$2)+1),2))&amp;" Status",""))</f>
        <v>Circle of the Crone Status</v>
      </c>
      <c r="F128" s="19" t="str" cm="1">
        <f t="array" ref="F128">IF(F9="","",IFERROR(VLOOKUP(INDEX(Lists!$F$2:$F$5,SMALL(IF(Lists!$F$2:$F$5&lt;&gt;$F$9,ROW(Lists!$F$2:$F$5)-ROW(Lists!$F$2)+1),2)),tblCovenantShortName[],2,FALSE),""))</f>
        <v>Crone</v>
      </c>
      <c r="G128" s="19"/>
      <c r="H128" s="19"/>
      <c r="I128" s="19"/>
      <c r="L128" s="4"/>
      <c r="P128" s="60">
        <f>L128</f>
        <v>0</v>
      </c>
      <c r="R128" s="61">
        <f>MAX(0,MIN(P126-1,5-L126-L127-L129))</f>
        <v>0</v>
      </c>
      <c r="Y128" s="15" t="s">
        <v>1481</v>
      </c>
      <c r="Z128" s="19"/>
      <c r="AA128" s="61" t="str">
        <f t="shared" si="21"/>
        <v/>
      </c>
    </row>
    <row r="129" spans="1:32">
      <c r="A129" s="1" t="s">
        <v>128</v>
      </c>
      <c r="B129" t="str">
        <f t="shared" si="20"/>
        <v>¬</v>
      </c>
      <c r="D129" s="19"/>
      <c r="E129" s="15" t="str" cm="1">
        <f t="array" ref="E129">IF(F9="","",IFERROR(INDEX(Lists!$F$2:$F$5,SMALL(IF(Lists!$F$2:$F$5&lt;&gt;$F$9,ROW(Lists!$F$2:$F$5)-ROW(Lists!$F$2)+1),3))&amp;" Status",""))</f>
        <v>Lancea et Sanctum Status</v>
      </c>
      <c r="F129" s="19" t="str" cm="1">
        <f t="array" ref="F129">IF(F9="","",IFERROR(VLOOKUP(INDEX(Lists!$F$2:$F$5,SMALL(IF(Lists!$F$2:$F$5&lt;&gt;$F$9,ROW(Lists!$F$2:$F$5)-ROW(Lists!$F$2)+1),3)),tblCovenantShortName[],2,FALSE),""))</f>
        <v>Lance</v>
      </c>
      <c r="G129" s="19"/>
      <c r="H129" s="19"/>
      <c r="I129" s="19"/>
      <c r="L129" s="4"/>
      <c r="P129" s="60">
        <f>L129</f>
        <v>0</v>
      </c>
      <c r="R129" s="61">
        <f>MAX(0,MIN(P126-1,5-L126-L127-L128))</f>
        <v>0</v>
      </c>
      <c r="Y129" s="15" t="s">
        <v>1482</v>
      </c>
      <c r="Z129" s="19"/>
      <c r="AA129" s="61" t="str">
        <f t="shared" si="21"/>
        <v/>
      </c>
    </row>
    <row r="130" spans="1:32">
      <c r="A130" s="1" t="s">
        <v>129</v>
      </c>
      <c r="B130" t="str">
        <f t="shared" si="20"/>
        <v>¬</v>
      </c>
      <c r="Y130" s="15" t="s">
        <v>1483</v>
      </c>
      <c r="Z130" s="19"/>
      <c r="AA130" s="61" t="str">
        <f t="shared" si="21"/>
        <v/>
      </c>
    </row>
    <row r="131" spans="1:32">
      <c r="A131" s="1" t="s">
        <v>130</v>
      </c>
      <c r="B131" t="str">
        <f t="shared" si="20"/>
        <v>¬</v>
      </c>
      <c r="D131" s="16" t="s">
        <v>1475</v>
      </c>
      <c r="E131" s="17"/>
      <c r="F131" s="16" t="s">
        <v>1446</v>
      </c>
      <c r="G131" s="17"/>
      <c r="H131" s="17"/>
      <c r="I131" s="17"/>
      <c r="Y131" s="15" t="s">
        <v>1484</v>
      </c>
      <c r="Z131" s="19"/>
      <c r="AA131" s="61" t="str">
        <f t="shared" si="21"/>
        <v/>
      </c>
    </row>
    <row r="132" spans="1:32">
      <c r="A132" s="1" t="s">
        <v>131</v>
      </c>
      <c r="B132" t="str">
        <f t="shared" si="20"/>
        <v>¬</v>
      </c>
      <c r="D132" s="19"/>
      <c r="E132" s="15" t="s">
        <v>94</v>
      </c>
      <c r="F132" s="3"/>
      <c r="G132" s="19"/>
      <c r="H132" s="19"/>
      <c r="I132" s="19"/>
      <c r="L132" s="4">
        <v>1</v>
      </c>
      <c r="M132" s="4"/>
      <c r="N132" s="4"/>
      <c r="O132" s="61">
        <f>N132</f>
        <v>0</v>
      </c>
      <c r="P132" s="60">
        <f>MIN(SUM(L132,M132,O132),R132)</f>
        <v>1</v>
      </c>
      <c r="Q132" s="61">
        <f>_xlfn.IFNA(VLOOKUP($E132,tblDomain[],3,FALSE),"")</f>
        <v>1</v>
      </c>
      <c r="R132" s="61">
        <f>_xlfn.IFNA(VLOOKUP($E132,tblDomain[],4,FALSE),"")</f>
        <v>5</v>
      </c>
      <c r="Y132" s="15" t="s">
        <v>1485</v>
      </c>
      <c r="Z132" s="19"/>
      <c r="AA132" s="61" t="str">
        <f t="shared" si="21"/>
        <v/>
      </c>
    </row>
    <row r="133" spans="1:32">
      <c r="A133" s="1" t="s">
        <v>132</v>
      </c>
      <c r="B133" t="str">
        <f t="shared" si="20"/>
        <v>¬</v>
      </c>
      <c r="D133" s="19"/>
      <c r="E133" s="15" t="s">
        <v>95</v>
      </c>
      <c r="F133" s="3"/>
      <c r="G133" s="19"/>
      <c r="H133" s="19"/>
      <c r="I133" s="19"/>
      <c r="L133" s="4">
        <v>1</v>
      </c>
      <c r="M133" s="4"/>
      <c r="N133" s="4"/>
      <c r="O133" s="61">
        <f>N133</f>
        <v>0</v>
      </c>
      <c r="P133" s="60">
        <f>MIN(SUM(L133,M133,O133),R133)</f>
        <v>1</v>
      </c>
      <c r="Q133" s="61">
        <f>_xlfn.IFNA(VLOOKUP($E133,tblDomain[],3,FALSE),"")</f>
        <v>1</v>
      </c>
      <c r="R133" s="61">
        <f>_xlfn.IFNA(VLOOKUP($E133,tblDomain[],4,FALSE),"")</f>
        <v>5</v>
      </c>
    </row>
    <row r="134" spans="1:32">
      <c r="A134" s="1" t="s">
        <v>133</v>
      </c>
      <c r="B134" t="str">
        <f t="shared" si="20"/>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2">_xlfn.LET(_xlpm.name,VLOOKUP(Y134,$E$2:$F$362,2,FALSE),_xlpm.note,VLOOKUP(Y134,$E$2:$G$362,3,FALSE),_xlpm.row,MATCH(Y134,$E$138:$E$157,0),_xlpm.dots,INDEX($P$138:$P$157,_xlpm.row),_xlpm.max,INDEX($Q$138:$Q$157,_xlpm.row),_xlpm.paid,_xlfn.IFNA(_xlpm.dots&gt;=_xlpm.max,FALSE),IF(AND(_xlpm.name&lt;&gt;"",_xlpm.paid),IF(_xlpm.note="",_xlpm.name,_xlpm.name&amp;" ("&amp;_xlpm.note&amp;")"),""))</f>
        <v>Resources</v>
      </c>
      <c r="AC134" s="60" t="str" cm="1">
        <f t="array" ref="AC134:AC135">_xlfn.LET(_xlpm.raw,IFERROR(_xlfn.VSTACK(IFERROR(_xlfn._xlws.SORT(_xlfn._xlws.FILTER(AA134:AA211,AA134:AA211&lt;&gt;"")),""),IFERROR(_xlfn._xlws.SORT(_xlfn._xlws.FILTER(AA213:AA222,AA213:AA222&lt;&gt;"")),"")),""),_xlpm.sorted,IFERROR(_xlfn._xlws.FILTER(_xlpm.raw,_xlpm.raw&lt;&gt;""),""),IFERROR(LEFT(_xlpm.sorted,FIND(" (",_xlpm.sorted)-1),_xlpm.sorted))</f>
        <v>Resources</v>
      </c>
      <c r="AD134" s="20" t="str" cm="1">
        <f t="array" ref="AD134:AD135">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
      </c>
      <c r="AE134" s="20">
        <f t="shared" ref="AE134:AE153" si="23">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0</v>
      </c>
      <c r="AF134" s="61" cm="1">
        <f t="array" ref="AF134">IF(AC134="","",SUMPRODUCT(($F$138:$F$157=AC134)*($G$138:$G$157=IF(AD134="","",AD134))*$P$138:$P$157))</f>
        <v>1</v>
      </c>
    </row>
    <row r="135" spans="1:32">
      <c r="A135" s="1" t="s">
        <v>134</v>
      </c>
      <c r="B135" t="str">
        <f t="shared" si="20"/>
        <v>¬</v>
      </c>
      <c r="D135" s="19"/>
      <c r="E135" s="15" t="s">
        <v>97</v>
      </c>
      <c r="F135" s="19"/>
      <c r="G135" s="19"/>
      <c r="H135" s="19"/>
      <c r="I135" s="19"/>
      <c r="L135" s="4"/>
      <c r="M135" s="4"/>
      <c r="N135" s="4"/>
      <c r="O135" s="61">
        <f>N135</f>
        <v>0</v>
      </c>
      <c r="P135" s="60">
        <f>MIN(SUM(L135,M135,O135),R135)</f>
        <v>0</v>
      </c>
      <c r="Q135" s="61">
        <f>_xlfn.IFNA(VLOOKUP($E135,tblDomain[],3,FALSE),"")</f>
        <v>1</v>
      </c>
      <c r="R135" s="61">
        <f>_xlfn.IFNA(VLOOKUP($E135,tblDomain[],4,FALSE),"")</f>
        <v>5</v>
      </c>
      <c r="Y135" s="15" t="s">
        <v>177</v>
      </c>
      <c r="Z135" s="19"/>
      <c r="AA135" s="61" t="str">
        <f t="shared" si="22"/>
        <v>Staff (Larceny)</v>
      </c>
      <c r="AC135" s="60" t="str">
        <v>Staff</v>
      </c>
      <c r="AD135" s="20" t="str">
        <v>Larceny</v>
      </c>
      <c r="AE135" s="20">
        <f t="shared" si="23"/>
        <v>0</v>
      </c>
      <c r="AF135" s="61" cm="1">
        <f t="array" ref="AF135">IF(AC135="","",SUMPRODUCT(($F$138:$F$157=AC135)*($G$138:$G$157=IF(AD135="","",AD135))*$P$138:$P$157))</f>
        <v>1</v>
      </c>
    </row>
    <row r="136" spans="1:32">
      <c r="A136" s="1" t="s">
        <v>135</v>
      </c>
      <c r="B136" t="str">
        <f t="shared" si="20"/>
        <v>¬</v>
      </c>
      <c r="Y136" s="15" t="s">
        <v>178</v>
      </c>
      <c r="Z136" s="19"/>
      <c r="AA136" s="61" t="str">
        <f t="shared" si="22"/>
        <v/>
      </c>
      <c r="AC136" s="60"/>
      <c r="AD136" s="20"/>
      <c r="AE136" s="20" t="str">
        <f t="shared" si="23"/>
        <v/>
      </c>
      <c r="AF136" s="61" t="str" cm="1">
        <f t="array" ref="AF136">IF(AC136="","",SUMPRODUCT(($F$138:$F$157=AC136)*($G$138:$G$157=IF(AD136="","",AD136))*$P$138:$P$157))</f>
        <v/>
      </c>
    </row>
    <row r="137" spans="1:32">
      <c r="A137" s="1" t="s">
        <v>136</v>
      </c>
      <c r="B137" t="str">
        <f t="shared" si="20"/>
        <v>¬</v>
      </c>
      <c r="D137" s="16" t="s">
        <v>174</v>
      </c>
      <c r="E137" s="17"/>
      <c r="F137" s="17"/>
      <c r="G137" s="17"/>
      <c r="H137" s="61">
        <f>L225</f>
        <v>0</v>
      </c>
      <c r="I137" s="61">
        <f>SUM(AE134:AE155)+SUM(P125:P129)</f>
        <v>2</v>
      </c>
      <c r="Y137" s="15" t="s">
        <v>179</v>
      </c>
      <c r="Z137" s="19"/>
      <c r="AA137" s="61" t="str">
        <f t="shared" si="22"/>
        <v/>
      </c>
      <c r="AC137" s="60"/>
      <c r="AD137" s="20"/>
      <c r="AE137" s="20" t="str">
        <f t="shared" si="23"/>
        <v/>
      </c>
      <c r="AF137" s="61" t="str" cm="1">
        <f t="array" ref="AF137">IF(AC137="","",SUMPRODUCT(($F$138:$F$157=AC137)*($G$138:$G$157=IF(AD137="","",AD137))*$P$138:$P$157))</f>
        <v/>
      </c>
    </row>
    <row r="138" spans="1:32">
      <c r="A138" s="1" t="s">
        <v>137</v>
      </c>
      <c r="B138" t="str">
        <f t="shared" si="20"/>
        <v>¬</v>
      </c>
      <c r="D138" s="19"/>
      <c r="E138" s="15" t="s">
        <v>176</v>
      </c>
      <c r="F138" s="3" t="s">
        <v>525</v>
      </c>
      <c r="G138" s="3"/>
      <c r="H138" s="67" t="str">
        <f>IFERROR(IF(VLOOKUP(F138,tblManoeuvre[],8,FALSE)=0,"None",VLOOKUP(F138,tblManoeuvre[],8,FALSE)),"None")</f>
        <v>None</v>
      </c>
      <c r="I138" s="67"/>
      <c r="L138" s="4">
        <v>1</v>
      </c>
      <c r="M138" s="4"/>
      <c r="N138" s="4"/>
      <c r="O138" s="61">
        <f t="shared" ref="O138:O157" si="24">N138</f>
        <v>0</v>
      </c>
      <c r="P138" s="60">
        <f t="shared" ref="P138:P157" si="25">MIN(SUM(L138,M138,O138),R138)</f>
        <v>1</v>
      </c>
      <c r="Q138" s="61">
        <f>_xlfn.IFNA(VLOOKUP($F138,tblInfluence[],3,FALSE),"")</f>
        <v>1</v>
      </c>
      <c r="R138" s="61">
        <f>_xlfn.IFNA(VLOOKUP($F138,tblInfluence[],4,FALSE),"")</f>
        <v>5</v>
      </c>
      <c r="Y138" s="15" t="s">
        <v>180</v>
      </c>
      <c r="Z138" s="19"/>
      <c r="AA138" s="61" t="str">
        <f t="shared" si="22"/>
        <v/>
      </c>
      <c r="AC138" s="60"/>
      <c r="AD138" s="20"/>
      <c r="AE138" s="20" t="str">
        <f t="shared" si="23"/>
        <v/>
      </c>
      <c r="AF138" s="61" t="str" cm="1">
        <f t="array" ref="AF138">IF(AC138="","",SUMPRODUCT(($F$138:$F$157=AC138)*($G$138:$G$157=IF(AD138="","",AD138))*$P$138:$P$157))</f>
        <v/>
      </c>
    </row>
    <row r="139" spans="1:32">
      <c r="A139" s="1" t="s">
        <v>138</v>
      </c>
      <c r="B139" t="str">
        <f t="shared" si="20"/>
        <v>¬</v>
      </c>
      <c r="D139" s="19"/>
      <c r="E139" s="15" t="s">
        <v>177</v>
      </c>
      <c r="F139" s="3" t="s">
        <v>1311</v>
      </c>
      <c r="G139" s="3" t="s">
        <v>37</v>
      </c>
      <c r="H139" s="67" t="str">
        <f>IFERROR(IF(VLOOKUP(F139,tblManoeuvre[],8,FALSE)=0,"None",VLOOKUP(F139,tblManoeuvre[],8,FALSE)),"None")</f>
        <v>None</v>
      </c>
      <c r="I139" s="67"/>
      <c r="L139" s="4">
        <v>1</v>
      </c>
      <c r="M139" s="4"/>
      <c r="N139" s="4"/>
      <c r="O139" s="61">
        <f t="shared" si="24"/>
        <v>0</v>
      </c>
      <c r="P139" s="60">
        <f t="shared" si="25"/>
        <v>1</v>
      </c>
      <c r="Q139" s="61">
        <f>_xlfn.IFNA(VLOOKUP($F139,tblInfluence[],3,FALSE),"")</f>
        <v>1</v>
      </c>
      <c r="R139" s="61">
        <f>_xlfn.IFNA(VLOOKUP($F139,tblInfluence[],4,FALSE),"")</f>
        <v>5</v>
      </c>
      <c r="Y139" s="15" t="s">
        <v>181</v>
      </c>
      <c r="Z139" s="19"/>
      <c r="AA139" s="61" t="str">
        <f t="shared" si="22"/>
        <v/>
      </c>
      <c r="AC139" s="60"/>
      <c r="AD139" s="20"/>
      <c r="AE139" s="20" t="str">
        <f t="shared" si="23"/>
        <v/>
      </c>
      <c r="AF139" s="61" t="str" cm="1">
        <f t="array" ref="AF139">IF(AC139="","",SUMPRODUCT(($F$138:$F$157=AC139)*($G$138:$G$157=IF(AD139="","",AD139))*$P$138:$P$157))</f>
        <v/>
      </c>
    </row>
    <row r="140" spans="1:32">
      <c r="A140" s="1" t="s">
        <v>139</v>
      </c>
      <c r="B140" t="str">
        <f t="shared" si="20"/>
        <v>¬</v>
      </c>
      <c r="D140" s="19"/>
      <c r="E140" s="15" t="s">
        <v>178</v>
      </c>
      <c r="F140" s="3"/>
      <c r="G140" s="3"/>
      <c r="H140" s="67" t="str">
        <f>IFERROR(IF(VLOOKUP(F140,tblManoeuvre[],8,FALSE)=0,"None",VLOOKUP(F140,tblManoeuvre[],8,FALSE)),"None")</f>
        <v>None</v>
      </c>
      <c r="I140" s="67"/>
      <c r="L140" s="4"/>
      <c r="M140" s="4"/>
      <c r="N140" s="4"/>
      <c r="O140" s="61">
        <f t="shared" si="24"/>
        <v>0</v>
      </c>
      <c r="P140" s="60">
        <f t="shared" si="25"/>
        <v>0</v>
      </c>
      <c r="Q140" s="61" t="str">
        <f>_xlfn.IFNA(VLOOKUP($F140,tblInfluence[],3,FALSE),"")</f>
        <v/>
      </c>
      <c r="R140" s="61" t="str">
        <f>_xlfn.IFNA(VLOOKUP($F140,tblInfluence[],4,FALSE),"")</f>
        <v/>
      </c>
      <c r="Y140" s="15" t="s">
        <v>182</v>
      </c>
      <c r="Z140" s="19"/>
      <c r="AA140" s="61" t="str">
        <f t="shared" si="22"/>
        <v/>
      </c>
      <c r="AC140" s="60"/>
      <c r="AD140" s="20"/>
      <c r="AE140" s="20" t="str">
        <f t="shared" si="23"/>
        <v/>
      </c>
      <c r="AF140" s="61" t="str" cm="1">
        <f t="array" ref="AF140">IF(AC140="","",SUMPRODUCT(($F$138:$F$157=AC140)*($G$138:$G$157=IF(AD140="","",AD140))*$P$138:$P$157))</f>
        <v/>
      </c>
    </row>
    <row r="141" spans="1:32">
      <c r="A141" s="1" t="s">
        <v>140</v>
      </c>
      <c r="B141" t="str">
        <f t="shared" si="20"/>
        <v>¬</v>
      </c>
      <c r="D141" s="19"/>
      <c r="E141" s="15" t="s">
        <v>179</v>
      </c>
      <c r="F141" s="3"/>
      <c r="G141" s="3" t="str">
        <f>IFERROR(VLOOKUP(F141,tblManoeuvre[#Data],2,FALSE)&amp;" "&amp;VLOOKUP(F141,tblManoeuvre[#Data],3,FALSE),"")</f>
        <v/>
      </c>
      <c r="H141" s="67" t="str">
        <f>IFERROR(IF(VLOOKUP(F141,tblManoeuvre[],8,FALSE)=0,"None",VLOOKUP(F141,tblManoeuvre[],8,FALSE)),"None")</f>
        <v>None</v>
      </c>
      <c r="I141" s="67"/>
      <c r="L141" s="4"/>
      <c r="M141" s="4"/>
      <c r="N141" s="4"/>
      <c r="O141" s="61">
        <f t="shared" si="24"/>
        <v>0</v>
      </c>
      <c r="P141" s="60">
        <f t="shared" si="25"/>
        <v>0</v>
      </c>
      <c r="Q141" s="61" t="str">
        <f>_xlfn.IFNA(VLOOKUP($F141,tblInfluence[],3,FALSE),"")</f>
        <v/>
      </c>
      <c r="R141" s="61" t="str">
        <f>_xlfn.IFNA(VLOOKUP($F141,tblInfluence[],4,FALSE),"")</f>
        <v/>
      </c>
      <c r="Y141" s="15" t="s">
        <v>183</v>
      </c>
      <c r="Z141" s="19"/>
      <c r="AA141" s="61" t="str">
        <f t="shared" si="22"/>
        <v/>
      </c>
      <c r="AC141" s="60"/>
      <c r="AD141" s="20"/>
      <c r="AE141" s="20" t="str">
        <f t="shared" si="23"/>
        <v/>
      </c>
      <c r="AF141" s="61" t="str" cm="1">
        <f t="array" ref="AF141">IF(AC141="","",SUMPRODUCT(($F$138:$F$157=AC141)*($G$138:$G$157=IF(AD141="","",AD141))*$P$138:$P$157))</f>
        <v/>
      </c>
    </row>
    <row r="142" spans="1:32">
      <c r="A142" s="1" t="s">
        <v>141</v>
      </c>
      <c r="B142" t="str">
        <f t="shared" si="20"/>
        <v>¬</v>
      </c>
      <c r="D142" s="19"/>
      <c r="E142" s="15" t="s">
        <v>180</v>
      </c>
      <c r="F142" s="3"/>
      <c r="G142" s="3" t="str">
        <f>IFERROR(VLOOKUP(F142,tblManoeuvre[#Data],2,FALSE)&amp;" "&amp;VLOOKUP(F142,tblManoeuvre[#Data],3,FALSE),"")</f>
        <v/>
      </c>
      <c r="H142" s="67" t="str">
        <f>IFERROR(IF(VLOOKUP(F142,tblManoeuvre[],8,FALSE)=0,"None",VLOOKUP(F142,tblManoeuvre[],8,FALSE)),"None")</f>
        <v>None</v>
      </c>
      <c r="I142" s="67"/>
      <c r="L142" s="4"/>
      <c r="M142" s="4"/>
      <c r="N142" s="4"/>
      <c r="O142" s="61">
        <f t="shared" si="24"/>
        <v>0</v>
      </c>
      <c r="P142" s="60">
        <f t="shared" si="25"/>
        <v>0</v>
      </c>
      <c r="Q142" s="61" t="str">
        <f>_xlfn.IFNA(VLOOKUP($F142,tblInfluence[],3,FALSE),"")</f>
        <v/>
      </c>
      <c r="R142" s="61" t="str">
        <f>_xlfn.IFNA(VLOOKUP($F142,tblInfluence[],4,FALSE),"")</f>
        <v/>
      </c>
      <c r="Y142" s="15" t="s">
        <v>184</v>
      </c>
      <c r="Z142" s="19"/>
      <c r="AA142" s="61" t="str">
        <f t="shared" si="22"/>
        <v/>
      </c>
      <c r="AC142" s="60"/>
      <c r="AD142" s="20"/>
      <c r="AE142" s="20" t="str">
        <f t="shared" si="23"/>
        <v/>
      </c>
      <c r="AF142" s="61" t="str" cm="1">
        <f t="array" ref="AF142">IF(AC142="","",SUMPRODUCT(($F$138:$F$157=AC142)*($G$138:$G$157=IF(AD142="","",AD142))*$P$138:$P$157))</f>
        <v/>
      </c>
    </row>
    <row r="143" spans="1:32">
      <c r="A143" s="1" t="s">
        <v>142</v>
      </c>
      <c r="B143" t="str">
        <f t="shared" si="20"/>
        <v>¬</v>
      </c>
      <c r="D143" s="19"/>
      <c r="E143" s="15" t="s">
        <v>181</v>
      </c>
      <c r="F143" s="3"/>
      <c r="G143" s="3" t="str">
        <f>IFERROR(VLOOKUP(F143,tblManoeuvre[#Data],2,FALSE)&amp;" "&amp;VLOOKUP(F143,tblManoeuvre[#Data],3,FALSE),"")</f>
        <v/>
      </c>
      <c r="H143" s="67" t="str">
        <f>IFERROR(IF(VLOOKUP(F143,tblManoeuvre[],8,FALSE)=0,"None",VLOOKUP(F143,tblManoeuvre[],8,FALSE)),"None")</f>
        <v>None</v>
      </c>
      <c r="I143" s="67"/>
      <c r="L143" s="4"/>
      <c r="M143" s="4"/>
      <c r="N143" s="4"/>
      <c r="O143" s="61">
        <f t="shared" si="24"/>
        <v>0</v>
      </c>
      <c r="P143" s="60">
        <f t="shared" si="25"/>
        <v>0</v>
      </c>
      <c r="Q143" s="61" t="str">
        <f>_xlfn.IFNA(VLOOKUP($F143,tblInfluence[],3,FALSE),"")</f>
        <v/>
      </c>
      <c r="R143" s="61" t="str">
        <f>_xlfn.IFNA(VLOOKUP($F143,tblInfluence[],4,FALSE),"")</f>
        <v/>
      </c>
      <c r="Y143" s="15" t="s">
        <v>185</v>
      </c>
      <c r="Z143" s="19"/>
      <c r="AA143" s="61" t="str">
        <f t="shared" si="22"/>
        <v/>
      </c>
      <c r="AC143" s="60"/>
      <c r="AD143" s="20"/>
      <c r="AE143" s="20" t="str">
        <f t="shared" si="23"/>
        <v/>
      </c>
      <c r="AF143" s="61" t="str" cm="1">
        <f t="array" ref="AF143">IF(AC143="","",SUMPRODUCT(($F$138:$F$157=AC143)*($G$138:$G$157=IF(AD143="","",AD143))*$P$138:$P$157))</f>
        <v/>
      </c>
    </row>
    <row r="144" spans="1:32">
      <c r="A144" s="1" t="s">
        <v>143</v>
      </c>
      <c r="B144" t="str">
        <f t="shared" si="20"/>
        <v>¬</v>
      </c>
      <c r="D144" s="19"/>
      <c r="E144" s="15" t="s">
        <v>182</v>
      </c>
      <c r="F144" s="3"/>
      <c r="G144" s="3" t="str">
        <f>IFERROR(VLOOKUP(F144,tblManoeuvre[#Data],2,FALSE)&amp;" "&amp;VLOOKUP(F144,tblManoeuvre[#Data],3,FALSE),"")</f>
        <v/>
      </c>
      <c r="H144" s="67" t="str">
        <f>IFERROR(IF(VLOOKUP(F144,tblManoeuvre[],8,FALSE)=0,"None",VLOOKUP(F144,tblManoeuvre[],8,FALSE)),"None")</f>
        <v>None</v>
      </c>
      <c r="I144" s="67"/>
      <c r="L144" s="4"/>
      <c r="M144" s="4"/>
      <c r="N144" s="4"/>
      <c r="O144" s="61">
        <f t="shared" si="24"/>
        <v>0</v>
      </c>
      <c r="P144" s="60">
        <f t="shared" si="25"/>
        <v>0</v>
      </c>
      <c r="Q144" s="61" t="str">
        <f>_xlfn.IFNA(VLOOKUP($F144,tblInfluence[],3,FALSE),"")</f>
        <v/>
      </c>
      <c r="R144" s="61" t="str">
        <f>_xlfn.IFNA(VLOOKUP($F144,tblInfluence[],4,FALSE),"")</f>
        <v/>
      </c>
      <c r="Y144" s="15" t="s">
        <v>186</v>
      </c>
      <c r="Z144" s="19"/>
      <c r="AA144" s="61" t="str">
        <f t="shared" si="22"/>
        <v/>
      </c>
      <c r="AC144" s="60"/>
      <c r="AD144" s="20"/>
      <c r="AE144" s="20" t="str">
        <f t="shared" si="23"/>
        <v/>
      </c>
      <c r="AF144" s="61" t="str" cm="1">
        <f t="array" ref="AF144">IF(AC144="","",SUMPRODUCT(($F$138:$F$157=AC144)*($G$138:$G$157=IF(AD144="","",AD144))*$P$138:$P$157))</f>
        <v/>
      </c>
    </row>
    <row r="145" spans="1:32">
      <c r="A145" s="1" t="s">
        <v>144</v>
      </c>
      <c r="B145" t="str">
        <f t="shared" ref="B145:B174" si="26">IF(AF2="","¬",AF2)</f>
        <v>Take 8-Again to evoke the monstrous Beast, but lose 10-Again to evoke or resist the seductive or competitive Beast.</v>
      </c>
      <c r="D145" s="19"/>
      <c r="E145" s="15" t="s">
        <v>183</v>
      </c>
      <c r="F145" s="3"/>
      <c r="G145" s="3" t="str">
        <f>IFERROR(VLOOKUP(F145,tblManoeuvre[],2,FALSE)&amp;" "&amp;VLOOKUP(F145,tblManoeuvre[],3,FALSE),"")</f>
        <v/>
      </c>
      <c r="H145" s="67" t="str">
        <f>IFERROR(IF(VLOOKUP(F145,tblManoeuvre[],8,FALSE)=0,"None",VLOOKUP(F145,tblManoeuvre[],8,FALSE)),"None")</f>
        <v>None</v>
      </c>
      <c r="I145" s="67"/>
      <c r="L145" s="4"/>
      <c r="M145" s="4"/>
      <c r="N145" s="4"/>
      <c r="O145" s="61">
        <f t="shared" si="24"/>
        <v>0</v>
      </c>
      <c r="P145" s="60">
        <f t="shared" si="25"/>
        <v>0</v>
      </c>
      <c r="Q145" s="61" t="str">
        <f>_xlfn.IFNA(VLOOKUP($F145,tblInfluence[],3,FALSE),"")</f>
        <v/>
      </c>
      <c r="R145" s="61" t="str">
        <f>_xlfn.IFNA(VLOOKUP($F145,tblInfluence[],4,FALSE),"")</f>
        <v/>
      </c>
      <c r="Y145" s="15" t="s">
        <v>187</v>
      </c>
      <c r="Z145" s="19"/>
      <c r="AA145" s="61" t="str">
        <f t="shared" si="22"/>
        <v/>
      </c>
      <c r="AC145" s="60"/>
      <c r="AD145" s="20"/>
      <c r="AE145" s="20" t="str">
        <f t="shared" si="23"/>
        <v/>
      </c>
      <c r="AF145" s="61" t="str" cm="1">
        <f t="array" ref="AF145">IF(AC145="","",SUMPRODUCT(($F$138:$F$157=AC145)*($G$138:$G$157=IF(AD145="","",AD145))*$P$138:$P$157))</f>
        <v/>
      </c>
    </row>
    <row r="146" spans="1:32">
      <c r="A146" s="1" t="s">
        <v>145</v>
      </c>
      <c r="B146" t="str">
        <f t="shared" si="26"/>
        <v>Unnatural Aspect claws in frenzy become +2A.</v>
      </c>
      <c r="D146" s="19"/>
      <c r="E146" s="15" t="s">
        <v>184</v>
      </c>
      <c r="F146" s="3"/>
      <c r="G146" s="3" t="str">
        <f>IFERROR(VLOOKUP(F146,tblManoeuvre[],2,FALSE)&amp;" "&amp;VLOOKUP(F146,tblManoeuvre[],3,FALSE),"")</f>
        <v/>
      </c>
      <c r="H146" s="67" t="str">
        <f>IFERROR(IF(VLOOKUP(F146,tblManoeuvre[],8,FALSE)=0,"None",VLOOKUP(F146,tblManoeuvre[],8,FALSE)),"None")</f>
        <v>None</v>
      </c>
      <c r="I146" s="67"/>
      <c r="L146" s="4"/>
      <c r="M146" s="4"/>
      <c r="N146" s="4"/>
      <c r="O146" s="61">
        <f t="shared" si="24"/>
        <v>0</v>
      </c>
      <c r="P146" s="60">
        <f t="shared" si="25"/>
        <v>0</v>
      </c>
      <c r="Q146" s="61" t="str">
        <f>_xlfn.IFNA(VLOOKUP($F146,tblInfluence[],3,FALSE),"")</f>
        <v/>
      </c>
      <c r="R146" s="61" t="str">
        <f>_xlfn.IFNA(VLOOKUP($F146,tblInfluence[],4,FALSE),"")</f>
        <v/>
      </c>
      <c r="Y146" s="15" t="s">
        <v>188</v>
      </c>
      <c r="Z146" s="19"/>
      <c r="AA146" s="61" t="str">
        <f t="shared" si="22"/>
        <v/>
      </c>
      <c r="AC146" s="60"/>
      <c r="AD146" s="20"/>
      <c r="AE146" s="20" t="str">
        <f t="shared" si="23"/>
        <v/>
      </c>
      <c r="AF146" s="61" t="str" cm="1">
        <f t="array" ref="AF146">IF(AC146="","",SUMPRODUCT(($F$138:$F$157=AC146)*($G$138:$G$157=IF(AD146="","",AD146))*$P$138:$P$157))</f>
        <v/>
      </c>
    </row>
    <row r="147" spans="1:32">
      <c r="A147" s="1" t="s">
        <v>146</v>
      </c>
      <c r="B147" t="str">
        <f t="shared" si="26"/>
        <v>+2 to contest or resist supernatural mental influence.</v>
      </c>
      <c r="D147" s="19"/>
      <c r="E147" s="15" t="s">
        <v>185</v>
      </c>
      <c r="F147" s="3"/>
      <c r="G147" s="3" t="str">
        <f>IFERROR(VLOOKUP(F147,tblManoeuvre[],2,FALSE)&amp;" "&amp;VLOOKUP(F147,tblManoeuvre[],3,FALSE),"")</f>
        <v/>
      </c>
      <c r="H147" s="67" t="str">
        <f>IFERROR(IF(VLOOKUP(F147,tblManoeuvre[],8,FALSE)=0,"None",VLOOKUP(F147,tblManoeuvre[],8,FALSE)),"None")</f>
        <v>None</v>
      </c>
      <c r="I147" s="67"/>
      <c r="L147" s="4"/>
      <c r="M147" s="4"/>
      <c r="N147" s="4"/>
      <c r="O147" s="61">
        <f t="shared" si="24"/>
        <v>0</v>
      </c>
      <c r="P147" s="60">
        <f t="shared" si="25"/>
        <v>0</v>
      </c>
      <c r="Q147" s="61" t="str">
        <f>_xlfn.IFNA(VLOOKUP($F147,tblInfluence[],3,FALSE),"")</f>
        <v/>
      </c>
      <c r="R147" s="61" t="str">
        <f>_xlfn.IFNA(VLOOKUP($F147,tblInfluence[],4,FALSE),"")</f>
        <v/>
      </c>
      <c r="Y147" s="15" t="s">
        <v>189</v>
      </c>
      <c r="Z147" s="19"/>
      <c r="AA147" s="61" t="str">
        <f t="shared" si="22"/>
        <v/>
      </c>
      <c r="AC147" s="60"/>
      <c r="AD147" s="20"/>
      <c r="AE147" s="20" t="str">
        <f t="shared" si="23"/>
        <v/>
      </c>
      <c r="AF147" s="61" t="str" cm="1">
        <f t="array" ref="AF147">IF(AC147="","",SUMPRODUCT(($F$138:$F$157=AC147)*($G$138:$G$157=IF(AD147="","",AD147))*$P$138:$P$157))</f>
        <v/>
      </c>
    </row>
    <row r="148" spans="1:32">
      <c r="A148" s="1" t="s">
        <v>147</v>
      </c>
      <c r="B148" t="str">
        <f t="shared" si="26"/>
        <v>Bite attacks take a 1L weapon rating.</v>
      </c>
      <c r="D148" s="19"/>
      <c r="E148" s="15" t="s">
        <v>186</v>
      </c>
      <c r="F148" s="3"/>
      <c r="G148" s="3" t="str">
        <f>IFERROR(VLOOKUP(F148,tblManoeuvre[],2,FALSE)&amp;" "&amp;VLOOKUP(F148,tblManoeuvre[],3,FALSE),"")</f>
        <v/>
      </c>
      <c r="H148" s="67" t="str">
        <f>IFERROR(IF(VLOOKUP(F148,tblManoeuvre[],8,FALSE)=0,"None",VLOOKUP(F148,tblManoeuvre[],8,FALSE)),"None")</f>
        <v>None</v>
      </c>
      <c r="I148" s="67"/>
      <c r="L148" s="4"/>
      <c r="M148" s="4"/>
      <c r="N148" s="4"/>
      <c r="O148" s="61">
        <f t="shared" si="24"/>
        <v>0</v>
      </c>
      <c r="P148" s="60">
        <f t="shared" si="25"/>
        <v>0</v>
      </c>
      <c r="Q148" s="61" t="str">
        <f>_xlfn.IFNA(VLOOKUP($F148,tblInfluence[],3,FALSE),"")</f>
        <v/>
      </c>
      <c r="R148" s="61" t="str">
        <f>_xlfn.IFNA(VLOOKUP($F148,tblInfluence[],4,FALSE),"")</f>
        <v/>
      </c>
      <c r="Y148" s="15" t="s">
        <v>190</v>
      </c>
      <c r="Z148" s="19"/>
      <c r="AA148" s="61" t="str">
        <f t="shared" si="22"/>
        <v/>
      </c>
      <c r="AC148" s="60"/>
      <c r="AD148" s="20"/>
      <c r="AE148" s="20" t="str">
        <f t="shared" si="23"/>
        <v/>
      </c>
      <c r="AF148" s="61" t="str" cm="1">
        <f t="array" ref="AF148">IF(AC148="","",SUMPRODUCT(($F$138:$F$157=AC148)*($G$138:$G$157=IF(AD148="","",AD148))*$P$138:$P$157))</f>
        <v/>
      </c>
    </row>
    <row r="149" spans="1:32">
      <c r="A149" s="1" t="s">
        <v>148</v>
      </c>
      <c r="B149" t="str">
        <f t="shared" si="26"/>
        <v>Double your Strength bonus from frenzy when lifting, jumping, or destroying objects.</v>
      </c>
      <c r="D149" s="19"/>
      <c r="E149" s="15" t="s">
        <v>187</v>
      </c>
      <c r="F149" s="3"/>
      <c r="G149" s="3" t="str">
        <f>IFERROR(VLOOKUP(F149,tblManoeuvre[],2,FALSE)&amp;" "&amp;VLOOKUP(F149,tblManoeuvre[],3,FALSE),"")</f>
        <v/>
      </c>
      <c r="H149" s="67" t="str">
        <f>IFERROR(IF(VLOOKUP(F149,tblManoeuvre[],8,FALSE)=0,"None",VLOOKUP(F149,tblManoeuvre[],8,FALSE)),"None")</f>
        <v>None</v>
      </c>
      <c r="I149" s="67"/>
      <c r="L149" s="4"/>
      <c r="M149" s="4"/>
      <c r="N149" s="4"/>
      <c r="O149" s="61">
        <f t="shared" si="24"/>
        <v>0</v>
      </c>
      <c r="P149" s="60">
        <f t="shared" si="25"/>
        <v>0</v>
      </c>
      <c r="Q149" s="61" t="str">
        <f>_xlfn.IFNA(VLOOKUP($F149,tblInfluence[],3,FALSE),"")</f>
        <v/>
      </c>
      <c r="R149" s="61" t="str">
        <f>_xlfn.IFNA(VLOOKUP($F149,tblInfluence[],4,FALSE),"")</f>
        <v/>
      </c>
      <c r="Y149" s="15" t="s">
        <v>191</v>
      </c>
      <c r="Z149" s="19"/>
      <c r="AA149" s="61" t="str">
        <f t="shared" si="22"/>
        <v/>
      </c>
      <c r="AC149" s="60"/>
      <c r="AD149" s="20"/>
      <c r="AE149" s="20" t="str">
        <f t="shared" si="23"/>
        <v/>
      </c>
      <c r="AF149" s="61" t="str" cm="1">
        <f t="array" ref="AF149">IF(AC149="","",SUMPRODUCT(($F$138:$F$157=AC149)*($G$138:$G$157=IF(AD149="","",AD149))*$P$138:$P$157))</f>
        <v/>
      </c>
    </row>
    <row r="150" spans="1:32">
      <c r="A150" s="1" t="s">
        <v>149</v>
      </c>
      <c r="B150" t="str">
        <f t="shared" si="26"/>
        <v>When you spend Willpower to ride the wave, you also apply the normal +3 action bonus.</v>
      </c>
      <c r="D150" s="19"/>
      <c r="E150" s="15" t="s">
        <v>188</v>
      </c>
      <c r="F150" s="3"/>
      <c r="G150" s="3" t="str">
        <f>IFERROR(VLOOKUP(F150,tblManoeuvre[],2,FALSE)&amp;" "&amp;VLOOKUP(F150,tblManoeuvre[],3,FALSE),"")</f>
        <v/>
      </c>
      <c r="H150" s="67" t="str">
        <f>IFERROR(IF(VLOOKUP(F150,tblManoeuvre[],8,FALSE)=0,"None",VLOOKUP(F150,tblManoeuvre[],8,FALSE)),"None")</f>
        <v>None</v>
      </c>
      <c r="I150" s="67"/>
      <c r="L150" s="4"/>
      <c r="M150" s="4"/>
      <c r="N150" s="4"/>
      <c r="O150" s="61">
        <f t="shared" si="24"/>
        <v>0</v>
      </c>
      <c r="P150" s="60">
        <f t="shared" si="25"/>
        <v>0</v>
      </c>
      <c r="Q150" s="61" t="str">
        <f>_xlfn.IFNA(VLOOKUP($F150,tblInfluence[],3,FALSE),"")</f>
        <v/>
      </c>
      <c r="R150" s="61" t="str">
        <f>_xlfn.IFNA(VLOOKUP($F150,tblInfluence[],4,FALSE),"")</f>
        <v/>
      </c>
      <c r="Y150" s="15" t="s">
        <v>192</v>
      </c>
      <c r="Z150" s="19"/>
      <c r="AA150" s="61" t="str">
        <f t="shared" si="22"/>
        <v/>
      </c>
      <c r="AC150" s="60"/>
      <c r="AD150" s="20"/>
      <c r="AE150" s="20" t="str">
        <f t="shared" si="23"/>
        <v/>
      </c>
      <c r="AF150" s="61" t="str" cm="1">
        <f t="array" ref="AF150">IF(AC150="","",SUMPRODUCT(($F$138:$F$157=AC150)*($G$138:$G$157=IF(AD150="","",AD150))*$P$138:$P$157))</f>
        <v/>
      </c>
    </row>
    <row r="151" spans="1:32">
      <c r="A151" s="1" t="s">
        <v>150</v>
      </c>
      <c r="B151" t="str">
        <f t="shared" si="26"/>
        <v>¬</v>
      </c>
      <c r="D151" s="19"/>
      <c r="E151" s="15" t="s">
        <v>189</v>
      </c>
      <c r="F151" s="3"/>
      <c r="G151" s="3" t="str">
        <f>IFERROR(VLOOKUP(F151,tblManoeuvre[],2,FALSE)&amp;" "&amp;VLOOKUP(F151,tblManoeuvre[],3,FALSE),"")</f>
        <v/>
      </c>
      <c r="H151" s="67" t="str">
        <f>IFERROR(IF(VLOOKUP(F151,tblManoeuvre[],8,FALSE)=0,"None",VLOOKUP(F151,tblManoeuvre[],8,FALSE)),"None")</f>
        <v>None</v>
      </c>
      <c r="I151" s="67"/>
      <c r="L151" s="4"/>
      <c r="M151" s="4"/>
      <c r="N151" s="4"/>
      <c r="O151" s="61">
        <f t="shared" si="24"/>
        <v>0</v>
      </c>
      <c r="P151" s="60">
        <f t="shared" si="25"/>
        <v>0</v>
      </c>
      <c r="Q151" s="61" t="str">
        <f>_xlfn.IFNA(VLOOKUP($F151,tblInfluence[],3,FALSE),"")</f>
        <v/>
      </c>
      <c r="R151" s="61" t="str">
        <f>_xlfn.IFNA(VLOOKUP($F151,tblInfluence[],4,FALSE),"")</f>
        <v/>
      </c>
      <c r="Y151" s="15" t="s">
        <v>193</v>
      </c>
      <c r="Z151" s="19"/>
      <c r="AA151" s="61" t="str">
        <f t="shared" si="22"/>
        <v/>
      </c>
      <c r="AC151" s="60"/>
      <c r="AD151" s="20"/>
      <c r="AE151" s="20" t="str">
        <f t="shared" si="23"/>
        <v/>
      </c>
      <c r="AF151" s="61" t="str" cm="1">
        <f t="array" ref="AF151">IF(AC151="","",SUMPRODUCT(($F$138:$F$157=AC151)*($G$138:$G$157=IF(AD151="","",AD151))*$P$138:$P$157))</f>
        <v/>
      </c>
    </row>
    <row r="152" spans="1:32">
      <c r="A152" s="1" t="s">
        <v>151</v>
      </c>
      <c r="B152" t="str">
        <f t="shared" si="26"/>
        <v>¬</v>
      </c>
      <c r="D152" s="19"/>
      <c r="E152" s="15" t="s">
        <v>190</v>
      </c>
      <c r="F152" s="3"/>
      <c r="G152" s="3" t="str">
        <f>IFERROR(VLOOKUP(F152,tblManoeuvre[],2,FALSE)&amp;" "&amp;VLOOKUP(F152,tblManoeuvre[],3,FALSE),"")</f>
        <v/>
      </c>
      <c r="H152" s="67" t="str">
        <f>IFERROR(IF(VLOOKUP(F152,tblManoeuvre[],8,FALSE)=0,"None",VLOOKUP(F152,tblManoeuvre[],8,FALSE)),"None")</f>
        <v>None</v>
      </c>
      <c r="I152" s="67"/>
      <c r="L152" s="4"/>
      <c r="M152" s="4"/>
      <c r="N152" s="4"/>
      <c r="O152" s="61">
        <f t="shared" si="24"/>
        <v>0</v>
      </c>
      <c r="P152" s="60">
        <f t="shared" si="25"/>
        <v>0</v>
      </c>
      <c r="Q152" s="61" t="str">
        <f>_xlfn.IFNA(VLOOKUP($F152,tblInfluence[],3,FALSE),"")</f>
        <v/>
      </c>
      <c r="R152" s="61" t="str">
        <f>_xlfn.IFNA(VLOOKUP($F152,tblInfluence[],4,FALSE),"")</f>
        <v/>
      </c>
      <c r="Y152" s="15" t="s">
        <v>194</v>
      </c>
      <c r="Z152" s="19"/>
      <c r="AA152" s="61" t="str">
        <f t="shared" si="22"/>
        <v/>
      </c>
      <c r="AC152" s="60"/>
      <c r="AD152" s="20"/>
      <c r="AE152" s="20" t="str">
        <f t="shared" si="23"/>
        <v/>
      </c>
      <c r="AF152" s="61" t="str" cm="1">
        <f t="array" ref="AF152">IF(AC152="","",SUMPRODUCT(($F$138:$F$157=AC152)*($G$138:$G$157=IF(AD152="","",AD152))*$P$138:$P$157))</f>
        <v/>
      </c>
    </row>
    <row r="153" spans="1:32">
      <c r="A153" s="1" t="s">
        <v>152</v>
      </c>
      <c r="B153" t="str">
        <f t="shared" si="26"/>
        <v>¬</v>
      </c>
      <c r="D153" s="19"/>
      <c r="E153" s="15" t="s">
        <v>191</v>
      </c>
      <c r="F153" s="3"/>
      <c r="G153" s="3" t="str">
        <f>IFERROR(VLOOKUP(F153,tblManoeuvre[],2,FALSE)&amp;" "&amp;VLOOKUP(F153,tblManoeuvre[],3,FALSE),"")</f>
        <v/>
      </c>
      <c r="H153" s="67" t="str">
        <f>IFERROR(IF(VLOOKUP(F153,tblManoeuvre[],8,FALSE)=0,"None",VLOOKUP(F153,tblManoeuvre[],8,FALSE)),"None")</f>
        <v>None</v>
      </c>
      <c r="I153" s="67"/>
      <c r="L153" s="4"/>
      <c r="M153" s="4"/>
      <c r="N153" s="4"/>
      <c r="O153" s="61">
        <f t="shared" si="24"/>
        <v>0</v>
      </c>
      <c r="P153" s="60">
        <f t="shared" si="25"/>
        <v>0</v>
      </c>
      <c r="Q153" s="61" t="str">
        <f>_xlfn.IFNA(VLOOKUP($F153,tblInfluence[],3,FALSE),"")</f>
        <v/>
      </c>
      <c r="R153" s="61" t="str">
        <f>_xlfn.IFNA(VLOOKUP($F153,tblInfluence[],4,FALSE),"")</f>
        <v/>
      </c>
      <c r="Y153" s="15" t="s">
        <v>195</v>
      </c>
      <c r="Z153" s="19"/>
      <c r="AA153" s="61" t="str">
        <f t="shared" si="22"/>
        <v/>
      </c>
      <c r="AC153" s="60"/>
      <c r="AD153" s="20"/>
      <c r="AE153" s="20" t="str">
        <f t="shared" si="23"/>
        <v/>
      </c>
      <c r="AF153" s="61" t="str" cm="1">
        <f t="array" ref="AF153">IF(AC153="","",SUMPRODUCT(($F$138:$F$157=AC153)*($G$138:$G$157=IF(AD153="","",AD153))*$P$138:$P$157))</f>
        <v/>
      </c>
    </row>
    <row r="154" spans="1:32">
      <c r="A154" s="1" t="s">
        <v>153</v>
      </c>
      <c r="B154" t="str">
        <f t="shared" si="26"/>
        <v>¬</v>
      </c>
      <c r="D154" s="19"/>
      <c r="E154" s="15" t="s">
        <v>192</v>
      </c>
      <c r="F154" s="3"/>
      <c r="G154" s="3" t="str">
        <f>IFERROR(VLOOKUP(F154,tblManoeuvre[],2,FALSE)&amp;" "&amp;VLOOKUP(F154,tblManoeuvre[],3,FALSE),"")</f>
        <v/>
      </c>
      <c r="H154" s="67" t="str">
        <f>IFERROR(IF(VLOOKUP(F154,tblManoeuvre[],8,FALSE)=0,"None",VLOOKUP(F154,tblManoeuvre[],8,FALSE)),"None")</f>
        <v>None</v>
      </c>
      <c r="I154" s="67"/>
      <c r="L154" s="4"/>
      <c r="M154" s="4"/>
      <c r="N154" s="4"/>
      <c r="O154" s="61">
        <f t="shared" si="24"/>
        <v>0</v>
      </c>
      <c r="P154" s="60">
        <f t="shared" si="25"/>
        <v>0</v>
      </c>
      <c r="Q154" s="61" t="str">
        <f>_xlfn.IFNA(VLOOKUP($F154,tblInfluence[],3,FALSE),"")</f>
        <v/>
      </c>
      <c r="R154" s="61" t="str">
        <f>_xlfn.IFNA(VLOOKUP($F154,tblInfluence[],4,FALSE),"")</f>
        <v/>
      </c>
    </row>
    <row r="155" spans="1:32">
      <c r="A155" s="1" t="s">
        <v>154</v>
      </c>
      <c r="B155" t="str">
        <f t="shared" si="26"/>
        <v>¬</v>
      </c>
      <c r="D155" s="19"/>
      <c r="E155" s="15" t="s">
        <v>193</v>
      </c>
      <c r="F155" s="3"/>
      <c r="G155" s="3" t="str">
        <f>IFERROR(VLOOKUP(F155,tblManoeuvre[],2,FALSE)&amp;" "&amp;VLOOKUP(F155,tblManoeuvre[],3,FALSE),"")</f>
        <v/>
      </c>
      <c r="H155" s="67" t="str">
        <f>IFERROR(IF(VLOOKUP(F155,tblManoeuvre[],8,FALSE)=0,"None",VLOOKUP(F155,tblManoeuvre[],8,FALSE)),"None")</f>
        <v>None</v>
      </c>
      <c r="I155" s="67"/>
      <c r="L155" s="4"/>
      <c r="M155" s="4"/>
      <c r="N155" s="4"/>
      <c r="O155" s="61">
        <f t="shared" si="24"/>
        <v>0</v>
      </c>
      <c r="P155" s="60">
        <f t="shared" si="25"/>
        <v>0</v>
      </c>
      <c r="Q155" s="61" t="str">
        <f>_xlfn.IFNA(VLOOKUP($F155,tblInfluence[],3,FALSE),"")</f>
        <v/>
      </c>
      <c r="R155" s="61" t="str">
        <f>_xlfn.IFNA(VLOOKUP($F155,tblInfluence[],4,FALSE),"")</f>
        <v/>
      </c>
      <c r="AE155" s="61">
        <f>IF(P160=5,1,0)</f>
        <v>0</v>
      </c>
    </row>
    <row r="156" spans="1:32">
      <c r="A156" s="1" t="s">
        <v>155</v>
      </c>
      <c r="B156" t="str">
        <f t="shared" si="26"/>
        <v>¬</v>
      </c>
      <c r="D156" s="19"/>
      <c r="E156" s="15" t="s">
        <v>194</v>
      </c>
      <c r="F156" s="3"/>
      <c r="G156" s="3" t="str">
        <f>IFERROR(VLOOKUP(F156,tblManoeuvre[],2,FALSE)&amp;" "&amp;VLOOKUP(F156,tblManoeuvre[],3,FALSE),"")</f>
        <v/>
      </c>
      <c r="H156" s="67" t="str">
        <f>IFERROR(IF(VLOOKUP(F156,tblManoeuvre[],8,FALSE)=0,"None",VLOOKUP(F156,tblManoeuvre[],8,FALSE)),"None")</f>
        <v>None</v>
      </c>
      <c r="I156" s="67"/>
      <c r="L156" s="4"/>
      <c r="M156" s="4"/>
      <c r="N156" s="4"/>
      <c r="O156" s="61">
        <f t="shared" si="24"/>
        <v>0</v>
      </c>
      <c r="P156" s="60">
        <f t="shared" si="25"/>
        <v>0</v>
      </c>
      <c r="Q156" s="61" t="str">
        <f>_xlfn.IFNA(VLOOKUP($F156,tblInfluence[],3,FALSE),"")</f>
        <v/>
      </c>
      <c r="R156" s="61" t="str">
        <f>_xlfn.IFNA(VLOOKUP($F156,tblInfluence[],4,FALSE),"")</f>
        <v/>
      </c>
      <c r="AE156" s="61" t="b">
        <f>COUNTIF(AA2:AA21,"*Honey With Vinegar*")&gt;0</f>
        <v>0</v>
      </c>
    </row>
    <row r="157" spans="1:32">
      <c r="A157" s="1" t="s">
        <v>156</v>
      </c>
      <c r="B157" t="str">
        <f t="shared" si="26"/>
        <v>¬</v>
      </c>
      <c r="D157" s="19"/>
      <c r="E157" s="15" t="s">
        <v>195</v>
      </c>
      <c r="F157" s="3"/>
      <c r="G157" s="3" t="str">
        <f>IFERROR(VLOOKUP(F157,tblManoeuvre[],2,FALSE)&amp;" "&amp;VLOOKUP(F157,tblManoeuvre[],3,FALSE),"")</f>
        <v/>
      </c>
      <c r="H157" s="67" t="str">
        <f>IFERROR(IF(VLOOKUP(F157,tblManoeuvre[],8,FALSE)=0,"None",VLOOKUP(F157,tblManoeuvre[],8,FALSE)),"None")</f>
        <v>None</v>
      </c>
      <c r="I157" s="67"/>
      <c r="L157" s="4"/>
      <c r="M157" s="4"/>
      <c r="N157" s="4"/>
      <c r="O157" s="61">
        <f t="shared" si="24"/>
        <v>0</v>
      </c>
      <c r="P157" s="60">
        <f t="shared" si="25"/>
        <v>0</v>
      </c>
      <c r="Q157" s="61" t="str">
        <f>_xlfn.IFNA(VLOOKUP($F157,tblInfluence[],3,FALSE),"")</f>
        <v/>
      </c>
      <c r="R157" s="61" t="str">
        <f>_xlfn.IFNA(VLOOKUP($F157,tblInfluence[],4,FALSE),"")</f>
        <v/>
      </c>
    </row>
    <row r="158" spans="1:32">
      <c r="A158" s="1" t="s">
        <v>157</v>
      </c>
      <c r="B158" t="str">
        <f t="shared" si="26"/>
        <v>¬</v>
      </c>
    </row>
    <row r="159" spans="1:32">
      <c r="A159" s="1" t="s">
        <v>158</v>
      </c>
      <c r="B159" t="str">
        <f t="shared" si="26"/>
        <v>¬</v>
      </c>
      <c r="D159" s="16" t="s">
        <v>1486</v>
      </c>
      <c r="E159" s="17"/>
      <c r="F159" s="17" t="s">
        <v>1487</v>
      </c>
      <c r="G159" s="17"/>
      <c r="H159" s="17"/>
      <c r="I159" s="17"/>
    </row>
    <row r="160" spans="1:32">
      <c r="A160" s="1" t="s">
        <v>159</v>
      </c>
      <c r="B160" t="str">
        <f t="shared" si="26"/>
        <v>¬</v>
      </c>
      <c r="D160" s="19"/>
      <c r="E160" s="15" t="s">
        <v>98</v>
      </c>
      <c r="F160" s="3"/>
      <c r="G160" s="60"/>
      <c r="H160" s="60"/>
      <c r="I160" s="60"/>
      <c r="L160" s="4"/>
      <c r="M160" s="4"/>
      <c r="N160" s="4"/>
      <c r="O160" s="61">
        <f>N160</f>
        <v>0</v>
      </c>
      <c r="P160" s="60">
        <f>MIN(SUM(L160,M160,O160),R160)</f>
        <v>0</v>
      </c>
      <c r="Q160" s="61">
        <v>1</v>
      </c>
      <c r="R160" s="61">
        <v>5</v>
      </c>
    </row>
    <row r="161" spans="1:18">
      <c r="A161" s="1" t="s">
        <v>160</v>
      </c>
      <c r="B161" t="str">
        <f t="shared" si="26"/>
        <v>¬</v>
      </c>
      <c r="D161" s="19"/>
      <c r="E161" s="15" t="s">
        <v>100</v>
      </c>
      <c r="F161" s="3"/>
      <c r="G161" s="60"/>
      <c r="H161" s="60"/>
      <c r="I161" s="60"/>
      <c r="L161" s="4"/>
      <c r="M161" s="4"/>
      <c r="N161" s="4"/>
      <c r="O161" s="61">
        <f>N161</f>
        <v>0</v>
      </c>
      <c r="P161" s="60">
        <f>MIN(SUM(L161,M161,O161),R161)</f>
        <v>0</v>
      </c>
      <c r="Q161" s="61">
        <v>1</v>
      </c>
      <c r="R161" s="61">
        <v>5</v>
      </c>
    </row>
    <row r="162" spans="1:18">
      <c r="A162" s="1" t="s">
        <v>161</v>
      </c>
      <c r="B162" t="str">
        <f t="shared" si="26"/>
        <v>¬</v>
      </c>
    </row>
    <row r="163" spans="1:18" ht="15.75" thickBot="1">
      <c r="A163" s="1" t="s">
        <v>162</v>
      </c>
      <c r="B163" t="str">
        <f t="shared" si="26"/>
        <v>¬</v>
      </c>
      <c r="D163" s="14" t="s">
        <v>1488</v>
      </c>
      <c r="E163" s="14"/>
      <c r="F163" s="14"/>
      <c r="G163" s="14"/>
      <c r="H163" s="14"/>
      <c r="I163" s="14"/>
      <c r="N163" s="60">
        <f>SUM(N165:N174)+SUM(N177:N181)+SUM(N184:N185)+SUM(N187:N191)+SUM(N194:N203)</f>
        <v>13</v>
      </c>
    </row>
    <row r="164" spans="1:18">
      <c r="A164" s="1" t="s">
        <v>163</v>
      </c>
      <c r="B164" t="str">
        <f t="shared" si="26"/>
        <v>¬</v>
      </c>
      <c r="D164" s="16" t="s">
        <v>1489</v>
      </c>
      <c r="E164" s="15" t="s">
        <v>1490</v>
      </c>
      <c r="F164" s="61" t="str">
        <f>IFERROR(IF($F$8="",VLOOKUP($F$7,tblClans[],5,FALSE),VLOOKUP($F$8,tblBloodlines[],5,FALSE)),"")</f>
        <v>Animalism</v>
      </c>
      <c r="G164" s="61" t="str">
        <f>IFERROR(IF($F$8="",VLOOKUP($F$7,tblClans[],6,FALSE),VLOOKUP($F$8,tblBloodlines[],6,FALSE)),"")</f>
        <v>Protean</v>
      </c>
      <c r="H164" s="61" t="str">
        <f>IFERROR(IF($F$8="",VLOOKUP($F$7,tblClans[],7,FALSE),VLOOKUP($F$8,tblBloodlines[],7,FALSE)),"")</f>
        <v>Resilience</v>
      </c>
      <c r="I164" s="61" t="str">
        <f>IFERROR(IF($F$8="",VLOOKUP($F$7,tblClans[],8,FALSE),VLOOKUP($F$8,tblBloodlines[],8,FALSE)),"")</f>
        <v/>
      </c>
      <c r="L164" s="60">
        <f>3-SUM(L165:L174)-SUM(L184:L185)</f>
        <v>0</v>
      </c>
    </row>
    <row r="165" spans="1:18">
      <c r="A165" s="1" t="s">
        <v>164</v>
      </c>
      <c r="B165" t="str">
        <f t="shared" si="26"/>
        <v>¬</v>
      </c>
      <c r="D165" s="19"/>
      <c r="E165" s="15" t="s">
        <v>236</v>
      </c>
      <c r="F165" s="19"/>
      <c r="G165" s="19"/>
      <c r="H165" s="19"/>
      <c r="I165" s="19"/>
      <c r="L165" s="4"/>
      <c r="N165" s="4"/>
      <c r="O165" s="61">
        <f t="shared" ref="O165:O174" si="27">ROUNDDOWN(IF(COUNTIF($F$164:$I$164,$E165)&gt;0,N165/3,N165/4),0)</f>
        <v>0</v>
      </c>
      <c r="P165" s="60">
        <f>MIN(SUM(L165,O165),R165)</f>
        <v>0</v>
      </c>
      <c r="Q165" s="61">
        <v>0</v>
      </c>
      <c r="R165" s="61">
        <v>5</v>
      </c>
    </row>
    <row r="166" spans="1:18">
      <c r="A166" s="1" t="s">
        <v>165</v>
      </c>
      <c r="B166" t="str">
        <f t="shared" si="26"/>
        <v>¬</v>
      </c>
      <c r="D166" s="19"/>
      <c r="E166" s="15" t="s">
        <v>237</v>
      </c>
      <c r="F166" s="19"/>
      <c r="G166" s="19"/>
      <c r="H166" s="19"/>
      <c r="I166" s="19"/>
      <c r="L166" s="4"/>
      <c r="N166" s="4"/>
      <c r="O166" s="61">
        <f t="shared" si="27"/>
        <v>0</v>
      </c>
      <c r="P166" s="60">
        <f t="shared" ref="P166:P174" si="28">MIN(SUM(L166,O166),R166)</f>
        <v>0</v>
      </c>
      <c r="Q166" s="61">
        <v>0</v>
      </c>
      <c r="R166" s="61">
        <v>5</v>
      </c>
    </row>
    <row r="167" spans="1:18">
      <c r="A167" s="1" t="s">
        <v>166</v>
      </c>
      <c r="B167" t="str">
        <f t="shared" si="26"/>
        <v>¬</v>
      </c>
      <c r="D167" s="19"/>
      <c r="E167" s="15" t="s">
        <v>238</v>
      </c>
      <c r="F167" s="19"/>
      <c r="G167" s="19"/>
      <c r="H167" s="19"/>
      <c r="I167" s="19"/>
      <c r="L167" s="4"/>
      <c r="N167" s="4"/>
      <c r="O167" s="61">
        <f t="shared" si="27"/>
        <v>0</v>
      </c>
      <c r="P167" s="60">
        <f t="shared" si="28"/>
        <v>0</v>
      </c>
      <c r="Q167" s="61">
        <v>0</v>
      </c>
      <c r="R167" s="61">
        <v>5</v>
      </c>
    </row>
    <row r="168" spans="1:18">
      <c r="A168" s="1" t="s">
        <v>167</v>
      </c>
      <c r="B168" t="str">
        <f t="shared" si="26"/>
        <v>¬</v>
      </c>
      <c r="D168" s="19"/>
      <c r="E168" s="15" t="s">
        <v>239</v>
      </c>
      <c r="F168" s="19"/>
      <c r="G168" s="19"/>
      <c r="H168" s="19"/>
      <c r="I168" s="19"/>
      <c r="L168" s="4"/>
      <c r="N168" s="4"/>
      <c r="O168" s="61">
        <f t="shared" si="27"/>
        <v>0</v>
      </c>
      <c r="P168" s="60">
        <f t="shared" si="28"/>
        <v>0</v>
      </c>
      <c r="Q168" s="61">
        <v>0</v>
      </c>
      <c r="R168" s="61">
        <v>5</v>
      </c>
    </row>
    <row r="169" spans="1:18">
      <c r="A169" s="1" t="s">
        <v>168</v>
      </c>
      <c r="B169" t="str">
        <f t="shared" si="26"/>
        <v>¬</v>
      </c>
      <c r="D169" s="19"/>
      <c r="E169" s="15" t="s">
        <v>240</v>
      </c>
      <c r="F169" s="19"/>
      <c r="G169" s="19"/>
      <c r="H169" s="19"/>
      <c r="I169" s="19"/>
      <c r="L169" s="4"/>
      <c r="N169" s="4"/>
      <c r="O169" s="61">
        <f t="shared" si="27"/>
        <v>0</v>
      </c>
      <c r="P169" s="60">
        <f t="shared" si="28"/>
        <v>0</v>
      </c>
      <c r="Q169" s="61">
        <v>0</v>
      </c>
      <c r="R169" s="61">
        <v>5</v>
      </c>
    </row>
    <row r="170" spans="1:18">
      <c r="A170" s="1" t="s">
        <v>169</v>
      </c>
      <c r="B170" t="str">
        <f t="shared" si="26"/>
        <v>¬</v>
      </c>
      <c r="D170" s="19"/>
      <c r="E170" s="15" t="s">
        <v>241</v>
      </c>
      <c r="F170" s="19"/>
      <c r="G170" s="19"/>
      <c r="H170" s="19"/>
      <c r="I170" s="19"/>
      <c r="L170" s="4"/>
      <c r="N170" s="4"/>
      <c r="O170" s="61">
        <f t="shared" si="27"/>
        <v>0</v>
      </c>
      <c r="P170" s="60">
        <f t="shared" si="28"/>
        <v>0</v>
      </c>
      <c r="Q170" s="61">
        <v>0</v>
      </c>
      <c r="R170" s="61">
        <v>5</v>
      </c>
    </row>
    <row r="171" spans="1:18">
      <c r="A171" s="1" t="s">
        <v>170</v>
      </c>
      <c r="B171" t="str">
        <f t="shared" si="26"/>
        <v>¬</v>
      </c>
      <c r="D171" s="19"/>
      <c r="E171" s="15" t="s">
        <v>242</v>
      </c>
      <c r="F171" s="19"/>
      <c r="G171" s="19"/>
      <c r="H171" s="19"/>
      <c r="I171" s="19"/>
      <c r="L171" s="4"/>
      <c r="N171" s="4"/>
      <c r="O171" s="61">
        <f t="shared" si="27"/>
        <v>0</v>
      </c>
      <c r="P171" s="60">
        <f t="shared" si="28"/>
        <v>0</v>
      </c>
      <c r="Q171" s="61">
        <v>0</v>
      </c>
      <c r="R171" s="61">
        <v>5</v>
      </c>
    </row>
    <row r="172" spans="1:18">
      <c r="A172" s="1" t="s">
        <v>171</v>
      </c>
      <c r="B172" t="str">
        <f t="shared" si="26"/>
        <v>¬</v>
      </c>
      <c r="D172" s="19"/>
      <c r="E172" s="15" t="s">
        <v>243</v>
      </c>
      <c r="F172" s="19"/>
      <c r="G172" s="19"/>
      <c r="H172" s="19"/>
      <c r="I172" s="19"/>
      <c r="L172" s="4">
        <v>1</v>
      </c>
      <c r="N172" s="4">
        <v>9</v>
      </c>
      <c r="O172" s="61">
        <f t="shared" si="27"/>
        <v>3</v>
      </c>
      <c r="P172" s="60">
        <f t="shared" si="28"/>
        <v>4</v>
      </c>
      <c r="Q172" s="61">
        <v>0</v>
      </c>
      <c r="R172" s="61">
        <v>5</v>
      </c>
    </row>
    <row r="173" spans="1:18">
      <c r="A173" s="1" t="s">
        <v>172</v>
      </c>
      <c r="B173" t="str">
        <f t="shared" si="26"/>
        <v>¬</v>
      </c>
      <c r="D173" s="19"/>
      <c r="E173" s="15" t="s">
        <v>244</v>
      </c>
      <c r="F173" s="19"/>
      <c r="G173" s="19"/>
      <c r="H173" s="19"/>
      <c r="I173" s="19"/>
      <c r="L173" s="4">
        <v>1</v>
      </c>
      <c r="N173" s="4"/>
      <c r="O173" s="61">
        <f t="shared" si="27"/>
        <v>0</v>
      </c>
      <c r="P173" s="60">
        <f t="shared" si="28"/>
        <v>1</v>
      </c>
      <c r="Q173" s="61">
        <v>0</v>
      </c>
      <c r="R173" s="61">
        <v>5</v>
      </c>
    </row>
    <row r="174" spans="1:18">
      <c r="A174" s="1" t="s">
        <v>173</v>
      </c>
      <c r="B174" t="str">
        <f t="shared" si="26"/>
        <v>¬</v>
      </c>
      <c r="D174" s="19"/>
      <c r="E174" s="15" t="s">
        <v>245</v>
      </c>
      <c r="F174" s="19"/>
      <c r="G174" s="19"/>
      <c r="H174" s="19"/>
      <c r="I174" s="19"/>
      <c r="L174" s="4">
        <v>1</v>
      </c>
      <c r="N174" s="4">
        <v>4</v>
      </c>
      <c r="O174" s="61">
        <f t="shared" si="27"/>
        <v>1</v>
      </c>
      <c r="P174" s="60">
        <f t="shared" si="28"/>
        <v>2</v>
      </c>
      <c r="Q174" s="61">
        <v>0</v>
      </c>
      <c r="R174" s="61">
        <v>5</v>
      </c>
    </row>
    <row r="175" spans="1:18">
      <c r="A175" s="1" t="s">
        <v>174</v>
      </c>
      <c r="B175" t="str">
        <f>_xlfn.CONCAT(I137-H137," / ",I137)</f>
        <v>2 / 2</v>
      </c>
    </row>
    <row r="176" spans="1:18">
      <c r="A176" s="1" t="s">
        <v>175</v>
      </c>
      <c r="B176" t="str">
        <f>REPT("□",I137-H137) &amp; REPT("■",H137)</f>
        <v>□□</v>
      </c>
      <c r="D176" s="16" t="s">
        <v>1491</v>
      </c>
      <c r="E176" s="16"/>
      <c r="F176" s="16"/>
      <c r="G176" s="16"/>
      <c r="H176" s="16"/>
      <c r="I176" s="16"/>
    </row>
    <row r="177" spans="1:18">
      <c r="A177" s="1" t="s">
        <v>176</v>
      </c>
      <c r="B177" t="str">
        <f t="shared" ref="B177:B196" si="29">IF(AC134="","¬",AC134)</f>
        <v>Resources</v>
      </c>
      <c r="D177" s="19"/>
      <c r="E177" s="15" t="s">
        <v>1492</v>
      </c>
      <c r="F177" s="3"/>
      <c r="G177" s="19"/>
      <c r="H177" s="72" t="str">
        <f>IFERROR(IF(VLOOKUP(F177,tblDisciplines[],14,FALSE)=0,"None",VLOOKUP(F177,tblDisciplines[],14,FALSE)),"None")</f>
        <v>None</v>
      </c>
      <c r="I177" s="73"/>
      <c r="N177" s="4"/>
      <c r="O177" s="61">
        <f>N177</f>
        <v>0</v>
      </c>
      <c r="P177" s="60" t="str">
        <f>IF(O177=R177,O177,"")</f>
        <v/>
      </c>
      <c r="R177" s="61" t="str">
        <f>_xlfn.IFNA(VLOOKUP(F177,tblDisciplines[],15,FALSE),"")</f>
        <v/>
      </c>
    </row>
    <row r="178" spans="1:18">
      <c r="A178" s="1" t="s">
        <v>177</v>
      </c>
      <c r="B178" t="str">
        <f t="shared" si="29"/>
        <v>Staff</v>
      </c>
      <c r="D178" s="19"/>
      <c r="E178" s="15" t="s">
        <v>1493</v>
      </c>
      <c r="F178" s="3"/>
      <c r="G178" s="19"/>
      <c r="H178" s="72" t="str">
        <f>IFERROR(IF(VLOOKUP(F178,tblDisciplines[],14,FALSE)=0,"None",VLOOKUP(F178,tblDisciplines[],14,FALSE)),"None")</f>
        <v>None</v>
      </c>
      <c r="I178" s="73"/>
      <c r="N178" s="4"/>
      <c r="O178" s="61">
        <f>N178</f>
        <v>0</v>
      </c>
      <c r="P178" s="60" t="str">
        <f>IF(O178=R178,O178,"")</f>
        <v/>
      </c>
      <c r="R178" s="61" t="str">
        <f>_xlfn.IFNA(VLOOKUP(F178,tblDisciplines[],15,FALSE),"")</f>
        <v/>
      </c>
    </row>
    <row r="179" spans="1:18">
      <c r="A179" s="1" t="s">
        <v>178</v>
      </c>
      <c r="B179" t="str">
        <f t="shared" si="29"/>
        <v>¬</v>
      </c>
      <c r="D179" s="19"/>
      <c r="E179" s="15" t="s">
        <v>1494</v>
      </c>
      <c r="F179" s="3"/>
      <c r="G179" s="19"/>
      <c r="H179" s="72" t="str">
        <f>IFERROR(IF(VLOOKUP(F179,tblDisciplines[],14,FALSE)=0,"None",VLOOKUP(F179,tblDisciplines[],14,FALSE)),"None")</f>
        <v>None</v>
      </c>
      <c r="I179" s="73"/>
      <c r="N179" s="4"/>
      <c r="O179" s="61">
        <f>N179</f>
        <v>0</v>
      </c>
      <c r="P179" s="60" t="str">
        <f>IF(O179=R179,O179,"")</f>
        <v/>
      </c>
      <c r="R179" s="61" t="str">
        <f>_xlfn.IFNA(VLOOKUP(F179,tblDisciplines[],15,FALSE),"")</f>
        <v/>
      </c>
    </row>
    <row r="180" spans="1:18">
      <c r="A180" s="1" t="s">
        <v>179</v>
      </c>
      <c r="B180" t="str">
        <f t="shared" si="29"/>
        <v>¬</v>
      </c>
      <c r="D180" s="19"/>
      <c r="E180" s="15" t="s">
        <v>1495</v>
      </c>
      <c r="F180" s="3"/>
      <c r="G180" s="19"/>
      <c r="H180" s="72" t="str">
        <f>IFERROR(IF(VLOOKUP(F180,tblDisciplines[],14,FALSE)=0,"None",VLOOKUP(F180,tblDisciplines[],14,FALSE)),"None")</f>
        <v>None</v>
      </c>
      <c r="I180" s="73"/>
      <c r="N180" s="4"/>
      <c r="O180" s="61">
        <f>N180</f>
        <v>0</v>
      </c>
      <c r="P180" s="60" t="str">
        <f>IF(O180=R180,O180,"")</f>
        <v/>
      </c>
      <c r="R180" s="61" t="str">
        <f>_xlfn.IFNA(VLOOKUP(F180,tblDisciplines[],15,FALSE),"")</f>
        <v/>
      </c>
    </row>
    <row r="181" spans="1:18">
      <c r="A181" s="1" t="s">
        <v>180</v>
      </c>
      <c r="B181" t="str">
        <f t="shared" si="29"/>
        <v>¬</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29"/>
        <v>¬</v>
      </c>
    </row>
    <row r="183" spans="1:18">
      <c r="A183" s="1" t="s">
        <v>182</v>
      </c>
      <c r="B183" t="str">
        <f t="shared" si="29"/>
        <v>¬</v>
      </c>
      <c r="D183" s="16" t="s">
        <v>1497</v>
      </c>
      <c r="E183" s="16"/>
      <c r="F183" s="16"/>
      <c r="G183" s="16"/>
      <c r="H183" s="16"/>
      <c r="I183" s="16"/>
    </row>
    <row r="184" spans="1:18">
      <c r="A184" s="1" t="s">
        <v>183</v>
      </c>
      <c r="B184" t="str">
        <f t="shared" si="29"/>
        <v>¬</v>
      </c>
      <c r="D184" s="19"/>
      <c r="E184" s="15" t="s">
        <v>246</v>
      </c>
      <c r="F184" s="19"/>
      <c r="G184" s="19"/>
      <c r="H184" s="19"/>
      <c r="I184" s="60" t="b">
        <f>IF(OR(F$9="Circle of the Crone",COUNTIF(F$79:F$93,"Chorister")&gt;0),TRUE,FALSE)</f>
        <v>0</v>
      </c>
      <c r="L184" s="4"/>
      <c r="N184" s="4"/>
      <c r="O184" s="61">
        <f>ROUNDDOWN(N184/4,0)</f>
        <v>0</v>
      </c>
      <c r="P184" s="60">
        <f>SUM(L184,O184)</f>
        <v>0</v>
      </c>
      <c r="Q184" s="61">
        <v>0</v>
      </c>
      <c r="R184" s="61">
        <v>5</v>
      </c>
    </row>
    <row r="185" spans="1:18">
      <c r="A185" s="1" t="s">
        <v>184</v>
      </c>
      <c r="B185" t="str">
        <f t="shared" si="29"/>
        <v>¬</v>
      </c>
      <c r="D185" s="19"/>
      <c r="E185" s="15" t="s">
        <v>247</v>
      </c>
      <c r="F185" s="19"/>
      <c r="G185" s="19"/>
      <c r="H185" s="19"/>
      <c r="I185" s="60" t="b">
        <f>IF(OR(F$9="Lancea et Sanctum",COUNTIF(F$79:F$93,"Laity")&gt;0),TRUE,FALSE)</f>
        <v>0</v>
      </c>
      <c r="L185" s="4"/>
      <c r="N185" s="4"/>
      <c r="O185" s="61">
        <f>ROUNDDOWN(N185/4,0)</f>
        <v>0</v>
      </c>
      <c r="P185" s="60">
        <f>SUM(L185,O185)</f>
        <v>0</v>
      </c>
      <c r="Q185" s="61">
        <v>0</v>
      </c>
      <c r="R185" s="61">
        <v>5</v>
      </c>
    </row>
    <row r="186" spans="1:18">
      <c r="A186" s="1" t="s">
        <v>185</v>
      </c>
      <c r="B186" t="str">
        <f t="shared" si="29"/>
        <v>¬</v>
      </c>
      <c r="D186" s="19"/>
      <c r="E186" s="19"/>
      <c r="F186" s="19"/>
      <c r="G186" s="19"/>
      <c r="H186" s="19"/>
      <c r="I186" s="19"/>
      <c r="L186" s="60">
        <f>SUM(P184:P185)-SUM(L187:L191)</f>
        <v>0</v>
      </c>
    </row>
    <row r="187" spans="1:18">
      <c r="A187" s="1" t="s">
        <v>186</v>
      </c>
      <c r="B187" t="str">
        <f t="shared" si="29"/>
        <v>¬</v>
      </c>
      <c r="D187" s="19"/>
      <c r="E187" s="15" t="s">
        <v>248</v>
      </c>
      <c r="F187" s="19"/>
      <c r="G187" s="19"/>
      <c r="H187" s="19"/>
      <c r="I187" s="19"/>
      <c r="L187" s="4"/>
      <c r="M187" s="61">
        <f>IF(AND(I184,L184&gt;=1),1,0)</f>
        <v>0</v>
      </c>
      <c r="N187" s="4"/>
      <c r="O187" s="61">
        <f>ROUNDDOWN(N187/2,0)</f>
        <v>0</v>
      </c>
      <c r="P187" s="60">
        <f>MIN(SUM(L187,M187,O187),R187)</f>
        <v>0</v>
      </c>
      <c r="Q187" s="61">
        <v>0</v>
      </c>
      <c r="R187" s="61">
        <f>MAX(P$184,P$185)</f>
        <v>0</v>
      </c>
    </row>
    <row r="188" spans="1:18">
      <c r="A188" s="1" t="s">
        <v>187</v>
      </c>
      <c r="B188" t="str">
        <f t="shared" si="29"/>
        <v>¬</v>
      </c>
      <c r="D188" s="19"/>
      <c r="E188" s="15" t="s">
        <v>249</v>
      </c>
      <c r="F188" s="19"/>
      <c r="G188" s="19"/>
      <c r="H188" s="19"/>
      <c r="I188" s="19"/>
      <c r="L188" s="4"/>
      <c r="M188" s="61"/>
      <c r="N188" s="4"/>
      <c r="O188" s="61">
        <f>ROUNDDOWN(N188/2,0)</f>
        <v>0</v>
      </c>
      <c r="P188" s="60">
        <f>MIN(SUM(L188,M188,O188),R188)</f>
        <v>0</v>
      </c>
      <c r="Q188" s="61">
        <v>0</v>
      </c>
      <c r="R188" s="61">
        <f>MAX(P$184,P$185)</f>
        <v>0</v>
      </c>
    </row>
    <row r="189" spans="1:18">
      <c r="A189" s="1" t="s">
        <v>188</v>
      </c>
      <c r="B189" t="str">
        <f t="shared" si="29"/>
        <v>¬</v>
      </c>
      <c r="D189" s="19"/>
      <c r="E189" s="15" t="s">
        <v>250</v>
      </c>
      <c r="F189" s="19"/>
      <c r="G189" s="19"/>
      <c r="H189" s="19"/>
      <c r="I189" s="19"/>
      <c r="L189" s="4"/>
      <c r="M189" s="61">
        <f>IF(AND(I185,L185&gt;=1),1,0)</f>
        <v>0</v>
      </c>
      <c r="N189" s="4"/>
      <c r="O189" s="61">
        <f>ROUNDDOWN(N189/2,0)</f>
        <v>0</v>
      </c>
      <c r="P189" s="60">
        <f>MIN(SUM(L189,M189,O189),R189)</f>
        <v>0</v>
      </c>
      <c r="Q189" s="61">
        <v>0</v>
      </c>
      <c r="R189" s="61">
        <f>MAX(P$184,P$185)</f>
        <v>0</v>
      </c>
    </row>
    <row r="190" spans="1:18">
      <c r="A190" s="1" t="s">
        <v>189</v>
      </c>
      <c r="B190" t="str">
        <f t="shared" si="29"/>
        <v>¬</v>
      </c>
      <c r="D190" s="19"/>
      <c r="E190" s="15" t="s">
        <v>251</v>
      </c>
      <c r="F190" s="19"/>
      <c r="G190" s="19"/>
      <c r="H190" s="19"/>
      <c r="I190" s="19"/>
      <c r="L190" s="4"/>
      <c r="M190" s="61">
        <f>IF(AND(I184,L184&gt;=1),1,0)</f>
        <v>0</v>
      </c>
      <c r="N190" s="4"/>
      <c r="O190" s="61">
        <f>ROUNDDOWN(N190/2,0)</f>
        <v>0</v>
      </c>
      <c r="P190" s="60">
        <f>MIN(SUM(L190,M190,O190),R190)</f>
        <v>0</v>
      </c>
      <c r="Q190" s="61">
        <v>0</v>
      </c>
      <c r="R190" s="61">
        <f>MAX(P$184,P$185)</f>
        <v>0</v>
      </c>
    </row>
    <row r="191" spans="1:18">
      <c r="A191" s="1" t="s">
        <v>190</v>
      </c>
      <c r="B191" t="str">
        <f t="shared" si="29"/>
        <v>¬</v>
      </c>
      <c r="D191" s="19"/>
      <c r="E191" s="15" t="s">
        <v>252</v>
      </c>
      <c r="F191" s="19"/>
      <c r="G191" s="19"/>
      <c r="H191" s="19"/>
      <c r="I191" s="19"/>
      <c r="L191" s="4"/>
      <c r="M191" s="61">
        <f>IF(AND(I185,L185&gt;=1),1,0)</f>
        <v>0</v>
      </c>
      <c r="N191" s="4"/>
      <c r="O191" s="61">
        <f>ROUNDDOWN(N191/2,0)</f>
        <v>0</v>
      </c>
      <c r="P191" s="60">
        <f>MIN(SUM(L191,M191,O191),R191)</f>
        <v>0</v>
      </c>
      <c r="Q191" s="61">
        <v>0</v>
      </c>
      <c r="R191" s="61">
        <f>MAX(P$184,P$185)</f>
        <v>0</v>
      </c>
    </row>
    <row r="192" spans="1:18">
      <c r="A192" s="1" t="s">
        <v>191</v>
      </c>
      <c r="B192" t="str">
        <f t="shared" si="29"/>
        <v>¬</v>
      </c>
    </row>
    <row r="193" spans="1:18">
      <c r="A193" s="1" t="s">
        <v>192</v>
      </c>
      <c r="B193" t="str">
        <f t="shared" si="29"/>
        <v>¬</v>
      </c>
      <c r="D193" s="16" t="s">
        <v>1474</v>
      </c>
      <c r="E193" s="16"/>
      <c r="F193" s="16"/>
      <c r="G193" s="16"/>
      <c r="H193" s="16"/>
      <c r="I193" s="16"/>
      <c r="L193" s="60">
        <f>SUM(P184:P185)+SUM(O187:O191)</f>
        <v>0</v>
      </c>
    </row>
    <row r="194" spans="1:18">
      <c r="A194" s="1" t="s">
        <v>193</v>
      </c>
      <c r="B194" t="str">
        <f t="shared" si="29"/>
        <v>¬</v>
      </c>
      <c r="D194" s="19"/>
      <c r="E194" s="15" t="s">
        <v>1498</v>
      </c>
      <c r="F194" s="3"/>
      <c r="G194" s="61" t="str">
        <f>_xlfn.IFNA(VLOOKUP(F194,tblDisciplines[],2,FALSE),"")</f>
        <v/>
      </c>
      <c r="H194" s="19"/>
      <c r="I194" s="19"/>
      <c r="L194" s="4"/>
      <c r="N194" s="4"/>
      <c r="O194" s="61">
        <f>N194</f>
        <v>0</v>
      </c>
      <c r="P194" s="60" t="str">
        <f>IF(OR(L194=R194,O194=R194),R194,MIN(SUM(L194,O194),R194))</f>
        <v/>
      </c>
      <c r="R194" s="61" t="str">
        <f>_xlfn.IFNA(VLOOKUP(F194,tblDisciplines[],3,FALSE),"")</f>
        <v/>
      </c>
    </row>
    <row r="195" spans="1:18">
      <c r="A195" s="1" t="s">
        <v>194</v>
      </c>
      <c r="B195" t="str">
        <f t="shared" si="29"/>
        <v>¬</v>
      </c>
      <c r="D195" s="19"/>
      <c r="E195" s="15" t="s">
        <v>1499</v>
      </c>
      <c r="F195" s="3"/>
      <c r="G195" s="61" t="str">
        <f>_xlfn.IFNA(VLOOKUP(F195,tblDisciplines[],2,FALSE),"")</f>
        <v/>
      </c>
      <c r="H195" s="19"/>
      <c r="I195" s="19"/>
      <c r="L195" s="4"/>
      <c r="N195" s="4"/>
      <c r="O195" s="61">
        <f t="shared" ref="O195:O203" si="30">N195</f>
        <v>0</v>
      </c>
      <c r="P195" s="60" t="str">
        <f t="shared" ref="P195:P203" si="31">IF(OR(L195=R195,O195=R195),R195,MIN(SUM(L195,O195),R195))</f>
        <v/>
      </c>
      <c r="R195" s="61" t="str">
        <f>_xlfn.IFNA(VLOOKUP(F195,tblDisciplines[],3,FALSE),"")</f>
        <v/>
      </c>
    </row>
    <row r="196" spans="1:18">
      <c r="A196" s="1" t="s">
        <v>195</v>
      </c>
      <c r="B196" t="str">
        <f t="shared" si="29"/>
        <v>¬</v>
      </c>
      <c r="D196" s="19"/>
      <c r="E196" s="15" t="s">
        <v>1500</v>
      </c>
      <c r="F196" s="3"/>
      <c r="G196" s="61" t="str">
        <f>_xlfn.IFNA(VLOOKUP(F196,tblDisciplines[],2,FALSE),"")</f>
        <v/>
      </c>
      <c r="H196" s="19"/>
      <c r="I196" s="19"/>
      <c r="L196" s="4"/>
      <c r="N196" s="4"/>
      <c r="O196" s="61">
        <f t="shared" si="30"/>
        <v>0</v>
      </c>
      <c r="P196" s="60" t="str">
        <f t="shared" si="31"/>
        <v/>
      </c>
      <c r="R196" s="61" t="str">
        <f>_xlfn.IFNA(VLOOKUP(F196,tblDisciplines[],3,FALSE),"")</f>
        <v/>
      </c>
    </row>
    <row r="197" spans="1:18">
      <c r="A197" s="1" t="s">
        <v>196</v>
      </c>
      <c r="B197" t="str">
        <f>IF(AD134="","¬",AD134)</f>
        <v>¬</v>
      </c>
      <c r="D197" s="19"/>
      <c r="E197" s="15" t="s">
        <v>1501</v>
      </c>
      <c r="F197" s="3"/>
      <c r="G197" s="61" t="str">
        <f>_xlfn.IFNA(VLOOKUP(F197,tblDisciplines[],2,FALSE),"")</f>
        <v/>
      </c>
      <c r="H197" s="19"/>
      <c r="I197" s="19"/>
      <c r="L197" s="4"/>
      <c r="N197" s="4"/>
      <c r="O197" s="61">
        <f t="shared" si="30"/>
        <v>0</v>
      </c>
      <c r="P197" s="60" t="str">
        <f t="shared" si="31"/>
        <v/>
      </c>
      <c r="R197" s="61" t="str">
        <f>_xlfn.IFNA(VLOOKUP(F197,tblDisciplines[],3,FALSE),"")</f>
        <v/>
      </c>
    </row>
    <row r="198" spans="1:18">
      <c r="A198" s="1" t="s">
        <v>197</v>
      </c>
      <c r="B198" t="str">
        <f t="shared" ref="B198:B216" si="32">IF(AD135="","¬",AD135)</f>
        <v>Larceny</v>
      </c>
      <c r="D198" s="19"/>
      <c r="E198" s="15" t="s">
        <v>1502</v>
      </c>
      <c r="F198" s="3"/>
      <c r="G198" s="61" t="str">
        <f>_xlfn.IFNA(VLOOKUP(F198,tblDisciplines[],2,FALSE),"")</f>
        <v/>
      </c>
      <c r="H198" s="19"/>
      <c r="I198" s="19"/>
      <c r="L198" s="4"/>
      <c r="N198" s="4"/>
      <c r="O198" s="61">
        <f t="shared" si="30"/>
        <v>0</v>
      </c>
      <c r="P198" s="60" t="str">
        <f t="shared" si="31"/>
        <v/>
      </c>
      <c r="R198" s="61" t="str">
        <f>_xlfn.IFNA(VLOOKUP(F198,tblDisciplines[],3,FALSE),"")</f>
        <v/>
      </c>
    </row>
    <row r="199" spans="1:18">
      <c r="A199" s="1" t="s">
        <v>198</v>
      </c>
      <c r="B199" t="str">
        <f t="shared" si="32"/>
        <v>¬</v>
      </c>
      <c r="D199" s="19"/>
      <c r="E199" s="15" t="s">
        <v>1503</v>
      </c>
      <c r="F199" s="3"/>
      <c r="G199" s="61" t="str">
        <f>_xlfn.IFNA(VLOOKUP(F199,tblDisciplines[],2,FALSE),"")</f>
        <v/>
      </c>
      <c r="H199" s="19"/>
      <c r="I199" s="19"/>
      <c r="L199" s="4"/>
      <c r="N199" s="4"/>
      <c r="O199" s="61">
        <f t="shared" si="30"/>
        <v>0</v>
      </c>
      <c r="P199" s="60" t="str">
        <f t="shared" si="31"/>
        <v/>
      </c>
      <c r="R199" s="61" t="str">
        <f>_xlfn.IFNA(VLOOKUP(F199,tblDisciplines[],3,FALSE),"")</f>
        <v/>
      </c>
    </row>
    <row r="200" spans="1:18">
      <c r="A200" s="1" t="s">
        <v>199</v>
      </c>
      <c r="B200" t="str">
        <f t="shared" si="32"/>
        <v>¬</v>
      </c>
      <c r="D200" s="19"/>
      <c r="E200" s="15" t="s">
        <v>1504</v>
      </c>
      <c r="F200" s="3"/>
      <c r="G200" s="61" t="str">
        <f>_xlfn.IFNA(VLOOKUP(F200,tblDisciplines[],2,FALSE),"")</f>
        <v/>
      </c>
      <c r="H200" s="19"/>
      <c r="I200" s="19"/>
      <c r="L200" s="4"/>
      <c r="N200" s="4"/>
      <c r="O200" s="61">
        <f t="shared" si="30"/>
        <v>0</v>
      </c>
      <c r="P200" s="60" t="str">
        <f t="shared" si="31"/>
        <v/>
      </c>
      <c r="R200" s="61" t="str">
        <f>_xlfn.IFNA(VLOOKUP(F200,tblDisciplines[],3,FALSE),"")</f>
        <v/>
      </c>
    </row>
    <row r="201" spans="1:18">
      <c r="A201" s="1" t="s">
        <v>200</v>
      </c>
      <c r="B201" t="str">
        <f t="shared" si="32"/>
        <v>¬</v>
      </c>
      <c r="D201" s="19"/>
      <c r="E201" s="15" t="s">
        <v>1505</v>
      </c>
      <c r="F201" s="3"/>
      <c r="G201" s="61" t="str">
        <f>_xlfn.IFNA(VLOOKUP(F201,tblDisciplines[],2,FALSE),"")</f>
        <v/>
      </c>
      <c r="H201" s="19"/>
      <c r="I201" s="19"/>
      <c r="L201" s="4"/>
      <c r="N201" s="4"/>
      <c r="O201" s="61">
        <f t="shared" si="30"/>
        <v>0</v>
      </c>
      <c r="P201" s="60" t="str">
        <f t="shared" si="31"/>
        <v/>
      </c>
      <c r="R201" s="61" t="str">
        <f>_xlfn.IFNA(VLOOKUP(F201,tblDisciplines[],3,FALSE),"")</f>
        <v/>
      </c>
    </row>
    <row r="202" spans="1:18">
      <c r="A202" s="1" t="s">
        <v>201</v>
      </c>
      <c r="B202" t="str">
        <f t="shared" si="32"/>
        <v>¬</v>
      </c>
      <c r="D202" s="19"/>
      <c r="E202" s="15" t="s">
        <v>1506</v>
      </c>
      <c r="F202" s="3"/>
      <c r="G202" s="61" t="str">
        <f>_xlfn.IFNA(VLOOKUP(F202,tblDisciplines[],2,FALSE),"")</f>
        <v/>
      </c>
      <c r="H202" s="19"/>
      <c r="I202" s="19"/>
      <c r="L202" s="4"/>
      <c r="N202" s="4"/>
      <c r="O202" s="61">
        <f t="shared" si="30"/>
        <v>0</v>
      </c>
      <c r="P202" s="60" t="str">
        <f t="shared" si="31"/>
        <v/>
      </c>
      <c r="R202" s="61" t="str">
        <f>_xlfn.IFNA(VLOOKUP(F202,tblDisciplines[],3,FALSE),"")</f>
        <v/>
      </c>
    </row>
    <row r="203" spans="1:18">
      <c r="A203" s="1" t="s">
        <v>202</v>
      </c>
      <c r="B203" t="str">
        <f t="shared" si="32"/>
        <v>¬</v>
      </c>
      <c r="D203" s="19"/>
      <c r="E203" s="15" t="s">
        <v>1507</v>
      </c>
      <c r="F203" s="3"/>
      <c r="G203" s="61" t="str">
        <f>_xlfn.IFNA(VLOOKUP(F203,tblDisciplines[],2,FALSE),"")</f>
        <v/>
      </c>
      <c r="H203" s="19"/>
      <c r="I203" s="19"/>
      <c r="L203" s="4"/>
      <c r="N203" s="4"/>
      <c r="O203" s="61">
        <f t="shared" si="30"/>
        <v>0</v>
      </c>
      <c r="P203" s="60" t="str">
        <f t="shared" si="31"/>
        <v/>
      </c>
      <c r="R203" s="61" t="str">
        <f>_xlfn.IFNA(VLOOKUP(F203,tblDisciplines[],3,FALSE),"")</f>
        <v/>
      </c>
    </row>
    <row r="204" spans="1:18">
      <c r="A204" s="1" t="s">
        <v>203</v>
      </c>
      <c r="B204" t="str">
        <f t="shared" si="32"/>
        <v>¬</v>
      </c>
    </row>
    <row r="205" spans="1:18">
      <c r="A205" s="1" t="s">
        <v>204</v>
      </c>
      <c r="B205" t="str">
        <f t="shared" si="32"/>
        <v>¬</v>
      </c>
      <c r="D205" s="16" t="s">
        <v>1508</v>
      </c>
      <c r="E205" s="17"/>
      <c r="F205" s="17"/>
      <c r="G205" s="17"/>
      <c r="H205" s="17"/>
      <c r="I205" s="17"/>
    </row>
    <row r="206" spans="1:18">
      <c r="A206" s="1" t="s">
        <v>205</v>
      </c>
      <c r="B206" t="str">
        <f t="shared" si="32"/>
        <v>¬</v>
      </c>
      <c r="D206" s="19"/>
      <c r="E206" s="15" t="s">
        <v>1476</v>
      </c>
      <c r="F206" s="3" t="s">
        <v>1658</v>
      </c>
      <c r="G206" s="19" t="str">
        <f>IFERROR(VLOOKUP(F206,tblManoeuvre[],2,FALSE)&amp;" "&amp;VLOOKUP(F206,tblManoeuvre[],3,FALSE),"")</f>
        <v/>
      </c>
      <c r="H206" s="68" t="str">
        <f>_xlfn.IFNA(IF(VLOOKUP(F206,tblMerits[],6,FALSE)=0,"None",VLOOKUP(F206,tblMerits[],6,FALSE)),"None")</f>
        <v>None</v>
      </c>
      <c r="I206" s="69"/>
      <c r="L206" s="4">
        <v>2</v>
      </c>
      <c r="M206" s="4"/>
      <c r="N206" s="4"/>
      <c r="O206" s="61">
        <f t="shared" ref="O206:O215" si="33">N206</f>
        <v>0</v>
      </c>
      <c r="P206" s="60">
        <f t="shared" ref="P206:P215" si="34">MIN(SUM(L206,M206,O206),R206)</f>
        <v>2</v>
      </c>
      <c r="Q206" s="61">
        <f>_xlfn.IFNA(VLOOKUP($F206,tblPacts[],3,FALSE),"")</f>
        <v>2</v>
      </c>
      <c r="R206" s="61">
        <f>_xlfn.IFNA(VLOOKUP($F206,tblPacts[],4,FALSE),"")</f>
        <v>2</v>
      </c>
    </row>
    <row r="207" spans="1:18">
      <c r="A207" s="1" t="s">
        <v>206</v>
      </c>
      <c r="B207" t="str">
        <f t="shared" si="32"/>
        <v>¬</v>
      </c>
      <c r="D207" s="19"/>
      <c r="E207" s="15" t="s">
        <v>1477</v>
      </c>
      <c r="F207" s="3"/>
      <c r="G207" s="19" t="str">
        <f>IFERROR(VLOOKUP(F207,tblManoeuvre[],2,FALSE)&amp;" "&amp;VLOOKUP(F207,tblManoeuvre[],3,FALSE),"")</f>
        <v/>
      </c>
      <c r="H207" s="68" t="str">
        <f>_xlfn.IFNA(IF(VLOOKUP(F207,tblMerits[],6,FALSE)=0,"None",VLOOKUP(F207,tblMerits[],6,FALSE)),"None")</f>
        <v>None</v>
      </c>
      <c r="I207" s="69"/>
      <c r="L207" s="4"/>
      <c r="M207" s="4"/>
      <c r="N207" s="4"/>
      <c r="O207" s="61">
        <f t="shared" si="33"/>
        <v>0</v>
      </c>
      <c r="P207" s="60">
        <f t="shared" si="34"/>
        <v>0</v>
      </c>
      <c r="Q207" s="61" t="str">
        <f>_xlfn.IFNA(VLOOKUP($F207,tblPacts[],3,FALSE),"")</f>
        <v/>
      </c>
      <c r="R207" s="61" t="str">
        <f>_xlfn.IFNA(VLOOKUP($F207,tblPacts[],4,FALSE),"")</f>
        <v/>
      </c>
    </row>
    <row r="208" spans="1:18">
      <c r="A208" s="1" t="s">
        <v>207</v>
      </c>
      <c r="B208" t="str">
        <f t="shared" si="32"/>
        <v>¬</v>
      </c>
      <c r="D208" s="19"/>
      <c r="E208" s="15" t="s">
        <v>1478</v>
      </c>
      <c r="F208" s="3"/>
      <c r="G208" s="19" t="str">
        <f>IFERROR(VLOOKUP(F208,tblManoeuvre[],2,FALSE)&amp;" "&amp;VLOOKUP(F208,tblManoeuvre[],3,FALSE),"")</f>
        <v/>
      </c>
      <c r="H208" s="68" t="str">
        <f>_xlfn.IFNA(IF(VLOOKUP(F208,tblMerits[],6,FALSE)=0,"None",VLOOKUP(F208,tblMerits[],6,FALSE)),"None")</f>
        <v>None</v>
      </c>
      <c r="I208" s="69"/>
      <c r="L208" s="4"/>
      <c r="M208" s="4"/>
      <c r="N208" s="4"/>
      <c r="O208" s="61">
        <f t="shared" si="33"/>
        <v>0</v>
      </c>
      <c r="P208" s="60">
        <f t="shared" si="34"/>
        <v>0</v>
      </c>
      <c r="Q208" s="61" t="str">
        <f>_xlfn.IFNA(VLOOKUP($F208,tblPacts[],3,FALSE),"")</f>
        <v/>
      </c>
      <c r="R208" s="61" t="str">
        <f>_xlfn.IFNA(VLOOKUP($F208,tblPacts[],4,FALSE),"")</f>
        <v/>
      </c>
    </row>
    <row r="209" spans="1:18">
      <c r="A209" s="1" t="s">
        <v>208</v>
      </c>
      <c r="B209" t="str">
        <f t="shared" si="32"/>
        <v>¬</v>
      </c>
      <c r="D209" s="19"/>
      <c r="E209" s="15" t="s">
        <v>1479</v>
      </c>
      <c r="F209" s="3"/>
      <c r="G209" s="19" t="str">
        <f>IFERROR(VLOOKUP(F209,tblManoeuvre[],2,FALSE)&amp;" "&amp;VLOOKUP(F209,tblManoeuvre[],3,FALSE),"")</f>
        <v/>
      </c>
      <c r="H209" s="68" t="str">
        <f>_xlfn.IFNA(IF(VLOOKUP(F209,tblMerits[],6,FALSE)=0,"None",VLOOKUP(F209,tblMerits[],6,FALSE)),"None")</f>
        <v>None</v>
      </c>
      <c r="I209" s="69"/>
      <c r="L209" s="4"/>
      <c r="M209" s="4"/>
      <c r="N209" s="4"/>
      <c r="O209" s="61">
        <f t="shared" si="33"/>
        <v>0</v>
      </c>
      <c r="P209" s="60">
        <f t="shared" si="34"/>
        <v>0</v>
      </c>
      <c r="Q209" s="61" t="str">
        <f>_xlfn.IFNA(VLOOKUP($F209,tblPacts[],3,FALSE),"")</f>
        <v/>
      </c>
      <c r="R209" s="61" t="str">
        <f>_xlfn.IFNA(VLOOKUP($F209,tblPacts[],4,FALSE),"")</f>
        <v/>
      </c>
    </row>
    <row r="210" spans="1:18">
      <c r="A210" s="1" t="s">
        <v>209</v>
      </c>
      <c r="B210" t="str">
        <f t="shared" si="32"/>
        <v>¬</v>
      </c>
      <c r="D210" s="19"/>
      <c r="E210" s="15" t="s">
        <v>1480</v>
      </c>
      <c r="F210" s="3"/>
      <c r="G210" s="19" t="str">
        <f>IFERROR(VLOOKUP(F210,tblManoeuvre[],2,FALSE)&amp;" "&amp;VLOOKUP(F210,tblManoeuvre[],3,FALSE),"")</f>
        <v/>
      </c>
      <c r="H210" s="68" t="str">
        <f>_xlfn.IFNA(IF(VLOOKUP(F210,tblMerits[],6,FALSE)=0,"None",VLOOKUP(F210,tblMerits[],6,FALSE)),"None")</f>
        <v>None</v>
      </c>
      <c r="I210" s="69"/>
      <c r="L210" s="4"/>
      <c r="M210" s="4"/>
      <c r="N210" s="4"/>
      <c r="O210" s="61">
        <f t="shared" si="33"/>
        <v>0</v>
      </c>
      <c r="P210" s="60">
        <f t="shared" si="34"/>
        <v>0</v>
      </c>
      <c r="Q210" s="61" t="str">
        <f>_xlfn.IFNA(VLOOKUP($F210,tblPacts[],3,FALSE),"")</f>
        <v/>
      </c>
      <c r="R210" s="61" t="str">
        <f>_xlfn.IFNA(VLOOKUP($F210,tblPacts[],4,FALSE),"")</f>
        <v/>
      </c>
    </row>
    <row r="211" spans="1:18">
      <c r="A211" s="1" t="s">
        <v>210</v>
      </c>
      <c r="B211" t="str">
        <f t="shared" si="32"/>
        <v>¬</v>
      </c>
      <c r="D211" s="19"/>
      <c r="E211" s="15" t="s">
        <v>1481</v>
      </c>
      <c r="F211" s="3"/>
      <c r="G211" s="19" t="str">
        <f>IFERROR(VLOOKUP(F211,tblManoeuvre[],2,FALSE)&amp;" "&amp;VLOOKUP(F211,tblManoeuvre[],3,FALSE),"")</f>
        <v/>
      </c>
      <c r="H211" s="68" t="str">
        <f>_xlfn.IFNA(IF(VLOOKUP(F211,tblMerits[],6,FALSE)=0,"None",VLOOKUP(F211,tblMerits[],6,FALSE)),"None")</f>
        <v>None</v>
      </c>
      <c r="I211" s="69"/>
      <c r="L211" s="4"/>
      <c r="M211" s="4"/>
      <c r="N211" s="4"/>
      <c r="O211" s="61">
        <f t="shared" si="33"/>
        <v>0</v>
      </c>
      <c r="P211" s="60">
        <f t="shared" si="34"/>
        <v>0</v>
      </c>
      <c r="Q211" s="61" t="str">
        <f>_xlfn.IFNA(VLOOKUP($F211,tblPacts[],3,FALSE),"")</f>
        <v/>
      </c>
      <c r="R211" s="61" t="str">
        <f>_xlfn.IFNA(VLOOKUP($F211,tblPacts[],4,FALSE),"")</f>
        <v/>
      </c>
    </row>
    <row r="212" spans="1:18">
      <c r="A212" s="1" t="s">
        <v>211</v>
      </c>
      <c r="B212" t="str">
        <f t="shared" si="32"/>
        <v>¬</v>
      </c>
      <c r="D212" s="19"/>
      <c r="E212" s="15" t="s">
        <v>1482</v>
      </c>
      <c r="F212" s="3"/>
      <c r="G212" s="19" t="str">
        <f>IFERROR(VLOOKUP(F212,tblManoeuvre[],2,FALSE)&amp;" "&amp;VLOOKUP(F212,tblManoeuvre[],3,FALSE),"")</f>
        <v/>
      </c>
      <c r="H212" s="68" t="str">
        <f>_xlfn.IFNA(IF(VLOOKUP(F212,tblMerits[],6,FALSE)=0,"None",VLOOKUP(F212,tblMerits[],6,FALSE)),"None")</f>
        <v>None</v>
      </c>
      <c r="I212" s="69"/>
      <c r="L212" s="4"/>
      <c r="M212" s="4"/>
      <c r="N212" s="4"/>
      <c r="O212" s="61">
        <f t="shared" si="33"/>
        <v>0</v>
      </c>
      <c r="P212" s="60">
        <f t="shared" si="34"/>
        <v>0</v>
      </c>
      <c r="Q212" s="61" t="str">
        <f>_xlfn.IFNA(VLOOKUP($F212,tblPacts[],3,FALSE),"")</f>
        <v/>
      </c>
      <c r="R212" s="61" t="str">
        <f>_xlfn.IFNA(VLOOKUP($F212,tblPacts[],4,FALSE),"")</f>
        <v/>
      </c>
    </row>
    <row r="213" spans="1:18">
      <c r="A213" s="1" t="s">
        <v>212</v>
      </c>
      <c r="B213" t="str">
        <f t="shared" si="32"/>
        <v>¬</v>
      </c>
      <c r="D213" s="19"/>
      <c r="E213" s="15" t="s">
        <v>1483</v>
      </c>
      <c r="F213" s="3"/>
      <c r="G213" s="19" t="str">
        <f>IFERROR(VLOOKUP(F213,tblManoeuvre[],2,FALSE)&amp;" "&amp;VLOOKUP(F213,tblManoeuvre[],3,FALSE),"")</f>
        <v/>
      </c>
      <c r="H213" s="68" t="str">
        <f>_xlfn.IFNA(IF(VLOOKUP(F213,tblMerits[],6,FALSE)=0,"None",VLOOKUP(F213,tblMerits[],6,FALSE)),"None")</f>
        <v>None</v>
      </c>
      <c r="I213" s="69"/>
      <c r="L213" s="4"/>
      <c r="M213" s="4"/>
      <c r="N213" s="4"/>
      <c r="O213" s="61">
        <f t="shared" si="33"/>
        <v>0</v>
      </c>
      <c r="P213" s="60">
        <f t="shared" si="34"/>
        <v>0</v>
      </c>
      <c r="Q213" s="61" t="str">
        <f>_xlfn.IFNA(VLOOKUP($F213,tblPacts[],3,FALSE),"")</f>
        <v/>
      </c>
      <c r="R213" s="61" t="str">
        <f>_xlfn.IFNA(VLOOKUP($F213,tblPacts[],4,FALSE),"")</f>
        <v/>
      </c>
    </row>
    <row r="214" spans="1:18">
      <c r="A214" s="1" t="s">
        <v>213</v>
      </c>
      <c r="B214" t="str">
        <f t="shared" si="32"/>
        <v>¬</v>
      </c>
      <c r="D214" s="19"/>
      <c r="E214" s="15" t="s">
        <v>1484</v>
      </c>
      <c r="F214" s="3"/>
      <c r="G214" s="19" t="str">
        <f>IFERROR(VLOOKUP(F214,tblManoeuvre[],2,FALSE)&amp;" "&amp;VLOOKUP(F214,tblManoeuvre[],3,FALSE),"")</f>
        <v/>
      </c>
      <c r="H214" s="68" t="str">
        <f>_xlfn.IFNA(IF(VLOOKUP(F214,tblMerits[],6,FALSE)=0,"None",VLOOKUP(F214,tblMerits[],6,FALSE)),"None")</f>
        <v>None</v>
      </c>
      <c r="I214" s="69"/>
      <c r="L214" s="4"/>
      <c r="M214" s="4"/>
      <c r="N214" s="4"/>
      <c r="O214" s="61">
        <f t="shared" si="33"/>
        <v>0</v>
      </c>
      <c r="P214" s="60">
        <f t="shared" si="34"/>
        <v>0</v>
      </c>
      <c r="Q214" s="61" t="str">
        <f>_xlfn.IFNA(VLOOKUP($F214,tblPacts[],3,FALSE),"")</f>
        <v/>
      </c>
      <c r="R214" s="61" t="str">
        <f>_xlfn.IFNA(VLOOKUP($F214,tblPacts[],4,FALSE),"")</f>
        <v/>
      </c>
    </row>
    <row r="215" spans="1:18">
      <c r="A215" s="1" t="s">
        <v>214</v>
      </c>
      <c r="B215" t="str">
        <f t="shared" si="32"/>
        <v>¬</v>
      </c>
      <c r="D215" s="19"/>
      <c r="E215" s="15" t="s">
        <v>1485</v>
      </c>
      <c r="F215" s="3"/>
      <c r="G215" s="19" t="str">
        <f>IFERROR(VLOOKUP(F215,tblManoeuvre[],2,FALSE)&amp;" "&amp;VLOOKUP(F215,tblManoeuvre[],3,FALSE),"")</f>
        <v/>
      </c>
      <c r="H215" s="68" t="str">
        <f>_xlfn.IFNA(IF(VLOOKUP(F215,tblMerits[],6,FALSE)=0,"None",VLOOKUP(F215,tblMerits[],6,FALSE)),"None")</f>
        <v>None</v>
      </c>
      <c r="I215" s="69"/>
      <c r="L215" s="4"/>
      <c r="M215" s="4"/>
      <c r="N215" s="4"/>
      <c r="O215" s="61">
        <f t="shared" si="33"/>
        <v>0</v>
      </c>
      <c r="P215" s="60">
        <f t="shared" si="34"/>
        <v>0</v>
      </c>
      <c r="Q215" s="61" t="str">
        <f>_xlfn.IFNA(VLOOKUP($F215,tblPacts[],3,FALSE),"")</f>
        <v/>
      </c>
      <c r="R215" s="61" t="str">
        <f>_xlfn.IFNA(VLOOKUP($F215,tblPacts[],4,FALSE),"")</f>
        <v/>
      </c>
    </row>
    <row r="216" spans="1:18">
      <c r="A216" s="1" t="s">
        <v>215</v>
      </c>
      <c r="B216" t="str">
        <f t="shared" si="32"/>
        <v>¬</v>
      </c>
    </row>
    <row r="217" spans="1:18">
      <c r="A217" s="1" t="s">
        <v>216</v>
      </c>
      <c r="B217" t="str">
        <f>IF(OR(AF134=0,AF134=""),"",REPT("●",AF134))</f>
        <v>●</v>
      </c>
      <c r="D217" s="16" t="s">
        <v>1509</v>
      </c>
      <c r="E217" s="16"/>
      <c r="F217" s="16"/>
      <c r="G217" s="16"/>
      <c r="H217" s="16"/>
      <c r="I217" s="16"/>
    </row>
    <row r="218" spans="1:18">
      <c r="A218" s="1" t="s">
        <v>217</v>
      </c>
      <c r="B218" t="str">
        <f t="shared" ref="B218:B236" si="35">IF(OR(AF135=0,AF135=""),"",REPT("●",AF135))</f>
        <v>●</v>
      </c>
      <c r="D218" s="19"/>
      <c r="E218" s="15" t="s">
        <v>353</v>
      </c>
      <c r="F218" s="19"/>
      <c r="G218" s="19"/>
      <c r="H218" s="19"/>
      <c r="I218" s="19"/>
      <c r="M218" s="61">
        <f>IF(COUNTIF(F79:F93,"Giant")&gt;0,1,0)+IF(COUNTIF(F79:F93,"Small-Framed")&gt;0,-1,0)</f>
        <v>0</v>
      </c>
      <c r="P218" s="60">
        <f>5+M218</f>
        <v>5</v>
      </c>
    </row>
    <row r="219" spans="1:18">
      <c r="A219" s="1" t="s">
        <v>218</v>
      </c>
      <c r="B219" t="str">
        <f t="shared" si="35"/>
        <v/>
      </c>
      <c r="D219" s="19"/>
      <c r="E219" s="15" t="s">
        <v>354</v>
      </c>
      <c r="F219" s="19"/>
      <c r="G219" s="19"/>
      <c r="H219" s="19"/>
      <c r="I219" s="19"/>
      <c r="P219" s="60">
        <f ca="1">VLOOKUP("Size",INDIRECT($AH$1),2,FALSE)+VLOOKUP("Strength",INDIRECT($AH$1),2,FALSE)+VLOOKUP("Dexterity",INDIRECT($AH$1),2,FALSE)+VLOOKUP("Vigour",INDIRECT($AH$1),2,FALSE)</f>
        <v>13</v>
      </c>
    </row>
    <row r="220" spans="1:18">
      <c r="A220" s="1" t="s">
        <v>219</v>
      </c>
      <c r="B220" t="str">
        <f t="shared" si="35"/>
        <v/>
      </c>
      <c r="D220" s="19"/>
      <c r="E220" s="15" t="s">
        <v>355</v>
      </c>
      <c r="F220" s="19"/>
      <c r="G220" s="19"/>
      <c r="H220" s="19"/>
      <c r="I220" s="19"/>
      <c r="P220" s="60">
        <f ca="1">MIN(VLOOKUP("Dexterity",INDIRECT($AH$1),2,FALSE),VLOOKUP("Wits",INDIRECT($AH$1),2,FALSE))+VLOOKUP("Athletics",INDIRECT($AH$1),2,FALSE)</f>
        <v>5</v>
      </c>
    </row>
    <row r="221" spans="1:18">
      <c r="A221" s="1" t="s">
        <v>220</v>
      </c>
      <c r="B221" t="str">
        <f t="shared" si="35"/>
        <v/>
      </c>
      <c r="D221" s="19"/>
      <c r="E221" s="15" t="s">
        <v>52</v>
      </c>
      <c r="F221" s="19"/>
      <c r="G221" s="19"/>
      <c r="H221" s="19"/>
      <c r="I221" s="19"/>
      <c r="P221" s="60">
        <f ca="1">VLOOKUP("Size",INDIRECT($AH$1),2,FALSE)+VLOOKUP("Stamina",INDIRECT($AH$1),2,FALSE)+VLOOKUP("Resilience",INDIRECT($AH$1),2,FALSE)</f>
        <v>8</v>
      </c>
    </row>
    <row r="222" spans="1:18">
      <c r="A222" s="1" t="s">
        <v>221</v>
      </c>
      <c r="B222" t="str">
        <f t="shared" si="35"/>
        <v/>
      </c>
      <c r="D222" s="19"/>
      <c r="E222" s="19"/>
      <c r="F222" s="19"/>
      <c r="G222" s="19"/>
      <c r="H222" s="15" t="s">
        <v>1510</v>
      </c>
      <c r="I222" s="19"/>
      <c r="L222" s="4"/>
    </row>
    <row r="223" spans="1:18">
      <c r="A223" s="1" t="s">
        <v>222</v>
      </c>
      <c r="B223" t="str">
        <f t="shared" si="35"/>
        <v/>
      </c>
      <c r="D223" s="19"/>
      <c r="E223" s="15" t="s">
        <v>1511</v>
      </c>
      <c r="F223" s="7"/>
      <c r="G223" s="19"/>
      <c r="H223" s="15" t="s">
        <v>1512</v>
      </c>
      <c r="I223" s="19"/>
      <c r="L223" s="4"/>
    </row>
    <row r="224" spans="1:18">
      <c r="A224" s="1" t="s">
        <v>223</v>
      </c>
      <c r="B224" t="str">
        <f t="shared" si="35"/>
        <v/>
      </c>
      <c r="D224" s="19"/>
      <c r="E224" s="15" t="s">
        <v>1513</v>
      </c>
      <c r="F224" s="7"/>
      <c r="G224" s="19"/>
      <c r="H224" s="15" t="s">
        <v>1514</v>
      </c>
      <c r="I224" s="19"/>
      <c r="L224" s="4"/>
    </row>
    <row r="225" spans="1:12">
      <c r="A225" s="1" t="s">
        <v>224</v>
      </c>
      <c r="B225" t="str">
        <f t="shared" si="35"/>
        <v/>
      </c>
      <c r="D225" s="19"/>
      <c r="E225" s="15" t="s">
        <v>1515</v>
      </c>
      <c r="F225" s="7"/>
      <c r="G225" s="19"/>
      <c r="H225" s="15" t="s">
        <v>1516</v>
      </c>
      <c r="I225" s="19"/>
      <c r="L225" s="4"/>
    </row>
    <row r="226" spans="1:12">
      <c r="A226" s="1" t="s">
        <v>225</v>
      </c>
      <c r="B226" t="str">
        <f t="shared" si="35"/>
        <v/>
      </c>
      <c r="D226" s="19"/>
      <c r="E226" s="15" t="s">
        <v>1517</v>
      </c>
      <c r="F226" s="7"/>
      <c r="G226" s="19"/>
      <c r="H226" s="19"/>
      <c r="I226" s="19"/>
    </row>
    <row r="227" spans="1:12">
      <c r="A227" s="1" t="s">
        <v>226</v>
      </c>
      <c r="B227" t="str">
        <f t="shared" si="35"/>
        <v/>
      </c>
      <c r="D227" s="19"/>
      <c r="E227" s="15" t="s">
        <v>1518</v>
      </c>
      <c r="F227" s="7"/>
      <c r="G227" s="19"/>
      <c r="H227" s="19"/>
      <c r="I227" s="19"/>
    </row>
    <row r="228" spans="1:12">
      <c r="A228" s="1" t="s">
        <v>227</v>
      </c>
      <c r="B228" t="str">
        <f t="shared" si="35"/>
        <v/>
      </c>
      <c r="D228" s="19"/>
      <c r="E228" s="15" t="s">
        <v>1519</v>
      </c>
      <c r="F228" s="7"/>
      <c r="G228" s="19"/>
      <c r="H228" s="19"/>
      <c r="I228" s="19"/>
    </row>
    <row r="229" spans="1:12">
      <c r="A229" s="1" t="s">
        <v>228</v>
      </c>
      <c r="B229" t="str">
        <f t="shared" si="35"/>
        <v/>
      </c>
      <c r="D229" s="19"/>
      <c r="E229" s="15" t="s">
        <v>1520</v>
      </c>
      <c r="F229" s="7"/>
      <c r="G229" s="19"/>
      <c r="H229" s="19"/>
      <c r="I229" s="19"/>
    </row>
    <row r="230" spans="1:12">
      <c r="A230" s="1" t="s">
        <v>229</v>
      </c>
      <c r="B230" t="str">
        <f t="shared" si="35"/>
        <v/>
      </c>
      <c r="D230" s="19"/>
      <c r="E230" s="15" t="s">
        <v>1521</v>
      </c>
      <c r="F230" s="7"/>
      <c r="G230" s="19"/>
      <c r="H230" s="19"/>
      <c r="I230" s="19"/>
    </row>
    <row r="231" spans="1:12">
      <c r="A231" s="1" t="s">
        <v>230</v>
      </c>
      <c r="B231" t="str">
        <f t="shared" si="35"/>
        <v/>
      </c>
      <c r="D231" s="19"/>
      <c r="E231" s="15" t="s">
        <v>1522</v>
      </c>
      <c r="F231" s="7"/>
      <c r="G231" s="19"/>
      <c r="H231" s="19"/>
      <c r="I231" s="19"/>
    </row>
    <row r="232" spans="1:12">
      <c r="A232" s="1" t="s">
        <v>231</v>
      </c>
      <c r="B232" t="str">
        <f t="shared" si="35"/>
        <v/>
      </c>
      <c r="D232" s="19"/>
      <c r="E232" s="15" t="s">
        <v>1523</v>
      </c>
      <c r="F232" s="7"/>
      <c r="G232" s="19"/>
      <c r="H232" s="19"/>
      <c r="I232" s="19"/>
    </row>
    <row r="233" spans="1:12">
      <c r="A233" s="1" t="s">
        <v>232</v>
      </c>
      <c r="B233" t="str">
        <f t="shared" si="35"/>
        <v/>
      </c>
      <c r="D233" s="19"/>
      <c r="E233" s="19"/>
      <c r="F233" s="19"/>
      <c r="G233" s="19"/>
      <c r="H233" s="19"/>
      <c r="I233" s="19"/>
    </row>
    <row r="234" spans="1:12">
      <c r="A234" s="1" t="s">
        <v>233</v>
      </c>
      <c r="B234" t="str">
        <f t="shared" si="35"/>
        <v/>
      </c>
      <c r="D234" s="19"/>
      <c r="E234" s="15" t="s">
        <v>343</v>
      </c>
      <c r="F234" s="61" t="str">
        <f>_xlfn.IFNA(VLOOKUP(F7,tblClans[],4,FALSE),"")</f>
        <v>Feral Curse</v>
      </c>
      <c r="G234" s="19"/>
      <c r="H234" s="74" t="str">
        <f>_xlfn.IFNA(VLOOKUP(F234,tblBanes[],2,FALSE),"")</f>
        <v>Frenzy resistance dice pools capped by Humanity (doesn't affect Riding the Wave).</v>
      </c>
      <c r="I234" s="74"/>
    </row>
    <row r="235" spans="1:12">
      <c r="A235" s="1" t="s">
        <v>234</v>
      </c>
      <c r="B235" t="str">
        <f t="shared" si="35"/>
        <v/>
      </c>
      <c r="D235" s="19"/>
      <c r="E235" s="15" t="s">
        <v>344</v>
      </c>
      <c r="F235" s="19"/>
      <c r="G235" s="19"/>
      <c r="H235" s="19"/>
      <c r="I235" s="19"/>
    </row>
    <row r="236" spans="1:12">
      <c r="A236" s="1" t="s">
        <v>235</v>
      </c>
      <c r="B236" t="str">
        <f t="shared" si="35"/>
        <v/>
      </c>
      <c r="D236" s="19"/>
      <c r="E236" s="15" t="s">
        <v>345</v>
      </c>
      <c r="F236" s="3"/>
      <c r="G236" s="19"/>
      <c r="H236" s="70" t="str">
        <f>_xlfn.IFNA(VLOOKUP(F236,tblBanes[],2,FALSE),"")</f>
        <v/>
      </c>
      <c r="I236" s="71"/>
    </row>
    <row r="237" spans="1:12">
      <c r="A237" s="1" t="s">
        <v>236</v>
      </c>
      <c r="B237" t="str">
        <f ca="1">_xlfn.LET(_xlpm.v,VLOOKUP(tblCharDataRyan[[#This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_xlfn.LET(_xlpm.v,VLOOKUP(tblCharDataRyan[[#This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_xlfn.LET(_xlpm.v,VLOOKUP(tblCharDataRyan[[#This Row],[Field]],INDIRECT($AH$1),2,FALSE),IF(OR(_xlpm.v=0,_xlpm.v=""),"-",REPT("●",_xlpm.v)))</f>
        <v>-</v>
      </c>
      <c r="D239" s="19"/>
      <c r="E239" s="19"/>
      <c r="F239" s="19"/>
      <c r="G239" s="19"/>
      <c r="H239" s="19"/>
      <c r="I239" s="19"/>
    </row>
    <row r="240" spans="1:12">
      <c r="A240" s="1" t="s">
        <v>239</v>
      </c>
      <c r="B240" t="str">
        <f ca="1">_xlfn.LET(_xlpm.v,VLOOKUP(tblCharDataRyan[[#This Row],[Field]],INDIRECT($AH$1),2,FALSE),IF(OR(_xlpm.v=0,_xlpm.v=""),"-",REPT("●",_xlpm.v)))</f>
        <v>-</v>
      </c>
      <c r="D240" s="19"/>
      <c r="E240" s="15" t="s">
        <v>360</v>
      </c>
      <c r="F240" s="62"/>
      <c r="G240" s="63"/>
      <c r="H240" s="63"/>
      <c r="I240" s="64"/>
    </row>
    <row r="241" spans="1:9">
      <c r="A241" s="1" t="s">
        <v>240</v>
      </c>
      <c r="B241" t="str">
        <f ca="1">_xlfn.LET(_xlpm.v,VLOOKUP(tblCharDataRyan[[#This Row],[Field]],INDIRECT($AH$1),2,FALSE),IF(OR(_xlpm.v=0,_xlpm.v=""),"-",REPT("●",_xlpm.v)))</f>
        <v>-</v>
      </c>
      <c r="D241" s="19"/>
      <c r="E241" s="15" t="s">
        <v>361</v>
      </c>
      <c r="F241" s="62"/>
      <c r="G241" s="63"/>
      <c r="H241" s="63"/>
      <c r="I241" s="64"/>
    </row>
    <row r="242" spans="1:9">
      <c r="A242" s="1" t="s">
        <v>241</v>
      </c>
      <c r="B242" t="str">
        <f ca="1">_xlfn.LET(_xlpm.v,VLOOKUP(tblCharDataRyan[[#This Row],[Field]],INDIRECT($AH$1),2,FALSE),IF(OR(_xlpm.v=0,_xlpm.v=""),"-",REPT("●",_xlpm.v)))</f>
        <v>-</v>
      </c>
      <c r="D242" s="19"/>
      <c r="E242" s="15" t="s">
        <v>362</v>
      </c>
      <c r="F242" s="62"/>
      <c r="G242" s="63"/>
      <c r="H242" s="63"/>
      <c r="I242" s="64"/>
    </row>
    <row r="243" spans="1:9">
      <c r="A243" s="1" t="s">
        <v>242</v>
      </c>
      <c r="B243" t="str">
        <f ca="1">_xlfn.LET(_xlpm.v,VLOOKUP(tblCharDataRyan[[#This Row],[Field]],INDIRECT($AH$1),2,FALSE),IF(OR(_xlpm.v=0,_xlpm.v=""),"-",REPT("●",_xlpm.v)))</f>
        <v>-</v>
      </c>
      <c r="D243" s="19"/>
      <c r="E243" s="19"/>
      <c r="F243" s="19"/>
      <c r="G243" s="19"/>
      <c r="H243" s="19"/>
      <c r="I243" s="19"/>
    </row>
    <row r="244" spans="1:9">
      <c r="A244" s="1" t="s">
        <v>243</v>
      </c>
      <c r="B244" t="str">
        <f ca="1">_xlfn.LET(_xlpm.v,VLOOKUP(tblCharDataRyan[[#This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Atrocious</v>
      </c>
      <c r="G244" s="63"/>
      <c r="H244" s="63"/>
      <c r="I244" s="64"/>
    </row>
    <row r="245" spans="1:9">
      <c r="A245" s="1" t="s">
        <v>244</v>
      </c>
      <c r="B245" t="str">
        <f ca="1">_xlfn.LET(_xlpm.v,VLOOKUP(tblCharDataRyan[[#This Row],[Field]],INDIRECT($AH$1),2,FALSE),IF(OR(_xlpm.v=0,_xlpm.v=""),"-",REPT("●",_xlpm.v)))</f>
        <v>●</v>
      </c>
      <c r="D245" s="19"/>
      <c r="E245" s="15" t="s">
        <v>1524</v>
      </c>
      <c r="F245" s="62"/>
      <c r="G245" s="63"/>
      <c r="H245" s="63"/>
      <c r="I245" s="64"/>
    </row>
    <row r="246" spans="1:9">
      <c r="A246" s="1" t="s">
        <v>245</v>
      </c>
      <c r="B246" t="str">
        <f ca="1">_xlfn.LET(_xlpm.v,VLOOKUP(tblCharDataRyan[[#This Row],[Field]],INDIRECT($AH$1),2,FALSE),IF(OR(_xlpm.v=0,_xlpm.v=""),"-",REPT("●",_xlpm.v)))</f>
        <v>●●</v>
      </c>
    </row>
    <row r="247" spans="1:9">
      <c r="A247" s="1" t="s">
        <v>246</v>
      </c>
      <c r="B247" t="str">
        <f ca="1">_xlfn.LET(_xlpm.v,VLOOKUP(tblCharDataRyan[[#This Row],[Field]],INDIRECT($AH$1),2,FALSE),IF(OR(_xlpm.v=0,_xlpm.v=""),"-",REPT("●",_xlpm.v)))</f>
        <v>-</v>
      </c>
      <c r="D247" s="16" t="s">
        <v>1525</v>
      </c>
      <c r="E247" s="16"/>
      <c r="F247" s="16" t="s">
        <v>1526</v>
      </c>
      <c r="G247" s="16" t="s">
        <v>1527</v>
      </c>
      <c r="H247" s="16"/>
      <c r="I247" s="16"/>
    </row>
    <row r="248" spans="1:9">
      <c r="A248" s="1" t="s">
        <v>247</v>
      </c>
      <c r="B248" t="str">
        <f ca="1">_xlfn.LET(_xlpm.v,VLOOKUP(tblCharDataRyan[[#This Row],[Field]],INDIRECT($AH$1),2,FALSE),IF(OR(_xlpm.v=0,_xlpm.v=""),"-",REPT("●",_xlpm.v)))</f>
        <v>-</v>
      </c>
      <c r="D248" s="19"/>
      <c r="E248" s="15" t="s">
        <v>1528</v>
      </c>
      <c r="F248" s="7"/>
      <c r="G248" s="7"/>
      <c r="H248" s="19"/>
      <c r="I248" s="19" t="s">
        <v>1529</v>
      </c>
    </row>
    <row r="249" spans="1:9">
      <c r="A249" s="1" t="s">
        <v>248</v>
      </c>
      <c r="B249" t="str">
        <f ca="1">_xlfn.LET(_xlpm.v,VLOOKUP(tblCharDataRyan[[#This Row],[Field]],INDIRECT($AH$1),2,FALSE),IF(OR(_xlpm.v=0,_xlpm.v=""),"-",REPT("●",_xlpm.v)))</f>
        <v>-</v>
      </c>
      <c r="D249" s="19"/>
      <c r="E249" s="15" t="s">
        <v>1530</v>
      </c>
      <c r="F249" s="7"/>
      <c r="G249" s="7"/>
      <c r="H249" s="19"/>
      <c r="I249" s="19" t="s">
        <v>1531</v>
      </c>
    </row>
    <row r="250" spans="1:9">
      <c r="A250" s="1" t="s">
        <v>249</v>
      </c>
      <c r="B250" t="str">
        <f ca="1">_xlfn.LET(_xlpm.v,VLOOKUP(tblCharDataRyan[[#This Row],[Field]],INDIRECT($AH$1),2,FALSE),IF(OR(_xlpm.v=0,_xlpm.v=""),"-",REPT("●",_xlpm.v)))</f>
        <v>-</v>
      </c>
      <c r="D250" s="19" t="s">
        <v>1532</v>
      </c>
      <c r="E250" s="15" t="s">
        <v>1533</v>
      </c>
      <c r="F250" s="7"/>
      <c r="G250" s="7"/>
      <c r="H250" s="19"/>
      <c r="I250" s="19"/>
    </row>
    <row r="251" spans="1:9">
      <c r="A251" s="1" t="s">
        <v>250</v>
      </c>
      <c r="B251" t="str">
        <f ca="1">_xlfn.LET(_xlpm.v,VLOOKUP(tblCharDataRyan[[#This Row],[Field]],INDIRECT($AH$1),2,FALSE),IF(OR(_xlpm.v=0,_xlpm.v=""),"-",REPT("●",_xlpm.v)))</f>
        <v>-</v>
      </c>
      <c r="D251" s="19" t="s">
        <v>1532</v>
      </c>
      <c r="E251" s="15" t="s">
        <v>1534</v>
      </c>
      <c r="F251" s="7"/>
      <c r="G251" s="7"/>
      <c r="H251" s="19"/>
      <c r="I251" s="19"/>
    </row>
    <row r="252" spans="1:9">
      <c r="A252" s="1" t="s">
        <v>251</v>
      </c>
      <c r="B252" t="str">
        <f ca="1">_xlfn.LET(_xlpm.v,VLOOKUP(tblCharDataRyan[[#This Row],[Field]],INDIRECT($AH$1),2,FALSE),IF(OR(_xlpm.v=0,_xlpm.v=""),"-",REPT("●",_xlpm.v)))</f>
        <v>-</v>
      </c>
      <c r="D252" s="19" t="s">
        <v>1532</v>
      </c>
      <c r="E252" s="15" t="s">
        <v>1535</v>
      </c>
      <c r="F252" s="7"/>
      <c r="G252" s="7"/>
      <c r="H252" s="19"/>
      <c r="I252" s="19"/>
    </row>
    <row r="253" spans="1:9">
      <c r="A253" s="1" t="s">
        <v>252</v>
      </c>
      <c r="B253" t="str">
        <f ca="1">_xlfn.LET(_xlpm.v,VLOOKUP(tblCharDataRyan[[#This Row],[Field]],INDIRECT($AH$1),2,FALSE),IF(OR(_xlpm.v=0,_xlpm.v=""),"-",REPT("●",_xlpm.v)))</f>
        <v>-</v>
      </c>
      <c r="D253" s="19" t="s">
        <v>1532</v>
      </c>
      <c r="E253" s="15" t="s">
        <v>1536</v>
      </c>
      <c r="F253" s="7"/>
      <c r="G253" s="7"/>
      <c r="H253" s="19"/>
      <c r="I253" s="19"/>
    </row>
    <row r="254" spans="1:9">
      <c r="A254" s="1" t="s">
        <v>253</v>
      </c>
      <c r="B254" t="str">
        <f t="shared" ref="B254:B283" si="36">IF(AD44="","¬",AD44)</f>
        <v>Protean ● | Unmarked Grave</v>
      </c>
      <c r="D254" s="19" t="s">
        <v>1532</v>
      </c>
      <c r="E254" s="15" t="s">
        <v>1537</v>
      </c>
      <c r="F254" s="7"/>
      <c r="G254" s="7"/>
      <c r="H254" s="19"/>
      <c r="I254" s="19"/>
    </row>
    <row r="255" spans="1:9">
      <c r="A255" s="1" t="s">
        <v>254</v>
      </c>
      <c r="B255" t="str">
        <f t="shared" si="36"/>
        <v>Protean ●● | Predatory Aspect</v>
      </c>
      <c r="D255" s="19" t="s">
        <v>1532</v>
      </c>
      <c r="E255" s="15" t="s">
        <v>1538</v>
      </c>
      <c r="F255" s="7"/>
      <c r="G255" s="7"/>
      <c r="H255" s="19"/>
      <c r="I255" s="19"/>
    </row>
    <row r="256" spans="1:9">
      <c r="A256" s="1" t="s">
        <v>255</v>
      </c>
      <c r="B256" t="str">
        <f t="shared" si="36"/>
        <v>Protean ●●● | Beast's Skin</v>
      </c>
      <c r="D256" s="19" t="s">
        <v>1532</v>
      </c>
      <c r="E256" s="15" t="s">
        <v>1539</v>
      </c>
      <c r="F256" s="7"/>
      <c r="G256" s="7"/>
      <c r="H256" s="19"/>
      <c r="I256" s="19"/>
    </row>
    <row r="257" spans="1:9">
      <c r="A257" s="1" t="s">
        <v>256</v>
      </c>
      <c r="B257" t="str">
        <f t="shared" si="36"/>
        <v>Protean ●●●● | Unnatural Aspect</v>
      </c>
      <c r="D257" s="19" t="s">
        <v>1532</v>
      </c>
      <c r="E257" s="15" t="s">
        <v>1540</v>
      </c>
      <c r="F257" s="7"/>
      <c r="G257" s="7"/>
      <c r="H257" s="19"/>
      <c r="I257" s="19"/>
    </row>
    <row r="258" spans="1:9">
      <c r="A258" s="1" t="s">
        <v>257</v>
      </c>
      <c r="B258" t="str">
        <f t="shared" si="36"/>
        <v>Resilience ●</v>
      </c>
      <c r="D258" s="19" t="s">
        <v>1532</v>
      </c>
      <c r="E258" s="15" t="s">
        <v>1541</v>
      </c>
      <c r="F258" s="7"/>
      <c r="G258" s="7"/>
      <c r="H258" s="19"/>
      <c r="I258" s="19"/>
    </row>
    <row r="259" spans="1:9">
      <c r="A259" s="1" t="s">
        <v>258</v>
      </c>
      <c r="B259" t="str">
        <f t="shared" si="36"/>
        <v>Vigour ●●</v>
      </c>
      <c r="D259" s="19" t="s">
        <v>1532</v>
      </c>
      <c r="E259" s="15" t="s">
        <v>1542</v>
      </c>
      <c r="F259" s="7"/>
      <c r="G259" s="7"/>
      <c r="H259" s="19"/>
      <c r="I259" s="19"/>
    </row>
    <row r="260" spans="1:9">
      <c r="A260" s="1" t="s">
        <v>259</v>
      </c>
      <c r="B260" t="str">
        <f t="shared" si="36"/>
        <v>Oath of the Hard Motherfucker ●●</v>
      </c>
      <c r="D260" s="19" t="s">
        <v>1532</v>
      </c>
      <c r="E260" s="15" t="s">
        <v>1543</v>
      </c>
      <c r="F260" s="7"/>
      <c r="G260" s="7"/>
      <c r="H260" s="19"/>
      <c r="I260" s="19"/>
    </row>
    <row r="261" spans="1:9">
      <c r="A261" s="1" t="s">
        <v>260</v>
      </c>
      <c r="B261" t="str">
        <f t="shared" si="36"/>
        <v>¬</v>
      </c>
      <c r="D261" s="19" t="s">
        <v>1532</v>
      </c>
      <c r="E261" s="15" t="s">
        <v>1544</v>
      </c>
      <c r="F261" s="7"/>
      <c r="G261" s="7"/>
      <c r="H261" s="19"/>
      <c r="I261" s="19"/>
    </row>
    <row r="262" spans="1:9">
      <c r="A262" s="1" t="s">
        <v>261</v>
      </c>
      <c r="B262" t="str">
        <f t="shared" si="36"/>
        <v>¬</v>
      </c>
      <c r="D262" s="19" t="s">
        <v>1532</v>
      </c>
      <c r="E262" s="15" t="s">
        <v>1545</v>
      </c>
      <c r="F262" s="7"/>
      <c r="G262" s="7"/>
      <c r="H262" s="19"/>
      <c r="I262" s="19"/>
    </row>
    <row r="263" spans="1:9">
      <c r="A263" s="1" t="s">
        <v>262</v>
      </c>
      <c r="B263" t="str">
        <f t="shared" si="36"/>
        <v>¬</v>
      </c>
      <c r="D263" s="19" t="s">
        <v>1532</v>
      </c>
      <c r="E263" s="15" t="s">
        <v>1546</v>
      </c>
      <c r="F263" s="7"/>
      <c r="G263" s="7"/>
      <c r="H263" s="19"/>
      <c r="I263" s="19"/>
    </row>
    <row r="264" spans="1:9">
      <c r="A264" s="1" t="s">
        <v>263</v>
      </c>
      <c r="B264" t="str">
        <f t="shared" si="36"/>
        <v>¬</v>
      </c>
      <c r="D264" s="19" t="s">
        <v>1532</v>
      </c>
      <c r="E264" s="15" t="s">
        <v>1547</v>
      </c>
      <c r="F264" s="7"/>
      <c r="G264" s="7"/>
      <c r="H264" s="19"/>
      <c r="I264" s="19"/>
    </row>
    <row r="265" spans="1:9">
      <c r="A265" s="1" t="s">
        <v>264</v>
      </c>
      <c r="B265" t="str">
        <f t="shared" si="36"/>
        <v>¬</v>
      </c>
      <c r="D265" s="19" t="s">
        <v>1532</v>
      </c>
      <c r="E265" s="15" t="s">
        <v>1548</v>
      </c>
      <c r="F265" s="7"/>
      <c r="G265" s="7"/>
      <c r="H265" s="19"/>
      <c r="I265" s="19"/>
    </row>
    <row r="266" spans="1:9">
      <c r="A266" s="1" t="s">
        <v>265</v>
      </c>
      <c r="B266" t="str">
        <f t="shared" si="36"/>
        <v>¬</v>
      </c>
      <c r="D266" s="19" t="s">
        <v>1532</v>
      </c>
      <c r="E266" s="15" t="s">
        <v>1549</v>
      </c>
      <c r="F266" s="7"/>
      <c r="G266" s="7"/>
      <c r="H266" s="19"/>
      <c r="I266" s="19"/>
    </row>
    <row r="267" spans="1:9">
      <c r="A267" s="1" t="s">
        <v>266</v>
      </c>
      <c r="B267" t="str">
        <f t="shared" si="36"/>
        <v>¬</v>
      </c>
      <c r="D267" s="19" t="s">
        <v>1532</v>
      </c>
      <c r="E267" s="15" t="s">
        <v>1550</v>
      </c>
      <c r="F267" s="7"/>
      <c r="G267" s="7"/>
      <c r="H267" s="19"/>
      <c r="I267" s="19"/>
    </row>
    <row r="268" spans="1:9">
      <c r="A268" s="1" t="s">
        <v>267</v>
      </c>
      <c r="B268" t="str">
        <f t="shared" si="36"/>
        <v>¬</v>
      </c>
      <c r="D268" s="19" t="s">
        <v>1532</v>
      </c>
      <c r="E268" s="15" t="s">
        <v>1551</v>
      </c>
      <c r="F268" s="7"/>
      <c r="G268" s="7"/>
      <c r="H268" s="19"/>
      <c r="I268" s="19"/>
    </row>
    <row r="269" spans="1:9">
      <c r="A269" s="1" t="s">
        <v>268</v>
      </c>
      <c r="B269" t="str">
        <f t="shared" si="36"/>
        <v>¬</v>
      </c>
      <c r="D269" s="19" t="s">
        <v>1532</v>
      </c>
      <c r="E269" s="15" t="s">
        <v>1552</v>
      </c>
      <c r="F269" s="7"/>
      <c r="G269" s="7"/>
      <c r="H269" s="19"/>
      <c r="I269" s="19"/>
    </row>
    <row r="270" spans="1:9">
      <c r="A270" s="1" t="s">
        <v>269</v>
      </c>
      <c r="B270" t="str">
        <f t="shared" si="36"/>
        <v>¬</v>
      </c>
      <c r="D270" s="19" t="s">
        <v>1532</v>
      </c>
      <c r="E270" s="15" t="s">
        <v>1553</v>
      </c>
      <c r="F270" s="7"/>
      <c r="G270" s="7"/>
      <c r="H270" s="19"/>
      <c r="I270" s="19"/>
    </row>
    <row r="271" spans="1:9">
      <c r="A271" s="1" t="s">
        <v>270</v>
      </c>
      <c r="B271" t="str">
        <f t="shared" si="36"/>
        <v>¬</v>
      </c>
      <c r="D271" s="19" t="s">
        <v>1532</v>
      </c>
      <c r="E271" s="15" t="s">
        <v>1554</v>
      </c>
      <c r="F271" s="7"/>
      <c r="G271" s="7"/>
      <c r="H271" s="19"/>
      <c r="I271" s="19"/>
    </row>
    <row r="272" spans="1:9">
      <c r="A272" s="1" t="s">
        <v>271</v>
      </c>
      <c r="B272" t="str">
        <f t="shared" si="36"/>
        <v>¬</v>
      </c>
      <c r="D272" s="19" t="s">
        <v>1532</v>
      </c>
      <c r="E272" s="15" t="s">
        <v>1555</v>
      </c>
      <c r="F272" s="7"/>
      <c r="G272" s="7"/>
      <c r="H272" s="19"/>
      <c r="I272" s="19"/>
    </row>
    <row r="273" spans="1:14">
      <c r="A273" s="1" t="s">
        <v>272</v>
      </c>
      <c r="B273" t="str">
        <f t="shared" si="36"/>
        <v>¬</v>
      </c>
      <c r="D273" s="19" t="s">
        <v>1532</v>
      </c>
      <c r="E273" s="15" t="s">
        <v>1556</v>
      </c>
      <c r="F273" s="7"/>
      <c r="G273" s="7"/>
      <c r="H273" s="19"/>
      <c r="I273" s="19"/>
    </row>
    <row r="274" spans="1:14">
      <c r="A274" s="1" t="s">
        <v>273</v>
      </c>
      <c r="B274" t="str">
        <f t="shared" si="36"/>
        <v>¬</v>
      </c>
      <c r="D274" s="19" t="s">
        <v>1532</v>
      </c>
      <c r="E274" s="15" t="s">
        <v>1557</v>
      </c>
      <c r="F274" s="7"/>
      <c r="G274" s="7"/>
      <c r="H274" s="19"/>
      <c r="I274" s="19"/>
    </row>
    <row r="275" spans="1:14">
      <c r="A275" s="1" t="s">
        <v>274</v>
      </c>
      <c r="B275" t="str">
        <f t="shared" si="36"/>
        <v>¬</v>
      </c>
      <c r="D275" s="19" t="s">
        <v>1532</v>
      </c>
      <c r="E275" s="15" t="s">
        <v>1558</v>
      </c>
      <c r="F275" s="7"/>
      <c r="G275" s="7"/>
      <c r="H275" s="19"/>
      <c r="I275" s="19"/>
    </row>
    <row r="276" spans="1:14">
      <c r="A276" s="1" t="s">
        <v>275</v>
      </c>
      <c r="B276" t="str">
        <f t="shared" si="36"/>
        <v>¬</v>
      </c>
      <c r="D276" s="19" t="s">
        <v>1532</v>
      </c>
      <c r="E276" s="15" t="s">
        <v>1559</v>
      </c>
      <c r="F276" s="7"/>
      <c r="G276" s="7"/>
      <c r="H276" s="19"/>
      <c r="I276" s="19"/>
    </row>
    <row r="277" spans="1:14">
      <c r="A277" s="1" t="s">
        <v>276</v>
      </c>
      <c r="B277" t="str">
        <f t="shared" si="36"/>
        <v>¬</v>
      </c>
      <c r="D277" s="19" t="s">
        <v>1532</v>
      </c>
      <c r="E277" s="15" t="s">
        <v>1560</v>
      </c>
      <c r="F277" s="7"/>
      <c r="G277" s="7"/>
      <c r="H277" s="19"/>
      <c r="I277" s="19"/>
    </row>
    <row r="278" spans="1:14">
      <c r="A278" s="1" t="s">
        <v>277</v>
      </c>
      <c r="B278" t="str">
        <f t="shared" si="36"/>
        <v>¬</v>
      </c>
    </row>
    <row r="279" spans="1:14">
      <c r="A279" s="1" t="s">
        <v>278</v>
      </c>
      <c r="B279" t="str">
        <f t="shared" si="36"/>
        <v>¬</v>
      </c>
      <c r="D279" s="16" t="s">
        <v>1561</v>
      </c>
      <c r="E279" s="16"/>
      <c r="F279" s="16" t="s">
        <v>1347</v>
      </c>
      <c r="G279" s="16" t="s">
        <v>1348</v>
      </c>
      <c r="H279" s="16" t="s">
        <v>1349</v>
      </c>
      <c r="I279" s="16" t="s">
        <v>1350</v>
      </c>
      <c r="N279" s="60">
        <f ca="1">SUM(N280:N282)</f>
        <v>0</v>
      </c>
    </row>
    <row r="280" spans="1:14">
      <c r="A280" s="1" t="s">
        <v>279</v>
      </c>
      <c r="B280" t="str">
        <f t="shared" si="36"/>
        <v>¬</v>
      </c>
      <c r="D280" s="61" cm="1">
        <f t="array" aca="1" ref="D280" ca="1">INDEX(Attendance!$C$14:$GP$44,
       MATCH($F$4, Attendance!$C$14:$C$44, 0),
       MATCH(1, (Attendance!$C$12:$GP$12=$E280) * (Attendance!$C$13:$GP$13="Paid"), 0)
)</f>
        <v>0</v>
      </c>
      <c r="E280" s="41">
        <v>46054</v>
      </c>
      <c r="F280" s="61" cm="1">
        <f t="array" aca="1" ref="F280" ca="1">N(INDEX(Attendance!$C$14:$GP$104,
       MATCH($F$4, Attendance!$C$14:$C$104, 0),
       MATCH(1, (Attendance!$C$12:$GP$12=$E280) * (Attendance!$C$13:$GP$13=$F$279), 0)
))</f>
        <v>0</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0</v>
      </c>
      <c r="I280" s="61" cm="1">
        <f t="array" aca="1" ref="I280" ca="1">INDEX(Attendance!$C$14:$GP$44,
       MATCH($F$4, Attendance!$C$14:$C$44, 0),
       MATCH(1, (Attendance!$C$12:$GP$12=$E280) * (Attendance!$C$13:$GP$13=$I$279), 0)
)</f>
        <v>0</v>
      </c>
      <c r="K280" s="18"/>
      <c r="L280" s="18"/>
      <c r="M280" s="18" t="s">
        <v>1562</v>
      </c>
      <c r="N280" s="61">
        <f ca="1">SUM(F$280:F$316)</f>
        <v>0</v>
      </c>
    </row>
    <row r="281" spans="1:14">
      <c r="A281" s="1" t="s">
        <v>280</v>
      </c>
      <c r="B281" t="str">
        <f t="shared" si="36"/>
        <v>¬</v>
      </c>
      <c r="D281" s="61" cm="1">
        <f t="array" aca="1" ref="D281" ca="1">INDEX(Attendance!$C$14:$GP$44,
       MATCH($F$4, Attendance!$C$14:$C$44, 0),
       MATCH(1, (Attendance!$C$12:$GP$12=$E281) * (Attendance!$C$13:$GP$13="Paid"), 0)
)</f>
        <v>0</v>
      </c>
      <c r="E281" s="42">
        <f t="shared" ref="E281:E316" si="37">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6"/>
        <v>¬</v>
      </c>
      <c r="D282" s="61" t="str" cm="1">
        <f t="array" aca="1" ref="D282" ca="1">INDEX(Attendance!$C$14:$GP$44,
       MATCH($F$4, Attendance!$C$14:$C$44, 0),
       MATCH(1, (Attendance!$C$12:$GP$12=$E282) * (Attendance!$C$13:$GP$13="Paid"), 0)
)</f>
        <v> </v>
      </c>
      <c r="E282" s="42">
        <f t="shared" si="37"/>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0</v>
      </c>
    </row>
    <row r="283" spans="1:14">
      <c r="A283" s="1" t="s">
        <v>282</v>
      </c>
      <c r="B283" t="str">
        <f t="shared" si="36"/>
        <v>¬</v>
      </c>
      <c r="D283" s="61" t="str" cm="1">
        <f t="array" aca="1" ref="D283" ca="1">INDEX(Attendance!$C$14:$GP$44,
       MATCH($F$4, Attendance!$C$14:$C$44, 0),
       MATCH(1, (Attendance!$C$12:$GP$12=$E283) * (Attendance!$C$13:$GP$13="Paid"), 0)
)</f>
        <v> </v>
      </c>
      <c r="E283" s="42">
        <f t="shared" si="37"/>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8">IF(AE44="","¬",AE44)</f>
        <v>Cost: Varies  •  Pool: -  •  Instant  •  Indefinite</v>
      </c>
      <c r="D284" s="61" t="str" cm="1">
        <f t="array" aca="1" ref="D284" ca="1">INDEX(Attendance!$C$14:$GP$44,
       MATCH($F$4, Attendance!$C$14:$C$44, 0),
       MATCH(1, (Attendance!$C$12:$GP$12=$E284) * (Attendance!$C$13:$GP$13="Paid"), 0)
)</f>
        <v> </v>
      </c>
      <c r="E284" s="42">
        <f t="shared" si="37"/>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8"/>
        <v>Cost: 1 V  •  Pool: -  •  Instant  •  Scene</v>
      </c>
      <c r="D285" s="61" t="str" cm="1">
        <f t="array" aca="1" ref="D285" ca="1">INDEX(Attendance!$C$14:$GP$44,
       MATCH($F$4, Attendance!$C$14:$C$44, 0),
       MATCH(1, (Attendance!$C$12:$GP$12=$E285) * (Attendance!$C$13:$GP$13="Paid"), 0)
)</f>
        <v> </v>
      </c>
      <c r="E285" s="42">
        <f t="shared" si="37"/>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8"/>
        <v>Cost: 2 V  •  Pool: -  •  Instant  •  Indefinite</v>
      </c>
      <c r="D286" s="61" t="str" cm="1">
        <f t="array" aca="1" ref="D286" ca="1">INDEX(Attendance!$C$14:$GP$44,
       MATCH($F$4, Attendance!$C$14:$C$44, 0),
       MATCH(1, (Attendance!$C$12:$GP$12=$E286) * (Attendance!$C$13:$GP$13="Paid"), 0)
)</f>
        <v> </v>
      </c>
      <c r="E286" s="42">
        <f t="shared" si="37"/>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8"/>
        <v>Cost: 1 V  •  Pool: -  •  None  •  Scene</v>
      </c>
      <c r="D287" s="61" t="str" cm="1">
        <f t="array" aca="1" ref="D287" ca="1">INDEX(Attendance!$C$14:$GP$44,
       MATCH($F$4, Attendance!$C$14:$C$44, 0),
       MATCH(1, (Attendance!$C$12:$GP$12=$E287) * (Attendance!$C$13:$GP$13="Paid"), 0)
)</f>
        <v> </v>
      </c>
      <c r="E287" s="42">
        <f t="shared" si="37"/>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8"/>
        <v>Cost: 1 V per effect  •  Pool: -  •  Reflexive  •  1 turn</v>
      </c>
      <c r="D288" s="61" t="str" cm="1">
        <f t="array" aca="1" ref="D288" ca="1">INDEX(Attendance!$C$14:$GP$44,
       MATCH($F$4, Attendance!$C$14:$C$44, 0),
       MATCH(1, (Attendance!$C$12:$GP$12=$E288) * (Attendance!$C$13:$GP$13="Paid"), 0)
)</f>
        <v> </v>
      </c>
      <c r="E288" s="42">
        <f t="shared" si="37"/>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8"/>
        <v>Cost: 1 V per effect  •  Pool: -  •  Reflexive  •  1 turn</v>
      </c>
      <c r="D289" s="61" t="str" cm="1">
        <f t="array" aca="1" ref="D289" ca="1">INDEX(Attendance!$C$14:$GP$44,
       MATCH($F$4, Attendance!$C$14:$C$44, 0),
       MATCH(1, (Attendance!$C$12:$GP$12=$E289) * (Attendance!$C$13:$GP$13="Paid"), 0)
)</f>
        <v> </v>
      </c>
      <c r="E289" s="42">
        <f t="shared" si="37"/>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8"/>
        <v>¬</v>
      </c>
      <c r="D290" s="61" t="str" cm="1">
        <f t="array" aca="1" ref="D290" ca="1">INDEX(Attendance!$C$14:$GP$44,
       MATCH($F$4, Attendance!$C$14:$C$44, 0),
       MATCH(1, (Attendance!$C$12:$GP$12=$E290) * (Attendance!$C$13:$GP$13="Paid"), 0)
)</f>
        <v> </v>
      </c>
      <c r="E290" s="42">
        <f t="shared" si="37"/>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8"/>
        <v>¬</v>
      </c>
      <c r="D291" s="61" t="str" cm="1">
        <f t="array" aca="1" ref="D291" ca="1">INDEX(Attendance!$C$14:$GP$44,
       MATCH($F$4, Attendance!$C$14:$C$44, 0),
       MATCH(1, (Attendance!$C$12:$GP$12=$E291) * (Attendance!$C$13:$GP$13="Paid"), 0)
)</f>
        <v> </v>
      </c>
      <c r="E291" s="42">
        <f t="shared" si="37"/>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8"/>
        <v>¬</v>
      </c>
      <c r="D292" s="61" t="str" cm="1">
        <f t="array" aca="1" ref="D292" ca="1">INDEX(Attendance!$C$14:$GP$44,
       MATCH($F$4, Attendance!$C$14:$C$44, 0),
       MATCH(1, (Attendance!$C$12:$GP$12=$E292) * (Attendance!$C$13:$GP$13="Paid"), 0)
)</f>
        <v> </v>
      </c>
      <c r="E292" s="42">
        <f t="shared" si="37"/>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8"/>
        <v>¬</v>
      </c>
      <c r="D293" s="61" t="str" cm="1">
        <f t="array" aca="1" ref="D293" ca="1">INDEX(Attendance!$C$14:$GP$44,
       MATCH($F$4, Attendance!$C$14:$C$44, 0),
       MATCH(1, (Attendance!$C$12:$GP$12=$E293) * (Attendance!$C$13:$GP$13="Paid"), 0)
)</f>
        <v> </v>
      </c>
      <c r="E293" s="42">
        <f t="shared" si="37"/>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8"/>
        <v>¬</v>
      </c>
      <c r="D294" s="61" t="str" cm="1">
        <f t="array" aca="1" ref="D294" ca="1">INDEX(Attendance!$C$14:$GP$44,
       MATCH($F$4, Attendance!$C$14:$C$44, 0),
       MATCH(1, (Attendance!$C$12:$GP$12=$E294) * (Attendance!$C$13:$GP$13="Paid"), 0)
)</f>
        <v> </v>
      </c>
      <c r="E294" s="42">
        <f t="shared" si="37"/>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8"/>
        <v>¬</v>
      </c>
      <c r="D295" s="61" t="str" cm="1">
        <f t="array" aca="1" ref="D295" ca="1">INDEX(Attendance!$C$14:$GP$44,
       MATCH($F$4, Attendance!$C$14:$C$44, 0),
       MATCH(1, (Attendance!$C$12:$GP$12=$E295) * (Attendance!$C$13:$GP$13="Paid"), 0)
)</f>
        <v> </v>
      </c>
      <c r="E295" s="42">
        <f t="shared" si="37"/>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8"/>
        <v>¬</v>
      </c>
      <c r="D296" s="61" t="str" cm="1">
        <f t="array" aca="1" ref="D296" ca="1">INDEX(Attendance!$C$14:$GP$44,
       MATCH($F$4, Attendance!$C$14:$C$44, 0),
       MATCH(1, (Attendance!$C$12:$GP$12=$E296) * (Attendance!$C$13:$GP$13="Paid"), 0)
)</f>
        <v> </v>
      </c>
      <c r="E296" s="42">
        <f t="shared" si="37"/>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8"/>
        <v>¬</v>
      </c>
      <c r="D297" s="61" t="str" cm="1">
        <f t="array" aca="1" ref="D297" ca="1">INDEX(Attendance!$C$14:$GP$44,
       MATCH($F$4, Attendance!$C$14:$C$44, 0),
       MATCH(1, (Attendance!$C$12:$GP$12=$E297) * (Attendance!$C$13:$GP$13="Paid"), 0)
)</f>
        <v> </v>
      </c>
      <c r="E297" s="42">
        <f t="shared" si="37"/>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8"/>
        <v>¬</v>
      </c>
      <c r="D298" s="61" t="str" cm="1">
        <f t="array" aca="1" ref="D298" ca="1">INDEX(Attendance!$C$14:$GP$44,
       MATCH($F$4, Attendance!$C$14:$C$44, 0),
       MATCH(1, (Attendance!$C$12:$GP$12=$E298) * (Attendance!$C$13:$GP$13="Paid"), 0)
)</f>
        <v> </v>
      </c>
      <c r="E298" s="42">
        <f t="shared" si="37"/>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8"/>
        <v>¬</v>
      </c>
      <c r="D299" s="61" t="str" cm="1">
        <f t="array" aca="1" ref="D299" ca="1">INDEX(Attendance!$C$14:$GP$44,
       MATCH($F$4, Attendance!$C$14:$C$44, 0),
       MATCH(1, (Attendance!$C$12:$GP$12=$E299) * (Attendance!$C$13:$GP$13="Paid"), 0)
)</f>
        <v> </v>
      </c>
      <c r="E299" s="42">
        <f t="shared" si="37"/>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8"/>
        <v>¬</v>
      </c>
      <c r="D300" s="61" t="str" cm="1">
        <f t="array" aca="1" ref="D300" ca="1">INDEX(Attendance!$C$14:$GP$44,
       MATCH($F$4, Attendance!$C$14:$C$44, 0),
       MATCH(1, (Attendance!$C$12:$GP$12=$E300) * (Attendance!$C$13:$GP$13="Paid"), 0)
)</f>
        <v> </v>
      </c>
      <c r="E300" s="42">
        <f t="shared" si="37"/>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8"/>
        <v>¬</v>
      </c>
      <c r="D301" s="61" t="str" cm="1">
        <f t="array" aca="1" ref="D301" ca="1">INDEX(Attendance!$C$14:$GP$44,
       MATCH($F$4, Attendance!$C$14:$C$44, 0),
       MATCH(1, (Attendance!$C$12:$GP$12=$E301) * (Attendance!$C$13:$GP$13="Paid"), 0)
)</f>
        <v> </v>
      </c>
      <c r="E301" s="42">
        <f t="shared" si="37"/>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8"/>
        <v>¬</v>
      </c>
      <c r="D302" s="61" t="str" cm="1">
        <f t="array" aca="1" ref="D302" ca="1">INDEX(Attendance!$C$14:$GP$44,
       MATCH($F$4, Attendance!$C$14:$C$44, 0),
       MATCH(1, (Attendance!$C$12:$GP$12=$E302) * (Attendance!$C$13:$GP$13="Paid"), 0)
)</f>
        <v> </v>
      </c>
      <c r="E302" s="42">
        <f t="shared" si="37"/>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8"/>
        <v>¬</v>
      </c>
      <c r="D303" s="61" t="str" cm="1">
        <f t="array" aca="1" ref="D303" ca="1">INDEX(Attendance!$C$14:$GP$44,
       MATCH($F$4, Attendance!$C$14:$C$44, 0),
       MATCH(1, (Attendance!$C$12:$GP$12=$E303) * (Attendance!$C$13:$GP$13="Paid"), 0)
)</f>
        <v> </v>
      </c>
      <c r="E303" s="42">
        <f t="shared" si="37"/>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8"/>
        <v>¬</v>
      </c>
      <c r="D304" s="61" t="str" cm="1">
        <f t="array" aca="1" ref="D304" ca="1">INDEX(Attendance!$C$14:$GP$44,
       MATCH($F$4, Attendance!$C$14:$C$44, 0),
       MATCH(1, (Attendance!$C$12:$GP$12=$E304) * (Attendance!$C$13:$GP$13="Paid"), 0)
)</f>
        <v> </v>
      </c>
      <c r="E304" s="42">
        <f t="shared" si="37"/>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8"/>
        <v>¬</v>
      </c>
      <c r="D305" s="61" t="str" cm="1">
        <f t="array" aca="1" ref="D305" ca="1">INDEX(Attendance!$C$14:$GP$44,
       MATCH($F$4, Attendance!$C$14:$C$44, 0),
       MATCH(1, (Attendance!$C$12:$GP$12=$E305) * (Attendance!$C$13:$GP$13="Paid"), 0)
)</f>
        <v> </v>
      </c>
      <c r="E305" s="42">
        <f t="shared" si="37"/>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8"/>
        <v>¬</v>
      </c>
      <c r="D306" s="61" t="str" cm="1">
        <f t="array" aca="1" ref="D306" ca="1">INDEX(Attendance!$C$14:$GP$44,
       MATCH($F$4, Attendance!$C$14:$C$44, 0),
       MATCH(1, (Attendance!$C$12:$GP$12=$E306) * (Attendance!$C$13:$GP$13="Paid"), 0)
)</f>
        <v> </v>
      </c>
      <c r="E306" s="42">
        <f t="shared" si="37"/>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8"/>
        <v>¬</v>
      </c>
      <c r="D307" s="61" t="str" cm="1">
        <f t="array" aca="1" ref="D307" ca="1">INDEX(Attendance!$C$14:$GP$44,
       MATCH($F$4, Attendance!$C$14:$C$44, 0),
       MATCH(1, (Attendance!$C$12:$GP$12=$E307) * (Attendance!$C$13:$GP$13="Paid"), 0)
)</f>
        <v> </v>
      </c>
      <c r="E307" s="42">
        <f t="shared" si="37"/>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8"/>
        <v>¬</v>
      </c>
      <c r="D308" s="61" t="str" cm="1">
        <f t="array" aca="1" ref="D308" ca="1">INDEX(Attendance!$C$14:$GP$44,
       MATCH($F$4, Attendance!$C$14:$C$44, 0),
       MATCH(1, (Attendance!$C$12:$GP$12=$E308) * (Attendance!$C$13:$GP$13="Paid"), 0)
)</f>
        <v> </v>
      </c>
      <c r="E308" s="42">
        <f t="shared" si="37"/>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8"/>
        <v>¬</v>
      </c>
      <c r="D309" s="61" t="str" cm="1">
        <f t="array" aca="1" ref="D309" ca="1">INDEX(Attendance!$C$14:$GP$44,
       MATCH($F$4, Attendance!$C$14:$C$44, 0),
       MATCH(1, (Attendance!$C$12:$GP$12=$E309) * (Attendance!$C$13:$GP$13="Paid"), 0)
)</f>
        <v> </v>
      </c>
      <c r="E309" s="42">
        <f t="shared" si="37"/>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8"/>
        <v>¬</v>
      </c>
      <c r="D310" s="61" t="str" cm="1">
        <f t="array" aca="1" ref="D310" ca="1">INDEX(Attendance!$C$14:$GP$44,
       MATCH($F$4, Attendance!$C$14:$C$44, 0),
       MATCH(1, (Attendance!$C$12:$GP$12=$E310) * (Attendance!$C$13:$GP$13="Paid"), 0)
)</f>
        <v> </v>
      </c>
      <c r="E310" s="42">
        <f t="shared" si="37"/>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8"/>
        <v>¬</v>
      </c>
      <c r="D311" s="61" t="str" cm="1">
        <f t="array" aca="1" ref="D311" ca="1">INDEX(Attendance!$C$14:$GP$44,
       MATCH($F$4, Attendance!$C$14:$C$44, 0),
       MATCH(1, (Attendance!$C$12:$GP$12=$E311) * (Attendance!$C$13:$GP$13="Paid"), 0)
)</f>
        <v> </v>
      </c>
      <c r="E311" s="42">
        <f t="shared" si="37"/>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8"/>
        <v>¬</v>
      </c>
      <c r="D312" s="61" t="str" cm="1">
        <f t="array" aca="1" ref="D312" ca="1">INDEX(Attendance!$C$14:$GP$44,
       MATCH($F$4, Attendance!$C$14:$C$44, 0),
       MATCH(1, (Attendance!$C$12:$GP$12=$E312) * (Attendance!$C$13:$GP$13="Paid"), 0)
)</f>
        <v> </v>
      </c>
      <c r="E312" s="42">
        <f t="shared" si="37"/>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8"/>
        <v>¬</v>
      </c>
      <c r="D313" s="61" t="str" cm="1">
        <f t="array" aca="1" ref="D313" ca="1">INDEX(Attendance!$C$14:$GP$44,
       MATCH($F$4, Attendance!$C$14:$C$44, 0),
       MATCH(1, (Attendance!$C$12:$GP$12=$E313) * (Attendance!$C$13:$GP$13="Paid"), 0)
)</f>
        <v> </v>
      </c>
      <c r="E313" s="42">
        <f t="shared" si="37"/>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39">IF(AF44="","¬",AF44)</f>
        <v>Merge with soil.</v>
      </c>
      <c r="D314" s="61" t="str" cm="1">
        <f t="array" aca="1" ref="D314" ca="1">INDEX(Attendance!$C$14:$GP$44,
       MATCH($F$4, Attendance!$C$14:$C$44, 0),
       MATCH(1, (Attendance!$C$12:$GP$12=$E314) * (Attendance!$C$13:$GP$13="Paid"), 0)
)</f>
        <v> </v>
      </c>
      <c r="E314" s="42">
        <f t="shared" si="37"/>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39"/>
        <v>Take on animal traits.</v>
      </c>
      <c r="D315" s="61" t="str" cm="1">
        <f t="array" aca="1" ref="D315" ca="1">INDEX(Attendance!$C$14:$GP$44,
       MATCH($F$4, Attendance!$C$14:$C$44, 0),
       MATCH(1, (Attendance!$C$12:$GP$12=$E315) * (Attendance!$C$13:$GP$13="Paid"), 0)
)</f>
        <v> </v>
      </c>
      <c r="E315" s="42">
        <f t="shared" si="37"/>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39"/>
        <v>Transform into predatory animal.</v>
      </c>
      <c r="D316" s="61" t="str" cm="1">
        <f t="array" aca="1" ref="D316" ca="1">INDEX(Attendance!$C$14:$GP$44,
       MATCH($F$4, Attendance!$C$14:$C$44, 0),
       MATCH(1, (Attendance!$C$12:$GP$12=$E316) * (Attendance!$C$13:$GP$13="Paid"), 0)
)</f>
        <v> </v>
      </c>
      <c r="E316" s="42">
        <f t="shared" si="37"/>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39"/>
        <v>Take on a horrific trait. Barbed Hands damage is not lethal to vampires.</v>
      </c>
    </row>
    <row r="318" spans="1:9">
      <c r="A318" s="1" t="s">
        <v>317</v>
      </c>
      <c r="B318" t="str">
        <f t="shared" si="39"/>
        <v>Downgrade damage and increase Stamina. Improve Armour and Defences. Unnatural Fortitude: add Resilience dots as bonus dice to non-combat Stamina pools.</v>
      </c>
    </row>
    <row r="319" spans="1:9">
      <c r="A319" s="1" t="s">
        <v>318</v>
      </c>
      <c r="B319" t="str">
        <f t="shared" si="39"/>
        <v>Improve Strength. Add Vigour dots as bonus successes only if at least one net success achieved.</v>
      </c>
    </row>
    <row r="320" spans="1:9">
      <c r="A320" s="1" t="s">
        <v>319</v>
      </c>
      <c r="B320" t="str">
        <f t="shared" si="39"/>
        <v>Kill a Carthian or oathbreaker for Invictus Status 1, Friends in High Places 1, 9-Again on two Skills, and Allies/Contacts/Resources 1. All stripped if broken.</v>
      </c>
    </row>
    <row r="321" spans="1:2">
      <c r="A321" s="1" t="s">
        <v>320</v>
      </c>
      <c r="B321" t="str">
        <f t="shared" si="39"/>
        <v>¬</v>
      </c>
    </row>
    <row r="322" spans="1:2">
      <c r="A322" s="1" t="s">
        <v>321</v>
      </c>
      <c r="B322" t="str">
        <f t="shared" si="39"/>
        <v>¬</v>
      </c>
    </row>
    <row r="323" spans="1:2">
      <c r="A323" s="1" t="s">
        <v>322</v>
      </c>
      <c r="B323" t="str">
        <f t="shared" si="39"/>
        <v>¬</v>
      </c>
    </row>
    <row r="324" spans="1:2">
      <c r="A324" s="1" t="s">
        <v>323</v>
      </c>
      <c r="B324" t="str">
        <f t="shared" si="39"/>
        <v>¬</v>
      </c>
    </row>
    <row r="325" spans="1:2">
      <c r="A325" s="1" t="s">
        <v>324</v>
      </c>
      <c r="B325" t="str">
        <f t="shared" si="39"/>
        <v>¬</v>
      </c>
    </row>
    <row r="326" spans="1:2">
      <c r="A326" s="1" t="s">
        <v>325</v>
      </c>
      <c r="B326" t="str">
        <f t="shared" si="39"/>
        <v>¬</v>
      </c>
    </row>
    <row r="327" spans="1:2">
      <c r="A327" s="1" t="s">
        <v>326</v>
      </c>
      <c r="B327" t="str">
        <f t="shared" si="39"/>
        <v>¬</v>
      </c>
    </row>
    <row r="328" spans="1:2">
      <c r="A328" s="1" t="s">
        <v>327</v>
      </c>
      <c r="B328" t="str">
        <f t="shared" si="39"/>
        <v>¬</v>
      </c>
    </row>
    <row r="329" spans="1:2">
      <c r="A329" s="1" t="s">
        <v>328</v>
      </c>
      <c r="B329" t="str">
        <f t="shared" si="39"/>
        <v>¬</v>
      </c>
    </row>
    <row r="330" spans="1:2">
      <c r="A330" s="1" t="s">
        <v>329</v>
      </c>
      <c r="B330" t="str">
        <f t="shared" si="39"/>
        <v>¬</v>
      </c>
    </row>
    <row r="331" spans="1:2">
      <c r="A331" s="1" t="s">
        <v>330</v>
      </c>
      <c r="B331" t="str">
        <f t="shared" si="39"/>
        <v>¬</v>
      </c>
    </row>
    <row r="332" spans="1:2">
      <c r="A332" s="1" t="s">
        <v>331</v>
      </c>
      <c r="B332" t="str">
        <f t="shared" si="39"/>
        <v>¬</v>
      </c>
    </row>
    <row r="333" spans="1:2">
      <c r="A333" s="1" t="s">
        <v>332</v>
      </c>
      <c r="B333" t="str">
        <f t="shared" si="39"/>
        <v>¬</v>
      </c>
    </row>
    <row r="334" spans="1:2">
      <c r="A334" s="1" t="s">
        <v>333</v>
      </c>
      <c r="B334" t="str">
        <f t="shared" si="39"/>
        <v>¬</v>
      </c>
    </row>
    <row r="335" spans="1:2">
      <c r="A335" s="1" t="s">
        <v>334</v>
      </c>
      <c r="B335" t="str">
        <f t="shared" si="39"/>
        <v>¬</v>
      </c>
    </row>
    <row r="336" spans="1:2">
      <c r="A336" s="1" t="s">
        <v>335</v>
      </c>
      <c r="B336" t="str">
        <f t="shared" si="39"/>
        <v>¬</v>
      </c>
    </row>
    <row r="337" spans="1:2">
      <c r="A337" s="1" t="s">
        <v>336</v>
      </c>
      <c r="B337" t="str">
        <f t="shared" si="39"/>
        <v>¬</v>
      </c>
    </row>
    <row r="338" spans="1:2">
      <c r="A338" s="1" t="s">
        <v>337</v>
      </c>
      <c r="B338" t="str">
        <f t="shared" si="39"/>
        <v>¬</v>
      </c>
    </row>
    <row r="339" spans="1:2">
      <c r="A339" s="1" t="s">
        <v>338</v>
      </c>
      <c r="B339" t="str">
        <f t="shared" si="39"/>
        <v>¬</v>
      </c>
    </row>
    <row r="340" spans="1:2">
      <c r="A340" s="1" t="s">
        <v>339</v>
      </c>
      <c r="B340" t="str">
        <f t="shared" si="39"/>
        <v>¬</v>
      </c>
    </row>
    <row r="341" spans="1:2">
      <c r="A341" s="1" t="s">
        <v>340</v>
      </c>
      <c r="B341" t="str">
        <f t="shared" si="39"/>
        <v>¬</v>
      </c>
    </row>
    <row r="342" spans="1:2">
      <c r="A342" s="1" t="s">
        <v>341</v>
      </c>
      <c r="B342" t="str">
        <f t="shared" si="39"/>
        <v>¬</v>
      </c>
    </row>
    <row r="343" spans="1:2">
      <c r="A343" s="1" t="s">
        <v>342</v>
      </c>
      <c r="B343" t="str">
        <f t="shared" si="39"/>
        <v>¬</v>
      </c>
    </row>
    <row r="344" spans="1:2">
      <c r="A344" s="1" t="s">
        <v>343</v>
      </c>
      <c r="B344" s="8" t="str">
        <f>IF(VLOOKUP(tblCharDataRyan[[#This Row],[Field]],$E$2:$F$361,2,FALSE)="","¬",VLOOKUP(tblCharDataRyan[[#This Row],[Field]],$E$2:$F$361,2,FALSE))</f>
        <v>Feral Curse</v>
      </c>
    </row>
    <row r="345" spans="1:2">
      <c r="A345" s="1" t="s">
        <v>344</v>
      </c>
      <c r="B345" s="8" t="str">
        <f>IF(VLOOKUP(tblCharDataRyan[[#This Row],[Field]],$E$2:$F$361,2,FALSE)="","¬",VLOOKUP(tblCharDataRyan[[#This Row],[Field]],$E$2:$F$361,2,FALSE))</f>
        <v>¬</v>
      </c>
    </row>
    <row r="346" spans="1:2">
      <c r="A346" s="1" t="s">
        <v>345</v>
      </c>
      <c r="B346" s="8" t="str">
        <f>IF(VLOOKUP(tblCharDataRyan[[#This Row],[Field]],$E$2:$F$361,2,FALSE)="","¬",VLOOKUP(tblCharDataRyan[[#This Row],[Field]],$E$2:$F$361,2,FALSE))</f>
        <v>¬</v>
      </c>
    </row>
    <row r="347" spans="1:2">
      <c r="A347" s="1" t="s">
        <v>346</v>
      </c>
      <c r="B347" s="8" t="str">
        <f>IF(VLOOKUP(tblCharDataRyan[[#This Row],[Field]],$E$2:$F$361,2,FALSE)="","¬",VLOOKUP(tblCharDataRyan[[#This Row],[Field]],$E$2:$F$361,2,FALSE))</f>
        <v>¬</v>
      </c>
    </row>
    <row r="348" spans="1:2">
      <c r="A348" s="1" t="s">
        <v>347</v>
      </c>
      <c r="B348" s="8" t="str">
        <f>IF(VLOOKUP(tblCharDataRyan[[#This Row],[Field]],$E$2:$F$361,2,FALSE)="","¬",VLOOKUP(tblCharDataRyan[[#This Row],[Field]],$E$2:$F$361,2,FALSE))</f>
        <v>¬</v>
      </c>
    </row>
    <row r="349" spans="1:2">
      <c r="A349" s="1" t="s">
        <v>348</v>
      </c>
      <c r="B349" t="str">
        <f>_xlfn.IFNA(VLOOKUP(B344,$F$234:$I$238,3,FALSE),"")</f>
        <v>Frenzy resistance dice pools capped by Humanity (doesn't affect Riding the Wave).</v>
      </c>
    </row>
    <row r="350" spans="1:2">
      <c r="A350" s="1" t="s">
        <v>349</v>
      </c>
      <c r="B350" t="str">
        <f>_xlfn.IFNA(VLOOKUP(B345,$F$234:$I$238,3,FALSE),"¬")</f>
        <v>¬</v>
      </c>
    </row>
    <row r="351" spans="1:2">
      <c r="A351" s="1" t="s">
        <v>350</v>
      </c>
      <c r="B351" t="str">
        <f>_xlfn.IFNA(VLOOKUP(B346,$F$234:$I$238,3,FALSE),"")</f>
        <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13</v>
      </c>
    </row>
    <row r="356" spans="1:2">
      <c r="A356" s="1" t="s">
        <v>355</v>
      </c>
      <c r="B356">
        <f ca="1">P220</f>
        <v>5</v>
      </c>
    </row>
    <row r="357" spans="1:2">
      <c r="A357" s="1" t="s">
        <v>356</v>
      </c>
      <c r="B357" t="str">
        <f>IF(F10="","¬",VLOOKUP(F10,tblAnchors[],2,FALSE))</f>
        <v>Challenge someone clearly your superior.</v>
      </c>
    </row>
    <row r="358" spans="1:2">
      <c r="A358" s="1" t="s">
        <v>357</v>
      </c>
      <c r="B358" t="str">
        <f>IF(F10="","¬",VLOOKUP(F10,tblAnchors[],3,FALSE))</f>
        <v>Risk Final Death to prove you can handle something.</v>
      </c>
    </row>
    <row r="359" spans="1:2">
      <c r="A359" s="1" t="s">
        <v>358</v>
      </c>
      <c r="B359" t="str">
        <f>IF(F11="","¬",VLOOKUP(F11,tblAnchors[],2,FALSE))</f>
        <v>Follow a directive blindly, for the sake of following.</v>
      </c>
    </row>
    <row r="360" spans="1:2">
      <c r="A360" s="1" t="s">
        <v>359</v>
      </c>
      <c r="B360" t="str">
        <f>IF(F11="","¬",VLOOKUP(F11,tblAnchors[],3,FALSE))</f>
        <v>Follow a dangerous directive without hesitation.</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
      </c>
    </row>
    <row r="365" spans="1:2">
      <c r="A365" s="1" t="s">
        <v>364</v>
      </c>
      <c r="B365" t="str">
        <f>_xlfn.LET(_xlpm.a,IF(F244="","",F244),_xlpm.b,IF(F245="","",F245),IF(AND(_xlpm.a&lt;&gt;"",_xlpm.b&lt;&gt;""),_xlpm.a&amp;", "&amp;_xlpm.b,IF(_xlpm.a&lt;&gt;"",_xlpm.a,IF(_xlpm.b&lt;&gt;"",_xlpm.b,""))))</f>
        <v>Atrocious</v>
      </c>
    </row>
  </sheetData>
  <mergeCells count="89">
    <mergeCell ref="F240:I240"/>
    <mergeCell ref="F241:I241"/>
    <mergeCell ref="F242:I242"/>
    <mergeCell ref="F244:I244"/>
    <mergeCell ref="F245:I245"/>
    <mergeCell ref="H238:I238"/>
    <mergeCell ref="H208:I208"/>
    <mergeCell ref="H209:I209"/>
    <mergeCell ref="H210:I210"/>
    <mergeCell ref="H211:I211"/>
    <mergeCell ref="H212:I212"/>
    <mergeCell ref="H213:I213"/>
    <mergeCell ref="H214:I214"/>
    <mergeCell ref="H215:I215"/>
    <mergeCell ref="H234:I234"/>
    <mergeCell ref="H236:I236"/>
    <mergeCell ref="H237:I237"/>
    <mergeCell ref="H207:I207"/>
    <mergeCell ref="H153:I153"/>
    <mergeCell ref="H154:I154"/>
    <mergeCell ref="H155:I155"/>
    <mergeCell ref="H156:I156"/>
    <mergeCell ref="H157:I157"/>
    <mergeCell ref="H177:I177"/>
    <mergeCell ref="H178:I178"/>
    <mergeCell ref="H179:I179"/>
    <mergeCell ref="H180:I180"/>
    <mergeCell ref="H181:I181"/>
    <mergeCell ref="H206:I206"/>
    <mergeCell ref="H152:I152"/>
    <mergeCell ref="H141:I141"/>
    <mergeCell ref="H142:I142"/>
    <mergeCell ref="H143:I143"/>
    <mergeCell ref="H144:I144"/>
    <mergeCell ref="H145:I145"/>
    <mergeCell ref="H146:I146"/>
    <mergeCell ref="H147:I147"/>
    <mergeCell ref="H148:I148"/>
    <mergeCell ref="H149:I149"/>
    <mergeCell ref="H150:I150"/>
    <mergeCell ref="H151:I151"/>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11:I111"/>
    <mergeCell ref="H98:I98"/>
    <mergeCell ref="H101:I101"/>
    <mergeCell ref="H102:I102"/>
    <mergeCell ref="H103:I103"/>
    <mergeCell ref="H104:I104"/>
    <mergeCell ref="H105:I105"/>
    <mergeCell ref="H106:I106"/>
    <mergeCell ref="H107:I107"/>
    <mergeCell ref="H108:I108"/>
    <mergeCell ref="H109:I109"/>
    <mergeCell ref="H110:I110"/>
    <mergeCell ref="H97:I97"/>
    <mergeCell ref="H86:I86"/>
    <mergeCell ref="H87:I87"/>
    <mergeCell ref="H88:I88"/>
    <mergeCell ref="H89:I89"/>
    <mergeCell ref="H90:I90"/>
    <mergeCell ref="H91:I91"/>
    <mergeCell ref="H92:I92"/>
    <mergeCell ref="H93:I93"/>
    <mergeCell ref="H94:I94"/>
    <mergeCell ref="H95:I95"/>
    <mergeCell ref="H96:I96"/>
    <mergeCell ref="H85:I85"/>
    <mergeCell ref="O8:P8"/>
    <mergeCell ref="O9:P9"/>
    <mergeCell ref="O10:P10"/>
    <mergeCell ref="O11:P11"/>
    <mergeCell ref="O12:P12"/>
    <mergeCell ref="H79:I79"/>
    <mergeCell ref="H80:I80"/>
    <mergeCell ref="H81:I81"/>
    <mergeCell ref="H82:I82"/>
    <mergeCell ref="H83:I83"/>
    <mergeCell ref="H84:I84"/>
  </mergeCells>
  <dataValidations count="15">
    <dataValidation type="list" allowBlank="1" showInputMessage="1" showErrorMessage="1" sqref="G248:G277" xr:uid="{EA6FC449-B71F-4B31-AD9A-119649301806}">
      <formula1>$I$248:$I$249</formula1>
    </dataValidation>
    <dataValidation type="list" allowBlank="1" showInputMessage="1" showErrorMessage="1" sqref="F101:F120" xr:uid="{C5CD9966-9049-4328-B69F-6DB07B4A796E}">
      <formula1>lstManoeuvres</formula1>
    </dataValidation>
    <dataValidation type="list" allowBlank="1" showInputMessage="1" showErrorMessage="1" sqref="F79:F98" xr:uid="{8A1CF93C-DF31-48C5-B9CF-441EB38B6467}">
      <formula1>lstMerits</formula1>
    </dataValidation>
    <dataValidation type="list" allowBlank="1" showInputMessage="1" showErrorMessage="1" sqref="F236:F238" xr:uid="{25A8F8C1-8642-48CD-9F52-91A110DD46CA}">
      <formula1>lstBanes</formula1>
    </dataValidation>
    <dataValidation type="list" allowBlank="1" showInputMessage="1" showErrorMessage="1" sqref="F206:F215" xr:uid="{061E702A-A9D7-418E-A92B-034D229DD6E5}">
      <formula1>lstPacts</formula1>
    </dataValidation>
    <dataValidation type="list" allowBlank="1" showInputMessage="1" showErrorMessage="1" sqref="G12:G13" xr:uid="{36C80E97-0E50-413A-9485-4A38978EBFBE}">
      <formula1>lstStatus</formula1>
    </dataValidation>
    <dataValidation type="list" allowBlank="1" showInputMessage="1" showErrorMessage="1" sqref="F194:F205 F207:F215" xr:uid="{C2344618-9635-4560-B362-D7F36E815317}">
      <formula1>lstRites</formula1>
    </dataValidation>
    <dataValidation type="list" allowBlank="1" showInputMessage="1" showErrorMessage="1" sqref="F177:F181" xr:uid="{12ACAA00-6742-4D10-9A5C-EC66FABE0977}">
      <formula1>lstDevotions</formula1>
    </dataValidation>
    <dataValidation type="list" allowBlank="1" showInputMessage="1" showErrorMessage="1" sqref="F17:F21" xr:uid="{488AE4A0-3394-4997-BC70-B05DA275B6EE}">
      <formula1>"TRUE,FALSE"</formula1>
    </dataValidation>
    <dataValidation type="list" allowBlank="1" showInputMessage="1" showErrorMessage="1" sqref="F24" xr:uid="{0F12AC8E-A74E-487B-9C7E-BB774F558C92}">
      <formula1>$D$7:$D$8</formula1>
    </dataValidation>
    <dataValidation type="list" allowBlank="1" showInputMessage="1" showErrorMessage="1" sqref="I25 I30 I35 I41 I51 I61" xr:uid="{8146C948-2F86-4A51-9821-622154F29368}">
      <formula1>lstPriority</formula1>
    </dataValidation>
    <dataValidation type="list" allowBlank="1" showInputMessage="1" showErrorMessage="1" sqref="F10:F11" xr:uid="{246378AD-E57E-493C-B6B4-6BF675DDC6C9}">
      <formula1>lstNature</formula1>
    </dataValidation>
    <dataValidation type="list" allowBlank="1" showInputMessage="1" showErrorMessage="1" sqref="F8" xr:uid="{B81F2CC3-4E5F-4F0F-934C-42641A857267}">
      <formula1>lstBloodlines</formula1>
    </dataValidation>
    <dataValidation type="list" allowBlank="1" showInputMessage="1" showErrorMessage="1" sqref="F9" xr:uid="{B9B3F5A2-91F4-41A4-93FC-19549A43F22E}">
      <formula1>lstCovenant</formula1>
    </dataValidation>
    <dataValidation type="list" allowBlank="1" showInputMessage="1" showErrorMessage="1" sqref="F7" xr:uid="{04B8A029-5B1A-4168-B1F2-DA2C6D61FC93}">
      <formula1>lstClan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7E3795A-096B-48EA-B30F-9F25C85609B8}">
          <x14:formula1>
            <xm:f>'Lookup-Domain'!$A$2:$A$8</xm:f>
          </x14:formula1>
          <xm:sqref>F161 F145:F157</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81C86-EA99-45FE-B17A-66B7DEAB6061}">
  <dimension ref="A1:AK365"/>
  <sheetViews>
    <sheetView zoomScale="70" zoomScaleNormal="70" workbookViewId="0">
      <pane ySplit="1" topLeftCell="A2" activePane="bottomLeft" state="frozen"/>
      <selection pane="bottomLeft" activeCell="D124" sqref="D124"/>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Indomitable</v>
      </c>
      <c r="AC2" s="60" t="str" cm="1">
        <f t="array" ref="AC2:AC5">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Indomitable</v>
      </c>
      <c r="AD2" s="20" t="str">
        <f>IF(AC2="","¬",_xlfn.LET(_xlpm.base,IFERROR(LEFT(AC2,FIND(" (",AC2)-1),AC2),IFERROR(VLOOKUP(_xlpm.base,tblManoeuvre[],2,FALSE) &amp; " " &amp; REPT("●",VLOOKUP(_xlpm.base,tblManoeuvre[],3,FALSE)) &amp; " | " &amp; AC2,AC2 &amp; " " &amp; REPT("●",VLOOKUP(_xlpm.base,$F$79:$P$120,11,FALSE)))))</f>
        <v>Indomitable ●●</v>
      </c>
      <c r="AE2" s="20"/>
      <c r="AF2" s="20" t="str">
        <f>IF(LEN(AC2)=0,"¬",_xlfn.LET(_xlpm.base,IFERROR(LEFT(AC2,FIND(" (",AC2)-1),AC2),IFERROR(VLOOKUP(_xlpm.base,tblMerits[],5,FALSE),IFERROR(VLOOKUP(_xlpm.base,tblManoeuvre[],9,FALSE),"¬"))))</f>
        <v>+2 to contest or resist supernatural mental influence.</v>
      </c>
      <c r="AI2" s="15" t="s">
        <v>25</v>
      </c>
      <c r="AJ2" s="61">
        <f t="shared" ref="AJ2:AJ58" si="1">VLOOKUP(AI2,$E$3:$P$221,12,FALSE)</f>
        <v>0</v>
      </c>
      <c r="AK2" s="61">
        <f>IF(AJ2=0,IF(COUNTIF($E$42:$E$49,AI2)&gt;0,-3,-1),AJ2)</f>
        <v>-3</v>
      </c>
    </row>
    <row r="3" spans="1:37">
      <c r="A3" s="1" t="s">
        <v>2</v>
      </c>
      <c r="B3">
        <f ca="1">N3</f>
        <v>4</v>
      </c>
      <c r="D3" s="19"/>
      <c r="E3" s="15" t="s">
        <v>4</v>
      </c>
      <c r="F3" s="3" t="s">
        <v>1313</v>
      </c>
      <c r="G3" s="18"/>
      <c r="H3" s="18"/>
      <c r="I3" s="18" t="s">
        <v>1425</v>
      </c>
      <c r="N3" s="60">
        <f ca="1">10+SUM(N4:N6)-SUM(N7)</f>
        <v>4</v>
      </c>
      <c r="Y3" s="15" t="s">
        <v>115</v>
      </c>
      <c r="Z3" s="19"/>
      <c r="AA3" s="61" t="str">
        <f t="shared" si="0"/>
        <v>Iron Stamina</v>
      </c>
      <c r="AC3" s="60" t="str">
        <v>Iron Stamina</v>
      </c>
      <c r="AD3" s="20" t="str">
        <f>IF(AC3="","¬",_xlfn.LET(_xlpm.base,IFERROR(LEFT(AC3,FIND(" (",AC3)-1),AC3),IFERROR(VLOOKUP(_xlpm.base,tblManoeuvre[],2,FALSE) &amp; " " &amp; REPT("●",VLOOKUP(_xlpm.base,tblManoeuvre[],3,FALSE)) &amp; " | " &amp; AC3,AC3 &amp; " " &amp; REPT("●",VLOOKUP(_xlpm.base,$F$79:$P$120,11,FALSE)))))</f>
        <v>Iron Stamina ●●</v>
      </c>
      <c r="AE3" s="20"/>
      <c r="AF3" s="20" t="str">
        <f>IF(LEN(AC3)=0,"¬",_xlfn.LET(_xlpm.base,IFERROR(LEFT(AC3,FIND(" (",AC3)-1),AC3),IFERROR(VLOOKUP(_xlpm.base,tblMerits[],5,FALSE),IFERROR(VLOOKUP(_xlpm.base,tblManoeuvre[],9,FALSE),"¬"))))</f>
        <v>Ignore fatigue or wound penalties up to dots.</v>
      </c>
      <c r="AI3" s="15" t="s">
        <v>41</v>
      </c>
      <c r="AJ3" s="61">
        <f t="shared" si="1"/>
        <v>2</v>
      </c>
      <c r="AK3" s="61">
        <f>IF(AJ3=0,IF(COUNTIF($E$42:$E$49,AI3)&gt;0,-3,-1),AJ3)</f>
        <v>2</v>
      </c>
    </row>
    <row r="4" spans="1:37">
      <c r="A4" s="1" t="s">
        <v>3</v>
      </c>
      <c r="B4">
        <f ca="1">SUM(N3:N9)</f>
        <v>42</v>
      </c>
      <c r="D4" s="19"/>
      <c r="E4" s="15" t="s">
        <v>5</v>
      </c>
      <c r="F4" s="3" t="s">
        <v>1314</v>
      </c>
      <c r="G4" s="18"/>
      <c r="H4" s="18"/>
      <c r="I4" s="18" t="s">
        <v>1426</v>
      </c>
      <c r="N4" s="61">
        <f>K73*2</f>
        <v>2</v>
      </c>
      <c r="Y4" s="15" t="s">
        <v>116</v>
      </c>
      <c r="Z4" s="19"/>
      <c r="AA4" s="61" t="str">
        <f t="shared" si="0"/>
        <v>Language (Hindi)</v>
      </c>
      <c r="AC4" s="60" t="str">
        <v>Language (Hindi)</v>
      </c>
      <c r="AD4" s="20" t="str">
        <f>IF(AC4="","¬",_xlfn.LET(_xlpm.base,IFERROR(LEFT(AC4,FIND(" (",AC4)-1),AC4),IFERROR(VLOOKUP(_xlpm.base,tblManoeuvre[],2,FALSE) &amp; " " &amp; REPT("●",VLOOKUP(_xlpm.base,tblManoeuvre[],3,FALSE)) &amp; " | " &amp; AC4,AC4 &amp; " " &amp; REPT("●",VLOOKUP(_xlpm.base,$F$79:$P$120,11,FALSE)))))</f>
        <v>Language (Hindi) ●</v>
      </c>
      <c r="AE4" s="20"/>
      <c r="AF4" s="20" t="str">
        <f>IF(LEN(AC4)=0,"¬",_xlfn.LET(_xlpm.base,IFERROR(LEFT(AC4,FIND(" (",AC4)-1),AC4),IFERROR(VLOOKUP(_xlpm.base,tblMerits[],5,FALSE),IFERROR(VLOOKUP(_xlpm.base,tblManoeuvre[],9,FALSE),"¬"))))</f>
        <v>Speak, read and write a chosen language.</v>
      </c>
      <c r="AI4" s="15" t="s">
        <v>236</v>
      </c>
      <c r="AJ4" s="61">
        <f t="shared" si="1"/>
        <v>1</v>
      </c>
      <c r="AK4" s="61">
        <f>AJ4</f>
        <v>1</v>
      </c>
    </row>
    <row r="5" spans="1:37">
      <c r="A5" s="1" t="s">
        <v>4</v>
      </c>
      <c r="B5" t="str">
        <f>IF(VLOOKUP(tblCharDataTegan[[#This Row],[Field]],$E$2:$F$362,2,FALSE)="","¬",VLOOKUP(tblCharDataTegan[[#This Row],[Field]],$E$2:$F$362,2,FALSE))</f>
        <v>Alana W</v>
      </c>
      <c r="D5" s="19"/>
      <c r="E5" s="15" t="s">
        <v>6</v>
      </c>
      <c r="F5" s="3"/>
      <c r="G5" s="18"/>
      <c r="H5" s="18"/>
      <c r="I5" s="18" t="s">
        <v>1427</v>
      </c>
      <c r="N5" s="61">
        <f>N16</f>
        <v>6</v>
      </c>
      <c r="Y5" s="15" t="s">
        <v>117</v>
      </c>
      <c r="Z5" s="19"/>
      <c r="AA5" s="61" t="str">
        <f t="shared" si="0"/>
        <v>Pusher</v>
      </c>
      <c r="AC5" s="60" t="str">
        <v>Pusher</v>
      </c>
      <c r="AD5" s="20" t="str">
        <f>IF(AC5="","¬",_xlfn.LET(_xlpm.base,IFERROR(LEFT(AC5,FIND(" (",AC5)-1),AC5),IFERROR(VLOOKUP(_xlpm.base,tblManoeuvre[],2,FALSE) &amp; " " &amp; REPT("●",VLOOKUP(_xlpm.base,tblManoeuvre[],3,FALSE)) &amp; " | " &amp; AC5,AC5 &amp; " " &amp; REPT("●",VLOOKUP(_xlpm.base,$F$79:$P$120,11,FALSE)))))</f>
        <v>Pusher ●</v>
      </c>
      <c r="AE5" s="20"/>
      <c r="AF5" s="20" t="str">
        <f>IF(LEN(AC5)=0,"¬",_xlfn.LET(_xlpm.base,IFERROR(LEFT(AC5,FIND(" (",AC5)-1),AC5),IFERROR(VLOOKUP(_xlpm.base,tblMerits[],5,FALSE),IFERROR(VLOOKUP(_xlpm.base,tblManoeuvre[],9,FALSE),"¬"))))</f>
        <v>When you use soft leverage, improve your impression as if you'd also satisfied the mark's Vice.</v>
      </c>
      <c r="AI5" s="15" t="s">
        <v>33</v>
      </c>
      <c r="AJ5" s="61">
        <f t="shared" si="1"/>
        <v>1</v>
      </c>
      <c r="AK5" s="61">
        <f>IF(AJ5=0,IF(COUNTIF($E$42:$E$49,AI5)&gt;0,-3,-1),AJ5)</f>
        <v>1</v>
      </c>
    </row>
    <row r="6" spans="1:37">
      <c r="A6" s="1" t="s">
        <v>5</v>
      </c>
      <c r="B6" t="str">
        <f>IF(VLOOKUP(tblCharDataTegan[[#This Row],[Field]],$E$2:$F$362,2,FALSE)="","¬",VLOOKUP(tblCharDataTegan[[#This Row],[Field]],$E$2:$F$362,2,FALSE))</f>
        <v>Tegan Groves</v>
      </c>
      <c r="D6" s="19"/>
      <c r="E6" s="15" t="s">
        <v>7</v>
      </c>
      <c r="F6" s="3" t="s">
        <v>369</v>
      </c>
      <c r="G6" s="18"/>
      <c r="H6" s="18"/>
      <c r="I6" s="18" t="s">
        <v>1347</v>
      </c>
      <c r="N6" s="61">
        <f ca="1">N279</f>
        <v>3</v>
      </c>
      <c r="Y6" s="15" t="s">
        <v>118</v>
      </c>
      <c r="Z6" s="19"/>
      <c r="AA6" s="61" t="str">
        <f t="shared" si="0"/>
        <v/>
      </c>
      <c r="AC6" s="60"/>
      <c r="AD6" s="20" t="str">
        <f>IF(AC6="","¬",_xlfn.LET(_xlpm.base,IFERROR(LEFT(AC6,FIND(" (",AC6)-1),AC6),IFERROR(VLOOKUP(_xlpm.base,tblManoeuvre[],2,FALSE) &amp; " " &amp; REPT("●",VLOOKUP(_xlpm.base,tblManoeuvre[],3,FALSE)) &amp; " | " &amp; AC6,AC6 &amp; " " &amp; REPT("●",VLOOKUP(_xlpm.base,$F$79:$P$120,11,FALSE)))))</f>
        <v>¬</v>
      </c>
      <c r="AE6" s="20"/>
      <c r="AF6" s="20" t="str">
        <f>IF(LEN(AC6)=0,"¬",_xlfn.LET(_xlpm.base,IFERROR(LEFT(AC6,FIND(" (",AC6)-1),AC6),IFERROR(VLOOKUP(_xlpm.base,tblMerits[],5,FALSE),IFERROR(VLOOKUP(_xlpm.base,tblManoeuvre[],9,FALSE),"¬"))))</f>
        <v>¬</v>
      </c>
      <c r="AI6" s="15" t="s">
        <v>237</v>
      </c>
      <c r="AJ6" s="61">
        <f t="shared" si="1"/>
        <v>0</v>
      </c>
      <c r="AK6" s="61">
        <f>AJ6</f>
        <v>0</v>
      </c>
    </row>
    <row r="7" spans="1:37">
      <c r="A7" s="1" t="s">
        <v>6</v>
      </c>
      <c r="B7" t="str">
        <f>IF(VLOOKUP(tblCharDataTegan[[#This Row],[Field]],$E$2:$F$362,2,FALSE)="","¬",VLOOKUP(tblCharDataTegan[[#This Row],[Field]],$E$2:$F$362,2,FALSE))</f>
        <v>¬</v>
      </c>
      <c r="D7" s="19" t="str">
        <f>VLOOKUP(F7,tblClans[],3,FALSE)</f>
        <v>Stamina</v>
      </c>
      <c r="E7" s="15" t="s">
        <v>8</v>
      </c>
      <c r="F7" s="3" t="s">
        <v>491</v>
      </c>
      <c r="G7" s="18"/>
      <c r="H7" s="18"/>
      <c r="I7" s="18"/>
      <c r="N7" s="60">
        <f>SUM(N8:N12)</f>
        <v>17</v>
      </c>
      <c r="Y7" s="15" t="s">
        <v>119</v>
      </c>
      <c r="Z7" s="19"/>
      <c r="AA7" s="61" t="str">
        <f t="shared" si="0"/>
        <v/>
      </c>
      <c r="AC7" s="60"/>
      <c r="AD7" s="20" t="str">
        <f>IF(AC7="","¬",_xlfn.LET(_xlpm.base,IFERROR(LEFT(AC7,FIND(" (",AC7)-1),AC7),IFERROR(VLOOKUP(_xlpm.base,tblManoeuvre[],2,FALSE) &amp; " " &amp; REPT("●",VLOOKUP(_xlpm.base,tblManoeuvre[],3,FALSE)) &amp; " | " &amp; AC7,AC7 &amp; " " &amp; REPT("●",VLOOKUP(_xlpm.base,$F$79:$P$120,11,FALSE)))))</f>
        <v>¬</v>
      </c>
      <c r="AE7" s="20"/>
      <c r="AF7" s="20" t="str">
        <f>IF(LEN(AC7)=0,"¬",_xlfn.LET(_xlpm.base,IFERROR(LEFT(AC7,FIND(" (",AC7)-1),AC7),IFERROR(VLOOKUP(_xlpm.base,tblMerits[],5,FALSE),IFERROR(VLOOKUP(_xlpm.base,tblManoeuvre[],9,FALSE),"¬"))))</f>
        <v>¬</v>
      </c>
      <c r="AI7" s="15" t="s">
        <v>49</v>
      </c>
      <c r="AJ7" s="61">
        <f t="shared" si="1"/>
        <v>1</v>
      </c>
      <c r="AK7" s="61">
        <f>AJ7</f>
        <v>1</v>
      </c>
    </row>
    <row r="8" spans="1:37">
      <c r="A8" s="1" t="s">
        <v>7</v>
      </c>
      <c r="B8" t="str">
        <f>IF(VLOOKUP(tblCharDataTegan[[#This Row],[Field]],$E$2:$F$362,2,FALSE)="","¬",LOWER(VLOOKUP(tblCharDataTegan[[#This Row],[Field]],$E$2:$F$362,2,FALSE)))</f>
        <v>she/her</v>
      </c>
      <c r="D8" s="19" t="str">
        <f>VLOOKUP(F7,tblClans[],2,FALSE)</f>
        <v>Composure</v>
      </c>
      <c r="E8" s="15" t="s">
        <v>10</v>
      </c>
      <c r="F8" s="3"/>
      <c r="G8" s="61" t="str">
        <f>IFERROR(IF(OR(AND(VLOOKUP(F8,tblBloodlines[],2,FALSE)="",VLOOKUP(F8,tblBloodlines[],3,FALSE)="",VLOOKUP(F8,tblBloodlines[],4,FALSE)=""),AND(VLOOKUP(F8,tblBloodlines[],2,FALSE)="",VLOOKUP(F8,tblBloodlines[],3,FALSE)="",F9=VLOOKUP(F8,tblBloodlines[],4,FALSE)),F7=VLOOKUP(F8,tblBloodlines[],2,FALSE),F7=VLOOKUP(F8,tblBloodlines[],3,FALSE)),TRUE,FALSE),"")</f>
        <v/>
      </c>
      <c r="H8" s="18"/>
      <c r="I8" s="18" t="s">
        <v>1428</v>
      </c>
      <c r="N8" s="61">
        <f>N23</f>
        <v>8</v>
      </c>
      <c r="O8" s="65">
        <f>N8/SUM(N$7:N$12)</f>
        <v>0.23529411764705882</v>
      </c>
      <c r="P8" s="66"/>
      <c r="Y8" s="15" t="s">
        <v>120</v>
      </c>
      <c r="Z8" s="19"/>
      <c r="AA8" s="61" t="str">
        <f t="shared" si="0"/>
        <v/>
      </c>
      <c r="AC8" s="60"/>
      <c r="AD8" s="20" t="str">
        <f>IF(AC8="","¬",_xlfn.LET(_xlpm.base,IFERROR(LEFT(AC8,FIND(" (",AC8)-1),AC8),IFERROR(VLOOKUP(_xlpm.base,tblManoeuvre[],2,FALSE) &amp; " " &amp; REPT("●",VLOOKUP(_xlpm.base,tblManoeuvre[],3,FALSE)) &amp; " | " &amp; AC8,AC8 &amp; " " &amp; REPT("●",VLOOKUP(_xlpm.base,$F$79:$P$120,11,FALSE)))))</f>
        <v>¬</v>
      </c>
      <c r="AE8" s="20"/>
      <c r="AF8" s="20" t="str">
        <f>IF(LEN(AC8)=0,"¬",_xlfn.LET(_xlpm.base,IFERROR(LEFT(AC8,FIND(" (",AC8)-1),AC8),IFERROR(VLOOKUP(_xlpm.base,tblMerits[],5,FALSE),IFERROR(VLOOKUP(_xlpm.base,tblManoeuvre[],9,FALSE),"¬"))))</f>
        <v>¬</v>
      </c>
      <c r="AI8" s="15" t="s">
        <v>34</v>
      </c>
      <c r="AJ8" s="61">
        <f t="shared" si="1"/>
        <v>2</v>
      </c>
      <c r="AK8" s="61">
        <f>IF(AJ8=0,IF(COUNTIF($E$42:$E$49,AI8)&gt;0,-3,-1),AJ8)</f>
        <v>2</v>
      </c>
    </row>
    <row r="9" spans="1:37">
      <c r="A9" s="1" t="s">
        <v>8</v>
      </c>
      <c r="B9" t="str">
        <f>IF(VLOOKUP(tblCharDataTegan[[#This Row],[Field]],$E$2:$F$362,2,FALSE)="","¬",VLOOKUP(tblCharDataTegan[[#This Row],[Field]],$E$2:$F$362,2,FALSE))</f>
        <v>Gangrel</v>
      </c>
      <c r="D9" s="19"/>
      <c r="E9" s="15" t="s">
        <v>11</v>
      </c>
      <c r="F9" s="3" t="s">
        <v>556</v>
      </c>
      <c r="G9" s="18"/>
      <c r="H9" s="18"/>
      <c r="I9" s="18" t="s">
        <v>1429</v>
      </c>
      <c r="N9" s="61">
        <f>N40+T40</f>
        <v>2</v>
      </c>
      <c r="O9" s="65">
        <f>N9/SUM(N$7:N$12)</f>
        <v>5.8823529411764705E-2</v>
      </c>
      <c r="P9" s="66"/>
      <c r="Y9" s="15" t="s">
        <v>121</v>
      </c>
      <c r="Z9" s="19"/>
      <c r="AA9" s="61" t="str">
        <f t="shared" si="0"/>
        <v/>
      </c>
      <c r="AC9" s="60"/>
      <c r="AD9" s="20" t="str">
        <f>IF(AC9="","¬",_xlfn.LET(_xlpm.base,IFERROR(LEFT(AC9,FIND(" (",AC9)-1),AC9),IFERROR(VLOOKUP(_xlpm.base,tblManoeuvre[],2,FALSE) &amp; " " &amp; REPT("●",VLOOKUP(_xlpm.base,tblManoeuvre[],3,FALSE)) &amp; " | " &amp; AC9,AC9 &amp; " " &amp; REPT("●",VLOOKUP(_xlpm.base,$F$79:$P$120,11,FALSE)))))</f>
        <v>¬</v>
      </c>
      <c r="AE9" s="20"/>
      <c r="AF9" s="20" t="str">
        <f>IF(LEN(AC9)=0,"¬",_xlfn.LET(_xlpm.base,IFERROR(LEFT(AC9,FIND(" (",AC9)-1),AC9),IFERROR(VLOOKUP(_xlpm.base,tblMerits[],5,FALSE),IFERROR(VLOOKUP(_xlpm.base,tblManoeuvre[],9,FALSE),"¬"))))</f>
        <v>¬</v>
      </c>
      <c r="AI9" s="15" t="s">
        <v>238</v>
      </c>
      <c r="AJ9" s="61">
        <f t="shared" si="1"/>
        <v>0</v>
      </c>
      <c r="AK9" s="61">
        <f>AJ9</f>
        <v>0</v>
      </c>
    </row>
    <row r="10" spans="1:37">
      <c r="A10" s="1" t="s">
        <v>9</v>
      </c>
      <c r="B10" t="str">
        <f>CONCATENATE(Elements,B9," icon.svg")</f>
        <v>D:\Terra Mortis\Character Sheets\Sheet Elements\Gangrel icon.svg</v>
      </c>
      <c r="D10" s="19"/>
      <c r="E10" s="15" t="s">
        <v>13</v>
      </c>
      <c r="F10" s="3" t="s">
        <v>640</v>
      </c>
      <c r="G10" s="18"/>
      <c r="H10" s="18"/>
      <c r="I10" s="18" t="s">
        <v>1430</v>
      </c>
      <c r="N10" s="61">
        <f>N77</f>
        <v>1</v>
      </c>
      <c r="O10" s="65">
        <f>N10/SUM(N$7:N$12)</f>
        <v>2.9411764705882353E-2</v>
      </c>
      <c r="P10" s="66"/>
      <c r="Y10" s="15" t="s">
        <v>122</v>
      </c>
      <c r="Z10" s="19"/>
      <c r="AA10" s="61" t="str">
        <f t="shared" si="0"/>
        <v/>
      </c>
      <c r="AC10" s="60"/>
      <c r="AD10" s="20" t="str">
        <f>IF(AC10="","¬",_xlfn.LET(_xlpm.base,IFERROR(LEFT(AC10,FIND(" (",AC10)-1),AC10),IFERROR(VLOOKUP(_xlpm.base,tblManoeuvre[],2,FALSE) &amp; " " &amp; REPT("●",VLOOKUP(_xlpm.base,tblManoeuvre[],3,FALSE)) &amp; " | " &amp; AC10,AC10 &amp; " " &amp; REPT("●",VLOOKUP(_xlpm.base,$F$79:$P$120,11,FALSE)))))</f>
        <v>¬</v>
      </c>
      <c r="AE10" s="20"/>
      <c r="AF10" s="20" t="str">
        <f>IF(LEN(AC10)=0,"¬",_xlfn.LET(_xlpm.base,IFERROR(LEFT(AC10,FIND(" (",AC10)-1),AC10),IFERROR(VLOOKUP(_xlpm.base,tblMerits[],5,FALSE),IFERROR(VLOOKUP(_xlpm.base,tblManoeuvre[],9,FALSE),"¬"))))</f>
        <v>¬</v>
      </c>
      <c r="AI10" s="15" t="s">
        <v>24</v>
      </c>
      <c r="AJ10" s="61">
        <f t="shared" si="1"/>
        <v>3</v>
      </c>
      <c r="AK10" s="61">
        <f>AJ10+IFERROR(INDEX($V$26:$V$38,MATCH(AI10,$E$26:$E$38,0)),0)</f>
        <v>3</v>
      </c>
    </row>
    <row r="11" spans="1:37">
      <c r="A11" s="1" t="s">
        <v>10</v>
      </c>
      <c r="B11" t="str">
        <f>IF(VLOOKUP(tblCharDataTegan[[#This Row],[Field]],$E$2:$F$362,2,FALSE)="","¬",VLOOKUP(tblCharDataTegan[[#This Row],[Field]],$E$2:$F$362,2,FALSE))</f>
        <v>¬</v>
      </c>
      <c r="D11" s="19"/>
      <c r="E11" s="15" t="s">
        <v>14</v>
      </c>
      <c r="F11" s="3" t="s">
        <v>1315</v>
      </c>
      <c r="G11" s="18"/>
      <c r="H11" s="18"/>
      <c r="I11" s="18" t="s">
        <v>1431</v>
      </c>
      <c r="N11" s="61">
        <f>N163</f>
        <v>6</v>
      </c>
      <c r="O11" s="65">
        <f>N11/SUM(N$7:N$12)</f>
        <v>0.17647058823529413</v>
      </c>
      <c r="P11" s="66"/>
      <c r="Y11" s="15" t="s">
        <v>123</v>
      </c>
      <c r="Z11" s="19"/>
      <c r="AA11" s="61" t="str">
        <f t="shared" si="0"/>
        <v/>
      </c>
      <c r="AC11" s="60"/>
      <c r="AD11" s="20" t="str">
        <f>IF(AC11="","¬",_xlfn.LET(_xlpm.base,IFERROR(LEFT(AC11,FIND(" (",AC11)-1),AC11),IFERROR(VLOOKUP(_xlpm.base,tblManoeuvre[],2,FALSE) &amp; " " &amp; REPT("●",VLOOKUP(_xlpm.base,tblManoeuvre[],3,FALSE)) &amp; " | " &amp; AC11,AC11 &amp; " " &amp; REPT("●",VLOOKUP(_xlpm.base,$F$79:$P$120,11,FALSE)))))</f>
        <v>¬</v>
      </c>
      <c r="AE11" s="20"/>
      <c r="AF11" s="20" t="str">
        <f>IF(LEN(AC11)=0,"¬",_xlfn.LET(_xlpm.base,IFERROR(LEFT(AC11,FIND(" (",AC11)-1),AC11),IFERROR(VLOOKUP(_xlpm.base,tblMerits[],5,FALSE),IFERROR(VLOOKUP(_xlpm.base,tblManoeuvre[],9,FALSE),"¬"))))</f>
        <v>¬</v>
      </c>
      <c r="AI11" s="15" t="s">
        <v>26</v>
      </c>
      <c r="AJ11" s="61">
        <f t="shared" si="1"/>
        <v>1</v>
      </c>
      <c r="AK11" s="61">
        <f>IF(AJ11=0,IF(COUNTIF($E$42:$E$49,AI11)&gt;0,-3,-1),AJ11)</f>
        <v>1</v>
      </c>
    </row>
    <row r="12" spans="1:37">
      <c r="A12" s="1" t="s">
        <v>11</v>
      </c>
      <c r="B12" t="str">
        <f>IF(VLOOKUP(tblCharDataTegan[[#This Row],[Field]],$E$2:$F$362,2,FALSE)="","¬",VLOOKUP(tblCharDataTegan[[#This Row],[Field]],$E$2:$F$362,2,FALSE))</f>
        <v>Lancea et Sanctum</v>
      </c>
      <c r="D12" s="19"/>
      <c r="E12" s="15" t="s">
        <v>15</v>
      </c>
      <c r="F12" s="3"/>
      <c r="G12" s="3"/>
      <c r="H12" s="18"/>
      <c r="I12" s="18" t="s">
        <v>1432</v>
      </c>
      <c r="N12" s="61">
        <f>N71</f>
        <v>0</v>
      </c>
      <c r="O12" s="65">
        <f>N12/SUM(N$7:N$12)</f>
        <v>0</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1</v>
      </c>
      <c r="AK12" s="61">
        <f>IF(AJ12=0,IF(COUNTIF($E$42:$E$49,AI12)&gt;0,-3,-1),AJ12)</f>
        <v>1</v>
      </c>
    </row>
    <row r="13" spans="1:37">
      <c r="A13" s="1" t="s">
        <v>12</v>
      </c>
      <c r="B13" t="str">
        <f>_xlfn.IFNA(CONCATENATE(Elements,VLOOKUP(B12,tblCovenantShortName[#Data],2,FALSE)," icon.svg"),"")</f>
        <v>D:\Terra Mortis\Character Sheets\Sheet Elements\Lance icon.svg</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0</v>
      </c>
      <c r="AK13" s="61">
        <f t="shared" ref="AK13:AK19" si="2">AJ13</f>
        <v>0</v>
      </c>
    </row>
    <row r="14" spans="1:37">
      <c r="A14" s="1" t="s">
        <v>13</v>
      </c>
      <c r="B14" t="str">
        <f>IF(VLOOKUP(tblCharDataTegan[[#This Row],[Field]],$E$2:$F$362,2,FALSE)="","¬",VLOOKUP(tblCharDataTegan[[#This Row],[Field]],$E$2:$F$362,2,FALSE))</f>
        <v>Nurturer</v>
      </c>
      <c r="D14" s="19"/>
      <c r="E14" s="15" t="s">
        <v>1433</v>
      </c>
      <c r="F14" s="54">
        <v>36688</v>
      </c>
      <c r="G14" s="3" t="s">
        <v>931</v>
      </c>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0</v>
      </c>
      <c r="AK14" s="61">
        <f t="shared" si="2"/>
        <v>0</v>
      </c>
    </row>
    <row r="15" spans="1:37">
      <c r="A15" s="1" t="s">
        <v>14</v>
      </c>
      <c r="B15" t="str">
        <f>IF(VLOOKUP(tblCharDataTegan[[#This Row],[Field]],$E$2:$F$362,2,FALSE)="","¬",VLOOKUP(tblCharDataTegan[[#This Row],[Field]],$E$2:$F$362,2,FALSE))</f>
        <v>Survivor</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3</v>
      </c>
      <c r="AK15" s="61">
        <f t="shared" ca="1" si="2"/>
        <v>3</v>
      </c>
    </row>
    <row r="16" spans="1:37" ht="15.75" thickBot="1">
      <c r="A16" s="1" t="s">
        <v>15</v>
      </c>
      <c r="B16" t="str">
        <f ca="1">_xlfn.LET(_xlpm.a,VLOOKUP(tblCharDataTegan[[#This Row],[Field]],$E$2:$F$362,2,FALSE),_xlpm.b,VLOOKUP(OFFSET(tblCharDataTegan[[#This Row],[Field]],1,0),$E$2:$F$362,2,FALSE),IF(AND(_xlpm.a&lt;&gt;"",_xlpm.b&lt;&gt;""),_xlpm.a&amp;" &amp; "&amp;_xlpm.b,IF(_xlpm.a&lt;&gt;"",_xlpm.a,IF(_xlpm.b&lt;&gt;"",_xlpm.b,"¬"))))</f>
        <v>¬</v>
      </c>
      <c r="D16" s="14" t="s">
        <v>1427</v>
      </c>
      <c r="E16" s="14"/>
      <c r="F16" s="14"/>
      <c r="G16" s="14"/>
      <c r="H16" s="14"/>
      <c r="I16" s="14"/>
      <c r="N16" s="60">
        <f>SUM(N17:N21)</f>
        <v>6</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REPT("●",IFERROR(INDEX($P$26:$P$38,MATCH(tblCharDataTegan[[#This Row],[Field]],$E$26:$E$38,0)),0))&amp;REPT("○",IFERROR(INDEX($V$26:$V$38,MATCH(tblCharDataTegan[[#This Row],[Field]],$E$26:$E$38,0)),0))</f>
        <v>●</v>
      </c>
      <c r="D17" s="19"/>
      <c r="E17" s="15" t="s">
        <v>1435</v>
      </c>
      <c r="F17" s="3" t="b">
        <v>1</v>
      </c>
      <c r="G17" s="19"/>
      <c r="H17" s="19"/>
      <c r="I17" s="19"/>
      <c r="N17" s="61">
        <f>IF(F17=TRUE,3,0)</f>
        <v>3</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2</v>
      </c>
      <c r="AK17" s="61">
        <f>AJ17+IFERROR(INDEX($V$26:$V$38,MATCH(AI17,$E$26:$E$38,0)),0)</f>
        <v>2</v>
      </c>
    </row>
    <row r="18" spans="1:37">
      <c r="A18" s="1" t="s">
        <v>17</v>
      </c>
      <c r="B18" t="str">
        <f>REPT("●",IFERROR(INDEX($P$26:$P$38,MATCH(tblCharDataTegan[[#This Row],[Field]],$E$26:$E$38,0)),0))&amp;REPT("○",IFERROR(INDEX($V$26:$V$38,MATCH(tblCharDataTegan[[#This Row],[Field]],$E$26:$E$38,0)),0))</f>
        <v>●●●</v>
      </c>
      <c r="D18" s="19"/>
      <c r="E18" s="15" t="s">
        <v>1436</v>
      </c>
      <c r="F18" s="3" t="b">
        <v>1</v>
      </c>
      <c r="G18" s="19"/>
      <c r="H18" s="19"/>
      <c r="I18" s="19"/>
      <c r="N18" s="61">
        <f>IF(F18=TRUE,3,0)</f>
        <v>3</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0</v>
      </c>
      <c r="AK18" s="61">
        <f t="shared" si="2"/>
        <v>0</v>
      </c>
    </row>
    <row r="19" spans="1:37">
      <c r="A19" s="1" t="s">
        <v>18</v>
      </c>
      <c r="B19" t="str">
        <f>REPT("●",IFERROR(INDEX($P$26:$P$38,MATCH(tblCharDataTegan[[#This Row],[Field]],$E$26:$E$38,0)),0))&amp;REPT("○",IFERROR(INDEX($V$26:$V$38,MATCH(tblCharDataTegan[[#This Row],[Field]],$E$26:$E$38,0)),0))</f>
        <v>●●●</v>
      </c>
      <c r="D19" s="19"/>
      <c r="E19" s="15" t="s">
        <v>1437</v>
      </c>
      <c r="F19" s="3"/>
      <c r="G19" s="19"/>
      <c r="H19" s="19"/>
      <c r="I19" s="19"/>
      <c r="N19" s="61">
        <f>IF(F19=TRUE,3,0)</f>
        <v>0</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0</v>
      </c>
      <c r="AK19" s="61">
        <f t="shared" si="2"/>
        <v>0</v>
      </c>
    </row>
    <row r="20" spans="1:37">
      <c r="A20" s="1" t="s">
        <v>19</v>
      </c>
      <c r="B20" t="str">
        <f>REPT("●",IFERROR(INDEX($P$26:$P$38,MATCH(tblCharDataTegan[[#This Row],[Field]],$E$26:$E$38,0)),0))&amp;REPT("○",IFERROR(INDEX($V$26:$V$38,MATCH(tblCharDataTegan[[#This Row],[Field]],$E$26:$E$38,0)),0))</f>
        <v>●●●</v>
      </c>
      <c r="D20" s="19"/>
      <c r="E20" s="15" t="s">
        <v>1438</v>
      </c>
      <c r="F20" s="3"/>
      <c r="G20" s="19"/>
      <c r="H20" s="19"/>
      <c r="I20" s="19"/>
      <c r="N20" s="61">
        <f>IF(F20=TRUE,3,0)</f>
        <v>0</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1</v>
      </c>
      <c r="AK20" s="61">
        <f>IF(AJ20=0,IF(COUNTIF($E$42:$E$49,AI20)&gt;0,-3,-1),AJ20)</f>
        <v>1</v>
      </c>
    </row>
    <row r="21" spans="1:37">
      <c r="A21" s="1" t="s">
        <v>20</v>
      </c>
      <c r="B21" t="str">
        <f>REPT("●",IFERROR(INDEX($P$26:$P$38,MATCH(tblCharDataTegan[[#This Row],[Field]],$E$26:$E$38,0)),0))&amp;REPT("○",IFERROR(INDEX($V$26:$V$38,MATCH(tblCharDataTegan[[#This Row],[Field]],$E$26:$E$38,0)),0))</f>
        <v>●●</v>
      </c>
      <c r="D21" s="19"/>
      <c r="E21" s="15" t="s">
        <v>11</v>
      </c>
      <c r="F21" s="3"/>
      <c r="G21" s="19"/>
      <c r="H21" s="19"/>
      <c r="I21" s="19"/>
      <c r="N21" s="61">
        <f>IF(F21=TRUE,3,0)</f>
        <v>0</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1</v>
      </c>
      <c r="AK21" s="61">
        <f>IF(AJ21=0,IF(COUNTIF($E$42:$E$49,AI21)&gt;0,-3,-1),AJ21)</f>
        <v>1</v>
      </c>
    </row>
    <row r="22" spans="1:37">
      <c r="A22" s="1" t="s">
        <v>21</v>
      </c>
      <c r="B22" t="str">
        <f>REPT("●",IFERROR(INDEX($P$26:$P$38,MATCH(tblCharDataTegan[[#This Row],[Field]],$E$26:$E$38,0)),0))&amp;REPT("○",IFERROR(INDEX($V$26:$V$38,MATCH(tblCharDataTegan[[#This Row],[Field]],$E$26:$E$38,0)),0))</f>
        <v>●●●●○○</v>
      </c>
      <c r="Y22" s="15" t="s">
        <v>1439</v>
      </c>
      <c r="Z22" s="61" t="str">
        <f>IFERROR(VLOOKUP(AA22,tblManoeuvre[],2,FALSE),"")</f>
        <v/>
      </c>
      <c r="AA22" s="61" t="str">
        <f t="shared" ref="AA22:AA41" si="3">_xlfn.LET(_xlpm.name,VLOOKUP(Y22,$E$2:$F$362,2,FALSE),_xlpm.paid,_xlfn.IFNA(VLOOKUP(_xlpm.name,$F$79:$Q$120,11,FALSE)&gt;=VLOOKUP(_xlpm.name,$F$79:$Q$120,12,FALSE),FALSE),IF(AND(_xlpm.name&lt;&gt;"",_xlpm.paid),_xlpm.name,""))</f>
        <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2</v>
      </c>
      <c r="AK22" s="61">
        <f>IF(AJ22=0,IF(COUNTIF($E$42:$E$49,AI22)&gt;0,-3,-1),AJ22)</f>
        <v>2</v>
      </c>
    </row>
    <row r="23" spans="1:37" ht="15.75" thickBot="1">
      <c r="A23" s="1" t="s">
        <v>22</v>
      </c>
      <c r="B23" t="str">
        <f>REPT("●",IFERROR(INDEX($P$26:$P$38,MATCH(tblCharDataTegan[[#This Row],[Field]],$E$26:$E$38,0)),0))&amp;REPT("○",IFERROR(INDEX($V$26:$V$38,MATCH(tblCharDataTegan[[#This Row],[Field]],$E$26:$E$38,0)),0))</f>
        <v>●●</v>
      </c>
      <c r="D23" s="14" t="s">
        <v>1440</v>
      </c>
      <c r="E23" s="14"/>
      <c r="F23" s="14"/>
      <c r="G23" s="14"/>
      <c r="H23" s="14"/>
      <c r="I23" s="14"/>
      <c r="N23" s="60">
        <f>SUM(N26:N28,N31:N33,N36:N38)</f>
        <v>8</v>
      </c>
      <c r="Y23" s="15" t="s">
        <v>1441</v>
      </c>
      <c r="Z23" s="61" t="str">
        <f>IFERROR(VLOOKUP(AA23,tblManoeuvre[],2,FALSE),"")</f>
        <v/>
      </c>
      <c r="AA23" s="61" t="str">
        <f t="shared" si="3"/>
        <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0</v>
      </c>
      <c r="AK23" s="61">
        <f>IF(AJ23=0,VLOOKUP(AI23,$E$42:$Q$69,13,FALSE),AJ23)</f>
        <v>0</v>
      </c>
    </row>
    <row r="24" spans="1:37">
      <c r="A24" s="1" t="s">
        <v>23</v>
      </c>
      <c r="B24" t="str">
        <f>REPT("●",IFERROR(INDEX($P$26:$P$38,MATCH(tblCharDataTegan[[#This Row],[Field]],$E$26:$E$38,0)),0))&amp;REPT("○",IFERROR(INDEX($V$26:$V$38,MATCH(tblCharDataTegan[[#This Row],[Field]],$E$26:$E$38,0)),0))</f>
        <v>●●●</v>
      </c>
      <c r="E24" s="15" t="s">
        <v>1442</v>
      </c>
      <c r="F24" s="3" t="s">
        <v>21</v>
      </c>
      <c r="Y24" s="15" t="s">
        <v>1443</v>
      </c>
      <c r="Z24" s="61" t="str">
        <f>IFERROR(VLOOKUP(AA24,tblManoeuvre[],2,FALSE),"")</f>
        <v/>
      </c>
      <c r="AA24" s="61" t="str">
        <f t="shared" si="3"/>
        <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11</v>
      </c>
      <c r="AK24" s="61">
        <f ca="1">AJ24</f>
        <v>11</v>
      </c>
    </row>
    <row r="25" spans="1:37">
      <c r="A25" s="1" t="s">
        <v>24</v>
      </c>
      <c r="B25" t="str">
        <f>REPT("●",IFERROR(INDEX($P$26:$P$38,MATCH(tblCharDataTegan[[#This Row],[Field]],$E$26:$E$38,0)),0))&amp;REPT("○",IFERROR(INDEX($V$26:$V$38,MATCH(tblCharDataTegan[[#This Row],[Field]],$E$26:$E$38,0)),0))</f>
        <v>●●●</v>
      </c>
      <c r="D25" s="16" t="s">
        <v>1444</v>
      </c>
      <c r="E25" s="17"/>
      <c r="F25" s="17"/>
      <c r="G25" s="17" t="s">
        <v>1445</v>
      </c>
      <c r="H25" s="16" t="s">
        <v>1446</v>
      </c>
      <c r="I25" s="3" t="s">
        <v>1566</v>
      </c>
      <c r="L25" s="60">
        <f>IF(I25="",0,VLOOKUP(I25,tblPriority[#Data],2,FALSE))-SUM(L26:L28)</f>
        <v>0</v>
      </c>
      <c r="Y25" s="15" t="s">
        <v>1447</v>
      </c>
      <c r="Z25" s="61" t="str">
        <f>IFERROR(VLOOKUP(AA25,tblManoeuvre[],2,FALSE),"")</f>
        <v/>
      </c>
      <c r="AA25" s="61" t="str">
        <f t="shared" si="3"/>
        <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6</v>
      </c>
      <c r="AK25" s="61">
        <f>AJ25</f>
        <v>6</v>
      </c>
    </row>
    <row r="26" spans="1:37">
      <c r="A26" s="1" t="s">
        <v>25</v>
      </c>
      <c r="B26" t="str">
        <f>REPT("●",IFERROR(INDEX($P$42:$P$69,MATCH(tblCharDataTegan[[#This Row],[Field]],$E$42:$E$69,0)),0))&amp;REPT("○",IFERROR(INDEX($V$42:$V$69,MATCH(tblCharDataTegan[[#This Row],[Field]],$E$42:$E$69,0)),0))&amp;IF(IFERROR(INDEX($W$42:$W$69,MATCH(tblCharDataTegan[[#This Row],[Field]],$E$42:$E$69,0)),0)=1,"†","")</f>
        <v/>
      </c>
      <c r="D26" s="18"/>
      <c r="E26" s="15" t="s">
        <v>16</v>
      </c>
      <c r="F26" s="18"/>
      <c r="G26" s="3"/>
      <c r="H26" s="18"/>
      <c r="I26" s="18"/>
      <c r="L26" s="3"/>
      <c r="M26" s="60">
        <f>IF(E26=$F$24,2,1)</f>
        <v>1</v>
      </c>
      <c r="N26" s="3"/>
      <c r="O26" s="61">
        <f>ROUNDDOWN(N26/4,0)</f>
        <v>0</v>
      </c>
      <c r="P26" s="60">
        <f>MIN(SUM(L26,M26,O26),R26)</f>
        <v>1</v>
      </c>
      <c r="R26" s="61">
        <v>5</v>
      </c>
      <c r="U26" s="4"/>
      <c r="V26" s="61">
        <f>U26</f>
        <v>0</v>
      </c>
      <c r="Y26" s="15" t="s">
        <v>1449</v>
      </c>
      <c r="Z26" s="61" t="str">
        <f>IFERROR(VLOOKUP(AA26,tblManoeuvre[],2,FALSE),"")</f>
        <v/>
      </c>
      <c r="AA26" s="61" t="str">
        <f t="shared" si="3"/>
        <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1</v>
      </c>
      <c r="AK26" s="61">
        <f>AJ26+IFERROR(INDEX($V$26:$V$38,MATCH(AI26,$E$26:$E$38,0)),0)</f>
        <v>1</v>
      </c>
    </row>
    <row r="27" spans="1:37">
      <c r="A27" s="1" t="s">
        <v>26</v>
      </c>
      <c r="B27" t="str">
        <f>REPT("●",IFERROR(INDEX($P$42:$P$69,MATCH(tblCharDataTegan[[#This Row],[Field]],$E$42:$E$69,0)),0))&amp;REPT("○",IFERROR(INDEX($V$42:$V$69,MATCH(tblCharDataTegan[[#This Row],[Field]],$E$42:$E$69,0)),0))&amp;IF(IFERROR(INDEX($W$42:$W$69,MATCH(tblCharDataTegan[[#This Row],[Field]],$E$42:$E$69,0)),0)=1,"†","")</f>
        <v>●</v>
      </c>
      <c r="D27" s="18"/>
      <c r="E27" s="15" t="s">
        <v>17</v>
      </c>
      <c r="F27" s="18"/>
      <c r="G27" s="3"/>
      <c r="H27" s="18"/>
      <c r="I27" s="18"/>
      <c r="L27" s="3">
        <v>1</v>
      </c>
      <c r="M27" s="60">
        <f>IF(E27=$F$24,2,1)</f>
        <v>1</v>
      </c>
      <c r="N27" s="3">
        <v>4</v>
      </c>
      <c r="O27" s="61">
        <f>ROUNDDOWN(N27/4,0)</f>
        <v>1</v>
      </c>
      <c r="P27" s="60">
        <f>MIN(SUM(L27,M27,O27),R27)</f>
        <v>3</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0</v>
      </c>
      <c r="AK27" s="61">
        <f>IF(AJ27=0,IF(COUNTIF($E$42:$E$49,AI27)&gt;0,-3,-1),AJ27)</f>
        <v>-1</v>
      </c>
    </row>
    <row r="28" spans="1:37">
      <c r="A28" s="1" t="s">
        <v>27</v>
      </c>
      <c r="B28" t="str">
        <f>REPT("●",IFERROR(INDEX($P$42:$P$69,MATCH(tblCharDataTegan[[#This Row],[Field]],$E$42:$E$69,0)),0))&amp;REPT("○",IFERROR(INDEX($V$42:$V$69,MATCH(tblCharDataTegan[[#This Row],[Field]],$E$42:$E$69,0)),0))&amp;IF(IFERROR(INDEX($W$42:$W$69,MATCH(tblCharDataTegan[[#This Row],[Field]],$E$42:$E$69,0)),0)=1,"†","")</f>
        <v>●</v>
      </c>
      <c r="D28" s="18"/>
      <c r="E28" s="15" t="s">
        <v>18</v>
      </c>
      <c r="F28" s="18"/>
      <c r="G28" s="3"/>
      <c r="H28" s="18"/>
      <c r="I28" s="18"/>
      <c r="L28" s="3">
        <v>2</v>
      </c>
      <c r="M28" s="60">
        <f>IF(E28=$F$24,2,1)</f>
        <v>1</v>
      </c>
      <c r="N28" s="3"/>
      <c r="O28" s="61">
        <f>ROUNDDOWN(N28/4,0)</f>
        <v>0</v>
      </c>
      <c r="P28" s="60">
        <f>MIN(SUM(L28,M28,O28),R28)</f>
        <v>3</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2</v>
      </c>
      <c r="AK28" s="61">
        <f>IF(AJ28=0,IF(COUNTIF($E$42:$E$49,AI28)&gt;0,-3,-1),AJ28)</f>
        <v>2</v>
      </c>
    </row>
    <row r="29" spans="1:37">
      <c r="A29" s="1" t="s">
        <v>28</v>
      </c>
      <c r="B29" t="str">
        <f>REPT("●",IFERROR(INDEX($P$42:$P$69,MATCH(tblCharDataTegan[[#This Row],[Field]],$E$42:$E$69,0)),0))&amp;REPT("○",IFERROR(INDEX($V$42:$V$69,MATCH(tblCharDataTegan[[#This Row],[Field]],$E$42:$E$69,0)),0))&amp;IF(IFERROR(INDEX($W$42:$W$69,MATCH(tblCharDataTegan[[#This Row],[Field]],$E$42:$E$69,0)),0)=1,"†","")</f>
        <v>●●</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0</v>
      </c>
      <c r="AK29" s="61">
        <f>IF(AJ29=0,IF(COUNTIF($E$42:$E$49,AI29)&gt;0,-3,-1),AJ29)</f>
        <v>-1</v>
      </c>
    </row>
    <row r="30" spans="1:37">
      <c r="A30" s="1" t="s">
        <v>29</v>
      </c>
      <c r="B30" t="str">
        <f>REPT("●",IFERROR(INDEX($P$42:$P$69,MATCH(tblCharDataTegan[[#This Row],[Field]],$E$42:$E$69,0)),0))&amp;REPT("○",IFERROR(INDEX($V$42:$V$69,MATCH(tblCharDataTegan[[#This Row],[Field]],$E$42:$E$69,0)),0))&amp;IF(IFERROR(INDEX($W$42:$W$69,MATCH(tblCharDataTegan[[#This Row],[Field]],$E$42:$E$69,0)),0)=1,"†","")</f>
        <v/>
      </c>
      <c r="D30" s="16" t="s">
        <v>1453</v>
      </c>
      <c r="E30" s="17"/>
      <c r="F30" s="17"/>
      <c r="G30" s="17" t="s">
        <v>1445</v>
      </c>
      <c r="H30" s="16" t="s">
        <v>1446</v>
      </c>
      <c r="I30" s="3" t="s">
        <v>1565</v>
      </c>
      <c r="L30" s="60">
        <f>IF(I30="",0,VLOOKUP(I30,tblPriority[#Data],2,FALSE))-SUM(L31:L33)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0</v>
      </c>
      <c r="AK30" s="61">
        <f>AJ30</f>
        <v>0</v>
      </c>
    </row>
    <row r="31" spans="1:37">
      <c r="A31" s="1" t="s">
        <v>30</v>
      </c>
      <c r="B31" t="str">
        <f>REPT("●",IFERROR(INDEX($P$42:$P$69,MATCH(tblCharDataTegan[[#This Row],[Field]],$E$42:$E$69,0)),0))&amp;REPT("○",IFERROR(INDEX($V$42:$V$69,MATCH(tblCharDataTegan[[#This Row],[Field]],$E$42:$E$69,0)),0))&amp;IF(IFERROR(INDEX($W$42:$W$69,MATCH(tblCharDataTegan[[#This Row],[Field]],$E$42:$E$69,0)),0)=1,"†","")</f>
        <v/>
      </c>
      <c r="D31" s="18"/>
      <c r="E31" s="15" t="s">
        <v>19</v>
      </c>
      <c r="F31" s="18"/>
      <c r="G31" s="3"/>
      <c r="H31" s="18"/>
      <c r="I31" s="18"/>
      <c r="L31" s="3">
        <v>2</v>
      </c>
      <c r="M31" s="60">
        <f>IF(E31=$F$24,2,1)</f>
        <v>1</v>
      </c>
      <c r="N31" s="3"/>
      <c r="O31" s="61">
        <f>ROUNDDOWN(N31/4,0)</f>
        <v>0</v>
      </c>
      <c r="P31" s="60">
        <f>MIN(SUM(L31,M31,O31),R31)</f>
        <v>3</v>
      </c>
      <c r="R31" s="61">
        <v>5</v>
      </c>
      <c r="U31" s="4"/>
      <c r="V31" s="61">
        <f>$P$174+U31</f>
        <v>0</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3</v>
      </c>
      <c r="AK31" s="61">
        <f>AJ31+IFERROR(INDEX($V$26:$V$38,MATCH(AI31,$E$26:$E$38,0)),0)</f>
        <v>3</v>
      </c>
    </row>
    <row r="32" spans="1:37">
      <c r="A32" s="1" t="s">
        <v>31</v>
      </c>
      <c r="B32" t="str">
        <f>REPT("●",IFERROR(INDEX($P$42:$P$69,MATCH(tblCharDataTegan[[#This Row],[Field]],$E$42:$E$69,0)),0))&amp;REPT("○",IFERROR(INDEX($V$42:$V$69,MATCH(tblCharDataTegan[[#This Row],[Field]],$E$42:$E$69,0)),0))&amp;IF(IFERROR(INDEX($W$42:$W$69,MATCH(tblCharDataTegan[[#This Row],[Field]],$E$42:$E$69,0)),0)=1,"†","")</f>
        <v/>
      </c>
      <c r="D32" s="18"/>
      <c r="E32" s="15" t="s">
        <v>20</v>
      </c>
      <c r="F32" s="18"/>
      <c r="G32" s="3"/>
      <c r="H32" s="18"/>
      <c r="I32" s="18"/>
      <c r="L32" s="3">
        <v>1</v>
      </c>
      <c r="M32" s="60">
        <f>IF(E32=$F$24,2,1)</f>
        <v>1</v>
      </c>
      <c r="N32" s="3"/>
      <c r="O32" s="61">
        <f>ROUNDDOWN(N32/4,0)</f>
        <v>0</v>
      </c>
      <c r="P32" s="60">
        <f>MIN(SUM(L32,M32,O32),R32)</f>
        <v>2</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REPT("●",IFERROR(INDEX($P$42:$P$69,MATCH(tblCharDataTegan[[#This Row],[Field]],$E$42:$E$69,0)),0))&amp;REPT("○",IFERROR(INDEX($V$42:$V$69,MATCH(tblCharDataTegan[[#This Row],[Field]],$E$42:$E$69,0)),0))&amp;IF(IFERROR(INDEX($W$42:$W$69,MATCH(tblCharDataTegan[[#This Row],[Field]],$E$42:$E$69,0)),0)=1,"†","")</f>
        <v/>
      </c>
      <c r="D33" s="18"/>
      <c r="E33" s="15" t="s">
        <v>21</v>
      </c>
      <c r="F33" s="18"/>
      <c r="G33" s="3"/>
      <c r="H33" s="18"/>
      <c r="I33" s="18"/>
      <c r="L33" s="3">
        <v>2</v>
      </c>
      <c r="M33" s="60">
        <f>IF(E33=$F$24,2,1)</f>
        <v>2</v>
      </c>
      <c r="N33" s="3"/>
      <c r="O33" s="61">
        <f>ROUNDDOWN(N33/4,0)</f>
        <v>0</v>
      </c>
      <c r="P33" s="60">
        <f>MIN(SUM(L33,M33,O33),R33)</f>
        <v>4</v>
      </c>
      <c r="R33" s="61">
        <v>5</v>
      </c>
      <c r="U33" s="4"/>
      <c r="V33" s="61">
        <f>$P$173+U33</f>
        <v>2</v>
      </c>
      <c r="Y33" s="15" t="s">
        <v>1457</v>
      </c>
      <c r="Z33" s="61" t="str">
        <f>IFERROR(VLOOKUP(AA33,tblManoeuvre[],2,FALSE),"")</f>
        <v/>
      </c>
      <c r="AA33" s="61" t="str">
        <f t="shared" si="3"/>
        <v/>
      </c>
      <c r="AI33" s="15" t="s">
        <v>241</v>
      </c>
      <c r="AJ33" s="61">
        <f t="shared" si="1"/>
        <v>0</v>
      </c>
      <c r="AK33" s="61">
        <f>AJ33</f>
        <v>0</v>
      </c>
    </row>
    <row r="34" spans="1:37">
      <c r="A34" s="1" t="s">
        <v>33</v>
      </c>
      <c r="B34" t="str">
        <f>REPT("●",IFERROR(INDEX($P$42:$P$69,MATCH(tblCharDataTegan[[#This Row],[Field]],$E$42:$E$69,0)),0))&amp;REPT("○",IFERROR(INDEX($V$42:$V$69,MATCH(tblCharDataTegan[[#This Row],[Field]],$E$42:$E$69,0)),0))&amp;IF(IFERROR(INDEX($W$42:$W$69,MATCH(tblCharDataTegan[[#This Row],[Field]],$E$42:$E$69,0)),0)=1,"†","")</f>
        <v>●</v>
      </c>
      <c r="Y34" s="15" t="s">
        <v>1458</v>
      </c>
      <c r="Z34" s="61" t="str">
        <f>IFERROR(VLOOKUP(AA34,tblManoeuvre[],2,FALSE),"")</f>
        <v/>
      </c>
      <c r="AA34" s="61" t="str">
        <f t="shared" si="3"/>
        <v/>
      </c>
      <c r="AI34" s="15" t="s">
        <v>242</v>
      </c>
      <c r="AJ34" s="61">
        <f t="shared" si="1"/>
        <v>0</v>
      </c>
      <c r="AK34" s="61">
        <f>AJ34</f>
        <v>0</v>
      </c>
    </row>
    <row r="35" spans="1:37">
      <c r="A35" s="1" t="s">
        <v>34</v>
      </c>
      <c r="B35" t="str">
        <f>REPT("●",IFERROR(INDEX($P$42:$P$69,MATCH(tblCharDataTegan[[#This Row],[Field]],$E$42:$E$69,0)),0))&amp;REPT("○",IFERROR(INDEX($V$42:$V$69,MATCH(tblCharDataTegan[[#This Row],[Field]],$E$42:$E$69,0)),0))&amp;IF(IFERROR(INDEX($W$42:$W$69,MATCH(tblCharDataTegan[[#This Row],[Field]],$E$42:$E$69,0)),0)=1,"†","")</f>
        <v>●●</v>
      </c>
      <c r="D35" s="16" t="s">
        <v>1459</v>
      </c>
      <c r="E35" s="17"/>
      <c r="F35" s="17"/>
      <c r="G35" s="17" t="s">
        <v>1445</v>
      </c>
      <c r="H35" s="16" t="s">
        <v>1446</v>
      </c>
      <c r="I35" s="3" t="s">
        <v>1567</v>
      </c>
      <c r="L35" s="60">
        <f>IF(I35="",0,VLOOKUP(I35,tblPriority[#Data],2,FALSE))-SUM(L36:L38)</f>
        <v>0</v>
      </c>
      <c r="Y35" s="15" t="s">
        <v>1460</v>
      </c>
      <c r="Z35" s="61" t="str">
        <f>IFERROR(VLOOKUP(AA35,tblManoeuvre[],2,FALSE),"")</f>
        <v/>
      </c>
      <c r="AA35" s="61" t="str">
        <f t="shared" si="3"/>
        <v/>
      </c>
      <c r="AI35" s="15" t="s">
        <v>30</v>
      </c>
      <c r="AJ35" s="61">
        <f t="shared" si="1"/>
        <v>0</v>
      </c>
      <c r="AK35" s="61">
        <f>IF(AJ35=0,IF(COUNTIF($E$42:$E$49,AI35)&gt;0,-3,-1),AJ35)</f>
        <v>-3</v>
      </c>
    </row>
    <row r="36" spans="1:37">
      <c r="A36" s="1" t="s">
        <v>35</v>
      </c>
      <c r="B36" t="str">
        <f>REPT("●",IFERROR(INDEX($P$42:$P$69,MATCH(tblCharDataTegan[[#This Row],[Field]],$E$42:$E$69,0)),0))&amp;REPT("○",IFERROR(INDEX($V$42:$V$69,MATCH(tblCharDataTegan[[#This Row],[Field]],$E$42:$E$69,0)),0))&amp;IF(IFERROR(INDEX($W$42:$W$69,MATCH(tblCharDataTegan[[#This Row],[Field]],$E$42:$E$69,0)),0)=1,"†","")</f>
        <v>●</v>
      </c>
      <c r="D36" s="18"/>
      <c r="E36" s="15" t="s">
        <v>22</v>
      </c>
      <c r="F36" s="18"/>
      <c r="G36" s="3"/>
      <c r="H36" s="18"/>
      <c r="I36" s="18"/>
      <c r="L36" s="3"/>
      <c r="M36" s="60">
        <f>IF(E36=$F$24,2,1)</f>
        <v>1</v>
      </c>
      <c r="N36" s="3">
        <v>4</v>
      </c>
      <c r="O36" s="61">
        <f>ROUNDDOWN(N36/4,0)</f>
        <v>1</v>
      </c>
      <c r="P36" s="60">
        <f>MIN(SUM(L36,M36,O36),R36)</f>
        <v>2</v>
      </c>
      <c r="R36" s="61">
        <v>5</v>
      </c>
      <c r="U36" s="4"/>
      <c r="V36" s="61">
        <f>U36</f>
        <v>0</v>
      </c>
      <c r="Y36" s="15" t="s">
        <v>1461</v>
      </c>
      <c r="Z36" s="61" t="str">
        <f>IFERROR(VLOOKUP(AA36,tblManoeuvre[],2,FALSE),"")</f>
        <v/>
      </c>
      <c r="AA36" s="61" t="str">
        <f t="shared" si="3"/>
        <v/>
      </c>
      <c r="AI36" s="15" t="s">
        <v>45</v>
      </c>
      <c r="AJ36" s="61">
        <f t="shared" si="1"/>
        <v>3</v>
      </c>
      <c r="AK36" s="61">
        <f>IF(AJ36=0,IF(COUNTIF($E$42:$E$49,AI36)&gt;0,-3,-1),AJ36)</f>
        <v>3</v>
      </c>
    </row>
    <row r="37" spans="1:37">
      <c r="A37" s="1" t="s">
        <v>36</v>
      </c>
      <c r="B37" t="str">
        <f>REPT("●",IFERROR(INDEX($P$42:$P$69,MATCH(tblCharDataTegan[[#This Row],[Field]],$E$42:$E$69,0)),0))&amp;REPT("○",IFERROR(INDEX($V$42:$V$69,MATCH(tblCharDataTegan[[#This Row],[Field]],$E$42:$E$69,0)),0))&amp;IF(IFERROR(INDEX($W$42:$W$69,MATCH(tblCharDataTegan[[#This Row],[Field]],$E$42:$E$69,0)),0)=1,"†","")</f>
        <v/>
      </c>
      <c r="D37" s="18"/>
      <c r="E37" s="15" t="s">
        <v>23</v>
      </c>
      <c r="F37" s="18"/>
      <c r="G37" s="3"/>
      <c r="H37" s="18"/>
      <c r="I37" s="18"/>
      <c r="L37" s="3">
        <v>2</v>
      </c>
      <c r="M37" s="60">
        <f>IF(E37=$F$24,2,1)</f>
        <v>1</v>
      </c>
      <c r="N37" s="3"/>
      <c r="O37" s="61">
        <f>ROUNDDOWN(N37/4,0)</f>
        <v>0</v>
      </c>
      <c r="P37" s="60">
        <f>MIN(SUM(L37,M37,O37),R37)</f>
        <v>3</v>
      </c>
      <c r="R37" s="61">
        <v>5</v>
      </c>
      <c r="U37" s="4"/>
      <c r="V37" s="61">
        <f>U37</f>
        <v>0</v>
      </c>
      <c r="Y37" s="15" t="s">
        <v>1462</v>
      </c>
      <c r="Z37" s="61" t="str">
        <f>IFERROR(VLOOKUP(AA37,tblManoeuvre[],2,FALSE),"")</f>
        <v/>
      </c>
      <c r="AA37" s="61" t="str">
        <f t="shared" si="3"/>
        <v/>
      </c>
      <c r="AI37" s="15" t="s">
        <v>31</v>
      </c>
      <c r="AJ37" s="61">
        <f t="shared" si="1"/>
        <v>0</v>
      </c>
      <c r="AK37" s="61">
        <f>IF(AJ37=0,IF(COUNTIF($E$42:$E$49,AI37)&gt;0,-3,-1),AJ37)</f>
        <v>-3</v>
      </c>
    </row>
    <row r="38" spans="1:37">
      <c r="A38" s="1" t="s">
        <v>37</v>
      </c>
      <c r="B38" t="str">
        <f>REPT("●",IFERROR(INDEX($P$42:$P$69,MATCH(tblCharDataTegan[[#This Row],[Field]],$E$42:$E$69,0)),0))&amp;REPT("○",IFERROR(INDEX($V$42:$V$69,MATCH(tblCharDataTegan[[#This Row],[Field]],$E$42:$E$69,0)),0))&amp;IF(IFERROR(INDEX($W$42:$W$69,MATCH(tblCharDataTegan[[#This Row],[Field]],$E$42:$E$69,0)),0)=1,"†","")</f>
        <v/>
      </c>
      <c r="D38" s="18"/>
      <c r="E38" s="15" t="s">
        <v>24</v>
      </c>
      <c r="F38" s="18"/>
      <c r="G38" s="3"/>
      <c r="H38" s="18"/>
      <c r="I38" s="18"/>
      <c r="L38" s="3">
        <v>2</v>
      </c>
      <c r="M38" s="60">
        <f>IF(E38=$F$24,2,1)</f>
        <v>1</v>
      </c>
      <c r="N38" s="3"/>
      <c r="O38" s="61">
        <f>ROUNDDOWN(N38/4,0)</f>
        <v>0</v>
      </c>
      <c r="P38" s="60">
        <f>MIN(SUM(L38,M38,O38),R38)</f>
        <v>3</v>
      </c>
      <c r="R38" s="61">
        <v>5</v>
      </c>
      <c r="U38" s="4"/>
      <c r="V38" s="61">
        <f>U38</f>
        <v>0</v>
      </c>
      <c r="Y38" s="15" t="s">
        <v>1463</v>
      </c>
      <c r="Z38" s="61" t="str">
        <f>IFERROR(VLOOKUP(AA38,tblManoeuvre[],2,FALSE),"")</f>
        <v/>
      </c>
      <c r="AA38" s="61" t="str">
        <f t="shared" si="3"/>
        <v/>
      </c>
      <c r="AI38" s="15" t="s">
        <v>22</v>
      </c>
      <c r="AJ38" s="61">
        <f t="shared" si="1"/>
        <v>2</v>
      </c>
      <c r="AK38" s="61">
        <f>AJ38+IFERROR(INDEX($V$26:$V$38,MATCH(AI38,$E$26:$E$38,0)),0)</f>
        <v>2</v>
      </c>
    </row>
    <row r="39" spans="1:37">
      <c r="A39" s="1" t="s">
        <v>38</v>
      </c>
      <c r="B39" t="str">
        <f>REPT("●",IFERROR(INDEX($P$42:$P$69,MATCH(tblCharDataTegan[[#This Row],[Field]],$E$42:$E$69,0)),0))&amp;REPT("○",IFERROR(INDEX($V$42:$V$69,MATCH(tblCharDataTegan[[#This Row],[Field]],$E$42:$E$69,0)),0))&amp;IF(IFERROR(INDEX($W$42:$W$69,MATCH(tblCharDataTegan[[#This Row],[Field]],$E$42:$E$69,0)),0)=1,"†","")</f>
        <v>●</v>
      </c>
      <c r="Y39" s="15" t="s">
        <v>1464</v>
      </c>
      <c r="Z39" s="61" t="str">
        <f>IFERROR(VLOOKUP(AA39,tblManoeuvre[],2,FALSE),"")</f>
        <v/>
      </c>
      <c r="AA39" s="61" t="str">
        <f t="shared" si="3"/>
        <v/>
      </c>
      <c r="AI39" s="15" t="s">
        <v>243</v>
      </c>
      <c r="AJ39" s="61">
        <f t="shared" si="1"/>
        <v>2</v>
      </c>
      <c r="AK39" s="61">
        <f>AJ39</f>
        <v>2</v>
      </c>
    </row>
    <row r="40" spans="1:37" ht="15.75" thickBot="1">
      <c r="A40" s="1" t="s">
        <v>39</v>
      </c>
      <c r="B40" t="str">
        <f>REPT("●",IFERROR(INDEX($P$42:$P$69,MATCH(tblCharDataTegan[[#This Row],[Field]],$E$42:$E$69,0)),0))&amp;REPT("○",IFERROR(INDEX($V$42:$V$69,MATCH(tblCharDataTegan[[#This Row],[Field]],$E$42:$E$69,0)),0))&amp;IF(IFERROR(INDEX($W$42:$W$69,MATCH(tblCharDataTegan[[#This Row],[Field]],$E$42:$E$69,0)),0)=1,"†","")</f>
        <v>●●</v>
      </c>
      <c r="D40" s="14" t="s">
        <v>1465</v>
      </c>
      <c r="E40" s="14"/>
      <c r="F40" s="14"/>
      <c r="G40" s="14"/>
      <c r="H40" s="14"/>
      <c r="I40" s="14"/>
      <c r="N40" s="60">
        <f>SUM(N42:N49,N52:N59,N62:N69)</f>
        <v>2</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1"/>
        <v>0</v>
      </c>
      <c r="AK40" s="61">
        <f>AJ40</f>
        <v>0</v>
      </c>
    </row>
    <row r="41" spans="1:37">
      <c r="A41" s="1" t="s">
        <v>40</v>
      </c>
      <c r="B41" t="str">
        <f>REPT("●",IFERROR(INDEX($P$42:$P$69,MATCH(tblCharDataTegan[[#This Row],[Field]],$E$42:$E$69,0)),0))&amp;REPT("○",IFERROR(INDEX($V$42:$V$69,MATCH(tblCharDataTegan[[#This Row],[Field]],$E$42:$E$69,0)),0))&amp;IF(IFERROR(INDEX($W$42:$W$69,MATCH(tblCharDataTegan[[#This Row],[Field]],$E$42:$E$69,0)),0)=1,"†","")</f>
        <v/>
      </c>
      <c r="D41" s="16" t="s">
        <v>1444</v>
      </c>
      <c r="E41" s="17"/>
      <c r="F41" s="17"/>
      <c r="G41" s="17" t="s">
        <v>1467</v>
      </c>
      <c r="H41" s="16" t="s">
        <v>1446</v>
      </c>
      <c r="I41" s="3" t="s">
        <v>1566</v>
      </c>
      <c r="L41" s="60">
        <f>IF(I41="",0,VLOOKUP(I41,tblPriority[#Data],3,FALSE))-SUM(L42:L49)</f>
        <v>0</v>
      </c>
      <c r="T41" s="60">
        <f>MAX(3+IF(P161&gt;=3,2,0)-SUM(T42:T49,T52:T59,T62:T69),0)</f>
        <v>3</v>
      </c>
      <c r="Y41" s="15" t="s">
        <v>1468</v>
      </c>
      <c r="Z41" s="61" t="str">
        <f>IFERROR(VLOOKUP(AA41,tblManoeuvre[],2,FALSE),"")</f>
        <v/>
      </c>
      <c r="AA41" s="61" t="str">
        <f t="shared" si="3"/>
        <v/>
      </c>
      <c r="AI41" s="15" t="s">
        <v>244</v>
      </c>
      <c r="AJ41" s="61">
        <f t="shared" si="1"/>
        <v>2</v>
      </c>
      <c r="AK41" s="61">
        <f>AJ41</f>
        <v>2</v>
      </c>
    </row>
    <row r="42" spans="1:37">
      <c r="A42" s="1" t="s">
        <v>41</v>
      </c>
      <c r="B42" t="str">
        <f>REPT("●",IFERROR(INDEX($P$42:$P$69,MATCH(tblCharDataTegan[[#This Row],[Field]],$E$42:$E$69,0)),0))&amp;REPT("○",IFERROR(INDEX($V$42:$V$69,MATCH(tblCharDataTegan[[#This Row],[Field]],$E$42:$E$69,0)),0))&amp;IF(IFERROR(INDEX($W$42:$W$69,MATCH(tblCharDataTegan[[#This Row],[Field]],$E$42:$E$69,0)),0)=1,"†","")</f>
        <v>●●</v>
      </c>
      <c r="D42" s="18"/>
      <c r="E42" s="15" t="s">
        <v>25</v>
      </c>
      <c r="F42" s="18"/>
      <c r="G42" s="3"/>
      <c r="H42" s="18"/>
      <c r="I42" s="18"/>
      <c r="L42" s="4"/>
      <c r="M42" s="60"/>
      <c r="N42" s="4"/>
      <c r="O42" s="61">
        <f>ROUNDDOWN(N42/2,0)</f>
        <v>0</v>
      </c>
      <c r="P42" s="60">
        <f t="shared" ref="P42:P49" si="4">MIN(SUM(L42,M42,O42),R42)</f>
        <v>0</v>
      </c>
      <c r="R42" s="61">
        <v>5</v>
      </c>
      <c r="T42" s="4"/>
      <c r="U42" s="4"/>
      <c r="V42" s="61">
        <f t="shared" ref="V42:V49" si="5">U42</f>
        <v>0</v>
      </c>
      <c r="W42" s="4"/>
      <c r="AI42" s="15" t="s">
        <v>18</v>
      </c>
      <c r="AJ42" s="61">
        <f t="shared" si="1"/>
        <v>3</v>
      </c>
      <c r="AK42" s="61">
        <f>AJ42+IFERROR(INDEX($V$26:$V$38,MATCH(AI42,$E$26:$E$38,0)),0)</f>
        <v>3</v>
      </c>
    </row>
    <row r="43" spans="1:37">
      <c r="A43" s="1" t="s">
        <v>42</v>
      </c>
      <c r="B43" t="str">
        <f>REPT("●",IFERROR(INDEX($P$42:$P$69,MATCH(tblCharDataTegan[[#This Row],[Field]],$E$42:$E$69,0)),0))&amp;REPT("○",IFERROR(INDEX($V$42:$V$69,MATCH(tblCharDataTegan[[#This Row],[Field]],$E$42:$E$69,0)),0))&amp;IF(IFERROR(INDEX($W$42:$W$69,MATCH(tblCharDataTegan[[#This Row],[Field]],$E$42:$E$69,0)),0)=1,"†","")</f>
        <v>●</v>
      </c>
      <c r="D43" s="18"/>
      <c r="E43" s="15" t="s">
        <v>26</v>
      </c>
      <c r="F43" s="18"/>
      <c r="G43" s="3"/>
      <c r="H43" s="18"/>
      <c r="I43" s="18"/>
      <c r="L43" s="4">
        <v>1</v>
      </c>
      <c r="M43" s="60"/>
      <c r="N43" s="4"/>
      <c r="O43" s="61">
        <f t="shared" ref="O43:O49" si="6">ROUNDDOWN(N43/2,0)</f>
        <v>0</v>
      </c>
      <c r="P43" s="60">
        <f t="shared" si="4"/>
        <v>1</v>
      </c>
      <c r="R43" s="61">
        <v>5</v>
      </c>
      <c r="T43" s="4"/>
      <c r="U43" s="4"/>
      <c r="V43" s="61">
        <f t="shared" si="5"/>
        <v>0</v>
      </c>
      <c r="W43" s="4"/>
      <c r="AI43" s="15" t="s">
        <v>32</v>
      </c>
      <c r="AJ43" s="61">
        <f t="shared" si="1"/>
        <v>0</v>
      </c>
      <c r="AK43" s="61">
        <f>IF(AJ43=0,IF(COUNTIF($E$42:$E$49,AI43)&gt;0,-3,-1),AJ43)</f>
        <v>-3</v>
      </c>
    </row>
    <row r="44" spans="1:37">
      <c r="A44" s="1" t="s">
        <v>43</v>
      </c>
      <c r="B44" t="str">
        <f>REPT("●",IFERROR(INDEX($P$42:$P$69,MATCH(tblCharDataTegan[[#This Row],[Field]],$E$42:$E$69,0)),0))&amp;REPT("○",IFERROR(INDEX($V$42:$V$69,MATCH(tblCharDataTegan[[#This Row],[Field]],$E$42:$E$69,0)),0))&amp;IF(IFERROR(INDEX($W$42:$W$69,MATCH(tblCharDataTegan[[#This Row],[Field]],$E$42:$E$69,0)),0)=1,"†","")</f>
        <v>●●</v>
      </c>
      <c r="D44" s="18"/>
      <c r="E44" s="15" t="s">
        <v>27</v>
      </c>
      <c r="F44" s="18"/>
      <c r="G44" s="3"/>
      <c r="H44" s="18"/>
      <c r="I44" s="18"/>
      <c r="L44" s="4">
        <v>1</v>
      </c>
      <c r="M44" s="60"/>
      <c r="N44" s="4"/>
      <c r="O44" s="61">
        <f t="shared" si="6"/>
        <v>0</v>
      </c>
      <c r="P44" s="60">
        <f t="shared" si="4"/>
        <v>1</v>
      </c>
      <c r="R44" s="61">
        <v>5</v>
      </c>
      <c r="T44" s="4"/>
      <c r="U44" s="4"/>
      <c r="V44" s="61">
        <f t="shared" si="5"/>
        <v>0</v>
      </c>
      <c r="W44" s="4"/>
      <c r="Y44" s="15">
        <v>1</v>
      </c>
      <c r="Z44" s="61" t="s">
        <v>236</v>
      </c>
      <c r="AA44" s="60" t="str" cm="1">
        <f t="array" ref="AA44">IF(OR(Y44=0,Y44=""),"",IF(VLOOKUP(Z44,$AI$1:$AJ$58,2,FALSE)&gt;=Y44,INDEX(tblDisciplines[Name],MATCH(1,(tblDisciplines[Discipline]=Z44)*(tblDisciplines[Rank]=Y44),0)),""))</f>
        <v>Feral Whispers</v>
      </c>
      <c r="AC44" s="60" t="str" cm="1">
        <f t="array" ref="AC44:AC48">IFERROR(_xlfn.VSTACK(IFERROR(_xlfn._xlws.FILTER(AA44:AA121,AA44:AA121&lt;&gt;""),""),IFERROR(_xlfn._xlws.SORT(_xlfn._xlws.FILTER(AA123:AA132,AA123:AA132&lt;&gt;"")),"")),"")</f>
        <v>Feral Whispers</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Animalism ● | Feral Whispers</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  •  Pool: 6  •  Instant  •  Scene (may persist)</v>
      </c>
      <c r="AF44" s="20" t="str">
        <f>IF(AC44="","",IFERROR(VLOOKUP(AC44,tblDisciplines[],12,FALSE),VLOOKUP(AC44,tblPacts[],5,FALSE)))</f>
        <v>Speak with and command animals.</v>
      </c>
      <c r="AI44" s="15" t="s">
        <v>353</v>
      </c>
      <c r="AJ44" s="61">
        <f t="shared" si="1"/>
        <v>5</v>
      </c>
      <c r="AK44" s="61">
        <f>AJ44</f>
        <v>5</v>
      </c>
    </row>
    <row r="45" spans="1:37">
      <c r="A45" s="1" t="s">
        <v>44</v>
      </c>
      <c r="B45" t="str">
        <f>REPT("●",IFERROR(INDEX($P$42:$P$69,MATCH(tblCharDataTegan[[#This Row],[Field]],$E$42:$E$69,0)),0))&amp;REPT("○",IFERROR(INDEX($V$42:$V$69,MATCH(tblCharDataTegan[[#This Row],[Field]],$E$42:$E$69,0)),0))&amp;IF(IFERROR(INDEX($W$42:$W$69,MATCH(tblCharDataTegan[[#This Row],[Field]],$E$42:$E$69,0)),0)=1,"†","")</f>
        <v/>
      </c>
      <c r="D45" s="18"/>
      <c r="E45" s="15" t="s">
        <v>28</v>
      </c>
      <c r="F45" s="18"/>
      <c r="G45" s="3"/>
      <c r="H45" s="18"/>
      <c r="I45" s="18"/>
      <c r="L45" s="4">
        <v>2</v>
      </c>
      <c r="M45" s="60"/>
      <c r="N45" s="4"/>
      <c r="O45" s="61">
        <f t="shared" si="6"/>
        <v>0</v>
      </c>
      <c r="P45" s="60">
        <f t="shared" si="4"/>
        <v>2</v>
      </c>
      <c r="R45" s="61">
        <v>5</v>
      </c>
      <c r="T45" s="4"/>
      <c r="U45" s="4"/>
      <c r="V45" s="61">
        <f t="shared" si="5"/>
        <v>0</v>
      </c>
      <c r="W45" s="4"/>
      <c r="Y45" s="15">
        <v>2</v>
      </c>
      <c r="Z45" s="61" t="s">
        <v>236</v>
      </c>
      <c r="AA45" s="60" t="str" cm="1">
        <f t="array" ref="AA45">IF(OR(Y45=0,Y45=""),"",IF(VLOOKUP(Z45,$AI$1:$AJ$58,2,FALSE)&gt;=Y45,INDEX(tblDisciplines[Name],MATCH(1,(tblDisciplines[Discipline]=Z45)*(tblDisciplines[Rank]=Y45),0)),""))</f>
        <v/>
      </c>
      <c r="AC45" s="60" t="str">
        <v>Unmarked Grave</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Protean ● | Unmarked Grave</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Varies  •  Pool: -  •  Instant  •  Indefinite</v>
      </c>
      <c r="AF45" s="20" t="str">
        <f>IF(AC45="","",IFERROR(VLOOKUP(AC45,tblDisciplines[],12,FALSE),VLOOKUP(AC45,tblPacts[],5,FALSE)))</f>
        <v>Merge with soil.</v>
      </c>
      <c r="AI45" s="15" t="s">
        <v>46</v>
      </c>
      <c r="AJ45" s="61">
        <f t="shared" si="1"/>
        <v>1</v>
      </c>
      <c r="AK45" s="61">
        <f>IF(AJ45=0,IF(COUNTIF($E$42:$E$49,AI45)&gt;0,-3,-1),AJ45)</f>
        <v>1</v>
      </c>
    </row>
    <row r="46" spans="1:37">
      <c r="A46" s="1" t="s">
        <v>45</v>
      </c>
      <c r="B46" t="str">
        <f>REPT("●",IFERROR(INDEX($P$42:$P$69,MATCH(tblCharDataTegan[[#This Row],[Field]],$E$42:$E$69,0)),0))&amp;REPT("○",IFERROR(INDEX($V$42:$V$69,MATCH(tblCharDataTegan[[#This Row],[Field]],$E$42:$E$69,0)),0))&amp;IF(IFERROR(INDEX($W$42:$W$69,MATCH(tblCharDataTegan[[#This Row],[Field]],$E$42:$E$69,0)),0)=1,"†","")</f>
        <v>●●●</v>
      </c>
      <c r="D46" s="18"/>
      <c r="E46" s="15" t="s">
        <v>29</v>
      </c>
      <c r="F46" s="18"/>
      <c r="G46" s="3"/>
      <c r="H46" s="18"/>
      <c r="I46" s="18"/>
      <c r="L46" s="4"/>
      <c r="M46" s="60"/>
      <c r="N46" s="4"/>
      <c r="O46" s="61">
        <f t="shared" si="6"/>
        <v>0</v>
      </c>
      <c r="P46" s="60">
        <f t="shared" si="4"/>
        <v>0</v>
      </c>
      <c r="R46" s="61">
        <v>5</v>
      </c>
      <c r="T46" s="4"/>
      <c r="U46" s="4"/>
      <c r="V46" s="61">
        <f t="shared" si="5"/>
        <v>0</v>
      </c>
      <c r="W46" s="4"/>
      <c r="Y46" s="15">
        <v>3</v>
      </c>
      <c r="Z46" s="61" t="s">
        <v>236</v>
      </c>
      <c r="AA46" s="60" t="str" cm="1">
        <f t="array" ref="AA46">IF(OR(Y46=0,Y46=""),"",IF(VLOOKUP(Z46,$AI$1:$AJ$58,2,FALSE)&gt;=Y46,INDEX(tblDisciplines[Name],MATCH(1,(tblDisciplines[Discipline]=Z46)*(tblDisciplines[Rank]=Y46),0)),""))</f>
        <v/>
      </c>
      <c r="AC46" s="60" t="str">
        <v>Predatory Aspect</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Protean ●● | Predatory Aspect</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1 V  •  Pool: -  •  Instant  •  Scene</v>
      </c>
      <c r="AF46" s="20" t="str">
        <f>IF(AC46="","",IFERROR(VLOOKUP(AC46,tblDisciplines[],12,FALSE),VLOOKUP(AC46,tblPacts[],5,FALSE)))</f>
        <v>Take on animal traits.</v>
      </c>
      <c r="AI46" s="15" t="s">
        <v>354</v>
      </c>
      <c r="AJ46" s="61">
        <f t="shared" ca="1" si="1"/>
        <v>10</v>
      </c>
      <c r="AK46" s="61">
        <f ca="1">AJ46</f>
        <v>10</v>
      </c>
    </row>
    <row r="47" spans="1:37">
      <c r="A47" s="1" t="s">
        <v>46</v>
      </c>
      <c r="B47" t="str">
        <f>REPT("●",IFERROR(INDEX($P$42:$P$69,MATCH(tblCharDataTegan[[#This Row],[Field]],$E$42:$E$69,0)),0))&amp;REPT("○",IFERROR(INDEX($V$42:$V$69,MATCH(tblCharDataTegan[[#This Row],[Field]],$E$42:$E$69,0)),0))&amp;IF(IFERROR(INDEX($W$42:$W$69,MATCH(tblCharDataTegan[[#This Row],[Field]],$E$42:$E$69,0)),0)=1,"†","")</f>
        <v>●</v>
      </c>
      <c r="D47" s="18"/>
      <c r="E47" s="15" t="s">
        <v>30</v>
      </c>
      <c r="F47" s="18"/>
      <c r="G47" s="3"/>
      <c r="H47" s="18"/>
      <c r="I47" s="18"/>
      <c r="L47" s="4"/>
      <c r="M47" s="60"/>
      <c r="N47" s="4"/>
      <c r="O47" s="61">
        <f t="shared" si="6"/>
        <v>0</v>
      </c>
      <c r="P47" s="60">
        <f t="shared" si="4"/>
        <v>0</v>
      </c>
      <c r="R47" s="61">
        <v>5</v>
      </c>
      <c r="T47" s="4"/>
      <c r="U47" s="4"/>
      <c r="V47" s="61">
        <f t="shared" si="5"/>
        <v>0</v>
      </c>
      <c r="W47" s="4"/>
      <c r="Y47" s="15">
        <v>4</v>
      </c>
      <c r="Z47" s="61" t="s">
        <v>236</v>
      </c>
      <c r="AA47" s="60" t="str" cm="1">
        <f t="array" ref="AA47">IF(OR(Y47=0,Y47=""),"",IF(VLOOKUP(Z47,$AI$1:$AJ$58,2,FALSE)&gt;=Y47,INDEX(tblDisciplines[Name],MATCH(1,(tblDisciplines[Discipline]=Z47)*(tblDisciplines[Rank]=Y47),0)),""))</f>
        <v/>
      </c>
      <c r="AC47" s="60" t="str">
        <v>Resilience 2</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Resilience ●●</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Cost: 1 V per effect  •  Pool: -  •  Reflexive  •  1 turn</v>
      </c>
      <c r="AF47" s="20" t="str">
        <f>IF(AC47="","",IFERROR(VLOOKUP(AC47,tblDisciplines[],12,FALSE),VLOOKUP(AC47,tblPacts[],5,FALSE)))</f>
        <v>Downgrade damage and increase Stamina. Improve Armour and Defences. Unnatural Fortitude: add Resilience dots as bonus dice to non-combat Stamina pools.</v>
      </c>
      <c r="AI47" s="15" t="s">
        <v>21</v>
      </c>
      <c r="AJ47" s="61">
        <f t="shared" si="1"/>
        <v>4</v>
      </c>
      <c r="AK47" s="61">
        <f>AJ47+IFERROR(INDEX($V$26:$V$38,MATCH(AI47,$E$26:$E$38,0)),0)</f>
        <v>6</v>
      </c>
    </row>
    <row r="48" spans="1:37">
      <c r="A48" s="1" t="s">
        <v>47</v>
      </c>
      <c r="B48" t="str">
        <f>REPT("●",IFERROR(INDEX($P$42:$P$69,MATCH(tblCharDataTegan[[#This Row],[Field]],$E$42:$E$69,0)),0))&amp;REPT("○",IFERROR(INDEX($V$42:$V$69,MATCH(tblCharDataTegan[[#This Row],[Field]],$E$42:$E$69,0)),0))&amp;IF(IFERROR(INDEX($W$42:$W$69,MATCH(tblCharDataTegan[[#This Row],[Field]],$E$42:$E$69,0)),0)=1,"†","")</f>
        <v>●</v>
      </c>
      <c r="D48" s="18"/>
      <c r="E48" s="15" t="s">
        <v>31</v>
      </c>
      <c r="F48" s="18"/>
      <c r="G48" s="3"/>
      <c r="H48" s="18"/>
      <c r="I48" s="18"/>
      <c r="L48" s="4"/>
      <c r="M48" s="60"/>
      <c r="N48" s="4"/>
      <c r="O48" s="61">
        <f t="shared" si="6"/>
        <v>0</v>
      </c>
      <c r="P48" s="60">
        <f t="shared" si="4"/>
        <v>0</v>
      </c>
      <c r="R48" s="61">
        <v>5</v>
      </c>
      <c r="T48" s="4"/>
      <c r="U48" s="4"/>
      <c r="V48" s="61">
        <f t="shared" si="5"/>
        <v>0</v>
      </c>
      <c r="W48" s="4"/>
      <c r="Y48" s="15">
        <v>5</v>
      </c>
      <c r="Z48" s="61" t="s">
        <v>236</v>
      </c>
      <c r="AA48" s="60" t="str" cm="1">
        <f t="array" ref="AA48">IF(OR(Y48=0,Y48=""),"",IF(VLOOKUP(Z48,$AI$1:$AJ$58,2,FALSE)&gt;=Y48,INDEX(tblDisciplines[Name],MATCH(1,(tblDisciplines[Discipline]=Z48)*(tblDisciplines[Rank]=Y48),0)),""))</f>
        <v/>
      </c>
      <c r="AC48" s="60" t="str">
        <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
      </c>
      <c r="AF48" s="20" t="str">
        <f>IF(AC48="","",IFERROR(VLOOKUP(AC48,tblDisciplines[],12,FALSE),VLOOKUP(AC48,tblPacts[],5,FALSE)))</f>
        <v/>
      </c>
      <c r="AI48" s="15" t="s">
        <v>38</v>
      </c>
      <c r="AJ48" s="61">
        <f t="shared" si="1"/>
        <v>1</v>
      </c>
      <c r="AK48" s="61">
        <f>IF(AJ48=0,IF(COUNTIF($E$42:$E$49,AI48)&gt;0,-3,-1),AJ48)</f>
        <v>1</v>
      </c>
    </row>
    <row r="49" spans="1:37">
      <c r="A49" s="1" t="s">
        <v>48</v>
      </c>
      <c r="B49" t="str">
        <f>REPT("●",IFERROR(INDEX($P$42:$P$69,MATCH(tblCharDataTegan[[#This Row],[Field]],$E$42:$E$69,0)),0))&amp;REPT("○",IFERROR(INDEX($V$42:$V$69,MATCH(tblCharDataTegan[[#This Row],[Field]],$E$42:$E$69,0)),0))&amp;IF(IFERROR(INDEX($W$42:$W$69,MATCH(tblCharDataTegan[[#This Row],[Field]],$E$42:$E$69,0)),0)=1,"†","")</f>
        <v>●●</v>
      </c>
      <c r="D49" s="18"/>
      <c r="E49" s="15" t="s">
        <v>32</v>
      </c>
      <c r="F49" s="18"/>
      <c r="G49" s="3"/>
      <c r="H49" s="18"/>
      <c r="I49" s="18"/>
      <c r="L49" s="4"/>
      <c r="M49" s="60"/>
      <c r="N49" s="4"/>
      <c r="O49" s="61">
        <f t="shared" si="6"/>
        <v>0</v>
      </c>
      <c r="P49" s="60">
        <f t="shared" si="4"/>
        <v>0</v>
      </c>
      <c r="R49" s="61">
        <v>5</v>
      </c>
      <c r="T49" s="4"/>
      <c r="U49" s="4"/>
      <c r="V49" s="61">
        <f t="shared" si="5"/>
        <v>0</v>
      </c>
      <c r="W49" s="4"/>
      <c r="Y49" s="15">
        <v>1</v>
      </c>
      <c r="Z49" s="61" t="s">
        <v>237</v>
      </c>
      <c r="AA49" s="60" t="str" cm="1">
        <f t="array" ref="AA49">IF(OR(Y49=0,Y49=""),"",IF(VLOOKUP(Z49,$AI$1:$AJ$58,2,FALSE)&gt;=Y49,INDEX(tblDisciplines[Name],MATCH(1,(tblDisciplines[Discipline]=Z49)*(tblDisciplines[Rank]=Y49),0)),""))</f>
        <v/>
      </c>
      <c r="AC49" s="60"/>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
      </c>
      <c r="AF49" s="20" t="str">
        <f>IF(AC49="","",IFERROR(VLOOKUP(AC49,tblDisciplines[],12,FALSE),VLOOKUP(AC49,tblPacts[],5,FALSE)))</f>
        <v/>
      </c>
      <c r="AI49" s="15" t="s">
        <v>47</v>
      </c>
      <c r="AJ49" s="61">
        <f t="shared" si="1"/>
        <v>1</v>
      </c>
      <c r="AK49" s="61">
        <f>IF(AJ49=0,IF(COUNTIF($E$42:$E$49,AI49)&gt;0,-3,-1),AJ49)</f>
        <v>1</v>
      </c>
    </row>
    <row r="50" spans="1:37">
      <c r="A50" s="1" t="s">
        <v>49</v>
      </c>
      <c r="B50" t="str">
        <f ca="1">REPT("●",VLOOKUP(tblCharDataTegan[[#This Row],[Field]],INDIRECT($AH$1),2,FALSE)) &amp; REPT("○",10-VLOOKUP(tblCharDataTegan[[#This Row],[Field]],INDIRECT($AH$1),2,FALSE)) &amp; REPT("○",10-VLOOKUP(tblCharDataTegan[[#This Row],[Field]],INDIRECT($AH$1),2,FALSE))</f>
        <v>●○○○○○○○○○○○○○○○○○○</v>
      </c>
      <c r="Y50" s="15">
        <v>2</v>
      </c>
      <c r="Z50" s="61" t="s">
        <v>237</v>
      </c>
      <c r="AA50" s="60" t="str" cm="1">
        <f t="array" ref="AA50">IF(OR(Y50=0,Y50=""),"",IF(VLOOKUP(Z50,$AI$1:$AJ$58,2,FALSE)&gt;=Y50,INDEX(tblDisciplines[Name],MATCH(1,(tblDisciplines[Discipline]=Z50)*(tblDisciplines[Rank]=Y50),0)),""))</f>
        <v/>
      </c>
      <c r="AC50" s="60"/>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
      </c>
      <c r="AF50" s="20" t="str">
        <f>IF(AC50="","",IFERROR(VLOOKUP(AC50,tblDisciplines[],12,FALSE),VLOOKUP(AC50,tblPacts[],5,FALSE)))</f>
        <v/>
      </c>
      <c r="AI50" s="15" t="s">
        <v>19</v>
      </c>
      <c r="AJ50" s="61">
        <f t="shared" si="1"/>
        <v>3</v>
      </c>
      <c r="AK50" s="61">
        <f>AJ50+IFERROR(INDEX($V$26:$V$38,MATCH(AI50,$E$26:$E$38,0)),0)</f>
        <v>3</v>
      </c>
    </row>
    <row r="51" spans="1:37">
      <c r="A51" s="1" t="s">
        <v>50</v>
      </c>
      <c r="B51">
        <f>P72</f>
        <v>1</v>
      </c>
      <c r="D51" s="16" t="s">
        <v>1453</v>
      </c>
      <c r="E51" s="17"/>
      <c r="F51" s="17"/>
      <c r="G51" s="17" t="s">
        <v>1467</v>
      </c>
      <c r="H51" s="16" t="s">
        <v>1446</v>
      </c>
      <c r="I51" s="3" t="s">
        <v>1567</v>
      </c>
      <c r="L51" s="60">
        <f>IF(I51="",0,VLOOKUP(I51,tblPriority[#Data],3,FALSE))-SUM(L52:L59)</f>
        <v>0</v>
      </c>
      <c r="Y51" s="15">
        <v>3</v>
      </c>
      <c r="Z51" s="61" t="s">
        <v>237</v>
      </c>
      <c r="AA51" s="60" t="str" cm="1">
        <f t="array" ref="AA51">IF(OR(Y51=0,Y51=""),"",IF(VLOOKUP(Z51,$AI$1:$AJ$58,2,FALSE)&gt;=Y51,INDEX(tblDisciplines[Name],MATCH(1,(tblDisciplines[Discipline]=Z51)*(tblDisciplines[Rank]=Y51),0)),""))</f>
        <v/>
      </c>
      <c r="AC51" s="60"/>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
      </c>
      <c r="AF51" s="20" t="str">
        <f>IF(AC51="","",IFERROR(VLOOKUP(AC51,tblDisciplines[],12,FALSE),VLOOKUP(AC51,tblPacts[],5,FALSE)))</f>
        <v/>
      </c>
      <c r="AI51" s="15" t="s">
        <v>48</v>
      </c>
      <c r="AJ51" s="61">
        <f t="shared" si="1"/>
        <v>2</v>
      </c>
      <c r="AK51" s="61">
        <f>IF(AJ51=0,IF(COUNTIF($E$42:$E$49,AI51)&gt;0,-3,-1),AJ51)</f>
        <v>2</v>
      </c>
    </row>
    <row r="52" spans="1:37">
      <c r="A52" s="1" t="s">
        <v>51</v>
      </c>
      <c r="B52" t="str">
        <f>_xlfn.IFNA(VLOOKUP(P72,tblBloodPotency[#Data],5,FALSE),"")</f>
        <v/>
      </c>
      <c r="D52" s="18"/>
      <c r="E52" s="15" t="s">
        <v>33</v>
      </c>
      <c r="F52" s="18"/>
      <c r="G52" s="3"/>
      <c r="H52" s="18"/>
      <c r="I52" s="18"/>
      <c r="L52" s="4">
        <v>1</v>
      </c>
      <c r="M52" s="60"/>
      <c r="N52" s="4"/>
      <c r="O52" s="61">
        <f>ROUNDDOWN(N52/2,0)</f>
        <v>0</v>
      </c>
      <c r="P52" s="60">
        <f t="shared" ref="P52:P59" si="7">MIN(SUM(L52,M52,O52),R52)</f>
        <v>1</v>
      </c>
      <c r="R52" s="61">
        <v>5</v>
      </c>
      <c r="T52" s="4"/>
      <c r="U52" s="4"/>
      <c r="V52" s="61">
        <f t="shared" ref="V52:V59" si="8">U52</f>
        <v>0</v>
      </c>
      <c r="W52" s="4"/>
      <c r="Y52" s="15">
        <v>4</v>
      </c>
      <c r="Z52" s="61" t="s">
        <v>237</v>
      </c>
      <c r="AA52" s="60" t="str" cm="1">
        <f t="array" ref="AA52">IF(OR(Y52=0,Y52=""),"",IF(VLOOKUP(Z52,$AI$1:$AJ$58,2,FALSE)&gt;=Y52,INDEX(tblDisciplines[Name],MATCH(1,(tblDisciplines[Discipline]=Z52)*(tblDisciplines[Rank]=Y52),0)),""))</f>
        <v/>
      </c>
      <c r="AC52" s="60"/>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
      </c>
      <c r="AF52" s="20" t="str">
        <f>IF(AC52="","",IFERROR(VLOOKUP(AC52,tblDisciplines[],12,FALSE),VLOOKUP(AC52,tblPacts[],5,FALSE)))</f>
        <v/>
      </c>
      <c r="AI52" s="15" t="s">
        <v>39</v>
      </c>
      <c r="AJ52" s="61">
        <f t="shared" si="1"/>
        <v>2</v>
      </c>
      <c r="AK52" s="61">
        <f>IF(AJ52=0,IF(COUNTIF($E$42:$E$49,AI52)&gt;0,-3,-1),AJ52)</f>
        <v>2</v>
      </c>
    </row>
    <row r="53" spans="1:37">
      <c r="A53" s="1" t="s">
        <v>52</v>
      </c>
      <c r="B53" t="str">
        <f ca="1">REPT("□",P221) &amp; REPT("■",15-P221)</f>
        <v>□□□□□□□□□□□■■■■</v>
      </c>
      <c r="D53" s="18"/>
      <c r="E53" s="15" t="s">
        <v>34</v>
      </c>
      <c r="F53" s="18"/>
      <c r="G53" s="3"/>
      <c r="H53" s="18"/>
      <c r="I53" s="18"/>
      <c r="L53" s="4">
        <v>2</v>
      </c>
      <c r="M53" s="60"/>
      <c r="N53" s="4"/>
      <c r="O53" s="61">
        <f t="shared" ref="O53:O59" si="9">ROUNDDOWN(N53/2,0)</f>
        <v>0</v>
      </c>
      <c r="P53" s="60">
        <f t="shared" si="7"/>
        <v>2</v>
      </c>
      <c r="R53" s="61">
        <v>5</v>
      </c>
      <c r="T53" s="4"/>
      <c r="U53" s="4"/>
      <c r="V53" s="61">
        <f t="shared" si="8"/>
        <v>0</v>
      </c>
      <c r="W53" s="4"/>
      <c r="Y53" s="15">
        <v>5</v>
      </c>
      <c r="Z53" s="61" t="s">
        <v>237</v>
      </c>
      <c r="AA53" s="60" t="str" cm="1">
        <f t="array" ref="AA53">IF(OR(Y53=0,Y53=""),"",IF(VLOOKUP(Z53,$AI$1:$AJ$58,2,FALSE)&gt;=Y53,INDEX(tblDisciplines[Name],MATCH(1,(tblDisciplines[Discipline]=Z53)*(tblDisciplines[Rank]=Y53),0)),""))</f>
        <v/>
      </c>
      <c r="AC53" s="60"/>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
      </c>
      <c r="AF53" s="20" t="str">
        <f>IF(AC53="","",IFERROR(VLOOKUP(AC53,tblDisciplines[],12,FALSE),VLOOKUP(AC53,tblPacts[],5,FALSE)))</f>
        <v/>
      </c>
      <c r="AI53" s="15" t="s">
        <v>247</v>
      </c>
      <c r="AJ53" s="61">
        <f t="shared" si="1"/>
        <v>0</v>
      </c>
      <c r="AK53" s="61">
        <f>AJ53</f>
        <v>0</v>
      </c>
    </row>
    <row r="54" spans="1:37">
      <c r="A54" s="1" t="s">
        <v>53</v>
      </c>
      <c r="B54" t="str">
        <f>_xlfn.CONCAT(P74-L224," / ",P74)</f>
        <v>6 / 6</v>
      </c>
      <c r="D54" s="18"/>
      <c r="E54" s="15" t="s">
        <v>35</v>
      </c>
      <c r="F54" s="18"/>
      <c r="G54" s="3"/>
      <c r="H54" s="18"/>
      <c r="I54" s="18"/>
      <c r="L54" s="4">
        <v>1</v>
      </c>
      <c r="M54" s="60"/>
      <c r="N54" s="4"/>
      <c r="O54" s="61">
        <f t="shared" si="9"/>
        <v>0</v>
      </c>
      <c r="P54" s="60">
        <f t="shared" si="7"/>
        <v>1</v>
      </c>
      <c r="R54" s="61">
        <v>5</v>
      </c>
      <c r="T54" s="4"/>
      <c r="U54" s="4"/>
      <c r="V54" s="61">
        <f t="shared" si="8"/>
        <v>0</v>
      </c>
      <c r="W54" s="4"/>
      <c r="Y54" s="15">
        <f>P167</f>
        <v>0</v>
      </c>
      <c r="Z54" s="61" t="s">
        <v>238</v>
      </c>
      <c r="AA54" s="60" t="str" cm="1">
        <f t="array" ref="AA54">IF(OR(Y54=0,Y54=""),"",IF(VLOOKUP(Z54,$AI$1:$AJ$58,2,FALSE)&gt;=Y54,INDEX(tblDisciplines[Name],MATCH(1,(tblDisciplines[Discipline]=Z54)*(tblDisciplines[Rank]=Y54),0)),""))</f>
        <v/>
      </c>
      <c r="AC54" s="60"/>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
      </c>
      <c r="AF54" s="20" t="str">
        <f>IF(AC54="","",IFERROR(VLOOKUP(AC54,tblDisciplines[],12,FALSE),VLOOKUP(AC54,tblPacts[],5,FALSE)))</f>
        <v/>
      </c>
      <c r="AI54" s="15" t="s">
        <v>252</v>
      </c>
      <c r="AJ54" s="61">
        <f t="shared" si="1"/>
        <v>0</v>
      </c>
      <c r="AK54" s="61">
        <f>AJ54</f>
        <v>0</v>
      </c>
    </row>
    <row r="55" spans="1:37">
      <c r="A55" s="1" t="s">
        <v>54</v>
      </c>
      <c r="B55" t="str">
        <f>REPT("□",P74) &amp; REPT("■",10-P74)</f>
        <v>□□□□□□■■■■</v>
      </c>
      <c r="D55" s="18"/>
      <c r="E55" s="15" t="s">
        <v>36</v>
      </c>
      <c r="F55" s="18"/>
      <c r="G55" s="3"/>
      <c r="H55" s="18"/>
      <c r="I55" s="18"/>
      <c r="L55" s="4"/>
      <c r="M55" s="60"/>
      <c r="N55" s="4"/>
      <c r="O55" s="61">
        <f t="shared" si="9"/>
        <v>0</v>
      </c>
      <c r="P55" s="60">
        <f t="shared" si="7"/>
        <v>0</v>
      </c>
      <c r="R55" s="61">
        <v>5</v>
      </c>
      <c r="T55" s="4"/>
      <c r="U55" s="4"/>
      <c r="V55" s="61">
        <f t="shared" si="8"/>
        <v>0</v>
      </c>
      <c r="W55" s="4"/>
      <c r="Y55" s="15">
        <v>1</v>
      </c>
      <c r="Z55" s="61" t="s">
        <v>239</v>
      </c>
      <c r="AA55" s="60" t="str" cm="1">
        <f t="array" ref="AA55">IF(OR(Y55=0,Y55=""),"",IF(VLOOKUP(Z55,$AI$1:$AJ$58,2,FALSE)&gt;=Y55,INDEX(tblDisciplines[Name],MATCH(1,(tblDisciplines[Discipline]=Z55)*(tblDisciplines[Rank]=Y55),0)),""))</f>
        <v/>
      </c>
      <c r="AC55" s="60"/>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
      </c>
      <c r="AF55" s="20" t="str">
        <f>IF(AC55="","",IFERROR(VLOOKUP(AC55,tblDisciplines[],12,FALSE),VLOOKUP(AC55,tblPacts[],5,FALSE)))</f>
        <v/>
      </c>
      <c r="AI55" s="15" t="s">
        <v>245</v>
      </c>
      <c r="AJ55" s="61">
        <f t="shared" si="1"/>
        <v>0</v>
      </c>
      <c r="AK55" s="61">
        <f>AJ55+IFERROR(INDEX($V$26:$V$38,MATCH(AI55,$E$26:$E$38,0)),0)</f>
        <v>0</v>
      </c>
    </row>
    <row r="56" spans="1:37">
      <c r="A56" s="1" t="s">
        <v>55</v>
      </c>
      <c r="B56" t="str">
        <f ca="1">_xlfn.CONCAT(P75-L223," / ",P75)</f>
        <v>10 / 10</v>
      </c>
      <c r="D56" s="19"/>
      <c r="E56" s="15" t="s">
        <v>37</v>
      </c>
      <c r="F56" s="18"/>
      <c r="G56" s="3"/>
      <c r="H56" s="18"/>
      <c r="I56" s="18"/>
      <c r="L56" s="4"/>
      <c r="M56" s="60"/>
      <c r="N56" s="4"/>
      <c r="O56" s="61">
        <f t="shared" si="9"/>
        <v>0</v>
      </c>
      <c r="P56" s="60">
        <f t="shared" si="7"/>
        <v>0</v>
      </c>
      <c r="R56" s="61">
        <v>5</v>
      </c>
      <c r="T56" s="4"/>
      <c r="U56" s="4"/>
      <c r="V56" s="61">
        <f t="shared" si="8"/>
        <v>0</v>
      </c>
      <c r="W56" s="4"/>
      <c r="Y56" s="15">
        <v>2</v>
      </c>
      <c r="Z56" s="61" t="s">
        <v>239</v>
      </c>
      <c r="AA56" s="60" t="str" cm="1">
        <f t="array" ref="AA56">IF(OR(Y56=0,Y56=""),"",IF(VLOOKUP(Z56,$AI$1:$AJ$58,2,FALSE)&gt;=Y56,INDEX(tblDisciplines[Name],MATCH(1,(tblDisciplines[Discipline]=Z56)*(tblDisciplines[Rank]=Y56),0)),""))</f>
        <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1"/>
        <v>0</v>
      </c>
      <c r="AK56" s="61">
        <f>IF(AJ56=0,IF(COUNTIF($E$42:$E$49,AI56)&gt;0,-3,-1),AJ56)</f>
        <v>-1</v>
      </c>
    </row>
    <row r="57" spans="1:37">
      <c r="A57" s="1" t="s">
        <v>56</v>
      </c>
      <c r="B57" t="str">
        <f ca="1">REPT("□",P75-L223) &amp; REPT("■",20-P75+L223)</f>
        <v>□□□□□□□□□□■■■■■■■■■■</v>
      </c>
      <c r="D57" s="19"/>
      <c r="E57" s="15" t="s">
        <v>38</v>
      </c>
      <c r="F57" s="18"/>
      <c r="G57" s="3"/>
      <c r="H57" s="18"/>
      <c r="I57" s="18"/>
      <c r="L57" s="4">
        <v>1</v>
      </c>
      <c r="M57" s="60"/>
      <c r="N57" s="4"/>
      <c r="O57" s="61">
        <f t="shared" si="9"/>
        <v>0</v>
      </c>
      <c r="P57" s="60">
        <f t="shared" si="7"/>
        <v>1</v>
      </c>
      <c r="R57" s="61">
        <v>5</v>
      </c>
      <c r="T57" s="4"/>
      <c r="U57" s="4"/>
      <c r="V57" s="61">
        <f t="shared" si="8"/>
        <v>0</v>
      </c>
      <c r="W57" s="4"/>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1"/>
        <v>6</v>
      </c>
      <c r="AK57" s="61">
        <f>AJ57</f>
        <v>6</v>
      </c>
    </row>
    <row r="58" spans="1:37">
      <c r="A58" s="1" t="s">
        <v>57</v>
      </c>
      <c r="B58">
        <f ca="1">VLOOKUP(VLOOKUP("Blood Potency", INDIRECT($AH$1),2,FALSE),tblBloodPotency[#Data],3,FALSE)</f>
        <v>1</v>
      </c>
      <c r="D58" s="19"/>
      <c r="E58" s="15" t="s">
        <v>39</v>
      </c>
      <c r="F58" s="18"/>
      <c r="G58" s="3"/>
      <c r="H58" s="18"/>
      <c r="I58" s="18"/>
      <c r="L58" s="4">
        <v>2</v>
      </c>
      <c r="M58" s="60"/>
      <c r="N58" s="4"/>
      <c r="O58" s="61">
        <f t="shared" si="9"/>
        <v>0</v>
      </c>
      <c r="P58" s="60">
        <f t="shared" si="7"/>
        <v>2</v>
      </c>
      <c r="R58" s="61">
        <v>5</v>
      </c>
      <c r="T58" s="4"/>
      <c r="U58" s="4"/>
      <c r="V58" s="61">
        <f t="shared" si="8"/>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1"/>
        <v>3</v>
      </c>
      <c r="AK58" s="61">
        <f>AJ58+IFERROR(INDEX($V$26:$V$38,MATCH(AI58,$E$26:$E$38,0)),0)</f>
        <v>3</v>
      </c>
    </row>
    <row r="59" spans="1:37">
      <c r="A59" s="1" t="s">
        <v>58</v>
      </c>
      <c r="B59" t="str">
        <f ca="1">VLOOKUP(VLOOKUP("Blood Potency", INDIRECT($AH$1),2,FALSE),tblBloodPotency[#Data],4,FALSE)</f>
        <v>Animals</v>
      </c>
      <c r="D59" s="19"/>
      <c r="E59" s="15" t="s">
        <v>40</v>
      </c>
      <c r="F59" s="18"/>
      <c r="G59" s="3"/>
      <c r="H59" s="18"/>
      <c r="I59" s="18"/>
      <c r="L59" s="4"/>
      <c r="M59" s="60"/>
      <c r="N59" s="4"/>
      <c r="O59" s="61">
        <f t="shared" si="9"/>
        <v>0</v>
      </c>
      <c r="P59" s="60">
        <f t="shared" si="7"/>
        <v>0</v>
      </c>
      <c r="R59" s="61">
        <v>5</v>
      </c>
      <c r="T59" s="4"/>
      <c r="U59" s="4"/>
      <c r="V59" s="61">
        <f t="shared" si="8"/>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0">IFERROR(IF(VLOOKUP(SUBSTITUTE(A60," Spec",""),$E$42:$G$69,3,FALSE)=0,"",VLOOKUP(SUBSTITUTE(A60," Spec",""),$E$42:$G$69,3,FALSE)),"")</f>
        <v/>
      </c>
      <c r="Y60" s="15">
        <v>1</v>
      </c>
      <c r="Z60" s="61" t="s">
        <v>240</v>
      </c>
      <c r="AA60" s="60" t="str" cm="1">
        <f t="array" ref="AA60">IF(OR(Y60=0,Y60=""),"",IF(VLOOKUP(Z60,$AI$1:$AJ$58,2,FALSE)&gt;=Y60,INDEX(tblDisciplines[Name],MATCH(1,(tblDisciplines[Discipline]=Z60)*(tblDisciplines[Rank]=Y60),0)),""))</f>
        <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0"/>
        <v/>
      </c>
      <c r="D61" s="16" t="s">
        <v>1459</v>
      </c>
      <c r="E61" s="17"/>
      <c r="F61" s="17"/>
      <c r="G61" s="17" t="s">
        <v>1467</v>
      </c>
      <c r="H61" s="16" t="s">
        <v>1446</v>
      </c>
      <c r="I61" s="3" t="s">
        <v>1565</v>
      </c>
      <c r="L61" s="60">
        <f>IF(I61="",0,VLOOKUP(I61,tblPriority[#Data],3,FALSE))-SUM(L62:L69)</f>
        <v>0</v>
      </c>
      <c r="Y61" s="15">
        <v>2</v>
      </c>
      <c r="Z61" s="61" t="s">
        <v>240</v>
      </c>
      <c r="AA61" s="60" t="str" cm="1">
        <f t="array" ref="AA61">IF(OR(Y61=0,Y61=""),"",IF(VLOOKUP(Z61,$AI$1:$AJ$58,2,FALSE)&gt;=Y61,INDEX(tblDisciplines[Name],MATCH(1,(tblDisciplines[Discipline]=Z61)*(tblDisciplines[Rank]=Y61),0)),""))</f>
        <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0"/>
        <v/>
      </c>
      <c r="D62" s="18"/>
      <c r="E62" s="15" t="s">
        <v>41</v>
      </c>
      <c r="F62" s="18"/>
      <c r="G62" s="3"/>
      <c r="H62" s="18"/>
      <c r="I62" s="18"/>
      <c r="L62" s="4">
        <v>2</v>
      </c>
      <c r="M62" s="60"/>
      <c r="N62" s="4"/>
      <c r="O62" s="61">
        <f>ROUNDDOWN(N62/2,0)</f>
        <v>0</v>
      </c>
      <c r="P62" s="60">
        <f t="shared" ref="P62:P69" si="11">MIN(SUM(L62,M62,O62),R62)</f>
        <v>2</v>
      </c>
      <c r="R62" s="61">
        <v>5</v>
      </c>
      <c r="T62" s="4"/>
      <c r="U62" s="4"/>
      <c r="V62" s="61">
        <f t="shared" ref="V62:V69" si="12">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0"/>
        <v/>
      </c>
      <c r="D63" s="19"/>
      <c r="E63" s="15" t="s">
        <v>42</v>
      </c>
      <c r="F63" s="18"/>
      <c r="G63" s="3"/>
      <c r="H63" s="18"/>
      <c r="I63" s="18"/>
      <c r="L63" s="4">
        <v>1</v>
      </c>
      <c r="M63" s="60"/>
      <c r="N63" s="4"/>
      <c r="O63" s="61">
        <f t="shared" ref="O63:O69" si="13">ROUNDDOWN(N63/2,0)</f>
        <v>0</v>
      </c>
      <c r="P63" s="60">
        <f t="shared" si="11"/>
        <v>1</v>
      </c>
      <c r="R63" s="61">
        <v>5</v>
      </c>
      <c r="T63" s="4"/>
      <c r="U63" s="4"/>
      <c r="V63" s="61">
        <f t="shared" si="12"/>
        <v>0</v>
      </c>
      <c r="W63" s="4"/>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0"/>
        <v/>
      </c>
      <c r="D64" s="19"/>
      <c r="E64" s="15" t="s">
        <v>43</v>
      </c>
      <c r="F64" s="18"/>
      <c r="G64" s="3"/>
      <c r="H64" s="18"/>
      <c r="I64" s="18"/>
      <c r="L64" s="4">
        <v>1</v>
      </c>
      <c r="M64" s="60"/>
      <c r="N64" s="4">
        <v>2</v>
      </c>
      <c r="O64" s="61">
        <f t="shared" si="13"/>
        <v>1</v>
      </c>
      <c r="P64" s="60">
        <f t="shared" si="11"/>
        <v>2</v>
      </c>
      <c r="R64" s="61">
        <v>5</v>
      </c>
      <c r="T64" s="4"/>
      <c r="U64" s="4"/>
      <c r="V64" s="61">
        <f t="shared" si="12"/>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0"/>
        <v/>
      </c>
      <c r="D65" s="19"/>
      <c r="E65" s="15" t="s">
        <v>44</v>
      </c>
      <c r="F65" s="18"/>
      <c r="G65" s="3"/>
      <c r="H65" s="18"/>
      <c r="I65" s="18"/>
      <c r="L65" s="4"/>
      <c r="M65" s="60"/>
      <c r="N65" s="4"/>
      <c r="O65" s="61">
        <f t="shared" si="13"/>
        <v>0</v>
      </c>
      <c r="P65" s="60">
        <f t="shared" si="11"/>
        <v>0</v>
      </c>
      <c r="R65" s="61">
        <v>5</v>
      </c>
      <c r="T65" s="4"/>
      <c r="U65" s="4"/>
      <c r="V65" s="61">
        <f t="shared" si="12"/>
        <v>0</v>
      </c>
      <c r="W65" s="4"/>
      <c r="Y65" s="15">
        <v>1</v>
      </c>
      <c r="Z65" s="61" t="s">
        <v>241</v>
      </c>
      <c r="AA65" s="60" t="str" cm="1">
        <f t="array" ref="AA65">IF(OR(Y65=0,Y65=""),"",IF(VLOOKUP(Z65,$AI$1:$AJ$58,2,FALSE)&gt;=Y65,INDEX(tblDisciplines[Name],MATCH(1,(tblDisciplines[Discipline]=Z65)*(tblDisciplines[Rank]=Y65),0)),""))</f>
        <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0"/>
        <v/>
      </c>
      <c r="D66" s="19"/>
      <c r="E66" s="15" t="s">
        <v>45</v>
      </c>
      <c r="F66" s="18"/>
      <c r="G66" s="3"/>
      <c r="H66" s="18"/>
      <c r="I66" s="18"/>
      <c r="L66" s="4">
        <v>3</v>
      </c>
      <c r="M66" s="60"/>
      <c r="N66" s="4"/>
      <c r="O66" s="61">
        <f t="shared" si="13"/>
        <v>0</v>
      </c>
      <c r="P66" s="60">
        <f t="shared" si="11"/>
        <v>3</v>
      </c>
      <c r="R66" s="61">
        <v>5</v>
      </c>
      <c r="T66" s="4"/>
      <c r="U66" s="4"/>
      <c r="V66" s="61">
        <f t="shared" si="12"/>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0"/>
        <v/>
      </c>
      <c r="D67" s="19"/>
      <c r="E67" s="15" t="s">
        <v>46</v>
      </c>
      <c r="F67" s="18"/>
      <c r="G67" s="3"/>
      <c r="H67" s="18"/>
      <c r="I67" s="18"/>
      <c r="L67" s="4">
        <v>1</v>
      </c>
      <c r="M67" s="60"/>
      <c r="N67" s="4"/>
      <c r="O67" s="61">
        <f t="shared" si="13"/>
        <v>0</v>
      </c>
      <c r="P67" s="60">
        <f t="shared" si="11"/>
        <v>1</v>
      </c>
      <c r="R67" s="61">
        <v>5</v>
      </c>
      <c r="T67" s="4"/>
      <c r="U67" s="4"/>
      <c r="V67" s="61">
        <f t="shared" si="12"/>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0"/>
        <v/>
      </c>
      <c r="D68" s="18"/>
      <c r="E68" s="15" t="s">
        <v>47</v>
      </c>
      <c r="F68" s="18"/>
      <c r="G68" s="3"/>
      <c r="H68" s="18"/>
      <c r="I68" s="18"/>
      <c r="L68" s="4">
        <v>1</v>
      </c>
      <c r="M68" s="60"/>
      <c r="N68" s="4"/>
      <c r="O68" s="61">
        <f t="shared" si="13"/>
        <v>0</v>
      </c>
      <c r="P68" s="60">
        <f t="shared" si="11"/>
        <v>1</v>
      </c>
      <c r="R68" s="61">
        <v>5</v>
      </c>
      <c r="T68" s="4"/>
      <c r="U68" s="4"/>
      <c r="V68" s="61">
        <f t="shared" si="12"/>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0"/>
        <v/>
      </c>
      <c r="D69" s="18"/>
      <c r="E69" s="15" t="s">
        <v>48</v>
      </c>
      <c r="F69" s="18"/>
      <c r="G69" s="3"/>
      <c r="H69" s="18"/>
      <c r="I69" s="18"/>
      <c r="L69" s="4">
        <v>2</v>
      </c>
      <c r="M69" s="60"/>
      <c r="N69" s="4"/>
      <c r="O69" s="61">
        <f t="shared" si="13"/>
        <v>0</v>
      </c>
      <c r="P69" s="60">
        <f t="shared" si="11"/>
        <v>2</v>
      </c>
      <c r="R69" s="61">
        <v>5</v>
      </c>
      <c r="T69" s="4"/>
      <c r="U69" s="4"/>
      <c r="V69" s="61">
        <f t="shared" si="12"/>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0"/>
        <v/>
      </c>
      <c r="Y70" s="15">
        <v>1</v>
      </c>
      <c r="Z70" s="61" t="s">
        <v>242</v>
      </c>
      <c r="AA70" s="60" t="str" cm="1">
        <f t="array" ref="AA70">IF(OR(Y70=0,Y70=""),"",IF(VLOOKUP(Z70,$AI$1:$AJ$58,2,FALSE)&gt;=Y70,INDEX(tblDisciplines[Name],MATCH(1,(tblDisciplines[Discipline]=Z70)*(tblDisciplines[Rank]=Y70),0)),""))</f>
        <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0"/>
        <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0"/>
        <v/>
      </c>
      <c r="D72" s="19"/>
      <c r="E72" s="15" t="s">
        <v>49</v>
      </c>
      <c r="F72" s="19"/>
      <c r="G72" s="19"/>
      <c r="H72" s="19"/>
      <c r="I72" s="19"/>
      <c r="K72" s="4"/>
      <c r="L72" s="4"/>
      <c r="M72" s="60">
        <v>1</v>
      </c>
      <c r="N72" s="4"/>
      <c r="O72" s="61">
        <f>ROUNDDOWN(N72/5,0)</f>
        <v>0</v>
      </c>
      <c r="P72" s="60">
        <f>MIN(SUM(K72*-1,ROUNDDOWN(L72/5,0),M72,O72),R72)</f>
        <v>1</v>
      </c>
      <c r="R72" s="61">
        <v>2</v>
      </c>
      <c r="Y72" s="15">
        <v>3</v>
      </c>
      <c r="Z72" s="61" t="s">
        <v>242</v>
      </c>
      <c r="AA72" s="60" t="str" cm="1">
        <f t="array" ref="AA72">IF(OR(Y72=0,Y72=""),"",IF(VLOOKUP(Z72,$AI$1:$AJ$58,2,FALSE)&gt;=Y72,INDEX(tblDisciplines[Name],MATCH(1,(tblDisciplines[Discipline]=Z72)*(tblDisciplines[Rank]=Y72),0)),""))</f>
        <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0"/>
        <v/>
      </c>
      <c r="D73" s="19"/>
      <c r="E73" s="15" t="s">
        <v>1448</v>
      </c>
      <c r="F73" s="19"/>
      <c r="G73" s="19"/>
      <c r="H73" s="19"/>
      <c r="I73" s="19"/>
      <c r="K73" s="4">
        <v>1</v>
      </c>
      <c r="M73" s="60">
        <v>7</v>
      </c>
      <c r="N73" s="4"/>
      <c r="O73" s="61">
        <f>ROUNDDOWN(N73/2,0)</f>
        <v>0</v>
      </c>
      <c r="P73" s="60">
        <f>MIN(SUM(K73*-1,M73,O73),R73)</f>
        <v>6</v>
      </c>
      <c r="R73" s="61">
        <v>10</v>
      </c>
      <c r="Y73" s="15">
        <v>4</v>
      </c>
      <c r="Z73" s="61" t="s">
        <v>242</v>
      </c>
      <c r="AA73" s="60" t="str" cm="1">
        <f t="array" ref="AA73">IF(OR(Y73=0,Y73=""),"",IF(VLOOKUP(Z73,$AI$1:$AJ$58,2,FALSE)&gt;=Y73,INDEX(tblDisciplines[Name],MATCH(1,(tblDisciplines[Discipline]=Z73)*(tblDisciplines[Rank]=Y73),0)),""))</f>
        <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0"/>
        <v/>
      </c>
      <c r="D74" s="19"/>
      <c r="E74" s="15" t="s">
        <v>53</v>
      </c>
      <c r="F74" s="19"/>
      <c r="G74" s="19"/>
      <c r="H74" s="19"/>
      <c r="I74" s="19"/>
      <c r="K74" s="4"/>
      <c r="M74" s="60">
        <f>P28+P38</f>
        <v>6</v>
      </c>
      <c r="N74" s="4"/>
      <c r="O74" s="61">
        <f>N74</f>
        <v>0</v>
      </c>
      <c r="P74" s="60">
        <f>MIN(SUM(K74*-1,M74,O74),R74)</f>
        <v>6</v>
      </c>
      <c r="R74" s="61">
        <v>10</v>
      </c>
      <c r="Y74" s="15">
        <v>5</v>
      </c>
      <c r="Z74" s="61" t="s">
        <v>242</v>
      </c>
      <c r="AA74" s="60" t="str" cm="1">
        <f t="array" ref="AA74">IF(OR(Y74=0,Y74=""),"",IF(VLOOKUP(Z74,$AI$1:$AJ$58,2,FALSE)&gt;=Y74,INDEX(tblDisciplines[Name],MATCH(1,(tblDisciplines[Discipline]=Z74)*(tblDisciplines[Rank]=Y74),0)),""))</f>
        <v/>
      </c>
    </row>
    <row r="75" spans="1:32">
      <c r="A75" s="1" t="s">
        <v>74</v>
      </c>
      <c r="B75" t="str">
        <f t="shared" si="10"/>
        <v/>
      </c>
      <c r="D75" s="19"/>
      <c r="E75" s="15" t="s">
        <v>55</v>
      </c>
      <c r="F75" s="19"/>
      <c r="G75" s="19"/>
      <c r="H75" s="19"/>
      <c r="I75" s="19"/>
      <c r="P75" s="60">
        <f ca="1">VLOOKUP(VLOOKUP("Blood Potency",INDIRECT($AH$1),2,FALSE),tblBloodPotency[],2,FALSE)</f>
        <v>10</v>
      </c>
      <c r="Y75" s="15">
        <v>1</v>
      </c>
      <c r="Z75" s="61" t="s">
        <v>243</v>
      </c>
      <c r="AA75" s="60" t="str" cm="1">
        <f t="array" ref="AA75">IF(OR(Y75=0,Y75=""),"",IF(VLOOKUP(Z75,$AI$1:$AJ$58,2,FALSE)&gt;=Y75,INDEX(tblDisciplines[Name],MATCH(1,(tblDisciplines[Discipline]=Z75)*(tblDisciplines[Rank]=Y75),0)),""))</f>
        <v>Unmarked Grave</v>
      </c>
    </row>
    <row r="76" spans="1:32">
      <c r="A76" s="1" t="s">
        <v>75</v>
      </c>
      <c r="B76" t="str">
        <f t="shared" si="10"/>
        <v/>
      </c>
      <c r="Y76" s="15">
        <v>2</v>
      </c>
      <c r="Z76" s="61" t="s">
        <v>243</v>
      </c>
      <c r="AA76" s="60" t="str" cm="1">
        <f t="array" ref="AA76">IF(OR(Y76=0,Y76=""),"",IF(VLOOKUP(Z76,$AI$1:$AJ$58,2,FALSE)&gt;=Y76,INDEX(tblDisciplines[Name],MATCH(1,(tblDisciplines[Discipline]=Z76)*(tblDisciplines[Rank]=Y76),0)),""))</f>
        <v>Predatory Aspect</v>
      </c>
    </row>
    <row r="77" spans="1:32" ht="15.75" thickBot="1">
      <c r="A77" s="1" t="s">
        <v>76</v>
      </c>
      <c r="B77" t="str">
        <f t="shared" si="10"/>
        <v/>
      </c>
      <c r="D77" s="14" t="s">
        <v>1470</v>
      </c>
      <c r="E77" s="14"/>
      <c r="F77" s="14"/>
      <c r="G77" s="14"/>
      <c r="H77" s="14"/>
      <c r="I77" s="14"/>
      <c r="N77" s="60">
        <f>SUM(N79:N98,N101:N120,N206:N215,N132:N135,N138:N157,N160:N161)</f>
        <v>1</v>
      </c>
      <c r="Y77" s="15">
        <v>3</v>
      </c>
      <c r="Z77" s="61" t="s">
        <v>243</v>
      </c>
      <c r="AA77" s="60" t="str" cm="1">
        <f t="array" ref="AA77">IF(OR(Y77=0,Y77=""),"",IF(VLOOKUP(Z77,$AI$1:$AJ$58,2,FALSE)&gt;=Y77,INDEX(tblDisciplines[Name],MATCH(1,(tblDisciplines[Discipline]=Z77)*(tblDisciplines[Rank]=Y77),0)),""))</f>
        <v/>
      </c>
    </row>
    <row r="78" spans="1:32">
      <c r="A78" s="1" t="s">
        <v>77</v>
      </c>
      <c r="B78" t="str">
        <f t="shared" si="10"/>
        <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0"/>
        <v/>
      </c>
      <c r="D79" s="19"/>
      <c r="E79" s="15" t="s">
        <v>114</v>
      </c>
      <c r="F79" s="3" t="s">
        <v>1590</v>
      </c>
      <c r="G79" s="3"/>
      <c r="H79" s="67" t="str">
        <f>_xlfn.IFNA(IF(VLOOKUP(F79,tblMerits[],6,FALSE)=0,"None",VLOOKUP(F79,tblMerits[],6,FALSE)),"None")</f>
        <v>Resolve 3</v>
      </c>
      <c r="I79" s="67"/>
      <c r="L79" s="4">
        <v>2</v>
      </c>
      <c r="M79" s="4"/>
      <c r="N79" s="4"/>
      <c r="O79" s="61">
        <f>N79</f>
        <v>0</v>
      </c>
      <c r="P79" s="60">
        <f t="shared" ref="P79:P98" si="14">MIN(SUM(L79,M79,O79),R79)</f>
        <v>2</v>
      </c>
      <c r="Q79" s="61">
        <f>_xlfn.IFNA(VLOOKUP($F79,tblMerits[],3,FALSE),"")</f>
        <v>2</v>
      </c>
      <c r="R79" s="61">
        <f>_xlfn.IFNA(VLOOKUP($F79,tblMerits[],4,FALSE),"")</f>
        <v>2</v>
      </c>
      <c r="Y79" s="15">
        <v>5</v>
      </c>
      <c r="Z79" s="61" t="s">
        <v>243</v>
      </c>
      <c r="AA79" s="60" t="str" cm="1">
        <f t="array" ref="AA79">IF(OR(Y79=0,Y79=""),"",IF(VLOOKUP(Z79,$AI$1:$AJ$58,2,FALSE)&gt;=Y79,INDEX(tblDisciplines[Name],MATCH(1,(tblDisciplines[Discipline]=Z79)*(tblDisciplines[Rank]=Y79),0)),""))</f>
        <v/>
      </c>
    </row>
    <row r="80" spans="1:32">
      <c r="A80" s="1" t="s">
        <v>79</v>
      </c>
      <c r="B80" t="str">
        <f t="shared" si="10"/>
        <v/>
      </c>
      <c r="D80" s="19"/>
      <c r="E80" s="15" t="s">
        <v>115</v>
      </c>
      <c r="F80" s="3" t="s">
        <v>1820</v>
      </c>
      <c r="G80" s="3"/>
      <c r="H80" s="67" t="str">
        <f>_xlfn.IFNA(IF(VLOOKUP(F80,tblMerits[],6,FALSE)=0,"None",VLOOKUP(F80,tblMerits[],6,FALSE)),"None")</f>
        <v>Stamina 3 or Resolve 3</v>
      </c>
      <c r="I80" s="67"/>
      <c r="L80" s="4">
        <v>2</v>
      </c>
      <c r="M80" s="4"/>
      <c r="N80" s="4"/>
      <c r="O80" s="61">
        <f t="shared" ref="O80:O98" si="15">N80</f>
        <v>0</v>
      </c>
      <c r="P80" s="60">
        <f t="shared" si="14"/>
        <v>2</v>
      </c>
      <c r="Q80" s="61">
        <f>_xlfn.IFNA(VLOOKUP($F80,tblMerits[],3,FALSE),"")</f>
        <v>1</v>
      </c>
      <c r="R80" s="61">
        <f>_xlfn.IFNA(VLOOKUP($F80,tblMerits[],4,FALSE),"")</f>
        <v>3</v>
      </c>
      <c r="Y80" s="15">
        <f>P173</f>
        <v>2</v>
      </c>
      <c r="Z80" s="61" t="s">
        <v>244</v>
      </c>
      <c r="AA80" s="60" t="str" cm="1">
        <f t="array" ref="AA80">IF(OR(Y80=0,Y80=""),"",IF(VLOOKUP(Z80,$AI$1:$AJ$58,2,FALSE)&gt;=Y80,INDEX(tblDisciplines[Name],MATCH(1,(tblDisciplines[Discipline]=Z80)*(tblDisciplines[Rank]=Y80),0)),""))</f>
        <v>Resilience 2</v>
      </c>
    </row>
    <row r="81" spans="1:27">
      <c r="A81" s="1" t="s">
        <v>80</v>
      </c>
      <c r="B81" t="str">
        <f t="shared" si="10"/>
        <v/>
      </c>
      <c r="D81" s="19"/>
      <c r="E81" s="15" t="s">
        <v>116</v>
      </c>
      <c r="F81" s="3" t="s">
        <v>1585</v>
      </c>
      <c r="G81" s="3" t="s">
        <v>1821</v>
      </c>
      <c r="H81" s="67" t="str">
        <f>_xlfn.IFNA(IF(VLOOKUP(F81,tblMerits[],6,FALSE)=0,"None",VLOOKUP(F81,tblMerits[],6,FALSE)),"None")</f>
        <v>None</v>
      </c>
      <c r="I81" s="67"/>
      <c r="L81" s="4">
        <v>1</v>
      </c>
      <c r="M81" s="4"/>
      <c r="N81" s="4"/>
      <c r="O81" s="61">
        <f t="shared" si="15"/>
        <v>0</v>
      </c>
      <c r="P81" s="60">
        <f t="shared" si="14"/>
        <v>1</v>
      </c>
      <c r="Q81" s="61">
        <f>_xlfn.IFNA(VLOOKUP($F81,tblMerits[],3,FALSE),"")</f>
        <v>1</v>
      </c>
      <c r="R81" s="61">
        <f>_xlfn.IFNA(VLOOKUP($F81,tblMerits[],4,FALSE),"")</f>
        <v>1</v>
      </c>
      <c r="Y81" s="15">
        <f>P174</f>
        <v>0</v>
      </c>
      <c r="Z81" s="61" t="s">
        <v>245</v>
      </c>
      <c r="AA81" s="60" t="str" cm="1">
        <f t="array" ref="AA81">IF(OR(Y81=0,Y81=""),"",IF(VLOOKUP(Z81,$AI$1:$AJ$58,2,FALSE)&gt;=Y81,INDEX(tblDisciplines[Name],MATCH(1,(tblDisciplines[Discipline]=Z81)*(tblDisciplines[Rank]=Y81),0)),""))</f>
        <v/>
      </c>
    </row>
    <row r="82" spans="1:27">
      <c r="A82" s="1" t="s">
        <v>81</v>
      </c>
      <c r="B82" t="str">
        <f t="shared" si="10"/>
        <v/>
      </c>
      <c r="D82" s="19"/>
      <c r="E82" s="15" t="s">
        <v>117</v>
      </c>
      <c r="F82" s="3" t="s">
        <v>1822</v>
      </c>
      <c r="G82" s="3"/>
      <c r="H82" s="67" t="str">
        <f>_xlfn.IFNA(IF(VLOOKUP(F82,tblMerits[],6,FALSE)=0,"None",VLOOKUP(F82,tblMerits[],6,FALSE)),"None")</f>
        <v>Persuasion 2</v>
      </c>
      <c r="I82" s="67"/>
      <c r="L82" s="4">
        <v>1</v>
      </c>
      <c r="M82" s="4"/>
      <c r="N82" s="4"/>
      <c r="O82" s="61">
        <f t="shared" si="15"/>
        <v>0</v>
      </c>
      <c r="P82" s="60">
        <f t="shared" si="14"/>
        <v>1</v>
      </c>
      <c r="Q82" s="61">
        <f>_xlfn.IFNA(VLOOKUP($F82,tblMerits[],3,FALSE),"")</f>
        <v>1</v>
      </c>
      <c r="R82" s="61">
        <f>_xlfn.IFNA(VLOOKUP($F82,tblMerits[],4,FALSE),"")</f>
        <v>1</v>
      </c>
      <c r="Y82" s="61" t="s">
        <v>1472</v>
      </c>
      <c r="Z82" s="19"/>
      <c r="AA82" s="60" t="str">
        <f>IF(P177="","",F177)</f>
        <v/>
      </c>
    </row>
    <row r="83" spans="1:27">
      <c r="A83" s="1" t="s">
        <v>82</v>
      </c>
      <c r="B83" t="str">
        <f t="shared" si="10"/>
        <v/>
      </c>
      <c r="D83" s="19"/>
      <c r="E83" s="15" t="s">
        <v>118</v>
      </c>
      <c r="F83" s="3"/>
      <c r="G83" s="3"/>
      <c r="H83" s="67" t="str">
        <f>_xlfn.IFNA(IF(VLOOKUP(F83,tblMerits[],6,FALSE)=0,"None",VLOOKUP(F83,tblMerits[],6,FALSE)),"None")</f>
        <v>None</v>
      </c>
      <c r="I83" s="67"/>
      <c r="L83" s="4"/>
      <c r="M83" s="4"/>
      <c r="N83" s="4"/>
      <c r="O83" s="61">
        <f t="shared" si="15"/>
        <v>0</v>
      </c>
      <c r="P83" s="60">
        <f t="shared" si="14"/>
        <v>0</v>
      </c>
      <c r="Q83" s="61" t="str">
        <f>_xlfn.IFNA(VLOOKUP($F83,tblMerits[],3,FALSE),"")</f>
        <v/>
      </c>
      <c r="R83" s="61" t="str">
        <f>_xlfn.IFNA(VLOOKUP($F83,tblMerits[],4,FALSE),"")</f>
        <v/>
      </c>
      <c r="Y83" s="61" t="s">
        <v>1472</v>
      </c>
      <c r="Z83" s="19"/>
      <c r="AA83" s="60" t="str">
        <f>IF(P178="","",F178)</f>
        <v/>
      </c>
    </row>
    <row r="84" spans="1:27">
      <c r="A84" s="1" t="s">
        <v>83</v>
      </c>
      <c r="B84">
        <f>P124</f>
        <v>3</v>
      </c>
      <c r="D84" s="19"/>
      <c r="E84" s="15" t="s">
        <v>119</v>
      </c>
      <c r="F84" s="3"/>
      <c r="G84" s="3"/>
      <c r="H84" s="67" t="str">
        <f>_xlfn.IFNA(IF(VLOOKUP(F84,tblMerits[],6,FALSE)=0,"None",VLOOKUP(F84,tblMerits[],6,FALSE)),"None")</f>
        <v>None</v>
      </c>
      <c r="I84" s="67"/>
      <c r="L84" s="4"/>
      <c r="M84" s="4"/>
      <c r="N84" s="4"/>
      <c r="O84" s="61">
        <f t="shared" si="15"/>
        <v>0</v>
      </c>
      <c r="P84" s="60">
        <f t="shared" si="14"/>
        <v>0</v>
      </c>
      <c r="Q84" s="61" t="str">
        <f>_xlfn.IFNA(VLOOKUP($F84,tblMerits[],3,FALSE),"")</f>
        <v/>
      </c>
      <c r="R84" s="61" t="str">
        <f>_xlfn.IFNA(VLOOKUP($F84,tblMerits[],4,FALSE),"")</f>
        <v/>
      </c>
      <c r="Y84" s="61" t="s">
        <v>1472</v>
      </c>
      <c r="Z84" s="19"/>
      <c r="AA84" s="60" t="str">
        <f>IF(P179="","",F179)</f>
        <v/>
      </c>
    </row>
    <row r="85" spans="1:27">
      <c r="A85" s="1" t="s">
        <v>84</v>
      </c>
      <c r="B85">
        <f>P125</f>
        <v>2</v>
      </c>
      <c r="D85" s="19"/>
      <c r="E85" s="15" t="s">
        <v>120</v>
      </c>
      <c r="F85" s="3"/>
      <c r="G85" s="3"/>
      <c r="H85" s="67" t="str">
        <f>_xlfn.IFNA(IF(VLOOKUP(F85,tblMerits[],6,FALSE)=0,"None",VLOOKUP(F85,tblMerits[],6,FALSE)),"None")</f>
        <v>None</v>
      </c>
      <c r="I85" s="67"/>
      <c r="L85" s="4"/>
      <c r="M85" s="4"/>
      <c r="N85" s="4"/>
      <c r="O85" s="61">
        <f t="shared" si="15"/>
        <v>0</v>
      </c>
      <c r="P85" s="60">
        <f t="shared" si="14"/>
        <v>0</v>
      </c>
      <c r="Q85" s="61" t="str">
        <f>_xlfn.IFNA(VLOOKUP($F85,tblMerits[],3,FALSE),"")</f>
        <v/>
      </c>
      <c r="R85" s="61" t="str">
        <f>_xlfn.IFNA(VLOOKUP($F85,tblMerits[],4,FALSE),"")</f>
        <v/>
      </c>
      <c r="Y85" s="61" t="s">
        <v>1472</v>
      </c>
      <c r="Z85" s="19"/>
      <c r="AA85" s="60" t="str">
        <f>IF(P180="","",F180)</f>
        <v/>
      </c>
    </row>
    <row r="86" spans="1:27">
      <c r="A86" s="1" t="s">
        <v>85</v>
      </c>
      <c r="B86">
        <f>P126</f>
        <v>1</v>
      </c>
      <c r="D86" s="19"/>
      <c r="E86" s="15" t="s">
        <v>121</v>
      </c>
      <c r="F86" s="3"/>
      <c r="G86" s="3"/>
      <c r="H86" s="67" t="str">
        <f>_xlfn.IFNA(IF(VLOOKUP(F86,tblMerits[],6,FALSE)=0,"None",VLOOKUP(F86,tblMerits[],6,FALSE)),"None")</f>
        <v>None</v>
      </c>
      <c r="I86" s="67"/>
      <c r="L86" s="4"/>
      <c r="M86" s="4"/>
      <c r="N86" s="4"/>
      <c r="O86" s="61">
        <f t="shared" si="15"/>
        <v>0</v>
      </c>
      <c r="P86" s="60">
        <f t="shared" si="14"/>
        <v>0</v>
      </c>
      <c r="Q86" s="61" t="str">
        <f>_xlfn.IFNA(VLOOKUP($F86,tblMerits[],3,FALSE),"")</f>
        <v/>
      </c>
      <c r="R86" s="61" t="str">
        <f>_xlfn.IFNA(VLOOKUP($F86,tblMerits[],4,FALSE),"")</f>
        <v/>
      </c>
      <c r="Y86" s="61" t="s">
        <v>1472</v>
      </c>
      <c r="Z86" s="19"/>
      <c r="AA86" s="60" t="str">
        <f>IF(P181="","",F181)</f>
        <v/>
      </c>
    </row>
    <row r="87" spans="1:27">
      <c r="A87" s="1" t="s">
        <v>86</v>
      </c>
      <c r="B87" t="str">
        <f>IF(F126="","¬",F126)</f>
        <v>Lance</v>
      </c>
      <c r="D87" s="19"/>
      <c r="E87" s="15" t="s">
        <v>122</v>
      </c>
      <c r="F87" s="3"/>
      <c r="G87" s="3"/>
      <c r="H87" s="67" t="str">
        <f>_xlfn.IFNA(IF(VLOOKUP(F87,tblMerits[],6,FALSE)=0,"None",VLOOKUP(F87,tblMerits[],6,FALSE)),"None")</f>
        <v>None</v>
      </c>
      <c r="I87" s="67"/>
      <c r="L87" s="4"/>
      <c r="M87" s="4"/>
      <c r="N87" s="4"/>
      <c r="O87" s="61">
        <f t="shared" si="15"/>
        <v>0</v>
      </c>
      <c r="P87" s="60">
        <f t="shared" si="14"/>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
      </c>
    </row>
    <row r="88" spans="1:27">
      <c r="A88" s="1" t="s">
        <v>87</v>
      </c>
      <c r="B88" t="str">
        <f>REPT("●",P126)</f>
        <v>●</v>
      </c>
      <c r="D88" s="19"/>
      <c r="E88" s="15" t="s">
        <v>123</v>
      </c>
      <c r="F88" s="3"/>
      <c r="G88" s="3"/>
      <c r="H88" s="67" t="str">
        <f>_xlfn.IFNA(IF(VLOOKUP(F88,tblMerits[],6,FALSE)=0,"None",VLOOKUP(F88,tblMerits[],6,FALSE)),"None")</f>
        <v>None</v>
      </c>
      <c r="I88" s="67"/>
      <c r="L88" s="4"/>
      <c r="M88" s="4"/>
      <c r="N88" s="4"/>
      <c r="O88" s="61">
        <f t="shared" si="15"/>
        <v>0</v>
      </c>
      <c r="P88" s="60">
        <f t="shared" si="14"/>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Carthian</v>
      </c>
      <c r="D89" s="19"/>
      <c r="E89" s="15" t="s">
        <v>124</v>
      </c>
      <c r="F89" s="3"/>
      <c r="G89" s="3"/>
      <c r="H89" s="67" t="str">
        <f>_xlfn.IFNA(IF(VLOOKUP(F89,tblMerits[],6,FALSE)=0,"None",VLOOKUP(F89,tblMerits[],6,FALSE)),"None")</f>
        <v>None</v>
      </c>
      <c r="I89" s="67"/>
      <c r="L89" s="4"/>
      <c r="M89" s="4"/>
      <c r="N89" s="4"/>
      <c r="O89" s="61">
        <f t="shared" si="15"/>
        <v>0</v>
      </c>
      <c r="P89" s="60">
        <f t="shared" si="14"/>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_xlfn.IFNA(IF(VLOOKUP(F90,tblMerits[],6,FALSE)=0,"None",VLOOKUP(F90,tblMerits[],6,FALSE)),"None")</f>
        <v>None</v>
      </c>
      <c r="I90" s="67"/>
      <c r="L90" s="4"/>
      <c r="M90" s="4"/>
      <c r="N90" s="4"/>
      <c r="O90" s="61">
        <f t="shared" si="15"/>
        <v>0</v>
      </c>
      <c r="P90" s="60">
        <f t="shared" si="14"/>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Crone</v>
      </c>
      <c r="D91" s="19"/>
      <c r="E91" s="15" t="s">
        <v>126</v>
      </c>
      <c r="F91" s="3"/>
      <c r="G91" s="3"/>
      <c r="H91" s="67" t="str">
        <f>_xlfn.IFNA(IF(VLOOKUP(F91,tblMerits[],6,FALSE)=0,"None",VLOOKUP(F91,tblMerits[],6,FALSE)),"None")</f>
        <v>None</v>
      </c>
      <c r="I91" s="67"/>
      <c r="L91" s="4"/>
      <c r="M91" s="4"/>
      <c r="N91" s="4"/>
      <c r="O91" s="61">
        <f t="shared" si="15"/>
        <v>0</v>
      </c>
      <c r="P91" s="60">
        <f t="shared" si="14"/>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5"/>
        <v>0</v>
      </c>
      <c r="P92" s="60">
        <f t="shared" si="14"/>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Invictus</v>
      </c>
      <c r="D93" s="19"/>
      <c r="E93" s="15" t="s">
        <v>128</v>
      </c>
      <c r="F93" s="3"/>
      <c r="G93" s="3"/>
      <c r="H93" s="67" t="str">
        <f>_xlfn.IFNA(IF(VLOOKUP(F93,tblMerits[],6,FALSE)=0,"None",VLOOKUP(F93,tblMerits[],6,FALSE)),"None")</f>
        <v>None</v>
      </c>
      <c r="I93" s="67"/>
      <c r="L93" s="4"/>
      <c r="M93" s="4"/>
      <c r="N93" s="4"/>
      <c r="O93" s="61">
        <f t="shared" si="15"/>
        <v>0</v>
      </c>
      <c r="P93" s="60">
        <f t="shared" si="14"/>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5"/>
        <v>0</v>
      </c>
      <c r="P94" s="60">
        <f t="shared" si="14"/>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5"/>
        <v>0</v>
      </c>
      <c r="P95" s="60">
        <f t="shared" si="14"/>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5"/>
        <v>0</v>
      </c>
      <c r="P96" s="60">
        <f t="shared" si="14"/>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5"/>
        <v>0</v>
      </c>
      <c r="P97" s="60">
        <f t="shared" si="14"/>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5"/>
        <v>0</v>
      </c>
      <c r="P98" s="60">
        <f t="shared" si="14"/>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c r="G101" s="60" t="str">
        <f>IFERROR(VLOOKUP(F101,tblManoeuvre[],2,FALSE)&amp;" "&amp;VLOOKUP(F101,tblManoeuvre[],3,FALSE),"")</f>
        <v/>
      </c>
      <c r="H101" s="67" t="str">
        <f>IFERROR(IF(VLOOKUP(F101,tblManoeuvre[],8,FALSE)=0,"None",VLOOKUP(F101,tblManoeuvre[],8,FALSE)),"None")</f>
        <v>None</v>
      </c>
      <c r="I101" s="67"/>
      <c r="L101" s="4"/>
      <c r="M101" s="4"/>
      <c r="N101" s="4"/>
      <c r="O101" s="61">
        <f t="shared" ref="O101:O120" si="16">N101</f>
        <v>0</v>
      </c>
      <c r="P101" s="60">
        <f t="shared" ref="P101:P120" si="17">MIN(SUM(L101,M101,O101),R101)</f>
        <v>0</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
      </c>
      <c r="D102" s="19"/>
      <c r="E102" s="15" t="s">
        <v>1441</v>
      </c>
      <c r="F102" s="3"/>
      <c r="G102" s="60" t="str">
        <f>IFERROR(VLOOKUP(F102,tblManoeuvre[],2,FALSE)&amp;" "&amp;VLOOKUP(F102,tblManoeuvre[],3,FALSE),"")</f>
        <v/>
      </c>
      <c r="H102" s="67" t="str">
        <f>IFERROR(IF(VLOOKUP(F102,tblManoeuvre[],8,FALSE)=0,"None",VLOOKUP(F102,tblManoeuvre[],8,FALSE)),"None")</f>
        <v>None</v>
      </c>
      <c r="I102" s="67"/>
      <c r="L102" s="4"/>
      <c r="M102" s="4"/>
      <c r="N102" s="4"/>
      <c r="O102" s="61">
        <f t="shared" si="16"/>
        <v>0</v>
      </c>
      <c r="P102" s="60">
        <f t="shared" si="17"/>
        <v>0</v>
      </c>
      <c r="Q102" s="61">
        <v>1</v>
      </c>
      <c r="R102" s="61">
        <v>1</v>
      </c>
      <c r="Y102" s="15">
        <v>1</v>
      </c>
      <c r="Z102" s="61" t="s">
        <v>251</v>
      </c>
      <c r="AA102" s="60" t="str" cm="1">
        <f t="array" ref="AA102">IF(VLOOKUP(Z102,$AI$1:$AJ$58,2,FALSE)&gt;=Y102,INDEX(tblDisciplines[Name],MATCH(1,(tblDisciplines[Discipline]=Z102)*(tblDisciplines[Rank]=Y102),0)),"")</f>
        <v/>
      </c>
    </row>
    <row r="103" spans="1:27">
      <c r="A103" s="1" t="s">
        <v>102</v>
      </c>
      <c r="B103">
        <f>P73</f>
        <v>6</v>
      </c>
      <c r="D103" s="19"/>
      <c r="E103" s="15" t="s">
        <v>1443</v>
      </c>
      <c r="F103" s="3"/>
      <c r="G103" s="60" t="str">
        <f>IFERROR(VLOOKUP(F103,tblManoeuvre[],2,FALSE)&amp;" "&amp;VLOOKUP(F103,tblManoeuvre[],3,FALSE),"")</f>
        <v/>
      </c>
      <c r="H103" s="67" t="str">
        <f>IFERROR(IF(VLOOKUP(F103,tblManoeuvre[],8,FALSE)=0,"None",VLOOKUP(F103,tblManoeuvre[],8,FALSE)),"None")</f>
        <v>None</v>
      </c>
      <c r="I103" s="67"/>
      <c r="L103" s="4"/>
      <c r="M103" s="4"/>
      <c r="N103" s="4"/>
      <c r="O103" s="61">
        <f t="shared" si="16"/>
        <v>0</v>
      </c>
      <c r="P103" s="60">
        <f t="shared" si="17"/>
        <v>0</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c r="G104" s="60" t="str">
        <f>IFERROR(VLOOKUP(F104,tblManoeuvre[],2,FALSE)&amp;" "&amp;VLOOKUP(F104,tblManoeuvre[],3,FALSE),"")</f>
        <v/>
      </c>
      <c r="H104" s="67" t="str">
        <f>IFERROR(IF(VLOOKUP(F104,tblManoeuvre[],8,FALSE)=0,"None",VLOOKUP(F104,tblManoeuvre[],8,FALSE)),"None")</f>
        <v>None</v>
      </c>
      <c r="I104" s="67"/>
      <c r="L104" s="4"/>
      <c r="M104" s="4"/>
      <c r="N104" s="4"/>
      <c r="O104" s="61">
        <f t="shared" si="16"/>
        <v>0</v>
      </c>
      <c r="P104" s="60">
        <f t="shared" si="17"/>
        <v>0</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c r="G105" s="60" t="str">
        <f>IFERROR(VLOOKUP(F105,tblManoeuvre[],2,FALSE)&amp;" "&amp;VLOOKUP(F105,tblManoeuvre[],3,FALSE),"")</f>
        <v/>
      </c>
      <c r="H105" s="67" t="str">
        <f>IFERROR(IF(VLOOKUP(F105,tblManoeuvre[],8,FALSE)=0,"None",VLOOKUP(F105,tblManoeuvre[],8,FALSE)),"None")</f>
        <v>None</v>
      </c>
      <c r="I105" s="67"/>
      <c r="L105" s="4"/>
      <c r="M105" s="4"/>
      <c r="N105" s="4"/>
      <c r="O105" s="61">
        <f t="shared" si="16"/>
        <v>0</v>
      </c>
      <c r="P105" s="60">
        <f t="shared" si="17"/>
        <v>0</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IFERROR(VLOOKUP(F106,tblManoeuvre[],2,FALSE)&amp;" "&amp;VLOOKUP(F106,tblManoeuvre[],3,FALSE),"")</f>
        <v/>
      </c>
      <c r="H106" s="67" t="str">
        <f>IFERROR(IF(VLOOKUP(F106,tblManoeuvre[],8,FALSE)=0,"None",VLOOKUP(F106,tblManoeuvre[],8,FALSE)),"None")</f>
        <v>None</v>
      </c>
      <c r="I106" s="67"/>
      <c r="L106" s="4"/>
      <c r="M106" s="4"/>
      <c r="N106" s="4"/>
      <c r="O106" s="61">
        <f t="shared" si="16"/>
        <v>0</v>
      </c>
      <c r="P106" s="60">
        <f t="shared" si="17"/>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IFERROR(VLOOKUP(F107,tblManoeuvre[],2,FALSE)&amp;" "&amp;VLOOKUP(F107,tblManoeuvre[],3,FALSE),"")</f>
        <v/>
      </c>
      <c r="H107" s="67" t="str">
        <f>IFERROR(IF(VLOOKUP(F107,tblManoeuvre[],8,FALSE)=0,"None",VLOOKUP(F107,tblManoeuvre[],8,FALSE)),"None")</f>
        <v>None</v>
      </c>
      <c r="I107" s="67"/>
      <c r="L107" s="4"/>
      <c r="M107" s="4"/>
      <c r="N107" s="4"/>
      <c r="O107" s="61">
        <f t="shared" si="16"/>
        <v>0</v>
      </c>
      <c r="P107" s="60">
        <f t="shared" si="17"/>
        <v>0</v>
      </c>
      <c r="Q107" s="61">
        <v>1</v>
      </c>
      <c r="R107" s="61">
        <v>1</v>
      </c>
      <c r="Y107" s="15">
        <v>1</v>
      </c>
      <c r="Z107" s="61" t="s">
        <v>252</v>
      </c>
      <c r="AA107" s="60" t="str" cm="1">
        <f t="array" ref="AA107">IF(VLOOKUP(Z107,$AI$1:$AJ$58,2,FALSE)&gt;=Y107,INDEX(tblDisciplines[Name],MATCH(1,(tblDisciplines[Discipline]=Z107)*(tblDisciplines[Rank]=Y107),0)),"")</f>
        <v/>
      </c>
    </row>
    <row r="108" spans="1:27">
      <c r="A108" s="1" t="s">
        <v>107</v>
      </c>
      <c r="B108" t="str">
        <f>IF($P$73&gt;=7,"●","○") &amp; IF(F226&lt;&gt;""," (" &amp; F226 &amp; ")","")</f>
        <v>○</v>
      </c>
      <c r="D108" s="19"/>
      <c r="E108" s="15" t="s">
        <v>1452</v>
      </c>
      <c r="F108" s="3"/>
      <c r="G108" s="60" t="str">
        <f>IFERROR(VLOOKUP(F108,tblManoeuvre[],2,FALSE)&amp;" "&amp;VLOOKUP(F108,tblManoeuvre[],3,FALSE),"")</f>
        <v/>
      </c>
      <c r="H108" s="67" t="str">
        <f>IFERROR(IF(VLOOKUP(F108,tblManoeuvre[],8,FALSE)=0,"None",VLOOKUP(F108,tblManoeuvre[],8,FALSE)),"None")</f>
        <v>None</v>
      </c>
      <c r="I108" s="67"/>
      <c r="L108" s="4"/>
      <c r="M108" s="4"/>
      <c r="N108" s="4"/>
      <c r="O108" s="61">
        <f t="shared" si="16"/>
        <v>0</v>
      </c>
      <c r="P108" s="60">
        <f t="shared" si="17"/>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 (Sister Tahliah)</v>
      </c>
      <c r="D109" s="19"/>
      <c r="E109" s="15" t="s">
        <v>1454</v>
      </c>
      <c r="F109" s="3"/>
      <c r="G109" s="60" t="str">
        <f>IFERROR(VLOOKUP(F109,tblManoeuvre[],2,FALSE)&amp;" "&amp;VLOOKUP(F109,tblManoeuvre[],3,FALSE),"")</f>
        <v/>
      </c>
      <c r="H109" s="67" t="str">
        <f>IFERROR(IF(VLOOKUP(F109,tblManoeuvre[],8,FALSE)=0,"None",VLOOKUP(F109,tblManoeuvre[],8,FALSE)),"None")</f>
        <v>None</v>
      </c>
      <c r="I109" s="67"/>
      <c r="L109" s="4"/>
      <c r="M109" s="4"/>
      <c r="N109" s="4"/>
      <c r="O109" s="61">
        <f t="shared" si="16"/>
        <v>0</v>
      </c>
      <c r="P109" s="60">
        <f t="shared" si="17"/>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 (Old Pine Log)</v>
      </c>
      <c r="D110" s="19"/>
      <c r="E110" s="15" t="s">
        <v>1455</v>
      </c>
      <c r="F110" s="3"/>
      <c r="G110" s="60" t="str">
        <f>IFERROR(VLOOKUP(F110,tblManoeuvre[],2,FALSE)&amp;" "&amp;VLOOKUP(F110,tblManoeuvre[],3,FALSE),"")</f>
        <v/>
      </c>
      <c r="H110" s="67" t="str">
        <f>IFERROR(IF(VLOOKUP(F110,tblManoeuvre[],8,FALSE)=0,"None",VLOOKUP(F110,tblManoeuvre[],8,FALSE)),"None")</f>
        <v>None</v>
      </c>
      <c r="I110" s="67"/>
      <c r="L110" s="4"/>
      <c r="M110" s="4"/>
      <c r="N110" s="4"/>
      <c r="O110" s="61">
        <f t="shared" si="16"/>
        <v>0</v>
      </c>
      <c r="P110" s="60">
        <f t="shared" si="17"/>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t="str">
        <f>IFERROR(VLOOKUP(F111,tblManoeuvre[],2,FALSE)&amp;" "&amp;VLOOKUP(F111,tblManoeuvre[],3,FALSE),"")</f>
        <v/>
      </c>
      <c r="H111" s="67" t="str">
        <f>IFERROR(IF(VLOOKUP(F111,tblManoeuvre[],8,FALSE)=0,"None",VLOOKUP(F111,tblManoeuvre[],8,FALSE)),"None")</f>
        <v>None</v>
      </c>
      <c r="I111" s="67"/>
      <c r="L111" s="4"/>
      <c r="M111" s="4"/>
      <c r="N111" s="4"/>
      <c r="O111" s="61">
        <f t="shared" si="16"/>
        <v>0</v>
      </c>
      <c r="P111" s="60">
        <f t="shared" si="17"/>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t="str">
        <f>IFERROR(VLOOKUP(F112,tblManoeuvre[],2,FALSE)&amp;" "&amp;VLOOKUP(F112,tblManoeuvre[],3,FALSE),"")</f>
        <v/>
      </c>
      <c r="H112" s="67" t="str">
        <f>IFERROR(IF(VLOOKUP(F112,tblManoeuvre[],8,FALSE)=0,"None",VLOOKUP(F112,tblManoeuvre[],8,FALSE)),"None")</f>
        <v>None</v>
      </c>
      <c r="I112" s="67"/>
      <c r="L112" s="4"/>
      <c r="M112" s="4"/>
      <c r="N112" s="4"/>
      <c r="O112" s="61">
        <f t="shared" si="16"/>
        <v>0</v>
      </c>
      <c r="P112" s="60">
        <f t="shared" si="17"/>
        <v>0</v>
      </c>
      <c r="Q112" s="61">
        <v>1</v>
      </c>
      <c r="R112" s="61">
        <v>1</v>
      </c>
      <c r="Y112" s="61" t="s">
        <v>1474</v>
      </c>
      <c r="Z112" s="61" t="str">
        <f t="shared" ref="Z112:Z121" si="18">G194</f>
        <v/>
      </c>
      <c r="AA112" s="60" t="str">
        <f t="shared" ref="AA112:AA121" si="19">IF(P194="","",F194)</f>
        <v/>
      </c>
    </row>
    <row r="113" spans="1:27">
      <c r="A113" s="1" t="s">
        <v>112</v>
      </c>
      <c r="B113" t="str">
        <f>IF($P$73&gt;=2,"●","○") &amp; IF(F231&lt;&gt;""," (" &amp; F231 &amp; ")","")</f>
        <v>●</v>
      </c>
      <c r="D113" s="19"/>
      <c r="E113" s="15" t="s">
        <v>1458</v>
      </c>
      <c r="F113" s="3"/>
      <c r="G113" s="60" t="str">
        <f>IFERROR(VLOOKUP(F113,tblManoeuvre[],2,FALSE)&amp;" "&amp;VLOOKUP(F113,tblManoeuvre[],3,FALSE),"")</f>
        <v/>
      </c>
      <c r="H113" s="67" t="str">
        <f>IFERROR(IF(VLOOKUP(F113,tblManoeuvre[],8,FALSE)=0,"None",VLOOKUP(F113,tblManoeuvre[],8,FALSE)),"None")</f>
        <v>None</v>
      </c>
      <c r="I113" s="67"/>
      <c r="L113" s="4"/>
      <c r="M113" s="4"/>
      <c r="N113" s="4"/>
      <c r="O113" s="61">
        <f t="shared" si="16"/>
        <v>0</v>
      </c>
      <c r="P113" s="60">
        <f t="shared" si="17"/>
        <v>0</v>
      </c>
      <c r="Q113" s="61">
        <v>1</v>
      </c>
      <c r="R113" s="61">
        <v>1</v>
      </c>
      <c r="Y113" s="61" t="s">
        <v>1474</v>
      </c>
      <c r="Z113" s="61" t="str">
        <f t="shared" si="18"/>
        <v/>
      </c>
      <c r="AA113" s="60" t="str">
        <f t="shared" si="19"/>
        <v/>
      </c>
    </row>
    <row r="114" spans="1:27">
      <c r="A114" s="1" t="s">
        <v>113</v>
      </c>
      <c r="B114" t="str">
        <f>IF($P$73&gt;=1,"●","○") &amp; IF(F232&lt;&gt;""," (" &amp; F232 &amp; ")","")</f>
        <v>●</v>
      </c>
      <c r="D114" s="19"/>
      <c r="E114" s="15" t="s">
        <v>1460</v>
      </c>
      <c r="F114" s="3"/>
      <c r="G114" s="60" t="str">
        <f>IFERROR(VLOOKUP(F114,tblManoeuvre[],2,FALSE)&amp;" "&amp;VLOOKUP(F114,tblManoeuvre[],3,FALSE),"")</f>
        <v/>
      </c>
      <c r="H114" s="67" t="str">
        <f>IFERROR(IF(VLOOKUP(F114,tblManoeuvre[],8,FALSE)=0,"None",VLOOKUP(F114,tblManoeuvre[],8,FALSE)),"None")</f>
        <v>None</v>
      </c>
      <c r="I114" s="67"/>
      <c r="L114" s="4"/>
      <c r="M114" s="4"/>
      <c r="N114" s="4"/>
      <c r="O114" s="61">
        <f t="shared" si="16"/>
        <v>0</v>
      </c>
      <c r="P114" s="60">
        <f t="shared" si="17"/>
        <v>0</v>
      </c>
      <c r="Q114" s="61">
        <v>1</v>
      </c>
      <c r="R114" s="61">
        <v>1</v>
      </c>
      <c r="Y114" s="61" t="s">
        <v>1474</v>
      </c>
      <c r="Z114" s="61" t="str">
        <f t="shared" si="18"/>
        <v/>
      </c>
      <c r="AA114" s="60" t="str">
        <f t="shared" si="19"/>
        <v/>
      </c>
    </row>
    <row r="115" spans="1:27">
      <c r="A115" s="1" t="s">
        <v>114</v>
      </c>
      <c r="B115" t="str">
        <f t="shared" ref="B115:B144" si="20">IF(AD2="","¬",AD2)</f>
        <v>Indomitable ●●</v>
      </c>
      <c r="D115" s="19"/>
      <c r="E115" s="15" t="s">
        <v>1461</v>
      </c>
      <c r="F115" s="3"/>
      <c r="G115" s="60" t="str">
        <f>IFERROR(VLOOKUP(F115,tblManoeuvre[],2,FALSE)&amp;" "&amp;VLOOKUP(F115,tblManoeuvre[],3,FALSE),"")</f>
        <v/>
      </c>
      <c r="H115" s="67" t="str">
        <f>IFERROR(IF(VLOOKUP(F115,tblManoeuvre[],8,FALSE)=0,"None",VLOOKUP(F115,tblManoeuvre[],8,FALSE)),"None")</f>
        <v>None</v>
      </c>
      <c r="I115" s="67"/>
      <c r="L115" s="4"/>
      <c r="M115" s="4"/>
      <c r="N115" s="4"/>
      <c r="O115" s="61">
        <f t="shared" si="16"/>
        <v>0</v>
      </c>
      <c r="P115" s="60">
        <f t="shared" si="17"/>
        <v>0</v>
      </c>
      <c r="Q115" s="61">
        <v>1</v>
      </c>
      <c r="R115" s="61">
        <v>1</v>
      </c>
      <c r="Y115" s="61" t="s">
        <v>1474</v>
      </c>
      <c r="Z115" s="61" t="str">
        <f t="shared" si="18"/>
        <v/>
      </c>
      <c r="AA115" s="60" t="str">
        <f t="shared" si="19"/>
        <v/>
      </c>
    </row>
    <row r="116" spans="1:27">
      <c r="A116" s="1" t="s">
        <v>115</v>
      </c>
      <c r="B116" t="str">
        <f t="shared" si="20"/>
        <v>Iron Stamina ●●</v>
      </c>
      <c r="D116" s="19"/>
      <c r="E116" s="15" t="s">
        <v>1462</v>
      </c>
      <c r="F116" s="3"/>
      <c r="G116" s="60" t="str">
        <f>IFERROR(VLOOKUP(F116,tblManoeuvre[],2,FALSE)&amp;" "&amp;VLOOKUP(F116,tblManoeuvre[],3,FALSE),"")</f>
        <v/>
      </c>
      <c r="H116" s="67" t="str">
        <f>IFERROR(IF(VLOOKUP(F116,tblManoeuvre[],8,FALSE)=0,"None",VLOOKUP(F116,tblManoeuvre[],8,FALSE)),"None")</f>
        <v>None</v>
      </c>
      <c r="I116" s="67"/>
      <c r="L116" s="4"/>
      <c r="M116" s="4"/>
      <c r="N116" s="4"/>
      <c r="O116" s="61">
        <f t="shared" si="16"/>
        <v>0</v>
      </c>
      <c r="P116" s="60">
        <f t="shared" si="17"/>
        <v>0</v>
      </c>
      <c r="Q116" s="61">
        <v>1</v>
      </c>
      <c r="R116" s="61">
        <v>1</v>
      </c>
      <c r="Y116" s="61" t="s">
        <v>1474</v>
      </c>
      <c r="Z116" s="61" t="str">
        <f t="shared" si="18"/>
        <v/>
      </c>
      <c r="AA116" s="60" t="str">
        <f t="shared" si="19"/>
        <v/>
      </c>
    </row>
    <row r="117" spans="1:27">
      <c r="A117" s="1" t="s">
        <v>116</v>
      </c>
      <c r="B117" t="str">
        <f t="shared" si="20"/>
        <v>Language (Hindi) ●</v>
      </c>
      <c r="D117" s="19"/>
      <c r="E117" s="15" t="s">
        <v>1463</v>
      </c>
      <c r="F117" s="3"/>
      <c r="G117" s="60" t="str">
        <f>IFERROR(VLOOKUP(F117,tblManoeuvre[],2,FALSE)&amp;" "&amp;VLOOKUP(F117,tblManoeuvre[],3,FALSE),"")</f>
        <v/>
      </c>
      <c r="H117" s="67" t="str">
        <f>IFERROR(IF(VLOOKUP(F117,tblManoeuvre[],8,FALSE)=0,"None",VLOOKUP(F117,tblManoeuvre[],8,FALSE)),"None")</f>
        <v>None</v>
      </c>
      <c r="I117" s="67"/>
      <c r="L117" s="4"/>
      <c r="M117" s="4"/>
      <c r="N117" s="4"/>
      <c r="O117" s="61">
        <f t="shared" si="16"/>
        <v>0</v>
      </c>
      <c r="P117" s="60">
        <f t="shared" si="17"/>
        <v>0</v>
      </c>
      <c r="Q117" s="61">
        <v>1</v>
      </c>
      <c r="R117" s="61">
        <v>1</v>
      </c>
      <c r="Y117" s="61" t="s">
        <v>1474</v>
      </c>
      <c r="Z117" s="61" t="str">
        <f t="shared" si="18"/>
        <v/>
      </c>
      <c r="AA117" s="60" t="str">
        <f t="shared" si="19"/>
        <v/>
      </c>
    </row>
    <row r="118" spans="1:27">
      <c r="A118" s="1" t="s">
        <v>117</v>
      </c>
      <c r="B118" t="str">
        <f t="shared" si="20"/>
        <v>Pusher ●</v>
      </c>
      <c r="D118" s="19"/>
      <c r="E118" s="15" t="s">
        <v>1464</v>
      </c>
      <c r="F118" s="3"/>
      <c r="G118" s="60" t="str">
        <f>IFERROR(VLOOKUP(F118,tblManoeuvre[],2,FALSE)&amp;" "&amp;VLOOKUP(F118,tblManoeuvre[],3,FALSE),"")</f>
        <v/>
      </c>
      <c r="H118" s="67" t="str">
        <f>IFERROR(IF(VLOOKUP(F118,tblManoeuvre[],8,FALSE)=0,"None",VLOOKUP(F118,tblManoeuvre[],8,FALSE)),"None")</f>
        <v>None</v>
      </c>
      <c r="I118" s="67"/>
      <c r="L118" s="4"/>
      <c r="M118" s="4"/>
      <c r="N118" s="4"/>
      <c r="O118" s="61">
        <f t="shared" si="16"/>
        <v>0</v>
      </c>
      <c r="P118" s="60">
        <f t="shared" si="17"/>
        <v>0</v>
      </c>
      <c r="Q118" s="61">
        <v>1</v>
      </c>
      <c r="R118" s="61">
        <v>1</v>
      </c>
      <c r="Y118" s="61" t="s">
        <v>1474</v>
      </c>
      <c r="Z118" s="61" t="str">
        <f t="shared" si="18"/>
        <v/>
      </c>
      <c r="AA118" s="60" t="str">
        <f t="shared" si="19"/>
        <v/>
      </c>
    </row>
    <row r="119" spans="1:27">
      <c r="A119" s="1" t="s">
        <v>118</v>
      </c>
      <c r="B119" t="str">
        <f t="shared" si="20"/>
        <v>¬</v>
      </c>
      <c r="D119" s="19"/>
      <c r="E119" s="15" t="s">
        <v>1466</v>
      </c>
      <c r="F119" s="3"/>
      <c r="G119" s="60" t="str">
        <f>IFERROR(VLOOKUP(F119,tblManoeuvre[],2,FALSE)&amp;" "&amp;VLOOKUP(F119,tblManoeuvre[],3,FALSE),"")</f>
        <v/>
      </c>
      <c r="H119" s="67" t="str">
        <f>IFERROR(IF(VLOOKUP(F119,tblManoeuvre[],8,FALSE)=0,"None",VLOOKUP(F119,tblManoeuvre[],8,FALSE)),"None")</f>
        <v>None</v>
      </c>
      <c r="I119" s="67"/>
      <c r="L119" s="4"/>
      <c r="M119" s="4"/>
      <c r="N119" s="4"/>
      <c r="O119" s="61">
        <f t="shared" si="16"/>
        <v>0</v>
      </c>
      <c r="P119" s="60">
        <f t="shared" si="17"/>
        <v>0</v>
      </c>
      <c r="Q119" s="61">
        <v>1</v>
      </c>
      <c r="R119" s="61">
        <v>1</v>
      </c>
      <c r="Y119" s="61" t="s">
        <v>1474</v>
      </c>
      <c r="Z119" s="61" t="str">
        <f t="shared" si="18"/>
        <v/>
      </c>
      <c r="AA119" s="60" t="str">
        <f t="shared" si="19"/>
        <v/>
      </c>
    </row>
    <row r="120" spans="1:27">
      <c r="A120" s="1" t="s">
        <v>119</v>
      </c>
      <c r="B120" t="str">
        <f t="shared" si="20"/>
        <v>¬</v>
      </c>
      <c r="D120" s="19"/>
      <c r="E120" s="15" t="s">
        <v>1468</v>
      </c>
      <c r="F120" s="3"/>
      <c r="G120" s="60" t="str">
        <f>IFERROR(VLOOKUP(F120,tblManoeuvre[],2,FALSE)&amp;" "&amp;VLOOKUP(F120,tblManoeuvre[],3,FALSE),"")</f>
        <v/>
      </c>
      <c r="H120" s="67" t="str">
        <f>IFERROR(IF(VLOOKUP(F120,tblManoeuvre[],8,FALSE)=0,"None",VLOOKUP(F120,tblManoeuvre[],8,FALSE)),"None")</f>
        <v>None</v>
      </c>
      <c r="I120" s="67"/>
      <c r="L120" s="4"/>
      <c r="M120" s="4"/>
      <c r="N120" s="4"/>
      <c r="O120" s="61">
        <f t="shared" si="16"/>
        <v>0</v>
      </c>
      <c r="P120" s="60">
        <f t="shared" si="17"/>
        <v>0</v>
      </c>
      <c r="Q120" s="61">
        <v>1</v>
      </c>
      <c r="R120" s="61">
        <v>1</v>
      </c>
      <c r="Y120" s="61" t="s">
        <v>1474</v>
      </c>
      <c r="Z120" s="61" t="str">
        <f t="shared" si="18"/>
        <v/>
      </c>
      <c r="AA120" s="60" t="str">
        <f t="shared" si="19"/>
        <v/>
      </c>
    </row>
    <row r="121" spans="1:27">
      <c r="A121" s="1" t="s">
        <v>120</v>
      </c>
      <c r="B121" t="str">
        <f t="shared" si="20"/>
        <v>¬</v>
      </c>
      <c r="Y121" s="61" t="s">
        <v>1474</v>
      </c>
      <c r="Z121" s="61" t="str">
        <f t="shared" si="18"/>
        <v/>
      </c>
      <c r="AA121" s="60" t="str">
        <f t="shared" si="19"/>
        <v/>
      </c>
    </row>
    <row r="122" spans="1:27" ht="15.75" thickBot="1">
      <c r="A122" s="1" t="s">
        <v>121</v>
      </c>
      <c r="B122" t="str">
        <f t="shared" si="20"/>
        <v>¬</v>
      </c>
      <c r="D122" s="14" t="s">
        <v>1475</v>
      </c>
      <c r="E122" s="14"/>
      <c r="F122" s="14"/>
      <c r="G122" s="14"/>
      <c r="H122" s="14"/>
      <c r="I122" s="14"/>
    </row>
    <row r="123" spans="1:27">
      <c r="A123" s="1" t="s">
        <v>122</v>
      </c>
      <c r="B123" t="str">
        <f t="shared" si="20"/>
        <v>¬</v>
      </c>
      <c r="D123" s="16" t="s">
        <v>927</v>
      </c>
      <c r="E123" s="17"/>
      <c r="F123" s="17"/>
      <c r="G123" s="17"/>
      <c r="H123" s="17"/>
      <c r="I123" s="17"/>
      <c r="Y123" s="15" t="s">
        <v>1476</v>
      </c>
      <c r="Z123" s="19"/>
      <c r="AA123" s="61" t="str">
        <f t="shared" ref="AA123:AA132" si="21">_xlfn.LET(_xlpm.name,VLOOKUP(Y123,$E$2:$F$362,2,FALSE),_xlpm.paid,_xlfn.IFNA(VLOOKUP(_xlpm.name,$F$121:$Q$215,11,FALSE)&gt;=VLOOKUP(_xlpm.name,$F$121:$Q$215,12,FALSE),FALSE),IF(AND(_xlpm.name&lt;&gt;"",_xlpm.paid),_xlpm.name,""))</f>
        <v/>
      </c>
    </row>
    <row r="124" spans="1:27">
      <c r="A124" s="1" t="s">
        <v>123</v>
      </c>
      <c r="B124" t="str">
        <f t="shared" si="20"/>
        <v>¬</v>
      </c>
      <c r="D124" s="19"/>
      <c r="E124" s="15" t="s">
        <v>83</v>
      </c>
      <c r="F124" s="19"/>
      <c r="G124" s="19"/>
      <c r="H124" s="19"/>
      <c r="I124" s="19"/>
      <c r="L124" s="4">
        <v>3</v>
      </c>
      <c r="M124" s="61">
        <f>IFERROR(VLOOKUP(G13,tblEffectiveStatus[#Data],2,FALSE),0)</f>
        <v>0</v>
      </c>
      <c r="P124" s="60">
        <f>MIN(L124+M124,R124)</f>
        <v>3</v>
      </c>
      <c r="R124" s="61">
        <v>10</v>
      </c>
      <c r="Y124" s="15" t="s">
        <v>1477</v>
      </c>
      <c r="Z124" s="19"/>
      <c r="AA124" s="61" t="str">
        <f t="shared" si="21"/>
        <v/>
      </c>
    </row>
    <row r="125" spans="1:27">
      <c r="A125" s="1" t="s">
        <v>124</v>
      </c>
      <c r="B125" t="str">
        <f t="shared" si="20"/>
        <v>¬</v>
      </c>
      <c r="D125" s="19"/>
      <c r="E125" s="15" t="str">
        <f>IF(F7="","Clan Status",F7&amp;" Status")</f>
        <v>Gangrel Status</v>
      </c>
      <c r="F125" s="19"/>
      <c r="G125" s="19"/>
      <c r="H125" s="19"/>
      <c r="I125" s="19"/>
      <c r="L125" s="4">
        <v>2</v>
      </c>
      <c r="P125" s="60">
        <f>IF(L125="",0,MIN(L125,R125))</f>
        <v>2</v>
      </c>
      <c r="R125" s="61">
        <v>5</v>
      </c>
      <c r="Y125" s="15" t="s">
        <v>1478</v>
      </c>
      <c r="Z125" s="19"/>
      <c r="AA125" s="61" t="str">
        <f t="shared" si="21"/>
        <v/>
      </c>
    </row>
    <row r="126" spans="1:27">
      <c r="A126" s="1" t="s">
        <v>125</v>
      </c>
      <c r="B126" t="str">
        <f t="shared" si="20"/>
        <v>¬</v>
      </c>
      <c r="D126" s="19"/>
      <c r="E126" s="15" t="str">
        <f>IF(F9="","",F9&amp;" Status")</f>
        <v>Lancea et Sanctum Status</v>
      </c>
      <c r="F126" s="19" t="str">
        <f>IF(F9="","",VLOOKUP(F9,tblCovenantShortName[#Data],2,FALSE))</f>
        <v>Lance</v>
      </c>
      <c r="G126" s="19"/>
      <c r="H126" s="19"/>
      <c r="I126" s="19"/>
      <c r="L126" s="4">
        <v>1</v>
      </c>
      <c r="P126" s="60">
        <f>L126</f>
        <v>1</v>
      </c>
      <c r="R126" s="61">
        <f>5-SUM(L127:L129)</f>
        <v>5</v>
      </c>
      <c r="Y126" s="15" t="s">
        <v>1479</v>
      </c>
      <c r="Z126" s="19"/>
      <c r="AA126" s="61" t="str">
        <f t="shared" si="21"/>
        <v/>
      </c>
    </row>
    <row r="127" spans="1:27">
      <c r="A127" s="1" t="s">
        <v>126</v>
      </c>
      <c r="B127" t="str">
        <f t="shared" si="20"/>
        <v>¬</v>
      </c>
      <c r="D127" s="19"/>
      <c r="E127" s="15" t="str" cm="1">
        <f t="array" ref="E127">IF(F9="","",IFERROR(INDEX(Lists!$F$2:$F$5,SMALL(IF(Lists!$F$2:$F$5&lt;&gt;$F$9,ROW(Lists!$F$2:$F$5)-ROW(Lists!$F$2)+1),1))&amp;" Status",""))</f>
        <v>Carthian Movement Status</v>
      </c>
      <c r="F127" s="19" t="str" cm="1">
        <f t="array" ref="F127">IF(F9="","",IFERROR(VLOOKUP(INDEX(Lists!$F$2:$F$5,SMALL(IF(Lists!$F$2:$F$5&lt;&gt;$F$9,ROW(Lists!$F$2:$F$5)-ROW(Lists!$F$2)+1),1)),tblCovenantShortName[],2,FALSE),""))</f>
        <v>Carthian</v>
      </c>
      <c r="G127" s="19"/>
      <c r="H127" s="19"/>
      <c r="I127" s="19"/>
      <c r="L127" s="4"/>
      <c r="P127" s="60">
        <f>L127</f>
        <v>0</v>
      </c>
      <c r="R127" s="61">
        <f>MAX(0,MIN(P126-1,5-L126-L128-L129))</f>
        <v>0</v>
      </c>
      <c r="Y127" s="15" t="s">
        <v>1480</v>
      </c>
      <c r="Z127" s="19"/>
      <c r="AA127" s="61" t="str">
        <f t="shared" si="21"/>
        <v/>
      </c>
    </row>
    <row r="128" spans="1:27">
      <c r="A128" s="1" t="s">
        <v>127</v>
      </c>
      <c r="B128" t="str">
        <f t="shared" si="20"/>
        <v>¬</v>
      </c>
      <c r="D128" s="19"/>
      <c r="E128" s="15" t="str" cm="1">
        <f t="array" ref="E128">IF(F9="","",IFERROR(INDEX(Lists!$F$2:$F$5,SMALL(IF(Lists!$F$2:$F$5&lt;&gt;$F$9,ROW(Lists!$F$2:$F$5)-ROW(Lists!$F$2)+1),2))&amp;" Status",""))</f>
        <v>Circle of the Crone Status</v>
      </c>
      <c r="F128" s="19" t="str" cm="1">
        <f t="array" ref="F128">IF(F9="","",IFERROR(VLOOKUP(INDEX(Lists!$F$2:$F$5,SMALL(IF(Lists!$F$2:$F$5&lt;&gt;$F$9,ROW(Lists!$F$2:$F$5)-ROW(Lists!$F$2)+1),2)),tblCovenantShortName[],2,FALSE),""))</f>
        <v>Crone</v>
      </c>
      <c r="G128" s="19"/>
      <c r="H128" s="19"/>
      <c r="I128" s="19"/>
      <c r="L128" s="4"/>
      <c r="P128" s="60">
        <f>L128</f>
        <v>0</v>
      </c>
      <c r="R128" s="61">
        <f>MAX(0,MIN(P126-1,5-L126-L127-L129))</f>
        <v>0</v>
      </c>
      <c r="Y128" s="15" t="s">
        <v>1481</v>
      </c>
      <c r="Z128" s="19"/>
      <c r="AA128" s="61" t="str">
        <f t="shared" si="21"/>
        <v/>
      </c>
    </row>
    <row r="129" spans="1:32">
      <c r="A129" s="1" t="s">
        <v>128</v>
      </c>
      <c r="B129" t="str">
        <f t="shared" si="20"/>
        <v>¬</v>
      </c>
      <c r="D129" s="19"/>
      <c r="E129" s="15" t="str" cm="1">
        <f t="array" ref="E129">IF(F9="","",IFERROR(INDEX(Lists!$F$2:$F$5,SMALL(IF(Lists!$F$2:$F$5&lt;&gt;$F$9,ROW(Lists!$F$2:$F$5)-ROW(Lists!$F$2)+1),3))&amp;" Status",""))</f>
        <v>Invictus Status</v>
      </c>
      <c r="F129" s="19" t="str" cm="1">
        <f t="array" ref="F129">IF(F9="","",IFERROR(VLOOKUP(INDEX(Lists!$F$2:$F$5,SMALL(IF(Lists!$F$2:$F$5&lt;&gt;$F$9,ROW(Lists!$F$2:$F$5)-ROW(Lists!$F$2)+1),3)),tblCovenantShortName[],2,FALSE),""))</f>
        <v>Invictus</v>
      </c>
      <c r="G129" s="19"/>
      <c r="H129" s="19"/>
      <c r="I129" s="19"/>
      <c r="L129" s="4"/>
      <c r="P129" s="60">
        <f>L129</f>
        <v>0</v>
      </c>
      <c r="R129" s="61">
        <f>MAX(0,MIN(P126-1,5-L126-L127-L128))</f>
        <v>0</v>
      </c>
      <c r="Y129" s="15" t="s">
        <v>1482</v>
      </c>
      <c r="Z129" s="19"/>
      <c r="AA129" s="61" t="str">
        <f t="shared" si="21"/>
        <v/>
      </c>
    </row>
    <row r="130" spans="1:32">
      <c r="A130" s="1" t="s">
        <v>129</v>
      </c>
      <c r="B130" t="str">
        <f t="shared" si="20"/>
        <v>¬</v>
      </c>
      <c r="Y130" s="15" t="s">
        <v>1483</v>
      </c>
      <c r="Z130" s="19"/>
      <c r="AA130" s="61" t="str">
        <f t="shared" si="21"/>
        <v/>
      </c>
    </row>
    <row r="131" spans="1:32">
      <c r="A131" s="1" t="s">
        <v>130</v>
      </c>
      <c r="B131" t="str">
        <f t="shared" si="20"/>
        <v>¬</v>
      </c>
      <c r="D131" s="16" t="s">
        <v>1475</v>
      </c>
      <c r="E131" s="17"/>
      <c r="F131" s="16" t="s">
        <v>1446</v>
      </c>
      <c r="G131" s="17"/>
      <c r="H131" s="17"/>
      <c r="I131" s="17"/>
      <c r="Y131" s="15" t="s">
        <v>1484</v>
      </c>
      <c r="Z131" s="19"/>
      <c r="AA131" s="61" t="str">
        <f t="shared" si="21"/>
        <v/>
      </c>
    </row>
    <row r="132" spans="1:32">
      <c r="A132" s="1" t="s">
        <v>131</v>
      </c>
      <c r="B132" t="str">
        <f t="shared" si="20"/>
        <v>¬</v>
      </c>
      <c r="D132" s="19"/>
      <c r="E132" s="15" t="s">
        <v>94</v>
      </c>
      <c r="F132" s="3"/>
      <c r="G132" s="19"/>
      <c r="H132" s="19"/>
      <c r="I132" s="19"/>
      <c r="L132" s="4">
        <v>1</v>
      </c>
      <c r="M132" s="4"/>
      <c r="N132" s="4"/>
      <c r="O132" s="61">
        <f>N132</f>
        <v>0</v>
      </c>
      <c r="P132" s="60">
        <f>MIN(SUM(L132,M132,O132),R132)</f>
        <v>1</v>
      </c>
      <c r="Q132" s="61">
        <f>_xlfn.IFNA(VLOOKUP($E132,tblDomain[],3,FALSE),"")</f>
        <v>1</v>
      </c>
      <c r="R132" s="61">
        <f>_xlfn.IFNA(VLOOKUP($E132,tblDomain[],4,FALSE),"")</f>
        <v>5</v>
      </c>
      <c r="Y132" s="15" t="s">
        <v>1485</v>
      </c>
      <c r="Z132" s="19"/>
      <c r="AA132" s="61" t="str">
        <f t="shared" si="21"/>
        <v/>
      </c>
    </row>
    <row r="133" spans="1:32">
      <c r="A133" s="1" t="s">
        <v>132</v>
      </c>
      <c r="B133" t="str">
        <f t="shared" si="20"/>
        <v>¬</v>
      </c>
      <c r="D133" s="19"/>
      <c r="E133" s="15" t="s">
        <v>95</v>
      </c>
      <c r="F133" s="3"/>
      <c r="G133" s="19"/>
      <c r="H133" s="19"/>
      <c r="I133" s="19"/>
      <c r="L133" s="4">
        <v>1</v>
      </c>
      <c r="M133" s="4"/>
      <c r="N133" s="4"/>
      <c r="O133" s="61">
        <f>N133</f>
        <v>0</v>
      </c>
      <c r="P133" s="60">
        <f>MIN(SUM(L133,M133,O133),R133)</f>
        <v>1</v>
      </c>
      <c r="Q133" s="61">
        <f>_xlfn.IFNA(VLOOKUP($E133,tblDomain[],3,FALSE),"")</f>
        <v>1</v>
      </c>
      <c r="R133" s="61">
        <f>_xlfn.IFNA(VLOOKUP($E133,tblDomain[],4,FALSE),"")</f>
        <v>5</v>
      </c>
    </row>
    <row r="134" spans="1:32">
      <c r="A134" s="1" t="s">
        <v>133</v>
      </c>
      <c r="B134" t="str">
        <f t="shared" si="20"/>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2">_xlfn.LET(_xlpm.name,VLOOKUP(Y134,$E$2:$F$362,2,FALSE),_xlpm.note,VLOOKUP(Y134,$E$2:$G$362,3,FALSE),_xlpm.row,MATCH(Y134,$E$138:$E$157,0),_xlpm.dots,INDEX($P$138:$P$157,_xlpm.row),_xlpm.max,INDEX($Q$138:$Q$157,_xlpm.row),_xlpm.paid,_xlfn.IFNA(_xlpm.dots&gt;=_xlpm.max,FALSE),IF(AND(_xlpm.name&lt;&gt;"",_xlpm.paid),IF(_xlpm.note="",_xlpm.name,_xlpm.name&amp;" ("&amp;_xlpm.note&amp;")"),""))</f>
        <v>Allies (transportation)</v>
      </c>
      <c r="AC134" s="60" t="str" cm="1">
        <f t="array" ref="AC134">_xlfn.LET(_xlpm.raw,IFERROR(_xlfn.VSTACK(IFERROR(_xlfn._xlws.SORT(_xlfn._xlws.FILTER(AA134:AA211,AA134:AA211&lt;&gt;"")),""),IFERROR(_xlfn._xlws.SORT(_xlfn._xlws.FILTER(AA213:AA222,AA213:AA222&lt;&gt;"")),"")),""),_xlpm.sorted,IFERROR(_xlfn._xlws.FILTER(_xlpm.raw,_xlpm.raw&lt;&gt;""),""),IFERROR(LEFT(_xlpm.sorted,FIND(" (",_xlpm.sorted)-1),_xlpm.sorted))</f>
        <v>Allies</v>
      </c>
      <c r="AD134" s="20" t="str" cm="1">
        <f t="array" ref="AD134">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transportation</v>
      </c>
      <c r="AE134" s="20">
        <f t="shared" ref="AE134:AE153" si="23">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1</v>
      </c>
      <c r="AF134" s="61" cm="1">
        <f t="array" ref="AF134">IF(AC134="","",SUMPRODUCT(($F$138:$F$157=AC134)*($G$138:$G$157=IF(AD134="","",AD134))*$P$138:$P$157))</f>
        <v>3</v>
      </c>
    </row>
    <row r="135" spans="1:32">
      <c r="A135" s="1" t="s">
        <v>134</v>
      </c>
      <c r="B135" t="str">
        <f t="shared" si="20"/>
        <v>¬</v>
      </c>
      <c r="D135" s="19"/>
      <c r="E135" s="15" t="s">
        <v>97</v>
      </c>
      <c r="F135" s="19"/>
      <c r="G135" s="19"/>
      <c r="H135" s="19"/>
      <c r="I135" s="19"/>
      <c r="L135" s="4"/>
      <c r="M135" s="4"/>
      <c r="N135" s="4"/>
      <c r="O135" s="61">
        <f>N135</f>
        <v>0</v>
      </c>
      <c r="P135" s="60">
        <f>MIN(SUM(L135,M135,O135),R135)</f>
        <v>0</v>
      </c>
      <c r="Q135" s="61">
        <f>_xlfn.IFNA(VLOOKUP($E135,tblDomain[],3,FALSE),"")</f>
        <v>1</v>
      </c>
      <c r="R135" s="61">
        <f>_xlfn.IFNA(VLOOKUP($E135,tblDomain[],4,FALSE),"")</f>
        <v>5</v>
      </c>
      <c r="Y135" s="15" t="s">
        <v>177</v>
      </c>
      <c r="Z135" s="19"/>
      <c r="AA135" s="61" t="str">
        <f t="shared" si="22"/>
        <v/>
      </c>
      <c r="AC135" s="60"/>
      <c r="AD135" s="20"/>
      <c r="AE135" s="20" t="str">
        <f t="shared" si="23"/>
        <v/>
      </c>
      <c r="AF135" s="61" t="str" cm="1">
        <f t="array" ref="AF135">IF(AC135="","",SUMPRODUCT(($F$138:$F$157=AC135)*($G$138:$G$157=IF(AD135="","",AD135))*$P$138:$P$157))</f>
        <v/>
      </c>
    </row>
    <row r="136" spans="1:32">
      <c r="A136" s="1" t="s">
        <v>135</v>
      </c>
      <c r="B136" t="str">
        <f t="shared" si="20"/>
        <v>¬</v>
      </c>
      <c r="Y136" s="15" t="s">
        <v>178</v>
      </c>
      <c r="Z136" s="19"/>
      <c r="AA136" s="61" t="str">
        <f t="shared" si="22"/>
        <v/>
      </c>
      <c r="AC136" s="60"/>
      <c r="AD136" s="20"/>
      <c r="AE136" s="20" t="str">
        <f t="shared" si="23"/>
        <v/>
      </c>
      <c r="AF136" s="61" t="str" cm="1">
        <f t="array" ref="AF136">IF(AC136="","",SUMPRODUCT(($F$138:$F$157=AC136)*($G$138:$G$157=IF(AD136="","",AD136))*$P$138:$P$157))</f>
        <v/>
      </c>
    </row>
    <row r="137" spans="1:32">
      <c r="A137" s="1" t="s">
        <v>136</v>
      </c>
      <c r="B137" t="str">
        <f t="shared" si="20"/>
        <v>¬</v>
      </c>
      <c r="D137" s="16" t="s">
        <v>174</v>
      </c>
      <c r="E137" s="17"/>
      <c r="F137" s="17"/>
      <c r="G137" s="17"/>
      <c r="H137" s="61">
        <f>L225</f>
        <v>0</v>
      </c>
      <c r="I137" s="61">
        <f>SUM(AE134:AE155)+SUM(P125:P129)</f>
        <v>4</v>
      </c>
      <c r="Y137" s="15" t="s">
        <v>179</v>
      </c>
      <c r="Z137" s="19"/>
      <c r="AA137" s="61" t="str">
        <f t="shared" si="22"/>
        <v/>
      </c>
      <c r="AC137" s="60"/>
      <c r="AD137" s="20"/>
      <c r="AE137" s="20" t="str">
        <f t="shared" si="23"/>
        <v/>
      </c>
      <c r="AF137" s="61" t="str" cm="1">
        <f t="array" ref="AF137">IF(AC137="","",SUMPRODUCT(($F$138:$F$157=AC137)*($G$138:$G$157=IF(AD137="","",AD137))*$P$138:$P$157))</f>
        <v/>
      </c>
    </row>
    <row r="138" spans="1:32">
      <c r="A138" s="1" t="s">
        <v>137</v>
      </c>
      <c r="B138" t="str">
        <f t="shared" si="20"/>
        <v>¬</v>
      </c>
      <c r="D138" s="19"/>
      <c r="E138" s="15" t="s">
        <v>176</v>
      </c>
      <c r="F138" s="3" t="s">
        <v>412</v>
      </c>
      <c r="G138" s="3" t="s">
        <v>1323</v>
      </c>
      <c r="H138" s="67" t="str">
        <f>IFERROR(IF(VLOOKUP(F138,tblManoeuvre[],8,FALSE)=0,"None",VLOOKUP(F138,tblManoeuvre[],8,FALSE)),"None")</f>
        <v>None</v>
      </c>
      <c r="I138" s="67"/>
      <c r="L138" s="4">
        <v>2</v>
      </c>
      <c r="M138" s="4"/>
      <c r="N138" s="4">
        <v>1</v>
      </c>
      <c r="O138" s="61">
        <f t="shared" ref="O138:O157" si="24">N138</f>
        <v>1</v>
      </c>
      <c r="P138" s="60">
        <f t="shared" ref="P138:P157" si="25">MIN(SUM(L138,M138,O138),R138)</f>
        <v>3</v>
      </c>
      <c r="Q138" s="61">
        <f>_xlfn.IFNA(VLOOKUP($F138,tblInfluence[],3,FALSE),"")</f>
        <v>1</v>
      </c>
      <c r="R138" s="61">
        <f>_xlfn.IFNA(VLOOKUP($F138,tblInfluence[],4,FALSE),"")</f>
        <v>5</v>
      </c>
      <c r="Y138" s="15" t="s">
        <v>180</v>
      </c>
      <c r="Z138" s="19"/>
      <c r="AA138" s="61" t="str">
        <f t="shared" si="22"/>
        <v/>
      </c>
      <c r="AC138" s="60"/>
      <c r="AD138" s="20"/>
      <c r="AE138" s="20" t="str">
        <f t="shared" si="23"/>
        <v/>
      </c>
      <c r="AF138" s="61" t="str" cm="1">
        <f t="array" ref="AF138">IF(AC138="","",SUMPRODUCT(($F$138:$F$157=AC138)*($G$138:$G$157=IF(AD138="","",AD138))*$P$138:$P$157))</f>
        <v/>
      </c>
    </row>
    <row r="139" spans="1:32">
      <c r="A139" s="1" t="s">
        <v>138</v>
      </c>
      <c r="B139" t="str">
        <f t="shared" si="20"/>
        <v>¬</v>
      </c>
      <c r="D139" s="19"/>
      <c r="E139" s="15" t="s">
        <v>177</v>
      </c>
      <c r="F139" s="3"/>
      <c r="G139" s="3"/>
      <c r="H139" s="67" t="str">
        <f>IFERROR(IF(VLOOKUP(F139,tblManoeuvre[],8,FALSE)=0,"None",VLOOKUP(F139,tblManoeuvre[],8,FALSE)),"None")</f>
        <v>None</v>
      </c>
      <c r="I139" s="67"/>
      <c r="L139" s="4"/>
      <c r="M139" s="4"/>
      <c r="N139" s="4"/>
      <c r="O139" s="61">
        <f t="shared" si="24"/>
        <v>0</v>
      </c>
      <c r="P139" s="60">
        <f t="shared" si="25"/>
        <v>0</v>
      </c>
      <c r="Q139" s="61" t="str">
        <f>_xlfn.IFNA(VLOOKUP($F139,tblInfluence[],3,FALSE),"")</f>
        <v/>
      </c>
      <c r="R139" s="61" t="str">
        <f>_xlfn.IFNA(VLOOKUP($F139,tblInfluence[],4,FALSE),"")</f>
        <v/>
      </c>
      <c r="Y139" s="15" t="s">
        <v>181</v>
      </c>
      <c r="Z139" s="19"/>
      <c r="AA139" s="61" t="str">
        <f t="shared" si="22"/>
        <v/>
      </c>
      <c r="AC139" s="60"/>
      <c r="AD139" s="20"/>
      <c r="AE139" s="20" t="str">
        <f t="shared" si="23"/>
        <v/>
      </c>
      <c r="AF139" s="61" t="str" cm="1">
        <f t="array" ref="AF139">IF(AC139="","",SUMPRODUCT(($F$138:$F$157=AC139)*($G$138:$G$157=IF(AD139="","",AD139))*$P$138:$P$157))</f>
        <v/>
      </c>
    </row>
    <row r="140" spans="1:32">
      <c r="A140" s="1" t="s">
        <v>139</v>
      </c>
      <c r="B140" t="str">
        <f t="shared" si="20"/>
        <v>¬</v>
      </c>
      <c r="D140" s="19"/>
      <c r="E140" s="15" t="s">
        <v>178</v>
      </c>
      <c r="F140" s="3"/>
      <c r="G140" s="3"/>
      <c r="H140" s="67" t="str">
        <f>IFERROR(IF(VLOOKUP(F140,tblManoeuvre[],8,FALSE)=0,"None",VLOOKUP(F140,tblManoeuvre[],8,FALSE)),"None")</f>
        <v>None</v>
      </c>
      <c r="I140" s="67"/>
      <c r="L140" s="4"/>
      <c r="M140" s="4"/>
      <c r="N140" s="4"/>
      <c r="O140" s="61">
        <f t="shared" si="24"/>
        <v>0</v>
      </c>
      <c r="P140" s="60">
        <f t="shared" si="25"/>
        <v>0</v>
      </c>
      <c r="Q140" s="61" t="str">
        <f>_xlfn.IFNA(VLOOKUP($F140,tblInfluence[],3,FALSE),"")</f>
        <v/>
      </c>
      <c r="R140" s="61" t="str">
        <f>_xlfn.IFNA(VLOOKUP($F140,tblInfluence[],4,FALSE),"")</f>
        <v/>
      </c>
      <c r="Y140" s="15" t="s">
        <v>182</v>
      </c>
      <c r="Z140" s="19"/>
      <c r="AA140" s="61" t="str">
        <f t="shared" si="22"/>
        <v/>
      </c>
      <c r="AC140" s="60"/>
      <c r="AD140" s="20"/>
      <c r="AE140" s="20" t="str">
        <f t="shared" si="23"/>
        <v/>
      </c>
      <c r="AF140" s="61" t="str" cm="1">
        <f t="array" ref="AF140">IF(AC140="","",SUMPRODUCT(($F$138:$F$157=AC140)*($G$138:$G$157=IF(AD140="","",AD140))*$P$138:$P$157))</f>
        <v/>
      </c>
    </row>
    <row r="141" spans="1:32">
      <c r="A141" s="1" t="s">
        <v>140</v>
      </c>
      <c r="B141" t="str">
        <f t="shared" si="20"/>
        <v>¬</v>
      </c>
      <c r="D141" s="19"/>
      <c r="E141" s="15" t="s">
        <v>179</v>
      </c>
      <c r="F141" s="3"/>
      <c r="G141" s="3"/>
      <c r="H141" s="67" t="str">
        <f>IFERROR(IF(VLOOKUP(F141,tblManoeuvre[],8,FALSE)=0,"None",VLOOKUP(F141,tblManoeuvre[],8,FALSE)),"None")</f>
        <v>None</v>
      </c>
      <c r="I141" s="67"/>
      <c r="L141" s="4"/>
      <c r="M141" s="4"/>
      <c r="N141" s="4"/>
      <c r="O141" s="61">
        <f t="shared" si="24"/>
        <v>0</v>
      </c>
      <c r="P141" s="60">
        <f t="shared" si="25"/>
        <v>0</v>
      </c>
      <c r="Q141" s="61" t="str">
        <f>_xlfn.IFNA(VLOOKUP($F141,tblInfluence[],3,FALSE),"")</f>
        <v/>
      </c>
      <c r="R141" s="61" t="str">
        <f>_xlfn.IFNA(VLOOKUP($F141,tblInfluence[],4,FALSE),"")</f>
        <v/>
      </c>
      <c r="Y141" s="15" t="s">
        <v>183</v>
      </c>
      <c r="Z141" s="19"/>
      <c r="AA141" s="61" t="str">
        <f t="shared" si="22"/>
        <v/>
      </c>
      <c r="AC141" s="60"/>
      <c r="AD141" s="20"/>
      <c r="AE141" s="20" t="str">
        <f t="shared" si="23"/>
        <v/>
      </c>
      <c r="AF141" s="61" t="str" cm="1">
        <f t="array" ref="AF141">IF(AC141="","",SUMPRODUCT(($F$138:$F$157=AC141)*($G$138:$G$157=IF(AD141="","",AD141))*$P$138:$P$157))</f>
        <v/>
      </c>
    </row>
    <row r="142" spans="1:32">
      <c r="A142" s="1" t="s">
        <v>141</v>
      </c>
      <c r="B142" t="str">
        <f t="shared" si="20"/>
        <v>¬</v>
      </c>
      <c r="D142" s="19"/>
      <c r="E142" s="15" t="s">
        <v>180</v>
      </c>
      <c r="F142" s="3"/>
      <c r="G142" s="3"/>
      <c r="H142" s="67" t="str">
        <f>IFERROR(IF(VLOOKUP(F142,tblManoeuvre[],8,FALSE)=0,"None",VLOOKUP(F142,tblManoeuvre[],8,FALSE)),"None")</f>
        <v>None</v>
      </c>
      <c r="I142" s="67"/>
      <c r="L142" s="4"/>
      <c r="M142" s="4"/>
      <c r="N142" s="4"/>
      <c r="O142" s="61">
        <f t="shared" si="24"/>
        <v>0</v>
      </c>
      <c r="P142" s="60">
        <f t="shared" si="25"/>
        <v>0</v>
      </c>
      <c r="Q142" s="61" t="str">
        <f>_xlfn.IFNA(VLOOKUP($F142,tblInfluence[],3,FALSE),"")</f>
        <v/>
      </c>
      <c r="R142" s="61" t="str">
        <f>_xlfn.IFNA(VLOOKUP($F142,tblInfluence[],4,FALSE),"")</f>
        <v/>
      </c>
      <c r="Y142" s="15" t="s">
        <v>184</v>
      </c>
      <c r="Z142" s="19"/>
      <c r="AA142" s="61" t="str">
        <f t="shared" si="22"/>
        <v/>
      </c>
      <c r="AC142" s="60"/>
      <c r="AD142" s="20"/>
      <c r="AE142" s="20" t="str">
        <f t="shared" si="23"/>
        <v/>
      </c>
      <c r="AF142" s="61" t="str" cm="1">
        <f t="array" ref="AF142">IF(AC142="","",SUMPRODUCT(($F$138:$F$157=AC142)*($G$138:$G$157=IF(AD142="","",AD142))*$P$138:$P$157))</f>
        <v/>
      </c>
    </row>
    <row r="143" spans="1:32">
      <c r="A143" s="1" t="s">
        <v>142</v>
      </c>
      <c r="B143" t="str">
        <f t="shared" si="20"/>
        <v>¬</v>
      </c>
      <c r="D143" s="19"/>
      <c r="E143" s="15" t="s">
        <v>181</v>
      </c>
      <c r="F143" s="3"/>
      <c r="G143" s="3" t="str">
        <f>IFERROR(VLOOKUP(F143,tblManoeuvre[],2,FALSE)&amp;" "&amp;VLOOKUP(F143,tblManoeuvre[],3,FALSE),"")</f>
        <v/>
      </c>
      <c r="H143" s="67" t="str">
        <f>IFERROR(IF(VLOOKUP(F143,tblManoeuvre[],8,FALSE)=0,"None",VLOOKUP(F143,tblManoeuvre[],8,FALSE)),"None")</f>
        <v>None</v>
      </c>
      <c r="I143" s="67"/>
      <c r="L143" s="4"/>
      <c r="M143" s="4"/>
      <c r="N143" s="4"/>
      <c r="O143" s="61">
        <f t="shared" si="24"/>
        <v>0</v>
      </c>
      <c r="P143" s="60">
        <f t="shared" si="25"/>
        <v>0</v>
      </c>
      <c r="Q143" s="61" t="str">
        <f>_xlfn.IFNA(VLOOKUP($F143,tblInfluence[],3,FALSE),"")</f>
        <v/>
      </c>
      <c r="R143" s="61" t="str">
        <f>_xlfn.IFNA(VLOOKUP($F143,tblInfluence[],4,FALSE),"")</f>
        <v/>
      </c>
      <c r="Y143" s="15" t="s">
        <v>185</v>
      </c>
      <c r="Z143" s="19"/>
      <c r="AA143" s="61" t="str">
        <f t="shared" si="22"/>
        <v/>
      </c>
      <c r="AC143" s="60"/>
      <c r="AD143" s="20"/>
      <c r="AE143" s="20" t="str">
        <f t="shared" si="23"/>
        <v/>
      </c>
      <c r="AF143" s="61" t="str" cm="1">
        <f t="array" ref="AF143">IF(AC143="","",SUMPRODUCT(($F$138:$F$157=AC143)*($G$138:$G$157=IF(AD143="","",AD143))*$P$138:$P$157))</f>
        <v/>
      </c>
    </row>
    <row r="144" spans="1:32">
      <c r="A144" s="1" t="s">
        <v>143</v>
      </c>
      <c r="B144" t="str">
        <f t="shared" si="20"/>
        <v>¬</v>
      </c>
      <c r="D144" s="19"/>
      <c r="E144" s="15" t="s">
        <v>182</v>
      </c>
      <c r="F144" s="3"/>
      <c r="G144" s="3"/>
      <c r="H144" s="67" t="str">
        <f>IFERROR(IF(VLOOKUP(F144,tblManoeuvre[],8,FALSE)=0,"None",VLOOKUP(F144,tblManoeuvre[],8,FALSE)),"None")</f>
        <v>None</v>
      </c>
      <c r="I144" s="67"/>
      <c r="L144" s="4"/>
      <c r="M144" s="4"/>
      <c r="N144" s="4"/>
      <c r="O144" s="61">
        <f t="shared" si="24"/>
        <v>0</v>
      </c>
      <c r="P144" s="60">
        <f t="shared" si="25"/>
        <v>0</v>
      </c>
      <c r="Q144" s="61" t="str">
        <f>_xlfn.IFNA(VLOOKUP($F144,tblInfluence[],3,FALSE),"")</f>
        <v/>
      </c>
      <c r="R144" s="61" t="str">
        <f>_xlfn.IFNA(VLOOKUP($F144,tblInfluence[],4,FALSE),"")</f>
        <v/>
      </c>
      <c r="Y144" s="15" t="s">
        <v>186</v>
      </c>
      <c r="Z144" s="19"/>
      <c r="AA144" s="61" t="str">
        <f t="shared" si="22"/>
        <v/>
      </c>
      <c r="AC144" s="60"/>
      <c r="AD144" s="20"/>
      <c r="AE144" s="20" t="str">
        <f t="shared" si="23"/>
        <v/>
      </c>
      <c r="AF144" s="61" t="str" cm="1">
        <f t="array" ref="AF144">IF(AC144="","",SUMPRODUCT(($F$138:$F$157=AC144)*($G$138:$G$157=IF(AD144="","",AD144))*$P$138:$P$157))</f>
        <v/>
      </c>
    </row>
    <row r="145" spans="1:32">
      <c r="A145" s="1" t="s">
        <v>144</v>
      </c>
      <c r="B145" t="str">
        <f t="shared" ref="B145:B174" si="26">IF(AF2="","¬",AF2)</f>
        <v>+2 to contest or resist supernatural mental influence.</v>
      </c>
      <c r="D145" s="19"/>
      <c r="E145" s="15" t="s">
        <v>183</v>
      </c>
      <c r="F145" s="3"/>
      <c r="G145" s="3" t="str">
        <f>IFERROR(VLOOKUP(F145,tblManoeuvre[],2,FALSE)&amp;" "&amp;VLOOKUP(F145,tblManoeuvre[],3,FALSE),"")</f>
        <v/>
      </c>
      <c r="H145" s="67" t="str">
        <f>IFERROR(IF(VLOOKUP(F145,tblManoeuvre[],8,FALSE)=0,"None",VLOOKUP(F145,tblManoeuvre[],8,FALSE)),"None")</f>
        <v>None</v>
      </c>
      <c r="I145" s="67"/>
      <c r="L145" s="4"/>
      <c r="M145" s="4"/>
      <c r="N145" s="4"/>
      <c r="O145" s="61">
        <f t="shared" si="24"/>
        <v>0</v>
      </c>
      <c r="P145" s="60">
        <f t="shared" si="25"/>
        <v>0</v>
      </c>
      <c r="Q145" s="61" t="str">
        <f>_xlfn.IFNA(VLOOKUP($F145,tblInfluence[],3,FALSE),"")</f>
        <v/>
      </c>
      <c r="R145" s="61" t="str">
        <f>_xlfn.IFNA(VLOOKUP($F145,tblInfluence[],4,FALSE),"")</f>
        <v/>
      </c>
      <c r="Y145" s="15" t="s">
        <v>187</v>
      </c>
      <c r="Z145" s="19"/>
      <c r="AA145" s="61" t="str">
        <f t="shared" si="22"/>
        <v/>
      </c>
      <c r="AC145" s="60"/>
      <c r="AD145" s="20"/>
      <c r="AE145" s="20" t="str">
        <f t="shared" si="23"/>
        <v/>
      </c>
      <c r="AF145" s="61" t="str" cm="1">
        <f t="array" ref="AF145">IF(AC145="","",SUMPRODUCT(($F$138:$F$157=AC145)*($G$138:$G$157=IF(AD145="","",AD145))*$P$138:$P$157))</f>
        <v/>
      </c>
    </row>
    <row r="146" spans="1:32">
      <c r="A146" s="1" t="s">
        <v>145</v>
      </c>
      <c r="B146" t="str">
        <f t="shared" si="26"/>
        <v>Ignore fatigue or wound penalties up to dots.</v>
      </c>
      <c r="D146" s="19"/>
      <c r="E146" s="15" t="s">
        <v>184</v>
      </c>
      <c r="F146" s="3"/>
      <c r="G146" s="3" t="str">
        <f>IFERROR(VLOOKUP(F146,tblManoeuvre[],2,FALSE)&amp;" "&amp;VLOOKUP(F146,tblManoeuvre[],3,FALSE),"")</f>
        <v/>
      </c>
      <c r="H146" s="67" t="str">
        <f>IFERROR(IF(VLOOKUP(F146,tblManoeuvre[],8,FALSE)=0,"None",VLOOKUP(F146,tblManoeuvre[],8,FALSE)),"None")</f>
        <v>None</v>
      </c>
      <c r="I146" s="67"/>
      <c r="L146" s="4"/>
      <c r="M146" s="4"/>
      <c r="N146" s="4"/>
      <c r="O146" s="61">
        <f t="shared" si="24"/>
        <v>0</v>
      </c>
      <c r="P146" s="60">
        <f t="shared" si="25"/>
        <v>0</v>
      </c>
      <c r="Q146" s="61" t="str">
        <f>_xlfn.IFNA(VLOOKUP($F146,tblInfluence[],3,FALSE),"")</f>
        <v/>
      </c>
      <c r="R146" s="61" t="str">
        <f>_xlfn.IFNA(VLOOKUP($F146,tblInfluence[],4,FALSE),"")</f>
        <v/>
      </c>
      <c r="Y146" s="15" t="s">
        <v>188</v>
      </c>
      <c r="Z146" s="19"/>
      <c r="AA146" s="61" t="str">
        <f t="shared" si="22"/>
        <v/>
      </c>
      <c r="AC146" s="60"/>
      <c r="AD146" s="20"/>
      <c r="AE146" s="20" t="str">
        <f t="shared" si="23"/>
        <v/>
      </c>
      <c r="AF146" s="61" t="str" cm="1">
        <f t="array" ref="AF146">IF(AC146="","",SUMPRODUCT(($F$138:$F$157=AC146)*($G$138:$G$157=IF(AD146="","",AD146))*$P$138:$P$157))</f>
        <v/>
      </c>
    </row>
    <row r="147" spans="1:32">
      <c r="A147" s="1" t="s">
        <v>146</v>
      </c>
      <c r="B147" t="str">
        <f t="shared" si="26"/>
        <v>Speak, read and write a chosen language.</v>
      </c>
      <c r="D147" s="19"/>
      <c r="E147" s="15" t="s">
        <v>185</v>
      </c>
      <c r="F147" s="3"/>
      <c r="G147" s="3" t="str">
        <f>IFERROR(VLOOKUP(F147,tblManoeuvre[],2,FALSE)&amp;" "&amp;VLOOKUP(F147,tblManoeuvre[],3,FALSE),"")</f>
        <v/>
      </c>
      <c r="H147" s="67" t="str">
        <f>IFERROR(IF(VLOOKUP(F147,tblManoeuvre[],8,FALSE)=0,"None",VLOOKUP(F147,tblManoeuvre[],8,FALSE)),"None")</f>
        <v>None</v>
      </c>
      <c r="I147" s="67"/>
      <c r="L147" s="4"/>
      <c r="M147" s="4"/>
      <c r="N147" s="4"/>
      <c r="O147" s="61">
        <f t="shared" si="24"/>
        <v>0</v>
      </c>
      <c r="P147" s="60">
        <f t="shared" si="25"/>
        <v>0</v>
      </c>
      <c r="Q147" s="61" t="str">
        <f>_xlfn.IFNA(VLOOKUP($F147,tblInfluence[],3,FALSE),"")</f>
        <v/>
      </c>
      <c r="R147" s="61" t="str">
        <f>_xlfn.IFNA(VLOOKUP($F147,tblInfluence[],4,FALSE),"")</f>
        <v/>
      </c>
      <c r="Y147" s="15" t="s">
        <v>189</v>
      </c>
      <c r="Z147" s="19"/>
      <c r="AA147" s="61" t="str">
        <f t="shared" si="22"/>
        <v/>
      </c>
      <c r="AC147" s="60"/>
      <c r="AD147" s="20"/>
      <c r="AE147" s="20" t="str">
        <f t="shared" si="23"/>
        <v/>
      </c>
      <c r="AF147" s="61" t="str" cm="1">
        <f t="array" ref="AF147">IF(AC147="","",SUMPRODUCT(($F$138:$F$157=AC147)*($G$138:$G$157=IF(AD147="","",AD147))*$P$138:$P$157))</f>
        <v/>
      </c>
    </row>
    <row r="148" spans="1:32">
      <c r="A148" s="1" t="s">
        <v>147</v>
      </c>
      <c r="B148" t="str">
        <f t="shared" si="26"/>
        <v>When you use soft leverage, improve your impression as if you'd also satisfied the mark's Vice.</v>
      </c>
      <c r="D148" s="19"/>
      <c r="E148" s="15" t="s">
        <v>186</v>
      </c>
      <c r="F148" s="3"/>
      <c r="G148" s="3" t="str">
        <f>IFERROR(VLOOKUP(F148,tblManoeuvre[],2,FALSE)&amp;" "&amp;VLOOKUP(F148,tblManoeuvre[],3,FALSE),"")</f>
        <v/>
      </c>
      <c r="H148" s="67" t="str">
        <f>IFERROR(IF(VLOOKUP(F148,tblManoeuvre[],8,FALSE)=0,"None",VLOOKUP(F148,tblManoeuvre[],8,FALSE)),"None")</f>
        <v>None</v>
      </c>
      <c r="I148" s="67"/>
      <c r="L148" s="4"/>
      <c r="M148" s="4"/>
      <c r="N148" s="4"/>
      <c r="O148" s="61">
        <f t="shared" si="24"/>
        <v>0</v>
      </c>
      <c r="P148" s="60">
        <f t="shared" si="25"/>
        <v>0</v>
      </c>
      <c r="Q148" s="61" t="str">
        <f>_xlfn.IFNA(VLOOKUP($F148,tblInfluence[],3,FALSE),"")</f>
        <v/>
      </c>
      <c r="R148" s="61" t="str">
        <f>_xlfn.IFNA(VLOOKUP($F148,tblInfluence[],4,FALSE),"")</f>
        <v/>
      </c>
      <c r="Y148" s="15" t="s">
        <v>190</v>
      </c>
      <c r="Z148" s="19"/>
      <c r="AA148" s="61" t="str">
        <f t="shared" si="22"/>
        <v/>
      </c>
      <c r="AC148" s="60"/>
      <c r="AD148" s="20"/>
      <c r="AE148" s="20" t="str">
        <f t="shared" si="23"/>
        <v/>
      </c>
      <c r="AF148" s="61" t="str" cm="1">
        <f t="array" ref="AF148">IF(AC148="","",SUMPRODUCT(($F$138:$F$157=AC148)*($G$138:$G$157=IF(AD148="","",AD148))*$P$138:$P$157))</f>
        <v/>
      </c>
    </row>
    <row r="149" spans="1:32">
      <c r="A149" s="1" t="s">
        <v>148</v>
      </c>
      <c r="B149" t="str">
        <f t="shared" si="26"/>
        <v>¬</v>
      </c>
      <c r="D149" s="19"/>
      <c r="E149" s="15" t="s">
        <v>187</v>
      </c>
      <c r="F149" s="3"/>
      <c r="G149" s="3" t="str">
        <f>IFERROR(VLOOKUP(F149,tblManoeuvre[],2,FALSE)&amp;" "&amp;VLOOKUP(F149,tblManoeuvre[],3,FALSE),"")</f>
        <v/>
      </c>
      <c r="H149" s="67" t="str">
        <f>IFERROR(IF(VLOOKUP(F149,tblManoeuvre[],8,FALSE)=0,"None",VLOOKUP(F149,tblManoeuvre[],8,FALSE)),"None")</f>
        <v>None</v>
      </c>
      <c r="I149" s="67"/>
      <c r="L149" s="4"/>
      <c r="M149" s="4"/>
      <c r="N149" s="4"/>
      <c r="O149" s="61">
        <f t="shared" si="24"/>
        <v>0</v>
      </c>
      <c r="P149" s="60">
        <f t="shared" si="25"/>
        <v>0</v>
      </c>
      <c r="Q149" s="61" t="str">
        <f>_xlfn.IFNA(VLOOKUP($F149,tblInfluence[],3,FALSE),"")</f>
        <v/>
      </c>
      <c r="R149" s="61" t="str">
        <f>_xlfn.IFNA(VLOOKUP($F149,tblInfluence[],4,FALSE),"")</f>
        <v/>
      </c>
      <c r="Y149" s="15" t="s">
        <v>191</v>
      </c>
      <c r="Z149" s="19"/>
      <c r="AA149" s="61" t="str">
        <f t="shared" si="22"/>
        <v/>
      </c>
      <c r="AC149" s="60"/>
      <c r="AD149" s="20"/>
      <c r="AE149" s="20" t="str">
        <f t="shared" si="23"/>
        <v/>
      </c>
      <c r="AF149" s="61" t="str" cm="1">
        <f t="array" ref="AF149">IF(AC149="","",SUMPRODUCT(($F$138:$F$157=AC149)*($G$138:$G$157=IF(AD149="","",AD149))*$P$138:$P$157))</f>
        <v/>
      </c>
    </row>
    <row r="150" spans="1:32">
      <c r="A150" s="1" t="s">
        <v>149</v>
      </c>
      <c r="B150" t="str">
        <f t="shared" si="26"/>
        <v>¬</v>
      </c>
      <c r="D150" s="19"/>
      <c r="E150" s="15" t="s">
        <v>188</v>
      </c>
      <c r="F150" s="3"/>
      <c r="G150" s="3" t="str">
        <f>IFERROR(VLOOKUP(F150,tblManoeuvre[],2,FALSE)&amp;" "&amp;VLOOKUP(F150,tblManoeuvre[],3,FALSE),"")</f>
        <v/>
      </c>
      <c r="H150" s="67" t="str">
        <f>IFERROR(IF(VLOOKUP(F150,tblManoeuvre[],8,FALSE)=0,"None",VLOOKUP(F150,tblManoeuvre[],8,FALSE)),"None")</f>
        <v>None</v>
      </c>
      <c r="I150" s="67"/>
      <c r="L150" s="4"/>
      <c r="M150" s="4"/>
      <c r="N150" s="4"/>
      <c r="O150" s="61">
        <f t="shared" si="24"/>
        <v>0</v>
      </c>
      <c r="P150" s="60">
        <f t="shared" si="25"/>
        <v>0</v>
      </c>
      <c r="Q150" s="61" t="str">
        <f>_xlfn.IFNA(VLOOKUP($F150,tblInfluence[],3,FALSE),"")</f>
        <v/>
      </c>
      <c r="R150" s="61" t="str">
        <f>_xlfn.IFNA(VLOOKUP($F150,tblInfluence[],4,FALSE),"")</f>
        <v/>
      </c>
      <c r="Y150" s="15" t="s">
        <v>192</v>
      </c>
      <c r="Z150" s="19"/>
      <c r="AA150" s="61" t="str">
        <f t="shared" si="22"/>
        <v/>
      </c>
      <c r="AC150" s="60"/>
      <c r="AD150" s="20"/>
      <c r="AE150" s="20" t="str">
        <f t="shared" si="23"/>
        <v/>
      </c>
      <c r="AF150" s="61" t="str" cm="1">
        <f t="array" ref="AF150">IF(AC150="","",SUMPRODUCT(($F$138:$F$157=AC150)*($G$138:$G$157=IF(AD150="","",AD150))*$P$138:$P$157))</f>
        <v/>
      </c>
    </row>
    <row r="151" spans="1:32">
      <c r="A151" s="1" t="s">
        <v>150</v>
      </c>
      <c r="B151" t="str">
        <f t="shared" si="26"/>
        <v>¬</v>
      </c>
      <c r="D151" s="19"/>
      <c r="E151" s="15" t="s">
        <v>189</v>
      </c>
      <c r="F151" s="3"/>
      <c r="G151" s="3" t="str">
        <f>IFERROR(VLOOKUP(F151,tblManoeuvre[],2,FALSE)&amp;" "&amp;VLOOKUP(F151,tblManoeuvre[],3,FALSE),"")</f>
        <v/>
      </c>
      <c r="H151" s="67" t="str">
        <f>IFERROR(IF(VLOOKUP(F151,tblManoeuvre[],8,FALSE)=0,"None",VLOOKUP(F151,tblManoeuvre[],8,FALSE)),"None")</f>
        <v>None</v>
      </c>
      <c r="I151" s="67"/>
      <c r="L151" s="4"/>
      <c r="M151" s="4"/>
      <c r="N151" s="4"/>
      <c r="O151" s="61">
        <f t="shared" si="24"/>
        <v>0</v>
      </c>
      <c r="P151" s="60">
        <f t="shared" si="25"/>
        <v>0</v>
      </c>
      <c r="Q151" s="61" t="str">
        <f>_xlfn.IFNA(VLOOKUP($F151,tblInfluence[],3,FALSE),"")</f>
        <v/>
      </c>
      <c r="R151" s="61" t="str">
        <f>_xlfn.IFNA(VLOOKUP($F151,tblInfluence[],4,FALSE),"")</f>
        <v/>
      </c>
      <c r="Y151" s="15" t="s">
        <v>193</v>
      </c>
      <c r="Z151" s="19"/>
      <c r="AA151" s="61" t="str">
        <f t="shared" si="22"/>
        <v/>
      </c>
      <c r="AC151" s="60"/>
      <c r="AD151" s="20"/>
      <c r="AE151" s="20" t="str">
        <f t="shared" si="23"/>
        <v/>
      </c>
      <c r="AF151" s="61" t="str" cm="1">
        <f t="array" ref="AF151">IF(AC151="","",SUMPRODUCT(($F$138:$F$157=AC151)*($G$138:$G$157=IF(AD151="","",AD151))*$P$138:$P$157))</f>
        <v/>
      </c>
    </row>
    <row r="152" spans="1:32">
      <c r="A152" s="1" t="s">
        <v>151</v>
      </c>
      <c r="B152" t="str">
        <f t="shared" si="26"/>
        <v>¬</v>
      </c>
      <c r="D152" s="19"/>
      <c r="E152" s="15" t="s">
        <v>190</v>
      </c>
      <c r="F152" s="3"/>
      <c r="G152" s="3" t="str">
        <f>IFERROR(VLOOKUP(F152,tblManoeuvre[],2,FALSE)&amp;" "&amp;VLOOKUP(F152,tblManoeuvre[],3,FALSE),"")</f>
        <v/>
      </c>
      <c r="H152" s="67" t="str">
        <f>IFERROR(IF(VLOOKUP(F152,tblManoeuvre[],8,FALSE)=0,"None",VLOOKUP(F152,tblManoeuvre[],8,FALSE)),"None")</f>
        <v>None</v>
      </c>
      <c r="I152" s="67"/>
      <c r="L152" s="4"/>
      <c r="M152" s="4"/>
      <c r="N152" s="4"/>
      <c r="O152" s="61">
        <f t="shared" si="24"/>
        <v>0</v>
      </c>
      <c r="P152" s="60">
        <f t="shared" si="25"/>
        <v>0</v>
      </c>
      <c r="Q152" s="61" t="str">
        <f>_xlfn.IFNA(VLOOKUP($F152,tblInfluence[],3,FALSE),"")</f>
        <v/>
      </c>
      <c r="R152" s="61" t="str">
        <f>_xlfn.IFNA(VLOOKUP($F152,tblInfluence[],4,FALSE),"")</f>
        <v/>
      </c>
      <c r="Y152" s="15" t="s">
        <v>194</v>
      </c>
      <c r="Z152" s="19"/>
      <c r="AA152" s="61" t="str">
        <f t="shared" si="22"/>
        <v/>
      </c>
      <c r="AC152" s="60"/>
      <c r="AD152" s="20"/>
      <c r="AE152" s="20" t="str">
        <f t="shared" si="23"/>
        <v/>
      </c>
      <c r="AF152" s="61" t="str" cm="1">
        <f t="array" ref="AF152">IF(AC152="","",SUMPRODUCT(($F$138:$F$157=AC152)*($G$138:$G$157=IF(AD152="","",AD152))*$P$138:$P$157))</f>
        <v/>
      </c>
    </row>
    <row r="153" spans="1:32">
      <c r="A153" s="1" t="s">
        <v>152</v>
      </c>
      <c r="B153" t="str">
        <f t="shared" si="26"/>
        <v>¬</v>
      </c>
      <c r="D153" s="19"/>
      <c r="E153" s="15" t="s">
        <v>191</v>
      </c>
      <c r="F153" s="3"/>
      <c r="G153" s="3" t="str">
        <f>IFERROR(VLOOKUP(F153,tblManoeuvre[],2,FALSE)&amp;" "&amp;VLOOKUP(F153,tblManoeuvre[],3,FALSE),"")</f>
        <v/>
      </c>
      <c r="H153" s="67" t="str">
        <f>IFERROR(IF(VLOOKUP(F153,tblManoeuvre[],8,FALSE)=0,"None",VLOOKUP(F153,tblManoeuvre[],8,FALSE)),"None")</f>
        <v>None</v>
      </c>
      <c r="I153" s="67"/>
      <c r="L153" s="4"/>
      <c r="M153" s="4"/>
      <c r="N153" s="4"/>
      <c r="O153" s="61">
        <f t="shared" si="24"/>
        <v>0</v>
      </c>
      <c r="P153" s="60">
        <f t="shared" si="25"/>
        <v>0</v>
      </c>
      <c r="Q153" s="61" t="str">
        <f>_xlfn.IFNA(VLOOKUP($F153,tblInfluence[],3,FALSE),"")</f>
        <v/>
      </c>
      <c r="R153" s="61" t="str">
        <f>_xlfn.IFNA(VLOOKUP($F153,tblInfluence[],4,FALSE),"")</f>
        <v/>
      </c>
      <c r="Y153" s="15" t="s">
        <v>195</v>
      </c>
      <c r="Z153" s="19"/>
      <c r="AA153" s="61" t="str">
        <f t="shared" si="22"/>
        <v/>
      </c>
      <c r="AC153" s="60"/>
      <c r="AD153" s="20"/>
      <c r="AE153" s="20" t="str">
        <f t="shared" si="23"/>
        <v/>
      </c>
      <c r="AF153" s="61" t="str" cm="1">
        <f t="array" ref="AF153">IF(AC153="","",SUMPRODUCT(($F$138:$F$157=AC153)*($G$138:$G$157=IF(AD153="","",AD153))*$P$138:$P$157))</f>
        <v/>
      </c>
    </row>
    <row r="154" spans="1:32">
      <c r="A154" s="1" t="s">
        <v>153</v>
      </c>
      <c r="B154" t="str">
        <f t="shared" si="26"/>
        <v>¬</v>
      </c>
      <c r="D154" s="19"/>
      <c r="E154" s="15" t="s">
        <v>192</v>
      </c>
      <c r="F154" s="3"/>
      <c r="G154" s="3" t="str">
        <f>IFERROR(VLOOKUP(F154,tblManoeuvre[],2,FALSE)&amp;" "&amp;VLOOKUP(F154,tblManoeuvre[],3,FALSE),"")</f>
        <v/>
      </c>
      <c r="H154" s="67" t="str">
        <f>IFERROR(IF(VLOOKUP(F154,tblManoeuvre[],8,FALSE)=0,"None",VLOOKUP(F154,tblManoeuvre[],8,FALSE)),"None")</f>
        <v>None</v>
      </c>
      <c r="I154" s="67"/>
      <c r="L154" s="4"/>
      <c r="M154" s="4"/>
      <c r="N154" s="4"/>
      <c r="O154" s="61">
        <f t="shared" si="24"/>
        <v>0</v>
      </c>
      <c r="P154" s="60">
        <f t="shared" si="25"/>
        <v>0</v>
      </c>
      <c r="Q154" s="61" t="str">
        <f>_xlfn.IFNA(VLOOKUP($F154,tblInfluence[],3,FALSE),"")</f>
        <v/>
      </c>
      <c r="R154" s="61" t="str">
        <f>_xlfn.IFNA(VLOOKUP($F154,tblInfluence[],4,FALSE),"")</f>
        <v/>
      </c>
    </row>
    <row r="155" spans="1:32">
      <c r="A155" s="1" t="s">
        <v>154</v>
      </c>
      <c r="B155" t="str">
        <f t="shared" si="26"/>
        <v>¬</v>
      </c>
      <c r="D155" s="19"/>
      <c r="E155" s="15" t="s">
        <v>193</v>
      </c>
      <c r="F155" s="3"/>
      <c r="G155" s="3" t="str">
        <f>IFERROR(VLOOKUP(F155,tblManoeuvre[],2,FALSE)&amp;" "&amp;VLOOKUP(F155,tblManoeuvre[],3,FALSE),"")</f>
        <v/>
      </c>
      <c r="H155" s="67" t="str">
        <f>IFERROR(IF(VLOOKUP(F155,tblManoeuvre[],8,FALSE)=0,"None",VLOOKUP(F155,tblManoeuvre[],8,FALSE)),"None")</f>
        <v>None</v>
      </c>
      <c r="I155" s="67"/>
      <c r="L155" s="4"/>
      <c r="M155" s="4"/>
      <c r="N155" s="4"/>
      <c r="O155" s="61">
        <f t="shared" si="24"/>
        <v>0</v>
      </c>
      <c r="P155" s="60">
        <f t="shared" si="25"/>
        <v>0</v>
      </c>
      <c r="Q155" s="61" t="str">
        <f>_xlfn.IFNA(VLOOKUP($F155,tblInfluence[],3,FALSE),"")</f>
        <v/>
      </c>
      <c r="R155" s="61" t="str">
        <f>_xlfn.IFNA(VLOOKUP($F155,tblInfluence[],4,FALSE),"")</f>
        <v/>
      </c>
      <c r="AE155" s="61">
        <f>IF(P160=5,1,0)</f>
        <v>0</v>
      </c>
    </row>
    <row r="156" spans="1:32">
      <c r="A156" s="1" t="s">
        <v>155</v>
      </c>
      <c r="B156" t="str">
        <f t="shared" si="26"/>
        <v>¬</v>
      </c>
      <c r="D156" s="19"/>
      <c r="E156" s="15" t="s">
        <v>194</v>
      </c>
      <c r="F156" s="3"/>
      <c r="G156" s="3" t="str">
        <f>IFERROR(VLOOKUP(F156,tblManoeuvre[],2,FALSE)&amp;" "&amp;VLOOKUP(F156,tblManoeuvre[],3,FALSE),"")</f>
        <v/>
      </c>
      <c r="H156" s="67" t="str">
        <f>IFERROR(IF(VLOOKUP(F156,tblManoeuvre[],8,FALSE)=0,"None",VLOOKUP(F156,tblManoeuvre[],8,FALSE)),"None")</f>
        <v>None</v>
      </c>
      <c r="I156" s="67"/>
      <c r="L156" s="4"/>
      <c r="M156" s="4"/>
      <c r="N156" s="4"/>
      <c r="O156" s="61">
        <f t="shared" si="24"/>
        <v>0</v>
      </c>
      <c r="P156" s="60">
        <f t="shared" si="25"/>
        <v>0</v>
      </c>
      <c r="Q156" s="61" t="str">
        <f>_xlfn.IFNA(VLOOKUP($F156,tblInfluence[],3,FALSE),"")</f>
        <v/>
      </c>
      <c r="R156" s="61" t="str">
        <f>_xlfn.IFNA(VLOOKUP($F156,tblInfluence[],4,FALSE),"")</f>
        <v/>
      </c>
      <c r="AE156" s="61" t="b">
        <f>COUNTIF(AA2:AA21,"*Honey With Vinegar*")&gt;0</f>
        <v>0</v>
      </c>
    </row>
    <row r="157" spans="1:32">
      <c r="A157" s="1" t="s">
        <v>156</v>
      </c>
      <c r="B157" t="str">
        <f t="shared" si="26"/>
        <v>¬</v>
      </c>
      <c r="D157" s="19"/>
      <c r="E157" s="15" t="s">
        <v>195</v>
      </c>
      <c r="F157" s="3"/>
      <c r="G157" s="3" t="str">
        <f>IFERROR(VLOOKUP(F157,tblManoeuvre[],2,FALSE)&amp;" "&amp;VLOOKUP(F157,tblManoeuvre[],3,FALSE),"")</f>
        <v/>
      </c>
      <c r="H157" s="67" t="str">
        <f>IFERROR(IF(VLOOKUP(F157,tblManoeuvre[],8,FALSE)=0,"None",VLOOKUP(F157,tblManoeuvre[],8,FALSE)),"None")</f>
        <v>None</v>
      </c>
      <c r="I157" s="67"/>
      <c r="L157" s="4"/>
      <c r="M157" s="4"/>
      <c r="N157" s="4"/>
      <c r="O157" s="61">
        <f t="shared" si="24"/>
        <v>0</v>
      </c>
      <c r="P157" s="60">
        <f t="shared" si="25"/>
        <v>0</v>
      </c>
      <c r="Q157" s="61" t="str">
        <f>_xlfn.IFNA(VLOOKUP($F157,tblInfluence[],3,FALSE),"")</f>
        <v/>
      </c>
      <c r="R157" s="61" t="str">
        <f>_xlfn.IFNA(VLOOKUP($F157,tblInfluence[],4,FALSE),"")</f>
        <v/>
      </c>
    </row>
    <row r="158" spans="1:32">
      <c r="A158" s="1" t="s">
        <v>157</v>
      </c>
      <c r="B158" t="str">
        <f t="shared" si="26"/>
        <v>¬</v>
      </c>
    </row>
    <row r="159" spans="1:32">
      <c r="A159" s="1" t="s">
        <v>158</v>
      </c>
      <c r="B159" t="str">
        <f t="shared" si="26"/>
        <v>¬</v>
      </c>
      <c r="D159" s="16" t="s">
        <v>1486</v>
      </c>
      <c r="E159" s="17"/>
      <c r="F159" s="17" t="s">
        <v>1487</v>
      </c>
      <c r="G159" s="17"/>
      <c r="H159" s="17"/>
      <c r="I159" s="17"/>
    </row>
    <row r="160" spans="1:32">
      <c r="A160" s="1" t="s">
        <v>159</v>
      </c>
      <c r="B160" t="str">
        <f t="shared" si="26"/>
        <v>¬</v>
      </c>
      <c r="D160" s="19"/>
      <c r="E160" s="15" t="s">
        <v>98</v>
      </c>
      <c r="F160" s="3"/>
      <c r="G160" s="60"/>
      <c r="H160" s="60"/>
      <c r="I160" s="60"/>
      <c r="L160" s="4"/>
      <c r="M160" s="4"/>
      <c r="N160" s="4"/>
      <c r="O160" s="61">
        <f>N160</f>
        <v>0</v>
      </c>
      <c r="P160" s="60">
        <f>MIN(SUM(L160,M160,O160),R160)</f>
        <v>0</v>
      </c>
      <c r="Q160" s="61">
        <v>1</v>
      </c>
      <c r="R160" s="61">
        <v>5</v>
      </c>
    </row>
    <row r="161" spans="1:18">
      <c r="A161" s="1" t="s">
        <v>160</v>
      </c>
      <c r="B161" t="str">
        <f t="shared" si="26"/>
        <v>¬</v>
      </c>
      <c r="D161" s="19"/>
      <c r="E161" s="15" t="s">
        <v>100</v>
      </c>
      <c r="F161" s="3"/>
      <c r="G161" s="60"/>
      <c r="H161" s="60"/>
      <c r="I161" s="60"/>
      <c r="L161" s="4"/>
      <c r="M161" s="4"/>
      <c r="N161" s="4"/>
      <c r="O161" s="61">
        <f>N161</f>
        <v>0</v>
      </c>
      <c r="P161" s="60">
        <f>MIN(SUM(L161,M161,O161),R161)</f>
        <v>0</v>
      </c>
      <c r="Q161" s="61">
        <v>1</v>
      </c>
      <c r="R161" s="61">
        <v>5</v>
      </c>
    </row>
    <row r="162" spans="1:18">
      <c r="A162" s="1" t="s">
        <v>161</v>
      </c>
      <c r="B162" t="str">
        <f t="shared" si="26"/>
        <v>¬</v>
      </c>
    </row>
    <row r="163" spans="1:18" ht="15.75" thickBot="1">
      <c r="A163" s="1" t="s">
        <v>162</v>
      </c>
      <c r="B163" t="str">
        <f t="shared" si="26"/>
        <v>¬</v>
      </c>
      <c r="D163" s="14" t="s">
        <v>1488</v>
      </c>
      <c r="E163" s="14"/>
      <c r="F163" s="14"/>
      <c r="G163" s="14"/>
      <c r="H163" s="14"/>
      <c r="I163" s="14"/>
      <c r="N163" s="60">
        <f>SUM(N165:N174)+SUM(N177:N181)+SUM(N184:N185)+SUM(N187:N191)+SUM(N194:N203)</f>
        <v>6</v>
      </c>
    </row>
    <row r="164" spans="1:18">
      <c r="A164" s="1" t="s">
        <v>163</v>
      </c>
      <c r="B164" t="str">
        <f t="shared" si="26"/>
        <v>¬</v>
      </c>
      <c r="D164" s="16" t="s">
        <v>1489</v>
      </c>
      <c r="E164" s="15" t="s">
        <v>1490</v>
      </c>
      <c r="F164" s="61" t="str">
        <f>IFERROR(IF($F$8="",VLOOKUP($F$7,tblClans[],5,FALSE),VLOOKUP($F$8,tblBloodlines[],5,FALSE)),"")</f>
        <v>Animalism</v>
      </c>
      <c r="G164" s="61" t="str">
        <f>IFERROR(IF($F$8="",VLOOKUP($F$7,tblClans[],6,FALSE),VLOOKUP($F$8,tblBloodlines[],6,FALSE)),"")</f>
        <v>Protean</v>
      </c>
      <c r="H164" s="61" t="str">
        <f>IFERROR(IF($F$8="",VLOOKUP($F$7,tblClans[],7,FALSE),VLOOKUP($F$8,tblBloodlines[],7,FALSE)),"")</f>
        <v>Resilience</v>
      </c>
      <c r="I164" s="61" t="str">
        <f>IFERROR(IF($F$8="",VLOOKUP($F$7,tblClans[],8,FALSE),VLOOKUP($F$8,tblBloodlines[],8,FALSE)),"")</f>
        <v/>
      </c>
      <c r="L164" s="60">
        <f>3-SUM(L165:L174)-SUM(L184:L185)</f>
        <v>0</v>
      </c>
    </row>
    <row r="165" spans="1:18">
      <c r="A165" s="1" t="s">
        <v>164</v>
      </c>
      <c r="B165" t="str">
        <f t="shared" si="26"/>
        <v>¬</v>
      </c>
      <c r="D165" s="19"/>
      <c r="E165" s="15" t="s">
        <v>236</v>
      </c>
      <c r="F165" s="19"/>
      <c r="G165" s="19"/>
      <c r="H165" s="19"/>
      <c r="I165" s="19"/>
      <c r="L165" s="4">
        <v>1</v>
      </c>
      <c r="N165" s="4"/>
      <c r="O165" s="61">
        <f t="shared" ref="O165:O174" si="27">ROUNDDOWN(IF(COUNTIF($F$164:$I$164,$E165)&gt;0,N165/3,N165/4),0)</f>
        <v>0</v>
      </c>
      <c r="P165" s="60">
        <f>MIN(SUM(L165,O165),R165)</f>
        <v>1</v>
      </c>
      <c r="Q165" s="61">
        <v>0</v>
      </c>
      <c r="R165" s="61">
        <v>5</v>
      </c>
    </row>
    <row r="166" spans="1:18">
      <c r="A166" s="1" t="s">
        <v>165</v>
      </c>
      <c r="B166" t="str">
        <f t="shared" si="26"/>
        <v>¬</v>
      </c>
      <c r="D166" s="19"/>
      <c r="E166" s="15" t="s">
        <v>237</v>
      </c>
      <c r="F166" s="19"/>
      <c r="G166" s="19"/>
      <c r="H166" s="19"/>
      <c r="I166" s="19"/>
      <c r="L166" s="4"/>
      <c r="N166" s="4"/>
      <c r="O166" s="61">
        <f t="shared" si="27"/>
        <v>0</v>
      </c>
      <c r="P166" s="60">
        <f t="shared" ref="P166:P174" si="28">MIN(SUM(L166,O166),R166)</f>
        <v>0</v>
      </c>
      <c r="Q166" s="61">
        <v>0</v>
      </c>
      <c r="R166" s="61">
        <v>5</v>
      </c>
    </row>
    <row r="167" spans="1:18">
      <c r="A167" s="1" t="s">
        <v>166</v>
      </c>
      <c r="B167" t="str">
        <f t="shared" si="26"/>
        <v>¬</v>
      </c>
      <c r="D167" s="19"/>
      <c r="E167" s="15" t="s">
        <v>238</v>
      </c>
      <c r="F167" s="19"/>
      <c r="G167" s="19"/>
      <c r="H167" s="19"/>
      <c r="I167" s="19"/>
      <c r="L167" s="4"/>
      <c r="N167" s="4"/>
      <c r="O167" s="61">
        <f t="shared" si="27"/>
        <v>0</v>
      </c>
      <c r="P167" s="60">
        <f t="shared" si="28"/>
        <v>0</v>
      </c>
      <c r="Q167" s="61">
        <v>0</v>
      </c>
      <c r="R167" s="61">
        <v>5</v>
      </c>
    </row>
    <row r="168" spans="1:18">
      <c r="A168" s="1" t="s">
        <v>167</v>
      </c>
      <c r="B168" t="str">
        <f t="shared" si="26"/>
        <v>¬</v>
      </c>
      <c r="D168" s="19"/>
      <c r="E168" s="15" t="s">
        <v>239</v>
      </c>
      <c r="F168" s="19"/>
      <c r="G168" s="19"/>
      <c r="H168" s="19"/>
      <c r="I168" s="19"/>
      <c r="L168" s="4"/>
      <c r="N168" s="4"/>
      <c r="O168" s="61">
        <f t="shared" si="27"/>
        <v>0</v>
      </c>
      <c r="P168" s="60">
        <f t="shared" si="28"/>
        <v>0</v>
      </c>
      <c r="Q168" s="61">
        <v>0</v>
      </c>
      <c r="R168" s="61">
        <v>5</v>
      </c>
    </row>
    <row r="169" spans="1:18">
      <c r="A169" s="1" t="s">
        <v>168</v>
      </c>
      <c r="B169" t="str">
        <f t="shared" si="26"/>
        <v>¬</v>
      </c>
      <c r="D169" s="19"/>
      <c r="E169" s="15" t="s">
        <v>240</v>
      </c>
      <c r="F169" s="19"/>
      <c r="G169" s="19"/>
      <c r="H169" s="19"/>
      <c r="I169" s="19"/>
      <c r="L169" s="4"/>
      <c r="N169" s="4"/>
      <c r="O169" s="61">
        <f t="shared" si="27"/>
        <v>0</v>
      </c>
      <c r="P169" s="60">
        <f t="shared" si="28"/>
        <v>0</v>
      </c>
      <c r="Q169" s="61">
        <v>0</v>
      </c>
      <c r="R169" s="61">
        <v>5</v>
      </c>
    </row>
    <row r="170" spans="1:18">
      <c r="A170" s="1" t="s">
        <v>169</v>
      </c>
      <c r="B170" t="str">
        <f t="shared" si="26"/>
        <v>¬</v>
      </c>
      <c r="D170" s="19"/>
      <c r="E170" s="15" t="s">
        <v>241</v>
      </c>
      <c r="F170" s="19"/>
      <c r="G170" s="19"/>
      <c r="H170" s="19"/>
      <c r="I170" s="19"/>
      <c r="L170" s="4"/>
      <c r="N170" s="4"/>
      <c r="O170" s="61">
        <f t="shared" si="27"/>
        <v>0</v>
      </c>
      <c r="P170" s="60">
        <f t="shared" si="28"/>
        <v>0</v>
      </c>
      <c r="Q170" s="61">
        <v>0</v>
      </c>
      <c r="R170" s="61">
        <v>5</v>
      </c>
    </row>
    <row r="171" spans="1:18">
      <c r="A171" s="1" t="s">
        <v>170</v>
      </c>
      <c r="B171" t="str">
        <f t="shared" si="26"/>
        <v>¬</v>
      </c>
      <c r="D171" s="19"/>
      <c r="E171" s="15" t="s">
        <v>242</v>
      </c>
      <c r="F171" s="19"/>
      <c r="G171" s="19"/>
      <c r="H171" s="19"/>
      <c r="I171" s="19"/>
      <c r="L171" s="4"/>
      <c r="N171" s="4"/>
      <c r="O171" s="61">
        <f t="shared" si="27"/>
        <v>0</v>
      </c>
      <c r="P171" s="60">
        <f t="shared" si="28"/>
        <v>0</v>
      </c>
      <c r="Q171" s="61">
        <v>0</v>
      </c>
      <c r="R171" s="61">
        <v>5</v>
      </c>
    </row>
    <row r="172" spans="1:18">
      <c r="A172" s="1" t="s">
        <v>171</v>
      </c>
      <c r="B172" t="str">
        <f t="shared" si="26"/>
        <v>¬</v>
      </c>
      <c r="D172" s="19"/>
      <c r="E172" s="15" t="s">
        <v>243</v>
      </c>
      <c r="F172" s="19"/>
      <c r="G172" s="19"/>
      <c r="H172" s="19"/>
      <c r="I172" s="19"/>
      <c r="L172" s="4">
        <v>1</v>
      </c>
      <c r="N172" s="4">
        <v>3</v>
      </c>
      <c r="O172" s="61">
        <f t="shared" si="27"/>
        <v>1</v>
      </c>
      <c r="P172" s="60">
        <f t="shared" si="28"/>
        <v>2</v>
      </c>
      <c r="Q172" s="61">
        <v>0</v>
      </c>
      <c r="R172" s="61">
        <v>5</v>
      </c>
    </row>
    <row r="173" spans="1:18">
      <c r="A173" s="1" t="s">
        <v>172</v>
      </c>
      <c r="B173" t="str">
        <f t="shared" si="26"/>
        <v>¬</v>
      </c>
      <c r="D173" s="19"/>
      <c r="E173" s="15" t="s">
        <v>244</v>
      </c>
      <c r="F173" s="19"/>
      <c r="G173" s="19"/>
      <c r="H173" s="19"/>
      <c r="I173" s="19"/>
      <c r="L173" s="4">
        <v>1</v>
      </c>
      <c r="N173" s="4">
        <v>3</v>
      </c>
      <c r="O173" s="61">
        <f t="shared" si="27"/>
        <v>1</v>
      </c>
      <c r="P173" s="60">
        <f t="shared" si="28"/>
        <v>2</v>
      </c>
      <c r="Q173" s="61">
        <v>0</v>
      </c>
      <c r="R173" s="61">
        <v>5</v>
      </c>
    </row>
    <row r="174" spans="1:18">
      <c r="A174" s="1" t="s">
        <v>173</v>
      </c>
      <c r="B174" t="str">
        <f t="shared" si="26"/>
        <v>¬</v>
      </c>
      <c r="D174" s="19"/>
      <c r="E174" s="15" t="s">
        <v>245</v>
      </c>
      <c r="F174" s="19"/>
      <c r="G174" s="19"/>
      <c r="H174" s="19"/>
      <c r="I174" s="19"/>
      <c r="L174" s="4"/>
      <c r="N174" s="4"/>
      <c r="O174" s="61">
        <f t="shared" si="27"/>
        <v>0</v>
      </c>
      <c r="P174" s="60">
        <f t="shared" si="28"/>
        <v>0</v>
      </c>
      <c r="Q174" s="61">
        <v>0</v>
      </c>
      <c r="R174" s="61">
        <v>5</v>
      </c>
    </row>
    <row r="175" spans="1:18">
      <c r="A175" s="1" t="s">
        <v>174</v>
      </c>
      <c r="B175" t="str">
        <f>_xlfn.CONCAT(I137-H137," / ",I137)</f>
        <v>4 / 4</v>
      </c>
    </row>
    <row r="176" spans="1:18">
      <c r="A176" s="1" t="s">
        <v>175</v>
      </c>
      <c r="B176" t="str">
        <f>REPT("□",I137-H137) &amp; REPT("■",H137)</f>
        <v>□□□□</v>
      </c>
      <c r="D176" s="16" t="s">
        <v>1491</v>
      </c>
      <c r="E176" s="16"/>
      <c r="F176" s="16"/>
      <c r="G176" s="16"/>
      <c r="H176" s="16"/>
      <c r="I176" s="16"/>
    </row>
    <row r="177" spans="1:18">
      <c r="A177" s="1" t="s">
        <v>176</v>
      </c>
      <c r="B177" t="str">
        <f t="shared" ref="B177:B196" si="29">IF(AC134="","¬",AC134)</f>
        <v>Allies</v>
      </c>
      <c r="D177" s="19"/>
      <c r="E177" s="15" t="s">
        <v>1492</v>
      </c>
      <c r="F177" s="3"/>
      <c r="G177" s="19"/>
      <c r="H177" s="72" t="str">
        <f>IFERROR(IF(VLOOKUP(F177,tblDisciplines[],14,FALSE)=0,"None",VLOOKUP(F177,tblDisciplines[],14,FALSE)),"None")</f>
        <v>None</v>
      </c>
      <c r="I177" s="73"/>
      <c r="N177" s="4"/>
      <c r="O177" s="61">
        <f>N177</f>
        <v>0</v>
      </c>
      <c r="P177" s="60" t="str">
        <f>IF(O177=R177,O177,"")</f>
        <v/>
      </c>
      <c r="R177" s="61" t="str">
        <f>_xlfn.IFNA(VLOOKUP(F177,tblDisciplines[],15,FALSE),"")</f>
        <v/>
      </c>
    </row>
    <row r="178" spans="1:18">
      <c r="A178" s="1" t="s">
        <v>177</v>
      </c>
      <c r="B178" t="str">
        <f t="shared" si="29"/>
        <v>¬</v>
      </c>
      <c r="D178" s="19"/>
      <c r="E178" s="15" t="s">
        <v>1493</v>
      </c>
      <c r="F178" s="3"/>
      <c r="G178" s="19"/>
      <c r="H178" s="72" t="str">
        <f>IFERROR(IF(VLOOKUP(F178,tblDisciplines[],14,FALSE)=0,"None",VLOOKUP(F178,tblDisciplines[],14,FALSE)),"None")</f>
        <v>None</v>
      </c>
      <c r="I178" s="73"/>
      <c r="N178" s="4"/>
      <c r="O178" s="61">
        <f>N178</f>
        <v>0</v>
      </c>
      <c r="P178" s="60" t="str">
        <f>IF(O178=R178,O178,"")</f>
        <v/>
      </c>
      <c r="R178" s="61" t="str">
        <f>_xlfn.IFNA(VLOOKUP(F178,tblDisciplines[],15,FALSE),"")</f>
        <v/>
      </c>
    </row>
    <row r="179" spans="1:18">
      <c r="A179" s="1" t="s">
        <v>178</v>
      </c>
      <c r="B179" t="str">
        <f t="shared" si="29"/>
        <v>¬</v>
      </c>
      <c r="D179" s="19"/>
      <c r="E179" s="15" t="s">
        <v>1494</v>
      </c>
      <c r="F179" s="3"/>
      <c r="G179" s="19"/>
      <c r="H179" s="72" t="str">
        <f>IFERROR(IF(VLOOKUP(F179,tblDisciplines[],14,FALSE)=0,"None",VLOOKUP(F179,tblDisciplines[],14,FALSE)),"None")</f>
        <v>None</v>
      </c>
      <c r="I179" s="73"/>
      <c r="N179" s="4"/>
      <c r="O179" s="61">
        <f>N179</f>
        <v>0</v>
      </c>
      <c r="P179" s="60" t="str">
        <f>IF(O179=R179,O179,"")</f>
        <v/>
      </c>
      <c r="R179" s="61" t="str">
        <f>_xlfn.IFNA(VLOOKUP(F179,tblDisciplines[],15,FALSE),"")</f>
        <v/>
      </c>
    </row>
    <row r="180" spans="1:18">
      <c r="A180" s="1" t="s">
        <v>179</v>
      </c>
      <c r="B180" t="str">
        <f t="shared" si="29"/>
        <v>¬</v>
      </c>
      <c r="D180" s="19"/>
      <c r="E180" s="15" t="s">
        <v>1495</v>
      </c>
      <c r="F180" s="3"/>
      <c r="G180" s="19"/>
      <c r="H180" s="72" t="str">
        <f>IFERROR(IF(VLOOKUP(F180,tblDisciplines[],14,FALSE)=0,"None",VLOOKUP(F180,tblDisciplines[],14,FALSE)),"None")</f>
        <v>None</v>
      </c>
      <c r="I180" s="73"/>
      <c r="N180" s="4"/>
      <c r="O180" s="61">
        <f>N180</f>
        <v>0</v>
      </c>
      <c r="P180" s="60" t="str">
        <f>IF(O180=R180,O180,"")</f>
        <v/>
      </c>
      <c r="R180" s="61" t="str">
        <f>_xlfn.IFNA(VLOOKUP(F180,tblDisciplines[],15,FALSE),"")</f>
        <v/>
      </c>
    </row>
    <row r="181" spans="1:18">
      <c r="A181" s="1" t="s">
        <v>180</v>
      </c>
      <c r="B181" t="str">
        <f t="shared" si="29"/>
        <v>¬</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29"/>
        <v>¬</v>
      </c>
    </row>
    <row r="183" spans="1:18">
      <c r="A183" s="1" t="s">
        <v>182</v>
      </c>
      <c r="B183" t="str">
        <f t="shared" si="29"/>
        <v>¬</v>
      </c>
      <c r="D183" s="16" t="s">
        <v>1497</v>
      </c>
      <c r="E183" s="16"/>
      <c r="F183" s="16"/>
      <c r="G183" s="16"/>
      <c r="H183" s="16"/>
      <c r="I183" s="16"/>
    </row>
    <row r="184" spans="1:18">
      <c r="A184" s="1" t="s">
        <v>183</v>
      </c>
      <c r="B184" t="str">
        <f t="shared" si="29"/>
        <v>¬</v>
      </c>
      <c r="D184" s="19"/>
      <c r="E184" s="15" t="s">
        <v>246</v>
      </c>
      <c r="F184" s="19"/>
      <c r="G184" s="19"/>
      <c r="H184" s="19"/>
      <c r="I184" s="60" t="b">
        <f>IF(OR(F$9="Circle of the Crone",COUNTIF(F$79:F$93,"Chorister")&gt;0),TRUE,FALSE)</f>
        <v>0</v>
      </c>
      <c r="L184" s="4"/>
      <c r="N184" s="4"/>
      <c r="O184" s="61">
        <f>ROUNDDOWN(N184/4,0)</f>
        <v>0</v>
      </c>
      <c r="P184" s="60">
        <f>SUM(L184,O184)</f>
        <v>0</v>
      </c>
      <c r="Q184" s="61">
        <v>0</v>
      </c>
      <c r="R184" s="61">
        <v>5</v>
      </c>
    </row>
    <row r="185" spans="1:18">
      <c r="A185" s="1" t="s">
        <v>184</v>
      </c>
      <c r="B185" t="str">
        <f t="shared" si="29"/>
        <v>¬</v>
      </c>
      <c r="D185" s="19"/>
      <c r="E185" s="15" t="s">
        <v>247</v>
      </c>
      <c r="F185" s="19"/>
      <c r="G185" s="19"/>
      <c r="H185" s="19"/>
      <c r="I185" s="60" t="b">
        <f>IF(OR(F$9="Lancea et Sanctum",COUNTIF(F$79:F$93,"Laity")&gt;0),TRUE,FALSE)</f>
        <v>1</v>
      </c>
      <c r="L185" s="4"/>
      <c r="N185" s="4"/>
      <c r="O185" s="61">
        <f>ROUNDDOWN(N185/4,0)</f>
        <v>0</v>
      </c>
      <c r="P185" s="60">
        <f>SUM(L185,O185)</f>
        <v>0</v>
      </c>
      <c r="Q185" s="61">
        <v>0</v>
      </c>
      <c r="R185" s="61">
        <v>5</v>
      </c>
    </row>
    <row r="186" spans="1:18">
      <c r="A186" s="1" t="s">
        <v>185</v>
      </c>
      <c r="B186" t="str">
        <f t="shared" si="29"/>
        <v>¬</v>
      </c>
      <c r="D186" s="19"/>
      <c r="E186" s="19"/>
      <c r="F186" s="19"/>
      <c r="G186" s="19"/>
      <c r="H186" s="19"/>
      <c r="I186" s="19"/>
      <c r="L186" s="60">
        <f>SUM(P184:P185)-SUM(L187:L191)</f>
        <v>0</v>
      </c>
    </row>
    <row r="187" spans="1:18">
      <c r="A187" s="1" t="s">
        <v>186</v>
      </c>
      <c r="B187" t="str">
        <f t="shared" si="29"/>
        <v>¬</v>
      </c>
      <c r="D187" s="19"/>
      <c r="E187" s="15" t="s">
        <v>248</v>
      </c>
      <c r="F187" s="19"/>
      <c r="G187" s="19"/>
      <c r="H187" s="19"/>
      <c r="I187" s="19"/>
      <c r="L187" s="4"/>
      <c r="M187" s="61">
        <f>IF(AND(I184,L184&gt;=1),1,0)</f>
        <v>0</v>
      </c>
      <c r="N187" s="4"/>
      <c r="O187" s="61">
        <f>ROUNDDOWN(N187/2,0)</f>
        <v>0</v>
      </c>
      <c r="P187" s="60">
        <f>MIN(SUM(L187,M187,O187),R187)</f>
        <v>0</v>
      </c>
      <c r="Q187" s="61">
        <v>0</v>
      </c>
      <c r="R187" s="61">
        <f>MAX(P$184,P$185)</f>
        <v>0</v>
      </c>
    </row>
    <row r="188" spans="1:18">
      <c r="A188" s="1" t="s">
        <v>187</v>
      </c>
      <c r="B188" t="str">
        <f t="shared" si="29"/>
        <v>¬</v>
      </c>
      <c r="D188" s="19"/>
      <c r="E188" s="15" t="s">
        <v>249</v>
      </c>
      <c r="F188" s="19"/>
      <c r="G188" s="19"/>
      <c r="H188" s="19"/>
      <c r="I188" s="19"/>
      <c r="L188" s="4"/>
      <c r="M188" s="61"/>
      <c r="N188" s="4"/>
      <c r="O188" s="61">
        <f>ROUNDDOWN(N188/2,0)</f>
        <v>0</v>
      </c>
      <c r="P188" s="60">
        <f>MIN(SUM(L188,M188,O188),R188)</f>
        <v>0</v>
      </c>
      <c r="Q188" s="61">
        <v>0</v>
      </c>
      <c r="R188" s="61">
        <f>MAX(P$184,P$185)</f>
        <v>0</v>
      </c>
    </row>
    <row r="189" spans="1:18">
      <c r="A189" s="1" t="s">
        <v>188</v>
      </c>
      <c r="B189" t="str">
        <f t="shared" si="29"/>
        <v>¬</v>
      </c>
      <c r="D189" s="19"/>
      <c r="E189" s="15" t="s">
        <v>250</v>
      </c>
      <c r="F189" s="19"/>
      <c r="G189" s="19"/>
      <c r="H189" s="19"/>
      <c r="I189" s="19"/>
      <c r="L189" s="4"/>
      <c r="M189" s="61">
        <f>IF(AND(I185,L185&gt;=1),1,0)</f>
        <v>0</v>
      </c>
      <c r="N189" s="4"/>
      <c r="O189" s="61">
        <f>ROUNDDOWN(N189/2,0)</f>
        <v>0</v>
      </c>
      <c r="P189" s="60">
        <f>MIN(SUM(L189,M189,O189),R189)</f>
        <v>0</v>
      </c>
      <c r="Q189" s="61">
        <v>0</v>
      </c>
      <c r="R189" s="61">
        <f>MAX(P$184,P$185)</f>
        <v>0</v>
      </c>
    </row>
    <row r="190" spans="1:18">
      <c r="A190" s="1" t="s">
        <v>189</v>
      </c>
      <c r="B190" t="str">
        <f t="shared" si="29"/>
        <v>¬</v>
      </c>
      <c r="D190" s="19"/>
      <c r="E190" s="15" t="s">
        <v>251</v>
      </c>
      <c r="F190" s="19"/>
      <c r="G190" s="19"/>
      <c r="H190" s="19"/>
      <c r="I190" s="19"/>
      <c r="L190" s="4"/>
      <c r="M190" s="61">
        <f>IF(AND(I184,L184&gt;=1),1,0)</f>
        <v>0</v>
      </c>
      <c r="N190" s="4"/>
      <c r="O190" s="61">
        <f>ROUNDDOWN(N190/2,0)</f>
        <v>0</v>
      </c>
      <c r="P190" s="60">
        <f>MIN(SUM(L190,M190,O190),R190)</f>
        <v>0</v>
      </c>
      <c r="Q190" s="61">
        <v>0</v>
      </c>
      <c r="R190" s="61">
        <f>MAX(P$184,P$185)</f>
        <v>0</v>
      </c>
    </row>
    <row r="191" spans="1:18">
      <c r="A191" s="1" t="s">
        <v>190</v>
      </c>
      <c r="B191" t="str">
        <f t="shared" si="29"/>
        <v>¬</v>
      </c>
      <c r="D191" s="19"/>
      <c r="E191" s="15" t="s">
        <v>252</v>
      </c>
      <c r="F191" s="19"/>
      <c r="G191" s="19"/>
      <c r="H191" s="19"/>
      <c r="I191" s="19"/>
      <c r="L191" s="4"/>
      <c r="M191" s="61">
        <f>IF(AND(I185,L185&gt;=1),1,0)</f>
        <v>0</v>
      </c>
      <c r="N191" s="4"/>
      <c r="O191" s="61">
        <f>ROUNDDOWN(N191/2,0)</f>
        <v>0</v>
      </c>
      <c r="P191" s="60">
        <f>MIN(SUM(L191,M191,O191),R191)</f>
        <v>0</v>
      </c>
      <c r="Q191" s="61">
        <v>0</v>
      </c>
      <c r="R191" s="61">
        <f>MAX(P$184,P$185)</f>
        <v>0</v>
      </c>
    </row>
    <row r="192" spans="1:18">
      <c r="A192" s="1" t="s">
        <v>191</v>
      </c>
      <c r="B192" t="str">
        <f t="shared" si="29"/>
        <v>¬</v>
      </c>
    </row>
    <row r="193" spans="1:18">
      <c r="A193" s="1" t="s">
        <v>192</v>
      </c>
      <c r="B193" t="str">
        <f t="shared" si="29"/>
        <v>¬</v>
      </c>
      <c r="D193" s="16" t="s">
        <v>1474</v>
      </c>
      <c r="E193" s="16"/>
      <c r="F193" s="16"/>
      <c r="G193" s="16"/>
      <c r="H193" s="16"/>
      <c r="I193" s="16"/>
      <c r="L193" s="60">
        <f>SUM(P184:P185)+SUM(O187:O191)-SUM(L194:L203)</f>
        <v>0</v>
      </c>
    </row>
    <row r="194" spans="1:18">
      <c r="A194" s="1" t="s">
        <v>193</v>
      </c>
      <c r="B194" t="str">
        <f t="shared" si="29"/>
        <v>¬</v>
      </c>
      <c r="D194" s="19"/>
      <c r="E194" s="15" t="s">
        <v>1498</v>
      </c>
      <c r="F194" s="3"/>
      <c r="G194" s="61" t="str">
        <f>_xlfn.IFNA(VLOOKUP(F194,tblDisciplines[],2,FALSE),"")</f>
        <v/>
      </c>
      <c r="H194" s="19"/>
      <c r="I194" s="19"/>
      <c r="L194" s="4"/>
      <c r="N194" s="4"/>
      <c r="O194" s="61">
        <f>N194</f>
        <v>0</v>
      </c>
      <c r="P194" s="60" t="str">
        <f>IF(OR(L194=R194,O194=R194),R194,MIN(SUM(L194,O194),R194))</f>
        <v/>
      </c>
      <c r="R194" s="61" t="str">
        <f>_xlfn.IFNA(VLOOKUP(F194,tblDisciplines[],3,FALSE),"")</f>
        <v/>
      </c>
    </row>
    <row r="195" spans="1:18">
      <c r="A195" s="1" t="s">
        <v>194</v>
      </c>
      <c r="B195" t="str">
        <f t="shared" si="29"/>
        <v>¬</v>
      </c>
      <c r="D195" s="19"/>
      <c r="E195" s="15" t="s">
        <v>1499</v>
      </c>
      <c r="F195" s="3"/>
      <c r="G195" s="61" t="str">
        <f>_xlfn.IFNA(VLOOKUP(F195,tblDisciplines[],2,FALSE),"")</f>
        <v/>
      </c>
      <c r="H195" s="19"/>
      <c r="I195" s="19"/>
      <c r="L195" s="4"/>
      <c r="N195" s="4"/>
      <c r="O195" s="61">
        <f t="shared" ref="O195:O203" si="30">N195</f>
        <v>0</v>
      </c>
      <c r="P195" s="60" t="str">
        <f t="shared" ref="P195:P203" si="31">IF(OR(L195=R195,O195=R195),R195,MIN(SUM(L195,O195),R195))</f>
        <v/>
      </c>
      <c r="R195" s="61" t="str">
        <f>_xlfn.IFNA(VLOOKUP(F195,tblDisciplines[],3,FALSE),"")</f>
        <v/>
      </c>
    </row>
    <row r="196" spans="1:18">
      <c r="A196" s="1" t="s">
        <v>195</v>
      </c>
      <c r="B196" t="str">
        <f t="shared" si="29"/>
        <v>¬</v>
      </c>
      <c r="D196" s="19"/>
      <c r="E196" s="15" t="s">
        <v>1500</v>
      </c>
      <c r="F196" s="3"/>
      <c r="G196" s="61" t="str">
        <f>_xlfn.IFNA(VLOOKUP(F196,tblDisciplines[],2,FALSE),"")</f>
        <v/>
      </c>
      <c r="H196" s="19"/>
      <c r="I196" s="19"/>
      <c r="L196" s="4"/>
      <c r="N196" s="4"/>
      <c r="O196" s="61">
        <f t="shared" si="30"/>
        <v>0</v>
      </c>
      <c r="P196" s="60" t="str">
        <f t="shared" si="31"/>
        <v/>
      </c>
      <c r="R196" s="61" t="str">
        <f>_xlfn.IFNA(VLOOKUP(F196,tblDisciplines[],3,FALSE),"")</f>
        <v/>
      </c>
    </row>
    <row r="197" spans="1:18">
      <c r="A197" s="1" t="s">
        <v>196</v>
      </c>
      <c r="B197" t="str">
        <f>IF(AD134="","¬",AD134)</f>
        <v>transportation</v>
      </c>
      <c r="D197" s="19"/>
      <c r="E197" s="15" t="s">
        <v>1501</v>
      </c>
      <c r="F197" s="3"/>
      <c r="G197" s="61" t="str">
        <f>_xlfn.IFNA(VLOOKUP(F197,tblDisciplines[],2,FALSE),"")</f>
        <v/>
      </c>
      <c r="H197" s="19"/>
      <c r="I197" s="19"/>
      <c r="L197" s="4"/>
      <c r="N197" s="4"/>
      <c r="O197" s="61">
        <f t="shared" si="30"/>
        <v>0</v>
      </c>
      <c r="P197" s="60" t="str">
        <f t="shared" si="31"/>
        <v/>
      </c>
      <c r="R197" s="61" t="str">
        <f>_xlfn.IFNA(VLOOKUP(F197,tblDisciplines[],3,FALSE),"")</f>
        <v/>
      </c>
    </row>
    <row r="198" spans="1:18">
      <c r="A198" s="1" t="s">
        <v>197</v>
      </c>
      <c r="B198" t="str">
        <f t="shared" ref="B198:B216" si="32">IF(AD135="","¬",AD135)</f>
        <v>¬</v>
      </c>
      <c r="D198" s="19"/>
      <c r="E198" s="15" t="s">
        <v>1502</v>
      </c>
      <c r="F198" s="3"/>
      <c r="G198" s="61" t="str">
        <f>_xlfn.IFNA(VLOOKUP(F198,tblDisciplines[],2,FALSE),"")</f>
        <v/>
      </c>
      <c r="H198" s="19"/>
      <c r="I198" s="19"/>
      <c r="L198" s="4"/>
      <c r="N198" s="4"/>
      <c r="O198" s="61">
        <f t="shared" si="30"/>
        <v>0</v>
      </c>
      <c r="P198" s="60" t="str">
        <f t="shared" si="31"/>
        <v/>
      </c>
      <c r="R198" s="61" t="str">
        <f>_xlfn.IFNA(VLOOKUP(F198,tblDisciplines[],3,FALSE),"")</f>
        <v/>
      </c>
    </row>
    <row r="199" spans="1:18">
      <c r="A199" s="1" t="s">
        <v>198</v>
      </c>
      <c r="B199" t="str">
        <f t="shared" si="32"/>
        <v>¬</v>
      </c>
      <c r="D199" s="19"/>
      <c r="E199" s="15" t="s">
        <v>1503</v>
      </c>
      <c r="F199" s="3"/>
      <c r="G199" s="61" t="str">
        <f>_xlfn.IFNA(VLOOKUP(F199,tblDisciplines[],2,FALSE),"")</f>
        <v/>
      </c>
      <c r="H199" s="19"/>
      <c r="I199" s="19"/>
      <c r="L199" s="4"/>
      <c r="N199" s="4"/>
      <c r="O199" s="61">
        <f t="shared" si="30"/>
        <v>0</v>
      </c>
      <c r="P199" s="60" t="str">
        <f t="shared" si="31"/>
        <v/>
      </c>
      <c r="R199" s="61" t="str">
        <f>_xlfn.IFNA(VLOOKUP(F199,tblDisciplines[],3,FALSE),"")</f>
        <v/>
      </c>
    </row>
    <row r="200" spans="1:18">
      <c r="A200" s="1" t="s">
        <v>199</v>
      </c>
      <c r="B200" t="str">
        <f t="shared" si="32"/>
        <v>¬</v>
      </c>
      <c r="D200" s="19"/>
      <c r="E200" s="15" t="s">
        <v>1504</v>
      </c>
      <c r="F200" s="3"/>
      <c r="G200" s="61" t="str">
        <f>_xlfn.IFNA(VLOOKUP(F200,tblDisciplines[],2,FALSE),"")</f>
        <v/>
      </c>
      <c r="H200" s="19"/>
      <c r="I200" s="19"/>
      <c r="L200" s="4"/>
      <c r="N200" s="4"/>
      <c r="O200" s="61">
        <f t="shared" si="30"/>
        <v>0</v>
      </c>
      <c r="P200" s="60" t="str">
        <f t="shared" si="31"/>
        <v/>
      </c>
      <c r="R200" s="61" t="str">
        <f>_xlfn.IFNA(VLOOKUP(F200,tblDisciplines[],3,FALSE),"")</f>
        <v/>
      </c>
    </row>
    <row r="201" spans="1:18">
      <c r="A201" s="1" t="s">
        <v>200</v>
      </c>
      <c r="B201" t="str">
        <f t="shared" si="32"/>
        <v>¬</v>
      </c>
      <c r="D201" s="19"/>
      <c r="E201" s="15" t="s">
        <v>1505</v>
      </c>
      <c r="F201" s="3"/>
      <c r="G201" s="61" t="str">
        <f>_xlfn.IFNA(VLOOKUP(F201,tblDisciplines[],2,FALSE),"")</f>
        <v/>
      </c>
      <c r="H201" s="19"/>
      <c r="I201" s="19"/>
      <c r="L201" s="4"/>
      <c r="N201" s="4"/>
      <c r="O201" s="61">
        <f t="shared" si="30"/>
        <v>0</v>
      </c>
      <c r="P201" s="60" t="str">
        <f t="shared" si="31"/>
        <v/>
      </c>
      <c r="R201" s="61" t="str">
        <f>_xlfn.IFNA(VLOOKUP(F201,tblDisciplines[],3,FALSE),"")</f>
        <v/>
      </c>
    </row>
    <row r="202" spans="1:18">
      <c r="A202" s="1" t="s">
        <v>201</v>
      </c>
      <c r="B202" t="str">
        <f t="shared" si="32"/>
        <v>¬</v>
      </c>
      <c r="D202" s="19"/>
      <c r="E202" s="15" t="s">
        <v>1506</v>
      </c>
      <c r="F202" s="3"/>
      <c r="G202" s="61" t="str">
        <f>_xlfn.IFNA(VLOOKUP(F202,tblDisciplines[],2,FALSE),"")</f>
        <v/>
      </c>
      <c r="H202" s="19"/>
      <c r="I202" s="19"/>
      <c r="L202" s="4"/>
      <c r="N202" s="4"/>
      <c r="O202" s="61">
        <f t="shared" si="30"/>
        <v>0</v>
      </c>
      <c r="P202" s="60" t="str">
        <f t="shared" si="31"/>
        <v/>
      </c>
      <c r="R202" s="61" t="str">
        <f>_xlfn.IFNA(VLOOKUP(F202,tblDisciplines[],3,FALSE),"")</f>
        <v/>
      </c>
    </row>
    <row r="203" spans="1:18">
      <c r="A203" s="1" t="s">
        <v>202</v>
      </c>
      <c r="B203" t="str">
        <f t="shared" si="32"/>
        <v>¬</v>
      </c>
      <c r="D203" s="19"/>
      <c r="E203" s="15" t="s">
        <v>1507</v>
      </c>
      <c r="F203" s="3"/>
      <c r="G203" s="61" t="str">
        <f>_xlfn.IFNA(VLOOKUP(F203,tblDisciplines[],2,FALSE),"")</f>
        <v/>
      </c>
      <c r="H203" s="19"/>
      <c r="I203" s="19"/>
      <c r="L203" s="4"/>
      <c r="N203" s="4"/>
      <c r="O203" s="61">
        <f t="shared" si="30"/>
        <v>0</v>
      </c>
      <c r="P203" s="60" t="str">
        <f t="shared" si="31"/>
        <v/>
      </c>
      <c r="R203" s="61" t="str">
        <f>_xlfn.IFNA(VLOOKUP(F203,tblDisciplines[],3,FALSE),"")</f>
        <v/>
      </c>
    </row>
    <row r="204" spans="1:18">
      <c r="A204" s="1" t="s">
        <v>203</v>
      </c>
      <c r="B204" t="str">
        <f t="shared" si="32"/>
        <v>¬</v>
      </c>
    </row>
    <row r="205" spans="1:18">
      <c r="A205" s="1" t="s">
        <v>204</v>
      </c>
      <c r="B205" t="str">
        <f t="shared" si="32"/>
        <v>¬</v>
      </c>
      <c r="D205" s="16" t="s">
        <v>1508</v>
      </c>
      <c r="E205" s="17"/>
      <c r="F205" s="17"/>
      <c r="G205" s="17"/>
      <c r="H205" s="17"/>
      <c r="I205" s="17"/>
    </row>
    <row r="206" spans="1:18">
      <c r="A206" s="1" t="s">
        <v>205</v>
      </c>
      <c r="B206" t="str">
        <f t="shared" si="32"/>
        <v>¬</v>
      </c>
      <c r="D206" s="19"/>
      <c r="E206" s="15" t="s">
        <v>1476</v>
      </c>
      <c r="F206" s="3"/>
      <c r="G206" s="19" t="str">
        <f>IFERROR(VLOOKUP(F206,tblManoeuvre[],2,FALSE)&amp;" "&amp;VLOOKUP(F206,tblManoeuvre[],3,FALSE),"")</f>
        <v/>
      </c>
      <c r="H206" s="68" t="str">
        <f>_xlfn.IFNA(IF(VLOOKUP(F206,tblMerits[],6,FALSE)=0,"None",VLOOKUP(F206,tblMerits[],6,FALSE)),"None")</f>
        <v>None</v>
      </c>
      <c r="I206" s="69"/>
      <c r="L206" s="4"/>
      <c r="M206" s="4"/>
      <c r="N206" s="4"/>
      <c r="O206" s="61">
        <f t="shared" ref="O206:O215" si="33">N206</f>
        <v>0</v>
      </c>
      <c r="P206" s="60">
        <f t="shared" ref="P206:P215" si="34">MIN(SUM(L206,M206,O206),R206)</f>
        <v>0</v>
      </c>
      <c r="Q206" s="61" t="str">
        <f>_xlfn.IFNA(VLOOKUP($F206,tblPacts[],3,FALSE),"")</f>
        <v/>
      </c>
      <c r="R206" s="61" t="str">
        <f>_xlfn.IFNA(VLOOKUP($F206,tblPacts[],4,FALSE),"")</f>
        <v/>
      </c>
    </row>
    <row r="207" spans="1:18">
      <c r="A207" s="1" t="s">
        <v>206</v>
      </c>
      <c r="B207" t="str">
        <f t="shared" si="32"/>
        <v>¬</v>
      </c>
      <c r="D207" s="19"/>
      <c r="E207" s="15" t="s">
        <v>1477</v>
      </c>
      <c r="F207" s="3"/>
      <c r="G207" s="19" t="str">
        <f>IFERROR(VLOOKUP(F207,tblManoeuvre[],2,FALSE)&amp;" "&amp;VLOOKUP(F207,tblManoeuvre[],3,FALSE),"")</f>
        <v/>
      </c>
      <c r="H207" s="68" t="str">
        <f>_xlfn.IFNA(IF(VLOOKUP(F207,tblMerits[],6,FALSE)=0,"None",VLOOKUP(F207,tblMerits[],6,FALSE)),"None")</f>
        <v>None</v>
      </c>
      <c r="I207" s="69"/>
      <c r="L207" s="4"/>
      <c r="M207" s="4"/>
      <c r="N207" s="4"/>
      <c r="O207" s="61">
        <f t="shared" si="33"/>
        <v>0</v>
      </c>
      <c r="P207" s="60">
        <f t="shared" si="34"/>
        <v>0</v>
      </c>
      <c r="Q207" s="61" t="str">
        <f>_xlfn.IFNA(VLOOKUP($F207,tblPacts[],3,FALSE),"")</f>
        <v/>
      </c>
      <c r="R207" s="61" t="str">
        <f>_xlfn.IFNA(VLOOKUP($F207,tblPacts[],4,FALSE),"")</f>
        <v/>
      </c>
    </row>
    <row r="208" spans="1:18">
      <c r="A208" s="1" t="s">
        <v>207</v>
      </c>
      <c r="B208" t="str">
        <f t="shared" si="32"/>
        <v>¬</v>
      </c>
      <c r="D208" s="19"/>
      <c r="E208" s="15" t="s">
        <v>1478</v>
      </c>
      <c r="F208" s="3"/>
      <c r="G208" s="19" t="str">
        <f>IFERROR(VLOOKUP(F208,tblManoeuvre[],2,FALSE)&amp;" "&amp;VLOOKUP(F208,tblManoeuvre[],3,FALSE),"")</f>
        <v/>
      </c>
      <c r="H208" s="68" t="str">
        <f>_xlfn.IFNA(IF(VLOOKUP(F208,tblMerits[],6,FALSE)=0,"None",VLOOKUP(F208,tblMerits[],6,FALSE)),"None")</f>
        <v>None</v>
      </c>
      <c r="I208" s="69"/>
      <c r="L208" s="4"/>
      <c r="M208" s="4"/>
      <c r="N208" s="4"/>
      <c r="O208" s="61">
        <f t="shared" si="33"/>
        <v>0</v>
      </c>
      <c r="P208" s="60">
        <f t="shared" si="34"/>
        <v>0</v>
      </c>
      <c r="Q208" s="61" t="str">
        <f>_xlfn.IFNA(VLOOKUP($F208,tblPacts[],3,FALSE),"")</f>
        <v/>
      </c>
      <c r="R208" s="61" t="str">
        <f>_xlfn.IFNA(VLOOKUP($F208,tblPacts[],4,FALSE),"")</f>
        <v/>
      </c>
    </row>
    <row r="209" spans="1:18">
      <c r="A209" s="1" t="s">
        <v>208</v>
      </c>
      <c r="B209" t="str">
        <f t="shared" si="32"/>
        <v>¬</v>
      </c>
      <c r="D209" s="19"/>
      <c r="E209" s="15" t="s">
        <v>1479</v>
      </c>
      <c r="F209" s="3"/>
      <c r="G209" s="19" t="str">
        <f>IFERROR(VLOOKUP(F209,tblManoeuvre[],2,FALSE)&amp;" "&amp;VLOOKUP(F209,tblManoeuvre[],3,FALSE),"")</f>
        <v/>
      </c>
      <c r="H209" s="68" t="str">
        <f>_xlfn.IFNA(IF(VLOOKUP(F209,tblMerits[],6,FALSE)=0,"None",VLOOKUP(F209,tblMerits[],6,FALSE)),"None")</f>
        <v>None</v>
      </c>
      <c r="I209" s="69"/>
      <c r="L209" s="4"/>
      <c r="M209" s="4"/>
      <c r="N209" s="4"/>
      <c r="O209" s="61">
        <f t="shared" si="33"/>
        <v>0</v>
      </c>
      <c r="P209" s="60">
        <f t="shared" si="34"/>
        <v>0</v>
      </c>
      <c r="Q209" s="61" t="str">
        <f>_xlfn.IFNA(VLOOKUP($F209,tblPacts[],3,FALSE),"")</f>
        <v/>
      </c>
      <c r="R209" s="61" t="str">
        <f>_xlfn.IFNA(VLOOKUP($F209,tblPacts[],4,FALSE),"")</f>
        <v/>
      </c>
    </row>
    <row r="210" spans="1:18">
      <c r="A210" s="1" t="s">
        <v>209</v>
      </c>
      <c r="B210" t="str">
        <f t="shared" si="32"/>
        <v>¬</v>
      </c>
      <c r="D210" s="19"/>
      <c r="E210" s="15" t="s">
        <v>1480</v>
      </c>
      <c r="F210" s="3"/>
      <c r="G210" s="19" t="str">
        <f>IFERROR(VLOOKUP(F210,tblManoeuvre[],2,FALSE)&amp;" "&amp;VLOOKUP(F210,tblManoeuvre[],3,FALSE),"")</f>
        <v/>
      </c>
      <c r="H210" s="68" t="str">
        <f>_xlfn.IFNA(IF(VLOOKUP(F210,tblMerits[],6,FALSE)=0,"None",VLOOKUP(F210,tblMerits[],6,FALSE)),"None")</f>
        <v>None</v>
      </c>
      <c r="I210" s="69"/>
      <c r="L210" s="4"/>
      <c r="M210" s="4"/>
      <c r="N210" s="4"/>
      <c r="O210" s="61">
        <f t="shared" si="33"/>
        <v>0</v>
      </c>
      <c r="P210" s="60">
        <f t="shared" si="34"/>
        <v>0</v>
      </c>
      <c r="Q210" s="61" t="str">
        <f>_xlfn.IFNA(VLOOKUP($F210,tblPacts[],3,FALSE),"")</f>
        <v/>
      </c>
      <c r="R210" s="61" t="str">
        <f>_xlfn.IFNA(VLOOKUP($F210,tblPacts[],4,FALSE),"")</f>
        <v/>
      </c>
    </row>
    <row r="211" spans="1:18">
      <c r="A211" s="1" t="s">
        <v>210</v>
      </c>
      <c r="B211" t="str">
        <f t="shared" si="32"/>
        <v>¬</v>
      </c>
      <c r="D211" s="19"/>
      <c r="E211" s="15" t="s">
        <v>1481</v>
      </c>
      <c r="F211" s="3"/>
      <c r="G211" s="19" t="str">
        <f>IFERROR(VLOOKUP(F211,tblManoeuvre[],2,FALSE)&amp;" "&amp;VLOOKUP(F211,tblManoeuvre[],3,FALSE),"")</f>
        <v/>
      </c>
      <c r="H211" s="68" t="str">
        <f>_xlfn.IFNA(IF(VLOOKUP(F211,tblMerits[],6,FALSE)=0,"None",VLOOKUP(F211,tblMerits[],6,FALSE)),"None")</f>
        <v>None</v>
      </c>
      <c r="I211" s="69"/>
      <c r="L211" s="4"/>
      <c r="M211" s="4"/>
      <c r="N211" s="4"/>
      <c r="O211" s="61">
        <f t="shared" si="33"/>
        <v>0</v>
      </c>
      <c r="P211" s="60">
        <f t="shared" si="34"/>
        <v>0</v>
      </c>
      <c r="Q211" s="61" t="str">
        <f>_xlfn.IFNA(VLOOKUP($F211,tblPacts[],3,FALSE),"")</f>
        <v/>
      </c>
      <c r="R211" s="61" t="str">
        <f>_xlfn.IFNA(VLOOKUP($F211,tblPacts[],4,FALSE),"")</f>
        <v/>
      </c>
    </row>
    <row r="212" spans="1:18">
      <c r="A212" s="1" t="s">
        <v>211</v>
      </c>
      <c r="B212" t="str">
        <f t="shared" si="32"/>
        <v>¬</v>
      </c>
      <c r="D212" s="19"/>
      <c r="E212" s="15" t="s">
        <v>1482</v>
      </c>
      <c r="F212" s="3"/>
      <c r="G212" s="19" t="str">
        <f>IFERROR(VLOOKUP(F212,tblManoeuvre[],2,FALSE)&amp;" "&amp;VLOOKUP(F212,tblManoeuvre[],3,FALSE),"")</f>
        <v/>
      </c>
      <c r="H212" s="68" t="str">
        <f>_xlfn.IFNA(IF(VLOOKUP(F212,tblMerits[],6,FALSE)=0,"None",VLOOKUP(F212,tblMerits[],6,FALSE)),"None")</f>
        <v>None</v>
      </c>
      <c r="I212" s="69"/>
      <c r="L212" s="4"/>
      <c r="M212" s="4"/>
      <c r="N212" s="4"/>
      <c r="O212" s="61">
        <f t="shared" si="33"/>
        <v>0</v>
      </c>
      <c r="P212" s="60">
        <f t="shared" si="34"/>
        <v>0</v>
      </c>
      <c r="Q212" s="61" t="str">
        <f>_xlfn.IFNA(VLOOKUP($F212,tblPacts[],3,FALSE),"")</f>
        <v/>
      </c>
      <c r="R212" s="61" t="str">
        <f>_xlfn.IFNA(VLOOKUP($F212,tblPacts[],4,FALSE),"")</f>
        <v/>
      </c>
    </row>
    <row r="213" spans="1:18">
      <c r="A213" s="1" t="s">
        <v>212</v>
      </c>
      <c r="B213" t="str">
        <f t="shared" si="32"/>
        <v>¬</v>
      </c>
      <c r="D213" s="19"/>
      <c r="E213" s="15" t="s">
        <v>1483</v>
      </c>
      <c r="F213" s="3"/>
      <c r="G213" s="19" t="str">
        <f>IFERROR(VLOOKUP(F213,tblManoeuvre[],2,FALSE)&amp;" "&amp;VLOOKUP(F213,tblManoeuvre[],3,FALSE),"")</f>
        <v/>
      </c>
      <c r="H213" s="68" t="str">
        <f>_xlfn.IFNA(IF(VLOOKUP(F213,tblMerits[],6,FALSE)=0,"None",VLOOKUP(F213,tblMerits[],6,FALSE)),"None")</f>
        <v>None</v>
      </c>
      <c r="I213" s="69"/>
      <c r="L213" s="4"/>
      <c r="M213" s="4"/>
      <c r="N213" s="4"/>
      <c r="O213" s="61">
        <f t="shared" si="33"/>
        <v>0</v>
      </c>
      <c r="P213" s="60">
        <f t="shared" si="34"/>
        <v>0</v>
      </c>
      <c r="Q213" s="61" t="str">
        <f>_xlfn.IFNA(VLOOKUP($F213,tblPacts[],3,FALSE),"")</f>
        <v/>
      </c>
      <c r="R213" s="61" t="str">
        <f>_xlfn.IFNA(VLOOKUP($F213,tblPacts[],4,FALSE),"")</f>
        <v/>
      </c>
    </row>
    <row r="214" spans="1:18">
      <c r="A214" s="1" t="s">
        <v>213</v>
      </c>
      <c r="B214" t="str">
        <f t="shared" si="32"/>
        <v>¬</v>
      </c>
      <c r="D214" s="19"/>
      <c r="E214" s="15" t="s">
        <v>1484</v>
      </c>
      <c r="F214" s="3"/>
      <c r="G214" s="19" t="str">
        <f>IFERROR(VLOOKUP(F214,tblManoeuvre[],2,FALSE)&amp;" "&amp;VLOOKUP(F214,tblManoeuvre[],3,FALSE),"")</f>
        <v/>
      </c>
      <c r="H214" s="68" t="str">
        <f>_xlfn.IFNA(IF(VLOOKUP(F214,tblMerits[],6,FALSE)=0,"None",VLOOKUP(F214,tblMerits[],6,FALSE)),"None")</f>
        <v>None</v>
      </c>
      <c r="I214" s="69"/>
      <c r="L214" s="4"/>
      <c r="M214" s="4"/>
      <c r="N214" s="4"/>
      <c r="O214" s="61">
        <f t="shared" si="33"/>
        <v>0</v>
      </c>
      <c r="P214" s="60">
        <f t="shared" si="34"/>
        <v>0</v>
      </c>
      <c r="Q214" s="61" t="str">
        <f>_xlfn.IFNA(VLOOKUP($F214,tblPacts[],3,FALSE),"")</f>
        <v/>
      </c>
      <c r="R214" s="61" t="str">
        <f>_xlfn.IFNA(VLOOKUP($F214,tblPacts[],4,FALSE),"")</f>
        <v/>
      </c>
    </row>
    <row r="215" spans="1:18">
      <c r="A215" s="1" t="s">
        <v>214</v>
      </c>
      <c r="B215" t="str">
        <f t="shared" si="32"/>
        <v>¬</v>
      </c>
      <c r="D215" s="19"/>
      <c r="E215" s="15" t="s">
        <v>1485</v>
      </c>
      <c r="F215" s="3"/>
      <c r="G215" s="19" t="str">
        <f>IFERROR(VLOOKUP(F215,tblManoeuvre[],2,FALSE)&amp;" "&amp;VLOOKUP(F215,tblManoeuvre[],3,FALSE),"")</f>
        <v/>
      </c>
      <c r="H215" s="68" t="str">
        <f>_xlfn.IFNA(IF(VLOOKUP(F215,tblMerits[],6,FALSE)=0,"None",VLOOKUP(F215,tblMerits[],6,FALSE)),"None")</f>
        <v>None</v>
      </c>
      <c r="I215" s="69"/>
      <c r="L215" s="4"/>
      <c r="M215" s="4"/>
      <c r="N215" s="4"/>
      <c r="O215" s="61">
        <f t="shared" si="33"/>
        <v>0</v>
      </c>
      <c r="P215" s="60">
        <f t="shared" si="34"/>
        <v>0</v>
      </c>
      <c r="Q215" s="61" t="str">
        <f>_xlfn.IFNA(VLOOKUP($F215,tblPacts[],3,FALSE),"")</f>
        <v/>
      </c>
      <c r="R215" s="61" t="str">
        <f>_xlfn.IFNA(VLOOKUP($F215,tblPacts[],4,FALSE),"")</f>
        <v/>
      </c>
    </row>
    <row r="216" spans="1:18">
      <c r="A216" s="1" t="s">
        <v>215</v>
      </c>
      <c r="B216" t="str">
        <f t="shared" si="32"/>
        <v>¬</v>
      </c>
    </row>
    <row r="217" spans="1:18">
      <c r="A217" s="1" t="s">
        <v>216</v>
      </c>
      <c r="B217" t="str">
        <f>IF(OR(AF134=0,AF134=""),"",REPT("●",AF134))</f>
        <v>●●●</v>
      </c>
      <c r="D217" s="16" t="s">
        <v>1509</v>
      </c>
      <c r="E217" s="16"/>
      <c r="F217" s="16"/>
      <c r="G217" s="16"/>
      <c r="H217" s="16"/>
      <c r="I217" s="16"/>
    </row>
    <row r="218" spans="1:18">
      <c r="A218" s="1" t="s">
        <v>217</v>
      </c>
      <c r="B218" t="str">
        <f t="shared" ref="B218:B236" si="35">IF(OR(AF135=0,AF135=""),"",REPT("●",AF135))</f>
        <v/>
      </c>
      <c r="D218" s="19"/>
      <c r="E218" s="15" t="s">
        <v>353</v>
      </c>
      <c r="F218" s="19"/>
      <c r="G218" s="19"/>
      <c r="H218" s="19"/>
      <c r="I218" s="19"/>
      <c r="M218" s="61">
        <f>IF(COUNTIF(F79:F93,"Giant")&gt;0,1,0)+IF(COUNTIF(F79:F93,"Small-Framed")&gt;0,-1,0)</f>
        <v>0</v>
      </c>
      <c r="P218" s="60">
        <f>5+M218</f>
        <v>5</v>
      </c>
    </row>
    <row r="219" spans="1:18">
      <c r="A219" s="1" t="s">
        <v>218</v>
      </c>
      <c r="B219" t="str">
        <f t="shared" si="35"/>
        <v/>
      </c>
      <c r="D219" s="19"/>
      <c r="E219" s="15" t="s">
        <v>354</v>
      </c>
      <c r="F219" s="19"/>
      <c r="G219" s="19"/>
      <c r="H219" s="19"/>
      <c r="I219" s="19"/>
      <c r="P219" s="60">
        <f ca="1">VLOOKUP("Size",INDIRECT($AH$1),2,FALSE)+VLOOKUP("Strength",INDIRECT($AH$1),2,FALSE)+VLOOKUP("Dexterity",INDIRECT($AH$1),2,FALSE)+VLOOKUP("Vigour",INDIRECT($AH$1),2,FALSE)</f>
        <v>10</v>
      </c>
    </row>
    <row r="220" spans="1:18">
      <c r="A220" s="1" t="s">
        <v>219</v>
      </c>
      <c r="B220" t="str">
        <f t="shared" si="35"/>
        <v/>
      </c>
      <c r="D220" s="19"/>
      <c r="E220" s="15" t="s">
        <v>355</v>
      </c>
      <c r="F220" s="19"/>
      <c r="G220" s="19"/>
      <c r="H220" s="19"/>
      <c r="I220" s="19"/>
      <c r="P220" s="60">
        <f ca="1">MIN(VLOOKUP("Dexterity",INDIRECT($AH$1),2,FALSE),VLOOKUP("Wits",INDIRECT($AH$1),2,FALSE))+VLOOKUP("Athletics",INDIRECT($AH$1),2,FALSE)</f>
        <v>3</v>
      </c>
    </row>
    <row r="221" spans="1:18">
      <c r="A221" s="1" t="s">
        <v>220</v>
      </c>
      <c r="B221" t="str">
        <f t="shared" si="35"/>
        <v/>
      </c>
      <c r="D221" s="19"/>
      <c r="E221" s="15" t="s">
        <v>52</v>
      </c>
      <c r="F221" s="19"/>
      <c r="G221" s="19"/>
      <c r="H221" s="19"/>
      <c r="I221" s="19"/>
      <c r="P221" s="60">
        <f ca="1">VLOOKUP("Size",INDIRECT($AH$1),2,FALSE)+VLOOKUP("Stamina",INDIRECT($AH$1),2,FALSE)+VLOOKUP("Resilience",INDIRECT($AH$1),2,FALSE)</f>
        <v>11</v>
      </c>
    </row>
    <row r="222" spans="1:18">
      <c r="A222" s="1" t="s">
        <v>221</v>
      </c>
      <c r="B222" t="str">
        <f t="shared" si="35"/>
        <v/>
      </c>
      <c r="D222" s="19"/>
      <c r="E222" s="19"/>
      <c r="F222" s="19"/>
      <c r="G222" s="19"/>
      <c r="H222" s="15" t="s">
        <v>1510</v>
      </c>
      <c r="I222" s="19"/>
      <c r="L222" s="4"/>
    </row>
    <row r="223" spans="1:18">
      <c r="A223" s="1" t="s">
        <v>222</v>
      </c>
      <c r="B223" t="str">
        <f t="shared" si="35"/>
        <v/>
      </c>
      <c r="D223" s="19"/>
      <c r="E223" s="15" t="s">
        <v>1511</v>
      </c>
      <c r="F223" s="7"/>
      <c r="G223" s="19"/>
      <c r="H223" s="15" t="s">
        <v>1512</v>
      </c>
      <c r="I223" s="19"/>
      <c r="L223" s="4"/>
    </row>
    <row r="224" spans="1:18">
      <c r="A224" s="1" t="s">
        <v>223</v>
      </c>
      <c r="B224" t="str">
        <f t="shared" si="35"/>
        <v/>
      </c>
      <c r="D224" s="19"/>
      <c r="E224" s="15" t="s">
        <v>1513</v>
      </c>
      <c r="F224" s="7"/>
      <c r="G224" s="19"/>
      <c r="H224" s="15" t="s">
        <v>1514</v>
      </c>
      <c r="I224" s="19"/>
      <c r="L224" s="4"/>
    </row>
    <row r="225" spans="1:12">
      <c r="A225" s="1" t="s">
        <v>224</v>
      </c>
      <c r="B225" t="str">
        <f t="shared" si="35"/>
        <v/>
      </c>
      <c r="D225" s="19"/>
      <c r="E225" s="15" t="s">
        <v>1515</v>
      </c>
      <c r="F225" s="7"/>
      <c r="G225" s="19"/>
      <c r="H225" s="15" t="s">
        <v>1516</v>
      </c>
      <c r="I225" s="19"/>
      <c r="L225" s="4"/>
    </row>
    <row r="226" spans="1:12">
      <c r="A226" s="1" t="s">
        <v>225</v>
      </c>
      <c r="B226" t="str">
        <f t="shared" si="35"/>
        <v/>
      </c>
      <c r="D226" s="19"/>
      <c r="E226" s="15" t="s">
        <v>1517</v>
      </c>
      <c r="F226" s="7"/>
      <c r="G226" s="19"/>
      <c r="H226" s="19"/>
      <c r="I226" s="19"/>
    </row>
    <row r="227" spans="1:12">
      <c r="A227" s="1" t="s">
        <v>226</v>
      </c>
      <c r="B227" t="str">
        <f t="shared" si="35"/>
        <v/>
      </c>
      <c r="D227" s="19"/>
      <c r="E227" s="15" t="s">
        <v>1518</v>
      </c>
      <c r="F227" s="7" t="s">
        <v>1823</v>
      </c>
      <c r="G227" s="19"/>
      <c r="H227" s="19"/>
      <c r="I227" s="19"/>
    </row>
    <row r="228" spans="1:12">
      <c r="A228" s="1" t="s">
        <v>227</v>
      </c>
      <c r="B228" t="str">
        <f t="shared" si="35"/>
        <v/>
      </c>
      <c r="D228" s="19"/>
      <c r="E228" s="15" t="s">
        <v>1519</v>
      </c>
      <c r="F228" s="7" t="s">
        <v>1824</v>
      </c>
      <c r="G228" s="19"/>
      <c r="H228" s="19"/>
      <c r="I228" s="19"/>
    </row>
    <row r="229" spans="1:12">
      <c r="A229" s="1" t="s">
        <v>228</v>
      </c>
      <c r="B229" t="str">
        <f t="shared" si="35"/>
        <v/>
      </c>
      <c r="D229" s="19"/>
      <c r="E229" s="15" t="s">
        <v>1520</v>
      </c>
      <c r="F229" s="7"/>
      <c r="G229" s="19"/>
      <c r="H229" s="19"/>
      <c r="I229" s="19"/>
    </row>
    <row r="230" spans="1:12">
      <c r="A230" s="1" t="s">
        <v>229</v>
      </c>
      <c r="B230" t="str">
        <f t="shared" si="35"/>
        <v/>
      </c>
      <c r="D230" s="19"/>
      <c r="E230" s="15" t="s">
        <v>1521</v>
      </c>
      <c r="F230" s="7"/>
      <c r="G230" s="19"/>
      <c r="H230" s="19"/>
      <c r="I230" s="19"/>
    </row>
    <row r="231" spans="1:12">
      <c r="A231" s="1" t="s">
        <v>230</v>
      </c>
      <c r="B231" t="str">
        <f t="shared" si="35"/>
        <v/>
      </c>
      <c r="D231" s="19"/>
      <c r="E231" s="15" t="s">
        <v>1522</v>
      </c>
      <c r="F231" s="7"/>
      <c r="G231" s="19"/>
      <c r="H231" s="19"/>
      <c r="I231" s="19"/>
    </row>
    <row r="232" spans="1:12">
      <c r="A232" s="1" t="s">
        <v>231</v>
      </c>
      <c r="B232" t="str">
        <f t="shared" si="35"/>
        <v/>
      </c>
      <c r="D232" s="19"/>
      <c r="E232" s="15" t="s">
        <v>1523</v>
      </c>
      <c r="F232" s="7"/>
      <c r="G232" s="19"/>
      <c r="H232" s="19"/>
      <c r="I232" s="19"/>
    </row>
    <row r="233" spans="1:12">
      <c r="A233" s="1" t="s">
        <v>232</v>
      </c>
      <c r="B233" t="str">
        <f t="shared" si="35"/>
        <v/>
      </c>
      <c r="D233" s="19"/>
      <c r="E233" s="19"/>
      <c r="F233" s="19"/>
      <c r="G233" s="19"/>
      <c r="H233" s="19"/>
      <c r="I233" s="19"/>
    </row>
    <row r="234" spans="1:12">
      <c r="A234" s="1" t="s">
        <v>233</v>
      </c>
      <c r="B234" t="str">
        <f t="shared" si="35"/>
        <v/>
      </c>
      <c r="D234" s="19"/>
      <c r="E234" s="15" t="s">
        <v>343</v>
      </c>
      <c r="F234" s="61" t="str">
        <f>_xlfn.IFNA(VLOOKUP(F7,tblClans[],4,FALSE),"")</f>
        <v>Feral Curse</v>
      </c>
      <c r="G234" s="19"/>
      <c r="H234" s="74" t="str">
        <f>_xlfn.IFNA(VLOOKUP(F234,tblBanes[],2,FALSE),"")</f>
        <v>Frenzy resistance dice pools capped by Humanity (doesn't affect Riding the Wave).</v>
      </c>
      <c r="I234" s="74"/>
    </row>
    <row r="235" spans="1:12">
      <c r="A235" s="1" t="s">
        <v>234</v>
      </c>
      <c r="B235" t="str">
        <f t="shared" si="35"/>
        <v/>
      </c>
      <c r="D235" s="19"/>
      <c r="E235" s="15" t="s">
        <v>344</v>
      </c>
      <c r="F235" s="19"/>
      <c r="G235" s="19"/>
      <c r="H235" s="19"/>
      <c r="I235" s="19"/>
    </row>
    <row r="236" spans="1:12">
      <c r="A236" s="1" t="s">
        <v>235</v>
      </c>
      <c r="B236" t="str">
        <f t="shared" si="35"/>
        <v/>
      </c>
      <c r="D236" s="19"/>
      <c r="E236" s="15" t="s">
        <v>345</v>
      </c>
      <c r="F236" s="3"/>
      <c r="G236" s="19"/>
      <c r="H236" s="70" t="str">
        <f>_xlfn.IFNA(VLOOKUP(F236,tblBanes[],2,FALSE),"")</f>
        <v/>
      </c>
      <c r="I236" s="71"/>
    </row>
    <row r="237" spans="1:12">
      <c r="A237" s="1" t="s">
        <v>236</v>
      </c>
      <c r="B237" t="str">
        <f ca="1">_xlfn.LET(_xlpm.v,VLOOKUP(tblCharDataTegan[[#This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_xlfn.LET(_xlpm.v,VLOOKUP(tblCharDataTegan[[#This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_xlfn.LET(_xlpm.v,VLOOKUP(tblCharDataTegan[[#This Row],[Field]],INDIRECT($AH$1),2,FALSE),IF(OR(_xlpm.v=0,_xlpm.v=""),"-",REPT("●",_xlpm.v)))</f>
        <v>-</v>
      </c>
      <c r="D239" s="19"/>
      <c r="E239" s="19"/>
      <c r="F239" s="19"/>
      <c r="G239" s="19"/>
      <c r="H239" s="19"/>
      <c r="I239" s="19"/>
    </row>
    <row r="240" spans="1:12">
      <c r="A240" s="1" t="s">
        <v>239</v>
      </c>
      <c r="B240" t="str">
        <f ca="1">_xlfn.LET(_xlpm.v,VLOOKUP(tblCharDataTegan[[#This Row],[Field]],INDIRECT($AH$1),2,FALSE),IF(OR(_xlpm.v=0,_xlpm.v=""),"-",REPT("●",_xlpm.v)))</f>
        <v>-</v>
      </c>
      <c r="D240" s="19"/>
      <c r="E240" s="15" t="s">
        <v>360</v>
      </c>
      <c r="F240" s="62"/>
      <c r="G240" s="63"/>
      <c r="H240" s="63"/>
      <c r="I240" s="64"/>
    </row>
    <row r="241" spans="1:9">
      <c r="A241" s="1" t="s">
        <v>240</v>
      </c>
      <c r="B241" t="str">
        <f ca="1">_xlfn.LET(_xlpm.v,VLOOKUP(tblCharDataTegan[[#This Row],[Field]],INDIRECT($AH$1),2,FALSE),IF(OR(_xlpm.v=0,_xlpm.v=""),"-",REPT("●",_xlpm.v)))</f>
        <v>-</v>
      </c>
      <c r="D241" s="19"/>
      <c r="E241" s="15" t="s">
        <v>361</v>
      </c>
      <c r="F241" s="62"/>
      <c r="G241" s="63"/>
      <c r="H241" s="63"/>
      <c r="I241" s="64"/>
    </row>
    <row r="242" spans="1:9">
      <c r="A242" s="1" t="s">
        <v>241</v>
      </c>
      <c r="B242" t="str">
        <f ca="1">_xlfn.LET(_xlpm.v,VLOOKUP(tblCharDataTegan[[#This Row],[Field]],INDIRECT($AH$1),2,FALSE),IF(OR(_xlpm.v=0,_xlpm.v=""),"-",REPT("●",_xlpm.v)))</f>
        <v>-</v>
      </c>
      <c r="D242" s="19"/>
      <c r="E242" s="15" t="s">
        <v>362</v>
      </c>
      <c r="F242" s="62"/>
      <c r="G242" s="63"/>
      <c r="H242" s="63"/>
      <c r="I242" s="64"/>
    </row>
    <row r="243" spans="1:9">
      <c r="A243" s="1" t="s">
        <v>242</v>
      </c>
      <c r="B243" t="str">
        <f ca="1">_xlfn.LET(_xlpm.v,VLOOKUP(tblCharDataTegan[[#This Row],[Field]],INDIRECT($AH$1),2,FALSE),IF(OR(_xlpm.v=0,_xlpm.v=""),"-",REPT("●",_xlpm.v)))</f>
        <v>-</v>
      </c>
      <c r="D243" s="19"/>
      <c r="E243" s="19"/>
      <c r="F243" s="19"/>
      <c r="G243" s="19"/>
      <c r="H243" s="19"/>
      <c r="I243" s="19"/>
    </row>
    <row r="244" spans="1:9">
      <c r="A244" s="1" t="s">
        <v>243</v>
      </c>
      <c r="B244" t="str">
        <f ca="1">_xlfn.LET(_xlpm.v,VLOOKUP(tblCharDataTegan[[#This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_xlfn.LET(_xlpm.v,VLOOKUP(tblCharDataTegan[[#This Row],[Field]],INDIRECT($AH$1),2,FALSE),IF(OR(_xlpm.v=0,_xlpm.v=""),"-",REPT("●",_xlpm.v)))</f>
        <v>●●</v>
      </c>
      <c r="D245" s="19"/>
      <c r="E245" s="15" t="s">
        <v>1524</v>
      </c>
      <c r="F245" s="62"/>
      <c r="G245" s="63"/>
      <c r="H245" s="63"/>
      <c r="I245" s="64"/>
    </row>
    <row r="246" spans="1:9">
      <c r="A246" s="1" t="s">
        <v>245</v>
      </c>
      <c r="B246" t="str">
        <f ca="1">_xlfn.LET(_xlpm.v,VLOOKUP(tblCharDataTegan[[#This Row],[Field]],INDIRECT($AH$1),2,FALSE),IF(OR(_xlpm.v=0,_xlpm.v=""),"-",REPT("●",_xlpm.v)))</f>
        <v>-</v>
      </c>
    </row>
    <row r="247" spans="1:9">
      <c r="A247" s="1" t="s">
        <v>246</v>
      </c>
      <c r="B247" t="str">
        <f ca="1">_xlfn.LET(_xlpm.v,VLOOKUP(tblCharDataTegan[[#This Row],[Field]],INDIRECT($AH$1),2,FALSE),IF(OR(_xlpm.v=0,_xlpm.v=""),"-",REPT("●",_xlpm.v)))</f>
        <v>-</v>
      </c>
      <c r="D247" s="16" t="s">
        <v>1525</v>
      </c>
      <c r="E247" s="16"/>
      <c r="F247" s="16" t="s">
        <v>1526</v>
      </c>
      <c r="G247" s="16" t="s">
        <v>1527</v>
      </c>
      <c r="H247" s="16"/>
      <c r="I247" s="16"/>
    </row>
    <row r="248" spans="1:9">
      <c r="A248" s="1" t="s">
        <v>247</v>
      </c>
      <c r="B248" t="str">
        <f ca="1">_xlfn.LET(_xlpm.v,VLOOKUP(tblCharDataTegan[[#This Row],[Field]],INDIRECT($AH$1),2,FALSE),IF(OR(_xlpm.v=0,_xlpm.v=""),"-",REPT("●",_xlpm.v)))</f>
        <v>-</v>
      </c>
      <c r="D248" s="19"/>
      <c r="E248" s="15" t="s">
        <v>1528</v>
      </c>
      <c r="F248" s="7"/>
      <c r="G248" s="7"/>
      <c r="H248" s="19"/>
      <c r="I248" s="19" t="s">
        <v>1529</v>
      </c>
    </row>
    <row r="249" spans="1:9">
      <c r="A249" s="1" t="s">
        <v>248</v>
      </c>
      <c r="B249" t="str">
        <f ca="1">_xlfn.LET(_xlpm.v,VLOOKUP(tblCharDataTegan[[#This Row],[Field]],INDIRECT($AH$1),2,FALSE),IF(OR(_xlpm.v=0,_xlpm.v=""),"-",REPT("●",_xlpm.v)))</f>
        <v>-</v>
      </c>
      <c r="D249" s="19"/>
      <c r="E249" s="15" t="s">
        <v>1530</v>
      </c>
      <c r="F249" s="7"/>
      <c r="G249" s="7"/>
      <c r="H249" s="19"/>
      <c r="I249" s="19" t="s">
        <v>1531</v>
      </c>
    </row>
    <row r="250" spans="1:9">
      <c r="A250" s="1" t="s">
        <v>249</v>
      </c>
      <c r="B250" t="str">
        <f ca="1">_xlfn.LET(_xlpm.v,VLOOKUP(tblCharDataTegan[[#This Row],[Field]],INDIRECT($AH$1),2,FALSE),IF(OR(_xlpm.v=0,_xlpm.v=""),"-",REPT("●",_xlpm.v)))</f>
        <v>-</v>
      </c>
      <c r="D250" s="19" t="s">
        <v>1532</v>
      </c>
      <c r="E250" s="15" t="s">
        <v>1533</v>
      </c>
      <c r="F250" s="7"/>
      <c r="G250" s="7"/>
      <c r="H250" s="19"/>
      <c r="I250" s="19"/>
    </row>
    <row r="251" spans="1:9">
      <c r="A251" s="1" t="s">
        <v>250</v>
      </c>
      <c r="B251" t="str">
        <f ca="1">_xlfn.LET(_xlpm.v,VLOOKUP(tblCharDataTegan[[#This Row],[Field]],INDIRECT($AH$1),2,FALSE),IF(OR(_xlpm.v=0,_xlpm.v=""),"-",REPT("●",_xlpm.v)))</f>
        <v>-</v>
      </c>
      <c r="D251" s="19" t="s">
        <v>1532</v>
      </c>
      <c r="E251" s="15" t="s">
        <v>1534</v>
      </c>
      <c r="F251" s="7"/>
      <c r="G251" s="7"/>
      <c r="H251" s="19"/>
      <c r="I251" s="19"/>
    </row>
    <row r="252" spans="1:9">
      <c r="A252" s="1" t="s">
        <v>251</v>
      </c>
      <c r="B252" t="str">
        <f ca="1">_xlfn.LET(_xlpm.v,VLOOKUP(tblCharDataTegan[[#This Row],[Field]],INDIRECT($AH$1),2,FALSE),IF(OR(_xlpm.v=0,_xlpm.v=""),"-",REPT("●",_xlpm.v)))</f>
        <v>-</v>
      </c>
      <c r="D252" s="19" t="s">
        <v>1532</v>
      </c>
      <c r="E252" s="15" t="s">
        <v>1535</v>
      </c>
      <c r="F252" s="7"/>
      <c r="G252" s="7"/>
      <c r="H252" s="19"/>
      <c r="I252" s="19"/>
    </row>
    <row r="253" spans="1:9">
      <c r="A253" s="1" t="s">
        <v>252</v>
      </c>
      <c r="B253" t="str">
        <f ca="1">_xlfn.LET(_xlpm.v,VLOOKUP(tblCharDataTegan[[#This Row],[Field]],INDIRECT($AH$1),2,FALSE),IF(OR(_xlpm.v=0,_xlpm.v=""),"-",REPT("●",_xlpm.v)))</f>
        <v>-</v>
      </c>
      <c r="D253" s="19" t="s">
        <v>1532</v>
      </c>
      <c r="E253" s="15" t="s">
        <v>1536</v>
      </c>
      <c r="F253" s="7"/>
      <c r="G253" s="7"/>
      <c r="H253" s="19"/>
      <c r="I253" s="19"/>
    </row>
    <row r="254" spans="1:9">
      <c r="A254" s="1" t="s">
        <v>253</v>
      </c>
      <c r="B254" t="str">
        <f t="shared" ref="B254:B283" si="36">IF(AD44="","¬",AD44)</f>
        <v>Animalism ● | Feral Whispers</v>
      </c>
      <c r="D254" s="19" t="s">
        <v>1532</v>
      </c>
      <c r="E254" s="15" t="s">
        <v>1537</v>
      </c>
      <c r="F254" s="7"/>
      <c r="G254" s="7"/>
      <c r="H254" s="19"/>
      <c r="I254" s="19"/>
    </row>
    <row r="255" spans="1:9">
      <c r="A255" s="1" t="s">
        <v>254</v>
      </c>
      <c r="B255" t="str">
        <f t="shared" si="36"/>
        <v>Protean ● | Unmarked Grave</v>
      </c>
      <c r="D255" s="19" t="s">
        <v>1532</v>
      </c>
      <c r="E255" s="15" t="s">
        <v>1538</v>
      </c>
      <c r="F255" s="7"/>
      <c r="G255" s="7"/>
      <c r="H255" s="19"/>
      <c r="I255" s="19"/>
    </row>
    <row r="256" spans="1:9">
      <c r="A256" s="1" t="s">
        <v>255</v>
      </c>
      <c r="B256" t="str">
        <f t="shared" si="36"/>
        <v>Protean ●● | Predatory Aspect</v>
      </c>
      <c r="D256" s="19" t="s">
        <v>1532</v>
      </c>
      <c r="E256" s="15" t="s">
        <v>1539</v>
      </c>
      <c r="F256" s="7"/>
      <c r="G256" s="7"/>
      <c r="H256" s="19"/>
      <c r="I256" s="19"/>
    </row>
    <row r="257" spans="1:9">
      <c r="A257" s="1" t="s">
        <v>256</v>
      </c>
      <c r="B257" t="str">
        <f t="shared" si="36"/>
        <v>Resilience ●●</v>
      </c>
      <c r="D257" s="19" t="s">
        <v>1532</v>
      </c>
      <c r="E257" s="15" t="s">
        <v>1540</v>
      </c>
      <c r="F257" s="7"/>
      <c r="G257" s="7"/>
      <c r="H257" s="19"/>
      <c r="I257" s="19"/>
    </row>
    <row r="258" spans="1:9">
      <c r="A258" s="1" t="s">
        <v>257</v>
      </c>
      <c r="B258" t="str">
        <f t="shared" si="36"/>
        <v>¬</v>
      </c>
      <c r="D258" s="19" t="s">
        <v>1532</v>
      </c>
      <c r="E258" s="15" t="s">
        <v>1541</v>
      </c>
      <c r="F258" s="7"/>
      <c r="G258" s="7"/>
      <c r="H258" s="19"/>
      <c r="I258" s="19"/>
    </row>
    <row r="259" spans="1:9">
      <c r="A259" s="1" t="s">
        <v>258</v>
      </c>
      <c r="B259" t="str">
        <f t="shared" si="36"/>
        <v>¬</v>
      </c>
      <c r="D259" s="19" t="s">
        <v>1532</v>
      </c>
      <c r="E259" s="15" t="s">
        <v>1542</v>
      </c>
      <c r="F259" s="7"/>
      <c r="G259" s="7"/>
      <c r="H259" s="19"/>
      <c r="I259" s="19"/>
    </row>
    <row r="260" spans="1:9">
      <c r="A260" s="1" t="s">
        <v>259</v>
      </c>
      <c r="B260" t="str">
        <f t="shared" si="36"/>
        <v>¬</v>
      </c>
      <c r="D260" s="19" t="s">
        <v>1532</v>
      </c>
      <c r="E260" s="15" t="s">
        <v>1543</v>
      </c>
      <c r="F260" s="7"/>
      <c r="G260" s="7"/>
      <c r="H260" s="19"/>
      <c r="I260" s="19"/>
    </row>
    <row r="261" spans="1:9">
      <c r="A261" s="1" t="s">
        <v>260</v>
      </c>
      <c r="B261" t="str">
        <f t="shared" si="36"/>
        <v>¬</v>
      </c>
      <c r="D261" s="19" t="s">
        <v>1532</v>
      </c>
      <c r="E261" s="15" t="s">
        <v>1544</v>
      </c>
      <c r="F261" s="7"/>
      <c r="G261" s="7"/>
      <c r="H261" s="19"/>
      <c r="I261" s="19"/>
    </row>
    <row r="262" spans="1:9">
      <c r="A262" s="1" t="s">
        <v>261</v>
      </c>
      <c r="B262" t="str">
        <f t="shared" si="36"/>
        <v>¬</v>
      </c>
      <c r="D262" s="19" t="s">
        <v>1532</v>
      </c>
      <c r="E262" s="15" t="s">
        <v>1545</v>
      </c>
      <c r="F262" s="7"/>
      <c r="G262" s="7"/>
      <c r="H262" s="19"/>
      <c r="I262" s="19"/>
    </row>
    <row r="263" spans="1:9">
      <c r="A263" s="1" t="s">
        <v>262</v>
      </c>
      <c r="B263" t="str">
        <f t="shared" si="36"/>
        <v>¬</v>
      </c>
      <c r="D263" s="19" t="s">
        <v>1532</v>
      </c>
      <c r="E263" s="15" t="s">
        <v>1546</v>
      </c>
      <c r="F263" s="7"/>
      <c r="G263" s="7"/>
      <c r="H263" s="19"/>
      <c r="I263" s="19"/>
    </row>
    <row r="264" spans="1:9">
      <c r="A264" s="1" t="s">
        <v>263</v>
      </c>
      <c r="B264" t="str">
        <f t="shared" si="36"/>
        <v>¬</v>
      </c>
      <c r="D264" s="19" t="s">
        <v>1532</v>
      </c>
      <c r="E264" s="15" t="s">
        <v>1547</v>
      </c>
      <c r="F264" s="7"/>
      <c r="G264" s="7"/>
      <c r="H264" s="19"/>
      <c r="I264" s="19"/>
    </row>
    <row r="265" spans="1:9">
      <c r="A265" s="1" t="s">
        <v>264</v>
      </c>
      <c r="B265" t="str">
        <f t="shared" si="36"/>
        <v>¬</v>
      </c>
      <c r="D265" s="19" t="s">
        <v>1532</v>
      </c>
      <c r="E265" s="15" t="s">
        <v>1548</v>
      </c>
      <c r="F265" s="7"/>
      <c r="G265" s="7"/>
      <c r="H265" s="19"/>
      <c r="I265" s="19"/>
    </row>
    <row r="266" spans="1:9">
      <c r="A266" s="1" t="s">
        <v>265</v>
      </c>
      <c r="B266" t="str">
        <f t="shared" si="36"/>
        <v>¬</v>
      </c>
      <c r="D266" s="19" t="s">
        <v>1532</v>
      </c>
      <c r="E266" s="15" t="s">
        <v>1549</v>
      </c>
      <c r="F266" s="7"/>
      <c r="G266" s="7"/>
      <c r="H266" s="19"/>
      <c r="I266" s="19"/>
    </row>
    <row r="267" spans="1:9">
      <c r="A267" s="1" t="s">
        <v>266</v>
      </c>
      <c r="B267" t="str">
        <f t="shared" si="36"/>
        <v>¬</v>
      </c>
      <c r="D267" s="19" t="s">
        <v>1532</v>
      </c>
      <c r="E267" s="15" t="s">
        <v>1550</v>
      </c>
      <c r="F267" s="7"/>
      <c r="G267" s="7"/>
      <c r="H267" s="19"/>
      <c r="I267" s="19"/>
    </row>
    <row r="268" spans="1:9">
      <c r="A268" s="1" t="s">
        <v>267</v>
      </c>
      <c r="B268" t="str">
        <f t="shared" si="36"/>
        <v>¬</v>
      </c>
      <c r="D268" s="19" t="s">
        <v>1532</v>
      </c>
      <c r="E268" s="15" t="s">
        <v>1551</v>
      </c>
      <c r="F268" s="7"/>
      <c r="G268" s="7"/>
      <c r="H268" s="19"/>
      <c r="I268" s="19"/>
    </row>
    <row r="269" spans="1:9">
      <c r="A269" s="1" t="s">
        <v>268</v>
      </c>
      <c r="B269" t="str">
        <f t="shared" si="36"/>
        <v>¬</v>
      </c>
      <c r="D269" s="19" t="s">
        <v>1532</v>
      </c>
      <c r="E269" s="15" t="s">
        <v>1552</v>
      </c>
      <c r="F269" s="7"/>
      <c r="G269" s="7"/>
      <c r="H269" s="19"/>
      <c r="I269" s="19"/>
    </row>
    <row r="270" spans="1:9">
      <c r="A270" s="1" t="s">
        <v>269</v>
      </c>
      <c r="B270" t="str">
        <f t="shared" si="36"/>
        <v>¬</v>
      </c>
      <c r="D270" s="19" t="s">
        <v>1532</v>
      </c>
      <c r="E270" s="15" t="s">
        <v>1553</v>
      </c>
      <c r="F270" s="7"/>
      <c r="G270" s="7"/>
      <c r="H270" s="19"/>
      <c r="I270" s="19"/>
    </row>
    <row r="271" spans="1:9">
      <c r="A271" s="1" t="s">
        <v>270</v>
      </c>
      <c r="B271" t="str">
        <f t="shared" si="36"/>
        <v>¬</v>
      </c>
      <c r="D271" s="19" t="s">
        <v>1532</v>
      </c>
      <c r="E271" s="15" t="s">
        <v>1554</v>
      </c>
      <c r="F271" s="7"/>
      <c r="G271" s="7"/>
      <c r="H271" s="19"/>
      <c r="I271" s="19"/>
    </row>
    <row r="272" spans="1:9">
      <c r="A272" s="1" t="s">
        <v>271</v>
      </c>
      <c r="B272" t="str">
        <f t="shared" si="36"/>
        <v>¬</v>
      </c>
      <c r="D272" s="19" t="s">
        <v>1532</v>
      </c>
      <c r="E272" s="15" t="s">
        <v>1555</v>
      </c>
      <c r="F272" s="7"/>
      <c r="G272" s="7"/>
      <c r="H272" s="19"/>
      <c r="I272" s="19"/>
    </row>
    <row r="273" spans="1:14">
      <c r="A273" s="1" t="s">
        <v>272</v>
      </c>
      <c r="B273" t="str">
        <f t="shared" si="36"/>
        <v>¬</v>
      </c>
      <c r="D273" s="19" t="s">
        <v>1532</v>
      </c>
      <c r="E273" s="15" t="s">
        <v>1556</v>
      </c>
      <c r="F273" s="7"/>
      <c r="G273" s="7"/>
      <c r="H273" s="19"/>
      <c r="I273" s="19"/>
    </row>
    <row r="274" spans="1:14">
      <c r="A274" s="1" t="s">
        <v>273</v>
      </c>
      <c r="B274" t="str">
        <f t="shared" si="36"/>
        <v>¬</v>
      </c>
      <c r="D274" s="19" t="s">
        <v>1532</v>
      </c>
      <c r="E274" s="15" t="s">
        <v>1557</v>
      </c>
      <c r="F274" s="7"/>
      <c r="G274" s="7"/>
      <c r="H274" s="19"/>
      <c r="I274" s="19"/>
    </row>
    <row r="275" spans="1:14">
      <c r="A275" s="1" t="s">
        <v>274</v>
      </c>
      <c r="B275" t="str">
        <f t="shared" si="36"/>
        <v>¬</v>
      </c>
      <c r="D275" s="19" t="s">
        <v>1532</v>
      </c>
      <c r="E275" s="15" t="s">
        <v>1558</v>
      </c>
      <c r="F275" s="7"/>
      <c r="G275" s="7"/>
      <c r="H275" s="19"/>
      <c r="I275" s="19"/>
    </row>
    <row r="276" spans="1:14">
      <c r="A276" s="1" t="s">
        <v>275</v>
      </c>
      <c r="B276" t="str">
        <f t="shared" si="36"/>
        <v>¬</v>
      </c>
      <c r="D276" s="19" t="s">
        <v>1532</v>
      </c>
      <c r="E276" s="15" t="s">
        <v>1559</v>
      </c>
      <c r="F276" s="7"/>
      <c r="G276" s="7"/>
      <c r="H276" s="19"/>
      <c r="I276" s="19"/>
    </row>
    <row r="277" spans="1:14">
      <c r="A277" s="1" t="s">
        <v>276</v>
      </c>
      <c r="B277" t="str">
        <f t="shared" si="36"/>
        <v>¬</v>
      </c>
      <c r="D277" s="19" t="s">
        <v>1532</v>
      </c>
      <c r="E277" s="15" t="s">
        <v>1560</v>
      </c>
      <c r="F277" s="7"/>
      <c r="G277" s="7"/>
      <c r="H277" s="19"/>
      <c r="I277" s="19"/>
    </row>
    <row r="278" spans="1:14">
      <c r="A278" s="1" t="s">
        <v>277</v>
      </c>
      <c r="B278" t="str">
        <f t="shared" si="36"/>
        <v>¬</v>
      </c>
    </row>
    <row r="279" spans="1:14">
      <c r="A279" s="1" t="s">
        <v>278</v>
      </c>
      <c r="B279" t="str">
        <f t="shared" si="36"/>
        <v>¬</v>
      </c>
      <c r="D279" s="16" t="s">
        <v>1561</v>
      </c>
      <c r="E279" s="16"/>
      <c r="F279" s="16" t="s">
        <v>1347</v>
      </c>
      <c r="G279" s="16" t="s">
        <v>1348</v>
      </c>
      <c r="H279" s="16" t="s">
        <v>1349</v>
      </c>
      <c r="I279" s="16" t="s">
        <v>1350</v>
      </c>
      <c r="N279" s="60">
        <f ca="1">SUM(N280:N282)</f>
        <v>3</v>
      </c>
    </row>
    <row r="280" spans="1:14">
      <c r="A280" s="1" t="s">
        <v>279</v>
      </c>
      <c r="B280" t="str">
        <f t="shared" si="36"/>
        <v>¬</v>
      </c>
      <c r="D280" s="61" t="str" cm="1">
        <f t="array" aca="1" ref="D280" ca="1">INDEX(Attendance!$C$14:$GP$44,
       MATCH($F$4, Attendance!$C$14:$C$44, 0),
       MATCH(1, (Attendance!$C$12:$GP$12=$E280) * (Attendance!$C$13:$GP$13="Paid"), 0)
)</f>
        <v>PayID</v>
      </c>
      <c r="E280" s="41">
        <v>46054</v>
      </c>
      <c r="F280" s="61" cm="1">
        <f t="array" aca="1" ref="F280" ca="1">N(INDEX(Attendance!$C$14:$GP$104,
       MATCH($F$4, Attendance!$C$14:$C$104, 0),
       MATCH(1, (Attendance!$C$12:$GP$12=$E280) * (Attendance!$C$13:$GP$13=$F$279), 0)
))</f>
        <v>3</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0</v>
      </c>
      <c r="I280" s="61" t="str" cm="1">
        <f t="array" aca="1" ref="I280" ca="1">INDEX(Attendance!$C$14:$GP$44,
       MATCH($F$4, Attendance!$C$14:$C$44, 0),
       MATCH(1, (Attendance!$C$12:$GP$12=$E280) * (Attendance!$C$13:$GP$13=$I$279), 0)
)</f>
        <v>Quiet</v>
      </c>
      <c r="K280" s="18"/>
      <c r="L280" s="18"/>
      <c r="M280" s="18" t="s">
        <v>1562</v>
      </c>
      <c r="N280" s="61">
        <f ca="1">SUM(F$280:F$316)</f>
        <v>3</v>
      </c>
    </row>
    <row r="281" spans="1:14">
      <c r="A281" s="1" t="s">
        <v>280</v>
      </c>
      <c r="B281" t="str">
        <f t="shared" si="36"/>
        <v>¬</v>
      </c>
      <c r="D281" s="61" t="str" cm="1">
        <f t="array" aca="1" ref="D281" ca="1">INDEX(Attendance!$C$14:$GP$44,
       MATCH($F$4, Attendance!$C$14:$C$44, 0),
       MATCH(1, (Attendance!$C$12:$GP$12=$E281) * (Attendance!$C$13:$GP$13="Paid"), 0)
)</f>
        <v> </v>
      </c>
      <c r="E281" s="42">
        <f t="shared" ref="E281:E316" si="37">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6"/>
        <v>¬</v>
      </c>
      <c r="D282" s="61" t="str" cm="1">
        <f t="array" aca="1" ref="D282" ca="1">INDEX(Attendance!$C$14:$GP$44,
       MATCH($F$4, Attendance!$C$14:$C$44, 0),
       MATCH(1, (Attendance!$C$12:$GP$12=$E282) * (Attendance!$C$13:$GP$13="Paid"), 0)
)</f>
        <v> </v>
      </c>
      <c r="E282" s="42">
        <f t="shared" si="37"/>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0</v>
      </c>
    </row>
    <row r="283" spans="1:14">
      <c r="A283" s="1" t="s">
        <v>282</v>
      </c>
      <c r="B283" t="str">
        <f t="shared" si="36"/>
        <v>¬</v>
      </c>
      <c r="D283" s="61" t="str" cm="1">
        <f t="array" aca="1" ref="D283" ca="1">INDEX(Attendance!$C$14:$GP$44,
       MATCH($F$4, Attendance!$C$14:$C$44, 0),
       MATCH(1, (Attendance!$C$12:$GP$12=$E283) * (Attendance!$C$13:$GP$13="Paid"), 0)
)</f>
        <v> </v>
      </c>
      <c r="E283" s="42">
        <f t="shared" si="37"/>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8">IF(AE44="","¬",AE44)</f>
        <v>Cost: -  •  Pool: 6  •  Instant  •  Scene (may persist)</v>
      </c>
      <c r="D284" s="61" t="str" cm="1">
        <f t="array" aca="1" ref="D284" ca="1">INDEX(Attendance!$C$14:$GP$44,
       MATCH($F$4, Attendance!$C$14:$C$44, 0),
       MATCH(1, (Attendance!$C$12:$GP$12=$E284) * (Attendance!$C$13:$GP$13="Paid"), 0)
)</f>
        <v> </v>
      </c>
      <c r="E284" s="42">
        <f t="shared" si="37"/>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8"/>
        <v>Cost: Varies  •  Pool: -  •  Instant  •  Indefinite</v>
      </c>
      <c r="D285" s="61" t="str" cm="1">
        <f t="array" aca="1" ref="D285" ca="1">INDEX(Attendance!$C$14:$GP$44,
       MATCH($F$4, Attendance!$C$14:$C$44, 0),
       MATCH(1, (Attendance!$C$12:$GP$12=$E285) * (Attendance!$C$13:$GP$13="Paid"), 0)
)</f>
        <v> </v>
      </c>
      <c r="E285" s="42">
        <f t="shared" si="37"/>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8"/>
        <v>Cost: 1 V  •  Pool: -  •  Instant  •  Scene</v>
      </c>
      <c r="D286" s="61" t="str" cm="1">
        <f t="array" aca="1" ref="D286" ca="1">INDEX(Attendance!$C$14:$GP$44,
       MATCH($F$4, Attendance!$C$14:$C$44, 0),
       MATCH(1, (Attendance!$C$12:$GP$12=$E286) * (Attendance!$C$13:$GP$13="Paid"), 0)
)</f>
        <v> </v>
      </c>
      <c r="E286" s="42">
        <f t="shared" si="37"/>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8"/>
        <v>Cost: 1 V per effect  •  Pool: -  •  Reflexive  •  1 turn</v>
      </c>
      <c r="D287" s="61" t="str" cm="1">
        <f t="array" aca="1" ref="D287" ca="1">INDEX(Attendance!$C$14:$GP$44,
       MATCH($F$4, Attendance!$C$14:$C$44, 0),
       MATCH(1, (Attendance!$C$12:$GP$12=$E287) * (Attendance!$C$13:$GP$13="Paid"), 0)
)</f>
        <v> </v>
      </c>
      <c r="E287" s="42">
        <f t="shared" si="37"/>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8"/>
        <v>¬</v>
      </c>
      <c r="D288" s="61" t="str" cm="1">
        <f t="array" aca="1" ref="D288" ca="1">INDEX(Attendance!$C$14:$GP$44,
       MATCH($F$4, Attendance!$C$14:$C$44, 0),
       MATCH(1, (Attendance!$C$12:$GP$12=$E288) * (Attendance!$C$13:$GP$13="Paid"), 0)
)</f>
        <v> </v>
      </c>
      <c r="E288" s="42">
        <f t="shared" si="37"/>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8"/>
        <v>¬</v>
      </c>
      <c r="D289" s="61" t="str" cm="1">
        <f t="array" aca="1" ref="D289" ca="1">INDEX(Attendance!$C$14:$GP$44,
       MATCH($F$4, Attendance!$C$14:$C$44, 0),
       MATCH(1, (Attendance!$C$12:$GP$12=$E289) * (Attendance!$C$13:$GP$13="Paid"), 0)
)</f>
        <v> </v>
      </c>
      <c r="E289" s="42">
        <f t="shared" si="37"/>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8"/>
        <v>¬</v>
      </c>
      <c r="D290" s="61" t="str" cm="1">
        <f t="array" aca="1" ref="D290" ca="1">INDEX(Attendance!$C$14:$GP$44,
       MATCH($F$4, Attendance!$C$14:$C$44, 0),
       MATCH(1, (Attendance!$C$12:$GP$12=$E290) * (Attendance!$C$13:$GP$13="Paid"), 0)
)</f>
        <v> </v>
      </c>
      <c r="E290" s="42">
        <f t="shared" si="37"/>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8"/>
        <v>¬</v>
      </c>
      <c r="D291" s="61" t="str" cm="1">
        <f t="array" aca="1" ref="D291" ca="1">INDEX(Attendance!$C$14:$GP$44,
       MATCH($F$4, Attendance!$C$14:$C$44, 0),
       MATCH(1, (Attendance!$C$12:$GP$12=$E291) * (Attendance!$C$13:$GP$13="Paid"), 0)
)</f>
        <v> </v>
      </c>
      <c r="E291" s="42">
        <f t="shared" si="37"/>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8"/>
        <v>¬</v>
      </c>
      <c r="D292" s="61" t="str" cm="1">
        <f t="array" aca="1" ref="D292" ca="1">INDEX(Attendance!$C$14:$GP$44,
       MATCH($F$4, Attendance!$C$14:$C$44, 0),
       MATCH(1, (Attendance!$C$12:$GP$12=$E292) * (Attendance!$C$13:$GP$13="Paid"), 0)
)</f>
        <v> </v>
      </c>
      <c r="E292" s="42">
        <f t="shared" si="37"/>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8"/>
        <v>¬</v>
      </c>
      <c r="D293" s="61" t="str" cm="1">
        <f t="array" aca="1" ref="D293" ca="1">INDEX(Attendance!$C$14:$GP$44,
       MATCH($F$4, Attendance!$C$14:$C$44, 0),
       MATCH(1, (Attendance!$C$12:$GP$12=$E293) * (Attendance!$C$13:$GP$13="Paid"), 0)
)</f>
        <v> </v>
      </c>
      <c r="E293" s="42">
        <f t="shared" si="37"/>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8"/>
        <v>¬</v>
      </c>
      <c r="D294" s="61" t="str" cm="1">
        <f t="array" aca="1" ref="D294" ca="1">INDEX(Attendance!$C$14:$GP$44,
       MATCH($F$4, Attendance!$C$14:$C$44, 0),
       MATCH(1, (Attendance!$C$12:$GP$12=$E294) * (Attendance!$C$13:$GP$13="Paid"), 0)
)</f>
        <v> </v>
      </c>
      <c r="E294" s="42">
        <f t="shared" si="37"/>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8"/>
        <v>¬</v>
      </c>
      <c r="D295" s="61" t="str" cm="1">
        <f t="array" aca="1" ref="D295" ca="1">INDEX(Attendance!$C$14:$GP$44,
       MATCH($F$4, Attendance!$C$14:$C$44, 0),
       MATCH(1, (Attendance!$C$12:$GP$12=$E295) * (Attendance!$C$13:$GP$13="Paid"), 0)
)</f>
        <v> </v>
      </c>
      <c r="E295" s="42">
        <f t="shared" si="37"/>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8"/>
        <v>¬</v>
      </c>
      <c r="D296" s="61" t="str" cm="1">
        <f t="array" aca="1" ref="D296" ca="1">INDEX(Attendance!$C$14:$GP$44,
       MATCH($F$4, Attendance!$C$14:$C$44, 0),
       MATCH(1, (Attendance!$C$12:$GP$12=$E296) * (Attendance!$C$13:$GP$13="Paid"), 0)
)</f>
        <v> </v>
      </c>
      <c r="E296" s="42">
        <f t="shared" si="37"/>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8"/>
        <v>¬</v>
      </c>
      <c r="D297" s="61" t="str" cm="1">
        <f t="array" aca="1" ref="D297" ca="1">INDEX(Attendance!$C$14:$GP$44,
       MATCH($F$4, Attendance!$C$14:$C$44, 0),
       MATCH(1, (Attendance!$C$12:$GP$12=$E297) * (Attendance!$C$13:$GP$13="Paid"), 0)
)</f>
        <v> </v>
      </c>
      <c r="E297" s="42">
        <f t="shared" si="37"/>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8"/>
        <v>¬</v>
      </c>
      <c r="D298" s="61" t="str" cm="1">
        <f t="array" aca="1" ref="D298" ca="1">INDEX(Attendance!$C$14:$GP$44,
       MATCH($F$4, Attendance!$C$14:$C$44, 0),
       MATCH(1, (Attendance!$C$12:$GP$12=$E298) * (Attendance!$C$13:$GP$13="Paid"), 0)
)</f>
        <v> </v>
      </c>
      <c r="E298" s="42">
        <f t="shared" si="37"/>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8"/>
        <v>¬</v>
      </c>
      <c r="D299" s="61" t="str" cm="1">
        <f t="array" aca="1" ref="D299" ca="1">INDEX(Attendance!$C$14:$GP$44,
       MATCH($F$4, Attendance!$C$14:$C$44, 0),
       MATCH(1, (Attendance!$C$12:$GP$12=$E299) * (Attendance!$C$13:$GP$13="Paid"), 0)
)</f>
        <v> </v>
      </c>
      <c r="E299" s="42">
        <f t="shared" si="37"/>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8"/>
        <v>¬</v>
      </c>
      <c r="D300" s="61" t="str" cm="1">
        <f t="array" aca="1" ref="D300" ca="1">INDEX(Attendance!$C$14:$GP$44,
       MATCH($F$4, Attendance!$C$14:$C$44, 0),
       MATCH(1, (Attendance!$C$12:$GP$12=$E300) * (Attendance!$C$13:$GP$13="Paid"), 0)
)</f>
        <v> </v>
      </c>
      <c r="E300" s="42">
        <f t="shared" si="37"/>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8"/>
        <v>¬</v>
      </c>
      <c r="D301" s="61" t="str" cm="1">
        <f t="array" aca="1" ref="D301" ca="1">INDEX(Attendance!$C$14:$GP$44,
       MATCH($F$4, Attendance!$C$14:$C$44, 0),
       MATCH(1, (Attendance!$C$12:$GP$12=$E301) * (Attendance!$C$13:$GP$13="Paid"), 0)
)</f>
        <v> </v>
      </c>
      <c r="E301" s="42">
        <f t="shared" si="37"/>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8"/>
        <v>¬</v>
      </c>
      <c r="D302" s="61" t="str" cm="1">
        <f t="array" aca="1" ref="D302" ca="1">INDEX(Attendance!$C$14:$GP$44,
       MATCH($F$4, Attendance!$C$14:$C$44, 0),
       MATCH(1, (Attendance!$C$12:$GP$12=$E302) * (Attendance!$C$13:$GP$13="Paid"), 0)
)</f>
        <v> </v>
      </c>
      <c r="E302" s="42">
        <f t="shared" si="37"/>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8"/>
        <v>¬</v>
      </c>
      <c r="D303" s="61" t="str" cm="1">
        <f t="array" aca="1" ref="D303" ca="1">INDEX(Attendance!$C$14:$GP$44,
       MATCH($F$4, Attendance!$C$14:$C$44, 0),
       MATCH(1, (Attendance!$C$12:$GP$12=$E303) * (Attendance!$C$13:$GP$13="Paid"), 0)
)</f>
        <v> </v>
      </c>
      <c r="E303" s="42">
        <f t="shared" si="37"/>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8"/>
        <v>¬</v>
      </c>
      <c r="D304" s="61" t="str" cm="1">
        <f t="array" aca="1" ref="D304" ca="1">INDEX(Attendance!$C$14:$GP$44,
       MATCH($F$4, Attendance!$C$14:$C$44, 0),
       MATCH(1, (Attendance!$C$12:$GP$12=$E304) * (Attendance!$C$13:$GP$13="Paid"), 0)
)</f>
        <v> </v>
      </c>
      <c r="E304" s="42">
        <f t="shared" si="37"/>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8"/>
        <v>¬</v>
      </c>
      <c r="D305" s="61" t="str" cm="1">
        <f t="array" aca="1" ref="D305" ca="1">INDEX(Attendance!$C$14:$GP$44,
       MATCH($F$4, Attendance!$C$14:$C$44, 0),
       MATCH(1, (Attendance!$C$12:$GP$12=$E305) * (Attendance!$C$13:$GP$13="Paid"), 0)
)</f>
        <v> </v>
      </c>
      <c r="E305" s="42">
        <f t="shared" si="37"/>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8"/>
        <v>¬</v>
      </c>
      <c r="D306" s="61" t="str" cm="1">
        <f t="array" aca="1" ref="D306" ca="1">INDEX(Attendance!$C$14:$GP$44,
       MATCH($F$4, Attendance!$C$14:$C$44, 0),
       MATCH(1, (Attendance!$C$12:$GP$12=$E306) * (Attendance!$C$13:$GP$13="Paid"), 0)
)</f>
        <v> </v>
      </c>
      <c r="E306" s="42">
        <f t="shared" si="37"/>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8"/>
        <v>¬</v>
      </c>
      <c r="D307" s="61" t="str" cm="1">
        <f t="array" aca="1" ref="D307" ca="1">INDEX(Attendance!$C$14:$GP$44,
       MATCH($F$4, Attendance!$C$14:$C$44, 0),
       MATCH(1, (Attendance!$C$12:$GP$12=$E307) * (Attendance!$C$13:$GP$13="Paid"), 0)
)</f>
        <v> </v>
      </c>
      <c r="E307" s="42">
        <f t="shared" si="37"/>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8"/>
        <v>¬</v>
      </c>
      <c r="D308" s="61" t="str" cm="1">
        <f t="array" aca="1" ref="D308" ca="1">INDEX(Attendance!$C$14:$GP$44,
       MATCH($F$4, Attendance!$C$14:$C$44, 0),
       MATCH(1, (Attendance!$C$12:$GP$12=$E308) * (Attendance!$C$13:$GP$13="Paid"), 0)
)</f>
        <v> </v>
      </c>
      <c r="E308" s="42">
        <f t="shared" si="37"/>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8"/>
        <v>¬</v>
      </c>
      <c r="D309" s="61" t="str" cm="1">
        <f t="array" aca="1" ref="D309" ca="1">INDEX(Attendance!$C$14:$GP$44,
       MATCH($F$4, Attendance!$C$14:$C$44, 0),
       MATCH(1, (Attendance!$C$12:$GP$12=$E309) * (Attendance!$C$13:$GP$13="Paid"), 0)
)</f>
        <v> </v>
      </c>
      <c r="E309" s="42">
        <f t="shared" si="37"/>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8"/>
        <v>¬</v>
      </c>
      <c r="D310" s="61" t="str" cm="1">
        <f t="array" aca="1" ref="D310" ca="1">INDEX(Attendance!$C$14:$GP$44,
       MATCH($F$4, Attendance!$C$14:$C$44, 0),
       MATCH(1, (Attendance!$C$12:$GP$12=$E310) * (Attendance!$C$13:$GP$13="Paid"), 0)
)</f>
        <v> </v>
      </c>
      <c r="E310" s="42">
        <f t="shared" si="37"/>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8"/>
        <v>¬</v>
      </c>
      <c r="D311" s="61" t="str" cm="1">
        <f t="array" aca="1" ref="D311" ca="1">INDEX(Attendance!$C$14:$GP$44,
       MATCH($F$4, Attendance!$C$14:$C$44, 0),
       MATCH(1, (Attendance!$C$12:$GP$12=$E311) * (Attendance!$C$13:$GP$13="Paid"), 0)
)</f>
        <v> </v>
      </c>
      <c r="E311" s="42">
        <f t="shared" si="37"/>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8"/>
        <v>¬</v>
      </c>
      <c r="D312" s="61" t="str" cm="1">
        <f t="array" aca="1" ref="D312" ca="1">INDEX(Attendance!$C$14:$GP$44,
       MATCH($F$4, Attendance!$C$14:$C$44, 0),
       MATCH(1, (Attendance!$C$12:$GP$12=$E312) * (Attendance!$C$13:$GP$13="Paid"), 0)
)</f>
        <v> </v>
      </c>
      <c r="E312" s="42">
        <f t="shared" si="37"/>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8"/>
        <v>¬</v>
      </c>
      <c r="D313" s="61" t="str" cm="1">
        <f t="array" aca="1" ref="D313" ca="1">INDEX(Attendance!$C$14:$GP$44,
       MATCH($F$4, Attendance!$C$14:$C$44, 0),
       MATCH(1, (Attendance!$C$12:$GP$12=$E313) * (Attendance!$C$13:$GP$13="Paid"), 0)
)</f>
        <v> </v>
      </c>
      <c r="E313" s="42">
        <f t="shared" si="37"/>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39">IF(AF44="","¬",AF44)</f>
        <v>Speak with and command animals.</v>
      </c>
      <c r="D314" s="61" t="str" cm="1">
        <f t="array" aca="1" ref="D314" ca="1">INDEX(Attendance!$C$14:$GP$44,
       MATCH($F$4, Attendance!$C$14:$C$44, 0),
       MATCH(1, (Attendance!$C$12:$GP$12=$E314) * (Attendance!$C$13:$GP$13="Paid"), 0)
)</f>
        <v> </v>
      </c>
      <c r="E314" s="42">
        <f t="shared" si="37"/>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39"/>
        <v>Merge with soil.</v>
      </c>
      <c r="D315" s="61" t="str" cm="1">
        <f t="array" aca="1" ref="D315" ca="1">INDEX(Attendance!$C$14:$GP$44,
       MATCH($F$4, Attendance!$C$14:$C$44, 0),
       MATCH(1, (Attendance!$C$12:$GP$12=$E315) * (Attendance!$C$13:$GP$13="Paid"), 0)
)</f>
        <v> </v>
      </c>
      <c r="E315" s="42">
        <f t="shared" si="37"/>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39"/>
        <v>Take on animal traits.</v>
      </c>
      <c r="D316" s="61" t="str" cm="1">
        <f t="array" aca="1" ref="D316" ca="1">INDEX(Attendance!$C$14:$GP$44,
       MATCH($F$4, Attendance!$C$14:$C$44, 0),
       MATCH(1, (Attendance!$C$12:$GP$12=$E316) * (Attendance!$C$13:$GP$13="Paid"), 0)
)</f>
        <v> </v>
      </c>
      <c r="E316" s="42">
        <f t="shared" si="37"/>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39"/>
        <v>Downgrade damage and increase Stamina. Improve Armour and Defences. Unnatural Fortitude: add Resilience dots as bonus dice to non-combat Stamina pools.</v>
      </c>
    </row>
    <row r="318" spans="1:9">
      <c r="A318" s="1" t="s">
        <v>317</v>
      </c>
      <c r="B318" t="str">
        <f t="shared" si="39"/>
        <v>¬</v>
      </c>
    </row>
    <row r="319" spans="1:9">
      <c r="A319" s="1" t="s">
        <v>318</v>
      </c>
      <c r="B319" t="str">
        <f t="shared" si="39"/>
        <v>¬</v>
      </c>
    </row>
    <row r="320" spans="1:9">
      <c r="A320" s="1" t="s">
        <v>319</v>
      </c>
      <c r="B320" t="str">
        <f t="shared" si="39"/>
        <v>¬</v>
      </c>
    </row>
    <row r="321" spans="1:2">
      <c r="A321" s="1" t="s">
        <v>320</v>
      </c>
      <c r="B321" t="str">
        <f t="shared" si="39"/>
        <v>¬</v>
      </c>
    </row>
    <row r="322" spans="1:2">
      <c r="A322" s="1" t="s">
        <v>321</v>
      </c>
      <c r="B322" t="str">
        <f t="shared" si="39"/>
        <v>¬</v>
      </c>
    </row>
    <row r="323" spans="1:2">
      <c r="A323" s="1" t="s">
        <v>322</v>
      </c>
      <c r="B323" t="str">
        <f t="shared" si="39"/>
        <v>¬</v>
      </c>
    </row>
    <row r="324" spans="1:2">
      <c r="A324" s="1" t="s">
        <v>323</v>
      </c>
      <c r="B324" t="str">
        <f t="shared" si="39"/>
        <v>¬</v>
      </c>
    </row>
    <row r="325" spans="1:2">
      <c r="A325" s="1" t="s">
        <v>324</v>
      </c>
      <c r="B325" t="str">
        <f t="shared" si="39"/>
        <v>¬</v>
      </c>
    </row>
    <row r="326" spans="1:2">
      <c r="A326" s="1" t="s">
        <v>325</v>
      </c>
      <c r="B326" t="str">
        <f t="shared" si="39"/>
        <v>¬</v>
      </c>
    </row>
    <row r="327" spans="1:2">
      <c r="A327" s="1" t="s">
        <v>326</v>
      </c>
      <c r="B327" t="str">
        <f t="shared" si="39"/>
        <v>¬</v>
      </c>
    </row>
    <row r="328" spans="1:2">
      <c r="A328" s="1" t="s">
        <v>327</v>
      </c>
      <c r="B328" t="str">
        <f t="shared" si="39"/>
        <v>¬</v>
      </c>
    </row>
    <row r="329" spans="1:2">
      <c r="A329" s="1" t="s">
        <v>328</v>
      </c>
      <c r="B329" t="str">
        <f t="shared" si="39"/>
        <v>¬</v>
      </c>
    </row>
    <row r="330" spans="1:2">
      <c r="A330" s="1" t="s">
        <v>329</v>
      </c>
      <c r="B330" t="str">
        <f t="shared" si="39"/>
        <v>¬</v>
      </c>
    </row>
    <row r="331" spans="1:2">
      <c r="A331" s="1" t="s">
        <v>330</v>
      </c>
      <c r="B331" t="str">
        <f t="shared" si="39"/>
        <v>¬</v>
      </c>
    </row>
    <row r="332" spans="1:2">
      <c r="A332" s="1" t="s">
        <v>331</v>
      </c>
      <c r="B332" t="str">
        <f t="shared" si="39"/>
        <v>¬</v>
      </c>
    </row>
    <row r="333" spans="1:2">
      <c r="A333" s="1" t="s">
        <v>332</v>
      </c>
      <c r="B333" t="str">
        <f t="shared" si="39"/>
        <v>¬</v>
      </c>
    </row>
    <row r="334" spans="1:2">
      <c r="A334" s="1" t="s">
        <v>333</v>
      </c>
      <c r="B334" t="str">
        <f t="shared" si="39"/>
        <v>¬</v>
      </c>
    </row>
    <row r="335" spans="1:2">
      <c r="A335" s="1" t="s">
        <v>334</v>
      </c>
      <c r="B335" t="str">
        <f t="shared" si="39"/>
        <v>¬</v>
      </c>
    </row>
    <row r="336" spans="1:2">
      <c r="A336" s="1" t="s">
        <v>335</v>
      </c>
      <c r="B336" t="str">
        <f t="shared" si="39"/>
        <v>¬</v>
      </c>
    </row>
    <row r="337" spans="1:2">
      <c r="A337" s="1" t="s">
        <v>336</v>
      </c>
      <c r="B337" t="str">
        <f t="shared" si="39"/>
        <v>¬</v>
      </c>
    </row>
    <row r="338" spans="1:2">
      <c r="A338" s="1" t="s">
        <v>337</v>
      </c>
      <c r="B338" t="str">
        <f t="shared" si="39"/>
        <v>¬</v>
      </c>
    </row>
    <row r="339" spans="1:2">
      <c r="A339" s="1" t="s">
        <v>338</v>
      </c>
      <c r="B339" t="str">
        <f t="shared" si="39"/>
        <v>¬</v>
      </c>
    </row>
    <row r="340" spans="1:2">
      <c r="A340" s="1" t="s">
        <v>339</v>
      </c>
      <c r="B340" t="str">
        <f t="shared" si="39"/>
        <v>¬</v>
      </c>
    </row>
    <row r="341" spans="1:2">
      <c r="A341" s="1" t="s">
        <v>340</v>
      </c>
      <c r="B341" t="str">
        <f t="shared" si="39"/>
        <v>¬</v>
      </c>
    </row>
    <row r="342" spans="1:2">
      <c r="A342" s="1" t="s">
        <v>341</v>
      </c>
      <c r="B342" t="str">
        <f t="shared" si="39"/>
        <v>¬</v>
      </c>
    </row>
    <row r="343" spans="1:2">
      <c r="A343" s="1" t="s">
        <v>342</v>
      </c>
      <c r="B343" t="str">
        <f t="shared" si="39"/>
        <v>¬</v>
      </c>
    </row>
    <row r="344" spans="1:2">
      <c r="A344" s="1" t="s">
        <v>343</v>
      </c>
      <c r="B344" s="8" t="str">
        <f>IF(VLOOKUP(tblCharDataTegan[[#This Row],[Field]],$E$2:$F$361,2,FALSE)="","¬",VLOOKUP(tblCharDataTegan[[#This Row],[Field]],$E$2:$F$361,2,FALSE))</f>
        <v>Feral Curse</v>
      </c>
    </row>
    <row r="345" spans="1:2">
      <c r="A345" s="1" t="s">
        <v>344</v>
      </c>
      <c r="B345" s="8" t="str">
        <f>IF(VLOOKUP(tblCharDataTegan[[#This Row],[Field]],$E$2:$F$361,2,FALSE)="","¬",VLOOKUP(tblCharDataTegan[[#This Row],[Field]],$E$2:$F$361,2,FALSE))</f>
        <v>¬</v>
      </c>
    </row>
    <row r="346" spans="1:2">
      <c r="A346" s="1" t="s">
        <v>345</v>
      </c>
      <c r="B346" s="8" t="str">
        <f>IF(VLOOKUP(tblCharDataTegan[[#This Row],[Field]],$E$2:$F$361,2,FALSE)="","¬",VLOOKUP(tblCharDataTegan[[#This Row],[Field]],$E$2:$F$361,2,FALSE))</f>
        <v>¬</v>
      </c>
    </row>
    <row r="347" spans="1:2">
      <c r="A347" s="1" t="s">
        <v>346</v>
      </c>
      <c r="B347" s="8" t="str">
        <f>IF(VLOOKUP(tblCharDataTegan[[#This Row],[Field]],$E$2:$F$361,2,FALSE)="","¬",VLOOKUP(tblCharDataTegan[[#This Row],[Field]],$E$2:$F$361,2,FALSE))</f>
        <v>¬</v>
      </c>
    </row>
    <row r="348" spans="1:2">
      <c r="A348" s="1" t="s">
        <v>347</v>
      </c>
      <c r="B348" s="8" t="str">
        <f>IF(VLOOKUP(tblCharDataTegan[[#This Row],[Field]],$E$2:$F$361,2,FALSE)="","¬",VLOOKUP(tblCharDataTegan[[#This Row],[Field]],$E$2:$F$361,2,FALSE))</f>
        <v>¬</v>
      </c>
    </row>
    <row r="349" spans="1:2">
      <c r="A349" s="1" t="s">
        <v>348</v>
      </c>
      <c r="B349" t="str">
        <f>_xlfn.IFNA(VLOOKUP(B344,$F$234:$I$238,3,FALSE),"")</f>
        <v>Frenzy resistance dice pools capped by Humanity (doesn't affect Riding the Wave).</v>
      </c>
    </row>
    <row r="350" spans="1:2">
      <c r="A350" s="1" t="s">
        <v>349</v>
      </c>
      <c r="B350" t="str">
        <f>_xlfn.IFNA(VLOOKUP(B345,$F$234:$I$238,3,FALSE),"¬")</f>
        <v>¬</v>
      </c>
    </row>
    <row r="351" spans="1:2">
      <c r="A351" s="1" t="s">
        <v>350</v>
      </c>
      <c r="B351" t="str">
        <f>_xlfn.IFNA(VLOOKUP(B346,$F$234:$I$238,3,FALSE),"")</f>
        <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10</v>
      </c>
    </row>
    <row r="356" spans="1:2">
      <c r="A356" s="1" t="s">
        <v>355</v>
      </c>
      <c r="B356">
        <f ca="1">P220</f>
        <v>3</v>
      </c>
    </row>
    <row r="357" spans="1:2">
      <c r="A357" s="1" t="s">
        <v>356</v>
      </c>
      <c r="B357" t="str">
        <f>IF(F10="","¬",VLOOKUP(F10,tblAnchors[],2,FALSE))</f>
        <v>Put yourself out to help another succeed.</v>
      </c>
    </row>
    <row r="358" spans="1:2">
      <c r="A358" s="1" t="s">
        <v>357</v>
      </c>
      <c r="B358" t="str">
        <f>IF(F10="","¬",VLOOKUP(F10,tblAnchors[],3,FALSE))</f>
        <v>Take full responsibility for another's dangerous mistake.</v>
      </c>
    </row>
    <row r="359" spans="1:2">
      <c r="A359" s="1" t="s">
        <v>358</v>
      </c>
      <c r="B359" t="str">
        <f>IF(F11="","¬",VLOOKUP(F11,tblAnchors[],2,FALSE))</f>
        <v>Favour the safe path over the higher risk, higher reward path.</v>
      </c>
    </row>
    <row r="360" spans="1:2">
      <c r="A360" s="1" t="s">
        <v>359</v>
      </c>
      <c r="B360" t="str">
        <f>IF(F11="","¬",VLOOKUP(F11,tblAnchors[],3,FALSE))</f>
        <v>Abandon a social group or relationship in order to stay safe.</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mid 20s</v>
      </c>
    </row>
    <row r="365" spans="1:2">
      <c r="A365" s="1" t="s">
        <v>364</v>
      </c>
      <c r="B365" t="str">
        <f>_xlfn.LET(_xlpm.a,IF(F244="","",F244),_xlpm.b,IF(F245="","",F245),IF(AND(_xlpm.a&lt;&gt;"",_xlpm.b&lt;&gt;""),_xlpm.a&amp;", "&amp;_xlpm.b,IF(_xlpm.a&lt;&gt;"",_xlpm.a,IF(_xlpm.b&lt;&gt;"",_xlpm.b,""))))</f>
        <v/>
      </c>
    </row>
  </sheetData>
  <mergeCells count="89">
    <mergeCell ref="F240:I240"/>
    <mergeCell ref="F241:I241"/>
    <mergeCell ref="F242:I242"/>
    <mergeCell ref="F244:I244"/>
    <mergeCell ref="F245:I245"/>
    <mergeCell ref="H238:I238"/>
    <mergeCell ref="H208:I208"/>
    <mergeCell ref="H209:I209"/>
    <mergeCell ref="H210:I210"/>
    <mergeCell ref="H211:I211"/>
    <mergeCell ref="H212:I212"/>
    <mergeCell ref="H213:I213"/>
    <mergeCell ref="H214:I214"/>
    <mergeCell ref="H215:I215"/>
    <mergeCell ref="H234:I234"/>
    <mergeCell ref="H236:I236"/>
    <mergeCell ref="H237:I237"/>
    <mergeCell ref="H207:I207"/>
    <mergeCell ref="H153:I153"/>
    <mergeCell ref="H154:I154"/>
    <mergeCell ref="H155:I155"/>
    <mergeCell ref="H156:I156"/>
    <mergeCell ref="H157:I157"/>
    <mergeCell ref="H177:I177"/>
    <mergeCell ref="H178:I178"/>
    <mergeCell ref="H179:I179"/>
    <mergeCell ref="H180:I180"/>
    <mergeCell ref="H181:I181"/>
    <mergeCell ref="H206:I206"/>
    <mergeCell ref="H152:I152"/>
    <mergeCell ref="H141:I141"/>
    <mergeCell ref="H142:I142"/>
    <mergeCell ref="H143:I143"/>
    <mergeCell ref="H144:I144"/>
    <mergeCell ref="H145:I145"/>
    <mergeCell ref="H146:I146"/>
    <mergeCell ref="H147:I147"/>
    <mergeCell ref="H148:I148"/>
    <mergeCell ref="H149:I149"/>
    <mergeCell ref="H150:I150"/>
    <mergeCell ref="H151:I151"/>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11:I111"/>
    <mergeCell ref="H98:I98"/>
    <mergeCell ref="H101:I101"/>
    <mergeCell ref="H102:I102"/>
    <mergeCell ref="H103:I103"/>
    <mergeCell ref="H104:I104"/>
    <mergeCell ref="H105:I105"/>
    <mergeCell ref="H106:I106"/>
    <mergeCell ref="H107:I107"/>
    <mergeCell ref="H108:I108"/>
    <mergeCell ref="H109:I109"/>
    <mergeCell ref="H110:I110"/>
    <mergeCell ref="H97:I97"/>
    <mergeCell ref="H86:I86"/>
    <mergeCell ref="H87:I87"/>
    <mergeCell ref="H88:I88"/>
    <mergeCell ref="H89:I89"/>
    <mergeCell ref="H90:I90"/>
    <mergeCell ref="H91:I91"/>
    <mergeCell ref="H92:I92"/>
    <mergeCell ref="H93:I93"/>
    <mergeCell ref="H94:I94"/>
    <mergeCell ref="H95:I95"/>
    <mergeCell ref="H96:I96"/>
    <mergeCell ref="H85:I85"/>
    <mergeCell ref="O8:P8"/>
    <mergeCell ref="O9:P9"/>
    <mergeCell ref="O10:P10"/>
    <mergeCell ref="O11:P11"/>
    <mergeCell ref="O12:P12"/>
    <mergeCell ref="H79:I79"/>
    <mergeCell ref="H80:I80"/>
    <mergeCell ref="H81:I81"/>
    <mergeCell ref="H82:I82"/>
    <mergeCell ref="H83:I83"/>
    <mergeCell ref="H84:I84"/>
  </mergeCells>
  <dataValidations count="15">
    <dataValidation type="list" allowBlank="1" showInputMessage="1" showErrorMessage="1" sqref="G248:G277" xr:uid="{8882463B-734E-43B1-90D1-00C45C86C349}">
      <formula1>$I$248:$I$249</formula1>
    </dataValidation>
    <dataValidation type="list" allowBlank="1" showInputMessage="1" showErrorMessage="1" sqref="F101:F120" xr:uid="{B93A865C-C1D9-400D-B023-3E12C8B68243}">
      <formula1>lstManoeuvres</formula1>
    </dataValidation>
    <dataValidation type="list" allowBlank="1" showInputMessage="1" showErrorMessage="1" sqref="F79:F98" xr:uid="{28772746-916B-431F-A36C-5687179F2CB6}">
      <formula1>lstMerits</formula1>
    </dataValidation>
    <dataValidation type="list" allowBlank="1" showInputMessage="1" showErrorMessage="1" sqref="F236:F238" xr:uid="{CAB3105C-5F71-41A0-9413-FB3C0D67A9F9}">
      <formula1>lstBanes</formula1>
    </dataValidation>
    <dataValidation type="list" allowBlank="1" showInputMessage="1" showErrorMessage="1" sqref="F206:F215" xr:uid="{F0157295-52DB-459A-B0A9-69476CC7B385}">
      <formula1>lstPacts</formula1>
    </dataValidation>
    <dataValidation type="list" allowBlank="1" showInputMessage="1" showErrorMessage="1" sqref="G12:G13" xr:uid="{74AC9078-6EEB-431B-9564-22B4D7D55333}">
      <formula1>lstStatus</formula1>
    </dataValidation>
    <dataValidation type="list" allowBlank="1" showInputMessage="1" showErrorMessage="1" sqref="F194:F205 F207:F215" xr:uid="{E425B77F-6B8D-462D-85CC-78BEC234BF9B}">
      <formula1>lstRites</formula1>
    </dataValidation>
    <dataValidation type="list" allowBlank="1" showInputMessage="1" showErrorMessage="1" sqref="F177:F181" xr:uid="{B2565ADC-5A92-4E48-A753-3B01493738AA}">
      <formula1>lstDevotions</formula1>
    </dataValidation>
    <dataValidation type="list" allowBlank="1" showInputMessage="1" showErrorMessage="1" sqref="F17:F21" xr:uid="{989167B1-7FBF-481E-B0CE-709844BFBAC3}">
      <formula1>"TRUE,FALSE"</formula1>
    </dataValidation>
    <dataValidation type="list" allowBlank="1" showInputMessage="1" showErrorMessage="1" sqref="F24" xr:uid="{7F79540F-0987-4E48-9B94-885B1C3B79E9}">
      <formula1>$D$7:$D$8</formula1>
    </dataValidation>
    <dataValidation type="list" allowBlank="1" showInputMessage="1" showErrorMessage="1" sqref="I25 I30 I35 I41 I51 I61" xr:uid="{6159AA77-6E6F-414B-A91E-C55FAFCF1E01}">
      <formula1>lstPriority</formula1>
    </dataValidation>
    <dataValidation type="list" allowBlank="1" showInputMessage="1" showErrorMessage="1" sqref="F10:F11" xr:uid="{7FC7F3F1-BE6A-4C5D-8D5C-D990127A5CB9}">
      <formula1>lstNature</formula1>
    </dataValidation>
    <dataValidation type="list" allowBlank="1" showInputMessage="1" showErrorMessage="1" sqref="F8" xr:uid="{2D29F107-F0C5-4B69-B4F0-A3E025D2AAF8}">
      <formula1>lstBloodlines</formula1>
    </dataValidation>
    <dataValidation type="list" allowBlank="1" showInputMessage="1" showErrorMessage="1" sqref="F9" xr:uid="{80ABB2DA-2933-487A-9558-438349894573}">
      <formula1>lstCovenant</formula1>
    </dataValidation>
    <dataValidation type="list" allowBlank="1" showInputMessage="1" showErrorMessage="1" sqref="F7" xr:uid="{1361E176-6AAE-4E4C-BAB5-4D64CA985A3E}">
      <formula1>lstClan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6776BCB4-86E8-47B9-A635-15A5C8F3782A}">
          <x14:formula1>
            <xm:f>'Lookup-Domain'!$A$2:$A$8</xm:f>
          </x14:formula1>
          <xm:sqref>F161 F139:F157</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984E2-DE7B-402C-9B93-27045C08E422}">
  <dimension ref="A1:AK365"/>
  <sheetViews>
    <sheetView zoomScale="70" zoomScaleNormal="70" workbookViewId="0">
      <pane ySplit="1" topLeftCell="A22" activePane="bottomLeft" state="frozen"/>
      <selection pane="bottomLeft" activeCell="G142" sqref="G142"/>
    </sheetView>
  </sheetViews>
  <sheetFormatPr defaultRowHeight="15"/>
  <cols>
    <col min="1" max="1" width="22.85546875" bestFit="1" customWidth="1"/>
    <col min="2" max="2" width="24.5703125" customWidth="1"/>
    <col min="3" max="3" width="2.7109375" customWidth="1"/>
    <col min="4" max="9" width="20.7109375" customWidth="1"/>
    <col min="10" max="10" width="2.7109375" customWidth="1"/>
    <col min="11" max="18" width="5.7109375" customWidth="1"/>
    <col min="19" max="19" width="2.7109375" customWidth="1"/>
    <col min="20" max="23" width="5.7109375" customWidth="1"/>
    <col min="24" max="24" width="2.7109375" customWidth="1"/>
    <col min="25" max="25" width="21.42578125" bestFit="1" customWidth="1"/>
    <col min="26" max="26" width="21.140625" bestFit="1" customWidth="1"/>
    <col min="27" max="27" width="26.28515625" bestFit="1" customWidth="1"/>
    <col min="28" max="28" width="5.85546875" bestFit="1" customWidth="1"/>
    <col min="29" max="29" width="48" customWidth="1"/>
    <col min="30" max="30" width="37.7109375" bestFit="1" customWidth="1"/>
    <col min="31" max="31" width="59.85546875" bestFit="1" customWidth="1"/>
    <col min="32" max="32" width="81.7109375" bestFit="1" customWidth="1"/>
    <col min="35" max="35" width="15.28515625" bestFit="1" customWidth="1"/>
    <col min="36" max="37" width="9" customWidth="1"/>
  </cols>
  <sheetData>
    <row r="1" spans="1:37" s="2" customFormat="1" ht="15.75" thickBot="1">
      <c r="A1" s="11" t="s">
        <v>1396</v>
      </c>
      <c r="B1" s="12" t="s">
        <v>1397</v>
      </c>
      <c r="D1" s="10" t="s">
        <v>1398</v>
      </c>
      <c r="E1" s="10" t="s">
        <v>1399</v>
      </c>
      <c r="F1" s="10" t="s">
        <v>1400</v>
      </c>
      <c r="G1" s="10" t="s">
        <v>1401</v>
      </c>
      <c r="H1" s="10" t="s">
        <v>1402</v>
      </c>
      <c r="I1" s="10" t="s">
        <v>1403</v>
      </c>
      <c r="K1" s="13" t="s">
        <v>1404</v>
      </c>
      <c r="L1" s="13" t="s">
        <v>1405</v>
      </c>
      <c r="M1" s="13" t="s">
        <v>1406</v>
      </c>
      <c r="N1" s="13" t="s">
        <v>1407</v>
      </c>
      <c r="O1" s="13" t="s">
        <v>1408</v>
      </c>
      <c r="P1" s="13" t="s">
        <v>1409</v>
      </c>
      <c r="Q1" s="13" t="s">
        <v>1410</v>
      </c>
      <c r="R1" s="13" t="s">
        <v>1411</v>
      </c>
      <c r="T1" s="13" t="s">
        <v>1412</v>
      </c>
      <c r="U1" s="13" t="s">
        <v>1413</v>
      </c>
      <c r="V1" s="13" t="s">
        <v>1414</v>
      </c>
      <c r="W1" s="13" t="s">
        <v>1415</v>
      </c>
      <c r="Y1" s="10" t="s">
        <v>1416</v>
      </c>
      <c r="Z1" s="10" t="s">
        <v>1417</v>
      </c>
      <c r="AA1" s="10" t="s">
        <v>1418</v>
      </c>
      <c r="AB1"/>
      <c r="AC1" s="10" t="s">
        <v>1419</v>
      </c>
      <c r="AD1" s="10" t="s">
        <v>1418</v>
      </c>
      <c r="AE1" s="10" t="s">
        <v>1420</v>
      </c>
      <c r="AF1" s="10" t="s">
        <v>1421</v>
      </c>
      <c r="AH1" t="s">
        <v>1422</v>
      </c>
      <c r="AI1" s="12" t="s">
        <v>1418</v>
      </c>
      <c r="AJ1" s="12" t="s">
        <v>1397</v>
      </c>
      <c r="AK1" s="12" t="s">
        <v>1423</v>
      </c>
    </row>
    <row r="2" spans="1:37" ht="15.75" thickBot="1">
      <c r="A2" s="1" t="s">
        <v>1</v>
      </c>
      <c r="B2" s="8">
        <f ca="1">TODAY()</f>
        <v>46114</v>
      </c>
      <c r="D2" s="14" t="s">
        <v>1424</v>
      </c>
      <c r="E2" s="14"/>
      <c r="F2" s="14"/>
      <c r="G2" s="14"/>
      <c r="H2" s="14"/>
      <c r="I2" s="14"/>
      <c r="Y2" s="15" t="s">
        <v>114</v>
      </c>
      <c r="Z2" s="19"/>
      <c r="AA2" s="61" t="str">
        <f t="shared" ref="AA2:AA21" si="0">_xlfn.LET(_xlpm.name,VLOOKUP(Y2,$E$2:$F$362,2,FALSE),_xlpm.note,VLOOKUP(Y2,$E$2:$G$362,3,FALSE),_xlpm.paid,_xlfn.IFNA(VLOOKUP(_xlpm.name,$F$79:$Q$120,11,FALSE)&gt;=VLOOKUP(_xlpm.name,$F$79:$Q$120,12,FALSE),FALSE),IF(AND(_xlpm.name&lt;&gt;"",_xlpm.paid),IF(_xlpm.note="",_xlpm.name,_xlpm.name&amp;" ("&amp;_xlpm.note&amp;")"),""))</f>
        <v>Indomitable</v>
      </c>
      <c r="AC2" s="60" t="str" cm="1">
        <f t="array" ref="AC2:AC5">_xlfn.LET(_xlpm.result,IFERROR(_xlfn.VSTACK(IFERROR(_xlfn._xlws.SORT(_xlfn._xlws.FILTER(AA2:AA21,AA2:AA21&lt;&gt;"")),""),IFERROR(_xlfn.SORTBY(_xlfn._xlws.FILTER(AA22:AA41,AA22:AA41&lt;&gt;""),_xlfn._xlws.FILTER(Z22:Z41,AA22:AA41&lt;&gt;""),1,_xlfn._xlws.FILTER(IFERROR(VLOOKUP(AA22:AA41,tblManoeuvre[],3,FALSE),999),AA22:AA41&lt;&gt;""),1),"")),""),IFERROR(_xlfn._xlws.FILTER(_xlpm.result,_xlpm.result&lt;&gt;""),""))</f>
        <v>Encyclopaedic Knowledge</v>
      </c>
      <c r="AD2" s="20" t="str">
        <f>IF(AC2="","¬",_xlfn.LET(_xlpm.base,IFERROR(LEFT(AC2,FIND(" (",AC2)-1),AC2),IFERROR(VLOOKUP(_xlpm.base,tblManoeuvre[],2,FALSE) &amp; " " &amp; REPT("●",VLOOKUP(_xlpm.base,tblManoeuvre[],3,FALSE)) &amp; " | " &amp; AC2,AC2 &amp; " " &amp; REPT("●",VLOOKUP(_xlpm.base,$F$79:$P$120,11,FALSE)))))</f>
        <v>Encyclopaedic Knowledge ●</v>
      </c>
      <c r="AE2" s="20"/>
      <c r="AF2" s="20" t="str">
        <f>IF(LEN(AC2)=0,"¬",_xlfn.LET(_xlpm.base,IFERROR(LEFT(AC2,FIND(" (",AC2)-1),AC2),IFERROR(VLOOKUP(_xlpm.base,tblMerits[],5,FALSE),IFERROR(VLOOKUP(_xlpm.base,tblManoeuvre[],9,FALSE),"¬"))))</f>
        <v>Roll Intelligence + Wits to recall trivia about a chosen field.</v>
      </c>
      <c r="AI2" s="15" t="s">
        <v>25</v>
      </c>
      <c r="AJ2" s="61">
        <f t="shared" ref="AJ2:AJ58" si="1">VLOOKUP(AI2,$E$3:$P$221,12,FALSE)</f>
        <v>2</v>
      </c>
      <c r="AK2" s="61">
        <f>IF(AJ2=0,IF(COUNTIF($E$42:$E$49,AI2)&gt;0,-3,-1),AJ2)</f>
        <v>2</v>
      </c>
    </row>
    <row r="3" spans="1:37">
      <c r="A3" s="1" t="s">
        <v>2</v>
      </c>
      <c r="B3">
        <f ca="1">N3</f>
        <v>0</v>
      </c>
      <c r="D3" s="19"/>
      <c r="E3" s="15" t="s">
        <v>4</v>
      </c>
      <c r="F3" s="3" t="s">
        <v>1328</v>
      </c>
      <c r="G3" s="18"/>
      <c r="H3" s="18"/>
      <c r="I3" s="18" t="s">
        <v>1425</v>
      </c>
      <c r="N3" s="60">
        <f ca="1">10+SUM(N4:N6)-SUM(N7)</f>
        <v>0</v>
      </c>
      <c r="Y3" s="15" t="s">
        <v>115</v>
      </c>
      <c r="Z3" s="19"/>
      <c r="AA3" s="61" t="str">
        <f t="shared" si="0"/>
        <v>Encyclopaedic Knowledge</v>
      </c>
      <c r="AC3" s="60" t="str">
        <v>Friends in High Places</v>
      </c>
      <c r="AD3" s="20" t="str">
        <f>IF(AC3="","¬",_xlfn.LET(_xlpm.base,IFERROR(LEFT(AC3,FIND(" (",AC3)-1),AC3),IFERROR(VLOOKUP(_xlpm.base,tblManoeuvre[],2,FALSE) &amp; " " &amp; REPT("●",VLOOKUP(_xlpm.base,tblManoeuvre[],3,FALSE)) &amp; " | " &amp; AC3,AC3 &amp; " " &amp; REPT("●",VLOOKUP(_xlpm.base,$F$79:$P$120,11,FALSE)))))</f>
        <v>Friends in High Places ●</v>
      </c>
      <c r="AE3" s="20"/>
      <c r="AF3" s="20" t="str">
        <f>IF(LEN(AC3)=0,"¬",_xlfn.LET(_xlpm.base,IFERROR(LEFT(AC3,FIND(" (",AC3)-1),AC3),IFERROR(VLOOKUP(_xlpm.base,tblMerits[],5,FALSE),IFERROR(VLOOKUP(_xlpm.base,tblManoeuvre[],9,FALSE),"¬"))))</f>
        <v>Once per chapter, use Invictus Status as Mortal Status in areas you don't possess. Drawback: Other Invictus may be informed.</v>
      </c>
      <c r="AI3" s="15" t="s">
        <v>41</v>
      </c>
      <c r="AJ3" s="61">
        <f t="shared" si="1"/>
        <v>0</v>
      </c>
      <c r="AK3" s="61">
        <f>IF(AJ3=0,IF(COUNTIF($E$42:$E$49,AI3)&gt;0,-3,-1),AJ3)</f>
        <v>-1</v>
      </c>
    </row>
    <row r="4" spans="1:37">
      <c r="A4" s="1" t="s">
        <v>3</v>
      </c>
      <c r="B4">
        <f ca="1">SUM(N3:N9)</f>
        <v>20</v>
      </c>
      <c r="D4" s="19"/>
      <c r="E4" s="15" t="s">
        <v>5</v>
      </c>
      <c r="F4" s="3" t="s">
        <v>1329</v>
      </c>
      <c r="G4" s="18"/>
      <c r="H4" s="18"/>
      <c r="I4" s="18" t="s">
        <v>1426</v>
      </c>
      <c r="N4" s="61">
        <f>K73*2</f>
        <v>2</v>
      </c>
      <c r="Y4" s="15" t="s">
        <v>116</v>
      </c>
      <c r="Z4" s="19"/>
      <c r="AA4" s="61" t="str">
        <f t="shared" si="0"/>
        <v>Friends in High Places</v>
      </c>
      <c r="AC4" s="60" t="str">
        <v>Indomitable</v>
      </c>
      <c r="AD4" s="20" t="str">
        <f>IF(AC4="","¬",_xlfn.LET(_xlpm.base,IFERROR(LEFT(AC4,FIND(" (",AC4)-1),AC4),IFERROR(VLOOKUP(_xlpm.base,tblManoeuvre[],2,FALSE) &amp; " " &amp; REPT("●",VLOOKUP(_xlpm.base,tblManoeuvre[],3,FALSE)) &amp; " | " &amp; AC4,AC4 &amp; " " &amp; REPT("●",VLOOKUP(_xlpm.base,$F$79:$P$120,11,FALSE)))))</f>
        <v>Indomitable ●●</v>
      </c>
      <c r="AE4" s="20"/>
      <c r="AF4" s="20" t="str">
        <f>IF(LEN(AC4)=0,"¬",_xlfn.LET(_xlpm.base,IFERROR(LEFT(AC4,FIND(" (",AC4)-1),AC4),IFERROR(VLOOKUP(_xlpm.base,tblMerits[],5,FALSE),IFERROR(VLOOKUP(_xlpm.base,tblManoeuvre[],9,FALSE),"¬"))))</f>
        <v>+2 to contest or resist supernatural mental influence.</v>
      </c>
      <c r="AI4" s="15" t="s">
        <v>236</v>
      </c>
      <c r="AJ4" s="61">
        <f t="shared" si="1"/>
        <v>0</v>
      </c>
      <c r="AK4" s="61">
        <f>AJ4</f>
        <v>0</v>
      </c>
    </row>
    <row r="5" spans="1:37">
      <c r="A5" s="1" t="s">
        <v>4</v>
      </c>
      <c r="B5" t="str">
        <f>IF(VLOOKUP(tblCharDataWan[[#This Row],[Field]],$E$2:$F$362,2,FALSE)="","¬",VLOOKUP(tblCharDataWan[[#This Row],[Field]],$E$2:$F$362,2,FALSE))</f>
        <v>Michael V</v>
      </c>
      <c r="D5" s="19"/>
      <c r="E5" s="15" t="s">
        <v>6</v>
      </c>
      <c r="F5" s="3" t="s">
        <v>1330</v>
      </c>
      <c r="G5" s="18"/>
      <c r="H5" s="18"/>
      <c r="I5" s="18" t="s">
        <v>1427</v>
      </c>
      <c r="N5" s="61">
        <f>N16</f>
        <v>0</v>
      </c>
      <c r="Y5" s="15" t="s">
        <v>117</v>
      </c>
      <c r="Z5" s="19"/>
      <c r="AA5" s="61" t="str">
        <f t="shared" si="0"/>
        <v>Multilingual (Mandarin, Mongolian)</v>
      </c>
      <c r="AC5" s="60" t="str">
        <v>Multilingual (Mandarin, Mongolian)</v>
      </c>
      <c r="AD5" s="20" t="str">
        <f>IF(AC5="","¬",_xlfn.LET(_xlpm.base,IFERROR(LEFT(AC5,FIND(" (",AC5)-1),AC5),IFERROR(VLOOKUP(_xlpm.base,tblManoeuvre[],2,FALSE) &amp; " " &amp; REPT("●",VLOOKUP(_xlpm.base,tblManoeuvre[],3,FALSE)) &amp; " | " &amp; AC5,AC5 &amp; " " &amp; REPT("●",VLOOKUP(_xlpm.base,$F$79:$P$120,11,FALSE)))))</f>
        <v>Multilingual (Mandarin, Mongolian) ●</v>
      </c>
      <c r="AE5" s="20"/>
      <c r="AF5" s="20" t="str">
        <f>IF(LEN(AC5)=0,"¬",_xlfn.LET(_xlpm.base,IFERROR(LEFT(AC5,FIND(" (",AC5)-1),AC5),IFERROR(VLOOKUP(_xlpm.base,tblMerits[],5,FALSE),IFERROR(VLOOKUP(_xlpm.base,tblManoeuvre[],9,FALSE),"¬"))))</f>
        <v>Speak two chosen languages conversationally. Intelligence + Academics to read.</v>
      </c>
      <c r="AI5" s="15" t="s">
        <v>33</v>
      </c>
      <c r="AJ5" s="61">
        <f t="shared" si="1"/>
        <v>1</v>
      </c>
      <c r="AK5" s="61">
        <f>IF(AJ5=0,IF(COUNTIF($E$42:$E$49,AI5)&gt;0,-3,-1),AJ5)</f>
        <v>1</v>
      </c>
    </row>
    <row r="6" spans="1:37">
      <c r="A6" s="1" t="s">
        <v>5</v>
      </c>
      <c r="B6" t="str">
        <f>IF(VLOOKUP(tblCharDataWan[[#This Row],[Field]],$E$2:$F$362,2,FALSE)="","¬",VLOOKUP(tblCharDataWan[[#This Row],[Field]],$E$2:$F$362,2,FALSE))</f>
        <v>Wan Yelong</v>
      </c>
      <c r="D6" s="19"/>
      <c r="E6" s="15" t="s">
        <v>7</v>
      </c>
      <c r="F6" s="3" t="s">
        <v>552</v>
      </c>
      <c r="G6" s="18"/>
      <c r="H6" s="18"/>
      <c r="I6" s="18" t="s">
        <v>1347</v>
      </c>
      <c r="N6" s="61">
        <f ca="1">N279</f>
        <v>3</v>
      </c>
      <c r="Y6" s="15" t="s">
        <v>118</v>
      </c>
      <c r="Z6" s="19"/>
      <c r="AA6" s="61" t="str">
        <f t="shared" si="0"/>
        <v/>
      </c>
      <c r="AC6" s="60"/>
      <c r="AD6" s="20" t="str">
        <f>IF(AC6="","¬",_xlfn.LET(_xlpm.base,IFERROR(LEFT(AC6,FIND(" (",AC6)-1),AC6),IFERROR(VLOOKUP(_xlpm.base,tblManoeuvre[],2,FALSE) &amp; " " &amp; REPT("●",VLOOKUP(_xlpm.base,tblManoeuvre[],3,FALSE)) &amp; " | " &amp; AC6,AC6 &amp; " " &amp; REPT("●",VLOOKUP(_xlpm.base,$F$79:$P$120,11,FALSE)))))</f>
        <v>¬</v>
      </c>
      <c r="AE6" s="20"/>
      <c r="AF6" s="20" t="str">
        <f>IF(LEN(AC6)=0,"¬",_xlfn.LET(_xlpm.base,IFERROR(LEFT(AC6,FIND(" (",AC6)-1),AC6),IFERROR(VLOOKUP(_xlpm.base,tblMerits[],5,FALSE),IFERROR(VLOOKUP(_xlpm.base,tblManoeuvre[],9,FALSE),"¬"))))</f>
        <v>¬</v>
      </c>
      <c r="AI6" s="15" t="s">
        <v>237</v>
      </c>
      <c r="AJ6" s="61">
        <f t="shared" si="1"/>
        <v>2</v>
      </c>
      <c r="AK6" s="61">
        <f>AJ6</f>
        <v>2</v>
      </c>
    </row>
    <row r="7" spans="1:37">
      <c r="A7" s="1" t="s">
        <v>6</v>
      </c>
      <c r="B7" t="str">
        <f>IF(VLOOKUP(tblCharDataWan[[#This Row],[Field]],$E$2:$F$362,2,FALSE)="","¬",VLOOKUP(tblCharDataWan[[#This Row],[Field]],$E$2:$F$362,2,FALSE))</f>
        <v>Handler</v>
      </c>
      <c r="D7" s="19" t="str">
        <f>VLOOKUP(F7,tblClans[],3,FALSE)</f>
        <v>Wits</v>
      </c>
      <c r="E7" s="15" t="s">
        <v>8</v>
      </c>
      <c r="F7" s="3" t="s">
        <v>370</v>
      </c>
      <c r="G7" s="18"/>
      <c r="H7" s="18"/>
      <c r="I7" s="18"/>
      <c r="N7" s="60">
        <f>SUM(N8:N12)</f>
        <v>15</v>
      </c>
      <c r="Y7" s="15" t="s">
        <v>119</v>
      </c>
      <c r="Z7" s="19"/>
      <c r="AA7" s="61" t="str">
        <f t="shared" si="0"/>
        <v/>
      </c>
      <c r="AC7" s="60"/>
      <c r="AD7" s="20" t="str">
        <f>IF(AC7="","¬",_xlfn.LET(_xlpm.base,IFERROR(LEFT(AC7,FIND(" (",AC7)-1),AC7),IFERROR(VLOOKUP(_xlpm.base,tblManoeuvre[],2,FALSE) &amp; " " &amp; REPT("●",VLOOKUP(_xlpm.base,tblManoeuvre[],3,FALSE)) &amp; " | " &amp; AC7,AC7 &amp; " " &amp; REPT("●",VLOOKUP(_xlpm.base,$F$79:$P$120,11,FALSE)))))</f>
        <v>¬</v>
      </c>
      <c r="AE7" s="20"/>
      <c r="AF7" s="20" t="str">
        <f>IF(LEN(AC7)=0,"¬",_xlfn.LET(_xlpm.base,IFERROR(LEFT(AC7,FIND(" (",AC7)-1),AC7),IFERROR(VLOOKUP(_xlpm.base,tblMerits[],5,FALSE),IFERROR(VLOOKUP(_xlpm.base,tblManoeuvre[],9,FALSE),"¬"))))</f>
        <v>¬</v>
      </c>
      <c r="AI7" s="15" t="s">
        <v>49</v>
      </c>
      <c r="AJ7" s="61">
        <f t="shared" si="1"/>
        <v>1</v>
      </c>
      <c r="AK7" s="61">
        <f>AJ7</f>
        <v>1</v>
      </c>
    </row>
    <row r="8" spans="1:37">
      <c r="A8" s="1" t="s">
        <v>7</v>
      </c>
      <c r="B8" t="str">
        <f>IF(VLOOKUP(tblCharDataWan[[#This Row],[Field]],$E$2:$F$362,2,FALSE)="","¬",LOWER(VLOOKUP(tblCharDataWan[[#This Row],[Field]],$E$2:$F$362,2,FALSE)))</f>
        <v>he/him</v>
      </c>
      <c r="D8" s="19" t="str">
        <f>VLOOKUP(F7,tblClans[],2,FALSE)</f>
        <v>Intelligence</v>
      </c>
      <c r="E8" s="15" t="s">
        <v>10</v>
      </c>
      <c r="F8" s="3"/>
      <c r="G8" s="61" t="str">
        <f>IFERROR(IF(OR(AND(VLOOKUP(F8,tblBloodlines[],2,FALSE)="",VLOOKUP(F8,tblBloodlines[],3,FALSE)="",VLOOKUP(F8,tblBloodlines[],4,FALSE)=""),AND(VLOOKUP(F8,tblBloodlines[],2,FALSE)="",VLOOKUP(F8,tblBloodlines[],3,FALSE)="",F9=VLOOKUP(F8,tblBloodlines[],4,FALSE)),F7=VLOOKUP(F8,tblBloodlines[],2,FALSE),F7=VLOOKUP(F8,tblBloodlines[],3,FALSE)),TRUE,FALSE),"")</f>
        <v/>
      </c>
      <c r="H8" s="18"/>
      <c r="I8" s="18" t="s">
        <v>1428</v>
      </c>
      <c r="N8" s="61">
        <f>N23</f>
        <v>0</v>
      </c>
      <c r="O8" s="65">
        <f>N8/SUM(N$7:N$12)</f>
        <v>0</v>
      </c>
      <c r="P8" s="66"/>
      <c r="Y8" s="15" t="s">
        <v>120</v>
      </c>
      <c r="Z8" s="19"/>
      <c r="AA8" s="61" t="str">
        <f t="shared" si="0"/>
        <v/>
      </c>
      <c r="AC8" s="60"/>
      <c r="AD8" s="20" t="str">
        <f>IF(AC8="","¬",_xlfn.LET(_xlpm.base,IFERROR(LEFT(AC8,FIND(" (",AC8)-1),AC8),IFERROR(VLOOKUP(_xlpm.base,tblManoeuvre[],2,FALSE) &amp; " " &amp; REPT("●",VLOOKUP(_xlpm.base,tblManoeuvre[],3,FALSE)) &amp; " | " &amp; AC8,AC8 &amp; " " &amp; REPT("●",VLOOKUP(_xlpm.base,$F$79:$P$120,11,FALSE)))))</f>
        <v>¬</v>
      </c>
      <c r="AE8" s="20"/>
      <c r="AF8" s="20" t="str">
        <f>IF(LEN(AC8)=0,"¬",_xlfn.LET(_xlpm.base,IFERROR(LEFT(AC8,FIND(" (",AC8)-1),AC8),IFERROR(VLOOKUP(_xlpm.base,tblMerits[],5,FALSE),IFERROR(VLOOKUP(_xlpm.base,tblManoeuvre[],9,FALSE),"¬"))))</f>
        <v>¬</v>
      </c>
      <c r="AI8" s="15" t="s">
        <v>34</v>
      </c>
      <c r="AJ8" s="61">
        <f t="shared" si="1"/>
        <v>0</v>
      </c>
      <c r="AK8" s="61">
        <f>IF(AJ8=0,IF(COUNTIF($E$42:$E$49,AI8)&gt;0,-3,-1),AJ8)</f>
        <v>-1</v>
      </c>
    </row>
    <row r="9" spans="1:37">
      <c r="A9" s="1" t="s">
        <v>8</v>
      </c>
      <c r="B9" t="str">
        <f>IF(VLOOKUP(tblCharDataWan[[#This Row],[Field]],$E$2:$F$362,2,FALSE)="","¬",VLOOKUP(tblCharDataWan[[#This Row],[Field]],$E$2:$F$362,2,FALSE))</f>
        <v>Mekhet</v>
      </c>
      <c r="D9" s="19"/>
      <c r="E9" s="15" t="s">
        <v>11</v>
      </c>
      <c r="F9" s="3" t="s">
        <v>396</v>
      </c>
      <c r="G9" s="18"/>
      <c r="H9" s="18"/>
      <c r="I9" s="18" t="s">
        <v>1429</v>
      </c>
      <c r="N9" s="61">
        <f>N40+T40</f>
        <v>0</v>
      </c>
      <c r="O9" s="65">
        <f>N9/SUM(N$7:N$12)</f>
        <v>0</v>
      </c>
      <c r="P9" s="66"/>
      <c r="Y9" s="15" t="s">
        <v>121</v>
      </c>
      <c r="Z9" s="19"/>
      <c r="AA9" s="61" t="str">
        <f t="shared" si="0"/>
        <v/>
      </c>
      <c r="AC9" s="60"/>
      <c r="AD9" s="20" t="str">
        <f>IF(AC9="","¬",_xlfn.LET(_xlpm.base,IFERROR(LEFT(AC9,FIND(" (",AC9)-1),AC9),IFERROR(VLOOKUP(_xlpm.base,tblManoeuvre[],2,FALSE) &amp; " " &amp; REPT("●",VLOOKUP(_xlpm.base,tblManoeuvre[],3,FALSE)) &amp; " | " &amp; AC9,AC9 &amp; " " &amp; REPT("●",VLOOKUP(_xlpm.base,$F$79:$P$120,11,FALSE)))))</f>
        <v>¬</v>
      </c>
      <c r="AE9" s="20"/>
      <c r="AF9" s="20" t="str">
        <f>IF(LEN(AC9)=0,"¬",_xlfn.LET(_xlpm.base,IFERROR(LEFT(AC9,FIND(" (",AC9)-1),AC9),IFERROR(VLOOKUP(_xlpm.base,tblMerits[],5,FALSE),IFERROR(VLOOKUP(_xlpm.base,tblManoeuvre[],9,FALSE),"¬"))))</f>
        <v>¬</v>
      </c>
      <c r="AI9" s="15" t="s">
        <v>238</v>
      </c>
      <c r="AJ9" s="61">
        <f t="shared" si="1"/>
        <v>0</v>
      </c>
      <c r="AK9" s="61">
        <f>AJ9</f>
        <v>0</v>
      </c>
    </row>
    <row r="10" spans="1:37">
      <c r="A10" s="1" t="s">
        <v>9</v>
      </c>
      <c r="B10" t="str">
        <f>CONCATENATE(Elements,B9," icon.svg")</f>
        <v>D:\Terra Mortis\Character Sheets\Sheet Elements\Mekhet icon.svg</v>
      </c>
      <c r="D10" s="19"/>
      <c r="E10" s="15" t="s">
        <v>13</v>
      </c>
      <c r="F10" s="3" t="s">
        <v>376</v>
      </c>
      <c r="G10" s="18"/>
      <c r="H10" s="18"/>
      <c r="I10" s="18" t="s">
        <v>1430</v>
      </c>
      <c r="N10" s="61">
        <f>N77</f>
        <v>3</v>
      </c>
      <c r="O10" s="65">
        <f>N10/SUM(N$7:N$12)</f>
        <v>0.1</v>
      </c>
      <c r="P10" s="66"/>
      <c r="Y10" s="15" t="s">
        <v>122</v>
      </c>
      <c r="Z10" s="19"/>
      <c r="AA10" s="61" t="str">
        <f t="shared" si="0"/>
        <v/>
      </c>
      <c r="AC10" s="60"/>
      <c r="AD10" s="20" t="str">
        <f>IF(AC10="","¬",_xlfn.LET(_xlpm.base,IFERROR(LEFT(AC10,FIND(" (",AC10)-1),AC10),IFERROR(VLOOKUP(_xlpm.base,tblManoeuvre[],2,FALSE) &amp; " " &amp; REPT("●",VLOOKUP(_xlpm.base,tblManoeuvre[],3,FALSE)) &amp; " | " &amp; AC10,AC10 &amp; " " &amp; REPT("●",VLOOKUP(_xlpm.base,$F$79:$P$120,11,FALSE)))))</f>
        <v>¬</v>
      </c>
      <c r="AE10" s="20"/>
      <c r="AF10" s="20" t="str">
        <f>IF(LEN(AC10)=0,"¬",_xlfn.LET(_xlpm.base,IFERROR(LEFT(AC10,FIND(" (",AC10)-1),AC10),IFERROR(VLOOKUP(_xlpm.base,tblMerits[],5,FALSE),IFERROR(VLOOKUP(_xlpm.base,tblManoeuvre[],9,FALSE),"¬"))))</f>
        <v>¬</v>
      </c>
      <c r="AI10" s="15" t="s">
        <v>24</v>
      </c>
      <c r="AJ10" s="61">
        <f t="shared" si="1"/>
        <v>1</v>
      </c>
      <c r="AK10" s="61">
        <f>AJ10+IFERROR(INDEX($V$26:$V$38,MATCH(AI10,$E$26:$E$38,0)),0)</f>
        <v>1</v>
      </c>
    </row>
    <row r="11" spans="1:37">
      <c r="A11" s="1" t="s">
        <v>10</v>
      </c>
      <c r="B11" t="str">
        <f>IF(VLOOKUP(tblCharDataWan[[#This Row],[Field]],$E$2:$F$362,2,FALSE)="","¬",VLOOKUP(tblCharDataWan[[#This Row],[Field]],$E$2:$F$362,2,FALSE))</f>
        <v>¬</v>
      </c>
      <c r="D11" s="19"/>
      <c r="E11" s="15" t="s">
        <v>14</v>
      </c>
      <c r="F11" s="3" t="s">
        <v>759</v>
      </c>
      <c r="G11" s="18"/>
      <c r="H11" s="18"/>
      <c r="I11" s="18" t="s">
        <v>1431</v>
      </c>
      <c r="N11" s="61">
        <f>N163</f>
        <v>12</v>
      </c>
      <c r="O11" s="65">
        <f>N11/SUM(N$7:N$12)</f>
        <v>0.4</v>
      </c>
      <c r="P11" s="66"/>
      <c r="Y11" s="15" t="s">
        <v>123</v>
      </c>
      <c r="Z11" s="19"/>
      <c r="AA11" s="61" t="str">
        <f t="shared" si="0"/>
        <v/>
      </c>
      <c r="AC11" s="60"/>
      <c r="AD11" s="20" t="str">
        <f>IF(AC11="","¬",_xlfn.LET(_xlpm.base,IFERROR(LEFT(AC11,FIND(" (",AC11)-1),AC11),IFERROR(VLOOKUP(_xlpm.base,tblManoeuvre[],2,FALSE) &amp; " " &amp; REPT("●",VLOOKUP(_xlpm.base,tblManoeuvre[],3,FALSE)) &amp; " | " &amp; AC11,AC11 &amp; " " &amp; REPT("●",VLOOKUP(_xlpm.base,$F$79:$P$120,11,FALSE)))))</f>
        <v>¬</v>
      </c>
      <c r="AE11" s="20"/>
      <c r="AF11" s="20" t="str">
        <f>IF(LEN(AC11)=0,"¬",_xlfn.LET(_xlpm.base,IFERROR(LEFT(AC11,FIND(" (",AC11)-1),AC11),IFERROR(VLOOKUP(_xlpm.base,tblMerits[],5,FALSE),IFERROR(VLOOKUP(_xlpm.base,tblManoeuvre[],9,FALSE),"¬"))))</f>
        <v>¬</v>
      </c>
      <c r="AI11" s="15" t="s">
        <v>26</v>
      </c>
      <c r="AJ11" s="61">
        <f t="shared" si="1"/>
        <v>1</v>
      </c>
      <c r="AK11" s="61">
        <f>IF(AJ11=0,IF(COUNTIF($E$42:$E$49,AI11)&gt;0,-3,-1),AJ11)</f>
        <v>1</v>
      </c>
    </row>
    <row r="12" spans="1:37">
      <c r="A12" s="1" t="s">
        <v>11</v>
      </c>
      <c r="B12" t="str">
        <f>IF(VLOOKUP(tblCharDataWan[[#This Row],[Field]],$E$2:$F$362,2,FALSE)="","¬",VLOOKUP(tblCharDataWan[[#This Row],[Field]],$E$2:$F$362,2,FALSE))</f>
        <v>Invictus</v>
      </c>
      <c r="D12" s="19"/>
      <c r="E12" s="15" t="s">
        <v>15</v>
      </c>
      <c r="F12" s="3"/>
      <c r="G12" s="3"/>
      <c r="H12" s="18"/>
      <c r="I12" s="18" t="s">
        <v>1432</v>
      </c>
      <c r="N12" s="61">
        <f>N71</f>
        <v>0</v>
      </c>
      <c r="O12" s="65">
        <f>N12/SUM(N$7:N$12)</f>
        <v>0</v>
      </c>
      <c r="P12" s="66"/>
      <c r="Y12" s="15" t="s">
        <v>124</v>
      </c>
      <c r="Z12" s="19"/>
      <c r="AA12" s="61" t="str">
        <f t="shared" si="0"/>
        <v/>
      </c>
      <c r="AC12" s="60"/>
      <c r="AD12" s="20" t="str">
        <f>IF(AC12="","¬",_xlfn.LET(_xlpm.base,IFERROR(LEFT(AC12,FIND(" (",AC12)-1),AC12),IFERROR(VLOOKUP(_xlpm.base,tblManoeuvre[],2,FALSE) &amp; " " &amp; REPT("●",VLOOKUP(_xlpm.base,tblManoeuvre[],3,FALSE)) &amp; " | " &amp; AC12,AC12 &amp; " " &amp; REPT("●",VLOOKUP(_xlpm.base,$F$79:$P$120,11,FALSE)))))</f>
        <v>¬</v>
      </c>
      <c r="AE12" s="20"/>
      <c r="AF12" s="20" t="str">
        <f>IF(LEN(AC12)=0,"¬",_xlfn.LET(_xlpm.base,IFERROR(LEFT(AC12,FIND(" (",AC12)-1),AC12),IFERROR(VLOOKUP(_xlpm.base,tblMerits[],5,FALSE),IFERROR(VLOOKUP(_xlpm.base,tblManoeuvre[],9,FALSE),"¬"))))</f>
        <v>¬</v>
      </c>
      <c r="AI12" s="15" t="s">
        <v>27</v>
      </c>
      <c r="AJ12" s="61">
        <f t="shared" si="1"/>
        <v>0</v>
      </c>
      <c r="AK12" s="61">
        <f>IF(AJ12=0,IF(COUNTIF($E$42:$E$49,AI12)&gt;0,-3,-1),AJ12)</f>
        <v>-3</v>
      </c>
    </row>
    <row r="13" spans="1:37">
      <c r="A13" s="1" t="s">
        <v>12</v>
      </c>
      <c r="B13" t="str">
        <f>_xlfn.IFNA(CONCATENATE(Elements,VLOOKUP(B12,tblCovenantShortName[#Data],2,FALSE)," icon.svg"),"")</f>
        <v>D:\Terra Mortis\Character Sheets\Sheet Elements\Invictus icon.svg</v>
      </c>
      <c r="D13" s="19"/>
      <c r="E13" s="15" t="s">
        <v>15</v>
      </c>
      <c r="F13" s="3"/>
      <c r="G13" s="3"/>
      <c r="H13" s="18"/>
      <c r="I13" s="27"/>
      <c r="Y13" s="15" t="s">
        <v>125</v>
      </c>
      <c r="Z13" s="19"/>
      <c r="AA13" s="61" t="str">
        <f t="shared" si="0"/>
        <v/>
      </c>
      <c r="AC13" s="60"/>
      <c r="AD13" s="20" t="str">
        <f>IF(AC13="","¬",_xlfn.LET(_xlpm.base,IFERROR(LEFT(AC13,FIND(" (",AC13)-1),AC13),IFERROR(VLOOKUP(_xlpm.base,tblManoeuvre[],2,FALSE) &amp; " " &amp; REPT("●",VLOOKUP(_xlpm.base,tblManoeuvre[],3,FALSE)) &amp; " | " &amp; AC13,AC13 &amp; " " &amp; REPT("●",VLOOKUP(_xlpm.base,$F$79:$P$120,11,FALSE)))))</f>
        <v>¬</v>
      </c>
      <c r="AE13" s="20"/>
      <c r="AF13" s="20" t="str">
        <f>IF(LEN(AC13)=0,"¬",_xlfn.LET(_xlpm.base,IFERROR(LEFT(AC13,FIND(" (",AC13)-1),AC13),IFERROR(VLOOKUP(_xlpm.base,tblMerits[],5,FALSE),IFERROR(VLOOKUP(_xlpm.base,tblManoeuvre[],9,FALSE),"¬"))))</f>
        <v>¬</v>
      </c>
      <c r="AI13" s="15" t="s">
        <v>248</v>
      </c>
      <c r="AJ13" s="61">
        <f t="shared" si="1"/>
        <v>0</v>
      </c>
      <c r="AK13" s="61">
        <f t="shared" ref="AK13:AK19" si="2">AJ13</f>
        <v>0</v>
      </c>
    </row>
    <row r="14" spans="1:37">
      <c r="A14" s="1" t="s">
        <v>13</v>
      </c>
      <c r="B14" t="str">
        <f>IF(VLOOKUP(tblCharDataWan[[#This Row],[Field]],$E$2:$F$362,2,FALSE)="","¬",VLOOKUP(tblCharDataWan[[#This Row],[Field]],$E$2:$F$362,2,FALSE))</f>
        <v>Scholar</v>
      </c>
      <c r="D14" s="19"/>
      <c r="E14" s="15" t="s">
        <v>1433</v>
      </c>
      <c r="F14" s="28"/>
      <c r="G14" s="3"/>
      <c r="H14" s="61" t="s">
        <v>1434</v>
      </c>
      <c r="I14" s="27"/>
      <c r="Y14" s="15" t="s">
        <v>126</v>
      </c>
      <c r="Z14" s="19"/>
      <c r="AA14" s="61" t="str">
        <f t="shared" si="0"/>
        <v/>
      </c>
      <c r="AC14" s="60"/>
      <c r="AD14" s="20" t="str">
        <f>IF(AC14="","¬",_xlfn.LET(_xlpm.base,IFERROR(LEFT(AC14,FIND(" (",AC14)-1),AC14),IFERROR(VLOOKUP(_xlpm.base,tblManoeuvre[],2,FALSE) &amp; " " &amp; REPT("●",VLOOKUP(_xlpm.base,tblManoeuvre[],3,FALSE)) &amp; " | " &amp; AC14,AC14 &amp; " " &amp; REPT("●",VLOOKUP(_xlpm.base,$F$79:$P$120,11,FALSE)))))</f>
        <v>¬</v>
      </c>
      <c r="AE14" s="20"/>
      <c r="AF14" s="20" t="str">
        <f>IF(LEN(AC14)=0,"¬",_xlfn.LET(_xlpm.base,IFERROR(LEFT(AC14,FIND(" (",AC14)-1),AC14),IFERROR(VLOOKUP(_xlpm.base,tblMerits[],5,FALSE),IFERROR(VLOOKUP(_xlpm.base,tblManoeuvre[],9,FALSE),"¬"))))</f>
        <v>¬</v>
      </c>
      <c r="AI14" s="15" t="s">
        <v>246</v>
      </c>
      <c r="AJ14" s="61">
        <f t="shared" si="1"/>
        <v>0</v>
      </c>
      <c r="AK14" s="61">
        <f t="shared" si="2"/>
        <v>0</v>
      </c>
    </row>
    <row r="15" spans="1:37">
      <c r="A15" s="1" t="s">
        <v>14</v>
      </c>
      <c r="B15" t="str">
        <f>IF(VLOOKUP(tblCharDataWan[[#This Row],[Field]],$E$2:$F$362,2,FALSE)="","¬",VLOOKUP(tblCharDataWan[[#This Row],[Field]],$E$2:$F$362,2,FALSE))</f>
        <v>Spy</v>
      </c>
      <c r="Y15" s="15" t="s">
        <v>127</v>
      </c>
      <c r="Z15" s="19"/>
      <c r="AA15" s="61" t="str">
        <f t="shared" si="0"/>
        <v/>
      </c>
      <c r="AC15" s="60"/>
      <c r="AD15" s="20" t="str">
        <f>IF(AC15="","¬",_xlfn.LET(_xlpm.base,IFERROR(LEFT(AC15,FIND(" (",AC15)-1),AC15),IFERROR(VLOOKUP(_xlpm.base,tblManoeuvre[],2,FALSE) &amp; " " &amp; REPT("●",VLOOKUP(_xlpm.base,tblManoeuvre[],3,FALSE)) &amp; " | " &amp; AC15,AC15 &amp; " " &amp; REPT("●",VLOOKUP(_xlpm.base,$F$79:$P$120,11,FALSE)))))</f>
        <v>¬</v>
      </c>
      <c r="AE15" s="20"/>
      <c r="AF15" s="20" t="str">
        <f>IF(LEN(AC15)=0,"¬",_xlfn.LET(_xlpm.base,IFERROR(LEFT(AC15,FIND(" (",AC15)-1),AC15),IFERROR(VLOOKUP(_xlpm.base,tblMerits[],5,FALSE),IFERROR(VLOOKUP(_xlpm.base,tblManoeuvre[],9,FALSE),"¬"))))</f>
        <v>¬</v>
      </c>
      <c r="AI15" s="15" t="s">
        <v>355</v>
      </c>
      <c r="AJ15" s="61">
        <f t="shared" ca="1" si="1"/>
        <v>4</v>
      </c>
      <c r="AK15" s="61">
        <f t="shared" ca="1" si="2"/>
        <v>4</v>
      </c>
    </row>
    <row r="16" spans="1:37" ht="15.75" thickBot="1">
      <c r="A16" s="1" t="s">
        <v>15</v>
      </c>
      <c r="B16" t="str">
        <f ca="1">_xlfn.LET(_xlpm.a,VLOOKUP(tblCharDataWan[[#This Row],[Field]],$E$2:$F$362,2,FALSE),_xlpm.b,VLOOKUP(OFFSET(tblCharDataWan[[#This Row],[Field]],1,0),$E$2:$F$362,2,FALSE),IF(AND(_xlpm.a&lt;&gt;"",_xlpm.b&lt;&gt;""),_xlpm.a&amp;" &amp; "&amp;_xlpm.b,IF(_xlpm.a&lt;&gt;"",_xlpm.a,IF(_xlpm.b&lt;&gt;"",_xlpm.b,"¬"))))</f>
        <v>¬</v>
      </c>
      <c r="D16" s="14" t="s">
        <v>1427</v>
      </c>
      <c r="E16" s="14"/>
      <c r="F16" s="14"/>
      <c r="G16" s="14"/>
      <c r="H16" s="14"/>
      <c r="I16" s="14"/>
      <c r="N16" s="60">
        <f>SUM(N17:N21)</f>
        <v>0</v>
      </c>
      <c r="Y16" s="15" t="s">
        <v>128</v>
      </c>
      <c r="Z16" s="19"/>
      <c r="AA16" s="61" t="str">
        <f t="shared" si="0"/>
        <v/>
      </c>
      <c r="AC16" s="60"/>
      <c r="AD16" s="20" t="str">
        <f>IF(AC16="","¬",_xlfn.LET(_xlpm.base,IFERROR(LEFT(AC16,FIND(" (",AC16)-1),AC16),IFERROR(VLOOKUP(_xlpm.base,tblManoeuvre[],2,FALSE) &amp; " " &amp; REPT("●",VLOOKUP(_xlpm.base,tblManoeuvre[],3,FALSE)) &amp; " | " &amp; AC16,AC16 &amp; " " &amp; REPT("●",VLOOKUP(_xlpm.base,$F$79:$P$120,11,FALSE)))))</f>
        <v>¬</v>
      </c>
      <c r="AE16" s="20"/>
      <c r="AF16" s="20" t="str">
        <f>IF(LEN(AC16)=0,"¬",_xlfn.LET(_xlpm.base,IFERROR(LEFT(AC16,FIND(" (",AC16)-1),AC16),IFERROR(VLOOKUP(_xlpm.base,tblMerits[],5,FALSE),IFERROR(VLOOKUP(_xlpm.base,tblManoeuvre[],9,FALSE),"¬"))))</f>
        <v>¬</v>
      </c>
      <c r="AI16" s="15" t="s">
        <v>249</v>
      </c>
      <c r="AJ16" s="61">
        <f t="shared" si="1"/>
        <v>0</v>
      </c>
      <c r="AK16" s="61">
        <f t="shared" si="2"/>
        <v>0</v>
      </c>
    </row>
    <row r="17" spans="1:37">
      <c r="A17" s="1" t="s">
        <v>16</v>
      </c>
      <c r="B17" t="str">
        <f>REPT("●",IFERROR(INDEX($P$26:$P$38,MATCH(tblCharDataWan[[#This Row],[Field]],$E$26:$E$38,0)),0))&amp;REPT("○",IFERROR(INDEX($V$26:$V$38,MATCH(tblCharDataWan[[#This Row],[Field]],$E$26:$E$38,0)),0))</f>
        <v>●●●</v>
      </c>
      <c r="D17" s="19"/>
      <c r="E17" s="15" t="s">
        <v>1435</v>
      </c>
      <c r="F17" s="3"/>
      <c r="G17" s="19"/>
      <c r="H17" s="19"/>
      <c r="I17" s="19"/>
      <c r="N17" s="61">
        <f>IF(F17=TRUE,3,0)</f>
        <v>0</v>
      </c>
      <c r="Y17" s="15" t="s">
        <v>129</v>
      </c>
      <c r="Z17" s="19"/>
      <c r="AA17" s="61" t="str">
        <f t="shared" si="0"/>
        <v/>
      </c>
      <c r="AC17" s="60"/>
      <c r="AD17" s="20" t="str">
        <f>IF(AC17="","¬",_xlfn.LET(_xlpm.base,IFERROR(LEFT(AC17,FIND(" (",AC17)-1),AC17),IFERROR(VLOOKUP(_xlpm.base,tblManoeuvre[],2,FALSE) &amp; " " &amp; REPT("●",VLOOKUP(_xlpm.base,tblManoeuvre[],3,FALSE)) &amp; " | " &amp; AC17,AC17 &amp; " " &amp; REPT("●",VLOOKUP(_xlpm.base,$F$79:$P$120,11,FALSE)))))</f>
        <v>¬</v>
      </c>
      <c r="AE17" s="20"/>
      <c r="AF17" s="20" t="str">
        <f>IF(LEN(AC17)=0,"¬",_xlfn.LET(_xlpm.base,IFERROR(LEFT(AC17,FIND(" (",AC17)-1),AC17),IFERROR(VLOOKUP(_xlpm.base,tblMerits[],5,FALSE),IFERROR(VLOOKUP(_xlpm.base,tblManoeuvre[],9,FALSE),"¬"))))</f>
        <v>¬</v>
      </c>
      <c r="AI17" s="15" t="s">
        <v>20</v>
      </c>
      <c r="AJ17" s="61">
        <f t="shared" si="1"/>
        <v>3</v>
      </c>
      <c r="AK17" s="61">
        <f>AJ17+IFERROR(INDEX($V$26:$V$38,MATCH(AI17,$E$26:$E$38,0)),0)</f>
        <v>3</v>
      </c>
    </row>
    <row r="18" spans="1:37">
      <c r="A18" s="1" t="s">
        <v>17</v>
      </c>
      <c r="B18" t="str">
        <f>REPT("●",IFERROR(INDEX($P$26:$P$38,MATCH(tblCharDataWan[[#This Row],[Field]],$E$26:$E$38,0)),0))&amp;REPT("○",IFERROR(INDEX($V$26:$V$38,MATCH(tblCharDataWan[[#This Row],[Field]],$E$26:$E$38,0)),0))</f>
        <v>●●●</v>
      </c>
      <c r="D18" s="19"/>
      <c r="E18" s="15" t="s">
        <v>1436</v>
      </c>
      <c r="F18" s="3"/>
      <c r="G18" s="19"/>
      <c r="H18" s="19"/>
      <c r="I18" s="19"/>
      <c r="N18" s="61">
        <f>IF(F18=TRUE,3,0)</f>
        <v>0</v>
      </c>
      <c r="Y18" s="15" t="s">
        <v>130</v>
      </c>
      <c r="Z18" s="19"/>
      <c r="AA18" s="61" t="str">
        <f t="shared" si="0"/>
        <v/>
      </c>
      <c r="AC18" s="60"/>
      <c r="AD18" s="20" t="str">
        <f>IF(AC18="","¬",_xlfn.LET(_xlpm.base,IFERROR(LEFT(AC18,FIND(" (",AC18)-1),AC18),IFERROR(VLOOKUP(_xlpm.base,tblManoeuvre[],2,FALSE) &amp; " " &amp; REPT("●",VLOOKUP(_xlpm.base,tblManoeuvre[],3,FALSE)) &amp; " | " &amp; AC18,AC18 &amp; " " &amp; REPT("●",VLOOKUP(_xlpm.base,$F$79:$P$120,11,FALSE)))))</f>
        <v>¬</v>
      </c>
      <c r="AE18" s="20"/>
      <c r="AF18" s="20" t="str">
        <f>IF(LEN(AC18)=0,"¬",_xlfn.LET(_xlpm.base,IFERROR(LEFT(AC18,FIND(" (",AC18)-1),AC18),IFERROR(VLOOKUP(_xlpm.base,tblMerits[],5,FALSE),IFERROR(VLOOKUP(_xlpm.base,tblManoeuvre[],9,FALSE),"¬"))))</f>
        <v>¬</v>
      </c>
      <c r="AI18" s="15" t="s">
        <v>250</v>
      </c>
      <c r="AJ18" s="61">
        <f t="shared" si="1"/>
        <v>0</v>
      </c>
      <c r="AK18" s="61">
        <f t="shared" si="2"/>
        <v>0</v>
      </c>
    </row>
    <row r="19" spans="1:37">
      <c r="A19" s="1" t="s">
        <v>18</v>
      </c>
      <c r="B19" t="str">
        <f>REPT("●",IFERROR(INDEX($P$26:$P$38,MATCH(tblCharDataWan[[#This Row],[Field]],$E$26:$E$38,0)),0))&amp;REPT("○",IFERROR(INDEX($V$26:$V$38,MATCH(tblCharDataWan[[#This Row],[Field]],$E$26:$E$38,0)),0))</f>
        <v>●●●</v>
      </c>
      <c r="D19" s="19"/>
      <c r="E19" s="15" t="s">
        <v>1437</v>
      </c>
      <c r="F19" s="3"/>
      <c r="G19" s="19"/>
      <c r="H19" s="19"/>
      <c r="I19" s="19"/>
      <c r="N19" s="61">
        <f>IF(F19=TRUE,3,0)</f>
        <v>0</v>
      </c>
      <c r="Y19" s="15" t="s">
        <v>131</v>
      </c>
      <c r="Z19" s="19"/>
      <c r="AA19" s="61" t="str">
        <f t="shared" si="0"/>
        <v/>
      </c>
      <c r="AC19" s="60"/>
      <c r="AD19" s="20" t="str">
        <f>IF(AC19="","¬",_xlfn.LET(_xlpm.base,IFERROR(LEFT(AC19,FIND(" (",AC19)-1),AC19),IFERROR(VLOOKUP(_xlpm.base,tblManoeuvre[],2,FALSE) &amp; " " &amp; REPT("●",VLOOKUP(_xlpm.base,tblManoeuvre[],3,FALSE)) &amp; " | " &amp; AC19,AC19 &amp; " " &amp; REPT("●",VLOOKUP(_xlpm.base,$F$79:$P$120,11,FALSE)))))</f>
        <v>¬</v>
      </c>
      <c r="AE19" s="20"/>
      <c r="AF19" s="20" t="str">
        <f>IF(LEN(AC19)=0,"¬",_xlfn.LET(_xlpm.base,IFERROR(LEFT(AC19,FIND(" (",AC19)-1),AC19),IFERROR(VLOOKUP(_xlpm.base,tblMerits[],5,FALSE),IFERROR(VLOOKUP(_xlpm.base,tblManoeuvre[],9,FALSE),"¬"))))</f>
        <v>¬</v>
      </c>
      <c r="AI19" s="15" t="s">
        <v>239</v>
      </c>
      <c r="AJ19" s="61">
        <f t="shared" si="1"/>
        <v>0</v>
      </c>
      <c r="AK19" s="61">
        <f t="shared" si="2"/>
        <v>0</v>
      </c>
    </row>
    <row r="20" spans="1:37">
      <c r="A20" s="1" t="s">
        <v>19</v>
      </c>
      <c r="B20" t="str">
        <f>REPT("●",IFERROR(INDEX($P$26:$P$38,MATCH(tblCharDataWan[[#This Row],[Field]],$E$26:$E$38,0)),0))&amp;REPT("○",IFERROR(INDEX($V$26:$V$38,MATCH(tblCharDataWan[[#This Row],[Field]],$E$26:$E$38,0)),0))</f>
        <v>●●</v>
      </c>
      <c r="D20" s="19"/>
      <c r="E20" s="15" t="s">
        <v>1438</v>
      </c>
      <c r="F20" s="3"/>
      <c r="G20" s="19"/>
      <c r="H20" s="19"/>
      <c r="I20" s="19"/>
      <c r="N20" s="61">
        <f>IF(F20=TRUE,3,0)</f>
        <v>0</v>
      </c>
      <c r="Y20" s="15" t="s">
        <v>132</v>
      </c>
      <c r="Z20" s="19"/>
      <c r="AA20" s="61" t="str">
        <f t="shared" si="0"/>
        <v/>
      </c>
      <c r="AC20" s="60"/>
      <c r="AD20" s="20" t="str">
        <f>IF(AC20="","¬",_xlfn.LET(_xlpm.base,IFERROR(LEFT(AC20,FIND(" (",AC20)-1),AC20),IFERROR(VLOOKUP(_xlpm.base,tblManoeuvre[],2,FALSE) &amp; " " &amp; REPT("●",VLOOKUP(_xlpm.base,tblManoeuvre[],3,FALSE)) &amp; " | " &amp; AC20,AC20 &amp; " " &amp; REPT("●",VLOOKUP(_xlpm.base,$F$79:$P$120,11,FALSE)))))</f>
        <v>¬</v>
      </c>
      <c r="AE20" s="20"/>
      <c r="AF20" s="20" t="str">
        <f>IF(LEN(AC20)=0,"¬",_xlfn.LET(_xlpm.base,IFERROR(LEFT(AC20,FIND(" (",AC20)-1),AC20),IFERROR(VLOOKUP(_xlpm.base,tblMerits[],5,FALSE),IFERROR(VLOOKUP(_xlpm.base,tblManoeuvre[],9,FALSE),"¬"))))</f>
        <v>¬</v>
      </c>
      <c r="AI20" s="15" t="s">
        <v>35</v>
      </c>
      <c r="AJ20" s="61">
        <f t="shared" si="1"/>
        <v>0</v>
      </c>
      <c r="AK20" s="61">
        <f>IF(AJ20=0,IF(COUNTIF($E$42:$E$49,AI20)&gt;0,-3,-1),AJ20)</f>
        <v>-1</v>
      </c>
    </row>
    <row r="21" spans="1:37">
      <c r="A21" s="1" t="s">
        <v>20</v>
      </c>
      <c r="B21" t="str">
        <f>REPT("●",IFERROR(INDEX($P$26:$P$38,MATCH(tblCharDataWan[[#This Row],[Field]],$E$26:$E$38,0)),0))&amp;REPT("○",IFERROR(INDEX($V$26:$V$38,MATCH(tblCharDataWan[[#This Row],[Field]],$E$26:$E$38,0)),0))</f>
        <v>●●●</v>
      </c>
      <c r="D21" s="19"/>
      <c r="E21" s="15" t="s">
        <v>11</v>
      </c>
      <c r="F21" s="3"/>
      <c r="G21" s="19"/>
      <c r="H21" s="19"/>
      <c r="I21" s="19"/>
      <c r="N21" s="61">
        <f>IF(F21=TRUE,3,0)</f>
        <v>0</v>
      </c>
      <c r="Y21" s="15" t="s">
        <v>133</v>
      </c>
      <c r="Z21" s="19"/>
      <c r="AA21" s="61" t="str">
        <f t="shared" si="0"/>
        <v/>
      </c>
      <c r="AC21" s="60"/>
      <c r="AD21" s="20" t="str">
        <f>IF(AC21="","¬",_xlfn.LET(_xlpm.base,IFERROR(LEFT(AC21,FIND(" (",AC21)-1),AC21),IFERROR(VLOOKUP(_xlpm.base,tblManoeuvre[],2,FALSE) &amp; " " &amp; REPT("●",VLOOKUP(_xlpm.base,tblManoeuvre[],3,FALSE)) &amp; " | " &amp; AC21,AC21 &amp; " " &amp; REPT("●",VLOOKUP(_xlpm.base,$F$79:$P$120,11,FALSE)))))</f>
        <v>¬</v>
      </c>
      <c r="AE21" s="20"/>
      <c r="AF21" s="20" t="str">
        <f>IF(LEN(AC21)=0,"¬",_xlfn.LET(_xlpm.base,IFERROR(LEFT(AC21,FIND(" (",AC21)-1),AC21),IFERROR(VLOOKUP(_xlpm.base,tblMerits[],5,FALSE),IFERROR(VLOOKUP(_xlpm.base,tblManoeuvre[],9,FALSE),"¬"))))</f>
        <v>¬</v>
      </c>
      <c r="AI21" s="15" t="s">
        <v>42</v>
      </c>
      <c r="AJ21" s="61">
        <f t="shared" si="1"/>
        <v>3</v>
      </c>
      <c r="AK21" s="61">
        <f>IF(AJ21=0,IF(COUNTIF($E$42:$E$49,AI21)&gt;0,-3,-1),AJ21)</f>
        <v>3</v>
      </c>
    </row>
    <row r="22" spans="1:37">
      <c r="A22" s="1" t="s">
        <v>21</v>
      </c>
      <c r="B22" t="str">
        <f>REPT("●",IFERROR(INDEX($P$26:$P$38,MATCH(tblCharDataWan[[#This Row],[Field]],$E$26:$E$38,0)),0))&amp;REPT("○",IFERROR(INDEX($V$26:$V$38,MATCH(tblCharDataWan[[#This Row],[Field]],$E$26:$E$38,0)),0))</f>
        <v>●</v>
      </c>
      <c r="Y22" s="15" t="s">
        <v>1439</v>
      </c>
      <c r="Z22" s="61" t="str">
        <f>IFERROR(VLOOKUP(AA22,tblManoeuvre[],2,FALSE),"")</f>
        <v/>
      </c>
      <c r="AA22" s="61" t="str">
        <f t="shared" ref="AA22:AA41" si="3">_xlfn.LET(_xlpm.name,VLOOKUP(Y22,$E$2:$F$362,2,FALSE),_xlpm.paid,_xlfn.IFNA(VLOOKUP(_xlpm.name,$F$79:$Q$120,11,FALSE)&gt;=VLOOKUP(_xlpm.name,$F$79:$Q$120,12,FALSE),FALSE),IF(AND(_xlpm.name&lt;&gt;"",_xlpm.paid),_xlpm.name,""))</f>
        <v/>
      </c>
      <c r="AC22" s="60"/>
      <c r="AD22" s="20" t="str">
        <f>IF(AC22="","¬",_xlfn.LET(_xlpm.base,IFERROR(LEFT(AC22,FIND(" (",AC22)-1),AC22),IFERROR(VLOOKUP(_xlpm.base,tblManoeuvre[],2,FALSE) &amp; " " &amp; REPT("●",VLOOKUP(_xlpm.base,tblManoeuvre[],3,FALSE)) &amp; " | " &amp; AC22,AC22 &amp; " " &amp; REPT("●",VLOOKUP(_xlpm.base,$F$79:$P$120,11,FALSE)))))</f>
        <v>¬</v>
      </c>
      <c r="AE22" s="20"/>
      <c r="AF22" s="20" t="str">
        <f>IF(LEN(AC22)=0,"¬",_xlfn.LET(_xlpm.base,IFERROR(LEFT(AC22,FIND(" (",AC22)-1),AC22),IFERROR(VLOOKUP(_xlpm.base,tblMerits[],5,FALSE),IFERROR(VLOOKUP(_xlpm.base,tblManoeuvre[],9,FALSE),"¬"))))</f>
        <v>¬</v>
      </c>
      <c r="AI22" s="15" t="s">
        <v>43</v>
      </c>
      <c r="AJ22" s="61">
        <f t="shared" si="1"/>
        <v>0</v>
      </c>
      <c r="AK22" s="61">
        <f>IF(AJ22=0,IF(COUNTIF($E$42:$E$49,AI22)&gt;0,-3,-1),AJ22)</f>
        <v>-1</v>
      </c>
    </row>
    <row r="23" spans="1:37" ht="15.75" thickBot="1">
      <c r="A23" s="1" t="s">
        <v>22</v>
      </c>
      <c r="B23" t="str">
        <f>REPT("●",IFERROR(INDEX($P$26:$P$38,MATCH(tblCharDataWan[[#This Row],[Field]],$E$26:$E$38,0)),0))&amp;REPT("○",IFERROR(INDEX($V$26:$V$38,MATCH(tblCharDataWan[[#This Row],[Field]],$E$26:$E$38,0)),0))</f>
        <v>●●●</v>
      </c>
      <c r="D23" s="14" t="s">
        <v>1440</v>
      </c>
      <c r="E23" s="14"/>
      <c r="F23" s="14"/>
      <c r="G23" s="14"/>
      <c r="H23" s="14"/>
      <c r="I23" s="14"/>
      <c r="N23" s="60">
        <f>SUM(N26:N28,N31:N33,N36:N38)</f>
        <v>0</v>
      </c>
      <c r="Y23" s="15" t="s">
        <v>1441</v>
      </c>
      <c r="Z23" s="61" t="str">
        <f>IFERROR(VLOOKUP(AA23,tblManoeuvre[],2,FALSE),"")</f>
        <v/>
      </c>
      <c r="AA23" s="61" t="str">
        <f t="shared" si="3"/>
        <v/>
      </c>
      <c r="AC23" s="60"/>
      <c r="AD23" s="20" t="str">
        <f>IF(AC23="","¬",_xlfn.LET(_xlpm.base,IFERROR(LEFT(AC23,FIND(" (",AC23)-1),AC23),IFERROR(VLOOKUP(_xlpm.base,tblManoeuvre[],2,FALSE) &amp; " " &amp; REPT("●",VLOOKUP(_xlpm.base,tblManoeuvre[],3,FALSE)) &amp; " | " &amp; AC23,AC23 &amp; " " &amp; REPT("●",VLOOKUP(_xlpm.base,$F$79:$P$120,11,FALSE)))))</f>
        <v>¬</v>
      </c>
      <c r="AE23" s="20"/>
      <c r="AF23" s="20" t="str">
        <f>IF(LEN(AC23)=0,"¬",_xlfn.LET(_xlpm.base,IFERROR(LEFT(AC23,FIND(" (",AC23)-1),AC23),IFERROR(VLOOKUP(_xlpm.base,tblMerits[],5,FALSE),IFERROR(VLOOKUP(_xlpm.base,tblManoeuvre[],9,FALSE),"¬"))))</f>
        <v>¬</v>
      </c>
      <c r="AI23" s="15" t="s">
        <v>36</v>
      </c>
      <c r="AJ23" s="61">
        <f t="shared" si="1"/>
        <v>0</v>
      </c>
      <c r="AK23" s="61">
        <f>IF(AJ23=0,VLOOKUP(AI23,$E$42:$Q$69,13,FALSE),AJ23)</f>
        <v>0</v>
      </c>
    </row>
    <row r="24" spans="1:37">
      <c r="A24" s="1" t="s">
        <v>23</v>
      </c>
      <c r="B24" t="str">
        <f>REPT("●",IFERROR(INDEX($P$26:$P$38,MATCH(tblCharDataWan[[#This Row],[Field]],$E$26:$E$38,0)),0))&amp;REPT("○",IFERROR(INDEX($V$26:$V$38,MATCH(tblCharDataWan[[#This Row],[Field]],$E$26:$E$38,0)),0))</f>
        <v>●●●</v>
      </c>
      <c r="E24" s="15" t="s">
        <v>1442</v>
      </c>
      <c r="F24" s="3" t="s">
        <v>16</v>
      </c>
      <c r="Y24" s="15" t="s">
        <v>1443</v>
      </c>
      <c r="Z24" s="61" t="str">
        <f>IFERROR(VLOOKUP(AA24,tblManoeuvre[],2,FALSE),"")</f>
        <v/>
      </c>
      <c r="AA24" s="61" t="str">
        <f t="shared" si="3"/>
        <v/>
      </c>
      <c r="AC24" s="60"/>
      <c r="AD24" s="20" t="str">
        <f>IF(AC24="","¬",_xlfn.LET(_xlpm.base,IFERROR(LEFT(AC24,FIND(" (",AC24)-1),AC24),IFERROR(VLOOKUP(_xlpm.base,tblManoeuvre[],2,FALSE) &amp; " " &amp; REPT("●",VLOOKUP(_xlpm.base,tblManoeuvre[],3,FALSE)) &amp; " | " &amp; AC24,AC24 &amp; " " &amp; REPT("●",VLOOKUP(_xlpm.base,$F$79:$P$120,11,FALSE)))))</f>
        <v>¬</v>
      </c>
      <c r="AE24" s="20"/>
      <c r="AF24" s="20" t="str">
        <f>IF(LEN(AC24)=0,"¬",_xlfn.LET(_xlpm.base,IFERROR(LEFT(AC24,FIND(" (",AC24)-1),AC24),IFERROR(VLOOKUP(_xlpm.base,tblMerits[],5,FALSE),IFERROR(VLOOKUP(_xlpm.base,tblManoeuvre[],9,FALSE),"¬"))))</f>
        <v>¬</v>
      </c>
      <c r="AI24" s="15" t="s">
        <v>52</v>
      </c>
      <c r="AJ24" s="61">
        <f t="shared" ca="1" si="1"/>
        <v>6</v>
      </c>
      <c r="AK24" s="61">
        <f ca="1">AJ24</f>
        <v>6</v>
      </c>
    </row>
    <row r="25" spans="1:37">
      <c r="A25" s="1" t="s">
        <v>24</v>
      </c>
      <c r="B25" t="str">
        <f>REPT("●",IFERROR(INDEX($P$26:$P$38,MATCH(tblCharDataWan[[#This Row],[Field]],$E$26:$E$38,0)),0))&amp;REPT("○",IFERROR(INDEX($V$26:$V$38,MATCH(tblCharDataWan[[#This Row],[Field]],$E$26:$E$38,0)),0))</f>
        <v>●</v>
      </c>
      <c r="D25" s="16" t="s">
        <v>1444</v>
      </c>
      <c r="E25" s="17"/>
      <c r="F25" s="17"/>
      <c r="G25" s="17" t="s">
        <v>1445</v>
      </c>
      <c r="H25" s="16" t="s">
        <v>1446</v>
      </c>
      <c r="I25" s="3" t="s">
        <v>1565</v>
      </c>
      <c r="L25" s="60">
        <f>IF(I25="",0,VLOOKUP(I25,tblPriority[#Data],2,FALSE))-SUM(L26:L28)</f>
        <v>0</v>
      </c>
      <c r="Y25" s="15" t="s">
        <v>1447</v>
      </c>
      <c r="Z25" s="61" t="str">
        <f>IFERROR(VLOOKUP(AA25,tblManoeuvre[],2,FALSE),"")</f>
        <v/>
      </c>
      <c r="AA25" s="61" t="str">
        <f t="shared" si="3"/>
        <v/>
      </c>
      <c r="AC25" s="60"/>
      <c r="AD25" s="20" t="str">
        <f>IF(AC25="","¬",_xlfn.LET(_xlpm.base,IFERROR(LEFT(AC25,FIND(" (",AC25)-1),AC25),IFERROR(VLOOKUP(_xlpm.base,tblManoeuvre[],2,FALSE) &amp; " " &amp; REPT("●",VLOOKUP(_xlpm.base,tblManoeuvre[],3,FALSE)) &amp; " | " &amp; AC25,AC25 &amp; " " &amp; REPT("●",VLOOKUP(_xlpm.base,$F$79:$P$120,11,FALSE)))))</f>
        <v>¬</v>
      </c>
      <c r="AE25" s="20"/>
      <c r="AF25" s="20" t="str">
        <f>IF(LEN(AC25)=0,"¬",_xlfn.LET(_xlpm.base,IFERROR(LEFT(AC25,FIND(" (",AC25)-1),AC25),IFERROR(VLOOKUP(_xlpm.base,tblMerits[],5,FALSE),IFERROR(VLOOKUP(_xlpm.base,tblManoeuvre[],9,FALSE),"¬"))))</f>
        <v>¬</v>
      </c>
      <c r="AI25" s="15" t="s">
        <v>1448</v>
      </c>
      <c r="AJ25" s="61">
        <f t="shared" si="1"/>
        <v>6</v>
      </c>
      <c r="AK25" s="61">
        <f>AJ25</f>
        <v>6</v>
      </c>
    </row>
    <row r="26" spans="1:37">
      <c r="A26" s="1" t="s">
        <v>25</v>
      </c>
      <c r="B26" t="str">
        <f>REPT("●",IFERROR(INDEX($P$42:$P$69,MATCH(tblCharDataWan[[#This Row],[Field]],$E$42:$E$69,0)),0))&amp;REPT("○",IFERROR(INDEX($V$42:$V$69,MATCH(tblCharDataWan[[#This Row],[Field]],$E$42:$E$69,0)),0))&amp;IF(IFERROR(INDEX($W$42:$W$69,MATCH(tblCharDataWan[[#This Row],[Field]],$E$42:$E$69,0)),0)=1,"†","")</f>
        <v>●●†</v>
      </c>
      <c r="D26" s="18"/>
      <c r="E26" s="15" t="s">
        <v>16</v>
      </c>
      <c r="F26" s="18"/>
      <c r="G26" s="3"/>
      <c r="H26" s="18"/>
      <c r="I26" s="18"/>
      <c r="L26" s="3">
        <v>1</v>
      </c>
      <c r="M26" s="60">
        <f>IF(E26=$F$24,2,1)</f>
        <v>2</v>
      </c>
      <c r="N26" s="3"/>
      <c r="O26" s="61">
        <f>ROUNDDOWN(N26/4,0)</f>
        <v>0</v>
      </c>
      <c r="P26" s="60">
        <f>MIN(SUM(L26,M26,O26),R26)</f>
        <v>3</v>
      </c>
      <c r="R26" s="61">
        <v>5</v>
      </c>
      <c r="U26" s="4"/>
      <c r="V26" s="61">
        <f>U26</f>
        <v>0</v>
      </c>
      <c r="Y26" s="15" t="s">
        <v>1449</v>
      </c>
      <c r="Z26" s="61" t="str">
        <f>IFERROR(VLOOKUP(AA26,tblManoeuvre[],2,FALSE),"")</f>
        <v/>
      </c>
      <c r="AA26" s="61" t="str">
        <f t="shared" si="3"/>
        <v/>
      </c>
      <c r="AC26" s="60"/>
      <c r="AD26" s="20" t="str">
        <f>IF(AC26="","¬",_xlfn.LET(_xlpm.base,IFERROR(LEFT(AC26,FIND(" (",AC26)-1),AC26),IFERROR(VLOOKUP(_xlpm.base,tblManoeuvre[],2,FALSE) &amp; " " &amp; REPT("●",VLOOKUP(_xlpm.base,tblManoeuvre[],3,FALSE)) &amp; " | " &amp; AC26,AC26 &amp; " " &amp; REPT("●",VLOOKUP(_xlpm.base,$F$79:$P$120,11,FALSE)))))</f>
        <v>¬</v>
      </c>
      <c r="AE26" s="20"/>
      <c r="AF26" s="20" t="str">
        <f>IF(LEN(AC26)=0,"¬",_xlfn.LET(_xlpm.base,IFERROR(LEFT(AC26,FIND(" (",AC26)-1),AC26),IFERROR(VLOOKUP(_xlpm.base,tblMerits[],5,FALSE),IFERROR(VLOOKUP(_xlpm.base,tblManoeuvre[],9,FALSE),"¬"))))</f>
        <v>¬</v>
      </c>
      <c r="AI26" s="15" t="s">
        <v>16</v>
      </c>
      <c r="AJ26" s="61">
        <f t="shared" si="1"/>
        <v>3</v>
      </c>
      <c r="AK26" s="61">
        <f>AJ26+IFERROR(INDEX($V$26:$V$38,MATCH(AI26,$E$26:$E$38,0)),0)</f>
        <v>3</v>
      </c>
    </row>
    <row r="27" spans="1:37">
      <c r="A27" s="1" t="s">
        <v>26</v>
      </c>
      <c r="B27" t="str">
        <f>REPT("●",IFERROR(INDEX($P$42:$P$69,MATCH(tblCharDataWan[[#This Row],[Field]],$E$42:$E$69,0)),0))&amp;REPT("○",IFERROR(INDEX($V$42:$V$69,MATCH(tblCharDataWan[[#This Row],[Field]],$E$42:$E$69,0)),0))&amp;IF(IFERROR(INDEX($W$42:$W$69,MATCH(tblCharDataWan[[#This Row],[Field]],$E$42:$E$69,0)),0)=1,"†","")</f>
        <v>●</v>
      </c>
      <c r="D27" s="18"/>
      <c r="E27" s="15" t="s">
        <v>17</v>
      </c>
      <c r="F27" s="18"/>
      <c r="G27" s="3"/>
      <c r="H27" s="18"/>
      <c r="I27" s="18"/>
      <c r="L27" s="3">
        <v>2</v>
      </c>
      <c r="M27" s="60">
        <f>IF(E27=$F$24,2,1)</f>
        <v>1</v>
      </c>
      <c r="N27" s="3"/>
      <c r="O27" s="61">
        <f>ROUNDDOWN(N27/4,0)</f>
        <v>0</v>
      </c>
      <c r="P27" s="60">
        <f>MIN(SUM(L27,M27,O27),R27)</f>
        <v>3</v>
      </c>
      <c r="R27" s="61">
        <v>5</v>
      </c>
      <c r="U27" s="4"/>
      <c r="V27" s="61">
        <f>U27</f>
        <v>0</v>
      </c>
      <c r="Y27" s="15" t="s">
        <v>1450</v>
      </c>
      <c r="Z27" s="61" t="str">
        <f>IFERROR(VLOOKUP(AA27,tblManoeuvre[],2,FALSE),"")</f>
        <v/>
      </c>
      <c r="AA27" s="61" t="str">
        <f t="shared" si="3"/>
        <v/>
      </c>
      <c r="AC27" s="60"/>
      <c r="AD27" s="20" t="str">
        <f>IF(AC27="","¬",_xlfn.LET(_xlpm.base,IFERROR(LEFT(AC27,FIND(" (",AC27)-1),AC27),IFERROR(VLOOKUP(_xlpm.base,tblManoeuvre[],2,FALSE) &amp; " " &amp; REPT("●",VLOOKUP(_xlpm.base,tblManoeuvre[],3,FALSE)) &amp; " | " &amp; AC27,AC27 &amp; " " &amp; REPT("●",VLOOKUP(_xlpm.base,$F$79:$P$120,11,FALSE)))))</f>
        <v>¬</v>
      </c>
      <c r="AE27" s="20"/>
      <c r="AF27" s="20" t="str">
        <f>IF(LEN(AC27)=0,"¬",_xlfn.LET(_xlpm.base,IFERROR(LEFT(AC27,FIND(" (",AC27)-1),AC27),IFERROR(VLOOKUP(_xlpm.base,tblMerits[],5,FALSE),IFERROR(VLOOKUP(_xlpm.base,tblManoeuvre[],9,FALSE),"¬"))))</f>
        <v>¬</v>
      </c>
      <c r="AI27" s="15" t="s">
        <v>44</v>
      </c>
      <c r="AJ27" s="61">
        <f t="shared" si="1"/>
        <v>0</v>
      </c>
      <c r="AK27" s="61">
        <f>IF(AJ27=0,IF(COUNTIF($E$42:$E$49,AI27)&gt;0,-3,-1),AJ27)</f>
        <v>-1</v>
      </c>
    </row>
    <row r="28" spans="1:37">
      <c r="A28" s="1" t="s">
        <v>27</v>
      </c>
      <c r="B28" t="str">
        <f>REPT("●",IFERROR(INDEX($P$42:$P$69,MATCH(tblCharDataWan[[#This Row],[Field]],$E$42:$E$69,0)),0))&amp;REPT("○",IFERROR(INDEX($V$42:$V$69,MATCH(tblCharDataWan[[#This Row],[Field]],$E$42:$E$69,0)),0))&amp;IF(IFERROR(INDEX($W$42:$W$69,MATCH(tblCharDataWan[[#This Row],[Field]],$E$42:$E$69,0)),0)=1,"†","")</f>
        <v/>
      </c>
      <c r="D28" s="18"/>
      <c r="E28" s="15" t="s">
        <v>18</v>
      </c>
      <c r="F28" s="18"/>
      <c r="G28" s="3"/>
      <c r="H28" s="18"/>
      <c r="I28" s="18"/>
      <c r="L28" s="3">
        <v>2</v>
      </c>
      <c r="M28" s="60">
        <f>IF(E28=$F$24,2,1)</f>
        <v>1</v>
      </c>
      <c r="N28" s="3"/>
      <c r="O28" s="61">
        <f>ROUNDDOWN(N28/4,0)</f>
        <v>0</v>
      </c>
      <c r="P28" s="60">
        <f>MIN(SUM(L28,M28,O28),R28)</f>
        <v>3</v>
      </c>
      <c r="R28" s="61">
        <v>5</v>
      </c>
      <c r="U28" s="4"/>
      <c r="V28" s="61">
        <f>U28</f>
        <v>0</v>
      </c>
      <c r="Y28" s="15" t="s">
        <v>1451</v>
      </c>
      <c r="Z28" s="61" t="str">
        <f>IFERROR(VLOOKUP(AA28,tblManoeuvre[],2,FALSE),"")</f>
        <v/>
      </c>
      <c r="AA28" s="61" t="str">
        <f t="shared" si="3"/>
        <v/>
      </c>
      <c r="AC28" s="60"/>
      <c r="AD28" s="20" t="str">
        <f>IF(AC28="","¬",_xlfn.LET(_xlpm.base,IFERROR(LEFT(AC28,FIND(" (",AC28)-1),AC28),IFERROR(VLOOKUP(_xlpm.base,tblManoeuvre[],2,FALSE) &amp; " " &amp; REPT("●",VLOOKUP(_xlpm.base,tblManoeuvre[],3,FALSE)) &amp; " | " &amp; AC28,AC28 &amp; " " &amp; REPT("●",VLOOKUP(_xlpm.base,$F$79:$P$120,11,FALSE)))))</f>
        <v>¬</v>
      </c>
      <c r="AE28" s="20"/>
      <c r="AF28" s="20" t="str">
        <f>IF(LEN(AC28)=0,"¬",_xlfn.LET(_xlpm.base,IFERROR(LEFT(AC28,FIND(" (",AC28)-1),AC28),IFERROR(VLOOKUP(_xlpm.base,tblMerits[],5,FALSE),IFERROR(VLOOKUP(_xlpm.base,tblManoeuvre[],9,FALSE),"¬"))))</f>
        <v>¬</v>
      </c>
      <c r="AI28" s="15" t="s">
        <v>28</v>
      </c>
      <c r="AJ28" s="61">
        <f t="shared" si="1"/>
        <v>2</v>
      </c>
      <c r="AK28" s="61">
        <f>IF(AJ28=0,IF(COUNTIF($E$42:$E$49,AI28)&gt;0,-3,-1),AJ28)</f>
        <v>2</v>
      </c>
    </row>
    <row r="29" spans="1:37">
      <c r="A29" s="1" t="s">
        <v>28</v>
      </c>
      <c r="B29" t="str">
        <f>REPT("●",IFERROR(INDEX($P$42:$P$69,MATCH(tblCharDataWan[[#This Row],[Field]],$E$42:$E$69,0)),0))&amp;REPT("○",IFERROR(INDEX($V$42:$V$69,MATCH(tblCharDataWan[[#This Row],[Field]],$E$42:$E$69,0)),0))&amp;IF(IFERROR(INDEX($W$42:$W$69,MATCH(tblCharDataWan[[#This Row],[Field]],$E$42:$E$69,0)),0)=1,"†","")</f>
        <v>●●</v>
      </c>
      <c r="Y29" s="15" t="s">
        <v>1452</v>
      </c>
      <c r="Z29" s="61" t="str">
        <f>IFERROR(VLOOKUP(AA29,tblManoeuvre[],2,FALSE),"")</f>
        <v/>
      </c>
      <c r="AA29" s="61" t="str">
        <f t="shared" si="3"/>
        <v/>
      </c>
      <c r="AC29" s="60"/>
      <c r="AD29" s="20" t="str">
        <f>IF(AC29="","¬",_xlfn.LET(_xlpm.base,IFERROR(LEFT(AC29,FIND(" (",AC29)-1),AC29),IFERROR(VLOOKUP(_xlpm.base,tblManoeuvre[],2,FALSE) &amp; " " &amp; REPT("●",VLOOKUP(_xlpm.base,tblManoeuvre[],3,FALSE)) &amp; " | " &amp; AC29,AC29 &amp; " " &amp; REPT("●",VLOOKUP(_xlpm.base,$F$79:$P$120,11,FALSE)))))</f>
        <v>¬</v>
      </c>
      <c r="AE29" s="20"/>
      <c r="AF29" s="20" t="str">
        <f>IF(LEN(AC29)=0,"¬",_xlfn.LET(_xlpm.base,IFERROR(LEFT(AC29,FIND(" (",AC29)-1),AC29),IFERROR(VLOOKUP(_xlpm.base,tblMerits[],5,FALSE),IFERROR(VLOOKUP(_xlpm.base,tblManoeuvre[],9,FALSE),"¬"))))</f>
        <v>¬</v>
      </c>
      <c r="AI29" s="15" t="s">
        <v>37</v>
      </c>
      <c r="AJ29" s="61">
        <f t="shared" si="1"/>
        <v>0</v>
      </c>
      <c r="AK29" s="61">
        <f>IF(AJ29=0,IF(COUNTIF($E$42:$E$49,AI29)&gt;0,-3,-1),AJ29)</f>
        <v>-1</v>
      </c>
    </row>
    <row r="30" spans="1:37">
      <c r="A30" s="1" t="s">
        <v>29</v>
      </c>
      <c r="B30" t="str">
        <f>REPT("●",IFERROR(INDEX($P$42:$P$69,MATCH(tblCharDataWan[[#This Row],[Field]],$E$42:$E$69,0)),0))&amp;REPT("○",IFERROR(INDEX($V$42:$V$69,MATCH(tblCharDataWan[[#This Row],[Field]],$E$42:$E$69,0)),0))&amp;IF(IFERROR(INDEX($W$42:$W$69,MATCH(tblCharDataWan[[#This Row],[Field]],$E$42:$E$69,0)),0)=1,"†","")</f>
        <v/>
      </c>
      <c r="D30" s="16" t="s">
        <v>1453</v>
      </c>
      <c r="E30" s="17"/>
      <c r="F30" s="17"/>
      <c r="G30" s="17" t="s">
        <v>1445</v>
      </c>
      <c r="H30" s="16" t="s">
        <v>1446</v>
      </c>
      <c r="I30" s="3" t="s">
        <v>1566</v>
      </c>
      <c r="L30" s="60">
        <f>IF(I30="",0,VLOOKUP(I30,tblPriority[#Data],2,FALSE))-SUM(L31:L33)</f>
        <v>0</v>
      </c>
      <c r="Y30" s="15" t="s">
        <v>1454</v>
      </c>
      <c r="Z30" s="61" t="str">
        <f>IFERROR(VLOOKUP(AA30,tblManoeuvre[],2,FALSE),"")</f>
        <v/>
      </c>
      <c r="AA30" s="61" t="str">
        <f t="shared" si="3"/>
        <v/>
      </c>
      <c r="AC30" s="60"/>
      <c r="AD30" s="20" t="str">
        <f>IF(AC30="","¬",_xlfn.LET(_xlpm.base,IFERROR(LEFT(AC30,FIND(" (",AC30)-1),AC30),IFERROR(VLOOKUP(_xlpm.base,tblManoeuvre[],2,FALSE) &amp; " " &amp; REPT("●",VLOOKUP(_xlpm.base,tblManoeuvre[],3,FALSE)) &amp; " | " &amp; AC30,AC30 &amp; " " &amp; REPT("●",VLOOKUP(_xlpm.base,$F$79:$P$120,11,FALSE)))))</f>
        <v>¬</v>
      </c>
      <c r="AE30" s="20"/>
      <c r="AF30" s="20" t="str">
        <f>IF(LEN(AC30)=0,"¬",_xlfn.LET(_xlpm.base,IFERROR(LEFT(AC30,FIND(" (",AC30)-1),AC30),IFERROR(VLOOKUP(_xlpm.base,tblMerits[],5,FALSE),IFERROR(VLOOKUP(_xlpm.base,tblManoeuvre[],9,FALSE),"¬"))))</f>
        <v>¬</v>
      </c>
      <c r="AI30" s="15" t="s">
        <v>240</v>
      </c>
      <c r="AJ30" s="61">
        <f t="shared" si="1"/>
        <v>0</v>
      </c>
      <c r="AK30" s="61">
        <f>AJ30</f>
        <v>0</v>
      </c>
    </row>
    <row r="31" spans="1:37">
      <c r="A31" s="1" t="s">
        <v>30</v>
      </c>
      <c r="B31" t="str">
        <f>REPT("●",IFERROR(INDEX($P$42:$P$69,MATCH(tblCharDataWan[[#This Row],[Field]],$E$42:$E$69,0)),0))&amp;REPT("○",IFERROR(INDEX($V$42:$V$69,MATCH(tblCharDataWan[[#This Row],[Field]],$E$42:$E$69,0)),0))&amp;IF(IFERROR(INDEX($W$42:$W$69,MATCH(tblCharDataWan[[#This Row],[Field]],$E$42:$E$69,0)),0)=1,"†","")</f>
        <v>●●●●○†</v>
      </c>
      <c r="D31" s="18"/>
      <c r="E31" s="15" t="s">
        <v>19</v>
      </c>
      <c r="F31" s="18"/>
      <c r="G31" s="3"/>
      <c r="H31" s="18"/>
      <c r="I31" s="18"/>
      <c r="L31" s="3">
        <v>1</v>
      </c>
      <c r="M31" s="60">
        <f>IF(E31=$F$24,2,1)</f>
        <v>1</v>
      </c>
      <c r="N31" s="3"/>
      <c r="O31" s="61">
        <f>ROUNDDOWN(N31/4,0)</f>
        <v>0</v>
      </c>
      <c r="P31" s="60">
        <f>MIN(SUM(L31,M31,O31),R31)</f>
        <v>2</v>
      </c>
      <c r="R31" s="61">
        <v>5</v>
      </c>
      <c r="U31" s="4"/>
      <c r="V31" s="61">
        <f>$P$174+U31</f>
        <v>0</v>
      </c>
      <c r="Y31" s="15" t="s">
        <v>1455</v>
      </c>
      <c r="Z31" s="61" t="str">
        <f>IFERROR(VLOOKUP(AA31,tblManoeuvre[],2,FALSE),"")</f>
        <v/>
      </c>
      <c r="AA31" s="61" t="str">
        <f t="shared" si="3"/>
        <v/>
      </c>
      <c r="AC31" s="60"/>
      <c r="AD31" s="20" t="str">
        <f>IF(AC31="","¬",_xlfn.LET(_xlpm.base,IFERROR(LEFT(AC31,FIND(" (",AC31)-1),AC31),IFERROR(VLOOKUP(_xlpm.base,tblManoeuvre[],2,FALSE) &amp; " " &amp; REPT("●",VLOOKUP(_xlpm.base,tblManoeuvre[],3,FALSE)) &amp; " | " &amp; AC31,AC31 &amp; " " &amp; REPT("●",VLOOKUP(_xlpm.base,$F$79:$P$120,11,FALSE)))))</f>
        <v>¬</v>
      </c>
      <c r="AE31" s="20"/>
      <c r="AF31" s="20" t="str">
        <f>IF(LEN(AC31)=0,"¬",_xlfn.LET(_xlpm.base,IFERROR(LEFT(AC31,FIND(" (",AC31)-1),AC31),IFERROR(VLOOKUP(_xlpm.base,tblMerits[],5,FALSE),IFERROR(VLOOKUP(_xlpm.base,tblManoeuvre[],9,FALSE),"¬"))))</f>
        <v>¬</v>
      </c>
      <c r="AI31" s="15" t="s">
        <v>23</v>
      </c>
      <c r="AJ31" s="61">
        <f t="shared" si="1"/>
        <v>3</v>
      </c>
      <c r="AK31" s="61">
        <f>AJ31+IFERROR(INDEX($V$26:$V$38,MATCH(AI31,$E$26:$E$38,0)),0)</f>
        <v>3</v>
      </c>
    </row>
    <row r="32" spans="1:37">
      <c r="A32" s="1" t="s">
        <v>31</v>
      </c>
      <c r="B32" t="str">
        <f>REPT("●",IFERROR(INDEX($P$42:$P$69,MATCH(tblCharDataWan[[#This Row],[Field]],$E$42:$E$69,0)),0))&amp;REPT("○",IFERROR(INDEX($V$42:$V$69,MATCH(tblCharDataWan[[#This Row],[Field]],$E$42:$E$69,0)),0))&amp;IF(IFERROR(INDEX($W$42:$W$69,MATCH(tblCharDataWan[[#This Row],[Field]],$E$42:$E$69,0)),0)=1,"†","")</f>
        <v>●●†</v>
      </c>
      <c r="D32" s="18"/>
      <c r="E32" s="15" t="s">
        <v>20</v>
      </c>
      <c r="F32" s="18"/>
      <c r="G32" s="3"/>
      <c r="H32" s="18"/>
      <c r="I32" s="18"/>
      <c r="L32" s="3">
        <v>2</v>
      </c>
      <c r="M32" s="60">
        <f>IF(E32=$F$24,2,1)</f>
        <v>1</v>
      </c>
      <c r="N32" s="3"/>
      <c r="O32" s="61">
        <f>ROUNDDOWN(N32/4,0)</f>
        <v>0</v>
      </c>
      <c r="P32" s="60">
        <f>MIN(SUM(L32,M32,O32),R32)</f>
        <v>3</v>
      </c>
      <c r="R32" s="61">
        <v>5</v>
      </c>
      <c r="U32" s="4"/>
      <c r="V32" s="61">
        <f>U32</f>
        <v>0</v>
      </c>
      <c r="Y32" s="15" t="s">
        <v>1456</v>
      </c>
      <c r="Z32" s="61" t="str">
        <f>IFERROR(VLOOKUP(AA32,tblManoeuvre[],2,FALSE),"")</f>
        <v/>
      </c>
      <c r="AA32" s="61" t="str">
        <f t="shared" si="3"/>
        <v/>
      </c>
      <c r="AI32" s="15" t="s">
        <v>29</v>
      </c>
      <c r="AJ32" s="61">
        <f t="shared" si="1"/>
        <v>0</v>
      </c>
      <c r="AK32" s="61">
        <f>IF(AJ32=0,VLOOKUP(AI32,$E$42:$Q$69,13,FALSE),AJ32)</f>
        <v>0</v>
      </c>
    </row>
    <row r="33" spans="1:37">
      <c r="A33" s="1" t="s">
        <v>32</v>
      </c>
      <c r="B33" t="str">
        <f>REPT("●",IFERROR(INDEX($P$42:$P$69,MATCH(tblCharDataWan[[#This Row],[Field]],$E$42:$E$69,0)),0))&amp;REPT("○",IFERROR(INDEX($V$42:$V$69,MATCH(tblCharDataWan[[#This Row],[Field]],$E$42:$E$69,0)),0))&amp;IF(IFERROR(INDEX($W$42:$W$69,MATCH(tblCharDataWan[[#This Row],[Field]],$E$42:$E$69,0)),0)=1,"†","")</f>
        <v/>
      </c>
      <c r="D33" s="18"/>
      <c r="E33" s="15" t="s">
        <v>21</v>
      </c>
      <c r="F33" s="18"/>
      <c r="G33" s="3"/>
      <c r="H33" s="18"/>
      <c r="I33" s="18"/>
      <c r="L33" s="3"/>
      <c r="M33" s="60">
        <f>IF(E33=$F$24,2,1)</f>
        <v>1</v>
      </c>
      <c r="N33" s="3"/>
      <c r="O33" s="61">
        <f>ROUNDDOWN(N33/4,0)</f>
        <v>0</v>
      </c>
      <c r="P33" s="60">
        <f>MIN(SUM(L33,M33,O33),R33)</f>
        <v>1</v>
      </c>
      <c r="R33" s="61">
        <v>5</v>
      </c>
      <c r="U33" s="4"/>
      <c r="V33" s="61">
        <f>$P$173+U33</f>
        <v>0</v>
      </c>
      <c r="Y33" s="15" t="s">
        <v>1457</v>
      </c>
      <c r="Z33" s="61" t="str">
        <f>IFERROR(VLOOKUP(AA33,tblManoeuvre[],2,FALSE),"")</f>
        <v/>
      </c>
      <c r="AA33" s="61" t="str">
        <f t="shared" si="3"/>
        <v/>
      </c>
      <c r="AI33" s="15" t="s">
        <v>241</v>
      </c>
      <c r="AJ33" s="61">
        <f t="shared" si="1"/>
        <v>0</v>
      </c>
      <c r="AK33" s="61">
        <f>AJ33</f>
        <v>0</v>
      </c>
    </row>
    <row r="34" spans="1:37">
      <c r="A34" s="1" t="s">
        <v>33</v>
      </c>
      <c r="B34" t="str">
        <f>REPT("●",IFERROR(INDEX($P$42:$P$69,MATCH(tblCharDataWan[[#This Row],[Field]],$E$42:$E$69,0)),0))&amp;REPT("○",IFERROR(INDEX($V$42:$V$69,MATCH(tblCharDataWan[[#This Row],[Field]],$E$42:$E$69,0)),0))&amp;IF(IFERROR(INDEX($W$42:$W$69,MATCH(tblCharDataWan[[#This Row],[Field]],$E$42:$E$69,0)),0)=1,"†","")</f>
        <v>●</v>
      </c>
      <c r="Y34" s="15" t="s">
        <v>1458</v>
      </c>
      <c r="Z34" s="61" t="str">
        <f>IFERROR(VLOOKUP(AA34,tblManoeuvre[],2,FALSE),"")</f>
        <v/>
      </c>
      <c r="AA34" s="61" t="str">
        <f t="shared" si="3"/>
        <v/>
      </c>
      <c r="AI34" s="15" t="s">
        <v>242</v>
      </c>
      <c r="AJ34" s="61">
        <f t="shared" si="1"/>
        <v>5</v>
      </c>
      <c r="AK34" s="61">
        <f>AJ34</f>
        <v>5</v>
      </c>
    </row>
    <row r="35" spans="1:37">
      <c r="A35" s="1" t="s">
        <v>34</v>
      </c>
      <c r="B35" t="str">
        <f>REPT("●",IFERROR(INDEX($P$42:$P$69,MATCH(tblCharDataWan[[#This Row],[Field]],$E$42:$E$69,0)),0))&amp;REPT("○",IFERROR(INDEX($V$42:$V$69,MATCH(tblCharDataWan[[#This Row],[Field]],$E$42:$E$69,0)),0))&amp;IF(IFERROR(INDEX($W$42:$W$69,MATCH(tblCharDataWan[[#This Row],[Field]],$E$42:$E$69,0)),0)=1,"†","")</f>
        <v/>
      </c>
      <c r="D35" s="16" t="s">
        <v>1459</v>
      </c>
      <c r="E35" s="17"/>
      <c r="F35" s="17"/>
      <c r="G35" s="17" t="s">
        <v>1445</v>
      </c>
      <c r="H35" s="16" t="s">
        <v>1446</v>
      </c>
      <c r="I35" s="3" t="s">
        <v>1567</v>
      </c>
      <c r="L35" s="60">
        <f>IF(I35="",0,VLOOKUP(I35,tblPriority[#Data],2,FALSE))-SUM(L36:L38)</f>
        <v>0</v>
      </c>
      <c r="Y35" s="15" t="s">
        <v>1460</v>
      </c>
      <c r="Z35" s="61" t="str">
        <f>IFERROR(VLOOKUP(AA35,tblManoeuvre[],2,FALSE),"")</f>
        <v/>
      </c>
      <c r="AA35" s="61" t="str">
        <f t="shared" si="3"/>
        <v/>
      </c>
      <c r="AI35" s="15" t="s">
        <v>30</v>
      </c>
      <c r="AJ35" s="61">
        <f t="shared" si="1"/>
        <v>4</v>
      </c>
      <c r="AK35" s="61">
        <f>IF(AJ35=0,IF(COUNTIF($E$42:$E$49,AI35)&gt;0,-3,-1),AJ35)</f>
        <v>4</v>
      </c>
    </row>
    <row r="36" spans="1:37">
      <c r="A36" s="1" t="s">
        <v>35</v>
      </c>
      <c r="B36" t="str">
        <f>REPT("●",IFERROR(INDEX($P$42:$P$69,MATCH(tblCharDataWan[[#This Row],[Field]],$E$42:$E$69,0)),0))&amp;REPT("○",IFERROR(INDEX($V$42:$V$69,MATCH(tblCharDataWan[[#This Row],[Field]],$E$42:$E$69,0)),0))&amp;IF(IFERROR(INDEX($W$42:$W$69,MATCH(tblCharDataWan[[#This Row],[Field]],$E$42:$E$69,0)),0)=1,"†","")</f>
        <v/>
      </c>
      <c r="D36" s="18"/>
      <c r="E36" s="15" t="s">
        <v>22</v>
      </c>
      <c r="F36" s="18"/>
      <c r="G36" s="3"/>
      <c r="H36" s="18"/>
      <c r="I36" s="18"/>
      <c r="L36" s="3">
        <v>2</v>
      </c>
      <c r="M36" s="60">
        <f>IF(E36=$F$24,2,1)</f>
        <v>1</v>
      </c>
      <c r="N36" s="3"/>
      <c r="O36" s="61">
        <f>ROUNDDOWN(N36/4,0)</f>
        <v>0</v>
      </c>
      <c r="P36" s="60">
        <f>MIN(SUM(L36,M36,O36),R36)</f>
        <v>3</v>
      </c>
      <c r="R36" s="61">
        <v>5</v>
      </c>
      <c r="U36" s="4"/>
      <c r="V36" s="61">
        <f>U36</f>
        <v>0</v>
      </c>
      <c r="Y36" s="15" t="s">
        <v>1461</v>
      </c>
      <c r="Z36" s="61" t="str">
        <f>IFERROR(VLOOKUP(AA36,tblManoeuvre[],2,FALSE),"")</f>
        <v/>
      </c>
      <c r="AA36" s="61" t="str">
        <f t="shared" si="3"/>
        <v/>
      </c>
      <c r="AI36" s="15" t="s">
        <v>45</v>
      </c>
      <c r="AJ36" s="61">
        <f t="shared" si="1"/>
        <v>0</v>
      </c>
      <c r="AK36" s="61">
        <f>IF(AJ36=0,IF(COUNTIF($E$42:$E$49,AI36)&gt;0,-3,-1),AJ36)</f>
        <v>-1</v>
      </c>
    </row>
    <row r="37" spans="1:37">
      <c r="A37" s="1" t="s">
        <v>36</v>
      </c>
      <c r="B37" t="str">
        <f>REPT("●",IFERROR(INDEX($P$42:$P$69,MATCH(tblCharDataWan[[#This Row],[Field]],$E$42:$E$69,0)),0))&amp;REPT("○",IFERROR(INDEX($V$42:$V$69,MATCH(tblCharDataWan[[#This Row],[Field]],$E$42:$E$69,0)),0))&amp;IF(IFERROR(INDEX($W$42:$W$69,MATCH(tblCharDataWan[[#This Row],[Field]],$E$42:$E$69,0)),0)=1,"†","")</f>
        <v/>
      </c>
      <c r="D37" s="18"/>
      <c r="E37" s="15" t="s">
        <v>23</v>
      </c>
      <c r="F37" s="18"/>
      <c r="G37" s="3"/>
      <c r="H37" s="18"/>
      <c r="I37" s="18"/>
      <c r="L37" s="3">
        <v>2</v>
      </c>
      <c r="M37" s="60">
        <f>IF(E37=$F$24,2,1)</f>
        <v>1</v>
      </c>
      <c r="N37" s="3"/>
      <c r="O37" s="61">
        <f>ROUNDDOWN(N37/4,0)</f>
        <v>0</v>
      </c>
      <c r="P37" s="60">
        <f>MIN(SUM(L37,M37,O37),R37)</f>
        <v>3</v>
      </c>
      <c r="R37" s="61">
        <v>5</v>
      </c>
      <c r="U37" s="4"/>
      <c r="V37" s="61">
        <f>U37</f>
        <v>0</v>
      </c>
      <c r="Y37" s="15" t="s">
        <v>1462</v>
      </c>
      <c r="Z37" s="61" t="str">
        <f>IFERROR(VLOOKUP(AA37,tblManoeuvre[],2,FALSE),"")</f>
        <v/>
      </c>
      <c r="AA37" s="61" t="str">
        <f t="shared" si="3"/>
        <v/>
      </c>
      <c r="AI37" s="15" t="s">
        <v>31</v>
      </c>
      <c r="AJ37" s="61">
        <f t="shared" si="1"/>
        <v>2</v>
      </c>
      <c r="AK37" s="61">
        <f>IF(AJ37=0,IF(COUNTIF($E$42:$E$49,AI37)&gt;0,-3,-1),AJ37)</f>
        <v>2</v>
      </c>
    </row>
    <row r="38" spans="1:37">
      <c r="A38" s="1" t="s">
        <v>37</v>
      </c>
      <c r="B38" t="str">
        <f>REPT("●",IFERROR(INDEX($P$42:$P$69,MATCH(tblCharDataWan[[#This Row],[Field]],$E$42:$E$69,0)),0))&amp;REPT("○",IFERROR(INDEX($V$42:$V$69,MATCH(tblCharDataWan[[#This Row],[Field]],$E$42:$E$69,0)),0))&amp;IF(IFERROR(INDEX($W$42:$W$69,MATCH(tblCharDataWan[[#This Row],[Field]],$E$42:$E$69,0)),0)=1,"†","")</f>
        <v/>
      </c>
      <c r="D38" s="18"/>
      <c r="E38" s="15" t="s">
        <v>24</v>
      </c>
      <c r="F38" s="18"/>
      <c r="G38" s="3"/>
      <c r="H38" s="18"/>
      <c r="I38" s="18"/>
      <c r="L38" s="3"/>
      <c r="M38" s="60">
        <f>IF(E38=$F$24,2,1)</f>
        <v>1</v>
      </c>
      <c r="N38" s="3"/>
      <c r="O38" s="61">
        <f>ROUNDDOWN(N38/4,0)</f>
        <v>0</v>
      </c>
      <c r="P38" s="60">
        <f>MIN(SUM(L38,M38,O38),R38)</f>
        <v>1</v>
      </c>
      <c r="R38" s="61">
        <v>5</v>
      </c>
      <c r="U38" s="4"/>
      <c r="V38" s="61">
        <f>U38</f>
        <v>0</v>
      </c>
      <c r="Y38" s="15" t="s">
        <v>1463</v>
      </c>
      <c r="Z38" s="61" t="str">
        <f>IFERROR(VLOOKUP(AA38,tblManoeuvre[],2,FALSE),"")</f>
        <v/>
      </c>
      <c r="AA38" s="61" t="str">
        <f t="shared" si="3"/>
        <v/>
      </c>
      <c r="AI38" s="15" t="s">
        <v>22</v>
      </c>
      <c r="AJ38" s="61">
        <f t="shared" si="1"/>
        <v>3</v>
      </c>
      <c r="AK38" s="61">
        <f>AJ38+IFERROR(INDEX($V$26:$V$38,MATCH(AI38,$E$26:$E$38,0)),0)</f>
        <v>3</v>
      </c>
    </row>
    <row r="39" spans="1:37">
      <c r="A39" s="1" t="s">
        <v>38</v>
      </c>
      <c r="B39" t="str">
        <f>REPT("●",IFERROR(INDEX($P$42:$P$69,MATCH(tblCharDataWan[[#This Row],[Field]],$E$42:$E$69,0)),0))&amp;REPT("○",IFERROR(INDEX($V$42:$V$69,MATCH(tblCharDataWan[[#This Row],[Field]],$E$42:$E$69,0)),0))&amp;IF(IFERROR(INDEX($W$42:$W$69,MATCH(tblCharDataWan[[#This Row],[Field]],$E$42:$E$69,0)),0)=1,"†","")</f>
        <v>●●●</v>
      </c>
      <c r="Y39" s="15" t="s">
        <v>1464</v>
      </c>
      <c r="Z39" s="61" t="str">
        <f>IFERROR(VLOOKUP(AA39,tblManoeuvre[],2,FALSE),"")</f>
        <v/>
      </c>
      <c r="AA39" s="61" t="str">
        <f t="shared" si="3"/>
        <v/>
      </c>
      <c r="AI39" s="15" t="s">
        <v>243</v>
      </c>
      <c r="AJ39" s="61">
        <f t="shared" si="1"/>
        <v>0</v>
      </c>
      <c r="AK39" s="61">
        <f>AJ39</f>
        <v>0</v>
      </c>
    </row>
    <row r="40" spans="1:37" ht="15.75" thickBot="1">
      <c r="A40" s="1" t="s">
        <v>39</v>
      </c>
      <c r="B40" t="str">
        <f>REPT("●",IFERROR(INDEX($P$42:$P$69,MATCH(tblCharDataWan[[#This Row],[Field]],$E$42:$E$69,0)),0))&amp;REPT("○",IFERROR(INDEX($V$42:$V$69,MATCH(tblCharDataWan[[#This Row],[Field]],$E$42:$E$69,0)),0))&amp;IF(IFERROR(INDEX($W$42:$W$69,MATCH(tblCharDataWan[[#This Row],[Field]],$E$42:$E$69,0)),0)=1,"†","")</f>
        <v/>
      </c>
      <c r="D40" s="14" t="s">
        <v>1465</v>
      </c>
      <c r="E40" s="14"/>
      <c r="F40" s="14"/>
      <c r="G40" s="14"/>
      <c r="H40" s="14"/>
      <c r="I40" s="14"/>
      <c r="N40" s="60">
        <f>SUM(N42:N49,N52:N59,N62:N69)</f>
        <v>0</v>
      </c>
      <c r="T40" s="60">
        <f>MAX(0,SUM(T42:T49,T52:T59,T62:T69)-(3+IF(P161&gt;=3,2,0)))</f>
        <v>0</v>
      </c>
      <c r="U40" s="60">
        <f>IF(P161&gt;=4,1,0)-SUM(U42:U49,U52:U59,U62:U69)</f>
        <v>0</v>
      </c>
      <c r="W40" s="60" cm="1">
        <f t="array" ref="W40">IF($P$161&gt;=1,2+IF($P$161&gt;=3,1,0),0)+IF(SUMPRODUCT(($F$206:$F$215="Oath of the Hard Motherfucker")*($P$206:$P$215&gt;0))&gt;0,2,0)-SUM(W42:W49,W52:W59,W62:W69)</f>
        <v>0</v>
      </c>
      <c r="Y40" s="15" t="s">
        <v>1466</v>
      </c>
      <c r="Z40" s="61" t="str">
        <f>IFERROR(VLOOKUP(AA40,tblManoeuvre[],2,FALSE),"")</f>
        <v/>
      </c>
      <c r="AA40" s="61" t="str">
        <f t="shared" si="3"/>
        <v/>
      </c>
      <c r="AI40" s="15" t="s">
        <v>251</v>
      </c>
      <c r="AJ40" s="61">
        <f t="shared" si="1"/>
        <v>0</v>
      </c>
      <c r="AK40" s="61">
        <f>AJ40</f>
        <v>0</v>
      </c>
    </row>
    <row r="41" spans="1:37">
      <c r="A41" s="1" t="s">
        <v>40</v>
      </c>
      <c r="B41" t="str">
        <f>REPT("●",IFERROR(INDEX($P$42:$P$69,MATCH(tblCharDataWan[[#This Row],[Field]],$E$42:$E$69,0)),0))&amp;REPT("○",IFERROR(INDEX($V$42:$V$69,MATCH(tblCharDataWan[[#This Row],[Field]],$E$42:$E$69,0)),0))&amp;IF(IFERROR(INDEX($W$42:$W$69,MATCH(tblCharDataWan[[#This Row],[Field]],$E$42:$E$69,0)),0)=1,"†","")</f>
        <v/>
      </c>
      <c r="D41" s="16" t="s">
        <v>1444</v>
      </c>
      <c r="E41" s="17"/>
      <c r="F41" s="17"/>
      <c r="G41" s="17" t="s">
        <v>1467</v>
      </c>
      <c r="H41" s="16" t="s">
        <v>1446</v>
      </c>
      <c r="I41" s="3" t="s">
        <v>1565</v>
      </c>
      <c r="L41" s="60">
        <f>IF(I41="",0,VLOOKUP(I41,tblPriority[#Data],3,FALSE))-SUM(L42:L49)</f>
        <v>0</v>
      </c>
      <c r="T41" s="60">
        <f>MAX(3+IF(P161&gt;=3,2,0)-SUM(T42:T49,T52:T59,T62:T69),0)</f>
        <v>2</v>
      </c>
      <c r="Y41" s="15" t="s">
        <v>1468</v>
      </c>
      <c r="Z41" s="61" t="str">
        <f>IFERROR(VLOOKUP(AA41,tblManoeuvre[],2,FALSE),"")</f>
        <v/>
      </c>
      <c r="AA41" s="61" t="str">
        <f t="shared" si="3"/>
        <v/>
      </c>
      <c r="AI41" s="15" t="s">
        <v>244</v>
      </c>
      <c r="AJ41" s="61">
        <f t="shared" si="1"/>
        <v>0</v>
      </c>
      <c r="AK41" s="61">
        <f>AJ41</f>
        <v>0</v>
      </c>
    </row>
    <row r="42" spans="1:37">
      <c r="A42" s="1" t="s">
        <v>41</v>
      </c>
      <c r="B42" t="str">
        <f>REPT("●",IFERROR(INDEX($P$42:$P$69,MATCH(tblCharDataWan[[#This Row],[Field]],$E$42:$E$69,0)),0))&amp;REPT("○",IFERROR(INDEX($V$42:$V$69,MATCH(tblCharDataWan[[#This Row],[Field]],$E$42:$E$69,0)),0))&amp;IF(IFERROR(INDEX($W$42:$W$69,MATCH(tblCharDataWan[[#This Row],[Field]],$E$42:$E$69,0)),0)=1,"†","")</f>
        <v/>
      </c>
      <c r="D42" s="18"/>
      <c r="E42" s="15" t="s">
        <v>25</v>
      </c>
      <c r="F42" s="18"/>
      <c r="G42" s="3" t="s">
        <v>1825</v>
      </c>
      <c r="H42" s="18"/>
      <c r="I42" s="18"/>
      <c r="L42" s="4">
        <v>2</v>
      </c>
      <c r="M42" s="60"/>
      <c r="N42" s="4"/>
      <c r="O42" s="61">
        <f>ROUNDDOWN(N42/2,0)</f>
        <v>0</v>
      </c>
      <c r="P42" s="60">
        <f t="shared" ref="P42:P49" si="4">MIN(SUM(L42,M42,O42),R42)</f>
        <v>2</v>
      </c>
      <c r="R42" s="61">
        <v>5</v>
      </c>
      <c r="T42" s="4">
        <v>1</v>
      </c>
      <c r="U42" s="4"/>
      <c r="V42" s="61">
        <f t="shared" ref="V42:V49" si="5">U42</f>
        <v>0</v>
      </c>
      <c r="W42" s="4">
        <v>1</v>
      </c>
      <c r="AI42" s="15" t="s">
        <v>18</v>
      </c>
      <c r="AJ42" s="61">
        <f t="shared" si="1"/>
        <v>3</v>
      </c>
      <c r="AK42" s="61">
        <f>AJ42+IFERROR(INDEX($V$26:$V$38,MATCH(AI42,$E$26:$E$38,0)),0)</f>
        <v>3</v>
      </c>
    </row>
    <row r="43" spans="1:37">
      <c r="A43" s="1" t="s">
        <v>42</v>
      </c>
      <c r="B43" t="str">
        <f>REPT("●",IFERROR(INDEX($P$42:$P$69,MATCH(tblCharDataWan[[#This Row],[Field]],$E$42:$E$69,0)),0))&amp;REPT("○",IFERROR(INDEX($V$42:$V$69,MATCH(tblCharDataWan[[#This Row],[Field]],$E$42:$E$69,0)),0))&amp;IF(IFERROR(INDEX($W$42:$W$69,MATCH(tblCharDataWan[[#This Row],[Field]],$E$42:$E$69,0)),0)=1,"†","")</f>
        <v>●●●</v>
      </c>
      <c r="D43" s="18"/>
      <c r="E43" s="15" t="s">
        <v>26</v>
      </c>
      <c r="F43" s="18"/>
      <c r="G43" s="3"/>
      <c r="H43" s="18"/>
      <c r="I43" s="18"/>
      <c r="L43" s="4">
        <v>1</v>
      </c>
      <c r="M43" s="60"/>
      <c r="N43" s="4"/>
      <c r="O43" s="61">
        <f t="shared" ref="O43:O49" si="6">ROUNDDOWN(N43/2,0)</f>
        <v>0</v>
      </c>
      <c r="P43" s="60">
        <f t="shared" si="4"/>
        <v>1</v>
      </c>
      <c r="R43" s="61">
        <v>5</v>
      </c>
      <c r="T43" s="4"/>
      <c r="U43" s="4"/>
      <c r="V43" s="61">
        <f t="shared" si="5"/>
        <v>0</v>
      </c>
      <c r="W43" s="4"/>
      <c r="AI43" s="15" t="s">
        <v>32</v>
      </c>
      <c r="AJ43" s="61">
        <f t="shared" si="1"/>
        <v>0</v>
      </c>
      <c r="AK43" s="61">
        <f>IF(AJ43=0,IF(COUNTIF($E$42:$E$49,AI43)&gt;0,-3,-1),AJ43)</f>
        <v>-3</v>
      </c>
    </row>
    <row r="44" spans="1:37">
      <c r="A44" s="1" t="s">
        <v>43</v>
      </c>
      <c r="B44" t="str">
        <f>REPT("●",IFERROR(INDEX($P$42:$P$69,MATCH(tblCharDataWan[[#This Row],[Field]],$E$42:$E$69,0)),0))&amp;REPT("○",IFERROR(INDEX($V$42:$V$69,MATCH(tblCharDataWan[[#This Row],[Field]],$E$42:$E$69,0)),0))&amp;IF(IFERROR(INDEX($W$42:$W$69,MATCH(tblCharDataWan[[#This Row],[Field]],$E$42:$E$69,0)),0)=1,"†","")</f>
        <v/>
      </c>
      <c r="D44" s="18"/>
      <c r="E44" s="15" t="s">
        <v>27</v>
      </c>
      <c r="F44" s="18"/>
      <c r="G44" s="3"/>
      <c r="H44" s="18"/>
      <c r="I44" s="18"/>
      <c r="L44" s="4"/>
      <c r="M44" s="60"/>
      <c r="N44" s="4"/>
      <c r="O44" s="61">
        <f t="shared" si="6"/>
        <v>0</v>
      </c>
      <c r="P44" s="60">
        <f t="shared" si="4"/>
        <v>0</v>
      </c>
      <c r="R44" s="61">
        <v>5</v>
      </c>
      <c r="T44" s="4"/>
      <c r="U44" s="4"/>
      <c r="V44" s="61">
        <f t="shared" si="5"/>
        <v>0</v>
      </c>
      <c r="W44" s="4"/>
      <c r="Y44" s="15">
        <v>1</v>
      </c>
      <c r="Z44" s="61" t="s">
        <v>236</v>
      </c>
      <c r="AA44" s="60" t="str" cm="1">
        <f t="array" ref="AA44">IF(OR(Y44=0,Y44=""),"",IF(VLOOKUP(Z44,$AI$1:$AJ$58,2,FALSE)&gt;=Y44,INDEX(tblDisciplines[Name],MATCH(1,(tblDisciplines[Discipline]=Z44)*(tblDisciplines[Rank]=Y44),0)),""))</f>
        <v/>
      </c>
      <c r="AC44" s="60" t="str" cm="1">
        <f t="array" ref="AC44:AC51">IFERROR(_xlfn.VSTACK(IFERROR(_xlfn._xlws.FILTER(AA44:AA121,AA44:AA121&lt;&gt;""),""),IFERROR(_xlfn._xlws.SORT(_xlfn._xlws.FILTER(AA123:AA132,AA123:AA132&lt;&gt;"")),"")),"")</f>
        <v>Beast's Hackles</v>
      </c>
      <c r="AD44" s="20" t="str" cm="1">
        <f t="array" ref="AD44">IF(AC44="","",IFERROR(IF(OR(VLOOKUP(AC44,tblDisciplines[],2,FALSE)={"Creation","Destruction","Divination","Protection","Transmutation"}),"Blood Sorcery | " &amp; VLOOKUP(AC44,tblDisciplines[],2,FALSE) &amp; " " &amp; REPT("●",VLOOKUP(AC44,tblDisciplines[],3,FALSE)),IF(AC44=VLOOKUP(AC44,tblDisciplines[],2,FALSE)&amp;" "&amp;VLOOKUP(AC44,tblDisciplines[],3,FALSE),VLOOKUP(AC44,tblDisciplines[],2,FALSE) &amp; " " &amp; REPT("●",VLOOKUP(AC44,tblDisciplines[],3,FALSE)),VLOOKUP(AC44,tblDisciplines[],2,FALSE) &amp; " " &amp; REPT("●",VLOOKUP(AC44,tblDisciplines[],3,FALSE)) &amp; " | " &amp; AC44)),IFERROR(AC44 &amp; " " &amp; REPT("●",VLOOKUP(AC44,$F$177:$P$181,11,FALSE)),AC44 &amp; " " &amp; REPT("●",VLOOKUP(AC44,tblPacts[],4,FALSE)))))</f>
        <v>Auspex ● | Beast's Hackles</v>
      </c>
      <c r="AE44" s="20" t="str" cm="1">
        <f t="array" ref="AE44">IF(AC44="","",IFERROR(IF(OR(VLOOKUP(AC44,tblDisciplines[],2,FALSE)={"Creation","Destruction","Divination","Protection","Transmutation"}),"¬",CONCATENATE("Cost: ",VLOOKUP(AC44,tblDisciplines[],4,FALSE),IF(VLOOKUP(AC44,tblDisciplines[],5,FALSE)="",""," " &amp; VLOOKUP(AC44,tblDisciplines[],5,FALSE)),"  •  Pool: ",IFERROR(VLOOKUP(VLOOKUP(AC44,tblDisciplines[],6,FALSE),$AI$1:$AK$58,3,FALSE)+VLOOKUP(VLOOKUP(AC44,tblDisciplines[],7,FALSE),$AI$1:$AK$58,3,FALSE)+VLOOKUP(VLOOKUP(AC44,tblDisciplines[],8,FALSE),$AI$1:$AK$58,3,FALSE),"-"),IF(VLOOKUP(AC44,tblDisciplines[],9,FALSE)="","",CONCATENATE(" ",VLOOKUP(AC44,tblDisciplines[],9,FALSE))),"  •  ",VLOOKUP(AC44,tblDisciplines[],10,FALSE),IF(VLOOKUP(AC44,tblDisciplines[],11,FALSE)="","","  •  " &amp; VLOOKUP(AC44,tblDisciplines[],11,FALSE)))),"¬"))</f>
        <v>Cost: Free (1 V for Insight)  •  Pool: - - Composure &amp; Closed Book  •  Instant  •  Scene</v>
      </c>
      <c r="AF44" s="20" t="str">
        <f>IF(AC44="","",IFERROR(VLOOKUP(AC44,tblDisciplines[],12,FALSE),VLOOKUP(AC44,tblPacts[],5,FALSE)))</f>
        <v>Add Auspex dots to any rolls to resist surprise. Access to Tier 1 Auspex Insight questions.</v>
      </c>
      <c r="AI44" s="15" t="s">
        <v>353</v>
      </c>
      <c r="AJ44" s="61">
        <f t="shared" si="1"/>
        <v>5</v>
      </c>
      <c r="AK44" s="61">
        <f>AJ44</f>
        <v>5</v>
      </c>
    </row>
    <row r="45" spans="1:37">
      <c r="A45" s="1" t="s">
        <v>44</v>
      </c>
      <c r="B45" t="str">
        <f>REPT("●",IFERROR(INDEX($P$42:$P$69,MATCH(tblCharDataWan[[#This Row],[Field]],$E$42:$E$69,0)),0))&amp;REPT("○",IFERROR(INDEX($V$42:$V$69,MATCH(tblCharDataWan[[#This Row],[Field]],$E$42:$E$69,0)),0))&amp;IF(IFERROR(INDEX($W$42:$W$69,MATCH(tblCharDataWan[[#This Row],[Field]],$E$42:$E$69,0)),0)=1,"†","")</f>
        <v/>
      </c>
      <c r="D45" s="18"/>
      <c r="E45" s="15" t="s">
        <v>28</v>
      </c>
      <c r="F45" s="18"/>
      <c r="G45" s="3"/>
      <c r="H45" s="18"/>
      <c r="I45" s="18"/>
      <c r="L45" s="4">
        <v>2</v>
      </c>
      <c r="M45" s="60"/>
      <c r="N45" s="4"/>
      <c r="O45" s="61">
        <f t="shared" si="6"/>
        <v>0</v>
      </c>
      <c r="P45" s="60">
        <f t="shared" si="4"/>
        <v>2</v>
      </c>
      <c r="R45" s="61">
        <v>5</v>
      </c>
      <c r="T45" s="4"/>
      <c r="U45" s="4"/>
      <c r="V45" s="61">
        <f t="shared" si="5"/>
        <v>0</v>
      </c>
      <c r="W45" s="4"/>
      <c r="Y45" s="15">
        <v>2</v>
      </c>
      <c r="Z45" s="61" t="s">
        <v>236</v>
      </c>
      <c r="AA45" s="60" t="str" cm="1">
        <f t="array" ref="AA45">IF(OR(Y45=0,Y45=""),"",IF(VLOOKUP(Z45,$AI$1:$AJ$58,2,FALSE)&gt;=Y45,INDEX(tblDisciplines[Name],MATCH(1,(tblDisciplines[Discipline]=Z45)*(tblDisciplines[Rank]=Y45),0)),""))</f>
        <v/>
      </c>
      <c r="AC45" s="60" t="str">
        <v>Uncanny Perception</v>
      </c>
      <c r="AD45" s="20" t="str" cm="1">
        <f t="array" ref="AD45">IF(AC45="","",IFERROR(IF(OR(VLOOKUP(AC45,tblDisciplines[],2,FALSE)={"Creation","Destruction","Divination","Protection","Transmutation"}),"Blood Sorcery | " &amp; VLOOKUP(AC45,tblDisciplines[],2,FALSE) &amp; " " &amp; REPT("●",VLOOKUP(AC45,tblDisciplines[],3,FALSE)),IF(AC45=VLOOKUP(AC45,tblDisciplines[],2,FALSE)&amp;" "&amp;VLOOKUP(AC45,tblDisciplines[],3,FALSE),VLOOKUP(AC45,tblDisciplines[],2,FALSE) &amp; " " &amp; REPT("●",VLOOKUP(AC45,tblDisciplines[],3,FALSE)),VLOOKUP(AC45,tblDisciplines[],2,FALSE) &amp; " " &amp; REPT("●",VLOOKUP(AC45,tblDisciplines[],3,FALSE)) &amp; " | " &amp; AC45)),IFERROR(AC45 &amp; " " &amp; REPT("●",VLOOKUP(AC45,$F$177:$P$181,11,FALSE)),AC45 &amp; " " &amp; REPT("●",VLOOKUP(AC45,tblPacts[],4,FALSE)))))</f>
        <v>Auspex ●● | Uncanny Perception</v>
      </c>
      <c r="AE45" s="20" t="str" cm="1">
        <f t="array" ref="AE45">IF(AC45="","",IFERROR(IF(OR(VLOOKUP(AC45,tblDisciplines[],2,FALSE)={"Creation","Destruction","Divination","Protection","Transmutation"}),"¬",CONCATENATE("Cost: ",VLOOKUP(AC45,tblDisciplines[],4,FALSE),IF(VLOOKUP(AC45,tblDisciplines[],5,FALSE)="",""," " &amp; VLOOKUP(AC45,tblDisciplines[],5,FALSE)),"  •  Pool: ",IFERROR(VLOOKUP(VLOOKUP(AC45,tblDisciplines[],6,FALSE),$AI$1:$AK$58,3,FALSE)+VLOOKUP(VLOOKUP(AC45,tblDisciplines[],7,FALSE),$AI$1:$AK$58,3,FALSE)+VLOOKUP(VLOOKUP(AC45,tblDisciplines[],8,FALSE),$AI$1:$AK$58,3,FALSE),"-"),IF(VLOOKUP(AC45,tblDisciplines[],9,FALSE)="","",CONCATENATE(" ",VLOOKUP(AC45,tblDisciplines[],9,FALSE))),"  •  ",VLOOKUP(AC45,tblDisciplines[],10,FALSE),IF(VLOOKUP(AC45,tblDisciplines[],11,FALSE)="","","  •  " &amp; VLOOKUP(AC45,tblDisciplines[],11,FALSE)))),"¬"))</f>
        <v>Cost: Free (1 V for Insight) Must perceive target  •  Pool: -  •  Instant  •  Scene</v>
      </c>
      <c r="AF45" s="20" t="str">
        <f>IF(AC45="","",IFERROR(VLOOKUP(AC45,tblDisciplines[],12,FALSE),VLOOKUP(AC45,tblPacts[],5,FALSE)))</f>
        <v>Persistent Acute Senses Merit, doubles actual merit. Access to Tier 2 Auspex Insight questions.</v>
      </c>
      <c r="AI45" s="15" t="s">
        <v>46</v>
      </c>
      <c r="AJ45" s="61">
        <f t="shared" si="1"/>
        <v>1</v>
      </c>
      <c r="AK45" s="61">
        <f>IF(AJ45=0,IF(COUNTIF($E$42:$E$49,AI45)&gt;0,-3,-1),AJ45)</f>
        <v>1</v>
      </c>
    </row>
    <row r="46" spans="1:37">
      <c r="A46" s="1" t="s">
        <v>45</v>
      </c>
      <c r="B46" t="str">
        <f>REPT("●",IFERROR(INDEX($P$42:$P$69,MATCH(tblCharDataWan[[#This Row],[Field]],$E$42:$E$69,0)),0))&amp;REPT("○",IFERROR(INDEX($V$42:$V$69,MATCH(tblCharDataWan[[#This Row],[Field]],$E$42:$E$69,0)),0))&amp;IF(IFERROR(INDEX($W$42:$W$69,MATCH(tblCharDataWan[[#This Row],[Field]],$E$42:$E$69,0)),0)=1,"†","")</f>
        <v/>
      </c>
      <c r="D46" s="18"/>
      <c r="E46" s="15" t="s">
        <v>29</v>
      </c>
      <c r="F46" s="18"/>
      <c r="G46" s="3"/>
      <c r="H46" s="18"/>
      <c r="I46" s="18"/>
      <c r="L46" s="4"/>
      <c r="M46" s="60"/>
      <c r="N46" s="4"/>
      <c r="O46" s="61">
        <f t="shared" si="6"/>
        <v>0</v>
      </c>
      <c r="P46" s="60">
        <f t="shared" si="4"/>
        <v>0</v>
      </c>
      <c r="R46" s="61">
        <v>5</v>
      </c>
      <c r="T46" s="4"/>
      <c r="U46" s="4"/>
      <c r="V46" s="61">
        <f t="shared" si="5"/>
        <v>0</v>
      </c>
      <c r="W46" s="4"/>
      <c r="Y46" s="15">
        <v>3</v>
      </c>
      <c r="Z46" s="61" t="s">
        <v>236</v>
      </c>
      <c r="AA46" s="60" t="str" cm="1">
        <f t="array" ref="AA46">IF(OR(Y46=0,Y46=""),"",IF(VLOOKUP(Z46,$AI$1:$AJ$58,2,FALSE)&gt;=Y46,INDEX(tblDisciplines[Name],MATCH(1,(tblDisciplines[Discipline]=Z46)*(tblDisciplines[Rank]=Y46),0)),""))</f>
        <v/>
      </c>
      <c r="AC46" s="60" t="str">
        <v>Face in the Crowd</v>
      </c>
      <c r="AD46" s="20" t="str" cm="1">
        <f t="array" ref="AD46">IF(AC46="","",IFERROR(IF(OR(VLOOKUP(AC46,tblDisciplines[],2,FALSE)={"Creation","Destruction","Divination","Protection","Transmutation"}),"Blood Sorcery | " &amp; VLOOKUP(AC46,tblDisciplines[],2,FALSE) &amp; " " &amp; REPT("●",VLOOKUP(AC46,tblDisciplines[],3,FALSE)),IF(AC46=VLOOKUP(AC46,tblDisciplines[],2,FALSE)&amp;" "&amp;VLOOKUP(AC46,tblDisciplines[],3,FALSE),VLOOKUP(AC46,tblDisciplines[],2,FALSE) &amp; " " &amp; REPT("●",VLOOKUP(AC46,tblDisciplines[],3,FALSE)),VLOOKUP(AC46,tblDisciplines[],2,FALSE) &amp; " " &amp; REPT("●",VLOOKUP(AC46,tblDisciplines[],3,FALSE)) &amp; " | " &amp; AC46)),IFERROR(AC46 &amp; " " &amp; REPT("●",VLOOKUP(AC46,$F$177:$P$181,11,FALSE)),AC46 &amp; " " &amp; REPT("●",VLOOKUP(AC46,tblPacts[],4,FALSE)))))</f>
        <v>Obfuscate ● | Face in the Crowd</v>
      </c>
      <c r="AE46" s="20" t="str" cm="1">
        <f t="array" ref="AE46">IF(AC46="","",IFERROR(IF(OR(VLOOKUP(AC46,tblDisciplines[],2,FALSE)={"Creation","Destruction","Divination","Protection","Transmutation"}),"¬",CONCATENATE("Cost: ",VLOOKUP(AC46,tblDisciplines[],4,FALSE),IF(VLOOKUP(AC46,tblDisciplines[],5,FALSE)="",""," " &amp; VLOOKUP(AC46,tblDisciplines[],5,FALSE)),"  •  Pool: ",IFERROR(VLOOKUP(VLOOKUP(AC46,tblDisciplines[],6,FALSE),$AI$1:$AK$58,3,FALSE)+VLOOKUP(VLOOKUP(AC46,tblDisciplines[],7,FALSE),$AI$1:$AK$58,3,FALSE)+VLOOKUP(VLOOKUP(AC46,tblDisciplines[],8,FALSE),$AI$1:$AK$58,3,FALSE),"-"),IF(VLOOKUP(AC46,tblDisciplines[],9,FALSE)="","",CONCATENATE(" ",VLOOKUP(AC46,tblDisciplines[],9,FALSE))),"  •  ",VLOOKUP(AC46,tblDisciplines[],10,FALSE),IF(VLOOKUP(AC46,tblDisciplines[],11,FALSE)="","","  •  " &amp; VLOOKUP(AC46,tblDisciplines[],11,FALSE)))),"¬"))</f>
        <v>Cost: -  •  Pool: -  •  Instant  •  Scene</v>
      </c>
      <c r="AF46" s="20" t="str">
        <f>IF(AC46="","",IFERROR(VLOOKUP(AC46,tblDisciplines[],12,FALSE),VLOOKUP(AC46,tblPacts[],5,FALSE)))</f>
        <v>Blend into surroundings, visible but unnoticeable. Predatory aura fully on or off. Leaving combat: Wits + Composure - Obfuscate to notice; auto Clash of Wills vs Auspex.</v>
      </c>
      <c r="AI46" s="15" t="s">
        <v>354</v>
      </c>
      <c r="AJ46" s="61">
        <f t="shared" ca="1" si="1"/>
        <v>10</v>
      </c>
      <c r="AK46" s="61">
        <f ca="1">AJ46</f>
        <v>10</v>
      </c>
    </row>
    <row r="47" spans="1:37">
      <c r="A47" s="1" t="s">
        <v>46</v>
      </c>
      <c r="B47" t="str">
        <f>REPT("●",IFERROR(INDEX($P$42:$P$69,MATCH(tblCharDataWan[[#This Row],[Field]],$E$42:$E$69,0)),0))&amp;REPT("○",IFERROR(INDEX($V$42:$V$69,MATCH(tblCharDataWan[[#This Row],[Field]],$E$42:$E$69,0)),0))&amp;IF(IFERROR(INDEX($W$42:$W$69,MATCH(tblCharDataWan[[#This Row],[Field]],$E$42:$E$69,0)),0)=1,"†","")</f>
        <v>●</v>
      </c>
      <c r="D47" s="18" t="s">
        <v>1826</v>
      </c>
      <c r="E47" s="15" t="s">
        <v>30</v>
      </c>
      <c r="F47" s="18"/>
      <c r="G47" s="3" t="s">
        <v>1827</v>
      </c>
      <c r="H47" s="18"/>
      <c r="I47" s="18"/>
      <c r="L47" s="4">
        <v>4</v>
      </c>
      <c r="M47" s="60"/>
      <c r="N47" s="4"/>
      <c r="O47" s="61">
        <f t="shared" si="6"/>
        <v>0</v>
      </c>
      <c r="P47" s="60">
        <f t="shared" si="4"/>
        <v>4</v>
      </c>
      <c r="R47" s="61">
        <v>5</v>
      </c>
      <c r="T47" s="4">
        <v>1</v>
      </c>
      <c r="U47" s="4">
        <v>1</v>
      </c>
      <c r="V47" s="61">
        <f t="shared" si="5"/>
        <v>1</v>
      </c>
      <c r="W47" s="4">
        <v>1</v>
      </c>
      <c r="Y47" s="15">
        <v>4</v>
      </c>
      <c r="Z47" s="61" t="s">
        <v>236</v>
      </c>
      <c r="AA47" s="60" t="str" cm="1">
        <f t="array" ref="AA47">IF(OR(Y47=0,Y47=""),"",IF(VLOOKUP(Z47,$AI$1:$AJ$58,2,FALSE)&gt;=Y47,INDEX(tblDisciplines[Name],MATCH(1,(tblDisciplines[Discipline]=Z47)*(tblDisciplines[Rank]=Y47),0)),""))</f>
        <v/>
      </c>
      <c r="AC47" s="60" t="str">
        <v>Touch of Shadow</v>
      </c>
      <c r="AD47" s="20" t="str" cm="1">
        <f t="array" ref="AD47">IF(AC47="","",IFERROR(IF(OR(VLOOKUP(AC47,tblDisciplines[],2,FALSE)={"Creation","Destruction","Divination","Protection","Transmutation"}),"Blood Sorcery | " &amp; VLOOKUP(AC47,tblDisciplines[],2,FALSE) &amp; " " &amp; REPT("●",VLOOKUP(AC47,tblDisciplines[],3,FALSE)),IF(AC47=VLOOKUP(AC47,tblDisciplines[],2,FALSE)&amp;" "&amp;VLOOKUP(AC47,tblDisciplines[],3,FALSE),VLOOKUP(AC47,tblDisciplines[],2,FALSE) &amp; " " &amp; REPT("●",VLOOKUP(AC47,tblDisciplines[],3,FALSE)),VLOOKUP(AC47,tblDisciplines[],2,FALSE) &amp; " " &amp; REPT("●",VLOOKUP(AC47,tblDisciplines[],3,FALSE)) &amp; " | " &amp; AC47)),IFERROR(AC47 &amp; " " &amp; REPT("●",VLOOKUP(AC47,$F$177:$P$181,11,FALSE)),AC47 &amp; " " &amp; REPT("●",VLOOKUP(AC47,tblPacts[],4,FALSE)))))</f>
        <v>Obfuscate ●● | Touch of Shadow</v>
      </c>
      <c r="AE47" s="20" t="str" cm="1">
        <f t="array" ref="AE47">IF(AC47="","",IFERROR(IF(OR(VLOOKUP(AC47,tblDisciplines[],2,FALSE)={"Creation","Destruction","Divination","Protection","Transmutation"}),"¬",CONCATENATE("Cost: ",VLOOKUP(AC47,tblDisciplines[],4,FALSE),IF(VLOOKUP(AC47,tblDisciplines[],5,FALSE)="",""," " &amp; VLOOKUP(AC47,tblDisciplines[],5,FALSE)),"  •  Pool: ",IFERROR(VLOOKUP(VLOOKUP(AC47,tblDisciplines[],6,FALSE),$AI$1:$AK$58,3,FALSE)+VLOOKUP(VLOOKUP(AC47,tblDisciplines[],7,FALSE),$AI$1:$AK$58,3,FALSE)+VLOOKUP(VLOOKUP(AC47,tblDisciplines[],8,FALSE),$AI$1:$AK$58,3,FALSE),"-"),IF(VLOOKUP(AC47,tblDisciplines[],9,FALSE)="","",CONCATENATE(" ",VLOOKUP(AC47,tblDisciplines[],9,FALSE))),"  •  ",VLOOKUP(AC47,tblDisciplines[],10,FALSE),IF(VLOOKUP(AC47,tblDisciplines[],11,FALSE)="","","  •  " &amp; VLOOKUP(AC47,tblDisciplines[],11,FALSE)))),"¬"))</f>
        <v>Cost: 1 V  •  Pool: 7  •  Instant  •  Scene</v>
      </c>
      <c r="AF47" s="20" t="str">
        <f>IF(AC47="","",IFERROR(VLOOKUP(AC47,tblDisciplines[],12,FALSE),VLOOKUP(AC47,tblPacts[],5,FALSE)))</f>
        <v>Cast Face in the Crowd on object or person. Free and unlimited duration on carried/worn objects if not drawing attention.</v>
      </c>
      <c r="AI47" s="15" t="s">
        <v>21</v>
      </c>
      <c r="AJ47" s="61">
        <f t="shared" si="1"/>
        <v>1</v>
      </c>
      <c r="AK47" s="61">
        <f>AJ47+IFERROR(INDEX($V$26:$V$38,MATCH(AI47,$E$26:$E$38,0)),0)</f>
        <v>1</v>
      </c>
    </row>
    <row r="48" spans="1:37">
      <c r="A48" s="1" t="s">
        <v>47</v>
      </c>
      <c r="B48" t="str">
        <f>REPT("●",IFERROR(INDEX($P$42:$P$69,MATCH(tblCharDataWan[[#This Row],[Field]],$E$42:$E$69,0)),0))&amp;REPT("○",IFERROR(INDEX($V$42:$V$69,MATCH(tblCharDataWan[[#This Row],[Field]],$E$42:$E$69,0)),0))&amp;IF(IFERROR(INDEX($W$42:$W$69,MATCH(tblCharDataWan[[#This Row],[Field]],$E$42:$E$69,0)),0)=1,"†","")</f>
        <v/>
      </c>
      <c r="D48" s="18" t="s">
        <v>1826</v>
      </c>
      <c r="E48" s="15" t="s">
        <v>31</v>
      </c>
      <c r="F48" s="18"/>
      <c r="G48" s="3" t="s">
        <v>1828</v>
      </c>
      <c r="H48" s="18"/>
      <c r="I48" s="18"/>
      <c r="L48" s="4">
        <v>2</v>
      </c>
      <c r="M48" s="60"/>
      <c r="N48" s="4"/>
      <c r="O48" s="61">
        <f t="shared" si="6"/>
        <v>0</v>
      </c>
      <c r="P48" s="60">
        <f t="shared" si="4"/>
        <v>2</v>
      </c>
      <c r="R48" s="61">
        <v>5</v>
      </c>
      <c r="T48" s="4">
        <v>1</v>
      </c>
      <c r="U48" s="4"/>
      <c r="V48" s="61">
        <f t="shared" si="5"/>
        <v>0</v>
      </c>
      <c r="W48" s="4">
        <v>1</v>
      </c>
      <c r="Y48" s="15">
        <v>5</v>
      </c>
      <c r="Z48" s="61" t="s">
        <v>236</v>
      </c>
      <c r="AA48" s="60" t="str" cm="1">
        <f t="array" ref="AA48">IF(OR(Y48=0,Y48=""),"",IF(VLOOKUP(Z48,$AI$1:$AJ$58,2,FALSE)&gt;=Y48,INDEX(tblDisciplines[Name],MATCH(1,(tblDisciplines[Discipline]=Z48)*(tblDisciplines[Rank]=Y48),0)),""))</f>
        <v/>
      </c>
      <c r="AC48" s="60" t="str">
        <v>Cloak of Night</v>
      </c>
      <c r="AD48" s="20" t="str" cm="1">
        <f t="array" ref="AD48">IF(AC48="","",IFERROR(IF(OR(VLOOKUP(AC48,tblDisciplines[],2,FALSE)={"Creation","Destruction","Divination","Protection","Transmutation"}),"Blood Sorcery | " &amp; VLOOKUP(AC48,tblDisciplines[],2,FALSE) &amp; " " &amp; REPT("●",VLOOKUP(AC48,tblDisciplines[],3,FALSE)),IF(AC48=VLOOKUP(AC48,tblDisciplines[],2,FALSE)&amp;" "&amp;VLOOKUP(AC48,tblDisciplines[],3,FALSE),VLOOKUP(AC48,tblDisciplines[],2,FALSE) &amp; " " &amp; REPT("●",VLOOKUP(AC48,tblDisciplines[],3,FALSE)),VLOOKUP(AC48,tblDisciplines[],2,FALSE) &amp; " " &amp; REPT("●",VLOOKUP(AC48,tblDisciplines[],3,FALSE)) &amp; " | " &amp; AC48)),IFERROR(AC48 &amp; " " &amp; REPT("●",VLOOKUP(AC48,$F$177:$P$181,11,FALSE)),AC48 &amp; " " &amp; REPT("●",VLOOKUP(AC48,tblPacts[],4,FALSE)))))</f>
        <v>Obfuscate ●●● | Cloak of Night</v>
      </c>
      <c r="AE48" s="20" t="str" cm="1">
        <f t="array" ref="AE48">IF(AC48="","",IFERROR(IF(OR(VLOOKUP(AC48,tblDisciplines[],2,FALSE)={"Creation","Destruction","Divination","Protection","Transmutation"}),"¬",CONCATENATE("Cost: ",VLOOKUP(AC48,tblDisciplines[],4,FALSE),IF(VLOOKUP(AC48,tblDisciplines[],5,FALSE)="",""," " &amp; VLOOKUP(AC48,tblDisciplines[],5,FALSE)),"  •  Pool: ",IFERROR(VLOOKUP(VLOOKUP(AC48,tblDisciplines[],6,FALSE),$AI$1:$AK$58,3,FALSE)+VLOOKUP(VLOOKUP(AC48,tblDisciplines[],7,FALSE),$AI$1:$AK$58,3,FALSE)+VLOOKUP(VLOOKUP(AC48,tblDisciplines[],8,FALSE),$AI$1:$AK$58,3,FALSE),"-"),IF(VLOOKUP(AC48,tblDisciplines[],9,FALSE)="","",CONCATENATE(" ",VLOOKUP(AC48,tblDisciplines[],9,FALSE))),"  •  ",VLOOKUP(AC48,tblDisciplines[],10,FALSE),IF(VLOOKUP(AC48,tblDisciplines[],11,FALSE)="","","  •  " &amp; VLOOKUP(AC48,tblDisciplines[],11,FALSE)))),"¬"))</f>
        <v>Cost: 1 V  •  Pool: -  •  None</v>
      </c>
      <c r="AF48" s="20" t="str">
        <f>IF(AC48="","",IFERROR(VLOOKUP(AC48,tblDisciplines[],12,FALSE),VLOOKUP(AC48,tblPacts[],5,FALSE)))</f>
        <v>Become invisible. Leaving combat: auto Clash of Wills vs Auspex 2.</v>
      </c>
      <c r="AI48" s="15" t="s">
        <v>38</v>
      </c>
      <c r="AJ48" s="61">
        <f t="shared" si="1"/>
        <v>3</v>
      </c>
      <c r="AK48" s="61">
        <f>IF(AJ48=0,IF(COUNTIF($E$42:$E$49,AI48)&gt;0,-3,-1),AJ48)</f>
        <v>3</v>
      </c>
    </row>
    <row r="49" spans="1:37">
      <c r="A49" s="1" t="s">
        <v>48</v>
      </c>
      <c r="B49" t="str">
        <f>REPT("●",IFERROR(INDEX($P$42:$P$69,MATCH(tblCharDataWan[[#This Row],[Field]],$E$42:$E$69,0)),0))&amp;REPT("○",IFERROR(INDEX($V$42:$V$69,MATCH(tblCharDataWan[[#This Row],[Field]],$E$42:$E$69,0)),0))&amp;IF(IFERROR(INDEX($W$42:$W$69,MATCH(tblCharDataWan[[#This Row],[Field]],$E$42:$E$69,0)),0)=1,"†","")</f>
        <v>●●●</v>
      </c>
      <c r="D49" s="18"/>
      <c r="E49" s="15" t="s">
        <v>32</v>
      </c>
      <c r="F49" s="18"/>
      <c r="G49" s="3"/>
      <c r="H49" s="18"/>
      <c r="I49" s="18"/>
      <c r="L49" s="4"/>
      <c r="M49" s="60"/>
      <c r="N49" s="4"/>
      <c r="O49" s="61">
        <f t="shared" si="6"/>
        <v>0</v>
      </c>
      <c r="P49" s="60">
        <f t="shared" si="4"/>
        <v>0</v>
      </c>
      <c r="R49" s="61">
        <v>5</v>
      </c>
      <c r="T49" s="4"/>
      <c r="U49" s="4"/>
      <c r="V49" s="61">
        <f t="shared" si="5"/>
        <v>0</v>
      </c>
      <c r="W49" s="4"/>
      <c r="Y49" s="15">
        <v>1</v>
      </c>
      <c r="Z49" s="61" t="s">
        <v>237</v>
      </c>
      <c r="AA49" s="60" t="str" cm="1">
        <f t="array" ref="AA49">IF(OR(Y49=0,Y49=""),"",IF(VLOOKUP(Z49,$AI$1:$AJ$58,2,FALSE)&gt;=Y49,INDEX(tblDisciplines[Name],MATCH(1,(tblDisciplines[Discipline]=Z49)*(tblDisciplines[Rank]=Y49),0)),""))</f>
        <v>Beast's Hackles</v>
      </c>
      <c r="AC49" s="60" t="str">
        <v>The Familiar Stranger</v>
      </c>
      <c r="AD49" s="20" t="str" cm="1">
        <f t="array" ref="AD49">IF(AC49="","",IFERROR(IF(OR(VLOOKUP(AC49,tblDisciplines[],2,FALSE)={"Creation","Destruction","Divination","Protection","Transmutation"}),"Blood Sorcery | " &amp; VLOOKUP(AC49,tblDisciplines[],2,FALSE) &amp; " " &amp; REPT("●",VLOOKUP(AC49,tblDisciplines[],3,FALSE)),IF(AC49=VLOOKUP(AC49,tblDisciplines[],2,FALSE)&amp;" "&amp;VLOOKUP(AC49,tblDisciplines[],3,FALSE),VLOOKUP(AC49,tblDisciplines[],2,FALSE) &amp; " " &amp; REPT("●",VLOOKUP(AC49,tblDisciplines[],3,FALSE)),VLOOKUP(AC49,tblDisciplines[],2,FALSE) &amp; " " &amp; REPT("●",VLOOKUP(AC49,tblDisciplines[],3,FALSE)) &amp; " | " &amp; AC49)),IFERROR(AC49 &amp; " " &amp; REPT("●",VLOOKUP(AC49,$F$177:$P$181,11,FALSE)),AC49 &amp; " " &amp; REPT("●",VLOOKUP(AC49,tblPacts[],4,FALSE)))))</f>
        <v>Obfuscate ●●●● | The Familiar Stranger</v>
      </c>
      <c r="AE49" s="20" t="str" cm="1">
        <f t="array" ref="AE49">IF(AC49="","",IFERROR(IF(OR(VLOOKUP(AC49,tblDisciplines[],2,FALSE)={"Creation","Destruction","Divination","Protection","Transmutation"}),"¬",CONCATENATE("Cost: ",VLOOKUP(AC49,tblDisciplines[],4,FALSE),IF(VLOOKUP(AC49,tblDisciplines[],5,FALSE)="",""," " &amp; VLOOKUP(AC49,tblDisciplines[],5,FALSE)),"  •  Pool: ",IFERROR(VLOOKUP(VLOOKUP(AC49,tblDisciplines[],6,FALSE),$AI$1:$AK$58,3,FALSE)+VLOOKUP(VLOOKUP(AC49,tblDisciplines[],7,FALSE),$AI$1:$AK$58,3,FALSE)+VLOOKUP(VLOOKUP(AC49,tblDisciplines[],8,FALSE),$AI$1:$AK$58,3,FALSE),"-"),IF(VLOOKUP(AC49,tblDisciplines[],9,FALSE)="","",CONCATENATE(" ",VLOOKUP(AC49,tblDisciplines[],9,FALSE))),"  •  ",VLOOKUP(AC49,tblDisciplines[],10,FALSE),IF(VLOOKUP(AC49,tblDisciplines[],11,FALSE)="","","  •  " &amp; VLOOKUP(AC49,tblDisciplines[],11,FALSE)))),"¬"))</f>
        <v>Cost: 2 V  •  Pool: -  •  None</v>
      </c>
      <c r="AF49" s="20" t="str">
        <f>IF(AC49="","",IFERROR(VLOOKUP(AC49,tblDisciplines[],12,FALSE),VLOOKUP(AC49,tblPacts[],5,FALSE)))</f>
        <v>Disguise self or other as a desired person. Free unlimited duration to reskin carried/worn objects, but no equipment bonus without Vitae.</v>
      </c>
      <c r="AI49" s="15" t="s">
        <v>47</v>
      </c>
      <c r="AJ49" s="61">
        <f t="shared" si="1"/>
        <v>0</v>
      </c>
      <c r="AK49" s="61">
        <f>IF(AJ49=0,IF(COUNTIF($E$42:$E$49,AI49)&gt;0,-3,-1),AJ49)</f>
        <v>-1</v>
      </c>
    </row>
    <row r="50" spans="1:37">
      <c r="A50" s="1" t="s">
        <v>49</v>
      </c>
      <c r="B50" t="str">
        <f ca="1">REPT("●",VLOOKUP(tblCharDataWan[[#This Row],[Field]],INDIRECT($AH$1),2,FALSE)) &amp; REPT("○",10-VLOOKUP(tblCharDataWan[[#This Row],[Field]],INDIRECT($AH$1),2,FALSE)) &amp; REPT("○",10-VLOOKUP(tblCharDataWan[[#This Row],[Field]],INDIRECT($AH$1),2,FALSE))</f>
        <v>●○○○○○○○○○○○○○○○○○○</v>
      </c>
      <c r="Y50" s="15">
        <v>2</v>
      </c>
      <c r="Z50" s="61" t="s">
        <v>237</v>
      </c>
      <c r="AA50" s="60" t="str" cm="1">
        <f t="array" ref="AA50">IF(OR(Y50=0,Y50=""),"",IF(VLOOKUP(Z50,$AI$1:$AJ$58,2,FALSE)&gt;=Y50,INDEX(tblDisciplines[Name],MATCH(1,(tblDisciplines[Discipline]=Z50)*(tblDisciplines[Rank]=Y50),0)),""))</f>
        <v>Uncanny Perception</v>
      </c>
      <c r="AC50" s="60" t="str">
        <v>Oubliette</v>
      </c>
      <c r="AD50" s="20" t="str" cm="1">
        <f t="array" ref="AD50">IF(AC50="","",IFERROR(IF(OR(VLOOKUP(AC50,tblDisciplines[],2,FALSE)={"Creation","Destruction","Divination","Protection","Transmutation"}),"Blood Sorcery | " &amp; VLOOKUP(AC50,tblDisciplines[],2,FALSE) &amp; " " &amp; REPT("●",VLOOKUP(AC50,tblDisciplines[],3,FALSE)),IF(AC50=VLOOKUP(AC50,tblDisciplines[],2,FALSE)&amp;" "&amp;VLOOKUP(AC50,tblDisciplines[],3,FALSE),VLOOKUP(AC50,tblDisciplines[],2,FALSE) &amp; " " &amp; REPT("●",VLOOKUP(AC50,tblDisciplines[],3,FALSE)),VLOOKUP(AC50,tblDisciplines[],2,FALSE) &amp; " " &amp; REPT("●",VLOOKUP(AC50,tblDisciplines[],3,FALSE)) &amp; " | " &amp; AC50)),IFERROR(AC50 &amp; " " &amp; REPT("●",VLOOKUP(AC50,$F$177:$P$181,11,FALSE)),AC50 &amp; " " &amp; REPT("●",VLOOKUP(AC50,tblPacts[],4,FALSE)))))</f>
        <v>Obfuscate ●●●●● | Oubliette</v>
      </c>
      <c r="AE50" s="20" t="str" cm="1">
        <f t="array" ref="AE50">IF(AC50="","",IFERROR(IF(OR(VLOOKUP(AC50,tblDisciplines[],2,FALSE)={"Creation","Destruction","Divination","Protection","Transmutation"}),"¬",CONCATENATE("Cost: ",VLOOKUP(AC50,tblDisciplines[],4,FALSE),IF(VLOOKUP(AC50,tblDisciplines[],5,FALSE)="",""," " &amp; VLOOKUP(AC50,tblDisciplines[],5,FALSE)),"  •  Pool: ",IFERROR(VLOOKUP(VLOOKUP(AC50,tblDisciplines[],6,FALSE),$AI$1:$AK$58,3,FALSE)+VLOOKUP(VLOOKUP(AC50,tblDisciplines[],7,FALSE),$AI$1:$AK$58,3,FALSE)+VLOOKUP(VLOOKUP(AC50,tblDisciplines[],8,FALSE),$AI$1:$AK$58,3,FALSE),"-"),IF(VLOOKUP(AC50,tblDisciplines[],9,FALSE)="","",CONCATENATE(" ",VLOOKUP(AC50,tblDisciplines[],9,FALSE))),"  •  ",VLOOKUP(AC50,tblDisciplines[],10,FALSE),IF(VLOOKUP(AC50,tblDisciplines[],11,FALSE)="","","  •  " &amp; VLOOKUP(AC50,tblDisciplines[],11,FALSE)))),"¬"))</f>
        <v>Cost: Free (Haven) / 3-9 V &amp; 1 WP  •  Pool: -  •  Instant  •  1 week per BP</v>
      </c>
      <c r="AF50" s="20" t="str">
        <f>IF(AC50="","",IFERROR(VLOOKUP(AC50,tblDisciplines[],12,FALSE),VLOOKUP(AC50,tblPacts[],5,FALSE)))</f>
        <v>Always active on Haven/Safe Place at no cost. Further uses at standard cost. Use Obfuscate at distance on anything in area.</v>
      </c>
      <c r="AI50" s="15" t="s">
        <v>19</v>
      </c>
      <c r="AJ50" s="61">
        <f t="shared" si="1"/>
        <v>2</v>
      </c>
      <c r="AK50" s="61">
        <f>AJ50+IFERROR(INDEX($V$26:$V$38,MATCH(AI50,$E$26:$E$38,0)),0)</f>
        <v>2</v>
      </c>
    </row>
    <row r="51" spans="1:37">
      <c r="A51" s="1" t="s">
        <v>50</v>
      </c>
      <c r="B51">
        <f>P72</f>
        <v>1</v>
      </c>
      <c r="D51" s="16" t="s">
        <v>1453</v>
      </c>
      <c r="E51" s="17"/>
      <c r="F51" s="17"/>
      <c r="G51" s="17" t="s">
        <v>1467</v>
      </c>
      <c r="H51" s="16" t="s">
        <v>1446</v>
      </c>
      <c r="I51" s="3" t="s">
        <v>1566</v>
      </c>
      <c r="L51" s="60">
        <f>IF(I51="",0,VLOOKUP(I51,tblPriority[#Data],3,FALSE))-SUM(L52:L59)</f>
        <v>0</v>
      </c>
      <c r="Y51" s="15">
        <v>3</v>
      </c>
      <c r="Z51" s="61" t="s">
        <v>237</v>
      </c>
      <c r="AA51" s="60" t="str" cm="1">
        <f t="array" ref="AA51">IF(OR(Y51=0,Y51=""),"",IF(VLOOKUP(Z51,$AI$1:$AJ$58,2,FALSE)&gt;=Y51,INDEX(tblDisciplines[Name],MATCH(1,(tblDisciplines[Discipline]=Z51)*(tblDisciplines[Rank]=Y51),0)),""))</f>
        <v/>
      </c>
      <c r="AC51" s="60" t="str">
        <v/>
      </c>
      <c r="AD51" s="20" t="str" cm="1">
        <f t="array" ref="AD51">IF(AC51="","",IFERROR(IF(OR(VLOOKUP(AC51,tblDisciplines[],2,FALSE)={"Creation","Destruction","Divination","Protection","Transmutation"}),"Blood Sorcery | " &amp; VLOOKUP(AC51,tblDisciplines[],2,FALSE) &amp; " " &amp; REPT("●",VLOOKUP(AC51,tblDisciplines[],3,FALSE)),IF(AC51=VLOOKUP(AC51,tblDisciplines[],2,FALSE)&amp;" "&amp;VLOOKUP(AC51,tblDisciplines[],3,FALSE),VLOOKUP(AC51,tblDisciplines[],2,FALSE) &amp; " " &amp; REPT("●",VLOOKUP(AC51,tblDisciplines[],3,FALSE)),VLOOKUP(AC51,tblDisciplines[],2,FALSE) &amp; " " &amp; REPT("●",VLOOKUP(AC51,tblDisciplines[],3,FALSE)) &amp; " | " &amp; AC51)),IFERROR(AC51 &amp; " " &amp; REPT("●",VLOOKUP(AC51,$F$177:$P$181,11,FALSE)),AC51 &amp; " " &amp; REPT("●",VLOOKUP(AC51,tblPacts[],4,FALSE)))))</f>
        <v/>
      </c>
      <c r="AE51" s="20" t="str" cm="1">
        <f t="array" ref="AE51">IF(AC51="","",IFERROR(IF(OR(VLOOKUP(AC51,tblDisciplines[],2,FALSE)={"Creation","Destruction","Divination","Protection","Transmutation"}),"¬",CONCATENATE("Cost: ",VLOOKUP(AC51,tblDisciplines[],4,FALSE),IF(VLOOKUP(AC51,tblDisciplines[],5,FALSE)="",""," " &amp; VLOOKUP(AC51,tblDisciplines[],5,FALSE)),"  •  Pool: ",IFERROR(VLOOKUP(VLOOKUP(AC51,tblDisciplines[],6,FALSE),$AI$1:$AK$58,3,FALSE)+VLOOKUP(VLOOKUP(AC51,tblDisciplines[],7,FALSE),$AI$1:$AK$58,3,FALSE)+VLOOKUP(VLOOKUP(AC51,tblDisciplines[],8,FALSE),$AI$1:$AK$58,3,FALSE),"-"),IF(VLOOKUP(AC51,tblDisciplines[],9,FALSE)="","",CONCATENATE(" ",VLOOKUP(AC51,tblDisciplines[],9,FALSE))),"  •  ",VLOOKUP(AC51,tblDisciplines[],10,FALSE),IF(VLOOKUP(AC51,tblDisciplines[],11,FALSE)="","","  •  " &amp; VLOOKUP(AC51,tblDisciplines[],11,FALSE)))),"¬"))</f>
        <v/>
      </c>
      <c r="AF51" s="20" t="str">
        <f>IF(AC51="","",IFERROR(VLOOKUP(AC51,tblDisciplines[],12,FALSE),VLOOKUP(AC51,tblPacts[],5,FALSE)))</f>
        <v/>
      </c>
      <c r="AI51" s="15" t="s">
        <v>48</v>
      </c>
      <c r="AJ51" s="61">
        <f t="shared" si="1"/>
        <v>3</v>
      </c>
      <c r="AK51" s="61">
        <f>IF(AJ51=0,IF(COUNTIF($E$42:$E$49,AI51)&gt;0,-3,-1),AJ51)</f>
        <v>3</v>
      </c>
    </row>
    <row r="52" spans="1:37">
      <c r="A52" s="1" t="s">
        <v>51</v>
      </c>
      <c r="B52" t="str">
        <f>_xlfn.IFNA(VLOOKUP(P72,tblBloodPotency[#Data],5,FALSE),"")</f>
        <v/>
      </c>
      <c r="D52" s="18"/>
      <c r="E52" s="15" t="s">
        <v>33</v>
      </c>
      <c r="F52" s="18"/>
      <c r="G52" s="3"/>
      <c r="H52" s="18"/>
      <c r="I52" s="18"/>
      <c r="L52" s="4">
        <v>1</v>
      </c>
      <c r="M52" s="60"/>
      <c r="N52" s="4"/>
      <c r="O52" s="61">
        <f>ROUNDDOWN(N52/2,0)</f>
        <v>0</v>
      </c>
      <c r="P52" s="60">
        <f t="shared" ref="P52:P59" si="7">MIN(SUM(L52,M52,O52),R52)</f>
        <v>1</v>
      </c>
      <c r="R52" s="61">
        <v>5</v>
      </c>
      <c r="T52" s="4"/>
      <c r="U52" s="4"/>
      <c r="V52" s="61">
        <f t="shared" ref="V52:V59" si="8">U52</f>
        <v>0</v>
      </c>
      <c r="W52" s="4"/>
      <c r="Y52" s="15">
        <v>4</v>
      </c>
      <c r="Z52" s="61" t="s">
        <v>237</v>
      </c>
      <c r="AA52" s="60" t="str" cm="1">
        <f t="array" ref="AA52">IF(OR(Y52=0,Y52=""),"",IF(VLOOKUP(Z52,$AI$1:$AJ$58,2,FALSE)&gt;=Y52,INDEX(tblDisciplines[Name],MATCH(1,(tblDisciplines[Discipline]=Z52)*(tblDisciplines[Rank]=Y52),0)),""))</f>
        <v/>
      </c>
      <c r="AC52" s="60"/>
      <c r="AD52" s="20" t="str" cm="1">
        <f t="array" ref="AD52">IF(AC52="","",IFERROR(IF(OR(VLOOKUP(AC52,tblDisciplines[],2,FALSE)={"Creation","Destruction","Divination","Protection","Transmutation"}),"Blood Sorcery | " &amp; VLOOKUP(AC52,tblDisciplines[],2,FALSE) &amp; " " &amp; REPT("●",VLOOKUP(AC52,tblDisciplines[],3,FALSE)),IF(AC52=VLOOKUP(AC52,tblDisciplines[],2,FALSE)&amp;" "&amp;VLOOKUP(AC52,tblDisciplines[],3,FALSE),VLOOKUP(AC52,tblDisciplines[],2,FALSE) &amp; " " &amp; REPT("●",VLOOKUP(AC52,tblDisciplines[],3,FALSE)),VLOOKUP(AC52,tblDisciplines[],2,FALSE) &amp; " " &amp; REPT("●",VLOOKUP(AC52,tblDisciplines[],3,FALSE)) &amp; " | " &amp; AC52)),IFERROR(AC52 &amp; " " &amp; REPT("●",VLOOKUP(AC52,$F$177:$P$181,11,FALSE)),AC52 &amp; " " &amp; REPT("●",VLOOKUP(AC52,tblPacts[],4,FALSE)))))</f>
        <v/>
      </c>
      <c r="AE52" s="20" t="str" cm="1">
        <f t="array" ref="AE52">IF(AC52="","",IFERROR(IF(OR(VLOOKUP(AC52,tblDisciplines[],2,FALSE)={"Creation","Destruction","Divination","Protection","Transmutation"}),"¬",CONCATENATE("Cost: ",VLOOKUP(AC52,tblDisciplines[],4,FALSE),IF(VLOOKUP(AC52,tblDisciplines[],5,FALSE)="",""," " &amp; VLOOKUP(AC52,tblDisciplines[],5,FALSE)),"  •  Pool: ",IFERROR(VLOOKUP(VLOOKUP(AC52,tblDisciplines[],6,FALSE),$AI$1:$AK$58,3,FALSE)+VLOOKUP(VLOOKUP(AC52,tblDisciplines[],7,FALSE),$AI$1:$AK$58,3,FALSE)+VLOOKUP(VLOOKUP(AC52,tblDisciplines[],8,FALSE),$AI$1:$AK$58,3,FALSE),"-"),IF(VLOOKUP(AC52,tblDisciplines[],9,FALSE)="","",CONCATENATE(" ",VLOOKUP(AC52,tblDisciplines[],9,FALSE))),"  •  ",VLOOKUP(AC52,tblDisciplines[],10,FALSE),IF(VLOOKUP(AC52,tblDisciplines[],11,FALSE)="","","  •  " &amp; VLOOKUP(AC52,tblDisciplines[],11,FALSE)))),"¬"))</f>
        <v/>
      </c>
      <c r="AF52" s="20" t="str">
        <f>IF(AC52="","",IFERROR(VLOOKUP(AC52,tblDisciplines[],12,FALSE),VLOOKUP(AC52,tblPacts[],5,FALSE)))</f>
        <v/>
      </c>
      <c r="AI52" s="15" t="s">
        <v>39</v>
      </c>
      <c r="AJ52" s="61">
        <f t="shared" si="1"/>
        <v>0</v>
      </c>
      <c r="AK52" s="61">
        <f>IF(AJ52=0,IF(COUNTIF($E$42:$E$49,AI52)&gt;0,-3,-1),AJ52)</f>
        <v>-1</v>
      </c>
    </row>
    <row r="53" spans="1:37">
      <c r="A53" s="1" t="s">
        <v>52</v>
      </c>
      <c r="B53" t="str">
        <f ca="1">REPT("□",P221) &amp; REPT("■",15-P221)</f>
        <v>□□□□□□■■■■■■■■■</v>
      </c>
      <c r="D53" s="18"/>
      <c r="E53" s="15" t="s">
        <v>34</v>
      </c>
      <c r="F53" s="18"/>
      <c r="G53" s="3"/>
      <c r="H53" s="18"/>
      <c r="I53" s="18"/>
      <c r="L53" s="4"/>
      <c r="M53" s="60"/>
      <c r="N53" s="4"/>
      <c r="O53" s="61">
        <f t="shared" ref="O53:O59" si="9">ROUNDDOWN(N53/2,0)</f>
        <v>0</v>
      </c>
      <c r="P53" s="60">
        <f t="shared" si="7"/>
        <v>0</v>
      </c>
      <c r="R53" s="61">
        <v>5</v>
      </c>
      <c r="T53" s="4"/>
      <c r="U53" s="4"/>
      <c r="V53" s="61">
        <f t="shared" si="8"/>
        <v>0</v>
      </c>
      <c r="W53" s="4"/>
      <c r="Y53" s="15">
        <v>5</v>
      </c>
      <c r="Z53" s="61" t="s">
        <v>237</v>
      </c>
      <c r="AA53" s="60" t="str" cm="1">
        <f t="array" ref="AA53">IF(OR(Y53=0,Y53=""),"",IF(VLOOKUP(Z53,$AI$1:$AJ$58,2,FALSE)&gt;=Y53,INDEX(tblDisciplines[Name],MATCH(1,(tblDisciplines[Discipline]=Z53)*(tblDisciplines[Rank]=Y53),0)),""))</f>
        <v/>
      </c>
      <c r="AC53" s="60"/>
      <c r="AD53" s="20" t="str" cm="1">
        <f t="array" ref="AD53">IF(AC53="","",IFERROR(IF(OR(VLOOKUP(AC53,tblDisciplines[],2,FALSE)={"Creation","Destruction","Divination","Protection","Transmutation"}),"Blood Sorcery | " &amp; VLOOKUP(AC53,tblDisciplines[],2,FALSE) &amp; " " &amp; REPT("●",VLOOKUP(AC53,tblDisciplines[],3,FALSE)),IF(AC53=VLOOKUP(AC53,tblDisciplines[],2,FALSE)&amp;" "&amp;VLOOKUP(AC53,tblDisciplines[],3,FALSE),VLOOKUP(AC53,tblDisciplines[],2,FALSE) &amp; " " &amp; REPT("●",VLOOKUP(AC53,tblDisciplines[],3,FALSE)),VLOOKUP(AC53,tblDisciplines[],2,FALSE) &amp; " " &amp; REPT("●",VLOOKUP(AC53,tblDisciplines[],3,FALSE)) &amp; " | " &amp; AC53)),IFERROR(AC53 &amp; " " &amp; REPT("●",VLOOKUP(AC53,$F$177:$P$181,11,FALSE)),AC53 &amp; " " &amp; REPT("●",VLOOKUP(AC53,tblPacts[],4,FALSE)))))</f>
        <v/>
      </c>
      <c r="AE53" s="20" t="str" cm="1">
        <f t="array" ref="AE53">IF(AC53="","",IFERROR(IF(OR(VLOOKUP(AC53,tblDisciplines[],2,FALSE)={"Creation","Destruction","Divination","Protection","Transmutation"}),"¬",CONCATENATE("Cost: ",VLOOKUP(AC53,tblDisciplines[],4,FALSE),IF(VLOOKUP(AC53,tblDisciplines[],5,FALSE)="",""," " &amp; VLOOKUP(AC53,tblDisciplines[],5,FALSE)),"  •  Pool: ",IFERROR(VLOOKUP(VLOOKUP(AC53,tblDisciplines[],6,FALSE),$AI$1:$AK$58,3,FALSE)+VLOOKUP(VLOOKUP(AC53,tblDisciplines[],7,FALSE),$AI$1:$AK$58,3,FALSE)+VLOOKUP(VLOOKUP(AC53,tblDisciplines[],8,FALSE),$AI$1:$AK$58,3,FALSE),"-"),IF(VLOOKUP(AC53,tblDisciplines[],9,FALSE)="","",CONCATENATE(" ",VLOOKUP(AC53,tblDisciplines[],9,FALSE))),"  •  ",VLOOKUP(AC53,tblDisciplines[],10,FALSE),IF(VLOOKUP(AC53,tblDisciplines[],11,FALSE)="","","  •  " &amp; VLOOKUP(AC53,tblDisciplines[],11,FALSE)))),"¬"))</f>
        <v/>
      </c>
      <c r="AF53" s="20" t="str">
        <f>IF(AC53="","",IFERROR(VLOOKUP(AC53,tblDisciplines[],12,FALSE),VLOOKUP(AC53,tblPacts[],5,FALSE)))</f>
        <v/>
      </c>
      <c r="AI53" s="15" t="s">
        <v>247</v>
      </c>
      <c r="AJ53" s="61">
        <f t="shared" si="1"/>
        <v>0</v>
      </c>
      <c r="AK53" s="61">
        <f>AJ53</f>
        <v>0</v>
      </c>
    </row>
    <row r="54" spans="1:37">
      <c r="A54" s="1" t="s">
        <v>53</v>
      </c>
      <c r="B54" t="str">
        <f>_xlfn.CONCAT(P74-L224," / ",P74)</f>
        <v>4 / 4</v>
      </c>
      <c r="D54" s="18"/>
      <c r="E54" s="15" t="s">
        <v>35</v>
      </c>
      <c r="F54" s="18"/>
      <c r="G54" s="3"/>
      <c r="H54" s="18"/>
      <c r="I54" s="18"/>
      <c r="L54" s="4"/>
      <c r="M54" s="60"/>
      <c r="N54" s="4"/>
      <c r="O54" s="61">
        <f t="shared" si="9"/>
        <v>0</v>
      </c>
      <c r="P54" s="60">
        <f t="shared" si="7"/>
        <v>0</v>
      </c>
      <c r="R54" s="61">
        <v>5</v>
      </c>
      <c r="T54" s="4"/>
      <c r="U54" s="4"/>
      <c r="V54" s="61">
        <f t="shared" si="8"/>
        <v>0</v>
      </c>
      <c r="W54" s="4"/>
      <c r="Y54" s="15">
        <f>P167</f>
        <v>0</v>
      </c>
      <c r="Z54" s="61" t="s">
        <v>238</v>
      </c>
      <c r="AA54" s="60" t="str" cm="1">
        <f t="array" ref="AA54">IF(OR(Y54=0,Y54=""),"",IF(VLOOKUP(Z54,$AI$1:$AJ$58,2,FALSE)&gt;=Y54,INDEX(tblDisciplines[Name],MATCH(1,(tblDisciplines[Discipline]=Z54)*(tblDisciplines[Rank]=Y54),0)),""))</f>
        <v/>
      </c>
      <c r="AC54" s="60"/>
      <c r="AD54" s="20" t="str" cm="1">
        <f t="array" ref="AD54">IF(AC54="","",IFERROR(IF(OR(VLOOKUP(AC54,tblDisciplines[],2,FALSE)={"Creation","Destruction","Divination","Protection","Transmutation"}),"Blood Sorcery | " &amp; VLOOKUP(AC54,tblDisciplines[],2,FALSE) &amp; " " &amp; REPT("●",VLOOKUP(AC54,tblDisciplines[],3,FALSE)),IF(AC54=VLOOKUP(AC54,tblDisciplines[],2,FALSE)&amp;" "&amp;VLOOKUP(AC54,tblDisciplines[],3,FALSE),VLOOKUP(AC54,tblDisciplines[],2,FALSE) &amp; " " &amp; REPT("●",VLOOKUP(AC54,tblDisciplines[],3,FALSE)),VLOOKUP(AC54,tblDisciplines[],2,FALSE) &amp; " " &amp; REPT("●",VLOOKUP(AC54,tblDisciplines[],3,FALSE)) &amp; " | " &amp; AC54)),IFERROR(AC54 &amp; " " &amp; REPT("●",VLOOKUP(AC54,$F$177:$P$181,11,FALSE)),AC54 &amp; " " &amp; REPT("●",VLOOKUP(AC54,tblPacts[],4,FALSE)))))</f>
        <v/>
      </c>
      <c r="AE54" s="20" t="str" cm="1">
        <f t="array" ref="AE54">IF(AC54="","",IFERROR(IF(OR(VLOOKUP(AC54,tblDisciplines[],2,FALSE)={"Creation","Destruction","Divination","Protection","Transmutation"}),"¬",CONCATENATE("Cost: ",VLOOKUP(AC54,tblDisciplines[],4,FALSE),IF(VLOOKUP(AC54,tblDisciplines[],5,FALSE)="",""," " &amp; VLOOKUP(AC54,tblDisciplines[],5,FALSE)),"  •  Pool: ",IFERROR(VLOOKUP(VLOOKUP(AC54,tblDisciplines[],6,FALSE),$AI$1:$AK$58,3,FALSE)+VLOOKUP(VLOOKUP(AC54,tblDisciplines[],7,FALSE),$AI$1:$AK$58,3,FALSE)+VLOOKUP(VLOOKUP(AC54,tblDisciplines[],8,FALSE),$AI$1:$AK$58,3,FALSE),"-"),IF(VLOOKUP(AC54,tblDisciplines[],9,FALSE)="","",CONCATENATE(" ",VLOOKUP(AC54,tblDisciplines[],9,FALSE))),"  •  ",VLOOKUP(AC54,tblDisciplines[],10,FALSE),IF(VLOOKUP(AC54,tblDisciplines[],11,FALSE)="","","  •  " &amp; VLOOKUP(AC54,tblDisciplines[],11,FALSE)))),"¬"))</f>
        <v/>
      </c>
      <c r="AF54" s="20" t="str">
        <f>IF(AC54="","",IFERROR(VLOOKUP(AC54,tblDisciplines[],12,FALSE),VLOOKUP(AC54,tblPacts[],5,FALSE)))</f>
        <v/>
      </c>
      <c r="AI54" s="15" t="s">
        <v>252</v>
      </c>
      <c r="AJ54" s="61">
        <f t="shared" si="1"/>
        <v>0</v>
      </c>
      <c r="AK54" s="61">
        <f>AJ54</f>
        <v>0</v>
      </c>
    </row>
    <row r="55" spans="1:37">
      <c r="A55" s="1" t="s">
        <v>54</v>
      </c>
      <c r="B55" t="str">
        <f>REPT("□",P74) &amp; REPT("■",10-P74)</f>
        <v>□□□□■■■■■■</v>
      </c>
      <c r="D55" s="18"/>
      <c r="E55" s="15" t="s">
        <v>36</v>
      </c>
      <c r="F55" s="18"/>
      <c r="G55" s="3"/>
      <c r="H55" s="18"/>
      <c r="I55" s="18"/>
      <c r="L55" s="4"/>
      <c r="M55" s="60"/>
      <c r="N55" s="4"/>
      <c r="O55" s="61">
        <f t="shared" si="9"/>
        <v>0</v>
      </c>
      <c r="P55" s="60">
        <f t="shared" si="7"/>
        <v>0</v>
      </c>
      <c r="R55" s="61">
        <v>5</v>
      </c>
      <c r="T55" s="4"/>
      <c r="U55" s="4"/>
      <c r="V55" s="61">
        <f t="shared" si="8"/>
        <v>0</v>
      </c>
      <c r="W55" s="4"/>
      <c r="Y55" s="15">
        <v>1</v>
      </c>
      <c r="Z55" s="61" t="s">
        <v>239</v>
      </c>
      <c r="AA55" s="60" t="str" cm="1">
        <f t="array" ref="AA55">IF(OR(Y55=0,Y55=""),"",IF(VLOOKUP(Z55,$AI$1:$AJ$58,2,FALSE)&gt;=Y55,INDEX(tblDisciplines[Name],MATCH(1,(tblDisciplines[Discipline]=Z55)*(tblDisciplines[Rank]=Y55),0)),""))</f>
        <v/>
      </c>
      <c r="AC55" s="60"/>
      <c r="AD55" s="20" t="str" cm="1">
        <f t="array" ref="AD55">IF(AC55="","",IFERROR(IF(OR(VLOOKUP(AC55,tblDisciplines[],2,FALSE)={"Creation","Destruction","Divination","Protection","Transmutation"}),"Blood Sorcery | " &amp; VLOOKUP(AC55,tblDisciplines[],2,FALSE) &amp; " " &amp; REPT("●",VLOOKUP(AC55,tblDisciplines[],3,FALSE)),IF(AC55=VLOOKUP(AC55,tblDisciplines[],2,FALSE)&amp;" "&amp;VLOOKUP(AC55,tblDisciplines[],3,FALSE),VLOOKUP(AC55,tblDisciplines[],2,FALSE) &amp; " " &amp; REPT("●",VLOOKUP(AC55,tblDisciplines[],3,FALSE)),VLOOKUP(AC55,tblDisciplines[],2,FALSE) &amp; " " &amp; REPT("●",VLOOKUP(AC55,tblDisciplines[],3,FALSE)) &amp; " | " &amp; AC55)),IFERROR(AC55 &amp; " " &amp; REPT("●",VLOOKUP(AC55,$F$177:$P$181,11,FALSE)),AC55 &amp; " " &amp; REPT("●",VLOOKUP(AC55,tblPacts[],4,FALSE)))))</f>
        <v/>
      </c>
      <c r="AE55" s="20" t="str" cm="1">
        <f t="array" ref="AE55">IF(AC55="","",IFERROR(IF(OR(VLOOKUP(AC55,tblDisciplines[],2,FALSE)={"Creation","Destruction","Divination","Protection","Transmutation"}),"¬",CONCATENATE("Cost: ",VLOOKUP(AC55,tblDisciplines[],4,FALSE),IF(VLOOKUP(AC55,tblDisciplines[],5,FALSE)="",""," " &amp; VLOOKUP(AC55,tblDisciplines[],5,FALSE)),"  •  Pool: ",IFERROR(VLOOKUP(VLOOKUP(AC55,tblDisciplines[],6,FALSE),$AI$1:$AK$58,3,FALSE)+VLOOKUP(VLOOKUP(AC55,tblDisciplines[],7,FALSE),$AI$1:$AK$58,3,FALSE)+VLOOKUP(VLOOKUP(AC55,tblDisciplines[],8,FALSE),$AI$1:$AK$58,3,FALSE),"-"),IF(VLOOKUP(AC55,tblDisciplines[],9,FALSE)="","",CONCATENATE(" ",VLOOKUP(AC55,tblDisciplines[],9,FALSE))),"  •  ",VLOOKUP(AC55,tblDisciplines[],10,FALSE),IF(VLOOKUP(AC55,tblDisciplines[],11,FALSE)="","","  •  " &amp; VLOOKUP(AC55,tblDisciplines[],11,FALSE)))),"¬"))</f>
        <v/>
      </c>
      <c r="AF55" s="20" t="str">
        <f>IF(AC55="","",IFERROR(VLOOKUP(AC55,tblDisciplines[],12,FALSE),VLOOKUP(AC55,tblPacts[],5,FALSE)))</f>
        <v/>
      </c>
      <c r="AI55" s="15" t="s">
        <v>245</v>
      </c>
      <c r="AJ55" s="61">
        <f t="shared" si="1"/>
        <v>0</v>
      </c>
      <c r="AK55" s="61">
        <f>AJ55+IFERROR(INDEX($V$26:$V$38,MATCH(AI55,$E$26:$E$38,0)),0)</f>
        <v>0</v>
      </c>
    </row>
    <row r="56" spans="1:37">
      <c r="A56" s="1" t="s">
        <v>55</v>
      </c>
      <c r="B56" t="str">
        <f ca="1">_xlfn.CONCAT(P75-L223," / ",P75)</f>
        <v>10 / 10</v>
      </c>
      <c r="D56" s="19"/>
      <c r="E56" s="15" t="s">
        <v>37</v>
      </c>
      <c r="F56" s="18"/>
      <c r="G56" s="3"/>
      <c r="H56" s="18"/>
      <c r="I56" s="18"/>
      <c r="L56" s="4"/>
      <c r="M56" s="60"/>
      <c r="N56" s="4"/>
      <c r="O56" s="61">
        <f t="shared" si="9"/>
        <v>0</v>
      </c>
      <c r="P56" s="60">
        <f t="shared" si="7"/>
        <v>0</v>
      </c>
      <c r="R56" s="61">
        <v>5</v>
      </c>
      <c r="T56" s="4"/>
      <c r="U56" s="4"/>
      <c r="V56" s="61">
        <f t="shared" si="8"/>
        <v>0</v>
      </c>
      <c r="W56" s="4"/>
      <c r="Y56" s="15">
        <v>2</v>
      </c>
      <c r="Z56" s="61" t="s">
        <v>239</v>
      </c>
      <c r="AA56" s="60" t="str" cm="1">
        <f t="array" ref="AA56">IF(OR(Y56=0,Y56=""),"",IF(VLOOKUP(Z56,$AI$1:$AJ$58,2,FALSE)&gt;=Y56,INDEX(tblDisciplines[Name],MATCH(1,(tblDisciplines[Discipline]=Z56)*(tblDisciplines[Rank]=Y56),0)),""))</f>
        <v/>
      </c>
      <c r="AC56" s="60"/>
      <c r="AD56" s="20" t="str" cm="1">
        <f t="array" ref="AD56">IF(AC56="","",IFERROR(IF(OR(VLOOKUP(AC56,tblDisciplines[],2,FALSE)={"Creation","Destruction","Divination","Protection","Transmutation"}),"Blood Sorcery | " &amp; VLOOKUP(AC56,tblDisciplines[],2,FALSE) &amp; " " &amp; REPT("●",VLOOKUP(AC56,tblDisciplines[],3,FALSE)),IF(AC56=VLOOKUP(AC56,tblDisciplines[],2,FALSE)&amp;" "&amp;VLOOKUP(AC56,tblDisciplines[],3,FALSE),VLOOKUP(AC56,tblDisciplines[],2,FALSE) &amp; " " &amp; REPT("●",VLOOKUP(AC56,tblDisciplines[],3,FALSE)),VLOOKUP(AC56,tblDisciplines[],2,FALSE) &amp; " " &amp; REPT("●",VLOOKUP(AC56,tblDisciplines[],3,FALSE)) &amp; " | " &amp; AC56)),IFERROR(AC56 &amp; " " &amp; REPT("●",VLOOKUP(AC56,$F$177:$P$181,11,FALSE)),AC56 &amp; " " &amp; REPT("●",VLOOKUP(AC56,tblPacts[],4,FALSE)))))</f>
        <v/>
      </c>
      <c r="AE56" s="20" t="str" cm="1">
        <f t="array" ref="AE56">IF(AC56="","",IFERROR(IF(OR(VLOOKUP(AC56,tblDisciplines[],2,FALSE)={"Creation","Destruction","Divination","Protection","Transmutation"}),"¬",CONCATENATE("Cost: ",VLOOKUP(AC56,tblDisciplines[],4,FALSE),IF(VLOOKUP(AC56,tblDisciplines[],5,FALSE)="",""," " &amp; VLOOKUP(AC56,tblDisciplines[],5,FALSE)),"  •  Pool: ",IFERROR(VLOOKUP(VLOOKUP(AC56,tblDisciplines[],6,FALSE),$AI$1:$AK$58,3,FALSE)+VLOOKUP(VLOOKUP(AC56,tblDisciplines[],7,FALSE),$AI$1:$AK$58,3,FALSE)+VLOOKUP(VLOOKUP(AC56,tblDisciplines[],8,FALSE),$AI$1:$AK$58,3,FALSE),"-"),IF(VLOOKUP(AC56,tblDisciplines[],9,FALSE)="","",CONCATENATE(" ",VLOOKUP(AC56,tblDisciplines[],9,FALSE))),"  •  ",VLOOKUP(AC56,tblDisciplines[],10,FALSE),IF(VLOOKUP(AC56,tblDisciplines[],11,FALSE)="","","  •  " &amp; VLOOKUP(AC56,tblDisciplines[],11,FALSE)))),"¬"))</f>
        <v/>
      </c>
      <c r="AF56" s="20" t="str">
        <f>IF(AC56="","",IFERROR(VLOOKUP(AC56,tblDisciplines[],12,FALSE),VLOOKUP(AC56,tblPacts[],5,FALSE)))</f>
        <v/>
      </c>
      <c r="AI56" s="15" t="s">
        <v>40</v>
      </c>
      <c r="AJ56" s="61">
        <f t="shared" si="1"/>
        <v>0</v>
      </c>
      <c r="AK56" s="61">
        <f>IF(AJ56=0,IF(COUNTIF($E$42:$E$49,AI56)&gt;0,-3,-1),AJ56)</f>
        <v>-1</v>
      </c>
    </row>
    <row r="57" spans="1:37">
      <c r="A57" s="1" t="s">
        <v>56</v>
      </c>
      <c r="B57" t="str">
        <f ca="1">REPT("□",P75-L223) &amp; REPT("■",20-P75+L223)</f>
        <v>□□□□□□□□□□■■■■■■■■■■</v>
      </c>
      <c r="D57" s="19"/>
      <c r="E57" s="15" t="s">
        <v>38</v>
      </c>
      <c r="F57" s="18"/>
      <c r="G57" s="3"/>
      <c r="H57" s="18"/>
      <c r="I57" s="18"/>
      <c r="L57" s="4">
        <v>3</v>
      </c>
      <c r="M57" s="60"/>
      <c r="N57" s="4"/>
      <c r="O57" s="61">
        <f t="shared" si="9"/>
        <v>0</v>
      </c>
      <c r="P57" s="60">
        <f t="shared" si="7"/>
        <v>3</v>
      </c>
      <c r="R57" s="61">
        <v>5</v>
      </c>
      <c r="T57" s="4"/>
      <c r="U57" s="4"/>
      <c r="V57" s="61">
        <f t="shared" si="8"/>
        <v>0</v>
      </c>
      <c r="W57" s="4"/>
      <c r="Y57" s="15">
        <v>3</v>
      </c>
      <c r="Z57" s="61" t="s">
        <v>239</v>
      </c>
      <c r="AA57" s="60" t="str" cm="1">
        <f t="array" ref="AA57">IF(OR(Y57=0,Y57=""),"",IF(VLOOKUP(Z57,$AI$1:$AJ$58,2,FALSE)&gt;=Y57,INDEX(tblDisciplines[Name],MATCH(1,(tblDisciplines[Discipline]=Z57)*(tblDisciplines[Rank]=Y57),0)),""))</f>
        <v/>
      </c>
      <c r="AC57" s="60"/>
      <c r="AD57" s="20" t="str" cm="1">
        <f t="array" ref="AD57">IF(AC57="","",IFERROR(IF(OR(VLOOKUP(AC57,tblDisciplines[],2,FALSE)={"Creation","Destruction","Divination","Protection","Transmutation"}),"Blood Sorcery | " &amp; VLOOKUP(AC57,tblDisciplines[],2,FALSE) &amp; " " &amp; REPT("●",VLOOKUP(AC57,tblDisciplines[],3,FALSE)),IF(AC57=VLOOKUP(AC57,tblDisciplines[],2,FALSE)&amp;" "&amp;VLOOKUP(AC57,tblDisciplines[],3,FALSE),VLOOKUP(AC57,tblDisciplines[],2,FALSE) &amp; " " &amp; REPT("●",VLOOKUP(AC57,tblDisciplines[],3,FALSE)),VLOOKUP(AC57,tblDisciplines[],2,FALSE) &amp; " " &amp; REPT("●",VLOOKUP(AC57,tblDisciplines[],3,FALSE)) &amp; " | " &amp; AC57)),IFERROR(AC57 &amp; " " &amp; REPT("●",VLOOKUP(AC57,$F$177:$P$181,11,FALSE)),AC57 &amp; " " &amp; REPT("●",VLOOKUP(AC57,tblPacts[],4,FALSE)))))</f>
        <v/>
      </c>
      <c r="AE57" s="20" t="str" cm="1">
        <f t="array" ref="AE57">IF(AC57="","",IFERROR(IF(OR(VLOOKUP(AC57,tblDisciplines[],2,FALSE)={"Creation","Destruction","Divination","Protection","Transmutation"}),"¬",CONCATENATE("Cost: ",VLOOKUP(AC57,tblDisciplines[],4,FALSE),IF(VLOOKUP(AC57,tblDisciplines[],5,FALSE)="",""," " &amp; VLOOKUP(AC57,tblDisciplines[],5,FALSE)),"  •  Pool: ",IFERROR(VLOOKUP(VLOOKUP(AC57,tblDisciplines[],6,FALSE),$AI$1:$AK$58,3,FALSE)+VLOOKUP(VLOOKUP(AC57,tblDisciplines[],7,FALSE),$AI$1:$AK$58,3,FALSE)+VLOOKUP(VLOOKUP(AC57,tblDisciplines[],8,FALSE),$AI$1:$AK$58,3,FALSE),"-"),IF(VLOOKUP(AC57,tblDisciplines[],9,FALSE)="","",CONCATENATE(" ",VLOOKUP(AC57,tblDisciplines[],9,FALSE))),"  •  ",VLOOKUP(AC57,tblDisciplines[],10,FALSE),IF(VLOOKUP(AC57,tblDisciplines[],11,FALSE)="","","  •  " &amp; VLOOKUP(AC57,tblDisciplines[],11,FALSE)))),"¬"))</f>
        <v/>
      </c>
      <c r="AF57" s="20" t="str">
        <f>IF(AC57="","",IFERROR(VLOOKUP(AC57,tblDisciplines[],12,FALSE),VLOOKUP(AC57,tblPacts[],5,FALSE)))</f>
        <v/>
      </c>
      <c r="AI57" s="15" t="s">
        <v>53</v>
      </c>
      <c r="AJ57" s="61">
        <f t="shared" si="1"/>
        <v>4</v>
      </c>
      <c r="AK57" s="61">
        <f>AJ57</f>
        <v>4</v>
      </c>
    </row>
    <row r="58" spans="1:37">
      <c r="A58" s="1" t="s">
        <v>57</v>
      </c>
      <c r="B58">
        <f ca="1">VLOOKUP(VLOOKUP("Blood Potency", INDIRECT($AH$1),2,FALSE),tblBloodPotency[#Data],3,FALSE)</f>
        <v>1</v>
      </c>
      <c r="D58" s="19"/>
      <c r="E58" s="15" t="s">
        <v>39</v>
      </c>
      <c r="F58" s="18"/>
      <c r="G58" s="3"/>
      <c r="H58" s="18"/>
      <c r="I58" s="18"/>
      <c r="L58" s="4"/>
      <c r="M58" s="60"/>
      <c r="N58" s="4"/>
      <c r="O58" s="61">
        <f t="shared" si="9"/>
        <v>0</v>
      </c>
      <c r="P58" s="60">
        <f t="shared" si="7"/>
        <v>0</v>
      </c>
      <c r="R58" s="61">
        <v>5</v>
      </c>
      <c r="T58" s="4"/>
      <c r="U58" s="4"/>
      <c r="V58" s="61">
        <f t="shared" si="8"/>
        <v>0</v>
      </c>
      <c r="W58" s="4"/>
      <c r="Y58" s="15">
        <v>4</v>
      </c>
      <c r="Z58" s="61" t="s">
        <v>239</v>
      </c>
      <c r="AA58" s="60" t="str" cm="1">
        <f t="array" ref="AA58">IF(OR(Y58=0,Y58=""),"",IF(VLOOKUP(Z58,$AI$1:$AJ$58,2,FALSE)&gt;=Y58,INDEX(tblDisciplines[Name],MATCH(1,(tblDisciplines[Discipline]=Z58)*(tblDisciplines[Rank]=Y58),0)),""))</f>
        <v/>
      </c>
      <c r="AC58" s="60"/>
      <c r="AD58" s="20" t="str" cm="1">
        <f t="array" ref="AD58">IF(AC58="","",IFERROR(IF(OR(VLOOKUP(AC58,tblDisciplines[],2,FALSE)={"Creation","Destruction","Divination","Protection","Transmutation"}),"Blood Sorcery | " &amp; VLOOKUP(AC58,tblDisciplines[],2,FALSE) &amp; " " &amp; REPT("●",VLOOKUP(AC58,tblDisciplines[],3,FALSE)),IF(AC58=VLOOKUP(AC58,tblDisciplines[],2,FALSE)&amp;" "&amp;VLOOKUP(AC58,tblDisciplines[],3,FALSE),VLOOKUP(AC58,tblDisciplines[],2,FALSE) &amp; " " &amp; REPT("●",VLOOKUP(AC58,tblDisciplines[],3,FALSE)),VLOOKUP(AC58,tblDisciplines[],2,FALSE) &amp; " " &amp; REPT("●",VLOOKUP(AC58,tblDisciplines[],3,FALSE)) &amp; " | " &amp; AC58)),IFERROR(AC58 &amp; " " &amp; REPT("●",VLOOKUP(AC58,$F$177:$P$181,11,FALSE)),AC58 &amp; " " &amp; REPT("●",VLOOKUP(AC58,tblPacts[],4,FALSE)))))</f>
        <v/>
      </c>
      <c r="AE58" s="20" t="str" cm="1">
        <f t="array" ref="AE58">IF(AC58="","",IFERROR(IF(OR(VLOOKUP(AC58,tblDisciplines[],2,FALSE)={"Creation","Destruction","Divination","Protection","Transmutation"}),"¬",CONCATENATE("Cost: ",VLOOKUP(AC58,tblDisciplines[],4,FALSE),IF(VLOOKUP(AC58,tblDisciplines[],5,FALSE)="",""," " &amp; VLOOKUP(AC58,tblDisciplines[],5,FALSE)),"  •  Pool: ",IFERROR(VLOOKUP(VLOOKUP(AC58,tblDisciplines[],6,FALSE),$AI$1:$AK$58,3,FALSE)+VLOOKUP(VLOOKUP(AC58,tblDisciplines[],7,FALSE),$AI$1:$AK$58,3,FALSE)+VLOOKUP(VLOOKUP(AC58,tblDisciplines[],8,FALSE),$AI$1:$AK$58,3,FALSE),"-"),IF(VLOOKUP(AC58,tblDisciplines[],9,FALSE)="","",CONCATENATE(" ",VLOOKUP(AC58,tblDisciplines[],9,FALSE))),"  •  ",VLOOKUP(AC58,tblDisciplines[],10,FALSE),IF(VLOOKUP(AC58,tblDisciplines[],11,FALSE)="","","  •  " &amp; VLOOKUP(AC58,tblDisciplines[],11,FALSE)))),"¬"))</f>
        <v/>
      </c>
      <c r="AF58" s="20" t="str">
        <f>IF(AC58="","",IFERROR(VLOOKUP(AC58,tblDisciplines[],12,FALSE),VLOOKUP(AC58,tblPacts[],5,FALSE)))</f>
        <v/>
      </c>
      <c r="AI58" s="15" t="s">
        <v>17</v>
      </c>
      <c r="AJ58" s="61">
        <f t="shared" si="1"/>
        <v>3</v>
      </c>
      <c r="AK58" s="61">
        <f>AJ58+IFERROR(INDEX($V$26:$V$38,MATCH(AI58,$E$26:$E$38,0)),0)</f>
        <v>3</v>
      </c>
    </row>
    <row r="59" spans="1:37">
      <c r="A59" s="1" t="s">
        <v>58</v>
      </c>
      <c r="B59" t="str">
        <f ca="1">VLOOKUP(VLOOKUP("Blood Potency", INDIRECT($AH$1),2,FALSE),tblBloodPotency[#Data],4,FALSE)</f>
        <v>Animals</v>
      </c>
      <c r="D59" s="19"/>
      <c r="E59" s="15" t="s">
        <v>40</v>
      </c>
      <c r="F59" s="18"/>
      <c r="G59" s="3"/>
      <c r="H59" s="18"/>
      <c r="I59" s="18"/>
      <c r="L59" s="4"/>
      <c r="M59" s="60"/>
      <c r="N59" s="4"/>
      <c r="O59" s="61">
        <f t="shared" si="9"/>
        <v>0</v>
      </c>
      <c r="P59" s="60">
        <f t="shared" si="7"/>
        <v>0</v>
      </c>
      <c r="R59" s="61">
        <v>5</v>
      </c>
      <c r="T59" s="4"/>
      <c r="U59" s="4"/>
      <c r="V59" s="61">
        <f t="shared" si="8"/>
        <v>0</v>
      </c>
      <c r="W59" s="4"/>
      <c r="Y59" s="15">
        <v>5</v>
      </c>
      <c r="Z59" s="61" t="s">
        <v>239</v>
      </c>
      <c r="AA59" s="60" t="str" cm="1">
        <f t="array" ref="AA59">IF(OR(Y59=0,Y59=""),"",IF(VLOOKUP(Z59,$AI$1:$AJ$58,2,FALSE)&gt;=Y59,INDEX(tblDisciplines[Name],MATCH(1,(tblDisciplines[Discipline]=Z59)*(tblDisciplines[Rank]=Y59),0)),""))</f>
        <v/>
      </c>
      <c r="AC59" s="60"/>
      <c r="AD59" s="20" t="str" cm="1">
        <f t="array" ref="AD59">IF(AC59="","",IFERROR(IF(OR(VLOOKUP(AC59,tblDisciplines[],2,FALSE)={"Creation","Destruction","Divination","Protection","Transmutation"}),"Blood Sorcery | " &amp; VLOOKUP(AC59,tblDisciplines[],2,FALSE) &amp; " " &amp; REPT("●",VLOOKUP(AC59,tblDisciplines[],3,FALSE)),IF(AC59=VLOOKUP(AC59,tblDisciplines[],2,FALSE)&amp;" "&amp;VLOOKUP(AC59,tblDisciplines[],3,FALSE),VLOOKUP(AC59,tblDisciplines[],2,FALSE) &amp; " " &amp; REPT("●",VLOOKUP(AC59,tblDisciplines[],3,FALSE)),VLOOKUP(AC59,tblDisciplines[],2,FALSE) &amp; " " &amp; REPT("●",VLOOKUP(AC59,tblDisciplines[],3,FALSE)) &amp; " | " &amp; AC59)),IFERROR(AC59 &amp; " " &amp; REPT("●",VLOOKUP(AC59,$F$177:$P$181,11,FALSE)),AC59 &amp; " " &amp; REPT("●",VLOOKUP(AC59,tblPacts[],4,FALSE)))))</f>
        <v/>
      </c>
      <c r="AE59" s="20" t="str" cm="1">
        <f t="array" ref="AE59">IF(AC59="","",IFERROR(IF(OR(VLOOKUP(AC59,tblDisciplines[],2,FALSE)={"Creation","Destruction","Divination","Protection","Transmutation"}),"¬",CONCATENATE("Cost: ",VLOOKUP(AC59,tblDisciplines[],4,FALSE),IF(VLOOKUP(AC59,tblDisciplines[],5,FALSE)="",""," " &amp; VLOOKUP(AC59,tblDisciplines[],5,FALSE)),"  •  Pool: ",IFERROR(VLOOKUP(VLOOKUP(AC59,tblDisciplines[],6,FALSE),$AI$1:$AK$58,3,FALSE)+VLOOKUP(VLOOKUP(AC59,tblDisciplines[],7,FALSE),$AI$1:$AK$58,3,FALSE)+VLOOKUP(VLOOKUP(AC59,tblDisciplines[],8,FALSE),$AI$1:$AK$58,3,FALSE),"-"),IF(VLOOKUP(AC59,tblDisciplines[],9,FALSE)="","",CONCATENATE(" ",VLOOKUP(AC59,tblDisciplines[],9,FALSE))),"  •  ",VLOOKUP(AC59,tblDisciplines[],10,FALSE),IF(VLOOKUP(AC59,tblDisciplines[],11,FALSE)="","","  •  " &amp; VLOOKUP(AC59,tblDisciplines[],11,FALSE)))),"¬"))</f>
        <v/>
      </c>
      <c r="AF59" s="20" t="str">
        <f>IF(AC59="","",IFERROR(VLOOKUP(AC59,tblDisciplines[],12,FALSE),VLOOKUP(AC59,tblPacts[],5,FALSE)))</f>
        <v/>
      </c>
    </row>
    <row r="60" spans="1:37">
      <c r="A60" s="1" t="s">
        <v>59</v>
      </c>
      <c r="B60" t="str">
        <f t="shared" ref="B60:B83" si="10">IFERROR(IF(VLOOKUP(SUBSTITUTE(A60," Spec",""),$E$42:$G$69,3,FALSE)=0,"",VLOOKUP(SUBSTITUTE(A60," Spec",""),$E$42:$G$69,3,FALSE)),"")</f>
        <v>A-9A, history</v>
      </c>
      <c r="Y60" s="15">
        <v>1</v>
      </c>
      <c r="Z60" s="61" t="s">
        <v>240</v>
      </c>
      <c r="AA60" s="60" t="str" cm="1">
        <f t="array" ref="AA60">IF(OR(Y60=0,Y60=""),"",IF(VLOOKUP(Z60,$AI$1:$AJ$58,2,FALSE)&gt;=Y60,INDEX(tblDisciplines[Name],MATCH(1,(tblDisciplines[Discipline]=Z60)*(tblDisciplines[Rank]=Y60),0)),""))</f>
        <v/>
      </c>
      <c r="AC60" s="60"/>
      <c r="AD60" s="20" t="str" cm="1">
        <f t="array" ref="AD60">IF(AC60="","",IFERROR(IF(OR(VLOOKUP(AC60,tblDisciplines[],2,FALSE)={"Creation","Destruction","Divination","Protection","Transmutation"}),"Blood Sorcery | " &amp; VLOOKUP(AC60,tblDisciplines[],2,FALSE) &amp; " " &amp; REPT("●",VLOOKUP(AC60,tblDisciplines[],3,FALSE)),IF(AC60=VLOOKUP(AC60,tblDisciplines[],2,FALSE)&amp;" "&amp;VLOOKUP(AC60,tblDisciplines[],3,FALSE),VLOOKUP(AC60,tblDisciplines[],2,FALSE) &amp; " " &amp; REPT("●",VLOOKUP(AC60,tblDisciplines[],3,FALSE)),VLOOKUP(AC60,tblDisciplines[],2,FALSE) &amp; " " &amp; REPT("●",VLOOKUP(AC60,tblDisciplines[],3,FALSE)) &amp; " | " &amp; AC60)),IFERROR(AC60 &amp; " " &amp; REPT("●",VLOOKUP(AC60,$F$177:$P$181,11,FALSE)),AC60 &amp; " " &amp; REPT("●",VLOOKUP(AC60,tblPacts[],4,FALSE)))))</f>
        <v/>
      </c>
      <c r="AE60" s="20" t="str" cm="1">
        <f t="array" ref="AE60">IF(AC60="","",IFERROR(IF(OR(VLOOKUP(AC60,tblDisciplines[],2,FALSE)={"Creation","Destruction","Divination","Protection","Transmutation"}),"¬",CONCATENATE("Cost: ",VLOOKUP(AC60,tblDisciplines[],4,FALSE),IF(VLOOKUP(AC60,tblDisciplines[],5,FALSE)="",""," " &amp; VLOOKUP(AC60,tblDisciplines[],5,FALSE)),"  •  Pool: ",IFERROR(VLOOKUP(VLOOKUP(AC60,tblDisciplines[],6,FALSE),$AI$1:$AK$58,3,FALSE)+VLOOKUP(VLOOKUP(AC60,tblDisciplines[],7,FALSE),$AI$1:$AK$58,3,FALSE)+VLOOKUP(VLOOKUP(AC60,tblDisciplines[],8,FALSE),$AI$1:$AK$58,3,FALSE),"-"),IF(VLOOKUP(AC60,tblDisciplines[],9,FALSE)="","",CONCATENATE(" ",VLOOKUP(AC60,tblDisciplines[],9,FALSE))),"  •  ",VLOOKUP(AC60,tblDisciplines[],10,FALSE),IF(VLOOKUP(AC60,tblDisciplines[],11,FALSE)="","","  •  " &amp; VLOOKUP(AC60,tblDisciplines[],11,FALSE)))),"¬"))</f>
        <v/>
      </c>
      <c r="AF60" s="20" t="str">
        <f>IF(AC60="","",IFERROR(VLOOKUP(AC60,tblDisciplines[],12,FALSE),VLOOKUP(AC60,tblPacts[],5,FALSE)))</f>
        <v/>
      </c>
    </row>
    <row r="61" spans="1:37">
      <c r="A61" s="1" t="s">
        <v>60</v>
      </c>
      <c r="B61" t="str">
        <f t="shared" si="10"/>
        <v/>
      </c>
      <c r="D61" s="16" t="s">
        <v>1459</v>
      </c>
      <c r="E61" s="17"/>
      <c r="F61" s="17"/>
      <c r="G61" s="17" t="s">
        <v>1467</v>
      </c>
      <c r="H61" s="16" t="s">
        <v>1446</v>
      </c>
      <c r="I61" s="3" t="s">
        <v>1567</v>
      </c>
      <c r="L61" s="60">
        <f>IF(I61="",0,VLOOKUP(I61,tblPriority[#Data],3,FALSE))-SUM(L62:L69)</f>
        <v>0</v>
      </c>
      <c r="Y61" s="15">
        <v>2</v>
      </c>
      <c r="Z61" s="61" t="s">
        <v>240</v>
      </c>
      <c r="AA61" s="60" t="str" cm="1">
        <f t="array" ref="AA61">IF(OR(Y61=0,Y61=""),"",IF(VLOOKUP(Z61,$AI$1:$AJ$58,2,FALSE)&gt;=Y61,INDEX(tblDisciplines[Name],MATCH(1,(tblDisciplines[Discipline]=Z61)*(tblDisciplines[Rank]=Y61),0)),""))</f>
        <v/>
      </c>
      <c r="AC61" s="60"/>
      <c r="AD61" s="20" t="str" cm="1">
        <f t="array" ref="AD61">IF(AC61="","",IFERROR(IF(OR(VLOOKUP(AC61,tblDisciplines[],2,FALSE)={"Creation","Destruction","Divination","Protection","Transmutation"}),"Blood Sorcery | " &amp; VLOOKUP(AC61,tblDisciplines[],2,FALSE) &amp; " " &amp; REPT("●",VLOOKUP(AC61,tblDisciplines[],3,FALSE)),IF(AC61=VLOOKUP(AC61,tblDisciplines[],2,FALSE)&amp;" "&amp;VLOOKUP(AC61,tblDisciplines[],3,FALSE),VLOOKUP(AC61,tblDisciplines[],2,FALSE) &amp; " " &amp; REPT("●",VLOOKUP(AC61,tblDisciplines[],3,FALSE)),VLOOKUP(AC61,tblDisciplines[],2,FALSE) &amp; " " &amp; REPT("●",VLOOKUP(AC61,tblDisciplines[],3,FALSE)) &amp; " | " &amp; AC61)),IFERROR(AC61 &amp; " " &amp; REPT("●",VLOOKUP(AC61,$F$177:$P$181,11,FALSE)),AC61 &amp; " " &amp; REPT("●",VLOOKUP(AC61,tblPacts[],4,FALSE)))))</f>
        <v/>
      </c>
      <c r="AE61" s="20" t="str" cm="1">
        <f t="array" ref="AE61">IF(AC61="","",IFERROR(IF(OR(VLOOKUP(AC61,tblDisciplines[],2,FALSE)={"Creation","Destruction","Divination","Protection","Transmutation"}),"¬",CONCATENATE("Cost: ",VLOOKUP(AC61,tblDisciplines[],4,FALSE),IF(VLOOKUP(AC61,tblDisciplines[],5,FALSE)="",""," " &amp; VLOOKUP(AC61,tblDisciplines[],5,FALSE)),"  •  Pool: ",IFERROR(VLOOKUP(VLOOKUP(AC61,tblDisciplines[],6,FALSE),$AI$1:$AK$58,3,FALSE)+VLOOKUP(VLOOKUP(AC61,tblDisciplines[],7,FALSE),$AI$1:$AK$58,3,FALSE)+VLOOKUP(VLOOKUP(AC61,tblDisciplines[],8,FALSE),$AI$1:$AK$58,3,FALSE),"-"),IF(VLOOKUP(AC61,tblDisciplines[],9,FALSE)="","",CONCATENATE(" ",VLOOKUP(AC61,tblDisciplines[],9,FALSE))),"  •  ",VLOOKUP(AC61,tblDisciplines[],10,FALSE),IF(VLOOKUP(AC61,tblDisciplines[],11,FALSE)="","","  •  " &amp; VLOOKUP(AC61,tblDisciplines[],11,FALSE)))),"¬"))</f>
        <v/>
      </c>
      <c r="AF61" s="20" t="str">
        <f>IF(AC61="","",IFERROR(VLOOKUP(AC61,tblDisciplines[],12,FALSE),VLOOKUP(AC61,tblPacts[],5,FALSE)))</f>
        <v/>
      </c>
    </row>
    <row r="62" spans="1:37">
      <c r="A62" s="1" t="s">
        <v>61</v>
      </c>
      <c r="B62" t="str">
        <f t="shared" si="10"/>
        <v/>
      </c>
      <c r="D62" s="18"/>
      <c r="E62" s="15" t="s">
        <v>41</v>
      </c>
      <c r="F62" s="18"/>
      <c r="G62" s="3"/>
      <c r="H62" s="18"/>
      <c r="I62" s="18"/>
      <c r="L62" s="4"/>
      <c r="M62" s="60"/>
      <c r="N62" s="4"/>
      <c r="O62" s="61">
        <f>ROUNDDOWN(N62/2,0)</f>
        <v>0</v>
      </c>
      <c r="P62" s="60">
        <f t="shared" ref="P62:P69" si="11">MIN(SUM(L62,M62,O62),R62)</f>
        <v>0</v>
      </c>
      <c r="R62" s="61">
        <v>5</v>
      </c>
      <c r="T62" s="4"/>
      <c r="U62" s="4"/>
      <c r="V62" s="61">
        <f t="shared" ref="V62:V69" si="12">U62</f>
        <v>0</v>
      </c>
      <c r="W62" s="4"/>
      <c r="Y62" s="15">
        <v>3</v>
      </c>
      <c r="Z62" s="61" t="s">
        <v>240</v>
      </c>
      <c r="AA62" s="60" t="str" cm="1">
        <f t="array" ref="AA62">IF(OR(Y62=0,Y62=""),"",IF(VLOOKUP(Z62,$AI$1:$AJ$58,2,FALSE)&gt;=Y62,INDEX(tblDisciplines[Name],MATCH(1,(tblDisciplines[Discipline]=Z62)*(tblDisciplines[Rank]=Y62),0)),""))</f>
        <v/>
      </c>
      <c r="AC62" s="60"/>
      <c r="AD62" s="20" t="str" cm="1">
        <f t="array" ref="AD62">IF(AC62="","",IFERROR(IF(OR(VLOOKUP(AC62,tblDisciplines[],2,FALSE)={"Creation","Destruction","Divination","Protection","Transmutation"}),"Blood Sorcery | " &amp; VLOOKUP(AC62,tblDisciplines[],2,FALSE) &amp; " " &amp; REPT("●",VLOOKUP(AC62,tblDisciplines[],3,FALSE)),IF(AC62=VLOOKUP(AC62,tblDisciplines[],2,FALSE)&amp;" "&amp;VLOOKUP(AC62,tblDisciplines[],3,FALSE),VLOOKUP(AC62,tblDisciplines[],2,FALSE) &amp; " " &amp; REPT("●",VLOOKUP(AC62,tblDisciplines[],3,FALSE)),VLOOKUP(AC62,tblDisciplines[],2,FALSE) &amp; " " &amp; REPT("●",VLOOKUP(AC62,tblDisciplines[],3,FALSE)) &amp; " | " &amp; AC62)),IFERROR(AC62 &amp; " " &amp; REPT("●",VLOOKUP(AC62,$F$177:$P$181,11,FALSE)),AC62 &amp; " " &amp; REPT("●",VLOOKUP(AC62,tblPacts[],4,FALSE)))))</f>
        <v/>
      </c>
      <c r="AE62" s="20" t="str" cm="1">
        <f t="array" ref="AE62">IF(AC62="","",IFERROR(IF(OR(VLOOKUP(AC62,tblDisciplines[],2,FALSE)={"Creation","Destruction","Divination","Protection","Transmutation"}),"¬",CONCATENATE("Cost: ",VLOOKUP(AC62,tblDisciplines[],4,FALSE),IF(VLOOKUP(AC62,tblDisciplines[],5,FALSE)="",""," " &amp; VLOOKUP(AC62,tblDisciplines[],5,FALSE)),"  •  Pool: ",IFERROR(VLOOKUP(VLOOKUP(AC62,tblDisciplines[],6,FALSE),$AI$1:$AK$58,3,FALSE)+VLOOKUP(VLOOKUP(AC62,tblDisciplines[],7,FALSE),$AI$1:$AK$58,3,FALSE)+VLOOKUP(VLOOKUP(AC62,tblDisciplines[],8,FALSE),$AI$1:$AK$58,3,FALSE),"-"),IF(VLOOKUP(AC62,tblDisciplines[],9,FALSE)="","",CONCATENATE(" ",VLOOKUP(AC62,tblDisciplines[],9,FALSE))),"  •  ",VLOOKUP(AC62,tblDisciplines[],10,FALSE),IF(VLOOKUP(AC62,tblDisciplines[],11,FALSE)="","","  •  " &amp; VLOOKUP(AC62,tblDisciplines[],11,FALSE)))),"¬"))</f>
        <v/>
      </c>
      <c r="AF62" s="20" t="str">
        <f>IF(AC62="","",IFERROR(VLOOKUP(AC62,tblDisciplines[],12,FALSE),VLOOKUP(AC62,tblPacts[],5,FALSE)))</f>
        <v/>
      </c>
    </row>
    <row r="63" spans="1:37">
      <c r="A63" s="1" t="s">
        <v>62</v>
      </c>
      <c r="B63" t="str">
        <f t="shared" si="10"/>
        <v/>
      </c>
      <c r="D63" s="19"/>
      <c r="E63" s="15" t="s">
        <v>42</v>
      </c>
      <c r="F63" s="18"/>
      <c r="G63" s="3"/>
      <c r="H63" s="18"/>
      <c r="I63" s="18"/>
      <c r="L63" s="4">
        <v>3</v>
      </c>
      <c r="M63" s="60"/>
      <c r="N63" s="4"/>
      <c r="O63" s="61">
        <f t="shared" ref="O63:O69" si="13">ROUNDDOWN(N63/2,0)</f>
        <v>0</v>
      </c>
      <c r="P63" s="60">
        <f t="shared" si="11"/>
        <v>3</v>
      </c>
      <c r="R63" s="61">
        <v>5</v>
      </c>
      <c r="T63" s="4"/>
      <c r="U63" s="4"/>
      <c r="V63" s="61">
        <f t="shared" si="12"/>
        <v>0</v>
      </c>
      <c r="W63" s="4"/>
      <c r="Y63" s="15">
        <v>4</v>
      </c>
      <c r="Z63" s="61" t="s">
        <v>240</v>
      </c>
      <c r="AA63" s="60" t="str" cm="1">
        <f t="array" ref="AA63">IF(OR(Y63=0,Y63=""),"",IF(VLOOKUP(Z63,$AI$1:$AJ$58,2,FALSE)&gt;=Y63,INDEX(tblDisciplines[Name],MATCH(1,(tblDisciplines[Discipline]=Z63)*(tblDisciplines[Rank]=Y63),0)),""))</f>
        <v/>
      </c>
      <c r="AC63" s="60"/>
      <c r="AD63" s="20" t="str" cm="1">
        <f t="array" ref="AD63">IF(AC63="","",IFERROR(IF(OR(VLOOKUP(AC63,tblDisciplines[],2,FALSE)={"Creation","Destruction","Divination","Protection","Transmutation"}),"Blood Sorcery | " &amp; VLOOKUP(AC63,tblDisciplines[],2,FALSE) &amp; " " &amp; REPT("●",VLOOKUP(AC63,tblDisciplines[],3,FALSE)),IF(AC63=VLOOKUP(AC63,tblDisciplines[],2,FALSE)&amp;" "&amp;VLOOKUP(AC63,tblDisciplines[],3,FALSE),VLOOKUP(AC63,tblDisciplines[],2,FALSE) &amp; " " &amp; REPT("●",VLOOKUP(AC63,tblDisciplines[],3,FALSE)),VLOOKUP(AC63,tblDisciplines[],2,FALSE) &amp; " " &amp; REPT("●",VLOOKUP(AC63,tblDisciplines[],3,FALSE)) &amp; " | " &amp; AC63)),IFERROR(AC63 &amp; " " &amp; REPT("●",VLOOKUP(AC63,$F$177:$P$181,11,FALSE)),AC63 &amp; " " &amp; REPT("●",VLOOKUP(AC63,tblPacts[],4,FALSE)))))</f>
        <v/>
      </c>
      <c r="AE63" s="20" t="str" cm="1">
        <f t="array" ref="AE63">IF(AC63="","",IFERROR(IF(OR(VLOOKUP(AC63,tblDisciplines[],2,FALSE)={"Creation","Destruction","Divination","Protection","Transmutation"}),"¬",CONCATENATE("Cost: ",VLOOKUP(AC63,tblDisciplines[],4,FALSE),IF(VLOOKUP(AC63,tblDisciplines[],5,FALSE)="",""," " &amp; VLOOKUP(AC63,tblDisciplines[],5,FALSE)),"  •  Pool: ",IFERROR(VLOOKUP(VLOOKUP(AC63,tblDisciplines[],6,FALSE),$AI$1:$AK$58,3,FALSE)+VLOOKUP(VLOOKUP(AC63,tblDisciplines[],7,FALSE),$AI$1:$AK$58,3,FALSE)+VLOOKUP(VLOOKUP(AC63,tblDisciplines[],8,FALSE),$AI$1:$AK$58,3,FALSE),"-"),IF(VLOOKUP(AC63,tblDisciplines[],9,FALSE)="","",CONCATENATE(" ",VLOOKUP(AC63,tblDisciplines[],9,FALSE))),"  •  ",VLOOKUP(AC63,tblDisciplines[],10,FALSE),IF(VLOOKUP(AC63,tblDisciplines[],11,FALSE)="","","  •  " &amp; VLOOKUP(AC63,tblDisciplines[],11,FALSE)))),"¬"))</f>
        <v/>
      </c>
      <c r="AF63" s="20" t="str">
        <f>IF(AC63="","",IFERROR(VLOOKUP(AC63,tblDisciplines[],12,FALSE),VLOOKUP(AC63,tblPacts[],5,FALSE)))</f>
        <v/>
      </c>
    </row>
    <row r="64" spans="1:37">
      <c r="A64" s="1" t="s">
        <v>63</v>
      </c>
      <c r="B64" t="str">
        <f t="shared" si="10"/>
        <v/>
      </c>
      <c r="D64" s="19"/>
      <c r="E64" s="15" t="s">
        <v>43</v>
      </c>
      <c r="F64" s="18"/>
      <c r="G64" s="3"/>
      <c r="H64" s="18"/>
      <c r="I64" s="18"/>
      <c r="L64" s="4"/>
      <c r="M64" s="60"/>
      <c r="N64" s="4"/>
      <c r="O64" s="61">
        <f t="shared" si="13"/>
        <v>0</v>
      </c>
      <c r="P64" s="60">
        <f t="shared" si="11"/>
        <v>0</v>
      </c>
      <c r="R64" s="61">
        <v>5</v>
      </c>
      <c r="T64" s="4"/>
      <c r="U64" s="4"/>
      <c r="V64" s="61">
        <f t="shared" si="12"/>
        <v>0</v>
      </c>
      <c r="W64" s="4"/>
      <c r="Y64" s="15">
        <v>5</v>
      </c>
      <c r="Z64" s="61" t="s">
        <v>240</v>
      </c>
      <c r="AA64" s="60" t="str" cm="1">
        <f t="array" ref="AA64">IF(OR(Y64=0,Y64=""),"",IF(VLOOKUP(Z64,$AI$1:$AJ$58,2,FALSE)&gt;=Y64,INDEX(tblDisciplines[Name],MATCH(1,(tblDisciplines[Discipline]=Z64)*(tblDisciplines[Rank]=Y64),0)),""))</f>
        <v/>
      </c>
      <c r="AC64" s="60"/>
      <c r="AD64" s="20" t="str" cm="1">
        <f t="array" ref="AD64">IF(AC64="","",IFERROR(IF(OR(VLOOKUP(AC64,tblDisciplines[],2,FALSE)={"Creation","Destruction","Divination","Protection","Transmutation"}),"Blood Sorcery | " &amp; VLOOKUP(AC64,tblDisciplines[],2,FALSE) &amp; " " &amp; REPT("●",VLOOKUP(AC64,tblDisciplines[],3,FALSE)),IF(AC64=VLOOKUP(AC64,tblDisciplines[],2,FALSE)&amp;" "&amp;VLOOKUP(AC64,tblDisciplines[],3,FALSE),VLOOKUP(AC64,tblDisciplines[],2,FALSE) &amp; " " &amp; REPT("●",VLOOKUP(AC64,tblDisciplines[],3,FALSE)),VLOOKUP(AC64,tblDisciplines[],2,FALSE) &amp; " " &amp; REPT("●",VLOOKUP(AC64,tblDisciplines[],3,FALSE)) &amp; " | " &amp; AC64)),IFERROR(AC64 &amp; " " &amp; REPT("●",VLOOKUP(AC64,$F$177:$P$181,11,FALSE)),AC64 &amp; " " &amp; REPT("●",VLOOKUP(AC64,tblPacts[],4,FALSE)))))</f>
        <v/>
      </c>
      <c r="AE64" s="20" t="str" cm="1">
        <f t="array" ref="AE64">IF(AC64="","",IFERROR(IF(OR(VLOOKUP(AC64,tblDisciplines[],2,FALSE)={"Creation","Destruction","Divination","Protection","Transmutation"}),"¬",CONCATENATE("Cost: ",VLOOKUP(AC64,tblDisciplines[],4,FALSE),IF(VLOOKUP(AC64,tblDisciplines[],5,FALSE)="",""," " &amp; VLOOKUP(AC64,tblDisciplines[],5,FALSE)),"  •  Pool: ",IFERROR(VLOOKUP(VLOOKUP(AC64,tblDisciplines[],6,FALSE),$AI$1:$AK$58,3,FALSE)+VLOOKUP(VLOOKUP(AC64,tblDisciplines[],7,FALSE),$AI$1:$AK$58,3,FALSE)+VLOOKUP(VLOOKUP(AC64,tblDisciplines[],8,FALSE),$AI$1:$AK$58,3,FALSE),"-"),IF(VLOOKUP(AC64,tblDisciplines[],9,FALSE)="","",CONCATENATE(" ",VLOOKUP(AC64,tblDisciplines[],9,FALSE))),"  •  ",VLOOKUP(AC64,tblDisciplines[],10,FALSE),IF(VLOOKUP(AC64,tblDisciplines[],11,FALSE)="","","  •  " &amp; VLOOKUP(AC64,tblDisciplines[],11,FALSE)))),"¬"))</f>
        <v/>
      </c>
      <c r="AF64" s="20" t="str">
        <f>IF(AC64="","",IFERROR(VLOOKUP(AC64,tblDisciplines[],12,FALSE),VLOOKUP(AC64,tblPacts[],5,FALSE)))</f>
        <v/>
      </c>
    </row>
    <row r="65" spans="1:32">
      <c r="A65" s="1" t="s">
        <v>64</v>
      </c>
      <c r="B65" t="str">
        <f t="shared" si="10"/>
        <v>A-9A, symbolism, societies</v>
      </c>
      <c r="D65" s="19"/>
      <c r="E65" s="15" t="s">
        <v>44</v>
      </c>
      <c r="F65" s="18"/>
      <c r="G65" s="3"/>
      <c r="H65" s="18"/>
      <c r="I65" s="18"/>
      <c r="L65" s="4"/>
      <c r="M65" s="60"/>
      <c r="N65" s="4"/>
      <c r="O65" s="61">
        <f t="shared" si="13"/>
        <v>0</v>
      </c>
      <c r="P65" s="60">
        <f t="shared" si="11"/>
        <v>0</v>
      </c>
      <c r="R65" s="61">
        <v>5</v>
      </c>
      <c r="T65" s="4"/>
      <c r="U65" s="4"/>
      <c r="V65" s="61">
        <f t="shared" si="12"/>
        <v>0</v>
      </c>
      <c r="W65" s="4"/>
      <c r="Y65" s="15">
        <v>1</v>
      </c>
      <c r="Z65" s="61" t="s">
        <v>241</v>
      </c>
      <c r="AA65" s="60" t="str" cm="1">
        <f t="array" ref="AA65">IF(OR(Y65=0,Y65=""),"",IF(VLOOKUP(Z65,$AI$1:$AJ$58,2,FALSE)&gt;=Y65,INDEX(tblDisciplines[Name],MATCH(1,(tblDisciplines[Discipline]=Z65)*(tblDisciplines[Rank]=Y65),0)),""))</f>
        <v/>
      </c>
      <c r="AC65" s="60"/>
      <c r="AD65" s="20" t="str" cm="1">
        <f t="array" ref="AD65">IF(AC65="","",IFERROR(IF(OR(VLOOKUP(AC65,tblDisciplines[],2,FALSE)={"Creation","Destruction","Divination","Protection","Transmutation"}),"Blood Sorcery | " &amp; VLOOKUP(AC65,tblDisciplines[],2,FALSE) &amp; " " &amp; REPT("●",VLOOKUP(AC65,tblDisciplines[],3,FALSE)),IF(AC65=VLOOKUP(AC65,tblDisciplines[],2,FALSE)&amp;" "&amp;VLOOKUP(AC65,tblDisciplines[],3,FALSE),VLOOKUP(AC65,tblDisciplines[],2,FALSE) &amp; " " &amp; REPT("●",VLOOKUP(AC65,tblDisciplines[],3,FALSE)),VLOOKUP(AC65,tblDisciplines[],2,FALSE) &amp; " " &amp; REPT("●",VLOOKUP(AC65,tblDisciplines[],3,FALSE)) &amp; " | " &amp; AC65)),IFERROR(AC65 &amp; " " &amp; REPT("●",VLOOKUP(AC65,$F$177:$P$181,11,FALSE)),AC65 &amp; " " &amp; REPT("●",VLOOKUP(AC65,tblPacts[],4,FALSE)))))</f>
        <v/>
      </c>
      <c r="AE65" s="20" t="str" cm="1">
        <f t="array" ref="AE65">IF(AC65="","",IFERROR(IF(OR(VLOOKUP(AC65,tblDisciplines[],2,FALSE)={"Creation","Destruction","Divination","Protection","Transmutation"}),"¬",CONCATENATE("Cost: ",VLOOKUP(AC65,tblDisciplines[],4,FALSE),IF(VLOOKUP(AC65,tblDisciplines[],5,FALSE)="",""," " &amp; VLOOKUP(AC65,tblDisciplines[],5,FALSE)),"  •  Pool: ",IFERROR(VLOOKUP(VLOOKUP(AC65,tblDisciplines[],6,FALSE),$AI$1:$AK$58,3,FALSE)+VLOOKUP(VLOOKUP(AC65,tblDisciplines[],7,FALSE),$AI$1:$AK$58,3,FALSE)+VLOOKUP(VLOOKUP(AC65,tblDisciplines[],8,FALSE),$AI$1:$AK$58,3,FALSE),"-"),IF(VLOOKUP(AC65,tblDisciplines[],9,FALSE)="","",CONCATENATE(" ",VLOOKUP(AC65,tblDisciplines[],9,FALSE))),"  •  ",VLOOKUP(AC65,tblDisciplines[],10,FALSE),IF(VLOOKUP(AC65,tblDisciplines[],11,FALSE)="","","  •  " &amp; VLOOKUP(AC65,tblDisciplines[],11,FALSE)))),"¬"))</f>
        <v/>
      </c>
      <c r="AF65" s="20" t="str">
        <f>IF(AC65="","",IFERROR(VLOOKUP(AC65,tblDisciplines[],12,FALSE),VLOOKUP(AC65,tblPacts[],5,FALSE)))</f>
        <v/>
      </c>
    </row>
    <row r="66" spans="1:32">
      <c r="A66" s="1" t="s">
        <v>65</v>
      </c>
      <c r="B66" t="str">
        <f t="shared" si="10"/>
        <v>A-9A, fine arts, diplomacy</v>
      </c>
      <c r="D66" s="19"/>
      <c r="E66" s="15" t="s">
        <v>45</v>
      </c>
      <c r="F66" s="18"/>
      <c r="G66" s="3"/>
      <c r="H66" s="18"/>
      <c r="I66" s="18"/>
      <c r="L66" s="4"/>
      <c r="M66" s="60"/>
      <c r="N66" s="4"/>
      <c r="O66" s="61">
        <f t="shared" si="13"/>
        <v>0</v>
      </c>
      <c r="P66" s="60">
        <f t="shared" si="11"/>
        <v>0</v>
      </c>
      <c r="R66" s="61">
        <v>5</v>
      </c>
      <c r="T66" s="4"/>
      <c r="U66" s="4"/>
      <c r="V66" s="61">
        <f t="shared" si="12"/>
        <v>0</v>
      </c>
      <c r="W66" s="4"/>
      <c r="Y66" s="15">
        <v>2</v>
      </c>
      <c r="Z66" s="61" t="s">
        <v>241</v>
      </c>
      <c r="AA66" s="60" t="str" cm="1">
        <f t="array" ref="AA66">IF(OR(Y66=0,Y66=""),"",IF(VLOOKUP(Z66,$AI$1:$AJ$58,2,FALSE)&gt;=Y66,INDEX(tblDisciplines[Name],MATCH(1,(tblDisciplines[Discipline]=Z66)*(tblDisciplines[Rank]=Y66),0)),""))</f>
        <v/>
      </c>
      <c r="AC66" s="60"/>
      <c r="AD66" s="20" t="str" cm="1">
        <f t="array" ref="AD66">IF(AC66="","",IFERROR(IF(OR(VLOOKUP(AC66,tblDisciplines[],2,FALSE)={"Creation","Destruction","Divination","Protection","Transmutation"}),"Blood Sorcery | " &amp; VLOOKUP(AC66,tblDisciplines[],2,FALSE) &amp; " " &amp; REPT("●",VLOOKUP(AC66,tblDisciplines[],3,FALSE)),IF(AC66=VLOOKUP(AC66,tblDisciplines[],2,FALSE)&amp;" "&amp;VLOOKUP(AC66,tblDisciplines[],3,FALSE),VLOOKUP(AC66,tblDisciplines[],2,FALSE) &amp; " " &amp; REPT("●",VLOOKUP(AC66,tblDisciplines[],3,FALSE)),VLOOKUP(AC66,tblDisciplines[],2,FALSE) &amp; " " &amp; REPT("●",VLOOKUP(AC66,tblDisciplines[],3,FALSE)) &amp; " | " &amp; AC66)),IFERROR(AC66 &amp; " " &amp; REPT("●",VLOOKUP(AC66,$F$177:$P$181,11,FALSE)),AC66 &amp; " " &amp; REPT("●",VLOOKUP(AC66,tblPacts[],4,FALSE)))))</f>
        <v/>
      </c>
      <c r="AE66" s="20" t="str" cm="1">
        <f t="array" ref="AE66">IF(AC66="","",IFERROR(IF(OR(VLOOKUP(AC66,tblDisciplines[],2,FALSE)={"Creation","Destruction","Divination","Protection","Transmutation"}),"¬",CONCATENATE("Cost: ",VLOOKUP(AC66,tblDisciplines[],4,FALSE),IF(VLOOKUP(AC66,tblDisciplines[],5,FALSE)="",""," " &amp; VLOOKUP(AC66,tblDisciplines[],5,FALSE)),"  •  Pool: ",IFERROR(VLOOKUP(VLOOKUP(AC66,tblDisciplines[],6,FALSE),$AI$1:$AK$58,3,FALSE)+VLOOKUP(VLOOKUP(AC66,tblDisciplines[],7,FALSE),$AI$1:$AK$58,3,FALSE)+VLOOKUP(VLOOKUP(AC66,tblDisciplines[],8,FALSE),$AI$1:$AK$58,3,FALSE),"-"),IF(VLOOKUP(AC66,tblDisciplines[],9,FALSE)="","",CONCATENATE(" ",VLOOKUP(AC66,tblDisciplines[],9,FALSE))),"  •  ",VLOOKUP(AC66,tblDisciplines[],10,FALSE),IF(VLOOKUP(AC66,tblDisciplines[],11,FALSE)="","","  •  " &amp; VLOOKUP(AC66,tblDisciplines[],11,FALSE)))),"¬"))</f>
        <v/>
      </c>
      <c r="AF66" s="20" t="str">
        <f>IF(AC66="","",IFERROR(VLOOKUP(AC66,tblDisciplines[],12,FALSE),VLOOKUP(AC66,tblPacts[],5,FALSE)))</f>
        <v/>
      </c>
    </row>
    <row r="67" spans="1:32">
      <c r="A67" s="1" t="s">
        <v>66</v>
      </c>
      <c r="B67" t="str">
        <f t="shared" si="10"/>
        <v/>
      </c>
      <c r="D67" s="19"/>
      <c r="E67" s="15" t="s">
        <v>46</v>
      </c>
      <c r="F67" s="18"/>
      <c r="G67" s="3"/>
      <c r="H67" s="18"/>
      <c r="I67" s="18"/>
      <c r="L67" s="4">
        <v>1</v>
      </c>
      <c r="M67" s="60"/>
      <c r="N67" s="4"/>
      <c r="O67" s="61">
        <f t="shared" si="13"/>
        <v>0</v>
      </c>
      <c r="P67" s="60">
        <f t="shared" si="11"/>
        <v>1</v>
      </c>
      <c r="R67" s="61">
        <v>5</v>
      </c>
      <c r="T67" s="4"/>
      <c r="U67" s="4"/>
      <c r="V67" s="61">
        <f t="shared" si="12"/>
        <v>0</v>
      </c>
      <c r="W67" s="4"/>
      <c r="Y67" s="15">
        <v>3</v>
      </c>
      <c r="Z67" s="61" t="s">
        <v>241</v>
      </c>
      <c r="AA67" s="60" t="str" cm="1">
        <f t="array" ref="AA67">IF(OR(Y67=0,Y67=""),"",IF(VLOOKUP(Z67,$AI$1:$AJ$58,2,FALSE)&gt;=Y67,INDEX(tblDisciplines[Name],MATCH(1,(tblDisciplines[Discipline]=Z67)*(tblDisciplines[Rank]=Y67),0)),""))</f>
        <v/>
      </c>
      <c r="AC67" s="60"/>
      <c r="AD67" s="20" t="str" cm="1">
        <f t="array" ref="AD67">IF(AC67="","",IFERROR(IF(OR(VLOOKUP(AC67,tblDisciplines[],2,FALSE)={"Creation","Destruction","Divination","Protection","Transmutation"}),"Blood Sorcery | " &amp; VLOOKUP(AC67,tblDisciplines[],2,FALSE) &amp; " " &amp; REPT("●",VLOOKUP(AC67,tblDisciplines[],3,FALSE)),IF(AC67=VLOOKUP(AC67,tblDisciplines[],2,FALSE)&amp;" "&amp;VLOOKUP(AC67,tblDisciplines[],3,FALSE),VLOOKUP(AC67,tblDisciplines[],2,FALSE) &amp; " " &amp; REPT("●",VLOOKUP(AC67,tblDisciplines[],3,FALSE)),VLOOKUP(AC67,tblDisciplines[],2,FALSE) &amp; " " &amp; REPT("●",VLOOKUP(AC67,tblDisciplines[],3,FALSE)) &amp; " | " &amp; AC67)),IFERROR(AC67 &amp; " " &amp; REPT("●",VLOOKUP(AC67,$F$177:$P$181,11,FALSE)),AC67 &amp; " " &amp; REPT("●",VLOOKUP(AC67,tblPacts[],4,FALSE)))))</f>
        <v/>
      </c>
      <c r="AE67" s="20" t="str" cm="1">
        <f t="array" ref="AE67">IF(AC67="","",IFERROR(IF(OR(VLOOKUP(AC67,tblDisciplines[],2,FALSE)={"Creation","Destruction","Divination","Protection","Transmutation"}),"¬",CONCATENATE("Cost: ",VLOOKUP(AC67,tblDisciplines[],4,FALSE),IF(VLOOKUP(AC67,tblDisciplines[],5,FALSE)="",""," " &amp; VLOOKUP(AC67,tblDisciplines[],5,FALSE)),"  •  Pool: ",IFERROR(VLOOKUP(VLOOKUP(AC67,tblDisciplines[],6,FALSE),$AI$1:$AK$58,3,FALSE)+VLOOKUP(VLOOKUP(AC67,tblDisciplines[],7,FALSE),$AI$1:$AK$58,3,FALSE)+VLOOKUP(VLOOKUP(AC67,tblDisciplines[],8,FALSE),$AI$1:$AK$58,3,FALSE),"-"),IF(VLOOKUP(AC67,tblDisciplines[],9,FALSE)="","",CONCATENATE(" ",VLOOKUP(AC67,tblDisciplines[],9,FALSE))),"  •  ",VLOOKUP(AC67,tblDisciplines[],10,FALSE),IF(VLOOKUP(AC67,tblDisciplines[],11,FALSE)="","","  •  " &amp; VLOOKUP(AC67,tblDisciplines[],11,FALSE)))),"¬"))</f>
        <v/>
      </c>
      <c r="AF67" s="20" t="str">
        <f>IF(AC67="","",IFERROR(VLOOKUP(AC67,tblDisciplines[],12,FALSE),VLOOKUP(AC67,tblPacts[],5,FALSE)))</f>
        <v/>
      </c>
    </row>
    <row r="68" spans="1:32">
      <c r="A68" s="1" t="s">
        <v>67</v>
      </c>
      <c r="B68" t="str">
        <f t="shared" si="10"/>
        <v/>
      </c>
      <c r="D68" s="18"/>
      <c r="E68" s="15" t="s">
        <v>47</v>
      </c>
      <c r="F68" s="18"/>
      <c r="G68" s="3"/>
      <c r="H68" s="18"/>
      <c r="I68" s="18"/>
      <c r="L68" s="4"/>
      <c r="M68" s="60"/>
      <c r="N68" s="4"/>
      <c r="O68" s="61">
        <f t="shared" si="13"/>
        <v>0</v>
      </c>
      <c r="P68" s="60">
        <f t="shared" si="11"/>
        <v>0</v>
      </c>
      <c r="R68" s="61">
        <v>5</v>
      </c>
      <c r="T68" s="4"/>
      <c r="U68" s="4"/>
      <c r="V68" s="61">
        <f t="shared" si="12"/>
        <v>0</v>
      </c>
      <c r="W68" s="4"/>
      <c r="Y68" s="15">
        <v>4</v>
      </c>
      <c r="Z68" s="61" t="s">
        <v>241</v>
      </c>
      <c r="AA68" s="60" t="str" cm="1">
        <f t="array" ref="AA68">IF(OR(Y68=0,Y68=""),"",IF(VLOOKUP(Z68,$AI$1:$AJ$58,2,FALSE)&gt;=Y68,INDEX(tblDisciplines[Name],MATCH(1,(tblDisciplines[Discipline]=Z68)*(tblDisciplines[Rank]=Y68),0)),""))</f>
        <v/>
      </c>
      <c r="AC68" s="60"/>
      <c r="AD68" s="20" t="str" cm="1">
        <f t="array" ref="AD68">IF(AC68="","",IFERROR(IF(OR(VLOOKUP(AC68,tblDisciplines[],2,FALSE)={"Creation","Destruction","Divination","Protection","Transmutation"}),"Blood Sorcery | " &amp; VLOOKUP(AC68,tblDisciplines[],2,FALSE) &amp; " " &amp; REPT("●",VLOOKUP(AC68,tblDisciplines[],3,FALSE)),IF(AC68=VLOOKUP(AC68,tblDisciplines[],2,FALSE)&amp;" "&amp;VLOOKUP(AC68,tblDisciplines[],3,FALSE),VLOOKUP(AC68,tblDisciplines[],2,FALSE) &amp; " " &amp; REPT("●",VLOOKUP(AC68,tblDisciplines[],3,FALSE)),VLOOKUP(AC68,tblDisciplines[],2,FALSE) &amp; " " &amp; REPT("●",VLOOKUP(AC68,tblDisciplines[],3,FALSE)) &amp; " | " &amp; AC68)),IFERROR(AC68 &amp; " " &amp; REPT("●",VLOOKUP(AC68,$F$177:$P$181,11,FALSE)),AC68 &amp; " " &amp; REPT("●",VLOOKUP(AC68,tblPacts[],4,FALSE)))))</f>
        <v/>
      </c>
      <c r="AE68" s="20" t="str" cm="1">
        <f t="array" ref="AE68">IF(AC68="","",IFERROR(IF(OR(VLOOKUP(AC68,tblDisciplines[],2,FALSE)={"Creation","Destruction","Divination","Protection","Transmutation"}),"¬",CONCATENATE("Cost: ",VLOOKUP(AC68,tblDisciplines[],4,FALSE),IF(VLOOKUP(AC68,tblDisciplines[],5,FALSE)="",""," " &amp; VLOOKUP(AC68,tblDisciplines[],5,FALSE)),"  •  Pool: ",IFERROR(VLOOKUP(VLOOKUP(AC68,tblDisciplines[],6,FALSE),$AI$1:$AK$58,3,FALSE)+VLOOKUP(VLOOKUP(AC68,tblDisciplines[],7,FALSE),$AI$1:$AK$58,3,FALSE)+VLOOKUP(VLOOKUP(AC68,tblDisciplines[],8,FALSE),$AI$1:$AK$58,3,FALSE),"-"),IF(VLOOKUP(AC68,tblDisciplines[],9,FALSE)="","",CONCATENATE(" ",VLOOKUP(AC68,tblDisciplines[],9,FALSE))),"  •  ",VLOOKUP(AC68,tblDisciplines[],10,FALSE),IF(VLOOKUP(AC68,tblDisciplines[],11,FALSE)="","","  •  " &amp; VLOOKUP(AC68,tblDisciplines[],11,FALSE)))),"¬"))</f>
        <v/>
      </c>
      <c r="AF68" s="20" t="str">
        <f>IF(AC68="","",IFERROR(VLOOKUP(AC68,tblDisciplines[],12,FALSE),VLOOKUP(AC68,tblPacts[],5,FALSE)))</f>
        <v/>
      </c>
    </row>
    <row r="69" spans="1:32">
      <c r="A69" s="1" t="s">
        <v>68</v>
      </c>
      <c r="B69" t="str">
        <f t="shared" si="10"/>
        <v/>
      </c>
      <c r="D69" s="18"/>
      <c r="E69" s="15" t="s">
        <v>48</v>
      </c>
      <c r="F69" s="18"/>
      <c r="G69" s="3"/>
      <c r="H69" s="18"/>
      <c r="I69" s="18"/>
      <c r="L69" s="4">
        <v>3</v>
      </c>
      <c r="M69" s="60"/>
      <c r="N69" s="4"/>
      <c r="O69" s="61">
        <f t="shared" si="13"/>
        <v>0</v>
      </c>
      <c r="P69" s="60">
        <f t="shared" si="11"/>
        <v>3</v>
      </c>
      <c r="R69" s="61">
        <v>5</v>
      </c>
      <c r="T69" s="4"/>
      <c r="U69" s="4"/>
      <c r="V69" s="61">
        <f t="shared" si="12"/>
        <v>0</v>
      </c>
      <c r="W69" s="4"/>
      <c r="Y69" s="15">
        <v>5</v>
      </c>
      <c r="Z69" s="61" t="s">
        <v>241</v>
      </c>
      <c r="AA69" s="60" t="str" cm="1">
        <f t="array" ref="AA69">IF(OR(Y69=0,Y69=""),"",IF(VLOOKUP(Z69,$AI$1:$AJ$58,2,FALSE)&gt;=Y69,INDEX(tblDisciplines[Name],MATCH(1,(tblDisciplines[Discipline]=Z69)*(tblDisciplines[Rank]=Y69),0)),""))</f>
        <v/>
      </c>
      <c r="AC69" s="60"/>
      <c r="AD69" s="20" t="str" cm="1">
        <f t="array" ref="AD69">IF(AC69="","",IFERROR(IF(OR(VLOOKUP(AC69,tblDisciplines[],2,FALSE)={"Creation","Destruction","Divination","Protection","Transmutation"}),"Blood Sorcery | " &amp; VLOOKUP(AC69,tblDisciplines[],2,FALSE) &amp; " " &amp; REPT("●",VLOOKUP(AC69,tblDisciplines[],3,FALSE)),IF(AC69=VLOOKUP(AC69,tblDisciplines[],2,FALSE)&amp;" "&amp;VLOOKUP(AC69,tblDisciplines[],3,FALSE),VLOOKUP(AC69,tblDisciplines[],2,FALSE) &amp; " " &amp; REPT("●",VLOOKUP(AC69,tblDisciplines[],3,FALSE)),VLOOKUP(AC69,tblDisciplines[],2,FALSE) &amp; " " &amp; REPT("●",VLOOKUP(AC69,tblDisciplines[],3,FALSE)) &amp; " | " &amp; AC69)),IFERROR(AC69 &amp; " " &amp; REPT("●",VLOOKUP(AC69,$F$177:$P$181,11,FALSE)),AC69 &amp; " " &amp; REPT("●",VLOOKUP(AC69,tblPacts[],4,FALSE)))))</f>
        <v/>
      </c>
      <c r="AE69" s="20" t="str" cm="1">
        <f t="array" ref="AE69">IF(AC69="","",IFERROR(IF(OR(VLOOKUP(AC69,tblDisciplines[],2,FALSE)={"Creation","Destruction","Divination","Protection","Transmutation"}),"¬",CONCATENATE("Cost: ",VLOOKUP(AC69,tblDisciplines[],4,FALSE),IF(VLOOKUP(AC69,tblDisciplines[],5,FALSE)="",""," " &amp; VLOOKUP(AC69,tblDisciplines[],5,FALSE)),"  •  Pool: ",IFERROR(VLOOKUP(VLOOKUP(AC69,tblDisciplines[],6,FALSE),$AI$1:$AK$58,3,FALSE)+VLOOKUP(VLOOKUP(AC69,tblDisciplines[],7,FALSE),$AI$1:$AK$58,3,FALSE)+VLOOKUP(VLOOKUP(AC69,tblDisciplines[],8,FALSE),$AI$1:$AK$58,3,FALSE),"-"),IF(VLOOKUP(AC69,tblDisciplines[],9,FALSE)="","",CONCATENATE(" ",VLOOKUP(AC69,tblDisciplines[],9,FALSE))),"  •  ",VLOOKUP(AC69,tblDisciplines[],10,FALSE),IF(VLOOKUP(AC69,tblDisciplines[],11,FALSE)="","","  •  " &amp; VLOOKUP(AC69,tblDisciplines[],11,FALSE)))),"¬"))</f>
        <v/>
      </c>
      <c r="AF69" s="20" t="str">
        <f>IF(AC69="","",IFERROR(VLOOKUP(AC69,tblDisciplines[],12,FALSE),VLOOKUP(AC69,tblPacts[],5,FALSE)))</f>
        <v/>
      </c>
    </row>
    <row r="70" spans="1:32">
      <c r="A70" s="1" t="s">
        <v>69</v>
      </c>
      <c r="B70" t="str">
        <f t="shared" si="10"/>
        <v/>
      </c>
      <c r="Y70" s="15">
        <v>1</v>
      </c>
      <c r="Z70" s="61" t="s">
        <v>242</v>
      </c>
      <c r="AA70" s="60" t="str" cm="1">
        <f t="array" ref="AA70">IF(OR(Y70=0,Y70=""),"",IF(VLOOKUP(Z70,$AI$1:$AJ$58,2,FALSE)&gt;=Y70,INDEX(tblDisciplines[Name],MATCH(1,(tblDisciplines[Discipline]=Z70)*(tblDisciplines[Rank]=Y70),0)),""))</f>
        <v>Face in the Crowd</v>
      </c>
      <c r="AC70" s="60"/>
      <c r="AD70" s="20" t="str" cm="1">
        <f t="array" ref="AD70">IF(AC70="","",IFERROR(IF(OR(VLOOKUP(AC70,tblDisciplines[],2,FALSE)={"Creation","Destruction","Divination","Protection","Transmutation"}),"Blood Sorcery | " &amp; VLOOKUP(AC70,tblDisciplines[],2,FALSE) &amp; " " &amp; REPT("●",VLOOKUP(AC70,tblDisciplines[],3,FALSE)),IF(AC70=VLOOKUP(AC70,tblDisciplines[],2,FALSE)&amp;" "&amp;VLOOKUP(AC70,tblDisciplines[],3,FALSE),VLOOKUP(AC70,tblDisciplines[],2,FALSE) &amp; " " &amp; REPT("●",VLOOKUP(AC70,tblDisciplines[],3,FALSE)),VLOOKUP(AC70,tblDisciplines[],2,FALSE) &amp; " " &amp; REPT("●",VLOOKUP(AC70,tblDisciplines[],3,FALSE)) &amp; " | " &amp; AC70)),IFERROR(AC70 &amp; " " &amp; REPT("●",VLOOKUP(AC70,$F$177:$P$181,11,FALSE)),AC70 &amp; " " &amp; REPT("●",VLOOKUP(AC70,tblPacts[],4,FALSE)))))</f>
        <v/>
      </c>
      <c r="AE70" s="20" t="str" cm="1">
        <f t="array" ref="AE70">IF(AC70="","",IFERROR(IF(OR(VLOOKUP(AC70,tblDisciplines[],2,FALSE)={"Creation","Destruction","Divination","Protection","Transmutation"}),"¬",CONCATENATE("Cost: ",VLOOKUP(AC70,tblDisciplines[],4,FALSE),IF(VLOOKUP(AC70,tblDisciplines[],5,FALSE)="",""," " &amp; VLOOKUP(AC70,tblDisciplines[],5,FALSE)),"  •  Pool: ",IFERROR(VLOOKUP(VLOOKUP(AC70,tblDisciplines[],6,FALSE),$AI$1:$AK$58,3,FALSE)+VLOOKUP(VLOOKUP(AC70,tblDisciplines[],7,FALSE),$AI$1:$AK$58,3,FALSE)+VLOOKUP(VLOOKUP(AC70,tblDisciplines[],8,FALSE),$AI$1:$AK$58,3,FALSE),"-"),IF(VLOOKUP(AC70,tblDisciplines[],9,FALSE)="","",CONCATENATE(" ",VLOOKUP(AC70,tblDisciplines[],9,FALSE))),"  •  ",VLOOKUP(AC70,tblDisciplines[],10,FALSE),IF(VLOOKUP(AC70,tblDisciplines[],11,FALSE)="","","  •  " &amp; VLOOKUP(AC70,tblDisciplines[],11,FALSE)))),"¬"))</f>
        <v/>
      </c>
      <c r="AF70" s="20" t="str">
        <f>IF(AC70="","",IFERROR(VLOOKUP(AC70,tblDisciplines[],12,FALSE),VLOOKUP(AC70,tblPacts[],5,FALSE)))</f>
        <v/>
      </c>
    </row>
    <row r="71" spans="1:32" ht="15.75" thickBot="1">
      <c r="A71" s="1" t="s">
        <v>70</v>
      </c>
      <c r="B71" t="str">
        <f t="shared" si="10"/>
        <v/>
      </c>
      <c r="D71" s="14" t="s">
        <v>1469</v>
      </c>
      <c r="E71" s="14"/>
      <c r="F71" s="14"/>
      <c r="G71" s="14"/>
      <c r="H71" s="14"/>
      <c r="I71" s="14"/>
      <c r="N71" s="60">
        <f>SUM(N72:N74)</f>
        <v>0</v>
      </c>
      <c r="Y71" s="15">
        <v>2</v>
      </c>
      <c r="Z71" s="61" t="s">
        <v>242</v>
      </c>
      <c r="AA71" s="60" t="str" cm="1">
        <f t="array" ref="AA71">IF(OR(Y71=0,Y71=""),"",IF(VLOOKUP(Z71,$AI$1:$AJ$58,2,FALSE)&gt;=Y71,INDEX(tblDisciplines[Name],MATCH(1,(tblDisciplines[Discipline]=Z71)*(tblDisciplines[Rank]=Y71),0)),""))</f>
        <v>Touch of Shadow</v>
      </c>
      <c r="AC71" s="60"/>
      <c r="AD71" s="20" t="str" cm="1">
        <f t="array" ref="AD71">IF(AC71="","",IFERROR(IF(OR(VLOOKUP(AC71,tblDisciplines[],2,FALSE)={"Creation","Destruction","Divination","Protection","Transmutation"}),"Blood Sorcery | " &amp; VLOOKUP(AC71,tblDisciplines[],2,FALSE) &amp; " " &amp; REPT("●",VLOOKUP(AC71,tblDisciplines[],3,FALSE)),IF(AC71=VLOOKUP(AC71,tblDisciplines[],2,FALSE)&amp;" "&amp;VLOOKUP(AC71,tblDisciplines[],3,FALSE),VLOOKUP(AC71,tblDisciplines[],2,FALSE) &amp; " " &amp; REPT("●",VLOOKUP(AC71,tblDisciplines[],3,FALSE)),VLOOKUP(AC71,tblDisciplines[],2,FALSE) &amp; " " &amp; REPT("●",VLOOKUP(AC71,tblDisciplines[],3,FALSE)) &amp; " | " &amp; AC71)),IFERROR(AC71 &amp; " " &amp; REPT("●",VLOOKUP(AC71,$F$177:$P$181,11,FALSE)),AC71 &amp; " " &amp; REPT("●",VLOOKUP(AC71,tblPacts[],4,FALSE)))))</f>
        <v/>
      </c>
      <c r="AE71" s="20" t="str" cm="1">
        <f t="array" ref="AE71">IF(AC71="","",IFERROR(IF(OR(VLOOKUP(AC71,tblDisciplines[],2,FALSE)={"Creation","Destruction","Divination","Protection","Transmutation"}),"¬",CONCATENATE("Cost: ",VLOOKUP(AC71,tblDisciplines[],4,FALSE),IF(VLOOKUP(AC71,tblDisciplines[],5,FALSE)="",""," " &amp; VLOOKUP(AC71,tblDisciplines[],5,FALSE)),"  •  Pool: ",IFERROR(VLOOKUP(VLOOKUP(AC71,tblDisciplines[],6,FALSE),$AI$1:$AK$58,3,FALSE)+VLOOKUP(VLOOKUP(AC71,tblDisciplines[],7,FALSE),$AI$1:$AK$58,3,FALSE)+VLOOKUP(VLOOKUP(AC71,tblDisciplines[],8,FALSE),$AI$1:$AK$58,3,FALSE),"-"),IF(VLOOKUP(AC71,tblDisciplines[],9,FALSE)="","",CONCATENATE(" ",VLOOKUP(AC71,tblDisciplines[],9,FALSE))),"  •  ",VLOOKUP(AC71,tblDisciplines[],10,FALSE),IF(VLOOKUP(AC71,tblDisciplines[],11,FALSE)="","","  •  " &amp; VLOOKUP(AC71,tblDisciplines[],11,FALSE)))),"¬"))</f>
        <v/>
      </c>
      <c r="AF71" s="20" t="str">
        <f>IF(AC71="","",IFERROR(VLOOKUP(AC71,tblDisciplines[],12,FALSE),VLOOKUP(AC71,tblPacts[],5,FALSE)))</f>
        <v/>
      </c>
    </row>
    <row r="72" spans="1:32">
      <c r="A72" s="1" t="s">
        <v>71</v>
      </c>
      <c r="B72" t="str">
        <f t="shared" si="10"/>
        <v/>
      </c>
      <c r="D72" s="19"/>
      <c r="E72" s="15" t="s">
        <v>49</v>
      </c>
      <c r="F72" s="19"/>
      <c r="G72" s="19"/>
      <c r="H72" s="19"/>
      <c r="I72" s="19"/>
      <c r="K72" s="4"/>
      <c r="L72" s="4"/>
      <c r="M72" s="60">
        <v>1</v>
      </c>
      <c r="N72" s="4"/>
      <c r="O72" s="61">
        <f>ROUNDDOWN(N72/5,0)</f>
        <v>0</v>
      </c>
      <c r="P72" s="60">
        <f>MIN(SUM(K72*-1,ROUNDDOWN(L72/5,0),M72,O72),R72)</f>
        <v>1</v>
      </c>
      <c r="R72" s="61">
        <v>2</v>
      </c>
      <c r="Y72" s="15">
        <v>3</v>
      </c>
      <c r="Z72" s="61" t="s">
        <v>242</v>
      </c>
      <c r="AA72" s="60" t="str" cm="1">
        <f t="array" ref="AA72">IF(OR(Y72=0,Y72=""),"",IF(VLOOKUP(Z72,$AI$1:$AJ$58,2,FALSE)&gt;=Y72,INDEX(tblDisciplines[Name],MATCH(1,(tblDisciplines[Discipline]=Z72)*(tblDisciplines[Rank]=Y72),0)),""))</f>
        <v>Cloak of Night</v>
      </c>
      <c r="AC72" s="60"/>
      <c r="AD72" s="20" t="str" cm="1">
        <f t="array" ref="AD72">IF(AC72="","",IFERROR(IF(OR(VLOOKUP(AC72,tblDisciplines[],2,FALSE)={"Creation","Destruction","Divination","Protection","Transmutation"}),"Blood Sorcery | " &amp; VLOOKUP(AC72,tblDisciplines[],2,FALSE) &amp; " " &amp; REPT("●",VLOOKUP(AC72,tblDisciplines[],3,FALSE)),IF(AC72=VLOOKUP(AC72,tblDisciplines[],2,FALSE)&amp;" "&amp;VLOOKUP(AC72,tblDisciplines[],3,FALSE),VLOOKUP(AC72,tblDisciplines[],2,FALSE) &amp; " " &amp; REPT("●",VLOOKUP(AC72,tblDisciplines[],3,FALSE)),VLOOKUP(AC72,tblDisciplines[],2,FALSE) &amp; " " &amp; REPT("●",VLOOKUP(AC72,tblDisciplines[],3,FALSE)) &amp; " | " &amp; AC72)),IFERROR(AC72 &amp; " " &amp; REPT("●",VLOOKUP(AC72,$F$177:$P$181,11,FALSE)),AC72 &amp; " " &amp; REPT("●",VLOOKUP(AC72,tblPacts[],4,FALSE)))))</f>
        <v/>
      </c>
      <c r="AE72" s="20" t="str" cm="1">
        <f t="array" ref="AE72">IF(AC72="","",IFERROR(IF(OR(VLOOKUP(AC72,tblDisciplines[],2,FALSE)={"Creation","Destruction","Divination","Protection","Transmutation"}),"¬",CONCATENATE("Cost: ",VLOOKUP(AC72,tblDisciplines[],4,FALSE),IF(VLOOKUP(AC72,tblDisciplines[],5,FALSE)="",""," " &amp; VLOOKUP(AC72,tblDisciplines[],5,FALSE)),"  •  Pool: ",IFERROR(VLOOKUP(VLOOKUP(AC72,tblDisciplines[],6,FALSE),$AI$1:$AK$58,3,FALSE)+VLOOKUP(VLOOKUP(AC72,tblDisciplines[],7,FALSE),$AI$1:$AK$58,3,FALSE)+VLOOKUP(VLOOKUP(AC72,tblDisciplines[],8,FALSE),$AI$1:$AK$58,3,FALSE),"-"),IF(VLOOKUP(AC72,tblDisciplines[],9,FALSE)="","",CONCATENATE(" ",VLOOKUP(AC72,tblDisciplines[],9,FALSE))),"  •  ",VLOOKUP(AC72,tblDisciplines[],10,FALSE),IF(VLOOKUP(AC72,tblDisciplines[],11,FALSE)="","","  •  " &amp; VLOOKUP(AC72,tblDisciplines[],11,FALSE)))),"¬"))</f>
        <v/>
      </c>
      <c r="AF72" s="20" t="str">
        <f>IF(AC72="","",IFERROR(VLOOKUP(AC72,tblDisciplines[],12,FALSE),VLOOKUP(AC72,tblPacts[],5,FALSE)))</f>
        <v/>
      </c>
    </row>
    <row r="73" spans="1:32">
      <c r="A73" s="1" t="s">
        <v>72</v>
      </c>
      <c r="B73" t="str">
        <f t="shared" si="10"/>
        <v/>
      </c>
      <c r="D73" s="19"/>
      <c r="E73" s="15" t="s">
        <v>1448</v>
      </c>
      <c r="F73" s="19"/>
      <c r="G73" s="19"/>
      <c r="H73" s="19"/>
      <c r="I73" s="19"/>
      <c r="K73" s="4">
        <v>1</v>
      </c>
      <c r="M73" s="60">
        <v>7</v>
      </c>
      <c r="N73" s="4"/>
      <c r="O73" s="61">
        <f>ROUNDDOWN(N73/2,0)</f>
        <v>0</v>
      </c>
      <c r="P73" s="60">
        <f>MIN(SUM(K73*-1,M73,O73),R73)</f>
        <v>6</v>
      </c>
      <c r="R73" s="61">
        <v>10</v>
      </c>
      <c r="Y73" s="15">
        <v>4</v>
      </c>
      <c r="Z73" s="61" t="s">
        <v>242</v>
      </c>
      <c r="AA73" s="60" t="str" cm="1">
        <f t="array" ref="AA73">IF(OR(Y73=0,Y73=""),"",IF(VLOOKUP(Z73,$AI$1:$AJ$58,2,FALSE)&gt;=Y73,INDEX(tblDisciplines[Name],MATCH(1,(tblDisciplines[Discipline]=Z73)*(tblDisciplines[Rank]=Y73),0)),""))</f>
        <v>The Familiar Stranger</v>
      </c>
      <c r="AC73" s="60"/>
      <c r="AD73" s="20" t="str" cm="1">
        <f t="array" ref="AD73">IF(AC73="","",IFERROR(IF(OR(VLOOKUP(AC73,tblDisciplines[],2,FALSE)={"Creation","Destruction","Divination","Protection","Transmutation"}),"Blood Sorcery | " &amp; VLOOKUP(AC73,tblDisciplines[],2,FALSE) &amp; " " &amp; REPT("●",VLOOKUP(AC73,tblDisciplines[],3,FALSE)),IF(AC73=VLOOKUP(AC73,tblDisciplines[],2,FALSE)&amp;" "&amp;VLOOKUP(AC73,tblDisciplines[],3,FALSE),VLOOKUP(AC73,tblDisciplines[],2,FALSE) &amp; " " &amp; REPT("●",VLOOKUP(AC73,tblDisciplines[],3,FALSE)),VLOOKUP(AC73,tblDisciplines[],2,FALSE) &amp; " " &amp; REPT("●",VLOOKUP(AC73,tblDisciplines[],3,FALSE)) &amp; " | " &amp; AC73)),IFERROR(AC73 &amp; " " &amp; REPT("●",VLOOKUP(AC73,$F$177:$P$181,11,FALSE)),AC73 &amp; " " &amp; REPT("●",VLOOKUP(AC73,tblPacts[],4,FALSE)))))</f>
        <v/>
      </c>
      <c r="AE73" s="20" t="str" cm="1">
        <f t="array" ref="AE73">IF(AC73="","",IFERROR(IF(OR(VLOOKUP(AC73,tblDisciplines[],2,FALSE)={"Creation","Destruction","Divination","Protection","Transmutation"}),"¬",CONCATENATE("Cost: ",VLOOKUP(AC73,tblDisciplines[],4,FALSE),IF(VLOOKUP(AC73,tblDisciplines[],5,FALSE)="",""," " &amp; VLOOKUP(AC73,tblDisciplines[],5,FALSE)),"  •  Pool: ",IFERROR(VLOOKUP(VLOOKUP(AC73,tblDisciplines[],6,FALSE),$AI$1:$AK$58,3,FALSE)+VLOOKUP(VLOOKUP(AC73,tblDisciplines[],7,FALSE),$AI$1:$AK$58,3,FALSE)+VLOOKUP(VLOOKUP(AC73,tblDisciplines[],8,FALSE),$AI$1:$AK$58,3,FALSE),"-"),IF(VLOOKUP(AC73,tblDisciplines[],9,FALSE)="","",CONCATENATE(" ",VLOOKUP(AC73,tblDisciplines[],9,FALSE))),"  •  ",VLOOKUP(AC73,tblDisciplines[],10,FALSE),IF(VLOOKUP(AC73,tblDisciplines[],11,FALSE)="","","  •  " &amp; VLOOKUP(AC73,tblDisciplines[],11,FALSE)))),"¬"))</f>
        <v/>
      </c>
      <c r="AF73" s="20" t="str">
        <f>IF(AC73="","",IFERROR(VLOOKUP(AC73,tblDisciplines[],12,FALSE),VLOOKUP(AC73,tblPacts[],5,FALSE)))</f>
        <v/>
      </c>
    </row>
    <row r="74" spans="1:32">
      <c r="A74" s="1" t="s">
        <v>73</v>
      </c>
      <c r="B74" t="str">
        <f t="shared" si="10"/>
        <v/>
      </c>
      <c r="D74" s="19"/>
      <c r="E74" s="15" t="s">
        <v>53</v>
      </c>
      <c r="F74" s="19"/>
      <c r="G74" s="19"/>
      <c r="H74" s="19"/>
      <c r="I74" s="19"/>
      <c r="K74" s="4"/>
      <c r="M74" s="60">
        <f>P28+P38</f>
        <v>4</v>
      </c>
      <c r="N74" s="4"/>
      <c r="O74" s="61">
        <f>N74</f>
        <v>0</v>
      </c>
      <c r="P74" s="60">
        <f>MIN(SUM(K74*-1,M74,O74),R74)</f>
        <v>4</v>
      </c>
      <c r="R74" s="61">
        <v>10</v>
      </c>
      <c r="Y74" s="15">
        <v>5</v>
      </c>
      <c r="Z74" s="61" t="s">
        <v>242</v>
      </c>
      <c r="AA74" s="60" t="str" cm="1">
        <f t="array" ref="AA74">IF(OR(Y74=0,Y74=""),"",IF(VLOOKUP(Z74,$AI$1:$AJ$58,2,FALSE)&gt;=Y74,INDEX(tblDisciplines[Name],MATCH(1,(tblDisciplines[Discipline]=Z74)*(tblDisciplines[Rank]=Y74),0)),""))</f>
        <v>Oubliette</v>
      </c>
    </row>
    <row r="75" spans="1:32">
      <c r="A75" s="1" t="s">
        <v>74</v>
      </c>
      <c r="B75" t="str">
        <f t="shared" si="10"/>
        <v/>
      </c>
      <c r="D75" s="19"/>
      <c r="E75" s="15" t="s">
        <v>55</v>
      </c>
      <c r="F75" s="19"/>
      <c r="G75" s="19"/>
      <c r="H75" s="19"/>
      <c r="I75" s="19"/>
      <c r="P75" s="60">
        <f ca="1">VLOOKUP(VLOOKUP("Blood Potency",INDIRECT($AH$1),2,FALSE),tblBloodPotency[],2,FALSE)</f>
        <v>10</v>
      </c>
      <c r="Y75" s="15">
        <v>1</v>
      </c>
      <c r="Z75" s="61" t="s">
        <v>243</v>
      </c>
      <c r="AA75" s="60" t="str" cm="1">
        <f t="array" ref="AA75">IF(OR(Y75=0,Y75=""),"",IF(VLOOKUP(Z75,$AI$1:$AJ$58,2,FALSE)&gt;=Y75,INDEX(tblDisciplines[Name],MATCH(1,(tblDisciplines[Discipline]=Z75)*(tblDisciplines[Rank]=Y75),0)),""))</f>
        <v/>
      </c>
    </row>
    <row r="76" spans="1:32">
      <c r="A76" s="1" t="s">
        <v>75</v>
      </c>
      <c r="B76" t="str">
        <f t="shared" si="10"/>
        <v/>
      </c>
      <c r="Y76" s="15">
        <v>2</v>
      </c>
      <c r="Z76" s="61" t="s">
        <v>243</v>
      </c>
      <c r="AA76" s="60" t="str" cm="1">
        <f t="array" ref="AA76">IF(OR(Y76=0,Y76=""),"",IF(VLOOKUP(Z76,$AI$1:$AJ$58,2,FALSE)&gt;=Y76,INDEX(tblDisciplines[Name],MATCH(1,(tblDisciplines[Discipline]=Z76)*(tblDisciplines[Rank]=Y76),0)),""))</f>
        <v/>
      </c>
    </row>
    <row r="77" spans="1:32" ht="15.75" thickBot="1">
      <c r="A77" s="1" t="s">
        <v>76</v>
      </c>
      <c r="B77" t="str">
        <f t="shared" si="10"/>
        <v/>
      </c>
      <c r="D77" s="14" t="s">
        <v>1470</v>
      </c>
      <c r="E77" s="14"/>
      <c r="F77" s="14"/>
      <c r="G77" s="14"/>
      <c r="H77" s="14"/>
      <c r="I77" s="14"/>
      <c r="N77" s="60">
        <f>SUM(N79:N98,N101:N120,N206:N215,N132:N135,N138:N157,N160:N161,)</f>
        <v>3</v>
      </c>
      <c r="Y77" s="15">
        <v>3</v>
      </c>
      <c r="Z77" s="61" t="s">
        <v>243</v>
      </c>
      <c r="AA77" s="60" t="str" cm="1">
        <f t="array" ref="AA77">IF(OR(Y77=0,Y77=""),"",IF(VLOOKUP(Z77,$AI$1:$AJ$58,2,FALSE)&gt;=Y77,INDEX(tblDisciplines[Name],MATCH(1,(tblDisciplines[Discipline]=Z77)*(tblDisciplines[Rank]=Y77),0)),""))</f>
        <v/>
      </c>
    </row>
    <row r="78" spans="1:32">
      <c r="A78" s="1" t="s">
        <v>77</v>
      </c>
      <c r="B78" t="str">
        <f t="shared" si="10"/>
        <v/>
      </c>
      <c r="D78" s="16" t="s">
        <v>1471</v>
      </c>
      <c r="E78" s="17"/>
      <c r="F78" s="17"/>
      <c r="G78" s="17"/>
      <c r="H78" s="17"/>
      <c r="I78" s="17"/>
      <c r="L78" s="60">
        <f>10-L72-SUM(L79:L98)-SUM(L101:L120)-SUM(L206:L215)-SUM(L132:L135)-SUM(L138:L157)-SUM(L160:L161)</f>
        <v>0</v>
      </c>
      <c r="Y78" s="15">
        <v>4</v>
      </c>
      <c r="Z78" s="61" t="s">
        <v>243</v>
      </c>
      <c r="AA78" s="60" t="str" cm="1">
        <f t="array" ref="AA78">IF(OR(Y78=0,Y78=""),"",IF(VLOOKUP(Z78,$AI$1:$AJ$58,2,FALSE)&gt;=Y78,INDEX(tblDisciplines[Name],MATCH(1,(tblDisciplines[Discipline]=Z78)*(tblDisciplines[Rank]=Y78),0)),""))</f>
        <v/>
      </c>
    </row>
    <row r="79" spans="1:32">
      <c r="A79" s="1" t="s">
        <v>78</v>
      </c>
      <c r="B79" t="str">
        <f t="shared" si="10"/>
        <v/>
      </c>
      <c r="D79" s="19"/>
      <c r="E79" s="15" t="s">
        <v>114</v>
      </c>
      <c r="F79" s="3" t="s">
        <v>1590</v>
      </c>
      <c r="G79" s="3"/>
      <c r="H79" s="67" t="str">
        <f>_xlfn.IFNA(IF(VLOOKUP(F79,tblMerits[],6,FALSE)=0,"None",VLOOKUP(F79,tblMerits[],6,FALSE)),"None")</f>
        <v>Resolve 3</v>
      </c>
      <c r="I79" s="67"/>
      <c r="L79" s="4">
        <v>2</v>
      </c>
      <c r="M79" s="4"/>
      <c r="N79" s="4"/>
      <c r="O79" s="61">
        <f>N79</f>
        <v>0</v>
      </c>
      <c r="P79" s="60">
        <f t="shared" ref="P79:P98" si="14">MIN(SUM(L79,M79,O79),R79)</f>
        <v>2</v>
      </c>
      <c r="Q79" s="61">
        <f>_xlfn.IFNA(VLOOKUP($F79,tblMerits[],3,FALSE),"")</f>
        <v>2</v>
      </c>
      <c r="R79" s="61">
        <f>_xlfn.IFNA(VLOOKUP($F79,tblMerits[],4,FALSE),"")</f>
        <v>2</v>
      </c>
      <c r="Y79" s="15">
        <v>5</v>
      </c>
      <c r="Z79" s="61" t="s">
        <v>243</v>
      </c>
      <c r="AA79" s="60" t="str" cm="1">
        <f t="array" ref="AA79">IF(OR(Y79=0,Y79=""),"",IF(VLOOKUP(Z79,$AI$1:$AJ$58,2,FALSE)&gt;=Y79,INDEX(tblDisciplines[Name],MATCH(1,(tblDisciplines[Discipline]=Z79)*(tblDisciplines[Rank]=Y79),0)),""))</f>
        <v/>
      </c>
    </row>
    <row r="80" spans="1:32">
      <c r="A80" s="1" t="s">
        <v>79</v>
      </c>
      <c r="B80" t="str">
        <f t="shared" si="10"/>
        <v/>
      </c>
      <c r="D80" s="19"/>
      <c r="E80" s="15" t="s">
        <v>115</v>
      </c>
      <c r="F80" s="3" t="s">
        <v>1829</v>
      </c>
      <c r="G80" s="3"/>
      <c r="H80" s="67" t="str">
        <f>_xlfn.IFNA(IF(VLOOKUP(F80,tblMerits[],6,FALSE)=0,"None",VLOOKUP(F80,tblMerits[],6,FALSE)),"None")</f>
        <v>None</v>
      </c>
      <c r="I80" s="67"/>
      <c r="L80" s="4">
        <v>1</v>
      </c>
      <c r="M80" s="4"/>
      <c r="N80" s="4"/>
      <c r="O80" s="61">
        <f t="shared" ref="O80:O98" si="15">N80</f>
        <v>0</v>
      </c>
      <c r="P80" s="60">
        <f t="shared" si="14"/>
        <v>1</v>
      </c>
      <c r="Q80" s="61">
        <f>_xlfn.IFNA(VLOOKUP($F80,tblMerits[],3,FALSE),"")</f>
        <v>1</v>
      </c>
      <c r="R80" s="61">
        <f>_xlfn.IFNA(VLOOKUP($F80,tblMerits[],4,FALSE),"")</f>
        <v>1</v>
      </c>
      <c r="Y80" s="15">
        <f>P173</f>
        <v>0</v>
      </c>
      <c r="Z80" s="61" t="s">
        <v>244</v>
      </c>
      <c r="AA80" s="60" t="str" cm="1">
        <f t="array" ref="AA80">IF(OR(Y80=0,Y80=""),"",IF(VLOOKUP(Z80,$AI$1:$AJ$58,2,FALSE)&gt;=Y80,INDEX(tblDisciplines[Name],MATCH(1,(tblDisciplines[Discipline]=Z80)*(tblDisciplines[Rank]=Y80),0)),""))</f>
        <v/>
      </c>
    </row>
    <row r="81" spans="1:27">
      <c r="A81" s="1" t="s">
        <v>80</v>
      </c>
      <c r="B81" t="str">
        <f t="shared" si="10"/>
        <v/>
      </c>
      <c r="D81" s="19"/>
      <c r="E81" s="15" t="s">
        <v>116</v>
      </c>
      <c r="F81" s="3" t="s">
        <v>1634</v>
      </c>
      <c r="G81" s="3"/>
      <c r="H81" s="67" t="str">
        <f>_xlfn.IFNA(IF(VLOOKUP(F81,tblMerits[],6,FALSE)=0,"None",VLOOKUP(F81,tblMerits[],6,FALSE)),"None")</f>
        <v>Invictus Status 1</v>
      </c>
      <c r="I81" s="67"/>
      <c r="L81" s="4">
        <v>1</v>
      </c>
      <c r="M81" s="4"/>
      <c r="N81" s="4"/>
      <c r="O81" s="61">
        <f t="shared" si="15"/>
        <v>0</v>
      </c>
      <c r="P81" s="60">
        <f t="shared" si="14"/>
        <v>1</v>
      </c>
      <c r="Q81" s="61">
        <f>_xlfn.IFNA(VLOOKUP($F81,tblMerits[],3,FALSE),"")</f>
        <v>1</v>
      </c>
      <c r="R81" s="61">
        <f>_xlfn.IFNA(VLOOKUP($F81,tblMerits[],4,FALSE),"")</f>
        <v>1</v>
      </c>
      <c r="Y81" s="15">
        <f>P174</f>
        <v>0</v>
      </c>
      <c r="Z81" s="61" t="s">
        <v>245</v>
      </c>
      <c r="AA81" s="60" t="str" cm="1">
        <f t="array" ref="AA81">IF(OR(Y81=0,Y81=""),"",IF(VLOOKUP(Z81,$AI$1:$AJ$58,2,FALSE)&gt;=Y81,INDEX(tblDisciplines[Name],MATCH(1,(tblDisciplines[Discipline]=Z81)*(tblDisciplines[Rank]=Y81),0)),""))</f>
        <v/>
      </c>
    </row>
    <row r="82" spans="1:27">
      <c r="A82" s="1" t="s">
        <v>81</v>
      </c>
      <c r="B82" t="str">
        <f t="shared" si="10"/>
        <v/>
      </c>
      <c r="D82" s="19"/>
      <c r="E82" s="15" t="s">
        <v>117</v>
      </c>
      <c r="F82" s="3" t="s">
        <v>1830</v>
      </c>
      <c r="G82" s="3" t="s">
        <v>1831</v>
      </c>
      <c r="H82" s="67" t="str">
        <f>_xlfn.IFNA(IF(VLOOKUP(F82,tblMerits[],6,FALSE)=0,"None",VLOOKUP(F82,tblMerits[],6,FALSE)),"None")</f>
        <v>None</v>
      </c>
      <c r="I82" s="67"/>
      <c r="L82" s="4">
        <v>1</v>
      </c>
      <c r="M82" s="4"/>
      <c r="N82" s="4"/>
      <c r="O82" s="61">
        <f t="shared" si="15"/>
        <v>0</v>
      </c>
      <c r="P82" s="60">
        <f t="shared" si="14"/>
        <v>1</v>
      </c>
      <c r="Q82" s="61">
        <f>_xlfn.IFNA(VLOOKUP($F82,tblMerits[],3,FALSE),"")</f>
        <v>1</v>
      </c>
      <c r="R82" s="61">
        <f>_xlfn.IFNA(VLOOKUP($F82,tblMerits[],4,FALSE),"")</f>
        <v>1</v>
      </c>
      <c r="Y82" s="61" t="s">
        <v>1472</v>
      </c>
      <c r="Z82" s="19"/>
      <c r="AA82" s="60" t="str">
        <f>IF(P177="","",F177)</f>
        <v/>
      </c>
    </row>
    <row r="83" spans="1:27">
      <c r="A83" s="1" t="s">
        <v>82</v>
      </c>
      <c r="B83" t="str">
        <f t="shared" si="10"/>
        <v/>
      </c>
      <c r="D83" s="19"/>
      <c r="E83" s="15" t="s">
        <v>118</v>
      </c>
      <c r="F83" s="3"/>
      <c r="G83" s="3"/>
      <c r="H83" s="67" t="str">
        <f>_xlfn.IFNA(IF(VLOOKUP(F83,tblMerits[],6,FALSE)=0,"None",VLOOKUP(F83,tblMerits[],6,FALSE)),"None")</f>
        <v>None</v>
      </c>
      <c r="I83" s="67"/>
      <c r="L83" s="4"/>
      <c r="M83" s="4"/>
      <c r="N83" s="4"/>
      <c r="O83" s="61">
        <f t="shared" si="15"/>
        <v>0</v>
      </c>
      <c r="P83" s="60">
        <f t="shared" si="14"/>
        <v>0</v>
      </c>
      <c r="Q83" s="61" t="str">
        <f>_xlfn.IFNA(VLOOKUP($F83,tblMerits[],3,FALSE),"")</f>
        <v/>
      </c>
      <c r="R83" s="61" t="str">
        <f>_xlfn.IFNA(VLOOKUP($F83,tblMerits[],4,FALSE),"")</f>
        <v/>
      </c>
      <c r="Y83" s="61" t="s">
        <v>1472</v>
      </c>
      <c r="Z83" s="19"/>
      <c r="AA83" s="60" t="str">
        <f>IF(P178="","",F178)</f>
        <v/>
      </c>
    </row>
    <row r="84" spans="1:27">
      <c r="A84" s="1" t="s">
        <v>83</v>
      </c>
      <c r="B84">
        <f>P124</f>
        <v>2</v>
      </c>
      <c r="D84" s="19"/>
      <c r="E84" s="15" t="s">
        <v>119</v>
      </c>
      <c r="F84" s="3"/>
      <c r="G84" s="3"/>
      <c r="H84" s="67" t="str">
        <f>_xlfn.IFNA(IF(VLOOKUP(F84,tblMerits[],6,FALSE)=0,"None",VLOOKUP(F84,tblMerits[],6,FALSE)),"None")</f>
        <v>None</v>
      </c>
      <c r="I84" s="67"/>
      <c r="L84" s="4"/>
      <c r="M84" s="4"/>
      <c r="N84" s="4"/>
      <c r="O84" s="61">
        <f t="shared" si="15"/>
        <v>0</v>
      </c>
      <c r="P84" s="60">
        <f t="shared" si="14"/>
        <v>0</v>
      </c>
      <c r="Q84" s="61" t="str">
        <f>_xlfn.IFNA(VLOOKUP($F84,tblMerits[],3,FALSE),"")</f>
        <v/>
      </c>
      <c r="R84" s="61" t="str">
        <f>_xlfn.IFNA(VLOOKUP($F84,tblMerits[],4,FALSE),"")</f>
        <v/>
      </c>
      <c r="Y84" s="61" t="s">
        <v>1472</v>
      </c>
      <c r="Z84" s="19"/>
      <c r="AA84" s="60" t="str">
        <f>IF(P179="","",F179)</f>
        <v/>
      </c>
    </row>
    <row r="85" spans="1:27">
      <c r="A85" s="1" t="s">
        <v>84</v>
      </c>
      <c r="B85">
        <f>P125</f>
        <v>1</v>
      </c>
      <c r="D85" s="19"/>
      <c r="E85" s="15" t="s">
        <v>120</v>
      </c>
      <c r="F85" s="3"/>
      <c r="G85" s="3"/>
      <c r="H85" s="67" t="str">
        <f>_xlfn.IFNA(IF(VLOOKUP(F85,tblMerits[],6,FALSE)=0,"None",VLOOKUP(F85,tblMerits[],6,FALSE)),"None")</f>
        <v>None</v>
      </c>
      <c r="I85" s="67"/>
      <c r="L85" s="4"/>
      <c r="M85" s="4"/>
      <c r="N85" s="4"/>
      <c r="O85" s="61">
        <f t="shared" si="15"/>
        <v>0</v>
      </c>
      <c r="P85" s="60">
        <f t="shared" si="14"/>
        <v>0</v>
      </c>
      <c r="Q85" s="61" t="str">
        <f>_xlfn.IFNA(VLOOKUP($F85,tblMerits[],3,FALSE),"")</f>
        <v/>
      </c>
      <c r="R85" s="61" t="str">
        <f>_xlfn.IFNA(VLOOKUP($F85,tblMerits[],4,FALSE),"")</f>
        <v/>
      </c>
      <c r="Y85" s="61" t="s">
        <v>1472</v>
      </c>
      <c r="Z85" s="19"/>
      <c r="AA85" s="60" t="str">
        <f>IF(P180="","",F180)</f>
        <v/>
      </c>
    </row>
    <row r="86" spans="1:27">
      <c r="A86" s="1" t="s">
        <v>85</v>
      </c>
      <c r="B86">
        <f>P126</f>
        <v>2</v>
      </c>
      <c r="D86" s="19"/>
      <c r="E86" s="15" t="s">
        <v>121</v>
      </c>
      <c r="F86" s="3"/>
      <c r="G86" s="3"/>
      <c r="H86" s="67" t="str">
        <f>_xlfn.IFNA(IF(VLOOKUP(F86,tblMerits[],6,FALSE)=0,"None",VLOOKUP(F86,tblMerits[],6,FALSE)),"None")</f>
        <v>None</v>
      </c>
      <c r="I86" s="67"/>
      <c r="L86" s="4"/>
      <c r="M86" s="4"/>
      <c r="N86" s="4"/>
      <c r="O86" s="61">
        <f t="shared" si="15"/>
        <v>0</v>
      </c>
      <c r="P86" s="60">
        <f t="shared" si="14"/>
        <v>0</v>
      </c>
      <c r="Q86" s="61" t="str">
        <f>_xlfn.IFNA(VLOOKUP($F86,tblMerits[],3,FALSE),"")</f>
        <v/>
      </c>
      <c r="R86" s="61" t="str">
        <f>_xlfn.IFNA(VLOOKUP($F86,tblMerits[],4,FALSE),"")</f>
        <v/>
      </c>
      <c r="Y86" s="61" t="s">
        <v>1472</v>
      </c>
      <c r="Z86" s="19"/>
      <c r="AA86" s="60" t="str">
        <f>IF(P181="","",F181)</f>
        <v/>
      </c>
    </row>
    <row r="87" spans="1:27">
      <c r="A87" s="1" t="s">
        <v>86</v>
      </c>
      <c r="B87" t="str">
        <f>IF(F126="","¬",F126)</f>
        <v>Invictus</v>
      </c>
      <c r="D87" s="19"/>
      <c r="E87" s="15" t="s">
        <v>122</v>
      </c>
      <c r="F87" s="3"/>
      <c r="G87" s="3"/>
      <c r="H87" s="67" t="str">
        <f>_xlfn.IFNA(IF(VLOOKUP(F87,tblMerits[],6,FALSE)=0,"None",VLOOKUP(F87,tblMerits[],6,FALSE)),"None")</f>
        <v>None</v>
      </c>
      <c r="I87" s="67"/>
      <c r="L87" s="4"/>
      <c r="M87" s="4"/>
      <c r="N87" s="4"/>
      <c r="O87" s="61">
        <f t="shared" si="15"/>
        <v>0</v>
      </c>
      <c r="P87" s="60">
        <f t="shared" si="14"/>
        <v>0</v>
      </c>
      <c r="Q87" s="61" t="str">
        <f>_xlfn.IFNA(VLOOKUP($F87,tblMerits[],3,FALSE),"")</f>
        <v/>
      </c>
      <c r="R87" s="61" t="str">
        <f>_xlfn.IFNA(VLOOKUP($F87,tblMerits[],4,FALSE),"")</f>
        <v/>
      </c>
      <c r="Y87" s="15">
        <v>1</v>
      </c>
      <c r="Z87" s="61" t="s">
        <v>248</v>
      </c>
      <c r="AA87" s="60" t="str" cm="1">
        <f t="array" ref="AA87">IF(VLOOKUP(Z87,$AI$1:$AJ$58,2,FALSE)&gt;=Y87,INDEX(tblDisciplines[Name],MATCH(1,(tblDisciplines[Discipline]=Z87)*(tblDisciplines[Rank]=Y87),0)),"")</f>
        <v/>
      </c>
    </row>
    <row r="88" spans="1:27">
      <c r="A88" s="1" t="s">
        <v>87</v>
      </c>
      <c r="B88" t="str">
        <f>REPT("●",P126)</f>
        <v>●●</v>
      </c>
      <c r="D88" s="19"/>
      <c r="E88" s="15" t="s">
        <v>123</v>
      </c>
      <c r="F88" s="3"/>
      <c r="G88" s="3"/>
      <c r="H88" s="67" t="str">
        <f>_xlfn.IFNA(IF(VLOOKUP(F88,tblMerits[],6,FALSE)=0,"None",VLOOKUP(F88,tblMerits[],6,FALSE)),"None")</f>
        <v>None</v>
      </c>
      <c r="I88" s="67"/>
      <c r="L88" s="4"/>
      <c r="M88" s="4"/>
      <c r="N88" s="4"/>
      <c r="O88" s="61">
        <f t="shared" si="15"/>
        <v>0</v>
      </c>
      <c r="P88" s="60">
        <f t="shared" si="14"/>
        <v>0</v>
      </c>
      <c r="Q88" s="61" t="str">
        <f>_xlfn.IFNA(VLOOKUP($F88,tblMerits[],3,FALSE),"")</f>
        <v/>
      </c>
      <c r="R88" s="61" t="str">
        <f>_xlfn.IFNA(VLOOKUP($F88,tblMerits[],4,FALSE),"")</f>
        <v/>
      </c>
      <c r="Y88" s="15">
        <v>2</v>
      </c>
      <c r="Z88" s="61" t="s">
        <v>248</v>
      </c>
      <c r="AA88" s="60" t="str" cm="1">
        <f t="array" ref="AA88">IF(VLOOKUP(Z88,$AI$1:$AJ$58,2,FALSE)&gt;=Y88,INDEX(tblDisciplines[Name],MATCH(1,(tblDisciplines[Discipline]=Z88)*(tblDisciplines[Rank]=Y88),0)),"")</f>
        <v/>
      </c>
    </row>
    <row r="89" spans="1:27">
      <c r="A89" s="1" t="s">
        <v>88</v>
      </c>
      <c r="B89" t="str">
        <f>IF(F127="","¬",F127)</f>
        <v>Carthian</v>
      </c>
      <c r="D89" s="19"/>
      <c r="E89" s="15" t="s">
        <v>124</v>
      </c>
      <c r="F89" s="3"/>
      <c r="G89" s="3"/>
      <c r="H89" s="67" t="str">
        <f>_xlfn.IFNA(IF(VLOOKUP(F89,tblMerits[],6,FALSE)=0,"None",VLOOKUP(F89,tblMerits[],6,FALSE)),"None")</f>
        <v>None</v>
      </c>
      <c r="I89" s="67"/>
      <c r="L89" s="4"/>
      <c r="M89" s="4"/>
      <c r="N89" s="4"/>
      <c r="O89" s="61">
        <f t="shared" si="15"/>
        <v>0</v>
      </c>
      <c r="P89" s="60">
        <f t="shared" si="14"/>
        <v>0</v>
      </c>
      <c r="Q89" s="61" t="str">
        <f>_xlfn.IFNA(VLOOKUP($F89,tblMerits[],3,FALSE),"")</f>
        <v/>
      </c>
      <c r="R89" s="61" t="str">
        <f>_xlfn.IFNA(VLOOKUP($F89,tblMerits[],4,FALSE),"")</f>
        <v/>
      </c>
      <c r="Y89" s="15">
        <v>3</v>
      </c>
      <c r="Z89" s="61" t="s">
        <v>248</v>
      </c>
      <c r="AA89" s="60" t="str" cm="1">
        <f t="array" ref="AA89">IF(VLOOKUP(Z89,$AI$1:$AJ$58,2,FALSE)&gt;=Y89,INDEX(tblDisciplines[Name],MATCH(1,(tblDisciplines[Discipline]=Z89)*(tblDisciplines[Rank]=Y89),0)),"")</f>
        <v/>
      </c>
    </row>
    <row r="90" spans="1:27">
      <c r="A90" s="1" t="s">
        <v>89</v>
      </c>
      <c r="B90" t="str">
        <f>IF(P127=0,"-",REPT("●",P127))</f>
        <v>-</v>
      </c>
      <c r="D90" s="19"/>
      <c r="E90" s="15" t="s">
        <v>125</v>
      </c>
      <c r="F90" s="3"/>
      <c r="G90" s="3"/>
      <c r="H90" s="67" t="str">
        <f>_xlfn.IFNA(IF(VLOOKUP(F90,tblMerits[],6,FALSE)=0,"None",VLOOKUP(F90,tblMerits[],6,FALSE)),"None")</f>
        <v>None</v>
      </c>
      <c r="I90" s="67"/>
      <c r="L90" s="4"/>
      <c r="M90" s="4"/>
      <c r="N90" s="4"/>
      <c r="O90" s="61">
        <f t="shared" si="15"/>
        <v>0</v>
      </c>
      <c r="P90" s="60">
        <f t="shared" si="14"/>
        <v>0</v>
      </c>
      <c r="Q90" s="61" t="str">
        <f>_xlfn.IFNA(VLOOKUP($F90,tblMerits[],3,FALSE),"")</f>
        <v/>
      </c>
      <c r="R90" s="61" t="str">
        <f>_xlfn.IFNA(VLOOKUP($F90,tblMerits[],4,FALSE),"")</f>
        <v/>
      </c>
      <c r="Y90" s="15">
        <v>4</v>
      </c>
      <c r="Z90" s="61" t="s">
        <v>248</v>
      </c>
      <c r="AA90" s="60" t="str" cm="1">
        <f t="array" ref="AA90">IF(VLOOKUP(Z90,$AI$1:$AJ$58,2,FALSE)&gt;=Y90,INDEX(tblDisciplines[Name],MATCH(1,(tblDisciplines[Discipline]=Z90)*(tblDisciplines[Rank]=Y90),0)),"")</f>
        <v/>
      </c>
    </row>
    <row r="91" spans="1:27">
      <c r="A91" s="1" t="s">
        <v>90</v>
      </c>
      <c r="B91" t="str">
        <f>IF(F128="","¬",F128)</f>
        <v>Crone</v>
      </c>
      <c r="D91" s="19"/>
      <c r="E91" s="15" t="s">
        <v>126</v>
      </c>
      <c r="F91" s="3"/>
      <c r="G91" s="3"/>
      <c r="H91" s="67" t="str">
        <f>_xlfn.IFNA(IF(VLOOKUP(F91,tblMerits[],6,FALSE)=0,"None",VLOOKUP(F91,tblMerits[],6,FALSE)),"None")</f>
        <v>None</v>
      </c>
      <c r="I91" s="67"/>
      <c r="L91" s="4"/>
      <c r="M91" s="4"/>
      <c r="N91" s="4"/>
      <c r="O91" s="61">
        <f t="shared" si="15"/>
        <v>0</v>
      </c>
      <c r="P91" s="60">
        <f t="shared" si="14"/>
        <v>0</v>
      </c>
      <c r="Q91" s="61" t="str">
        <f>_xlfn.IFNA(VLOOKUP($F91,tblMerits[],3,FALSE),"")</f>
        <v/>
      </c>
      <c r="R91" s="61" t="str">
        <f>_xlfn.IFNA(VLOOKUP($F91,tblMerits[],4,FALSE),"")</f>
        <v/>
      </c>
      <c r="Y91" s="15">
        <v>5</v>
      </c>
      <c r="Z91" s="61" t="s">
        <v>248</v>
      </c>
      <c r="AA91" s="60" t="str" cm="1">
        <f t="array" ref="AA91">IF(VLOOKUP(Z91,$AI$1:$AJ$58,2,FALSE)&gt;=Y91,INDEX(tblDisciplines[Name],MATCH(1,(tblDisciplines[Discipline]=Z91)*(tblDisciplines[Rank]=Y91),0)),"")</f>
        <v/>
      </c>
    </row>
    <row r="92" spans="1:27">
      <c r="A92" s="1" t="s">
        <v>91</v>
      </c>
      <c r="B92" t="str">
        <f>IF(P128=0,"-",REPT("●",P128))</f>
        <v>-</v>
      </c>
      <c r="D92" s="19"/>
      <c r="E92" s="15" t="s">
        <v>127</v>
      </c>
      <c r="F92" s="3"/>
      <c r="G92" s="3"/>
      <c r="H92" s="67" t="str">
        <f>_xlfn.IFNA(IF(VLOOKUP(F92,tblMerits[],6,FALSE)=0,"None",VLOOKUP(F92,tblMerits[],6,FALSE)),"None")</f>
        <v>None</v>
      </c>
      <c r="I92" s="67"/>
      <c r="L92" s="4"/>
      <c r="M92" s="4"/>
      <c r="N92" s="4"/>
      <c r="O92" s="61">
        <f t="shared" si="15"/>
        <v>0</v>
      </c>
      <c r="P92" s="60">
        <f t="shared" si="14"/>
        <v>0</v>
      </c>
      <c r="Q92" s="61" t="str">
        <f>_xlfn.IFNA(VLOOKUP($F92,tblMerits[],3,FALSE),"")</f>
        <v/>
      </c>
      <c r="R92" s="61" t="str">
        <f>_xlfn.IFNA(VLOOKUP($F92,tblMerits[],4,FALSE),"")</f>
        <v/>
      </c>
      <c r="Y92" s="15">
        <v>1</v>
      </c>
      <c r="Z92" s="61" t="s">
        <v>249</v>
      </c>
      <c r="AA92" s="60" t="str" cm="1">
        <f t="array" ref="AA92">IF(VLOOKUP(Z92,$AI$1:$AJ$58,2,FALSE)&gt;=Y92,INDEX(tblDisciplines[Name],MATCH(1,(tblDisciplines[Discipline]=Z92)*(tblDisciplines[Rank]=Y92),0)),"")</f>
        <v/>
      </c>
    </row>
    <row r="93" spans="1:27">
      <c r="A93" s="1" t="s">
        <v>92</v>
      </c>
      <c r="B93" t="str">
        <f>IF(F129="","¬",F129)</f>
        <v>Lance</v>
      </c>
      <c r="D93" s="19"/>
      <c r="E93" s="15" t="s">
        <v>128</v>
      </c>
      <c r="F93" s="3"/>
      <c r="G93" s="3"/>
      <c r="H93" s="67" t="str">
        <f>_xlfn.IFNA(IF(VLOOKUP(F93,tblMerits[],6,FALSE)=0,"None",VLOOKUP(F93,tblMerits[],6,FALSE)),"None")</f>
        <v>None</v>
      </c>
      <c r="I93" s="67"/>
      <c r="L93" s="4"/>
      <c r="M93" s="4"/>
      <c r="N93" s="4"/>
      <c r="O93" s="61">
        <f t="shared" si="15"/>
        <v>0</v>
      </c>
      <c r="P93" s="60">
        <f t="shared" si="14"/>
        <v>0</v>
      </c>
      <c r="Q93" s="61" t="str">
        <f>_xlfn.IFNA(VLOOKUP($F93,tblMerits[],3,FALSE),"")</f>
        <v/>
      </c>
      <c r="R93" s="61" t="str">
        <f>_xlfn.IFNA(VLOOKUP($F93,tblMerits[],4,FALSE),"")</f>
        <v/>
      </c>
      <c r="Y93" s="15">
        <v>2</v>
      </c>
      <c r="Z93" s="61" t="s">
        <v>249</v>
      </c>
      <c r="AA93" s="60" t="str" cm="1">
        <f t="array" ref="AA93">IF(VLOOKUP(Z93,$AI$1:$AJ$58,2,FALSE)&gt;=Y93,INDEX(tblDisciplines[Name],MATCH(1,(tblDisciplines[Discipline]=Z93)*(tblDisciplines[Rank]=Y93),0)),"")</f>
        <v/>
      </c>
    </row>
    <row r="94" spans="1:27">
      <c r="A94" s="1" t="s">
        <v>93</v>
      </c>
      <c r="B94" t="str">
        <f>IF(OR(P129=0,P129=""),"-",REPT("●",P129))</f>
        <v>-</v>
      </c>
      <c r="D94" s="19"/>
      <c r="E94" s="15" t="s">
        <v>129</v>
      </c>
      <c r="F94" s="3"/>
      <c r="G94" s="3"/>
      <c r="H94" s="67" t="str">
        <f>_xlfn.IFNA(IF(VLOOKUP(F94,tblMerits[],6,FALSE)=0,"None",VLOOKUP(F94,tblMerits[],6,FALSE)),"None")</f>
        <v>None</v>
      </c>
      <c r="I94" s="67"/>
      <c r="L94" s="4"/>
      <c r="M94" s="4"/>
      <c r="N94" s="4"/>
      <c r="O94" s="61">
        <f t="shared" si="15"/>
        <v>0</v>
      </c>
      <c r="P94" s="60">
        <f t="shared" si="14"/>
        <v>0</v>
      </c>
      <c r="Q94" s="61" t="str">
        <f>_xlfn.IFNA(VLOOKUP($F94,tblMerits[],3,FALSE),"")</f>
        <v/>
      </c>
      <c r="R94" s="61" t="str">
        <f>_xlfn.IFNA(VLOOKUP($F94,tblMerits[],4,FALSE),"")</f>
        <v/>
      </c>
      <c r="Y94" s="15">
        <v>3</v>
      </c>
      <c r="Z94" s="61" t="s">
        <v>249</v>
      </c>
      <c r="AA94" s="60" t="str" cm="1">
        <f t="array" ref="AA94">IF(VLOOKUP(Z94,$AI$1:$AJ$58,2,FALSE)&gt;=Y94,INDEX(tblDisciplines[Name],MATCH(1,(tblDisciplines[Discipline]=Z94)*(tblDisciplines[Rank]=Y94),0)),"")</f>
        <v/>
      </c>
    </row>
    <row r="95" spans="1:27">
      <c r="A95" s="1" t="s">
        <v>94</v>
      </c>
      <c r="B95" t="str">
        <f>IF(OR(P132=0,P132=""),"-",REPT("●",P132))</f>
        <v>●</v>
      </c>
      <c r="D95" s="19"/>
      <c r="E95" s="15" t="s">
        <v>130</v>
      </c>
      <c r="F95" s="3"/>
      <c r="G95" s="3"/>
      <c r="H95" s="67" t="str">
        <f>_xlfn.IFNA(IF(VLOOKUP(F95,tblMerits[],6,FALSE)=0,"None",VLOOKUP(F95,tblMerits[],6,FALSE)),"None")</f>
        <v>None</v>
      </c>
      <c r="I95" s="67"/>
      <c r="L95" s="4"/>
      <c r="M95" s="4"/>
      <c r="N95" s="4"/>
      <c r="O95" s="61">
        <f t="shared" si="15"/>
        <v>0</v>
      </c>
      <c r="P95" s="60">
        <f t="shared" si="14"/>
        <v>0</v>
      </c>
      <c r="Q95" s="61" t="str">
        <f>_xlfn.IFNA(VLOOKUP($F95,tblMerits[],3,FALSE),"")</f>
        <v/>
      </c>
      <c r="R95" s="61" t="str">
        <f>_xlfn.IFNA(VLOOKUP($F95,tblMerits[],4,FALSE),"")</f>
        <v/>
      </c>
      <c r="Y95" s="15">
        <v>4</v>
      </c>
      <c r="Z95" s="61" t="s">
        <v>249</v>
      </c>
      <c r="AA95" s="60" t="str" cm="1">
        <f t="array" ref="AA95">IF(VLOOKUP(Z95,$AI$1:$AJ$58,2,FALSE)&gt;=Y95,INDEX(tblDisciplines[Name],MATCH(1,(tblDisciplines[Discipline]=Z95)*(tblDisciplines[Rank]=Y95),0)),"")</f>
        <v/>
      </c>
    </row>
    <row r="96" spans="1:27">
      <c r="A96" s="1" t="s">
        <v>95</v>
      </c>
      <c r="B96" t="str">
        <f>IF(OR(P133=0,P133=""),"-",REPT("●",P133))</f>
        <v>-</v>
      </c>
      <c r="D96" s="19"/>
      <c r="E96" s="15" t="s">
        <v>131</v>
      </c>
      <c r="F96" s="3"/>
      <c r="G96" s="3"/>
      <c r="H96" s="67" t="str">
        <f>_xlfn.IFNA(IF(VLOOKUP(F96,tblMerits[],6,FALSE)=0,"None",VLOOKUP(F96,tblMerits[],6,FALSE)),"None")</f>
        <v>None</v>
      </c>
      <c r="I96" s="67"/>
      <c r="L96" s="4"/>
      <c r="M96" s="4"/>
      <c r="N96" s="4"/>
      <c r="O96" s="61">
        <f t="shared" si="15"/>
        <v>0</v>
      </c>
      <c r="P96" s="60">
        <f t="shared" si="14"/>
        <v>0</v>
      </c>
      <c r="Q96" s="61" t="str">
        <f>_xlfn.IFNA(VLOOKUP($F96,tblMerits[],3,FALSE),"")</f>
        <v/>
      </c>
      <c r="R96" s="61" t="str">
        <f>_xlfn.IFNA(VLOOKUP($F96,tblMerits[],4,FALSE),"")</f>
        <v/>
      </c>
      <c r="Y96" s="15">
        <v>5</v>
      </c>
      <c r="Z96" s="61" t="s">
        <v>249</v>
      </c>
      <c r="AA96" s="60" t="str" cm="1">
        <f t="array" ref="AA96">IF(VLOOKUP(Z96,$AI$1:$AJ$58,2,FALSE)&gt;=Y96,INDEX(tblDisciplines[Name],MATCH(1,(tblDisciplines[Discipline]=Z96)*(tblDisciplines[Rank]=Y96),0)),"")</f>
        <v/>
      </c>
    </row>
    <row r="97" spans="1:27">
      <c r="A97" s="1" t="s">
        <v>96</v>
      </c>
      <c r="B97" t="str">
        <f>IF(OR(P134=0,P134=""),"-",REPT("●",P134)&amp;REPT("○",5-P134))</f>
        <v>-</v>
      </c>
      <c r="D97" s="19"/>
      <c r="E97" s="15" t="s">
        <v>132</v>
      </c>
      <c r="F97" s="3"/>
      <c r="G97" s="3"/>
      <c r="H97" s="67" t="str">
        <f>_xlfn.IFNA(IF(VLOOKUP(F97,tblMerits[],6,FALSE)=0,"None",VLOOKUP(F97,tblMerits[],6,FALSE)),"None")</f>
        <v>None</v>
      </c>
      <c r="I97" s="67"/>
      <c r="L97" s="4"/>
      <c r="M97" s="4"/>
      <c r="N97" s="4"/>
      <c r="O97" s="61">
        <f t="shared" si="15"/>
        <v>0</v>
      </c>
      <c r="P97" s="60">
        <f t="shared" si="14"/>
        <v>0</v>
      </c>
      <c r="Q97" s="61" t="str">
        <f>_xlfn.IFNA(VLOOKUP($F97,tblMerits[],3,FALSE),"")</f>
        <v/>
      </c>
      <c r="R97" s="61" t="str">
        <f>_xlfn.IFNA(VLOOKUP($F97,tblMerits[],4,FALSE),"")</f>
        <v/>
      </c>
      <c r="Y97" s="15">
        <v>1</v>
      </c>
      <c r="Z97" s="61" t="s">
        <v>250</v>
      </c>
      <c r="AA97" s="60" t="str" cm="1">
        <f t="array" ref="AA97">IF(VLOOKUP(Z97,$AI$1:$AJ$58,2,FALSE)&gt;=Y97,INDEX(tblDisciplines[Name],MATCH(1,(tblDisciplines[Discipline]=Z97)*(tblDisciplines[Rank]=Y97),0)),"")</f>
        <v/>
      </c>
    </row>
    <row r="98" spans="1:27">
      <c r="A98" s="1" t="s">
        <v>97</v>
      </c>
      <c r="B98" t="str">
        <f>IF(OR(P135=0,P135=""),"-",REPT("●",P135))</f>
        <v>-</v>
      </c>
      <c r="D98" s="19"/>
      <c r="E98" s="15" t="s">
        <v>133</v>
      </c>
      <c r="F98" s="3"/>
      <c r="G98" s="3"/>
      <c r="H98" s="67" t="str">
        <f>_xlfn.IFNA(IF(VLOOKUP(F98,tblMerits[],6,FALSE)=0,"None",VLOOKUP(F98,tblMerits[],6,FALSE)),"None")</f>
        <v>None</v>
      </c>
      <c r="I98" s="67"/>
      <c r="L98" s="4"/>
      <c r="M98" s="4"/>
      <c r="N98" s="4"/>
      <c r="O98" s="61">
        <f t="shared" si="15"/>
        <v>0</v>
      </c>
      <c r="P98" s="60">
        <f t="shared" si="14"/>
        <v>0</v>
      </c>
      <c r="Q98" s="61" t="str">
        <f>_xlfn.IFNA(VLOOKUP($F98,tblMerits[],3,FALSE),"")</f>
        <v/>
      </c>
      <c r="R98" s="61" t="str">
        <f>_xlfn.IFNA(VLOOKUP($F98,tblMerits[],4,FALSE),"")</f>
        <v/>
      </c>
      <c r="Y98" s="15">
        <v>2</v>
      </c>
      <c r="Z98" s="61" t="s">
        <v>250</v>
      </c>
      <c r="AA98" s="60" t="str" cm="1">
        <f t="array" ref="AA98">IF(VLOOKUP(Z98,$AI$1:$AJ$58,2,FALSE)&gt;=Y98,INDEX(tblDisciplines[Name],MATCH(1,(tblDisciplines[Discipline]=Z98)*(tblDisciplines[Rank]=Y98),0)),"")</f>
        <v/>
      </c>
    </row>
    <row r="99" spans="1:27">
      <c r="A99" s="1" t="s">
        <v>98</v>
      </c>
      <c r="B99" t="str">
        <f>IF(OR(P160=0,P160=""),"-",REPT("●",P160))</f>
        <v>-</v>
      </c>
      <c r="Y99" s="15">
        <v>3</v>
      </c>
      <c r="Z99" s="61" t="s">
        <v>250</v>
      </c>
      <c r="AA99" s="60" t="str" cm="1">
        <f t="array" ref="AA99">IF(VLOOKUP(Z99,$AI$1:$AJ$58,2,FALSE)&gt;=Y99,INDEX(tblDisciplines[Name],MATCH(1,(tblDisciplines[Discipline]=Z99)*(tblDisciplines[Rank]=Y99),0)),"")</f>
        <v/>
      </c>
    </row>
    <row r="100" spans="1:27">
      <c r="A100" s="1" t="s">
        <v>99</v>
      </c>
      <c r="B100" t="str">
        <f>IF($F$160="","",$F$160)</f>
        <v/>
      </c>
      <c r="D100" s="16" t="s">
        <v>1473</v>
      </c>
      <c r="E100" s="17"/>
      <c r="F100" s="17"/>
      <c r="G100" s="17"/>
      <c r="H100" s="17"/>
      <c r="I100" s="17"/>
      <c r="Y100" s="15">
        <v>4</v>
      </c>
      <c r="Z100" s="61" t="s">
        <v>250</v>
      </c>
      <c r="AA100" s="60" t="str" cm="1">
        <f t="array" ref="AA100">IF(VLOOKUP(Z100,$AI$1:$AJ$58,2,FALSE)&gt;=Y100,INDEX(tblDisciplines[Name],MATCH(1,(tblDisciplines[Discipline]=Z100)*(tblDisciplines[Rank]=Y100),0)),"")</f>
        <v/>
      </c>
    </row>
    <row r="101" spans="1:27">
      <c r="A101" s="1" t="s">
        <v>100</v>
      </c>
      <c r="B101" t="str">
        <f>IF(OR(P161=0,P161=""),"-",REPT("●",P161))</f>
        <v>●●●●●</v>
      </c>
      <c r="D101" s="19"/>
      <c r="E101" s="15" t="s">
        <v>1439</v>
      </c>
      <c r="F101" s="3"/>
      <c r="G101" s="60" t="str">
        <f>IFERROR(VLOOKUP(F101,tblManoeuvre[],2,FALSE)&amp;" "&amp;VLOOKUP(F101,tblManoeuvre[],3,FALSE),"")</f>
        <v/>
      </c>
      <c r="H101" s="67" t="str">
        <f>IFERROR(IF(VLOOKUP(F101,tblManoeuvre[],8,FALSE)=0,"None",VLOOKUP(F101,tblManoeuvre[],8,FALSE)),"None")</f>
        <v>None</v>
      </c>
      <c r="I101" s="67"/>
      <c r="L101" s="4"/>
      <c r="M101" s="4"/>
      <c r="N101" s="4"/>
      <c r="O101" s="61">
        <f t="shared" ref="O101:O120" si="16">N101</f>
        <v>0</v>
      </c>
      <c r="P101" s="60">
        <f t="shared" ref="P101:P120" si="17">MIN(SUM(L101,M101,O101),R101)</f>
        <v>0</v>
      </c>
      <c r="Q101" s="61">
        <v>1</v>
      </c>
      <c r="R101" s="61">
        <v>1</v>
      </c>
      <c r="Y101" s="15">
        <v>5</v>
      </c>
      <c r="Z101" s="61" t="s">
        <v>250</v>
      </c>
      <c r="AA101" s="60" t="str" cm="1">
        <f t="array" ref="AA101">IF(VLOOKUP(Z101,$AI$1:$AJ$58,2,FALSE)&gt;=Y101,INDEX(tblDisciplines[Name],MATCH(1,(tblDisciplines[Discipline]=Z101)*(tblDisciplines[Rank]=Y101),0)),"")</f>
        <v/>
      </c>
    </row>
    <row r="102" spans="1:27">
      <c r="A102" s="1" t="s">
        <v>101</v>
      </c>
      <c r="B102" t="str">
        <f>IF($F$161="","",$F$161)</f>
        <v>Diplomatic Attache</v>
      </c>
      <c r="D102" s="19"/>
      <c r="E102" s="15" t="s">
        <v>1441</v>
      </c>
      <c r="F102" s="3"/>
      <c r="G102" s="60" t="str">
        <f>IFERROR(VLOOKUP(F102,tblManoeuvre[],2,FALSE)&amp;" "&amp;VLOOKUP(F102,tblManoeuvre[],3,FALSE),"")</f>
        <v/>
      </c>
      <c r="H102" s="67" t="str">
        <f>IFERROR(IF(VLOOKUP(F102,tblManoeuvre[],8,FALSE)=0,"None",VLOOKUP(F102,tblManoeuvre[],8,FALSE)),"None")</f>
        <v>None</v>
      </c>
      <c r="I102" s="67"/>
      <c r="L102" s="4"/>
      <c r="M102" s="4"/>
      <c r="N102" s="4"/>
      <c r="O102" s="61">
        <f t="shared" si="16"/>
        <v>0</v>
      </c>
      <c r="P102" s="60">
        <f t="shared" si="17"/>
        <v>0</v>
      </c>
      <c r="Q102" s="61">
        <v>1</v>
      </c>
      <c r="R102" s="61">
        <v>1</v>
      </c>
      <c r="Y102" s="15">
        <v>1</v>
      </c>
      <c r="Z102" s="61" t="s">
        <v>251</v>
      </c>
      <c r="AA102" s="60" t="str" cm="1">
        <f t="array" ref="AA102">IF(VLOOKUP(Z102,$AI$1:$AJ$58,2,FALSE)&gt;=Y102,INDEX(tblDisciplines[Name],MATCH(1,(tblDisciplines[Discipline]=Z102)*(tblDisciplines[Rank]=Y102),0)),"")</f>
        <v/>
      </c>
    </row>
    <row r="103" spans="1:27">
      <c r="A103" s="1" t="s">
        <v>102</v>
      </c>
      <c r="B103">
        <f>P73</f>
        <v>6</v>
      </c>
      <c r="D103" s="19"/>
      <c r="E103" s="15" t="s">
        <v>1443</v>
      </c>
      <c r="F103" s="3"/>
      <c r="G103" s="60" t="str">
        <f>IFERROR(VLOOKUP(F103,tblManoeuvre[],2,FALSE)&amp;" "&amp;VLOOKUP(F103,tblManoeuvre[],3,FALSE),"")</f>
        <v/>
      </c>
      <c r="H103" s="67" t="str">
        <f>IFERROR(IF(VLOOKUP(F103,tblManoeuvre[],8,FALSE)=0,"None",VLOOKUP(F103,tblManoeuvre[],8,FALSE)),"None")</f>
        <v>None</v>
      </c>
      <c r="I103" s="67"/>
      <c r="L103" s="4"/>
      <c r="M103" s="4"/>
      <c r="N103" s="4"/>
      <c r="O103" s="61">
        <f t="shared" si="16"/>
        <v>0</v>
      </c>
      <c r="P103" s="60">
        <f t="shared" si="17"/>
        <v>0</v>
      </c>
      <c r="Q103" s="61">
        <v>1</v>
      </c>
      <c r="R103" s="61">
        <v>1</v>
      </c>
      <c r="Y103" s="15">
        <v>2</v>
      </c>
      <c r="Z103" s="61" t="s">
        <v>251</v>
      </c>
      <c r="AA103" s="60" t="str" cm="1">
        <f t="array" ref="AA103">IF(VLOOKUP(Z103,$AI$1:$AJ$58,2,FALSE)&gt;=Y103,INDEX(tblDisciplines[Name],MATCH(1,(tblDisciplines[Discipline]=Z103)*(tblDisciplines[Rank]=Y103),0)),"")</f>
        <v/>
      </c>
    </row>
    <row r="104" spans="1:27">
      <c r="A104" s="1" t="s">
        <v>103</v>
      </c>
      <c r="B104" t="str">
        <f>_xlfn.IFNA(VLOOKUP(P73,tblHumanity[#Data],2,FALSE),"")</f>
        <v>~</v>
      </c>
      <c r="D104" s="19"/>
      <c r="E104" s="15" t="s">
        <v>1447</v>
      </c>
      <c r="F104" s="3"/>
      <c r="G104" s="60" t="str">
        <f>IFERROR(VLOOKUP(F104,tblManoeuvre[],2,FALSE)&amp;" "&amp;VLOOKUP(F104,tblManoeuvre[],3,FALSE),"")</f>
        <v/>
      </c>
      <c r="H104" s="67" t="str">
        <f>IFERROR(IF(VLOOKUP(F104,tblManoeuvre[],8,FALSE)=0,"None",VLOOKUP(F104,tblManoeuvre[],8,FALSE)),"None")</f>
        <v>None</v>
      </c>
      <c r="I104" s="67"/>
      <c r="L104" s="4"/>
      <c r="M104" s="4"/>
      <c r="N104" s="4"/>
      <c r="O104" s="61">
        <f t="shared" si="16"/>
        <v>0</v>
      </c>
      <c r="P104" s="60">
        <f t="shared" si="17"/>
        <v>0</v>
      </c>
      <c r="Q104" s="61">
        <v>1</v>
      </c>
      <c r="R104" s="61">
        <v>1</v>
      </c>
      <c r="Y104" s="15">
        <v>3</v>
      </c>
      <c r="Z104" s="61" t="s">
        <v>251</v>
      </c>
      <c r="AA104" s="60" t="str" cm="1">
        <f t="array" ref="AA104">IF(VLOOKUP(Z104,$AI$1:$AJ$58,2,FALSE)&gt;=Y104,INDEX(tblDisciplines[Name],MATCH(1,(tblDisciplines[Discipline]=Z104)*(tblDisciplines[Rank]=Y104),0)),"")</f>
        <v/>
      </c>
    </row>
    <row r="105" spans="1:27">
      <c r="A105" s="1" t="s">
        <v>104</v>
      </c>
      <c r="B105" t="str">
        <f>IF($P$73&gt;=10,"●","○") &amp; IF(F223&lt;&gt;""," (" &amp; F223 &amp; ")","")</f>
        <v>○</v>
      </c>
      <c r="D105" s="19"/>
      <c r="E105" s="15" t="s">
        <v>1449</v>
      </c>
      <c r="F105" s="3"/>
      <c r="G105" s="60" t="str">
        <f>IFERROR(VLOOKUP(F105,tblManoeuvre[],2,FALSE)&amp;" "&amp;VLOOKUP(F105,tblManoeuvre[],3,FALSE),"")</f>
        <v/>
      </c>
      <c r="H105" s="67" t="str">
        <f>IFERROR(IF(VLOOKUP(F105,tblManoeuvre[],8,FALSE)=0,"None",VLOOKUP(F105,tblManoeuvre[],8,FALSE)),"None")</f>
        <v>None</v>
      </c>
      <c r="I105" s="67"/>
      <c r="L105" s="4"/>
      <c r="M105" s="4"/>
      <c r="N105" s="4"/>
      <c r="O105" s="61">
        <f t="shared" si="16"/>
        <v>0</v>
      </c>
      <c r="P105" s="60">
        <f t="shared" si="17"/>
        <v>0</v>
      </c>
      <c r="Q105" s="61">
        <v>1</v>
      </c>
      <c r="R105" s="61">
        <v>1</v>
      </c>
      <c r="Y105" s="15">
        <v>4</v>
      </c>
      <c r="Z105" s="61" t="s">
        <v>251</v>
      </c>
      <c r="AA105" s="60" t="str" cm="1">
        <f t="array" ref="AA105">IF(VLOOKUP(Z105,$AI$1:$AJ$58,2,FALSE)&gt;=Y105,INDEX(tblDisciplines[Name],MATCH(1,(tblDisciplines[Discipline]=Z105)*(tblDisciplines[Rank]=Y105),0)),"")</f>
        <v/>
      </c>
    </row>
    <row r="106" spans="1:27">
      <c r="A106" s="1" t="s">
        <v>105</v>
      </c>
      <c r="B106" t="str">
        <f>IF($P$73&gt;=9,"●","○") &amp; IF(F224&lt;&gt;""," (" &amp; F224 &amp; ")","")</f>
        <v>○</v>
      </c>
      <c r="D106" s="19"/>
      <c r="E106" s="15" t="s">
        <v>1450</v>
      </c>
      <c r="F106" s="3"/>
      <c r="G106" s="60" t="str">
        <f>IFERROR(VLOOKUP(F106,tblManoeuvre[],2,FALSE)&amp;" "&amp;VLOOKUP(F106,tblManoeuvre[],3,FALSE),"")</f>
        <v/>
      </c>
      <c r="H106" s="67" t="str">
        <f>IFERROR(IF(VLOOKUP(F106,tblManoeuvre[],8,FALSE)=0,"None",VLOOKUP(F106,tblManoeuvre[],8,FALSE)),"None")</f>
        <v>None</v>
      </c>
      <c r="I106" s="67"/>
      <c r="L106" s="4"/>
      <c r="M106" s="4"/>
      <c r="N106" s="4"/>
      <c r="O106" s="61">
        <f t="shared" si="16"/>
        <v>0</v>
      </c>
      <c r="P106" s="60">
        <f t="shared" si="17"/>
        <v>0</v>
      </c>
      <c r="Q106" s="61">
        <v>1</v>
      </c>
      <c r="R106" s="61">
        <v>1</v>
      </c>
      <c r="Y106" s="15">
        <v>5</v>
      </c>
      <c r="Z106" s="61" t="s">
        <v>251</v>
      </c>
      <c r="AA106" s="60" t="str" cm="1">
        <f t="array" ref="AA106">IF(VLOOKUP(Z106,$AI$1:$AJ$58,2,FALSE)&gt;=Y106,INDEX(tblDisciplines[Name],MATCH(1,(tblDisciplines[Discipline]=Z106)*(tblDisciplines[Rank]=Y106),0)),"")</f>
        <v/>
      </c>
    </row>
    <row r="107" spans="1:27">
      <c r="A107" s="1" t="s">
        <v>106</v>
      </c>
      <c r="B107" t="str">
        <f>IF($P$73&gt;=8,"●","○") &amp; IF(F225&lt;&gt;""," (" &amp; F225 &amp; ")","")</f>
        <v>○</v>
      </c>
      <c r="D107" s="19"/>
      <c r="E107" s="15" t="s">
        <v>1451</v>
      </c>
      <c r="F107" s="3"/>
      <c r="G107" s="60" t="str">
        <f>IFERROR(VLOOKUP(F107,tblManoeuvre[],2,FALSE)&amp;" "&amp;VLOOKUP(F107,tblManoeuvre[],3,FALSE),"")</f>
        <v/>
      </c>
      <c r="H107" s="67" t="str">
        <f>IFERROR(IF(VLOOKUP(F107,tblManoeuvre[],8,FALSE)=0,"None",VLOOKUP(F107,tblManoeuvre[],8,FALSE)),"None")</f>
        <v>None</v>
      </c>
      <c r="I107" s="67"/>
      <c r="L107" s="4"/>
      <c r="M107" s="4"/>
      <c r="N107" s="4"/>
      <c r="O107" s="61">
        <f t="shared" si="16"/>
        <v>0</v>
      </c>
      <c r="P107" s="60">
        <f t="shared" si="17"/>
        <v>0</v>
      </c>
      <c r="Q107" s="61">
        <v>1</v>
      </c>
      <c r="R107" s="61">
        <v>1</v>
      </c>
      <c r="Y107" s="15">
        <v>1</v>
      </c>
      <c r="Z107" s="61" t="s">
        <v>252</v>
      </c>
      <c r="AA107" s="60" t="str" cm="1">
        <f t="array" ref="AA107">IF(VLOOKUP(Z107,$AI$1:$AJ$58,2,FALSE)&gt;=Y107,INDEX(tblDisciplines[Name],MATCH(1,(tblDisciplines[Discipline]=Z107)*(tblDisciplines[Rank]=Y107),0)),"")</f>
        <v/>
      </c>
    </row>
    <row r="108" spans="1:27">
      <c r="A108" s="1" t="s">
        <v>107</v>
      </c>
      <c r="B108" t="str">
        <f>IF($P$73&gt;=7,"●","○") &amp; IF(F226&lt;&gt;""," (" &amp; F226 &amp; ")","")</f>
        <v>○</v>
      </c>
      <c r="D108" s="19"/>
      <c r="E108" s="15" t="s">
        <v>1452</v>
      </c>
      <c r="F108" s="3"/>
      <c r="G108" s="60" t="str">
        <f>IFERROR(VLOOKUP(F108,tblManoeuvre[],2,FALSE)&amp;" "&amp;VLOOKUP(F108,tblManoeuvre[],3,FALSE),"")</f>
        <v/>
      </c>
      <c r="H108" s="67" t="str">
        <f>IFERROR(IF(VLOOKUP(F108,tblManoeuvre[],8,FALSE)=0,"None",VLOOKUP(F108,tblManoeuvre[],8,FALSE)),"None")</f>
        <v>None</v>
      </c>
      <c r="I108" s="67"/>
      <c r="L108" s="4"/>
      <c r="M108" s="4"/>
      <c r="N108" s="4"/>
      <c r="O108" s="61">
        <f t="shared" si="16"/>
        <v>0</v>
      </c>
      <c r="P108" s="60">
        <f t="shared" si="17"/>
        <v>0</v>
      </c>
      <c r="Q108" s="61">
        <v>1</v>
      </c>
      <c r="R108" s="61">
        <v>1</v>
      </c>
      <c r="Y108" s="15">
        <v>2</v>
      </c>
      <c r="Z108" s="61" t="s">
        <v>252</v>
      </c>
      <c r="AA108" s="60" t="str" cm="1">
        <f t="array" ref="AA108">IF(VLOOKUP(Z108,$AI$1:$AJ$58,2,FALSE)&gt;=Y108,INDEX(tblDisciplines[Name],MATCH(1,(tblDisciplines[Discipline]=Z108)*(tblDisciplines[Rank]=Y108),0)),"")</f>
        <v/>
      </c>
    </row>
    <row r="109" spans="1:27">
      <c r="A109" s="1" t="s">
        <v>108</v>
      </c>
      <c r="B109" t="str">
        <f>IF($P$73&gt;=6,"●","○") &amp; IF(F227&lt;&gt;""," (" &amp; F227 &amp; ")","")</f>
        <v>● (Unnamed staffer/academic)</v>
      </c>
      <c r="D109" s="19"/>
      <c r="E109" s="15" t="s">
        <v>1454</v>
      </c>
      <c r="F109" s="3"/>
      <c r="G109" s="60" t="str">
        <f>IFERROR(VLOOKUP(F109,tblManoeuvre[],2,FALSE)&amp;" "&amp;VLOOKUP(F109,tblManoeuvre[],3,FALSE),"")</f>
        <v/>
      </c>
      <c r="H109" s="67" t="str">
        <f>IFERROR(IF(VLOOKUP(F109,tblManoeuvre[],8,FALSE)=0,"None",VLOOKUP(F109,tblManoeuvre[],8,FALSE)),"None")</f>
        <v>None</v>
      </c>
      <c r="I109" s="67"/>
      <c r="L109" s="4"/>
      <c r="M109" s="4"/>
      <c r="N109" s="4"/>
      <c r="O109" s="61">
        <f t="shared" si="16"/>
        <v>0</v>
      </c>
      <c r="P109" s="60">
        <f t="shared" si="17"/>
        <v>0</v>
      </c>
      <c r="Q109" s="61">
        <v>1</v>
      </c>
      <c r="R109" s="61">
        <v>1</v>
      </c>
      <c r="Y109" s="15">
        <v>3</v>
      </c>
      <c r="Z109" s="61" t="s">
        <v>252</v>
      </c>
      <c r="AA109" s="60" t="str" cm="1">
        <f t="array" ref="AA109">IF(VLOOKUP(Z109,$AI$1:$AJ$58,2,FALSE)&gt;=Y109,INDEX(tblDisciplines[Name],MATCH(1,(tblDisciplines[Discipline]=Z109)*(tblDisciplines[Rank]=Y109),0)),"")</f>
        <v/>
      </c>
    </row>
    <row r="110" spans="1:27">
      <c r="A110" s="1" t="s">
        <v>109</v>
      </c>
      <c r="B110" t="str">
        <f>IF($P$73&gt;=5,"●","○") &amp; IF(F228&lt;&gt;""," (" &amp; F228 &amp; ")","")</f>
        <v>●</v>
      </c>
      <c r="D110" s="19"/>
      <c r="E110" s="15" t="s">
        <v>1455</v>
      </c>
      <c r="F110" s="3"/>
      <c r="G110" s="60" t="str">
        <f>IFERROR(VLOOKUP(F110,tblManoeuvre[],2,FALSE)&amp;" "&amp;VLOOKUP(F110,tblManoeuvre[],3,FALSE),"")</f>
        <v/>
      </c>
      <c r="H110" s="67" t="str">
        <f>IFERROR(IF(VLOOKUP(F110,tblManoeuvre[],8,FALSE)=0,"None",VLOOKUP(F110,tblManoeuvre[],8,FALSE)),"None")</f>
        <v>None</v>
      </c>
      <c r="I110" s="67"/>
      <c r="L110" s="4"/>
      <c r="M110" s="4"/>
      <c r="N110" s="4"/>
      <c r="O110" s="61">
        <f t="shared" si="16"/>
        <v>0</v>
      </c>
      <c r="P110" s="60">
        <f t="shared" si="17"/>
        <v>0</v>
      </c>
      <c r="Q110" s="61">
        <v>1</v>
      </c>
      <c r="R110" s="61">
        <v>1</v>
      </c>
      <c r="Y110" s="15">
        <v>4</v>
      </c>
      <c r="Z110" s="61" t="s">
        <v>252</v>
      </c>
      <c r="AA110" s="60" t="str" cm="1">
        <f t="array" ref="AA110">IF(VLOOKUP(Z110,$AI$1:$AJ$58,2,FALSE)&gt;=Y110,INDEX(tblDisciplines[Name],MATCH(1,(tblDisciplines[Discipline]=Z110)*(tblDisciplines[Rank]=Y110),0)),"")</f>
        <v/>
      </c>
    </row>
    <row r="111" spans="1:27">
      <c r="A111" s="1" t="s">
        <v>110</v>
      </c>
      <c r="B111" t="str">
        <f>IF($P$73&gt;=4,"●","○") &amp; IF(F229&lt;&gt;""," (" &amp; F229 &amp; ")","")</f>
        <v>●</v>
      </c>
      <c r="D111" s="19"/>
      <c r="E111" s="15" t="s">
        <v>1456</v>
      </c>
      <c r="F111" s="3"/>
      <c r="G111" s="60" t="str">
        <f>IFERROR(VLOOKUP(F111,tblManoeuvre[],2,FALSE)&amp;" "&amp;VLOOKUP(F111,tblManoeuvre[],3,FALSE),"")</f>
        <v/>
      </c>
      <c r="H111" s="67" t="str">
        <f>IFERROR(IF(VLOOKUP(F111,tblManoeuvre[],8,FALSE)=0,"None",VLOOKUP(F111,tblManoeuvre[],8,FALSE)),"None")</f>
        <v>None</v>
      </c>
      <c r="I111" s="67"/>
      <c r="L111" s="4"/>
      <c r="M111" s="4"/>
      <c r="N111" s="4"/>
      <c r="O111" s="61">
        <f t="shared" si="16"/>
        <v>0</v>
      </c>
      <c r="P111" s="60">
        <f t="shared" si="17"/>
        <v>0</v>
      </c>
      <c r="Q111" s="61">
        <v>1</v>
      </c>
      <c r="R111" s="61">
        <v>1</v>
      </c>
      <c r="Y111" s="15">
        <v>5</v>
      </c>
      <c r="Z111" s="61" t="s">
        <v>252</v>
      </c>
      <c r="AA111" s="60" t="str" cm="1">
        <f t="array" ref="AA111">IF(VLOOKUP(Z111,$AI$1:$AJ$58,2,FALSE)&gt;=Y111,INDEX(tblDisciplines[Name],MATCH(1,(tblDisciplines[Discipline]=Z111)*(tblDisciplines[Rank]=Y111),0)),"")</f>
        <v/>
      </c>
    </row>
    <row r="112" spans="1:27">
      <c r="A112" s="1" t="s">
        <v>111</v>
      </c>
      <c r="B112" t="str">
        <f>IF($P$73&gt;=3,"●","○") &amp; IF(F230&lt;&gt;""," (" &amp; F230 &amp; ")","")</f>
        <v>●</v>
      </c>
      <c r="D112" s="19"/>
      <c r="E112" s="15" t="s">
        <v>1457</v>
      </c>
      <c r="F112" s="3"/>
      <c r="G112" s="60" t="str">
        <f>IFERROR(VLOOKUP(F112,tblManoeuvre[],2,FALSE)&amp;" "&amp;VLOOKUP(F112,tblManoeuvre[],3,FALSE),"")</f>
        <v/>
      </c>
      <c r="H112" s="67" t="str">
        <f>IFERROR(IF(VLOOKUP(F112,tblManoeuvre[],8,FALSE)=0,"None",VLOOKUP(F112,tblManoeuvre[],8,FALSE)),"None")</f>
        <v>None</v>
      </c>
      <c r="I112" s="67"/>
      <c r="L112" s="4"/>
      <c r="M112" s="4"/>
      <c r="N112" s="4"/>
      <c r="O112" s="61">
        <f t="shared" si="16"/>
        <v>0</v>
      </c>
      <c r="P112" s="60">
        <f t="shared" si="17"/>
        <v>0</v>
      </c>
      <c r="Q112" s="61">
        <v>1</v>
      </c>
      <c r="R112" s="61">
        <v>1</v>
      </c>
      <c r="Y112" s="61" t="s">
        <v>1474</v>
      </c>
      <c r="Z112" s="61" t="str">
        <f t="shared" ref="Z112:Z121" si="18">G194</f>
        <v/>
      </c>
      <c r="AA112" s="60" t="str">
        <f t="shared" ref="AA112:AA121" si="19">IF(P194="","",F194)</f>
        <v/>
      </c>
    </row>
    <row r="113" spans="1:27">
      <c r="A113" s="1" t="s">
        <v>112</v>
      </c>
      <c r="B113" t="str">
        <f>IF($P$73&gt;=2,"●","○") &amp; IF(F231&lt;&gt;""," (" &amp; F231 &amp; ")","")</f>
        <v>●</v>
      </c>
      <c r="D113" s="19"/>
      <c r="E113" s="15" t="s">
        <v>1458</v>
      </c>
      <c r="F113" s="3"/>
      <c r="G113" s="60" t="str">
        <f>IFERROR(VLOOKUP(F113,tblManoeuvre[],2,FALSE)&amp;" "&amp;VLOOKUP(F113,tblManoeuvre[],3,FALSE),"")</f>
        <v/>
      </c>
      <c r="H113" s="67" t="str">
        <f>IFERROR(IF(VLOOKUP(F113,tblManoeuvre[],8,FALSE)=0,"None",VLOOKUP(F113,tblManoeuvre[],8,FALSE)),"None")</f>
        <v>None</v>
      </c>
      <c r="I113" s="67"/>
      <c r="L113" s="4"/>
      <c r="M113" s="4"/>
      <c r="N113" s="4"/>
      <c r="O113" s="61">
        <f t="shared" si="16"/>
        <v>0</v>
      </c>
      <c r="P113" s="60">
        <f t="shared" si="17"/>
        <v>0</v>
      </c>
      <c r="Q113" s="61">
        <v>1</v>
      </c>
      <c r="R113" s="61">
        <v>1</v>
      </c>
      <c r="Y113" s="61" t="s">
        <v>1474</v>
      </c>
      <c r="Z113" s="61" t="str">
        <f t="shared" si="18"/>
        <v/>
      </c>
      <c r="AA113" s="60" t="str">
        <f t="shared" si="19"/>
        <v/>
      </c>
    </row>
    <row r="114" spans="1:27">
      <c r="A114" s="1" t="s">
        <v>113</v>
      </c>
      <c r="B114" t="str">
        <f>IF($P$73&gt;=1,"●","○") &amp; IF(F232&lt;&gt;""," (" &amp; F232 &amp; ")","")</f>
        <v>●</v>
      </c>
      <c r="D114" s="19"/>
      <c r="E114" s="15" t="s">
        <v>1460</v>
      </c>
      <c r="F114" s="3"/>
      <c r="G114" s="60" t="str">
        <f>IFERROR(VLOOKUP(F114,tblManoeuvre[],2,FALSE)&amp;" "&amp;VLOOKUP(F114,tblManoeuvre[],3,FALSE),"")</f>
        <v/>
      </c>
      <c r="H114" s="67" t="str">
        <f>IFERROR(IF(VLOOKUP(F114,tblManoeuvre[],8,FALSE)=0,"None",VLOOKUP(F114,tblManoeuvre[],8,FALSE)),"None")</f>
        <v>None</v>
      </c>
      <c r="I114" s="67"/>
      <c r="L114" s="4"/>
      <c r="M114" s="4"/>
      <c r="N114" s="4"/>
      <c r="O114" s="61">
        <f t="shared" si="16"/>
        <v>0</v>
      </c>
      <c r="P114" s="60">
        <f t="shared" si="17"/>
        <v>0</v>
      </c>
      <c r="Q114" s="61">
        <v>1</v>
      </c>
      <c r="R114" s="61">
        <v>1</v>
      </c>
      <c r="Y114" s="61" t="s">
        <v>1474</v>
      </c>
      <c r="Z114" s="61" t="str">
        <f t="shared" si="18"/>
        <v/>
      </c>
      <c r="AA114" s="60" t="str">
        <f t="shared" si="19"/>
        <v/>
      </c>
    </row>
    <row r="115" spans="1:27">
      <c r="A115" s="1" t="s">
        <v>114</v>
      </c>
      <c r="B115" t="str">
        <f t="shared" ref="B115:B144" si="20">IF(AD2="","¬",AD2)</f>
        <v>Encyclopaedic Knowledge ●</v>
      </c>
      <c r="D115" s="19"/>
      <c r="E115" s="15" t="s">
        <v>1461</v>
      </c>
      <c r="F115" s="3"/>
      <c r="G115" s="60" t="str">
        <f>IFERROR(VLOOKUP(F115,tblManoeuvre[],2,FALSE)&amp;" "&amp;VLOOKUP(F115,tblManoeuvre[],3,FALSE),"")</f>
        <v/>
      </c>
      <c r="H115" s="67" t="str">
        <f>IFERROR(IF(VLOOKUP(F115,tblManoeuvre[],8,FALSE)=0,"None",VLOOKUP(F115,tblManoeuvre[],8,FALSE)),"None")</f>
        <v>None</v>
      </c>
      <c r="I115" s="67"/>
      <c r="L115" s="4"/>
      <c r="M115" s="4"/>
      <c r="N115" s="4"/>
      <c r="O115" s="61">
        <f t="shared" si="16"/>
        <v>0</v>
      </c>
      <c r="P115" s="60">
        <f t="shared" si="17"/>
        <v>0</v>
      </c>
      <c r="Q115" s="61">
        <v>1</v>
      </c>
      <c r="R115" s="61">
        <v>1</v>
      </c>
      <c r="Y115" s="61" t="s">
        <v>1474</v>
      </c>
      <c r="Z115" s="61" t="str">
        <f t="shared" si="18"/>
        <v/>
      </c>
      <c r="AA115" s="60" t="str">
        <f t="shared" si="19"/>
        <v/>
      </c>
    </row>
    <row r="116" spans="1:27">
      <c r="A116" s="1" t="s">
        <v>115</v>
      </c>
      <c r="B116" t="str">
        <f t="shared" si="20"/>
        <v>Friends in High Places ●</v>
      </c>
      <c r="D116" s="19"/>
      <c r="E116" s="15" t="s">
        <v>1462</v>
      </c>
      <c r="F116" s="3"/>
      <c r="G116" s="60" t="str">
        <f>IFERROR(VLOOKUP(F116,tblManoeuvre[],2,FALSE)&amp;" "&amp;VLOOKUP(F116,tblManoeuvre[],3,FALSE),"")</f>
        <v/>
      </c>
      <c r="H116" s="67" t="str">
        <f>IFERROR(IF(VLOOKUP(F116,tblManoeuvre[],8,FALSE)=0,"None",VLOOKUP(F116,tblManoeuvre[],8,FALSE)),"None")</f>
        <v>None</v>
      </c>
      <c r="I116" s="67"/>
      <c r="L116" s="4"/>
      <c r="M116" s="4"/>
      <c r="N116" s="4"/>
      <c r="O116" s="61">
        <f t="shared" si="16"/>
        <v>0</v>
      </c>
      <c r="P116" s="60">
        <f t="shared" si="17"/>
        <v>0</v>
      </c>
      <c r="Q116" s="61">
        <v>1</v>
      </c>
      <c r="R116" s="61">
        <v>1</v>
      </c>
      <c r="Y116" s="61" t="s">
        <v>1474</v>
      </c>
      <c r="Z116" s="61" t="str">
        <f t="shared" si="18"/>
        <v/>
      </c>
      <c r="AA116" s="60" t="str">
        <f t="shared" si="19"/>
        <v/>
      </c>
    </row>
    <row r="117" spans="1:27">
      <c r="A117" s="1" t="s">
        <v>116</v>
      </c>
      <c r="B117" t="str">
        <f t="shared" si="20"/>
        <v>Indomitable ●●</v>
      </c>
      <c r="D117" s="19"/>
      <c r="E117" s="15" t="s">
        <v>1463</v>
      </c>
      <c r="F117" s="3"/>
      <c r="G117" s="60" t="str">
        <f>IFERROR(VLOOKUP(F117,tblManoeuvre[],2,FALSE)&amp;" "&amp;VLOOKUP(F117,tblManoeuvre[],3,FALSE),"")</f>
        <v/>
      </c>
      <c r="H117" s="67" t="str">
        <f>IFERROR(IF(VLOOKUP(F117,tblManoeuvre[],8,FALSE)=0,"None",VLOOKUP(F117,tblManoeuvre[],8,FALSE)),"None")</f>
        <v>None</v>
      </c>
      <c r="I117" s="67"/>
      <c r="L117" s="4"/>
      <c r="M117" s="4"/>
      <c r="N117" s="4"/>
      <c r="O117" s="61">
        <f t="shared" si="16"/>
        <v>0</v>
      </c>
      <c r="P117" s="60">
        <f t="shared" si="17"/>
        <v>0</v>
      </c>
      <c r="Q117" s="61">
        <v>1</v>
      </c>
      <c r="R117" s="61">
        <v>1</v>
      </c>
      <c r="Y117" s="61" t="s">
        <v>1474</v>
      </c>
      <c r="Z117" s="61" t="str">
        <f t="shared" si="18"/>
        <v/>
      </c>
      <c r="AA117" s="60" t="str">
        <f t="shared" si="19"/>
        <v/>
      </c>
    </row>
    <row r="118" spans="1:27">
      <c r="A118" s="1" t="s">
        <v>117</v>
      </c>
      <c r="B118" t="str">
        <f t="shared" si="20"/>
        <v>Multilingual (Mandarin, Mongolian) ●</v>
      </c>
      <c r="D118" s="19"/>
      <c r="E118" s="15" t="s">
        <v>1464</v>
      </c>
      <c r="F118" s="3"/>
      <c r="G118" s="60" t="str">
        <f>IFERROR(VLOOKUP(F118,tblManoeuvre[],2,FALSE)&amp;" "&amp;VLOOKUP(F118,tblManoeuvre[],3,FALSE),"")</f>
        <v/>
      </c>
      <c r="H118" s="67" t="str">
        <f>IFERROR(IF(VLOOKUP(F118,tblManoeuvre[],8,FALSE)=0,"None",VLOOKUP(F118,tblManoeuvre[],8,FALSE)),"None")</f>
        <v>None</v>
      </c>
      <c r="I118" s="67"/>
      <c r="L118" s="4"/>
      <c r="M118" s="4"/>
      <c r="N118" s="4"/>
      <c r="O118" s="61">
        <f t="shared" si="16"/>
        <v>0</v>
      </c>
      <c r="P118" s="60">
        <f t="shared" si="17"/>
        <v>0</v>
      </c>
      <c r="Q118" s="61">
        <v>1</v>
      </c>
      <c r="R118" s="61">
        <v>1</v>
      </c>
      <c r="Y118" s="61" t="s">
        <v>1474</v>
      </c>
      <c r="Z118" s="61" t="str">
        <f t="shared" si="18"/>
        <v/>
      </c>
      <c r="AA118" s="60" t="str">
        <f t="shared" si="19"/>
        <v/>
      </c>
    </row>
    <row r="119" spans="1:27">
      <c r="A119" s="1" t="s">
        <v>118</v>
      </c>
      <c r="B119" t="str">
        <f t="shared" si="20"/>
        <v>¬</v>
      </c>
      <c r="D119" s="19"/>
      <c r="E119" s="15" t="s">
        <v>1466</v>
      </c>
      <c r="F119" s="3"/>
      <c r="G119" s="60" t="str">
        <f>IFERROR(VLOOKUP(F119,tblManoeuvre[],2,FALSE)&amp;" "&amp;VLOOKUP(F119,tblManoeuvre[],3,FALSE),"")</f>
        <v/>
      </c>
      <c r="H119" s="67" t="str">
        <f>IFERROR(IF(VLOOKUP(F119,tblManoeuvre[],8,FALSE)=0,"None",VLOOKUP(F119,tblManoeuvre[],8,FALSE)),"None")</f>
        <v>None</v>
      </c>
      <c r="I119" s="67"/>
      <c r="L119" s="4"/>
      <c r="M119" s="4"/>
      <c r="N119" s="4"/>
      <c r="O119" s="61">
        <f t="shared" si="16"/>
        <v>0</v>
      </c>
      <c r="P119" s="60">
        <f t="shared" si="17"/>
        <v>0</v>
      </c>
      <c r="Q119" s="61">
        <v>1</v>
      </c>
      <c r="R119" s="61">
        <v>1</v>
      </c>
      <c r="Y119" s="61" t="s">
        <v>1474</v>
      </c>
      <c r="Z119" s="61" t="str">
        <f t="shared" si="18"/>
        <v/>
      </c>
      <c r="AA119" s="60" t="str">
        <f t="shared" si="19"/>
        <v/>
      </c>
    </row>
    <row r="120" spans="1:27">
      <c r="A120" s="1" t="s">
        <v>119</v>
      </c>
      <c r="B120" t="str">
        <f t="shared" si="20"/>
        <v>¬</v>
      </c>
      <c r="D120" s="19"/>
      <c r="E120" s="15" t="s">
        <v>1468</v>
      </c>
      <c r="F120" s="3"/>
      <c r="G120" s="60" t="str">
        <f>IFERROR(VLOOKUP(F120,tblManoeuvre[],2,FALSE)&amp;" "&amp;VLOOKUP(F120,tblManoeuvre[],3,FALSE),"")</f>
        <v/>
      </c>
      <c r="H120" s="67" t="str">
        <f>IFERROR(IF(VLOOKUP(F120,tblManoeuvre[],8,FALSE)=0,"None",VLOOKUP(F120,tblManoeuvre[],8,FALSE)),"None")</f>
        <v>None</v>
      </c>
      <c r="I120" s="67"/>
      <c r="L120" s="4"/>
      <c r="M120" s="4"/>
      <c r="N120" s="4"/>
      <c r="O120" s="61">
        <f t="shared" si="16"/>
        <v>0</v>
      </c>
      <c r="P120" s="60">
        <f t="shared" si="17"/>
        <v>0</v>
      </c>
      <c r="Q120" s="61">
        <v>1</v>
      </c>
      <c r="R120" s="61">
        <v>1</v>
      </c>
      <c r="Y120" s="61" t="s">
        <v>1474</v>
      </c>
      <c r="Z120" s="61" t="str">
        <f t="shared" si="18"/>
        <v/>
      </c>
      <c r="AA120" s="60" t="str">
        <f t="shared" si="19"/>
        <v/>
      </c>
    </row>
    <row r="121" spans="1:27">
      <c r="A121" s="1" t="s">
        <v>120</v>
      </c>
      <c r="B121" t="str">
        <f t="shared" si="20"/>
        <v>¬</v>
      </c>
      <c r="Y121" s="61" t="s">
        <v>1474</v>
      </c>
      <c r="Z121" s="61" t="str">
        <f t="shared" si="18"/>
        <v/>
      </c>
      <c r="AA121" s="60" t="str">
        <f t="shared" si="19"/>
        <v/>
      </c>
    </row>
    <row r="122" spans="1:27" ht="15.75" thickBot="1">
      <c r="A122" s="1" t="s">
        <v>121</v>
      </c>
      <c r="B122" t="str">
        <f t="shared" si="20"/>
        <v>¬</v>
      </c>
      <c r="D122" s="14" t="s">
        <v>1475</v>
      </c>
      <c r="E122" s="14"/>
      <c r="F122" s="14"/>
      <c r="G122" s="14"/>
      <c r="H122" s="14"/>
      <c r="I122" s="14"/>
    </row>
    <row r="123" spans="1:27">
      <c r="A123" s="1" t="s">
        <v>122</v>
      </c>
      <c r="B123" t="str">
        <f t="shared" si="20"/>
        <v>¬</v>
      </c>
      <c r="D123" s="16" t="s">
        <v>927</v>
      </c>
      <c r="E123" s="17"/>
      <c r="F123" s="17"/>
      <c r="G123" s="17"/>
      <c r="H123" s="17"/>
      <c r="I123" s="17"/>
      <c r="Y123" s="15" t="s">
        <v>1476</v>
      </c>
      <c r="Z123" s="19"/>
      <c r="AA123" s="61" t="str">
        <f t="shared" ref="AA123:AA132" si="21">_xlfn.LET(_xlpm.name,VLOOKUP(Y123,$E$2:$F$362,2,FALSE),_xlpm.paid,_xlfn.IFNA(VLOOKUP(_xlpm.name,$F$121:$Q$215,11,FALSE)&gt;=VLOOKUP(_xlpm.name,$F$121:$Q$215,12,FALSE),FALSE),IF(AND(_xlpm.name&lt;&gt;"",_xlpm.paid),_xlpm.name,""))</f>
        <v/>
      </c>
    </row>
    <row r="124" spans="1:27">
      <c r="A124" s="1" t="s">
        <v>123</v>
      </c>
      <c r="B124" t="str">
        <f t="shared" si="20"/>
        <v>¬</v>
      </c>
      <c r="D124" s="19"/>
      <c r="E124" s="15" t="s">
        <v>83</v>
      </c>
      <c r="F124" s="19"/>
      <c r="G124" s="19"/>
      <c r="H124" s="19"/>
      <c r="I124" s="19"/>
      <c r="L124" s="4">
        <v>2</v>
      </c>
      <c r="M124" s="61">
        <f>IFERROR(VLOOKUP(G13,tblEffectiveStatus[#Data],2,FALSE),0)</f>
        <v>0</v>
      </c>
      <c r="P124" s="60">
        <f>MIN(L124+M124,R124)</f>
        <v>2</v>
      </c>
      <c r="R124" s="61">
        <v>10</v>
      </c>
      <c r="Y124" s="15" t="s">
        <v>1477</v>
      </c>
      <c r="Z124" s="19"/>
      <c r="AA124" s="61" t="str">
        <f t="shared" si="21"/>
        <v/>
      </c>
    </row>
    <row r="125" spans="1:27">
      <c r="A125" s="1" t="s">
        <v>124</v>
      </c>
      <c r="B125" t="str">
        <f t="shared" si="20"/>
        <v>¬</v>
      </c>
      <c r="D125" s="19"/>
      <c r="E125" s="15" t="str">
        <f>IF(F7="","Clan Status",F7&amp;" Status")</f>
        <v>Mekhet Status</v>
      </c>
      <c r="F125" s="19"/>
      <c r="G125" s="19"/>
      <c r="H125" s="19"/>
      <c r="I125" s="19"/>
      <c r="L125" s="4">
        <v>1</v>
      </c>
      <c r="P125" s="60">
        <f>IF(L125="",0,MIN(L125,R125))</f>
        <v>1</v>
      </c>
      <c r="R125" s="61">
        <v>5</v>
      </c>
      <c r="Y125" s="15" t="s">
        <v>1478</v>
      </c>
      <c r="Z125" s="19"/>
      <c r="AA125" s="61" t="str">
        <f t="shared" si="21"/>
        <v/>
      </c>
    </row>
    <row r="126" spans="1:27">
      <c r="A126" s="1" t="s">
        <v>125</v>
      </c>
      <c r="B126" t="str">
        <f t="shared" si="20"/>
        <v>¬</v>
      </c>
      <c r="D126" s="19"/>
      <c r="E126" s="15" t="str">
        <f>IF(F9="","",F9&amp;" Status")</f>
        <v>Invictus Status</v>
      </c>
      <c r="F126" s="19" t="str">
        <f>IF(F9="","",VLOOKUP(F9,tblCovenantShortName[#Data],2,FALSE))</f>
        <v>Invictus</v>
      </c>
      <c r="G126" s="19"/>
      <c r="H126" s="19"/>
      <c r="I126" s="19"/>
      <c r="L126" s="4">
        <v>2</v>
      </c>
      <c r="P126" s="60">
        <f>L126</f>
        <v>2</v>
      </c>
      <c r="R126" s="61">
        <f>5-SUM(L127:L129)</f>
        <v>5</v>
      </c>
      <c r="Y126" s="15" t="s">
        <v>1479</v>
      </c>
      <c r="Z126" s="19"/>
      <c r="AA126" s="61" t="str">
        <f t="shared" si="21"/>
        <v/>
      </c>
    </row>
    <row r="127" spans="1:27">
      <c r="A127" s="1" t="s">
        <v>126</v>
      </c>
      <c r="B127" t="str">
        <f t="shared" si="20"/>
        <v>¬</v>
      </c>
      <c r="D127" s="19"/>
      <c r="E127" s="15" t="str" cm="1">
        <f t="array" ref="E127">IF(F9="","",IFERROR(INDEX(Lists!$F$2:$F$5,SMALL(IF(Lists!$F$2:$F$5&lt;&gt;$F$9,ROW(Lists!$F$2:$F$5)-ROW(Lists!$F$2)+1),1))&amp;" Status",""))</f>
        <v>Carthian Movement Status</v>
      </c>
      <c r="F127" s="19" t="str" cm="1">
        <f t="array" ref="F127">IF(F9="","",IFERROR(VLOOKUP(INDEX(Lists!$F$2:$F$5,SMALL(IF(Lists!$F$2:$F$5&lt;&gt;$F$9,ROW(Lists!$F$2:$F$5)-ROW(Lists!$F$2)+1),1)),tblCovenantShortName[],2,FALSE),""))</f>
        <v>Carthian</v>
      </c>
      <c r="G127" s="19"/>
      <c r="H127" s="19"/>
      <c r="I127" s="19"/>
      <c r="L127" s="4"/>
      <c r="P127" s="60">
        <f>L127</f>
        <v>0</v>
      </c>
      <c r="R127" s="61">
        <f>MAX(0,MIN(P126-1,5-L126-L128-L129))</f>
        <v>1</v>
      </c>
      <c r="Y127" s="15" t="s">
        <v>1480</v>
      </c>
      <c r="Z127" s="19"/>
      <c r="AA127" s="61" t="str">
        <f t="shared" si="21"/>
        <v/>
      </c>
    </row>
    <row r="128" spans="1:27">
      <c r="A128" s="1" t="s">
        <v>127</v>
      </c>
      <c r="B128" t="str">
        <f t="shared" si="20"/>
        <v>¬</v>
      </c>
      <c r="D128" s="19"/>
      <c r="E128" s="15" t="str" cm="1">
        <f t="array" ref="E128">IF(F9="","",IFERROR(INDEX(Lists!$F$2:$F$5,SMALL(IF(Lists!$F$2:$F$5&lt;&gt;$F$9,ROW(Lists!$F$2:$F$5)-ROW(Lists!$F$2)+1),2))&amp;" Status",""))</f>
        <v>Circle of the Crone Status</v>
      </c>
      <c r="F128" s="19" t="str" cm="1">
        <f t="array" ref="F128">IF(F9="","",IFERROR(VLOOKUP(INDEX(Lists!$F$2:$F$5,SMALL(IF(Lists!$F$2:$F$5&lt;&gt;$F$9,ROW(Lists!$F$2:$F$5)-ROW(Lists!$F$2)+1),2)),tblCovenantShortName[],2,FALSE),""))</f>
        <v>Crone</v>
      </c>
      <c r="G128" s="19"/>
      <c r="H128" s="19"/>
      <c r="I128" s="19"/>
      <c r="L128" s="4"/>
      <c r="P128" s="60">
        <f>L128</f>
        <v>0</v>
      </c>
      <c r="R128" s="61">
        <f>MAX(0,MIN(P126-1,5-L126-L127-L129))</f>
        <v>1</v>
      </c>
      <c r="Y128" s="15" t="s">
        <v>1481</v>
      </c>
      <c r="Z128" s="19"/>
      <c r="AA128" s="61" t="str">
        <f t="shared" si="21"/>
        <v/>
      </c>
    </row>
    <row r="129" spans="1:32">
      <c r="A129" s="1" t="s">
        <v>128</v>
      </c>
      <c r="B129" t="str">
        <f t="shared" si="20"/>
        <v>¬</v>
      </c>
      <c r="D129" s="19"/>
      <c r="E129" s="15" t="str" cm="1">
        <f t="array" ref="E129">IF(F9="","",IFERROR(INDEX(Lists!$F$2:$F$5,SMALL(IF(Lists!$F$2:$F$5&lt;&gt;$F$9,ROW(Lists!$F$2:$F$5)-ROW(Lists!$F$2)+1),3))&amp;" Status",""))</f>
        <v>Lancea et Sanctum Status</v>
      </c>
      <c r="F129" s="19" t="str" cm="1">
        <f t="array" ref="F129">IF(F9="","",IFERROR(VLOOKUP(INDEX(Lists!$F$2:$F$5,SMALL(IF(Lists!$F$2:$F$5&lt;&gt;$F$9,ROW(Lists!$F$2:$F$5)-ROW(Lists!$F$2)+1),3)),tblCovenantShortName[],2,FALSE),""))</f>
        <v>Lance</v>
      </c>
      <c r="G129" s="19"/>
      <c r="H129" s="19"/>
      <c r="I129" s="19"/>
      <c r="L129" s="4"/>
      <c r="P129" s="60">
        <f>L129</f>
        <v>0</v>
      </c>
      <c r="R129" s="61">
        <f>MAX(0,MIN(P126-1,5-L126-L127-L128))</f>
        <v>1</v>
      </c>
      <c r="Y129" s="15" t="s">
        <v>1482</v>
      </c>
      <c r="Z129" s="19"/>
      <c r="AA129" s="61" t="str">
        <f t="shared" si="21"/>
        <v/>
      </c>
    </row>
    <row r="130" spans="1:32">
      <c r="A130" s="1" t="s">
        <v>129</v>
      </c>
      <c r="B130" t="str">
        <f t="shared" si="20"/>
        <v>¬</v>
      </c>
      <c r="Y130" s="15" t="s">
        <v>1483</v>
      </c>
      <c r="Z130" s="19"/>
      <c r="AA130" s="61" t="str">
        <f t="shared" si="21"/>
        <v/>
      </c>
    </row>
    <row r="131" spans="1:32">
      <c r="A131" s="1" t="s">
        <v>130</v>
      </c>
      <c r="B131" t="str">
        <f t="shared" si="20"/>
        <v>¬</v>
      </c>
      <c r="D131" s="16" t="s">
        <v>1475</v>
      </c>
      <c r="E131" s="17"/>
      <c r="F131" s="16" t="s">
        <v>1446</v>
      </c>
      <c r="G131" s="17"/>
      <c r="H131" s="17"/>
      <c r="I131" s="17"/>
      <c r="Y131" s="15" t="s">
        <v>1484</v>
      </c>
      <c r="Z131" s="19"/>
      <c r="AA131" s="61" t="str">
        <f t="shared" si="21"/>
        <v/>
      </c>
    </row>
    <row r="132" spans="1:32">
      <c r="A132" s="1" t="s">
        <v>131</v>
      </c>
      <c r="B132" t="str">
        <f t="shared" si="20"/>
        <v>¬</v>
      </c>
      <c r="D132" s="19"/>
      <c r="E132" s="15" t="s">
        <v>94</v>
      </c>
      <c r="F132" s="3"/>
      <c r="G132" s="19"/>
      <c r="H132" s="19"/>
      <c r="I132" s="19"/>
      <c r="L132" s="4">
        <v>1</v>
      </c>
      <c r="M132" s="4"/>
      <c r="N132" s="4"/>
      <c r="O132" s="61">
        <f>N132</f>
        <v>0</v>
      </c>
      <c r="P132" s="60">
        <f>MIN(SUM(L132,M132,O132),R132)</f>
        <v>1</v>
      </c>
      <c r="Q132" s="61">
        <f>_xlfn.IFNA(VLOOKUP($E132,tblDomain[],3,FALSE),"")</f>
        <v>1</v>
      </c>
      <c r="R132" s="61">
        <f>_xlfn.IFNA(VLOOKUP($E132,tblDomain[],4,FALSE),"")</f>
        <v>5</v>
      </c>
      <c r="Y132" s="15" t="s">
        <v>1485</v>
      </c>
      <c r="Z132" s="19"/>
      <c r="AA132" s="61" t="str">
        <f t="shared" si="21"/>
        <v/>
      </c>
    </row>
    <row r="133" spans="1:32">
      <c r="A133" s="1" t="s">
        <v>132</v>
      </c>
      <c r="B133" t="str">
        <f t="shared" si="20"/>
        <v>¬</v>
      </c>
      <c r="D133" s="19"/>
      <c r="E133" s="15" t="s">
        <v>95</v>
      </c>
      <c r="F133" s="3"/>
      <c r="G133" s="19"/>
      <c r="H133" s="19"/>
      <c r="I133" s="19"/>
      <c r="L133" s="4"/>
      <c r="M133" s="4"/>
      <c r="N133" s="4"/>
      <c r="O133" s="61">
        <f>N133</f>
        <v>0</v>
      </c>
      <c r="P133" s="60">
        <f>MIN(SUM(L133,M133,O133),R133)</f>
        <v>0</v>
      </c>
      <c r="Q133" s="61">
        <f>_xlfn.IFNA(VLOOKUP($E133,tblDomain[],3,FALSE),"")</f>
        <v>1</v>
      </c>
      <c r="R133" s="61">
        <f>_xlfn.IFNA(VLOOKUP($E133,tblDomain[],4,FALSE),"")</f>
        <v>5</v>
      </c>
    </row>
    <row r="134" spans="1:32">
      <c r="A134" s="1" t="s">
        <v>133</v>
      </c>
      <c r="B134" t="str">
        <f t="shared" si="20"/>
        <v>¬</v>
      </c>
      <c r="D134" s="19"/>
      <c r="E134" s="15" t="s">
        <v>96</v>
      </c>
      <c r="F134" s="19"/>
      <c r="G134" s="19"/>
      <c r="H134" s="19"/>
      <c r="I134" s="19"/>
      <c r="L134" s="4"/>
      <c r="M134" s="4"/>
      <c r="N134" s="4"/>
      <c r="O134" s="61">
        <f>N134</f>
        <v>0</v>
      </c>
      <c r="P134" s="60">
        <f>MIN(SUM(L134,M134,O134),R134)</f>
        <v>0</v>
      </c>
      <c r="Q134" s="61">
        <f>_xlfn.IFNA(VLOOKUP($E134,tblDomain[],3,FALSE),"")</f>
        <v>1</v>
      </c>
      <c r="R134" s="61">
        <f>_xlfn.IFNA(VLOOKUP($E134,tblDomain[],4,FALSE),"")</f>
        <v>5</v>
      </c>
      <c r="Y134" s="15" t="s">
        <v>176</v>
      </c>
      <c r="Z134" s="19"/>
      <c r="AA134" s="61" t="str">
        <f t="shared" ref="AA134:AA153" si="22">_xlfn.LET(_xlpm.name,VLOOKUP(Y134,$E$2:$F$362,2,FALSE),_xlpm.note,VLOOKUP(Y134,$E$2:$G$362,3,FALSE),_xlpm.row,MATCH(Y134,$E$138:$E$157,0),_xlpm.dots,INDEX($P$138:$P$157,_xlpm.row),_xlpm.max,INDEX($Q$138:$Q$157,_xlpm.row),_xlpm.paid,_xlfn.IFNA(_xlpm.dots&gt;=_xlpm.max,FALSE),IF(AND(_xlpm.name&lt;&gt;"",_xlpm.paid),IF(_xlpm.note="",_xlpm.name,_xlpm.name&amp;" ("&amp;_xlpm.note&amp;")"),""))</f>
        <v/>
      </c>
      <c r="AC134" s="60" t="str" cm="1">
        <f t="array" ref="AC134:AC136">_xlfn.LET(_xlpm.raw,IFERROR(_xlfn.VSTACK(IFERROR(_xlfn._xlws.SORT(_xlfn._xlws.FILTER(AA134:AA211,AA134:AA211&lt;&gt;"")),""),IFERROR(_xlfn._xlws.SORT(_xlfn._xlws.FILTER(AA213:AA222,AA213:AA222&lt;&gt;"")),"")),""),_xlpm.sorted,IFERROR(_xlfn._xlws.FILTER(_xlpm.raw,_xlpm.raw&lt;&gt;""),""),IFERROR(LEFT(_xlpm.sorted,FIND(" (",_xlpm.sorted)-1),_xlpm.sorted))</f>
        <v>Contacts</v>
      </c>
      <c r="AD134" s="20" t="str" cm="1">
        <f t="array" ref="AD134:AD136">_xlfn.LET(_xlpm.raw,IFERROR(_xlfn.VSTACK(IFERROR(_xlfn._xlws.SORT(_xlfn._xlws.FILTER(AA134:AA211,AA134:AA211&lt;&gt;"")),""),IFERROR(_xlfn._xlws.SORT(_xlfn._xlws.FILTER(AA213:AA222,AA213:AA222&lt;&gt;"")),"")),""),_xlpm.sorted,IFERROR(_xlfn._xlws.FILTER(_xlpm.raw,_xlpm.raw&lt;&gt;""),""),IFERROR(MID(_xlpm.sorted,FIND("(",_xlpm.sorted)+1,FIND(")",_xlpm.sorted)-FIND("(",_xlpm.sorted)-1),""))</f>
        <v>high society, politics</v>
      </c>
      <c r="AE134" s="20">
        <f t="shared" ref="AE134:AE153" si="23">IF(AC134="","",_xlfn.LET(_xlpm.sphere,AD134,_xlpm.dots,IF(OR(AF134="",AF134=0),0,AF134),_xlpm.broad,OR(_xlpm.sphere="",ISNUMBER(MATCH(_xlpm.sphere,lstAoI,0))),_xlpm.hwv,AND($AE$156,OR(AC134="Allies",AC134="Contacts",AND(AC134="Status",_xlpm.broad))),IF(_xlpm.hwv,IF(_xlpm.dots&gt;=4,2,IF(_xlpm.dots&gt;=2,1,0)),IF(_xlpm.broad,IF(_xlpm.dots&gt;=5,2,IF(_xlpm.dots&gt;=3,1,0)),IF(_xlpm.dots&gt;=5,1,0)))))</f>
        <v>0</v>
      </c>
      <c r="AF134" s="61" cm="1">
        <f t="array" ref="AF134">IF(AC134="","",SUMPRODUCT(($F$138:$F$157=AC134)*($G$138:$G$157=IF(AD134="","",AD134))*$P$138:$P$157))</f>
        <v>2</v>
      </c>
    </row>
    <row r="135" spans="1:32">
      <c r="A135" s="1" t="s">
        <v>134</v>
      </c>
      <c r="B135" t="str">
        <f t="shared" si="20"/>
        <v>¬</v>
      </c>
      <c r="D135" s="19"/>
      <c r="E135" s="15" t="s">
        <v>97</v>
      </c>
      <c r="F135" s="19"/>
      <c r="G135" s="19"/>
      <c r="H135" s="19"/>
      <c r="I135" s="19"/>
      <c r="L135" s="4"/>
      <c r="M135" s="4"/>
      <c r="N135" s="4"/>
      <c r="O135" s="61">
        <f>N135</f>
        <v>0</v>
      </c>
      <c r="P135" s="60">
        <f>MIN(SUM(L135,M135,O135),R135)</f>
        <v>0</v>
      </c>
      <c r="Q135" s="61">
        <f>_xlfn.IFNA(VLOOKUP($E135,tblDomain[],3,FALSE),"")</f>
        <v>1</v>
      </c>
      <c r="R135" s="61">
        <f>_xlfn.IFNA(VLOOKUP($E135,tblDomain[],4,FALSE),"")</f>
        <v>5</v>
      </c>
      <c r="Y135" s="15" t="s">
        <v>177</v>
      </c>
      <c r="Z135" s="19"/>
      <c r="AA135" s="61" t="str">
        <f t="shared" si="22"/>
        <v/>
      </c>
      <c r="AC135" s="60" t="str">
        <v>Resources</v>
      </c>
      <c r="AD135" s="20" t="str">
        <v/>
      </c>
      <c r="AE135" s="20">
        <f t="shared" si="23"/>
        <v>0</v>
      </c>
      <c r="AF135" s="61" cm="1">
        <f t="array" ref="AF135">IF(AC135="","",SUMPRODUCT(($F$138:$F$157=AC135)*($G$138:$G$157=IF(AD135="","",AD135))*$P$138:$P$157))</f>
        <v>1</v>
      </c>
    </row>
    <row r="136" spans="1:32">
      <c r="A136" s="1" t="s">
        <v>135</v>
      </c>
      <c r="B136" t="str">
        <f t="shared" si="20"/>
        <v>¬</v>
      </c>
      <c r="Y136" s="15" t="s">
        <v>178</v>
      </c>
      <c r="Z136" s="19"/>
      <c r="AA136" s="61" t="str">
        <f t="shared" si="22"/>
        <v>Contacts (high society, politics)</v>
      </c>
      <c r="AC136" s="60" t="str">
        <v>Status</v>
      </c>
      <c r="AD136" s="20" t="str">
        <v>Academia</v>
      </c>
      <c r="AE136" s="20">
        <f t="shared" si="23"/>
        <v>0</v>
      </c>
      <c r="AF136" s="61" cm="1">
        <f t="array" ref="AF136">IF(AC136="","",SUMPRODUCT(($F$138:$F$157=AC136)*($G$138:$G$157=IF(AD136="","",AD136))*$P$138:$P$157))</f>
        <v>1</v>
      </c>
    </row>
    <row r="137" spans="1:32">
      <c r="A137" s="1" t="s">
        <v>136</v>
      </c>
      <c r="B137" t="str">
        <f t="shared" si="20"/>
        <v>¬</v>
      </c>
      <c r="D137" s="16" t="s">
        <v>174</v>
      </c>
      <c r="E137" s="17"/>
      <c r="F137" s="17"/>
      <c r="G137" s="17"/>
      <c r="H137" s="61">
        <f>L225</f>
        <v>0</v>
      </c>
      <c r="I137" s="61">
        <f>SUM(AE134:AE155)+SUM(P125:P129)</f>
        <v>3</v>
      </c>
      <c r="Y137" s="15" t="s">
        <v>179</v>
      </c>
      <c r="Z137" s="19"/>
      <c r="AA137" s="61" t="str">
        <f t="shared" si="22"/>
        <v>Resources</v>
      </c>
      <c r="AC137" s="60"/>
      <c r="AD137" s="20"/>
      <c r="AE137" s="20" t="str">
        <f t="shared" si="23"/>
        <v/>
      </c>
      <c r="AF137" s="61" t="str" cm="1">
        <f t="array" ref="AF137">IF(AC137="","",SUMPRODUCT(($F$138:$F$157=AC137)*($G$138:$G$157=IF(AD137="","",AD137))*$P$138:$P$157))</f>
        <v/>
      </c>
    </row>
    <row r="138" spans="1:32">
      <c r="A138" s="1" t="s">
        <v>137</v>
      </c>
      <c r="B138" t="str">
        <f t="shared" si="20"/>
        <v>¬</v>
      </c>
      <c r="D138" s="19"/>
      <c r="E138" s="15" t="s">
        <v>176</v>
      </c>
      <c r="F138" s="3" t="s">
        <v>412</v>
      </c>
      <c r="G138" s="3" t="s">
        <v>1239</v>
      </c>
      <c r="H138" s="67" t="str">
        <f>IFERROR(IF(VLOOKUP(F138,tblManoeuvre[],8,FALSE)=0,"None",VLOOKUP(F138,tblManoeuvre[],8,FALSE)),"None")</f>
        <v>None</v>
      </c>
      <c r="I138" s="67"/>
      <c r="L138" s="4"/>
      <c r="M138" s="4"/>
      <c r="N138" s="4"/>
      <c r="O138" s="61">
        <f t="shared" ref="O138:O157" si="24">N138</f>
        <v>0</v>
      </c>
      <c r="P138" s="60">
        <f t="shared" ref="P138:P157" si="25">MIN(SUM(L138,M138,O138),R138)</f>
        <v>0</v>
      </c>
      <c r="Q138" s="61">
        <f>_xlfn.IFNA(VLOOKUP($F138,tblInfluence[],3,FALSE),"")</f>
        <v>1</v>
      </c>
      <c r="R138" s="61">
        <f>_xlfn.IFNA(VLOOKUP($F138,tblInfluence[],4,FALSE),"")</f>
        <v>5</v>
      </c>
      <c r="Y138" s="15" t="s">
        <v>180</v>
      </c>
      <c r="Z138" s="19"/>
      <c r="AA138" s="61" t="str">
        <f t="shared" si="22"/>
        <v>Status (Academia)</v>
      </c>
      <c r="AC138" s="60"/>
      <c r="AD138" s="20"/>
      <c r="AE138" s="20" t="str">
        <f t="shared" si="23"/>
        <v/>
      </c>
      <c r="AF138" s="61" t="str" cm="1">
        <f t="array" ref="AF138">IF(AC138="","",SUMPRODUCT(($F$138:$F$157=AC138)*($G$138:$G$157=IF(AD138="","",AD138))*$P$138:$P$157))</f>
        <v/>
      </c>
    </row>
    <row r="139" spans="1:32">
      <c r="A139" s="1" t="s">
        <v>138</v>
      </c>
      <c r="B139" t="str">
        <f t="shared" si="20"/>
        <v>¬</v>
      </c>
      <c r="D139" s="19"/>
      <c r="E139" s="15" t="s">
        <v>177</v>
      </c>
      <c r="F139" s="3" t="s">
        <v>412</v>
      </c>
      <c r="G139" s="3" t="s">
        <v>1832</v>
      </c>
      <c r="H139" s="67" t="str">
        <f>IFERROR(IF(VLOOKUP(F139,tblManoeuvre[],8,FALSE)=0,"None",VLOOKUP(F139,tblManoeuvre[],8,FALSE)),"None")</f>
        <v>None</v>
      </c>
      <c r="I139" s="67"/>
      <c r="L139" s="4"/>
      <c r="M139" s="4"/>
      <c r="N139" s="4"/>
      <c r="O139" s="61">
        <f t="shared" si="24"/>
        <v>0</v>
      </c>
      <c r="P139" s="60">
        <f t="shared" si="25"/>
        <v>0</v>
      </c>
      <c r="Q139" s="61">
        <f>_xlfn.IFNA(VLOOKUP($F139,tblInfluence[],3,FALSE),"")</f>
        <v>1</v>
      </c>
      <c r="R139" s="61">
        <f>_xlfn.IFNA(VLOOKUP($F139,tblInfluence[],4,FALSE),"")</f>
        <v>5</v>
      </c>
      <c r="Y139" s="15" t="s">
        <v>181</v>
      </c>
      <c r="Z139" s="19"/>
      <c r="AA139" s="61" t="str">
        <f t="shared" si="22"/>
        <v/>
      </c>
      <c r="AC139" s="60"/>
      <c r="AD139" s="20"/>
      <c r="AE139" s="20" t="str">
        <f t="shared" si="23"/>
        <v/>
      </c>
      <c r="AF139" s="61" t="str" cm="1">
        <f t="array" ref="AF139">IF(AC139="","",SUMPRODUCT(($F$138:$F$157=AC139)*($G$138:$G$157=IF(AD139="","",AD139))*$P$138:$P$157))</f>
        <v/>
      </c>
    </row>
    <row r="140" spans="1:32">
      <c r="A140" s="1" t="s">
        <v>139</v>
      </c>
      <c r="B140" t="str">
        <f t="shared" si="20"/>
        <v>¬</v>
      </c>
      <c r="D140" s="58" t="s">
        <v>1673</v>
      </c>
      <c r="E140" s="15" t="s">
        <v>178</v>
      </c>
      <c r="F140" s="3" t="s">
        <v>413</v>
      </c>
      <c r="G140" s="3" t="s">
        <v>1341</v>
      </c>
      <c r="H140" s="67" t="str">
        <f>IFERROR(IF(VLOOKUP(F140,tblManoeuvre[],8,FALSE)=0,"None",VLOOKUP(F140,tblManoeuvre[],8,FALSE)),"None")</f>
        <v>None</v>
      </c>
      <c r="I140" s="67"/>
      <c r="L140" s="4"/>
      <c r="M140" s="4">
        <v>2</v>
      </c>
      <c r="N140" s="4"/>
      <c r="O140" s="61">
        <f t="shared" si="24"/>
        <v>0</v>
      </c>
      <c r="P140" s="60">
        <f t="shared" si="25"/>
        <v>2</v>
      </c>
      <c r="Q140" s="61">
        <f>_xlfn.IFNA(VLOOKUP($F140,tblInfluence[],3,FALSE),"")</f>
        <v>1</v>
      </c>
      <c r="R140" s="61">
        <f>_xlfn.IFNA(VLOOKUP($F140,tblInfluence[],4,FALSE),"")</f>
        <v>5</v>
      </c>
      <c r="Y140" s="15" t="s">
        <v>182</v>
      </c>
      <c r="Z140" s="19"/>
      <c r="AA140" s="61" t="str">
        <f t="shared" si="22"/>
        <v/>
      </c>
      <c r="AC140" s="60"/>
      <c r="AD140" s="20"/>
      <c r="AE140" s="20" t="str">
        <f t="shared" si="23"/>
        <v/>
      </c>
      <c r="AF140" s="61" t="str" cm="1">
        <f t="array" ref="AF140">IF(AC140="","",SUMPRODUCT(($F$138:$F$157=AC140)*($G$138:$G$157=IF(AD140="","",AD140))*$P$138:$P$157))</f>
        <v/>
      </c>
    </row>
    <row r="141" spans="1:32">
      <c r="A141" s="1" t="s">
        <v>140</v>
      </c>
      <c r="B141" t="str">
        <f t="shared" si="20"/>
        <v>¬</v>
      </c>
      <c r="D141" s="19"/>
      <c r="E141" s="15" t="s">
        <v>179</v>
      </c>
      <c r="F141" s="3" t="s">
        <v>525</v>
      </c>
      <c r="G141" s="3"/>
      <c r="H141" s="67" t="str">
        <f>IFERROR(IF(VLOOKUP(F141,tblManoeuvre[],8,FALSE)=0,"None",VLOOKUP(F141,tblManoeuvre[],8,FALSE)),"None")</f>
        <v>None</v>
      </c>
      <c r="I141" s="67"/>
      <c r="L141" s="4">
        <v>1</v>
      </c>
      <c r="M141" s="4"/>
      <c r="N141" s="4"/>
      <c r="O141" s="61">
        <f t="shared" si="24"/>
        <v>0</v>
      </c>
      <c r="P141" s="60">
        <f t="shared" si="25"/>
        <v>1</v>
      </c>
      <c r="Q141" s="61">
        <f>_xlfn.IFNA(VLOOKUP($F141,tblInfluence[],3,FALSE),"")</f>
        <v>1</v>
      </c>
      <c r="R141" s="61">
        <f>_xlfn.IFNA(VLOOKUP($F141,tblInfluence[],4,FALSE),"")</f>
        <v>5</v>
      </c>
      <c r="Y141" s="15" t="s">
        <v>183</v>
      </c>
      <c r="Z141" s="19"/>
      <c r="AA141" s="61" t="str">
        <f t="shared" si="22"/>
        <v/>
      </c>
      <c r="AC141" s="60"/>
      <c r="AD141" s="20"/>
      <c r="AE141" s="20" t="str">
        <f t="shared" si="23"/>
        <v/>
      </c>
      <c r="AF141" s="61" t="str" cm="1">
        <f t="array" ref="AF141">IF(AC141="","",SUMPRODUCT(($F$138:$F$157=AC141)*($G$138:$G$157=IF(AD141="","",AD141))*$P$138:$P$157))</f>
        <v/>
      </c>
    </row>
    <row r="142" spans="1:32">
      <c r="A142" s="1" t="s">
        <v>141</v>
      </c>
      <c r="B142" t="str">
        <f t="shared" si="20"/>
        <v>¬</v>
      </c>
      <c r="D142" s="19"/>
      <c r="E142" s="15" t="s">
        <v>180</v>
      </c>
      <c r="F142" s="3" t="s">
        <v>927</v>
      </c>
      <c r="G142" s="3" t="s">
        <v>1342</v>
      </c>
      <c r="H142" s="67" t="str">
        <f>IFERROR(IF(VLOOKUP(F142,tblManoeuvre[],8,FALSE)=0,"None",VLOOKUP(F142,tblManoeuvre[],8,FALSE)),"None")</f>
        <v>None</v>
      </c>
      <c r="I142" s="67"/>
      <c r="L142" s="4">
        <v>1</v>
      </c>
      <c r="M142" s="4"/>
      <c r="N142" s="4"/>
      <c r="O142" s="61">
        <f t="shared" si="24"/>
        <v>0</v>
      </c>
      <c r="P142" s="60">
        <f t="shared" si="25"/>
        <v>1</v>
      </c>
      <c r="Q142" s="61">
        <f>_xlfn.IFNA(VLOOKUP($F142,tblInfluence[],3,FALSE),"")</f>
        <v>1</v>
      </c>
      <c r="R142" s="61">
        <f>_xlfn.IFNA(VLOOKUP($F142,tblInfluence[],4,FALSE),"")</f>
        <v>5</v>
      </c>
      <c r="Y142" s="15" t="s">
        <v>184</v>
      </c>
      <c r="Z142" s="19"/>
      <c r="AA142" s="61" t="str">
        <f t="shared" si="22"/>
        <v/>
      </c>
      <c r="AC142" s="60"/>
      <c r="AD142" s="20"/>
      <c r="AE142" s="20" t="str">
        <f t="shared" si="23"/>
        <v/>
      </c>
      <c r="AF142" s="61" t="str" cm="1">
        <f t="array" ref="AF142">IF(AC142="","",SUMPRODUCT(($F$138:$F$157=AC142)*($G$138:$G$157=IF(AD142="","",AD142))*$P$138:$P$157))</f>
        <v/>
      </c>
    </row>
    <row r="143" spans="1:32">
      <c r="A143" s="1" t="s">
        <v>142</v>
      </c>
      <c r="B143" t="str">
        <f t="shared" si="20"/>
        <v>¬</v>
      </c>
      <c r="D143" s="19"/>
      <c r="E143" s="15" t="s">
        <v>181</v>
      </c>
      <c r="F143" s="3"/>
      <c r="G143" s="3" t="str">
        <f>IFERROR(VLOOKUP(F143,tblManoeuvre[],2,FALSE)&amp;" "&amp;VLOOKUP(F143,tblManoeuvre[],3,FALSE),"")</f>
        <v/>
      </c>
      <c r="H143" s="67" t="str">
        <f>IFERROR(IF(VLOOKUP(F143,tblManoeuvre[],8,FALSE)=0,"None",VLOOKUP(F143,tblManoeuvre[],8,FALSE)),"None")</f>
        <v>None</v>
      </c>
      <c r="I143" s="67"/>
      <c r="L143" s="4"/>
      <c r="M143" s="4"/>
      <c r="N143" s="4"/>
      <c r="O143" s="61">
        <f t="shared" si="24"/>
        <v>0</v>
      </c>
      <c r="P143" s="60">
        <f t="shared" si="25"/>
        <v>0</v>
      </c>
      <c r="Q143" s="61" t="str">
        <f>_xlfn.IFNA(VLOOKUP($F143,tblInfluence[],3,FALSE),"")</f>
        <v/>
      </c>
      <c r="R143" s="61" t="str">
        <f>_xlfn.IFNA(VLOOKUP($F143,tblInfluence[],4,FALSE),"")</f>
        <v/>
      </c>
      <c r="Y143" s="15" t="s">
        <v>185</v>
      </c>
      <c r="Z143" s="19"/>
      <c r="AA143" s="61" t="str">
        <f t="shared" si="22"/>
        <v/>
      </c>
      <c r="AC143" s="60"/>
      <c r="AD143" s="20"/>
      <c r="AE143" s="20" t="str">
        <f t="shared" si="23"/>
        <v/>
      </c>
      <c r="AF143" s="61" t="str" cm="1">
        <f t="array" ref="AF143">IF(AC143="","",SUMPRODUCT(($F$138:$F$157=AC143)*($G$138:$G$157=IF(AD143="","",AD143))*$P$138:$P$157))</f>
        <v/>
      </c>
    </row>
    <row r="144" spans="1:32">
      <c r="A144" s="1" t="s">
        <v>143</v>
      </c>
      <c r="B144" t="str">
        <f t="shared" si="20"/>
        <v>¬</v>
      </c>
      <c r="D144" s="19"/>
      <c r="E144" s="15" t="s">
        <v>182</v>
      </c>
      <c r="F144" s="3"/>
      <c r="G144" s="3"/>
      <c r="H144" s="67" t="str">
        <f>IFERROR(IF(VLOOKUP(F144,tblManoeuvre[],8,FALSE)=0,"None",VLOOKUP(F144,tblManoeuvre[],8,FALSE)),"None")</f>
        <v>None</v>
      </c>
      <c r="I144" s="67"/>
      <c r="L144" s="4"/>
      <c r="M144" s="4"/>
      <c r="N144" s="4"/>
      <c r="O144" s="61">
        <f t="shared" si="24"/>
        <v>0</v>
      </c>
      <c r="P144" s="60">
        <f t="shared" si="25"/>
        <v>0</v>
      </c>
      <c r="Q144" s="61" t="str">
        <f>_xlfn.IFNA(VLOOKUP($F144,tblInfluence[],3,FALSE),"")</f>
        <v/>
      </c>
      <c r="R144" s="61" t="str">
        <f>_xlfn.IFNA(VLOOKUP($F144,tblInfluence[],4,FALSE),"")</f>
        <v/>
      </c>
      <c r="Y144" s="15" t="s">
        <v>186</v>
      </c>
      <c r="Z144" s="19"/>
      <c r="AA144" s="61" t="str">
        <f t="shared" si="22"/>
        <v/>
      </c>
      <c r="AC144" s="60"/>
      <c r="AD144" s="20"/>
      <c r="AE144" s="20" t="str">
        <f t="shared" si="23"/>
        <v/>
      </c>
      <c r="AF144" s="61" t="str" cm="1">
        <f t="array" ref="AF144">IF(AC144="","",SUMPRODUCT(($F$138:$F$157=AC144)*($G$138:$G$157=IF(AD144="","",AD144))*$P$138:$P$157))</f>
        <v/>
      </c>
    </row>
    <row r="145" spans="1:32">
      <c r="A145" s="1" t="s">
        <v>144</v>
      </c>
      <c r="B145" t="str">
        <f t="shared" ref="B145:B174" si="26">IF(AF2="","¬",AF2)</f>
        <v>Roll Intelligence + Wits to recall trivia about a chosen field.</v>
      </c>
      <c r="D145" s="19"/>
      <c r="E145" s="15" t="s">
        <v>183</v>
      </c>
      <c r="F145" s="3"/>
      <c r="G145" s="3" t="str">
        <f>IFERROR(VLOOKUP(F145,tblManoeuvre[],2,FALSE)&amp;" "&amp;VLOOKUP(F145,tblManoeuvre[],3,FALSE),"")</f>
        <v/>
      </c>
      <c r="H145" s="67" t="str">
        <f>IFERROR(IF(VLOOKUP(F145,tblManoeuvre[],8,FALSE)=0,"None",VLOOKUP(F145,tblManoeuvre[],8,FALSE)),"None")</f>
        <v>None</v>
      </c>
      <c r="I145" s="67"/>
      <c r="L145" s="4"/>
      <c r="M145" s="4"/>
      <c r="N145" s="4"/>
      <c r="O145" s="61">
        <f t="shared" si="24"/>
        <v>0</v>
      </c>
      <c r="P145" s="60">
        <f t="shared" si="25"/>
        <v>0</v>
      </c>
      <c r="Q145" s="61" t="str">
        <f>_xlfn.IFNA(VLOOKUP($F145,tblInfluence[],3,FALSE),"")</f>
        <v/>
      </c>
      <c r="R145" s="61" t="str">
        <f>_xlfn.IFNA(VLOOKUP($F145,tblInfluence[],4,FALSE),"")</f>
        <v/>
      </c>
      <c r="Y145" s="15" t="s">
        <v>187</v>
      </c>
      <c r="Z145" s="19"/>
      <c r="AA145" s="61" t="str">
        <f t="shared" si="22"/>
        <v/>
      </c>
      <c r="AC145" s="60"/>
      <c r="AD145" s="20"/>
      <c r="AE145" s="20" t="str">
        <f t="shared" si="23"/>
        <v/>
      </c>
      <c r="AF145" s="61" t="str" cm="1">
        <f t="array" ref="AF145">IF(AC145="","",SUMPRODUCT(($F$138:$F$157=AC145)*($G$138:$G$157=IF(AD145="","",AD145))*$P$138:$P$157))</f>
        <v/>
      </c>
    </row>
    <row r="146" spans="1:32">
      <c r="A146" s="1" t="s">
        <v>145</v>
      </c>
      <c r="B146" t="str">
        <f t="shared" si="26"/>
        <v>Once per chapter, use Invictus Status as Mortal Status in areas you don't possess. Drawback: Other Invictus may be informed.</v>
      </c>
      <c r="D146" s="19"/>
      <c r="E146" s="15" t="s">
        <v>184</v>
      </c>
      <c r="F146" s="3"/>
      <c r="G146" s="3" t="str">
        <f>IFERROR(VLOOKUP(F146,tblManoeuvre[],2,FALSE)&amp;" "&amp;VLOOKUP(F146,tblManoeuvre[],3,FALSE),"")</f>
        <v/>
      </c>
      <c r="H146" s="67" t="str">
        <f>IFERROR(IF(VLOOKUP(F146,tblManoeuvre[],8,FALSE)=0,"None",VLOOKUP(F146,tblManoeuvre[],8,FALSE)),"None")</f>
        <v>None</v>
      </c>
      <c r="I146" s="67"/>
      <c r="L146" s="4"/>
      <c r="M146" s="4"/>
      <c r="N146" s="4"/>
      <c r="O146" s="61">
        <f t="shared" si="24"/>
        <v>0</v>
      </c>
      <c r="P146" s="60">
        <f t="shared" si="25"/>
        <v>0</v>
      </c>
      <c r="Q146" s="61" t="str">
        <f>_xlfn.IFNA(VLOOKUP($F146,tblInfluence[],3,FALSE),"")</f>
        <v/>
      </c>
      <c r="R146" s="61" t="str">
        <f>_xlfn.IFNA(VLOOKUP($F146,tblInfluence[],4,FALSE),"")</f>
        <v/>
      </c>
      <c r="Y146" s="15" t="s">
        <v>188</v>
      </c>
      <c r="Z146" s="19"/>
      <c r="AA146" s="61" t="str">
        <f t="shared" si="22"/>
        <v/>
      </c>
      <c r="AC146" s="60"/>
      <c r="AD146" s="20"/>
      <c r="AE146" s="20" t="str">
        <f t="shared" si="23"/>
        <v/>
      </c>
      <c r="AF146" s="61" t="str" cm="1">
        <f t="array" ref="AF146">IF(AC146="","",SUMPRODUCT(($F$138:$F$157=AC146)*($G$138:$G$157=IF(AD146="","",AD146))*$P$138:$P$157))</f>
        <v/>
      </c>
    </row>
    <row r="147" spans="1:32">
      <c r="A147" s="1" t="s">
        <v>146</v>
      </c>
      <c r="B147" t="str">
        <f t="shared" si="26"/>
        <v>+2 to contest or resist supernatural mental influence.</v>
      </c>
      <c r="D147" s="19"/>
      <c r="E147" s="15" t="s">
        <v>185</v>
      </c>
      <c r="F147" s="3"/>
      <c r="G147" s="3" t="str">
        <f>IFERROR(VLOOKUP(F147,tblManoeuvre[],2,FALSE)&amp;" "&amp;VLOOKUP(F147,tblManoeuvre[],3,FALSE),"")</f>
        <v/>
      </c>
      <c r="H147" s="67" t="str">
        <f>IFERROR(IF(VLOOKUP(F147,tblManoeuvre[],8,FALSE)=0,"None",VLOOKUP(F147,tblManoeuvre[],8,FALSE)),"None")</f>
        <v>None</v>
      </c>
      <c r="I147" s="67"/>
      <c r="L147" s="4"/>
      <c r="M147" s="4"/>
      <c r="N147" s="4"/>
      <c r="O147" s="61">
        <f t="shared" si="24"/>
        <v>0</v>
      </c>
      <c r="P147" s="60">
        <f t="shared" si="25"/>
        <v>0</v>
      </c>
      <c r="Q147" s="61" t="str">
        <f>_xlfn.IFNA(VLOOKUP($F147,tblInfluence[],3,FALSE),"")</f>
        <v/>
      </c>
      <c r="R147" s="61" t="str">
        <f>_xlfn.IFNA(VLOOKUP($F147,tblInfluence[],4,FALSE),"")</f>
        <v/>
      </c>
      <c r="Y147" s="15" t="s">
        <v>189</v>
      </c>
      <c r="Z147" s="19"/>
      <c r="AA147" s="61" t="str">
        <f t="shared" si="22"/>
        <v/>
      </c>
      <c r="AC147" s="60"/>
      <c r="AD147" s="20"/>
      <c r="AE147" s="20" t="str">
        <f t="shared" si="23"/>
        <v/>
      </c>
      <c r="AF147" s="61" t="str" cm="1">
        <f t="array" ref="AF147">IF(AC147="","",SUMPRODUCT(($F$138:$F$157=AC147)*($G$138:$G$157=IF(AD147="","",AD147))*$P$138:$P$157))</f>
        <v/>
      </c>
    </row>
    <row r="148" spans="1:32">
      <c r="A148" s="1" t="s">
        <v>147</v>
      </c>
      <c r="B148" t="str">
        <f t="shared" si="26"/>
        <v>Speak two chosen languages conversationally. Intelligence + Academics to read.</v>
      </c>
      <c r="D148" s="19"/>
      <c r="E148" s="15" t="s">
        <v>186</v>
      </c>
      <c r="F148" s="3"/>
      <c r="G148" s="3" t="str">
        <f>IFERROR(VLOOKUP(F148,tblManoeuvre[],2,FALSE)&amp;" "&amp;VLOOKUP(F148,tblManoeuvre[],3,FALSE),"")</f>
        <v/>
      </c>
      <c r="H148" s="67" t="str">
        <f>IFERROR(IF(VLOOKUP(F148,tblManoeuvre[],8,FALSE)=0,"None",VLOOKUP(F148,tblManoeuvre[],8,FALSE)),"None")</f>
        <v>None</v>
      </c>
      <c r="I148" s="67"/>
      <c r="L148" s="4"/>
      <c r="M148" s="4"/>
      <c r="N148" s="4"/>
      <c r="O148" s="61">
        <f t="shared" si="24"/>
        <v>0</v>
      </c>
      <c r="P148" s="60">
        <f t="shared" si="25"/>
        <v>0</v>
      </c>
      <c r="Q148" s="61" t="str">
        <f>_xlfn.IFNA(VLOOKUP($F148,tblInfluence[],3,FALSE),"")</f>
        <v/>
      </c>
      <c r="R148" s="61" t="str">
        <f>_xlfn.IFNA(VLOOKUP($F148,tblInfluence[],4,FALSE),"")</f>
        <v/>
      </c>
      <c r="Y148" s="15" t="s">
        <v>190</v>
      </c>
      <c r="Z148" s="19"/>
      <c r="AA148" s="61" t="str">
        <f t="shared" si="22"/>
        <v/>
      </c>
      <c r="AC148" s="60"/>
      <c r="AD148" s="20"/>
      <c r="AE148" s="20" t="str">
        <f t="shared" si="23"/>
        <v/>
      </c>
      <c r="AF148" s="61" t="str" cm="1">
        <f t="array" ref="AF148">IF(AC148="","",SUMPRODUCT(($F$138:$F$157=AC148)*($G$138:$G$157=IF(AD148="","",AD148))*$P$138:$P$157))</f>
        <v/>
      </c>
    </row>
    <row r="149" spans="1:32">
      <c r="A149" s="1" t="s">
        <v>148</v>
      </c>
      <c r="B149" t="str">
        <f t="shared" si="26"/>
        <v>¬</v>
      </c>
      <c r="D149" s="19"/>
      <c r="E149" s="15" t="s">
        <v>187</v>
      </c>
      <c r="F149" s="3"/>
      <c r="G149" s="3" t="str">
        <f>IFERROR(VLOOKUP(F149,tblManoeuvre[],2,FALSE)&amp;" "&amp;VLOOKUP(F149,tblManoeuvre[],3,FALSE),"")</f>
        <v/>
      </c>
      <c r="H149" s="67" t="str">
        <f>IFERROR(IF(VLOOKUP(F149,tblManoeuvre[],8,FALSE)=0,"None",VLOOKUP(F149,tblManoeuvre[],8,FALSE)),"None")</f>
        <v>None</v>
      </c>
      <c r="I149" s="67"/>
      <c r="L149" s="4"/>
      <c r="M149" s="4"/>
      <c r="N149" s="4"/>
      <c r="O149" s="61">
        <f t="shared" si="24"/>
        <v>0</v>
      </c>
      <c r="P149" s="60">
        <f t="shared" si="25"/>
        <v>0</v>
      </c>
      <c r="Q149" s="61" t="str">
        <f>_xlfn.IFNA(VLOOKUP($F149,tblInfluence[],3,FALSE),"")</f>
        <v/>
      </c>
      <c r="R149" s="61" t="str">
        <f>_xlfn.IFNA(VLOOKUP($F149,tblInfluence[],4,FALSE),"")</f>
        <v/>
      </c>
      <c r="Y149" s="15" t="s">
        <v>191</v>
      </c>
      <c r="Z149" s="19"/>
      <c r="AA149" s="61" t="str">
        <f t="shared" si="22"/>
        <v/>
      </c>
      <c r="AC149" s="60"/>
      <c r="AD149" s="20"/>
      <c r="AE149" s="20" t="str">
        <f t="shared" si="23"/>
        <v/>
      </c>
      <c r="AF149" s="61" t="str" cm="1">
        <f t="array" ref="AF149">IF(AC149="","",SUMPRODUCT(($F$138:$F$157=AC149)*($G$138:$G$157=IF(AD149="","",AD149))*$P$138:$P$157))</f>
        <v/>
      </c>
    </row>
    <row r="150" spans="1:32">
      <c r="A150" s="1" t="s">
        <v>149</v>
      </c>
      <c r="B150" t="str">
        <f t="shared" si="26"/>
        <v>¬</v>
      </c>
      <c r="D150" s="19"/>
      <c r="E150" s="15" t="s">
        <v>188</v>
      </c>
      <c r="F150" s="3"/>
      <c r="G150" s="3" t="str">
        <f>IFERROR(VLOOKUP(F150,tblManoeuvre[],2,FALSE)&amp;" "&amp;VLOOKUP(F150,tblManoeuvre[],3,FALSE),"")</f>
        <v/>
      </c>
      <c r="H150" s="67" t="str">
        <f>IFERROR(IF(VLOOKUP(F150,tblManoeuvre[],8,FALSE)=0,"None",VLOOKUP(F150,tblManoeuvre[],8,FALSE)),"None")</f>
        <v>None</v>
      </c>
      <c r="I150" s="67"/>
      <c r="L150" s="4"/>
      <c r="M150" s="4"/>
      <c r="N150" s="4"/>
      <c r="O150" s="61">
        <f t="shared" si="24"/>
        <v>0</v>
      </c>
      <c r="P150" s="60">
        <f t="shared" si="25"/>
        <v>0</v>
      </c>
      <c r="Q150" s="61" t="str">
        <f>_xlfn.IFNA(VLOOKUP($F150,tblInfluence[],3,FALSE),"")</f>
        <v/>
      </c>
      <c r="R150" s="61" t="str">
        <f>_xlfn.IFNA(VLOOKUP($F150,tblInfluence[],4,FALSE),"")</f>
        <v/>
      </c>
      <c r="Y150" s="15" t="s">
        <v>192</v>
      </c>
      <c r="Z150" s="19"/>
      <c r="AA150" s="61" t="str">
        <f t="shared" si="22"/>
        <v/>
      </c>
      <c r="AC150" s="60"/>
      <c r="AD150" s="20"/>
      <c r="AE150" s="20" t="str">
        <f t="shared" si="23"/>
        <v/>
      </c>
      <c r="AF150" s="61" t="str" cm="1">
        <f t="array" ref="AF150">IF(AC150="","",SUMPRODUCT(($F$138:$F$157=AC150)*($G$138:$G$157=IF(AD150="","",AD150))*$P$138:$P$157))</f>
        <v/>
      </c>
    </row>
    <row r="151" spans="1:32">
      <c r="A151" s="1" t="s">
        <v>150</v>
      </c>
      <c r="B151" t="str">
        <f t="shared" si="26"/>
        <v>¬</v>
      </c>
      <c r="D151" s="19"/>
      <c r="E151" s="15" t="s">
        <v>189</v>
      </c>
      <c r="F151" s="3"/>
      <c r="G151" s="3" t="str">
        <f>IFERROR(VLOOKUP(F151,tblManoeuvre[],2,FALSE)&amp;" "&amp;VLOOKUP(F151,tblManoeuvre[],3,FALSE),"")</f>
        <v/>
      </c>
      <c r="H151" s="67" t="str">
        <f>IFERROR(IF(VLOOKUP(F151,tblManoeuvre[],8,FALSE)=0,"None",VLOOKUP(F151,tblManoeuvre[],8,FALSE)),"None")</f>
        <v>None</v>
      </c>
      <c r="I151" s="67"/>
      <c r="L151" s="4"/>
      <c r="M151" s="4"/>
      <c r="N151" s="4"/>
      <c r="O151" s="61">
        <f t="shared" si="24"/>
        <v>0</v>
      </c>
      <c r="P151" s="60">
        <f t="shared" si="25"/>
        <v>0</v>
      </c>
      <c r="Q151" s="61" t="str">
        <f>_xlfn.IFNA(VLOOKUP($F151,tblInfluence[],3,FALSE),"")</f>
        <v/>
      </c>
      <c r="R151" s="61" t="str">
        <f>_xlfn.IFNA(VLOOKUP($F151,tblInfluence[],4,FALSE),"")</f>
        <v/>
      </c>
      <c r="Y151" s="15" t="s">
        <v>193</v>
      </c>
      <c r="Z151" s="19"/>
      <c r="AA151" s="61" t="str">
        <f t="shared" si="22"/>
        <v/>
      </c>
      <c r="AC151" s="60"/>
      <c r="AD151" s="20"/>
      <c r="AE151" s="20" t="str">
        <f t="shared" si="23"/>
        <v/>
      </c>
      <c r="AF151" s="61" t="str" cm="1">
        <f t="array" ref="AF151">IF(AC151="","",SUMPRODUCT(($F$138:$F$157=AC151)*($G$138:$G$157=IF(AD151="","",AD151))*$P$138:$P$157))</f>
        <v/>
      </c>
    </row>
    <row r="152" spans="1:32">
      <c r="A152" s="1" t="s">
        <v>151</v>
      </c>
      <c r="B152" t="str">
        <f t="shared" si="26"/>
        <v>¬</v>
      </c>
      <c r="D152" s="19"/>
      <c r="E152" s="15" t="s">
        <v>190</v>
      </c>
      <c r="F152" s="3"/>
      <c r="G152" s="3" t="str">
        <f>IFERROR(VLOOKUP(F152,tblManoeuvre[],2,FALSE)&amp;" "&amp;VLOOKUP(F152,tblManoeuvre[],3,FALSE),"")</f>
        <v/>
      </c>
      <c r="H152" s="67" t="str">
        <f>IFERROR(IF(VLOOKUP(F152,tblManoeuvre[],8,FALSE)=0,"None",VLOOKUP(F152,tblManoeuvre[],8,FALSE)),"None")</f>
        <v>None</v>
      </c>
      <c r="I152" s="67"/>
      <c r="L152" s="4"/>
      <c r="M152" s="4"/>
      <c r="N152" s="4"/>
      <c r="O152" s="61">
        <f t="shared" si="24"/>
        <v>0</v>
      </c>
      <c r="P152" s="60">
        <f t="shared" si="25"/>
        <v>0</v>
      </c>
      <c r="Q152" s="61" t="str">
        <f>_xlfn.IFNA(VLOOKUP($F152,tblInfluence[],3,FALSE),"")</f>
        <v/>
      </c>
      <c r="R152" s="61" t="str">
        <f>_xlfn.IFNA(VLOOKUP($F152,tblInfluence[],4,FALSE),"")</f>
        <v/>
      </c>
      <c r="Y152" s="15" t="s">
        <v>194</v>
      </c>
      <c r="Z152" s="19"/>
      <c r="AA152" s="61" t="str">
        <f t="shared" si="22"/>
        <v/>
      </c>
      <c r="AC152" s="60"/>
      <c r="AD152" s="20"/>
      <c r="AE152" s="20" t="str">
        <f t="shared" si="23"/>
        <v/>
      </c>
      <c r="AF152" s="61" t="str" cm="1">
        <f t="array" ref="AF152">IF(AC152="","",SUMPRODUCT(($F$138:$F$157=AC152)*($G$138:$G$157=IF(AD152="","",AD152))*$P$138:$P$157))</f>
        <v/>
      </c>
    </row>
    <row r="153" spans="1:32">
      <c r="A153" s="1" t="s">
        <v>152</v>
      </c>
      <c r="B153" t="str">
        <f t="shared" si="26"/>
        <v>¬</v>
      </c>
      <c r="D153" s="19"/>
      <c r="E153" s="15" t="s">
        <v>191</v>
      </c>
      <c r="F153" s="3"/>
      <c r="G153" s="3" t="str">
        <f>IFERROR(VLOOKUP(F153,tblManoeuvre[],2,FALSE)&amp;" "&amp;VLOOKUP(F153,tblManoeuvre[],3,FALSE),"")</f>
        <v/>
      </c>
      <c r="H153" s="67" t="str">
        <f>IFERROR(IF(VLOOKUP(F153,tblManoeuvre[],8,FALSE)=0,"None",VLOOKUP(F153,tblManoeuvre[],8,FALSE)),"None")</f>
        <v>None</v>
      </c>
      <c r="I153" s="67"/>
      <c r="L153" s="4"/>
      <c r="M153" s="4"/>
      <c r="N153" s="4"/>
      <c r="O153" s="61">
        <f t="shared" si="24"/>
        <v>0</v>
      </c>
      <c r="P153" s="60">
        <f t="shared" si="25"/>
        <v>0</v>
      </c>
      <c r="Q153" s="61" t="str">
        <f>_xlfn.IFNA(VLOOKUP($F153,tblInfluence[],3,FALSE),"")</f>
        <v/>
      </c>
      <c r="R153" s="61" t="str">
        <f>_xlfn.IFNA(VLOOKUP($F153,tblInfluence[],4,FALSE),"")</f>
        <v/>
      </c>
      <c r="Y153" s="15" t="s">
        <v>195</v>
      </c>
      <c r="Z153" s="19"/>
      <c r="AA153" s="61" t="str">
        <f t="shared" si="22"/>
        <v/>
      </c>
      <c r="AC153" s="60"/>
      <c r="AD153" s="20"/>
      <c r="AE153" s="20" t="str">
        <f t="shared" si="23"/>
        <v/>
      </c>
      <c r="AF153" s="61" t="str" cm="1">
        <f t="array" ref="AF153">IF(AC153="","",SUMPRODUCT(($F$138:$F$157=AC153)*($G$138:$G$157=IF(AD153="","",AD153))*$P$138:$P$157))</f>
        <v/>
      </c>
    </row>
    <row r="154" spans="1:32">
      <c r="A154" s="1" t="s">
        <v>153</v>
      </c>
      <c r="B154" t="str">
        <f t="shared" si="26"/>
        <v>¬</v>
      </c>
      <c r="D154" s="19"/>
      <c r="E154" s="15" t="s">
        <v>192</v>
      </c>
      <c r="F154" s="3"/>
      <c r="G154" s="3" t="str">
        <f>IFERROR(VLOOKUP(F154,tblManoeuvre[],2,FALSE)&amp;" "&amp;VLOOKUP(F154,tblManoeuvre[],3,FALSE),"")</f>
        <v/>
      </c>
      <c r="H154" s="67" t="str">
        <f>IFERROR(IF(VLOOKUP(F154,tblManoeuvre[],8,FALSE)=0,"None",VLOOKUP(F154,tblManoeuvre[],8,FALSE)),"None")</f>
        <v>None</v>
      </c>
      <c r="I154" s="67"/>
      <c r="L154" s="4"/>
      <c r="M154" s="4"/>
      <c r="N154" s="4"/>
      <c r="O154" s="61">
        <f t="shared" si="24"/>
        <v>0</v>
      </c>
      <c r="P154" s="60">
        <f t="shared" si="25"/>
        <v>0</v>
      </c>
      <c r="Q154" s="61" t="str">
        <f>_xlfn.IFNA(VLOOKUP($F154,tblInfluence[],3,FALSE),"")</f>
        <v/>
      </c>
      <c r="R154" s="61" t="str">
        <f>_xlfn.IFNA(VLOOKUP($F154,tblInfluence[],4,FALSE),"")</f>
        <v/>
      </c>
    </row>
    <row r="155" spans="1:32">
      <c r="A155" s="1" t="s">
        <v>154</v>
      </c>
      <c r="B155" t="str">
        <f t="shared" si="26"/>
        <v>¬</v>
      </c>
      <c r="D155" s="19"/>
      <c r="E155" s="15" t="s">
        <v>193</v>
      </c>
      <c r="F155" s="3"/>
      <c r="G155" s="3" t="str">
        <f>IFERROR(VLOOKUP(F155,tblManoeuvre[],2,FALSE)&amp;" "&amp;VLOOKUP(F155,tblManoeuvre[],3,FALSE),"")</f>
        <v/>
      </c>
      <c r="H155" s="67" t="str">
        <f>IFERROR(IF(VLOOKUP(F155,tblManoeuvre[],8,FALSE)=0,"None",VLOOKUP(F155,tblManoeuvre[],8,FALSE)),"None")</f>
        <v>None</v>
      </c>
      <c r="I155" s="67"/>
      <c r="L155" s="4"/>
      <c r="M155" s="4"/>
      <c r="N155" s="4"/>
      <c r="O155" s="61">
        <f t="shared" si="24"/>
        <v>0</v>
      </c>
      <c r="P155" s="60">
        <f t="shared" si="25"/>
        <v>0</v>
      </c>
      <c r="Q155" s="61" t="str">
        <f>_xlfn.IFNA(VLOOKUP($F155,tblInfluence[],3,FALSE),"")</f>
        <v/>
      </c>
      <c r="R155" s="61" t="str">
        <f>_xlfn.IFNA(VLOOKUP($F155,tblInfluence[],4,FALSE),"")</f>
        <v/>
      </c>
      <c r="AE155" s="61">
        <f>IF(P160=5,1,0)</f>
        <v>0</v>
      </c>
    </row>
    <row r="156" spans="1:32">
      <c r="A156" s="1" t="s">
        <v>155</v>
      </c>
      <c r="B156" t="str">
        <f t="shared" si="26"/>
        <v>¬</v>
      </c>
      <c r="D156" s="19"/>
      <c r="E156" s="15" t="s">
        <v>194</v>
      </c>
      <c r="F156" s="3"/>
      <c r="G156" s="3" t="str">
        <f>IFERROR(VLOOKUP(F156,tblManoeuvre[],2,FALSE)&amp;" "&amp;VLOOKUP(F156,tblManoeuvre[],3,FALSE),"")</f>
        <v/>
      </c>
      <c r="H156" s="67" t="str">
        <f>IFERROR(IF(VLOOKUP(F156,tblManoeuvre[],8,FALSE)=0,"None",VLOOKUP(F156,tblManoeuvre[],8,FALSE)),"None")</f>
        <v>None</v>
      </c>
      <c r="I156" s="67"/>
      <c r="L156" s="4"/>
      <c r="M156" s="4"/>
      <c r="N156" s="4"/>
      <c r="O156" s="61">
        <f t="shared" si="24"/>
        <v>0</v>
      </c>
      <c r="P156" s="60">
        <f t="shared" si="25"/>
        <v>0</v>
      </c>
      <c r="Q156" s="61" t="str">
        <f>_xlfn.IFNA(VLOOKUP($F156,tblInfluence[],3,FALSE),"")</f>
        <v/>
      </c>
      <c r="R156" s="61" t="str">
        <f>_xlfn.IFNA(VLOOKUP($F156,tblInfluence[],4,FALSE),"")</f>
        <v/>
      </c>
      <c r="AE156" s="61" t="b">
        <f>COUNTIF(AA2:AA21,"*Honey With Vinegar*")&gt;0</f>
        <v>0</v>
      </c>
    </row>
    <row r="157" spans="1:32">
      <c r="A157" s="1" t="s">
        <v>156</v>
      </c>
      <c r="B157" t="str">
        <f t="shared" si="26"/>
        <v>¬</v>
      </c>
      <c r="D157" s="19"/>
      <c r="E157" s="15" t="s">
        <v>195</v>
      </c>
      <c r="F157" s="3"/>
      <c r="G157" s="3" t="str">
        <f>IFERROR(VLOOKUP(F157,tblManoeuvre[],2,FALSE)&amp;" "&amp;VLOOKUP(F157,tblManoeuvre[],3,FALSE),"")</f>
        <v/>
      </c>
      <c r="H157" s="67" t="str">
        <f>IFERROR(IF(VLOOKUP(F157,tblManoeuvre[],8,FALSE)=0,"None",VLOOKUP(F157,tblManoeuvre[],8,FALSE)),"None")</f>
        <v>None</v>
      </c>
      <c r="I157" s="67"/>
      <c r="L157" s="4"/>
      <c r="M157" s="4"/>
      <c r="N157" s="4"/>
      <c r="O157" s="61">
        <f t="shared" si="24"/>
        <v>0</v>
      </c>
      <c r="P157" s="60">
        <f t="shared" si="25"/>
        <v>0</v>
      </c>
      <c r="Q157" s="61" t="str">
        <f>_xlfn.IFNA(VLOOKUP($F157,tblInfluence[],3,FALSE),"")</f>
        <v/>
      </c>
      <c r="R157" s="61" t="str">
        <f>_xlfn.IFNA(VLOOKUP($F157,tblInfluence[],4,FALSE),"")</f>
        <v/>
      </c>
    </row>
    <row r="158" spans="1:32">
      <c r="A158" s="1" t="s">
        <v>157</v>
      </c>
      <c r="B158" t="str">
        <f t="shared" si="26"/>
        <v>¬</v>
      </c>
    </row>
    <row r="159" spans="1:32">
      <c r="A159" s="1" t="s">
        <v>158</v>
      </c>
      <c r="B159" t="str">
        <f t="shared" si="26"/>
        <v>¬</v>
      </c>
      <c r="D159" s="16" t="s">
        <v>1486</v>
      </c>
      <c r="E159" s="17"/>
      <c r="F159" s="17" t="s">
        <v>1487</v>
      </c>
      <c r="G159" s="17"/>
      <c r="H159" s="17"/>
      <c r="I159" s="17"/>
    </row>
    <row r="160" spans="1:32">
      <c r="A160" s="1" t="s">
        <v>159</v>
      </c>
      <c r="B160" t="str">
        <f t="shared" si="26"/>
        <v>¬</v>
      </c>
      <c r="D160" s="19"/>
      <c r="E160" s="15" t="s">
        <v>98</v>
      </c>
      <c r="F160" s="3"/>
      <c r="G160" s="60"/>
      <c r="H160" s="60"/>
      <c r="I160" s="60"/>
      <c r="L160" s="4"/>
      <c r="M160" s="4"/>
      <c r="N160" s="4"/>
      <c r="O160" s="61">
        <f>N160</f>
        <v>0</v>
      </c>
      <c r="P160" s="60">
        <f>MIN(SUM(L160,M160,O160),R160)</f>
        <v>0</v>
      </c>
      <c r="Q160" s="61">
        <v>1</v>
      </c>
      <c r="R160" s="61">
        <v>5</v>
      </c>
    </row>
    <row r="161" spans="1:18">
      <c r="A161" s="1" t="s">
        <v>160</v>
      </c>
      <c r="B161" t="str">
        <f t="shared" si="26"/>
        <v>¬</v>
      </c>
      <c r="D161" s="19"/>
      <c r="E161" s="15" t="s">
        <v>100</v>
      </c>
      <c r="F161" s="3" t="s">
        <v>1335</v>
      </c>
      <c r="G161" s="60"/>
      <c r="H161" s="60"/>
      <c r="I161" s="60"/>
      <c r="L161" s="4">
        <v>2</v>
      </c>
      <c r="M161" s="4"/>
      <c r="N161" s="4">
        <v>3</v>
      </c>
      <c r="O161" s="61">
        <f>N161</f>
        <v>3</v>
      </c>
      <c r="P161" s="60">
        <f>MIN(SUM(L161,M161,O161),R161)</f>
        <v>5</v>
      </c>
      <c r="Q161" s="61">
        <v>1</v>
      </c>
      <c r="R161" s="61">
        <v>5</v>
      </c>
    </row>
    <row r="162" spans="1:18">
      <c r="A162" s="1" t="s">
        <v>161</v>
      </c>
      <c r="B162" t="str">
        <f t="shared" si="26"/>
        <v>¬</v>
      </c>
    </row>
    <row r="163" spans="1:18" ht="15.75" thickBot="1">
      <c r="A163" s="1" t="s">
        <v>162</v>
      </c>
      <c r="B163" t="str">
        <f t="shared" si="26"/>
        <v>¬</v>
      </c>
      <c r="D163" s="14" t="s">
        <v>1488</v>
      </c>
      <c r="E163" s="14"/>
      <c r="F163" s="14"/>
      <c r="G163" s="14"/>
      <c r="H163" s="14"/>
      <c r="I163" s="14"/>
      <c r="N163" s="60">
        <f>SUM(N165:N174)+SUM(N177:N181)+SUM(N184:N185)+SUM(N187:N191)+SUM(N194:N203)</f>
        <v>12</v>
      </c>
    </row>
    <row r="164" spans="1:18">
      <c r="A164" s="1" t="s">
        <v>163</v>
      </c>
      <c r="B164" t="str">
        <f t="shared" si="26"/>
        <v>¬</v>
      </c>
      <c r="D164" s="16" t="s">
        <v>1489</v>
      </c>
      <c r="E164" s="15" t="s">
        <v>1490</v>
      </c>
      <c r="F164" s="61" t="str">
        <f>IFERROR(IF($F$8="",VLOOKUP($F$7,tblClans[],5,FALSE),VLOOKUP($F$8,tblBloodlines[],5,FALSE)),"")</f>
        <v>Auspex</v>
      </c>
      <c r="G164" s="61" t="str">
        <f>IFERROR(IF($F$8="",VLOOKUP($F$7,tblClans[],6,FALSE),VLOOKUP($F$8,tblBloodlines[],6,FALSE)),"")</f>
        <v>Celerity</v>
      </c>
      <c r="H164" s="61" t="str">
        <f>IFERROR(IF($F$8="",VLOOKUP($F$7,tblClans[],7,FALSE),VLOOKUP($F$8,tblBloodlines[],7,FALSE)),"")</f>
        <v>Obfuscate</v>
      </c>
      <c r="I164" s="61" t="str">
        <f>IFERROR(IF($F$8="",VLOOKUP($F$7,tblClans[],8,FALSE),VLOOKUP($F$8,tblBloodlines[],8,FALSE)),"")</f>
        <v/>
      </c>
      <c r="L164" s="60">
        <f>3-SUM(L165:L174)-SUM(L184:L185)</f>
        <v>0</v>
      </c>
    </row>
    <row r="165" spans="1:18">
      <c r="A165" s="1" t="s">
        <v>164</v>
      </c>
      <c r="B165" t="str">
        <f t="shared" si="26"/>
        <v>¬</v>
      </c>
      <c r="D165" s="19"/>
      <c r="E165" s="15" t="s">
        <v>236</v>
      </c>
      <c r="F165" s="19"/>
      <c r="G165" s="19"/>
      <c r="H165" s="19"/>
      <c r="I165" s="19"/>
      <c r="L165" s="4"/>
      <c r="N165" s="4"/>
      <c r="O165" s="61">
        <f t="shared" ref="O165:O174" si="27">ROUNDDOWN(IF(COUNTIF($F$164:$I$164,$E165)&gt;0,N165/3,N165/4),0)</f>
        <v>0</v>
      </c>
      <c r="P165" s="60">
        <f>MIN(SUM(L165,O165),R165)</f>
        <v>0</v>
      </c>
      <c r="Q165" s="61">
        <v>0</v>
      </c>
      <c r="R165" s="61">
        <v>5</v>
      </c>
    </row>
    <row r="166" spans="1:18">
      <c r="A166" s="1" t="s">
        <v>165</v>
      </c>
      <c r="B166" t="str">
        <f t="shared" si="26"/>
        <v>¬</v>
      </c>
      <c r="D166" s="19"/>
      <c r="E166" s="15" t="s">
        <v>237</v>
      </c>
      <c r="F166" s="19"/>
      <c r="G166" s="19"/>
      <c r="H166" s="19"/>
      <c r="I166" s="19"/>
      <c r="L166" s="4">
        <v>1</v>
      </c>
      <c r="N166" s="4">
        <v>3</v>
      </c>
      <c r="O166" s="61">
        <f t="shared" si="27"/>
        <v>1</v>
      </c>
      <c r="P166" s="60">
        <f t="shared" ref="P166:P174" si="28">MIN(SUM(L166,O166),R166)</f>
        <v>2</v>
      </c>
      <c r="Q166" s="61">
        <v>0</v>
      </c>
      <c r="R166" s="61">
        <v>5</v>
      </c>
    </row>
    <row r="167" spans="1:18">
      <c r="A167" s="1" t="s">
        <v>166</v>
      </c>
      <c r="B167" t="str">
        <f t="shared" si="26"/>
        <v>¬</v>
      </c>
      <c r="D167" s="19"/>
      <c r="E167" s="15" t="s">
        <v>238</v>
      </c>
      <c r="F167" s="19"/>
      <c r="G167" s="19"/>
      <c r="H167" s="19"/>
      <c r="I167" s="19"/>
      <c r="L167" s="4"/>
      <c r="N167" s="4"/>
      <c r="O167" s="61">
        <f t="shared" si="27"/>
        <v>0</v>
      </c>
      <c r="P167" s="60">
        <f t="shared" si="28"/>
        <v>0</v>
      </c>
      <c r="Q167" s="61">
        <v>0</v>
      </c>
      <c r="R167" s="61">
        <v>5</v>
      </c>
    </row>
    <row r="168" spans="1:18">
      <c r="A168" s="1" t="s">
        <v>167</v>
      </c>
      <c r="B168" t="str">
        <f t="shared" si="26"/>
        <v>¬</v>
      </c>
      <c r="D168" s="19"/>
      <c r="E168" s="15" t="s">
        <v>239</v>
      </c>
      <c r="F168" s="19"/>
      <c r="G168" s="19"/>
      <c r="H168" s="19"/>
      <c r="I168" s="19"/>
      <c r="L168" s="4"/>
      <c r="N168" s="4"/>
      <c r="O168" s="61">
        <f t="shared" si="27"/>
        <v>0</v>
      </c>
      <c r="P168" s="60">
        <f t="shared" si="28"/>
        <v>0</v>
      </c>
      <c r="Q168" s="61">
        <v>0</v>
      </c>
      <c r="R168" s="61">
        <v>5</v>
      </c>
    </row>
    <row r="169" spans="1:18">
      <c r="A169" s="1" t="s">
        <v>168</v>
      </c>
      <c r="B169" t="str">
        <f t="shared" si="26"/>
        <v>¬</v>
      </c>
      <c r="D169" s="19"/>
      <c r="E169" s="15" t="s">
        <v>240</v>
      </c>
      <c r="F169" s="19"/>
      <c r="G169" s="19"/>
      <c r="H169" s="19"/>
      <c r="I169" s="19"/>
      <c r="L169" s="4"/>
      <c r="N169" s="4"/>
      <c r="O169" s="61">
        <f t="shared" si="27"/>
        <v>0</v>
      </c>
      <c r="P169" s="60">
        <f t="shared" si="28"/>
        <v>0</v>
      </c>
      <c r="Q169" s="61">
        <v>0</v>
      </c>
      <c r="R169" s="61">
        <v>5</v>
      </c>
    </row>
    <row r="170" spans="1:18">
      <c r="A170" s="1" t="s">
        <v>169</v>
      </c>
      <c r="B170" t="str">
        <f t="shared" si="26"/>
        <v>¬</v>
      </c>
      <c r="D170" s="19"/>
      <c r="E170" s="15" t="s">
        <v>241</v>
      </c>
      <c r="F170" s="19"/>
      <c r="G170" s="19"/>
      <c r="H170" s="19"/>
      <c r="I170" s="19"/>
      <c r="L170" s="4"/>
      <c r="N170" s="4"/>
      <c r="O170" s="61">
        <f t="shared" si="27"/>
        <v>0</v>
      </c>
      <c r="P170" s="60">
        <f t="shared" si="28"/>
        <v>0</v>
      </c>
      <c r="Q170" s="61">
        <v>0</v>
      </c>
      <c r="R170" s="61">
        <v>5</v>
      </c>
    </row>
    <row r="171" spans="1:18">
      <c r="A171" s="1" t="s">
        <v>170</v>
      </c>
      <c r="B171" t="str">
        <f t="shared" si="26"/>
        <v>¬</v>
      </c>
      <c r="D171" s="19"/>
      <c r="E171" s="15" t="s">
        <v>242</v>
      </c>
      <c r="F171" s="19"/>
      <c r="G171" s="19"/>
      <c r="H171" s="19"/>
      <c r="I171" s="19"/>
      <c r="L171" s="4">
        <v>2</v>
      </c>
      <c r="N171" s="4">
        <v>9</v>
      </c>
      <c r="O171" s="61">
        <f t="shared" si="27"/>
        <v>3</v>
      </c>
      <c r="P171" s="60">
        <f t="shared" si="28"/>
        <v>5</v>
      </c>
      <c r="Q171" s="61">
        <v>0</v>
      </c>
      <c r="R171" s="61">
        <v>5</v>
      </c>
    </row>
    <row r="172" spans="1:18">
      <c r="A172" s="1" t="s">
        <v>171</v>
      </c>
      <c r="B172" t="str">
        <f t="shared" si="26"/>
        <v>¬</v>
      </c>
      <c r="D172" s="19"/>
      <c r="E172" s="15" t="s">
        <v>243</v>
      </c>
      <c r="F172" s="19"/>
      <c r="G172" s="19"/>
      <c r="H172" s="19"/>
      <c r="I172" s="19"/>
      <c r="L172" s="4"/>
      <c r="N172" s="4"/>
      <c r="O172" s="61">
        <f t="shared" si="27"/>
        <v>0</v>
      </c>
      <c r="P172" s="60">
        <f t="shared" si="28"/>
        <v>0</v>
      </c>
      <c r="Q172" s="61">
        <v>0</v>
      </c>
      <c r="R172" s="61">
        <v>5</v>
      </c>
    </row>
    <row r="173" spans="1:18">
      <c r="A173" s="1" t="s">
        <v>172</v>
      </c>
      <c r="B173" t="str">
        <f t="shared" si="26"/>
        <v>¬</v>
      </c>
      <c r="D173" s="19"/>
      <c r="E173" s="15" t="s">
        <v>244</v>
      </c>
      <c r="F173" s="19"/>
      <c r="G173" s="19"/>
      <c r="H173" s="19"/>
      <c r="I173" s="19"/>
      <c r="L173" s="4"/>
      <c r="N173" s="4"/>
      <c r="O173" s="61">
        <f t="shared" si="27"/>
        <v>0</v>
      </c>
      <c r="P173" s="60">
        <f t="shared" si="28"/>
        <v>0</v>
      </c>
      <c r="Q173" s="61">
        <v>0</v>
      </c>
      <c r="R173" s="61">
        <v>5</v>
      </c>
    </row>
    <row r="174" spans="1:18">
      <c r="A174" s="1" t="s">
        <v>173</v>
      </c>
      <c r="B174" t="str">
        <f t="shared" si="26"/>
        <v>¬</v>
      </c>
      <c r="D174" s="19"/>
      <c r="E174" s="15" t="s">
        <v>245</v>
      </c>
      <c r="F174" s="19"/>
      <c r="G174" s="19"/>
      <c r="H174" s="19"/>
      <c r="I174" s="19"/>
      <c r="L174" s="4"/>
      <c r="N174" s="4"/>
      <c r="O174" s="61">
        <f t="shared" si="27"/>
        <v>0</v>
      </c>
      <c r="P174" s="60">
        <f t="shared" si="28"/>
        <v>0</v>
      </c>
      <c r="Q174" s="61">
        <v>0</v>
      </c>
      <c r="R174" s="61">
        <v>5</v>
      </c>
    </row>
    <row r="175" spans="1:18">
      <c r="A175" s="1" t="s">
        <v>174</v>
      </c>
      <c r="B175" t="str">
        <f>_xlfn.CONCAT(I137-H137," / ",I137)</f>
        <v>3 / 3</v>
      </c>
    </row>
    <row r="176" spans="1:18">
      <c r="A176" s="1" t="s">
        <v>175</v>
      </c>
      <c r="B176" t="str">
        <f>REPT("□",I137-H137) &amp; REPT("■",H137)</f>
        <v>□□□</v>
      </c>
      <c r="D176" s="16" t="s">
        <v>1491</v>
      </c>
      <c r="E176" s="16"/>
      <c r="F176" s="16"/>
      <c r="G176" s="16"/>
      <c r="H176" s="16"/>
      <c r="I176" s="16"/>
    </row>
    <row r="177" spans="1:18">
      <c r="A177" s="1" t="s">
        <v>176</v>
      </c>
      <c r="B177" t="str">
        <f t="shared" ref="B177:B196" si="29">IF(AC134="","¬",AC134)</f>
        <v>Contacts</v>
      </c>
      <c r="D177" s="19"/>
      <c r="E177" s="15" t="s">
        <v>1492</v>
      </c>
      <c r="F177" s="3"/>
      <c r="G177" s="19"/>
      <c r="H177" s="72" t="str">
        <f>IFERROR(IF(VLOOKUP(F177,tblDisciplines[],14,FALSE)=0,"None",VLOOKUP(F177,tblDisciplines[],14,FALSE)),"None")</f>
        <v>None</v>
      </c>
      <c r="I177" s="73"/>
      <c r="N177" s="4"/>
      <c r="O177" s="61">
        <f>N177</f>
        <v>0</v>
      </c>
      <c r="P177" s="60" t="str">
        <f>IF(O177=R177,O177,"")</f>
        <v/>
      </c>
      <c r="R177" s="61" t="str">
        <f>_xlfn.IFNA(VLOOKUP(F177,tblDisciplines[],15,FALSE),"")</f>
        <v/>
      </c>
    </row>
    <row r="178" spans="1:18">
      <c r="A178" s="1" t="s">
        <v>177</v>
      </c>
      <c r="B178" t="str">
        <f t="shared" si="29"/>
        <v>Resources</v>
      </c>
      <c r="D178" s="19"/>
      <c r="E178" s="15" t="s">
        <v>1493</v>
      </c>
      <c r="F178" s="3"/>
      <c r="G178" s="19"/>
      <c r="H178" s="72" t="str">
        <f>IFERROR(IF(VLOOKUP(F178,tblDisciplines[],14,FALSE)=0,"None",VLOOKUP(F178,tblDisciplines[],14,FALSE)),"None")</f>
        <v>None</v>
      </c>
      <c r="I178" s="73"/>
      <c r="N178" s="4"/>
      <c r="O178" s="61">
        <f>N178</f>
        <v>0</v>
      </c>
      <c r="P178" s="60" t="str">
        <f>IF(O178=R178,O178,"")</f>
        <v/>
      </c>
      <c r="R178" s="61" t="str">
        <f>_xlfn.IFNA(VLOOKUP(F178,tblDisciplines[],15,FALSE),"")</f>
        <v/>
      </c>
    </row>
    <row r="179" spans="1:18">
      <c r="A179" s="1" t="s">
        <v>178</v>
      </c>
      <c r="B179" t="str">
        <f t="shared" si="29"/>
        <v>Status</v>
      </c>
      <c r="D179" s="19"/>
      <c r="E179" s="15" t="s">
        <v>1494</v>
      </c>
      <c r="F179" s="3"/>
      <c r="G179" s="19"/>
      <c r="H179" s="72" t="str">
        <f>IFERROR(IF(VLOOKUP(F179,tblDisciplines[],14,FALSE)=0,"None",VLOOKUP(F179,tblDisciplines[],14,FALSE)),"None")</f>
        <v>None</v>
      </c>
      <c r="I179" s="73"/>
      <c r="N179" s="4"/>
      <c r="O179" s="61">
        <f>N179</f>
        <v>0</v>
      </c>
      <c r="P179" s="60" t="str">
        <f>IF(O179=R179,O179,"")</f>
        <v/>
      </c>
      <c r="R179" s="61" t="str">
        <f>_xlfn.IFNA(VLOOKUP(F179,tblDisciplines[],15,FALSE),"")</f>
        <v/>
      </c>
    </row>
    <row r="180" spans="1:18">
      <c r="A180" s="1" t="s">
        <v>179</v>
      </c>
      <c r="B180" t="str">
        <f t="shared" si="29"/>
        <v>¬</v>
      </c>
      <c r="D180" s="19"/>
      <c r="E180" s="15" t="s">
        <v>1495</v>
      </c>
      <c r="F180" s="3"/>
      <c r="G180" s="19"/>
      <c r="H180" s="72" t="str">
        <f>IFERROR(IF(VLOOKUP(F180,tblDisciplines[],14,FALSE)=0,"None",VLOOKUP(F180,tblDisciplines[],14,FALSE)),"None")</f>
        <v>None</v>
      </c>
      <c r="I180" s="73"/>
      <c r="N180" s="4"/>
      <c r="O180" s="61">
        <f>N180</f>
        <v>0</v>
      </c>
      <c r="P180" s="60" t="str">
        <f>IF(O180=R180,O180,"")</f>
        <v/>
      </c>
      <c r="R180" s="61" t="str">
        <f>_xlfn.IFNA(VLOOKUP(F180,tblDisciplines[],15,FALSE),"")</f>
        <v/>
      </c>
    </row>
    <row r="181" spans="1:18">
      <c r="A181" s="1" t="s">
        <v>180</v>
      </c>
      <c r="B181" t="str">
        <f t="shared" si="29"/>
        <v>¬</v>
      </c>
      <c r="D181" s="19"/>
      <c r="E181" s="15" t="s">
        <v>1496</v>
      </c>
      <c r="F181" s="3"/>
      <c r="G181" s="19"/>
      <c r="H181" s="72" t="str">
        <f>IFERROR(IF(VLOOKUP(F181,tblDisciplines[],14,FALSE)=0,"None",VLOOKUP(F181,tblDisciplines[],14,FALSE)),"None")</f>
        <v>None</v>
      </c>
      <c r="I181" s="73"/>
      <c r="N181" s="4"/>
      <c r="O181" s="61">
        <f>N181</f>
        <v>0</v>
      </c>
      <c r="P181" s="60" t="str">
        <f>IF(O181=R181,O181,"")</f>
        <v/>
      </c>
      <c r="R181" s="61" t="str">
        <f>_xlfn.IFNA(VLOOKUP(F181,tblDisciplines[],15,FALSE),"")</f>
        <v/>
      </c>
    </row>
    <row r="182" spans="1:18">
      <c r="A182" s="1" t="s">
        <v>181</v>
      </c>
      <c r="B182" t="str">
        <f t="shared" si="29"/>
        <v>¬</v>
      </c>
    </row>
    <row r="183" spans="1:18">
      <c r="A183" s="1" t="s">
        <v>182</v>
      </c>
      <c r="B183" t="str">
        <f t="shared" si="29"/>
        <v>¬</v>
      </c>
      <c r="D183" s="16" t="s">
        <v>1497</v>
      </c>
      <c r="E183" s="16"/>
      <c r="F183" s="16"/>
      <c r="G183" s="16"/>
      <c r="H183" s="16"/>
      <c r="I183" s="16"/>
    </row>
    <row r="184" spans="1:18">
      <c r="A184" s="1" t="s">
        <v>183</v>
      </c>
      <c r="B184" t="str">
        <f t="shared" si="29"/>
        <v>¬</v>
      </c>
      <c r="D184" s="19"/>
      <c r="E184" s="15" t="s">
        <v>246</v>
      </c>
      <c r="F184" s="19"/>
      <c r="G184" s="19"/>
      <c r="H184" s="19"/>
      <c r="I184" s="60" t="b">
        <f>IF(OR(F$9="Circle of the Crone",COUNTIF(F$79:F$93,"Chorister")&gt;0),TRUE,FALSE)</f>
        <v>0</v>
      </c>
      <c r="L184" s="4"/>
      <c r="N184" s="4"/>
      <c r="O184" s="61">
        <f>ROUNDDOWN(N184/4,0)</f>
        <v>0</v>
      </c>
      <c r="P184" s="60">
        <f>SUM(L184,O184)</f>
        <v>0</v>
      </c>
      <c r="Q184" s="61">
        <v>0</v>
      </c>
      <c r="R184" s="61">
        <v>5</v>
      </c>
    </row>
    <row r="185" spans="1:18">
      <c r="A185" s="1" t="s">
        <v>184</v>
      </c>
      <c r="B185" t="str">
        <f t="shared" si="29"/>
        <v>¬</v>
      </c>
      <c r="D185" s="19"/>
      <c r="E185" s="15" t="s">
        <v>247</v>
      </c>
      <c r="F185" s="19"/>
      <c r="G185" s="19"/>
      <c r="H185" s="19"/>
      <c r="I185" s="60" t="b">
        <f>IF(OR(F$9="Lancea et Sanctum",COUNTIF(F$79:F$93,"Laity")&gt;0),TRUE,FALSE)</f>
        <v>0</v>
      </c>
      <c r="L185" s="4"/>
      <c r="N185" s="4"/>
      <c r="O185" s="61">
        <f>ROUNDDOWN(N185/4,0)</f>
        <v>0</v>
      </c>
      <c r="P185" s="60">
        <f>SUM(L185,O185)</f>
        <v>0</v>
      </c>
      <c r="Q185" s="61">
        <v>0</v>
      </c>
      <c r="R185" s="61">
        <v>5</v>
      </c>
    </row>
    <row r="186" spans="1:18">
      <c r="A186" s="1" t="s">
        <v>185</v>
      </c>
      <c r="B186" t="str">
        <f t="shared" si="29"/>
        <v>¬</v>
      </c>
      <c r="D186" s="19"/>
      <c r="E186" s="19"/>
      <c r="F186" s="19"/>
      <c r="G186" s="19"/>
      <c r="H186" s="19"/>
      <c r="I186" s="19"/>
      <c r="L186" s="60">
        <f>SUM(P184:P185)-SUM(L187:L191)</f>
        <v>0</v>
      </c>
    </row>
    <row r="187" spans="1:18">
      <c r="A187" s="1" t="s">
        <v>186</v>
      </c>
      <c r="B187" t="str">
        <f t="shared" si="29"/>
        <v>¬</v>
      </c>
      <c r="D187" s="19"/>
      <c r="E187" s="15" t="s">
        <v>248</v>
      </c>
      <c r="F187" s="19"/>
      <c r="G187" s="19"/>
      <c r="H187" s="19"/>
      <c r="I187" s="19"/>
      <c r="L187" s="4"/>
      <c r="M187" s="61">
        <f>IF(AND(I184,L184&gt;=1),1,0)</f>
        <v>0</v>
      </c>
      <c r="N187" s="4"/>
      <c r="O187" s="61">
        <f>ROUNDDOWN(N187/2,0)</f>
        <v>0</v>
      </c>
      <c r="P187" s="60">
        <f>MIN(SUM(L187,M187,O187),R187)</f>
        <v>0</v>
      </c>
      <c r="Q187" s="61">
        <v>0</v>
      </c>
      <c r="R187" s="61">
        <f>MAX(P$184,P$185)</f>
        <v>0</v>
      </c>
    </row>
    <row r="188" spans="1:18">
      <c r="A188" s="1" t="s">
        <v>187</v>
      </c>
      <c r="B188" t="str">
        <f t="shared" si="29"/>
        <v>¬</v>
      </c>
      <c r="D188" s="19"/>
      <c r="E188" s="15" t="s">
        <v>249</v>
      </c>
      <c r="F188" s="19"/>
      <c r="G188" s="19"/>
      <c r="H188" s="19"/>
      <c r="I188" s="19"/>
      <c r="L188" s="4"/>
      <c r="M188" s="61"/>
      <c r="N188" s="4"/>
      <c r="O188" s="61">
        <f>ROUNDDOWN(N188/2,0)</f>
        <v>0</v>
      </c>
      <c r="P188" s="60">
        <f>MIN(SUM(L188,M188,O188),R188)</f>
        <v>0</v>
      </c>
      <c r="Q188" s="61">
        <v>0</v>
      </c>
      <c r="R188" s="61">
        <f>MAX(P$184,P$185)</f>
        <v>0</v>
      </c>
    </row>
    <row r="189" spans="1:18">
      <c r="A189" s="1" t="s">
        <v>188</v>
      </c>
      <c r="B189" t="str">
        <f t="shared" si="29"/>
        <v>¬</v>
      </c>
      <c r="D189" s="19"/>
      <c r="E189" s="15" t="s">
        <v>250</v>
      </c>
      <c r="F189" s="19"/>
      <c r="G189" s="19"/>
      <c r="H189" s="19"/>
      <c r="I189" s="19"/>
      <c r="L189" s="4"/>
      <c r="M189" s="61">
        <f>IF(AND(I185,L185&gt;=1),1,0)</f>
        <v>0</v>
      </c>
      <c r="N189" s="4"/>
      <c r="O189" s="61">
        <f>ROUNDDOWN(N189/2,0)</f>
        <v>0</v>
      </c>
      <c r="P189" s="60">
        <f>MIN(SUM(L189,M189,O189),R189)</f>
        <v>0</v>
      </c>
      <c r="Q189" s="61">
        <v>0</v>
      </c>
      <c r="R189" s="61">
        <f>MAX(P$184,P$185)</f>
        <v>0</v>
      </c>
    </row>
    <row r="190" spans="1:18">
      <c r="A190" s="1" t="s">
        <v>189</v>
      </c>
      <c r="B190" t="str">
        <f t="shared" si="29"/>
        <v>¬</v>
      </c>
      <c r="D190" s="19"/>
      <c r="E190" s="15" t="s">
        <v>251</v>
      </c>
      <c r="F190" s="19"/>
      <c r="G190" s="19"/>
      <c r="H190" s="19"/>
      <c r="I190" s="19"/>
      <c r="L190" s="4"/>
      <c r="M190" s="61">
        <f>IF(AND(I184,L184&gt;=1),1,0)</f>
        <v>0</v>
      </c>
      <c r="N190" s="4"/>
      <c r="O190" s="61">
        <f>ROUNDDOWN(N190/2,0)</f>
        <v>0</v>
      </c>
      <c r="P190" s="60">
        <f>MIN(SUM(L190,M190,O190),R190)</f>
        <v>0</v>
      </c>
      <c r="Q190" s="61">
        <v>0</v>
      </c>
      <c r="R190" s="61">
        <f>MAX(P$184,P$185)</f>
        <v>0</v>
      </c>
    </row>
    <row r="191" spans="1:18">
      <c r="A191" s="1" t="s">
        <v>190</v>
      </c>
      <c r="B191" t="str">
        <f t="shared" si="29"/>
        <v>¬</v>
      </c>
      <c r="D191" s="19"/>
      <c r="E191" s="15" t="s">
        <v>252</v>
      </c>
      <c r="F191" s="19"/>
      <c r="G191" s="19"/>
      <c r="H191" s="19"/>
      <c r="I191" s="19"/>
      <c r="L191" s="4"/>
      <c r="M191" s="61">
        <f>IF(AND(I185,L185&gt;=1),1,0)</f>
        <v>0</v>
      </c>
      <c r="N191" s="4"/>
      <c r="O191" s="61">
        <f>ROUNDDOWN(N191/2,0)</f>
        <v>0</v>
      </c>
      <c r="P191" s="60">
        <f>MIN(SUM(L191,M191,O191),R191)</f>
        <v>0</v>
      </c>
      <c r="Q191" s="61">
        <v>0</v>
      </c>
      <c r="R191" s="61">
        <f>MAX(P$184,P$185)</f>
        <v>0</v>
      </c>
    </row>
    <row r="192" spans="1:18">
      <c r="A192" s="1" t="s">
        <v>191</v>
      </c>
      <c r="B192" t="str">
        <f t="shared" si="29"/>
        <v>¬</v>
      </c>
    </row>
    <row r="193" spans="1:18">
      <c r="A193" s="1" t="s">
        <v>192</v>
      </c>
      <c r="B193" t="str">
        <f t="shared" si="29"/>
        <v>¬</v>
      </c>
      <c r="D193" s="16" t="s">
        <v>1474</v>
      </c>
      <c r="E193" s="16"/>
      <c r="F193" s="16"/>
      <c r="G193" s="16"/>
      <c r="H193" s="16"/>
      <c r="I193" s="16"/>
      <c r="L193" s="60">
        <f>SUM(P184:P185)+SUM(O187:O191)-SUM(L194:L203)</f>
        <v>0</v>
      </c>
    </row>
    <row r="194" spans="1:18">
      <c r="A194" s="1" t="s">
        <v>193</v>
      </c>
      <c r="B194" t="str">
        <f t="shared" si="29"/>
        <v>¬</v>
      </c>
      <c r="D194" s="19"/>
      <c r="E194" s="15" t="s">
        <v>1498</v>
      </c>
      <c r="F194" s="3"/>
      <c r="G194" s="61" t="str">
        <f>_xlfn.IFNA(VLOOKUP(F194,tblDisciplines[],2,FALSE),"")</f>
        <v/>
      </c>
      <c r="H194" s="19"/>
      <c r="I194" s="19"/>
      <c r="L194" s="4"/>
      <c r="N194" s="4"/>
      <c r="O194" s="61">
        <f>N194</f>
        <v>0</v>
      </c>
      <c r="P194" s="60" t="str">
        <f>IF(OR(L194=R194,O194=R194),R194,MIN(SUM(L194,O194),R194))</f>
        <v/>
      </c>
      <c r="R194" s="61" t="str">
        <f>_xlfn.IFNA(VLOOKUP(F194,tblDisciplines[],3,FALSE),"")</f>
        <v/>
      </c>
    </row>
    <row r="195" spans="1:18">
      <c r="A195" s="1" t="s">
        <v>194</v>
      </c>
      <c r="B195" t="str">
        <f t="shared" si="29"/>
        <v>¬</v>
      </c>
      <c r="D195" s="19"/>
      <c r="E195" s="15" t="s">
        <v>1499</v>
      </c>
      <c r="F195" s="3"/>
      <c r="G195" s="61" t="str">
        <f>_xlfn.IFNA(VLOOKUP(F195,tblDisciplines[],2,FALSE),"")</f>
        <v/>
      </c>
      <c r="H195" s="19"/>
      <c r="I195" s="19"/>
      <c r="L195" s="4"/>
      <c r="N195" s="4"/>
      <c r="O195" s="61">
        <f t="shared" ref="O195:O203" si="30">N195</f>
        <v>0</v>
      </c>
      <c r="P195" s="60" t="str">
        <f t="shared" ref="P195:P203" si="31">IF(OR(L195=R195,O195=R195),R195,MIN(SUM(L195,O195),R195))</f>
        <v/>
      </c>
      <c r="R195" s="61" t="str">
        <f>_xlfn.IFNA(VLOOKUP(F195,tblDisciplines[],3,FALSE),"")</f>
        <v/>
      </c>
    </row>
    <row r="196" spans="1:18">
      <c r="A196" s="1" t="s">
        <v>195</v>
      </c>
      <c r="B196" t="str">
        <f t="shared" si="29"/>
        <v>¬</v>
      </c>
      <c r="D196" s="19"/>
      <c r="E196" s="15" t="s">
        <v>1500</v>
      </c>
      <c r="F196" s="3"/>
      <c r="G196" s="61" t="str">
        <f>_xlfn.IFNA(VLOOKUP(F196,tblDisciplines[],2,FALSE),"")</f>
        <v/>
      </c>
      <c r="H196" s="19"/>
      <c r="I196" s="19"/>
      <c r="L196" s="4"/>
      <c r="N196" s="4"/>
      <c r="O196" s="61">
        <f t="shared" si="30"/>
        <v>0</v>
      </c>
      <c r="P196" s="60" t="str">
        <f t="shared" si="31"/>
        <v/>
      </c>
      <c r="R196" s="61" t="str">
        <f>_xlfn.IFNA(VLOOKUP(F196,tblDisciplines[],3,FALSE),"")</f>
        <v/>
      </c>
    </row>
    <row r="197" spans="1:18">
      <c r="A197" s="1" t="s">
        <v>196</v>
      </c>
      <c r="B197" t="str">
        <f>IF(AD134="","¬",AD134)</f>
        <v>high society, politics</v>
      </c>
      <c r="D197" s="19"/>
      <c r="E197" s="15" t="s">
        <v>1501</v>
      </c>
      <c r="F197" s="3"/>
      <c r="G197" s="61" t="str">
        <f>_xlfn.IFNA(VLOOKUP(F197,tblDisciplines[],2,FALSE),"")</f>
        <v/>
      </c>
      <c r="H197" s="19"/>
      <c r="I197" s="19"/>
      <c r="L197" s="4"/>
      <c r="N197" s="4"/>
      <c r="O197" s="61">
        <f t="shared" si="30"/>
        <v>0</v>
      </c>
      <c r="P197" s="60" t="str">
        <f t="shared" si="31"/>
        <v/>
      </c>
      <c r="R197" s="61" t="str">
        <f>_xlfn.IFNA(VLOOKUP(F197,tblDisciplines[],3,FALSE),"")</f>
        <v/>
      </c>
    </row>
    <row r="198" spans="1:18">
      <c r="A198" s="1" t="s">
        <v>197</v>
      </c>
      <c r="B198" t="str">
        <f t="shared" ref="B198:B216" si="32">IF(AD135="","¬",AD135)</f>
        <v>¬</v>
      </c>
      <c r="D198" s="19"/>
      <c r="E198" s="15" t="s">
        <v>1502</v>
      </c>
      <c r="F198" s="3"/>
      <c r="G198" s="61" t="str">
        <f>_xlfn.IFNA(VLOOKUP(F198,tblDisciplines[],2,FALSE),"")</f>
        <v/>
      </c>
      <c r="H198" s="19"/>
      <c r="I198" s="19"/>
      <c r="L198" s="4"/>
      <c r="N198" s="4"/>
      <c r="O198" s="61">
        <f t="shared" si="30"/>
        <v>0</v>
      </c>
      <c r="P198" s="60" t="str">
        <f t="shared" si="31"/>
        <v/>
      </c>
      <c r="R198" s="61" t="str">
        <f>_xlfn.IFNA(VLOOKUP(F198,tblDisciplines[],3,FALSE),"")</f>
        <v/>
      </c>
    </row>
    <row r="199" spans="1:18">
      <c r="A199" s="1" t="s">
        <v>198</v>
      </c>
      <c r="B199" t="str">
        <f t="shared" si="32"/>
        <v>Academia</v>
      </c>
      <c r="D199" s="19"/>
      <c r="E199" s="15" t="s">
        <v>1503</v>
      </c>
      <c r="F199" s="3"/>
      <c r="G199" s="61" t="str">
        <f>_xlfn.IFNA(VLOOKUP(F199,tblDisciplines[],2,FALSE),"")</f>
        <v/>
      </c>
      <c r="H199" s="19"/>
      <c r="I199" s="19"/>
      <c r="L199" s="4"/>
      <c r="N199" s="4"/>
      <c r="O199" s="61">
        <f t="shared" si="30"/>
        <v>0</v>
      </c>
      <c r="P199" s="60" t="str">
        <f t="shared" si="31"/>
        <v/>
      </c>
      <c r="R199" s="61" t="str">
        <f>_xlfn.IFNA(VLOOKUP(F199,tblDisciplines[],3,FALSE),"")</f>
        <v/>
      </c>
    </row>
    <row r="200" spans="1:18">
      <c r="A200" s="1" t="s">
        <v>199</v>
      </c>
      <c r="B200" t="str">
        <f t="shared" si="32"/>
        <v>¬</v>
      </c>
      <c r="D200" s="19"/>
      <c r="E200" s="15" t="s">
        <v>1504</v>
      </c>
      <c r="F200" s="3"/>
      <c r="G200" s="61" t="str">
        <f>_xlfn.IFNA(VLOOKUP(F200,tblDisciplines[],2,FALSE),"")</f>
        <v/>
      </c>
      <c r="H200" s="19"/>
      <c r="I200" s="19"/>
      <c r="L200" s="4"/>
      <c r="N200" s="4"/>
      <c r="O200" s="61">
        <f t="shared" si="30"/>
        <v>0</v>
      </c>
      <c r="P200" s="60" t="str">
        <f t="shared" si="31"/>
        <v/>
      </c>
      <c r="R200" s="61" t="str">
        <f>_xlfn.IFNA(VLOOKUP(F200,tblDisciplines[],3,FALSE),"")</f>
        <v/>
      </c>
    </row>
    <row r="201" spans="1:18">
      <c r="A201" s="1" t="s">
        <v>200</v>
      </c>
      <c r="B201" t="str">
        <f t="shared" si="32"/>
        <v>¬</v>
      </c>
      <c r="D201" s="19"/>
      <c r="E201" s="15" t="s">
        <v>1505</v>
      </c>
      <c r="F201" s="3"/>
      <c r="G201" s="61" t="str">
        <f>_xlfn.IFNA(VLOOKUP(F201,tblDisciplines[],2,FALSE),"")</f>
        <v/>
      </c>
      <c r="H201" s="19"/>
      <c r="I201" s="19"/>
      <c r="L201" s="4"/>
      <c r="N201" s="4"/>
      <c r="O201" s="61">
        <f t="shared" si="30"/>
        <v>0</v>
      </c>
      <c r="P201" s="60" t="str">
        <f t="shared" si="31"/>
        <v/>
      </c>
      <c r="R201" s="61" t="str">
        <f>_xlfn.IFNA(VLOOKUP(F201,tblDisciplines[],3,FALSE),"")</f>
        <v/>
      </c>
    </row>
    <row r="202" spans="1:18">
      <c r="A202" s="1" t="s">
        <v>201</v>
      </c>
      <c r="B202" t="str">
        <f t="shared" si="32"/>
        <v>¬</v>
      </c>
      <c r="D202" s="19"/>
      <c r="E202" s="15" t="s">
        <v>1506</v>
      </c>
      <c r="F202" s="3"/>
      <c r="G202" s="61" t="str">
        <f>_xlfn.IFNA(VLOOKUP(F202,tblDisciplines[],2,FALSE),"")</f>
        <v/>
      </c>
      <c r="H202" s="19"/>
      <c r="I202" s="19"/>
      <c r="L202" s="4"/>
      <c r="N202" s="4"/>
      <c r="O202" s="61">
        <f t="shared" si="30"/>
        <v>0</v>
      </c>
      <c r="P202" s="60" t="str">
        <f t="shared" si="31"/>
        <v/>
      </c>
      <c r="R202" s="61" t="str">
        <f>_xlfn.IFNA(VLOOKUP(F202,tblDisciplines[],3,FALSE),"")</f>
        <v/>
      </c>
    </row>
    <row r="203" spans="1:18">
      <c r="A203" s="1" t="s">
        <v>202</v>
      </c>
      <c r="B203" t="str">
        <f t="shared" si="32"/>
        <v>¬</v>
      </c>
      <c r="D203" s="19"/>
      <c r="E203" s="15" t="s">
        <v>1507</v>
      </c>
      <c r="F203" s="3"/>
      <c r="G203" s="61" t="str">
        <f>_xlfn.IFNA(VLOOKUP(F203,tblDisciplines[],2,FALSE),"")</f>
        <v/>
      </c>
      <c r="H203" s="19"/>
      <c r="I203" s="19"/>
      <c r="L203" s="4"/>
      <c r="N203" s="4"/>
      <c r="O203" s="61">
        <f t="shared" si="30"/>
        <v>0</v>
      </c>
      <c r="P203" s="60" t="str">
        <f t="shared" si="31"/>
        <v/>
      </c>
      <c r="R203" s="61" t="str">
        <f>_xlfn.IFNA(VLOOKUP(F203,tblDisciplines[],3,FALSE),"")</f>
        <v/>
      </c>
    </row>
    <row r="204" spans="1:18">
      <c r="A204" s="1" t="s">
        <v>203</v>
      </c>
      <c r="B204" t="str">
        <f t="shared" si="32"/>
        <v>¬</v>
      </c>
    </row>
    <row r="205" spans="1:18">
      <c r="A205" s="1" t="s">
        <v>204</v>
      </c>
      <c r="B205" t="str">
        <f t="shared" si="32"/>
        <v>¬</v>
      </c>
      <c r="D205" s="16" t="s">
        <v>1508</v>
      </c>
      <c r="E205" s="17"/>
      <c r="F205" s="17"/>
      <c r="G205" s="17"/>
      <c r="H205" s="17"/>
      <c r="I205" s="17"/>
    </row>
    <row r="206" spans="1:18">
      <c r="A206" s="1" t="s">
        <v>205</v>
      </c>
      <c r="B206" t="str">
        <f t="shared" si="32"/>
        <v>¬</v>
      </c>
      <c r="D206" s="19"/>
      <c r="E206" s="15" t="s">
        <v>1476</v>
      </c>
      <c r="F206" s="3"/>
      <c r="G206" s="19" t="str">
        <f>IFERROR(VLOOKUP(F206,tblManoeuvre[],2,FALSE)&amp;" "&amp;VLOOKUP(F206,tblManoeuvre[],3,FALSE),"")</f>
        <v/>
      </c>
      <c r="H206" s="68" t="str">
        <f>_xlfn.IFNA(IF(VLOOKUP(F206,tblMerits[],6,FALSE)=0,"None",VLOOKUP(F206,tblMerits[],6,FALSE)),"None")</f>
        <v>None</v>
      </c>
      <c r="I206" s="69"/>
      <c r="L206" s="4"/>
      <c r="M206" s="4"/>
      <c r="N206" s="4"/>
      <c r="O206" s="61">
        <f t="shared" ref="O206:O215" si="33">N206</f>
        <v>0</v>
      </c>
      <c r="P206" s="60">
        <f t="shared" ref="P206:P215" si="34">MIN(SUM(L206,M206,O206),R206)</f>
        <v>0</v>
      </c>
      <c r="Q206" s="61" t="str">
        <f>_xlfn.IFNA(VLOOKUP($F206,tblPacts[],3,FALSE),"")</f>
        <v/>
      </c>
      <c r="R206" s="61" t="str">
        <f>_xlfn.IFNA(VLOOKUP($F206,tblPacts[],4,FALSE),"")</f>
        <v/>
      </c>
    </row>
    <row r="207" spans="1:18">
      <c r="A207" s="1" t="s">
        <v>206</v>
      </c>
      <c r="B207" t="str">
        <f t="shared" si="32"/>
        <v>¬</v>
      </c>
      <c r="D207" s="19"/>
      <c r="E207" s="15" t="s">
        <v>1477</v>
      </c>
      <c r="F207" s="3"/>
      <c r="G207" s="19" t="str">
        <f>IFERROR(VLOOKUP(F207,tblManoeuvre[],2,FALSE)&amp;" "&amp;VLOOKUP(F207,tblManoeuvre[],3,FALSE),"")</f>
        <v/>
      </c>
      <c r="H207" s="68" t="str">
        <f>_xlfn.IFNA(IF(VLOOKUP(F207,tblMerits[],6,FALSE)=0,"None",VLOOKUP(F207,tblMerits[],6,FALSE)),"None")</f>
        <v>None</v>
      </c>
      <c r="I207" s="69"/>
      <c r="L207" s="4"/>
      <c r="M207" s="4"/>
      <c r="N207" s="4"/>
      <c r="O207" s="61">
        <f t="shared" si="33"/>
        <v>0</v>
      </c>
      <c r="P207" s="60">
        <f t="shared" si="34"/>
        <v>0</v>
      </c>
      <c r="Q207" s="61" t="str">
        <f>_xlfn.IFNA(VLOOKUP($F207,tblPacts[],3,FALSE),"")</f>
        <v/>
      </c>
      <c r="R207" s="61" t="str">
        <f>_xlfn.IFNA(VLOOKUP($F207,tblPacts[],4,FALSE),"")</f>
        <v/>
      </c>
    </row>
    <row r="208" spans="1:18">
      <c r="A208" s="1" t="s">
        <v>207</v>
      </c>
      <c r="B208" t="str">
        <f t="shared" si="32"/>
        <v>¬</v>
      </c>
      <c r="D208" s="19"/>
      <c r="E208" s="15" t="s">
        <v>1478</v>
      </c>
      <c r="F208" s="3"/>
      <c r="G208" s="19" t="str">
        <f>IFERROR(VLOOKUP(F208,tblManoeuvre[],2,FALSE)&amp;" "&amp;VLOOKUP(F208,tblManoeuvre[],3,FALSE),"")</f>
        <v/>
      </c>
      <c r="H208" s="68" t="str">
        <f>_xlfn.IFNA(IF(VLOOKUP(F208,tblMerits[],6,FALSE)=0,"None",VLOOKUP(F208,tblMerits[],6,FALSE)),"None")</f>
        <v>None</v>
      </c>
      <c r="I208" s="69"/>
      <c r="L208" s="4"/>
      <c r="M208" s="4"/>
      <c r="N208" s="4"/>
      <c r="O208" s="61">
        <f t="shared" si="33"/>
        <v>0</v>
      </c>
      <c r="P208" s="60">
        <f t="shared" si="34"/>
        <v>0</v>
      </c>
      <c r="Q208" s="61" t="str">
        <f>_xlfn.IFNA(VLOOKUP($F208,tblPacts[],3,FALSE),"")</f>
        <v/>
      </c>
      <c r="R208" s="61" t="str">
        <f>_xlfn.IFNA(VLOOKUP($F208,tblPacts[],4,FALSE),"")</f>
        <v/>
      </c>
    </row>
    <row r="209" spans="1:18">
      <c r="A209" s="1" t="s">
        <v>208</v>
      </c>
      <c r="B209" t="str">
        <f t="shared" si="32"/>
        <v>¬</v>
      </c>
      <c r="D209" s="19"/>
      <c r="E209" s="15" t="s">
        <v>1479</v>
      </c>
      <c r="F209" s="3"/>
      <c r="G209" s="19" t="str">
        <f>IFERROR(VLOOKUP(F209,tblManoeuvre[],2,FALSE)&amp;" "&amp;VLOOKUP(F209,tblManoeuvre[],3,FALSE),"")</f>
        <v/>
      </c>
      <c r="H209" s="68" t="str">
        <f>_xlfn.IFNA(IF(VLOOKUP(F209,tblMerits[],6,FALSE)=0,"None",VLOOKUP(F209,tblMerits[],6,FALSE)),"None")</f>
        <v>None</v>
      </c>
      <c r="I209" s="69"/>
      <c r="L209" s="4"/>
      <c r="M209" s="4"/>
      <c r="N209" s="4"/>
      <c r="O209" s="61">
        <f t="shared" si="33"/>
        <v>0</v>
      </c>
      <c r="P209" s="60">
        <f t="shared" si="34"/>
        <v>0</v>
      </c>
      <c r="Q209" s="61" t="str">
        <f>_xlfn.IFNA(VLOOKUP($F209,tblPacts[],3,FALSE),"")</f>
        <v/>
      </c>
      <c r="R209" s="61" t="str">
        <f>_xlfn.IFNA(VLOOKUP($F209,tblPacts[],4,FALSE),"")</f>
        <v/>
      </c>
    </row>
    <row r="210" spans="1:18">
      <c r="A210" s="1" t="s">
        <v>209</v>
      </c>
      <c r="B210" t="str">
        <f t="shared" si="32"/>
        <v>¬</v>
      </c>
      <c r="D210" s="19"/>
      <c r="E210" s="15" t="s">
        <v>1480</v>
      </c>
      <c r="F210" s="3"/>
      <c r="G210" s="19" t="str">
        <f>IFERROR(VLOOKUP(F210,tblManoeuvre[],2,FALSE)&amp;" "&amp;VLOOKUP(F210,tblManoeuvre[],3,FALSE),"")</f>
        <v/>
      </c>
      <c r="H210" s="68" t="str">
        <f>_xlfn.IFNA(IF(VLOOKUP(F210,tblMerits[],6,FALSE)=0,"None",VLOOKUP(F210,tblMerits[],6,FALSE)),"None")</f>
        <v>None</v>
      </c>
      <c r="I210" s="69"/>
      <c r="L210" s="4"/>
      <c r="M210" s="4"/>
      <c r="N210" s="4"/>
      <c r="O210" s="61">
        <f t="shared" si="33"/>
        <v>0</v>
      </c>
      <c r="P210" s="60">
        <f t="shared" si="34"/>
        <v>0</v>
      </c>
      <c r="Q210" s="61" t="str">
        <f>_xlfn.IFNA(VLOOKUP($F210,tblPacts[],3,FALSE),"")</f>
        <v/>
      </c>
      <c r="R210" s="61" t="str">
        <f>_xlfn.IFNA(VLOOKUP($F210,tblPacts[],4,FALSE),"")</f>
        <v/>
      </c>
    </row>
    <row r="211" spans="1:18">
      <c r="A211" s="1" t="s">
        <v>210</v>
      </c>
      <c r="B211" t="str">
        <f t="shared" si="32"/>
        <v>¬</v>
      </c>
      <c r="D211" s="19"/>
      <c r="E211" s="15" t="s">
        <v>1481</v>
      </c>
      <c r="F211" s="3"/>
      <c r="G211" s="19" t="str">
        <f>IFERROR(VLOOKUP(F211,tblManoeuvre[],2,FALSE)&amp;" "&amp;VLOOKUP(F211,tblManoeuvre[],3,FALSE),"")</f>
        <v/>
      </c>
      <c r="H211" s="68" t="str">
        <f>_xlfn.IFNA(IF(VLOOKUP(F211,tblMerits[],6,FALSE)=0,"None",VLOOKUP(F211,tblMerits[],6,FALSE)),"None")</f>
        <v>None</v>
      </c>
      <c r="I211" s="69"/>
      <c r="L211" s="4"/>
      <c r="M211" s="4"/>
      <c r="N211" s="4"/>
      <c r="O211" s="61">
        <f t="shared" si="33"/>
        <v>0</v>
      </c>
      <c r="P211" s="60">
        <f t="shared" si="34"/>
        <v>0</v>
      </c>
      <c r="Q211" s="61" t="str">
        <f>_xlfn.IFNA(VLOOKUP($F211,tblPacts[],3,FALSE),"")</f>
        <v/>
      </c>
      <c r="R211" s="61" t="str">
        <f>_xlfn.IFNA(VLOOKUP($F211,tblPacts[],4,FALSE),"")</f>
        <v/>
      </c>
    </row>
    <row r="212" spans="1:18">
      <c r="A212" s="1" t="s">
        <v>211</v>
      </c>
      <c r="B212" t="str">
        <f t="shared" si="32"/>
        <v>¬</v>
      </c>
      <c r="D212" s="19"/>
      <c r="E212" s="15" t="s">
        <v>1482</v>
      </c>
      <c r="F212" s="3"/>
      <c r="G212" s="19" t="str">
        <f>IFERROR(VLOOKUP(F212,tblManoeuvre[],2,FALSE)&amp;" "&amp;VLOOKUP(F212,tblManoeuvre[],3,FALSE),"")</f>
        <v/>
      </c>
      <c r="H212" s="68" t="str">
        <f>_xlfn.IFNA(IF(VLOOKUP(F212,tblMerits[],6,FALSE)=0,"None",VLOOKUP(F212,tblMerits[],6,FALSE)),"None")</f>
        <v>None</v>
      </c>
      <c r="I212" s="69"/>
      <c r="L212" s="4"/>
      <c r="M212" s="4"/>
      <c r="N212" s="4"/>
      <c r="O212" s="61">
        <f t="shared" si="33"/>
        <v>0</v>
      </c>
      <c r="P212" s="60">
        <f t="shared" si="34"/>
        <v>0</v>
      </c>
      <c r="Q212" s="61" t="str">
        <f>_xlfn.IFNA(VLOOKUP($F212,tblPacts[],3,FALSE),"")</f>
        <v/>
      </c>
      <c r="R212" s="61" t="str">
        <f>_xlfn.IFNA(VLOOKUP($F212,tblPacts[],4,FALSE),"")</f>
        <v/>
      </c>
    </row>
    <row r="213" spans="1:18">
      <c r="A213" s="1" t="s">
        <v>212</v>
      </c>
      <c r="B213" t="str">
        <f t="shared" si="32"/>
        <v>¬</v>
      </c>
      <c r="D213" s="19"/>
      <c r="E213" s="15" t="s">
        <v>1483</v>
      </c>
      <c r="F213" s="3"/>
      <c r="G213" s="19" t="str">
        <f>IFERROR(VLOOKUP(F213,tblManoeuvre[],2,FALSE)&amp;" "&amp;VLOOKUP(F213,tblManoeuvre[],3,FALSE),"")</f>
        <v/>
      </c>
      <c r="H213" s="68" t="str">
        <f>_xlfn.IFNA(IF(VLOOKUP(F213,tblMerits[],6,FALSE)=0,"None",VLOOKUP(F213,tblMerits[],6,FALSE)),"None")</f>
        <v>None</v>
      </c>
      <c r="I213" s="69"/>
      <c r="L213" s="4"/>
      <c r="M213" s="4"/>
      <c r="N213" s="4"/>
      <c r="O213" s="61">
        <f t="shared" si="33"/>
        <v>0</v>
      </c>
      <c r="P213" s="60">
        <f t="shared" si="34"/>
        <v>0</v>
      </c>
      <c r="Q213" s="61" t="str">
        <f>_xlfn.IFNA(VLOOKUP($F213,tblPacts[],3,FALSE),"")</f>
        <v/>
      </c>
      <c r="R213" s="61" t="str">
        <f>_xlfn.IFNA(VLOOKUP($F213,tblPacts[],4,FALSE),"")</f>
        <v/>
      </c>
    </row>
    <row r="214" spans="1:18">
      <c r="A214" s="1" t="s">
        <v>213</v>
      </c>
      <c r="B214" t="str">
        <f t="shared" si="32"/>
        <v>¬</v>
      </c>
      <c r="D214" s="19"/>
      <c r="E214" s="15" t="s">
        <v>1484</v>
      </c>
      <c r="F214" s="3"/>
      <c r="G214" s="19" t="str">
        <f>IFERROR(VLOOKUP(F214,tblManoeuvre[],2,FALSE)&amp;" "&amp;VLOOKUP(F214,tblManoeuvre[],3,FALSE),"")</f>
        <v/>
      </c>
      <c r="H214" s="68" t="str">
        <f>_xlfn.IFNA(IF(VLOOKUP(F214,tblMerits[],6,FALSE)=0,"None",VLOOKUP(F214,tblMerits[],6,FALSE)),"None")</f>
        <v>None</v>
      </c>
      <c r="I214" s="69"/>
      <c r="L214" s="4"/>
      <c r="M214" s="4"/>
      <c r="N214" s="4"/>
      <c r="O214" s="61">
        <f t="shared" si="33"/>
        <v>0</v>
      </c>
      <c r="P214" s="60">
        <f t="shared" si="34"/>
        <v>0</v>
      </c>
      <c r="Q214" s="61" t="str">
        <f>_xlfn.IFNA(VLOOKUP($F214,tblPacts[],3,FALSE),"")</f>
        <v/>
      </c>
      <c r="R214" s="61" t="str">
        <f>_xlfn.IFNA(VLOOKUP($F214,tblPacts[],4,FALSE),"")</f>
        <v/>
      </c>
    </row>
    <row r="215" spans="1:18">
      <c r="A215" s="1" t="s">
        <v>214</v>
      </c>
      <c r="B215" t="str">
        <f t="shared" si="32"/>
        <v>¬</v>
      </c>
      <c r="D215" s="19"/>
      <c r="E215" s="15" t="s">
        <v>1485</v>
      </c>
      <c r="F215" s="3"/>
      <c r="G215" s="19" t="str">
        <f>IFERROR(VLOOKUP(F215,tblManoeuvre[],2,FALSE)&amp;" "&amp;VLOOKUP(F215,tblManoeuvre[],3,FALSE),"")</f>
        <v/>
      </c>
      <c r="H215" s="68" t="str">
        <f>_xlfn.IFNA(IF(VLOOKUP(F215,tblMerits[],6,FALSE)=0,"None",VLOOKUP(F215,tblMerits[],6,FALSE)),"None")</f>
        <v>None</v>
      </c>
      <c r="I215" s="69"/>
      <c r="L215" s="4"/>
      <c r="M215" s="4"/>
      <c r="N215" s="4"/>
      <c r="O215" s="61">
        <f t="shared" si="33"/>
        <v>0</v>
      </c>
      <c r="P215" s="60">
        <f t="shared" si="34"/>
        <v>0</v>
      </c>
      <c r="Q215" s="61" t="str">
        <f>_xlfn.IFNA(VLOOKUP($F215,tblPacts[],3,FALSE),"")</f>
        <v/>
      </c>
      <c r="R215" s="61" t="str">
        <f>_xlfn.IFNA(VLOOKUP($F215,tblPacts[],4,FALSE),"")</f>
        <v/>
      </c>
    </row>
    <row r="216" spans="1:18">
      <c r="A216" s="1" t="s">
        <v>215</v>
      </c>
      <c r="B216" t="str">
        <f t="shared" si="32"/>
        <v>¬</v>
      </c>
    </row>
    <row r="217" spans="1:18">
      <c r="A217" s="1" t="s">
        <v>216</v>
      </c>
      <c r="B217" t="str">
        <f>IF(OR(AF134=0,AF134=""),"",REPT("●",AF134))</f>
        <v>●●</v>
      </c>
      <c r="D217" s="16" t="s">
        <v>1509</v>
      </c>
      <c r="E217" s="16"/>
      <c r="F217" s="16"/>
      <c r="G217" s="16"/>
      <c r="H217" s="16"/>
      <c r="I217" s="16"/>
    </row>
    <row r="218" spans="1:18">
      <c r="A218" s="1" t="s">
        <v>217</v>
      </c>
      <c r="B218" t="str">
        <f t="shared" ref="B218:B236" si="35">IF(OR(AF135=0,AF135=""),"",REPT("●",AF135))</f>
        <v>●</v>
      </c>
      <c r="D218" s="19"/>
      <c r="E218" s="15" t="s">
        <v>353</v>
      </c>
      <c r="F218" s="19"/>
      <c r="G218" s="19"/>
      <c r="H218" s="19"/>
      <c r="I218" s="19"/>
      <c r="M218" s="61">
        <f>IF(COUNTIF(F79:F93,"Giant")&gt;0,1,0)+IF(COUNTIF(F79:F93,"Small-Framed")&gt;0,-1,0)</f>
        <v>0</v>
      </c>
      <c r="P218" s="60">
        <f>5+M218</f>
        <v>5</v>
      </c>
    </row>
    <row r="219" spans="1:18">
      <c r="A219" s="1" t="s">
        <v>218</v>
      </c>
      <c r="B219" t="str">
        <f t="shared" si="35"/>
        <v>●</v>
      </c>
      <c r="D219" s="19"/>
      <c r="E219" s="15" t="s">
        <v>354</v>
      </c>
      <c r="F219" s="19"/>
      <c r="G219" s="19"/>
      <c r="H219" s="19"/>
      <c r="I219" s="19"/>
      <c r="P219" s="60">
        <f ca="1">VLOOKUP("Size",INDIRECT($AH$1),2,FALSE)+VLOOKUP("Strength",INDIRECT($AH$1),2,FALSE)+VLOOKUP("Dexterity",INDIRECT($AH$1),2,FALSE)+VLOOKUP("Vigour",INDIRECT($AH$1),2,FALSE)</f>
        <v>10</v>
      </c>
    </row>
    <row r="220" spans="1:18">
      <c r="A220" s="1" t="s">
        <v>219</v>
      </c>
      <c r="B220" t="str">
        <f t="shared" si="35"/>
        <v/>
      </c>
      <c r="D220" s="19"/>
      <c r="E220" s="15" t="s">
        <v>355</v>
      </c>
      <c r="F220" s="19"/>
      <c r="G220" s="19"/>
      <c r="H220" s="19"/>
      <c r="I220" s="19"/>
      <c r="P220" s="60">
        <f ca="1">MIN(VLOOKUP("Dexterity",INDIRECT($AH$1),2,FALSE),VLOOKUP("Wits",INDIRECT($AH$1),2,FALSE))+VLOOKUP("Athletics",INDIRECT($AH$1),2,FALSE)</f>
        <v>4</v>
      </c>
    </row>
    <row r="221" spans="1:18">
      <c r="A221" s="1" t="s">
        <v>220</v>
      </c>
      <c r="B221" t="str">
        <f t="shared" si="35"/>
        <v/>
      </c>
      <c r="D221" s="19"/>
      <c r="E221" s="15" t="s">
        <v>52</v>
      </c>
      <c r="F221" s="19"/>
      <c r="G221" s="19"/>
      <c r="H221" s="19"/>
      <c r="I221" s="19"/>
      <c r="P221" s="60">
        <f ca="1">VLOOKUP("Size",INDIRECT($AH$1),2,FALSE)+VLOOKUP("Stamina",INDIRECT($AH$1),2,FALSE)+VLOOKUP("Resilience",INDIRECT($AH$1),2,FALSE)</f>
        <v>6</v>
      </c>
    </row>
    <row r="222" spans="1:18">
      <c r="A222" s="1" t="s">
        <v>221</v>
      </c>
      <c r="B222" t="str">
        <f t="shared" si="35"/>
        <v/>
      </c>
      <c r="D222" s="19"/>
      <c r="E222" s="19"/>
      <c r="F222" s="19"/>
      <c r="G222" s="19"/>
      <c r="H222" s="15" t="s">
        <v>1510</v>
      </c>
      <c r="I222" s="19"/>
      <c r="L222" s="4"/>
    </row>
    <row r="223" spans="1:18">
      <c r="A223" s="1" t="s">
        <v>222</v>
      </c>
      <c r="B223" t="str">
        <f t="shared" si="35"/>
        <v/>
      </c>
      <c r="D223" s="19"/>
      <c r="E223" s="15" t="s">
        <v>1511</v>
      </c>
      <c r="F223" s="7"/>
      <c r="G223" s="19"/>
      <c r="H223" s="15" t="s">
        <v>1512</v>
      </c>
      <c r="I223" s="19"/>
      <c r="L223" s="4"/>
    </row>
    <row r="224" spans="1:18">
      <c r="A224" s="1" t="s">
        <v>223</v>
      </c>
      <c r="B224" t="str">
        <f t="shared" si="35"/>
        <v/>
      </c>
      <c r="D224" s="19"/>
      <c r="E224" s="15" t="s">
        <v>1513</v>
      </c>
      <c r="F224" s="7"/>
      <c r="G224" s="19"/>
      <c r="H224" s="15" t="s">
        <v>1514</v>
      </c>
      <c r="I224" s="19"/>
      <c r="L224" s="4"/>
    </row>
    <row r="225" spans="1:12">
      <c r="A225" s="1" t="s">
        <v>224</v>
      </c>
      <c r="B225" t="str">
        <f t="shared" si="35"/>
        <v/>
      </c>
      <c r="D225" s="19"/>
      <c r="E225" s="15" t="s">
        <v>1515</v>
      </c>
      <c r="F225" s="7"/>
      <c r="G225" s="19"/>
      <c r="H225" s="15" t="s">
        <v>1516</v>
      </c>
      <c r="I225" s="19"/>
      <c r="L225" s="4"/>
    </row>
    <row r="226" spans="1:12">
      <c r="A226" s="1" t="s">
        <v>225</v>
      </c>
      <c r="B226" t="str">
        <f t="shared" si="35"/>
        <v/>
      </c>
      <c r="D226" s="19"/>
      <c r="E226" s="15" t="s">
        <v>1517</v>
      </c>
      <c r="F226" s="7"/>
      <c r="G226" s="19"/>
      <c r="H226" s="19"/>
      <c r="I226" s="19"/>
    </row>
    <row r="227" spans="1:12">
      <c r="A227" s="1" t="s">
        <v>226</v>
      </c>
      <c r="B227" t="str">
        <f t="shared" si="35"/>
        <v/>
      </c>
      <c r="D227" s="19"/>
      <c r="E227" s="15" t="s">
        <v>1518</v>
      </c>
      <c r="F227" s="7" t="s">
        <v>1833</v>
      </c>
      <c r="G227" s="19"/>
      <c r="H227" s="19"/>
      <c r="I227" s="19"/>
    </row>
    <row r="228" spans="1:12">
      <c r="A228" s="1" t="s">
        <v>227</v>
      </c>
      <c r="B228" t="str">
        <f t="shared" si="35"/>
        <v/>
      </c>
      <c r="D228" s="19"/>
      <c r="E228" s="15" t="s">
        <v>1519</v>
      </c>
      <c r="F228" s="7"/>
      <c r="G228" s="19"/>
      <c r="H228" s="19"/>
      <c r="I228" s="19"/>
    </row>
    <row r="229" spans="1:12">
      <c r="A229" s="1" t="s">
        <v>228</v>
      </c>
      <c r="B229" t="str">
        <f t="shared" si="35"/>
        <v/>
      </c>
      <c r="D229" s="19"/>
      <c r="E229" s="15" t="s">
        <v>1520</v>
      </c>
      <c r="F229" s="7"/>
      <c r="G229" s="19"/>
      <c r="H229" s="19"/>
      <c r="I229" s="19"/>
    </row>
    <row r="230" spans="1:12">
      <c r="A230" s="1" t="s">
        <v>229</v>
      </c>
      <c r="B230" t="str">
        <f t="shared" si="35"/>
        <v/>
      </c>
      <c r="D230" s="19"/>
      <c r="E230" s="15" t="s">
        <v>1521</v>
      </c>
      <c r="F230" s="7"/>
      <c r="G230" s="19"/>
      <c r="H230" s="19"/>
      <c r="I230" s="19"/>
    </row>
    <row r="231" spans="1:12">
      <c r="A231" s="1" t="s">
        <v>230</v>
      </c>
      <c r="B231" t="str">
        <f t="shared" si="35"/>
        <v/>
      </c>
      <c r="D231" s="19"/>
      <c r="E231" s="15" t="s">
        <v>1522</v>
      </c>
      <c r="F231" s="7"/>
      <c r="G231" s="19"/>
      <c r="H231" s="19"/>
      <c r="I231" s="19"/>
    </row>
    <row r="232" spans="1:12">
      <c r="A232" s="1" t="s">
        <v>231</v>
      </c>
      <c r="B232" t="str">
        <f t="shared" si="35"/>
        <v/>
      </c>
      <c r="D232" s="19"/>
      <c r="E232" s="15" t="s">
        <v>1523</v>
      </c>
      <c r="F232" s="7"/>
      <c r="G232" s="19"/>
      <c r="H232" s="19"/>
      <c r="I232" s="19"/>
    </row>
    <row r="233" spans="1:12">
      <c r="A233" s="1" t="s">
        <v>232</v>
      </c>
      <c r="B233" t="str">
        <f t="shared" si="35"/>
        <v/>
      </c>
      <c r="D233" s="19"/>
      <c r="E233" s="19"/>
      <c r="F233" s="19"/>
      <c r="G233" s="19"/>
      <c r="H233" s="19"/>
      <c r="I233" s="19"/>
    </row>
    <row r="234" spans="1:12">
      <c r="A234" s="1" t="s">
        <v>233</v>
      </c>
      <c r="B234" t="str">
        <f t="shared" si="35"/>
        <v/>
      </c>
      <c r="D234" s="19"/>
      <c r="E234" s="15" t="s">
        <v>343</v>
      </c>
      <c r="F234" s="61" t="str">
        <f>_xlfn.IFNA(VLOOKUP(F7,tblClans[],4,FALSE),"")</f>
        <v>Tenebrous Curse</v>
      </c>
      <c r="G234" s="19"/>
      <c r="H234" s="74" t="str">
        <f>_xlfn.IFNA(VLOOKUP(F234,tblBanes[],2,FALSE),"")</f>
        <v>Gain an extra bane at Humanity 6 (doesn't count towards cap); Humanity counts –1 for all Humanity-based banes.</v>
      </c>
      <c r="I234" s="74"/>
    </row>
    <row r="235" spans="1:12">
      <c r="A235" s="1" t="s">
        <v>234</v>
      </c>
      <c r="B235" t="str">
        <f t="shared" si="35"/>
        <v/>
      </c>
      <c r="D235" s="19"/>
      <c r="E235" s="15" t="s">
        <v>344</v>
      </c>
      <c r="F235" s="19"/>
      <c r="G235" s="19"/>
      <c r="H235" s="19"/>
      <c r="I235" s="19"/>
    </row>
    <row r="236" spans="1:12">
      <c r="A236" s="1" t="s">
        <v>235</v>
      </c>
      <c r="B236" t="str">
        <f t="shared" si="35"/>
        <v/>
      </c>
      <c r="D236" s="19"/>
      <c r="E236" s="15" t="s">
        <v>345</v>
      </c>
      <c r="F236" s="3"/>
      <c r="G236" s="19"/>
      <c r="H236" s="70" t="str">
        <f>_xlfn.IFNA(VLOOKUP(F236,tblBanes[],2,FALSE),"")</f>
        <v/>
      </c>
      <c r="I236" s="71"/>
    </row>
    <row r="237" spans="1:12">
      <c r="A237" s="1" t="s">
        <v>236</v>
      </c>
      <c r="B237" t="str">
        <f ca="1">_xlfn.LET(_xlpm.v,VLOOKUP(tblCharDataWan[[#This Row],[Field]],INDIRECT($AH$1),2,FALSE),IF(OR(_xlpm.v=0,_xlpm.v=""),"-",REPT("●",_xlpm.v)))</f>
        <v>-</v>
      </c>
      <c r="D237" s="19"/>
      <c r="E237" s="15" t="s">
        <v>346</v>
      </c>
      <c r="F237" s="3"/>
      <c r="G237" s="19"/>
      <c r="H237" s="70" t="str">
        <f>_xlfn.IFNA(VLOOKUP(F237,tblBanes[],2,FALSE),"")</f>
        <v/>
      </c>
      <c r="I237" s="71"/>
    </row>
    <row r="238" spans="1:12">
      <c r="A238" s="1" t="s">
        <v>237</v>
      </c>
      <c r="B238" t="str">
        <f ca="1">_xlfn.LET(_xlpm.v,VLOOKUP(tblCharDataWan[[#This Row],[Field]],INDIRECT($AH$1),2,FALSE),IF(OR(_xlpm.v=0,_xlpm.v=""),"-",REPT("●",_xlpm.v)))</f>
        <v>●●</v>
      </c>
      <c r="D238" s="19"/>
      <c r="E238" s="15" t="s">
        <v>347</v>
      </c>
      <c r="F238" s="3"/>
      <c r="G238" s="19"/>
      <c r="H238" s="70" t="str">
        <f>_xlfn.IFNA(VLOOKUP(F238,tblBanes[],2,FALSE),"")</f>
        <v/>
      </c>
      <c r="I238" s="71"/>
    </row>
    <row r="239" spans="1:12">
      <c r="A239" s="1" t="s">
        <v>238</v>
      </c>
      <c r="B239" t="str">
        <f ca="1">_xlfn.LET(_xlpm.v,VLOOKUP(tblCharDataWan[[#This Row],[Field]],INDIRECT($AH$1),2,FALSE),IF(OR(_xlpm.v=0,_xlpm.v=""),"-",REPT("●",_xlpm.v)))</f>
        <v>-</v>
      </c>
      <c r="D239" s="19"/>
      <c r="E239" s="19"/>
      <c r="F239" s="19"/>
      <c r="G239" s="19"/>
      <c r="H239" s="19"/>
      <c r="I239" s="19"/>
    </row>
    <row r="240" spans="1:12">
      <c r="A240" s="1" t="s">
        <v>239</v>
      </c>
      <c r="B240" t="str">
        <f ca="1">_xlfn.LET(_xlpm.v,VLOOKUP(tblCharDataWan[[#This Row],[Field]],INDIRECT($AH$1),2,FALSE),IF(OR(_xlpm.v=0,_xlpm.v=""),"-",REPT("●",_xlpm.v)))</f>
        <v>-</v>
      </c>
      <c r="D240" s="19"/>
      <c r="E240" s="15" t="s">
        <v>360</v>
      </c>
      <c r="F240" s="62"/>
      <c r="G240" s="63"/>
      <c r="H240" s="63"/>
      <c r="I240" s="64"/>
    </row>
    <row r="241" spans="1:9">
      <c r="A241" s="1" t="s">
        <v>240</v>
      </c>
      <c r="B241" t="str">
        <f ca="1">_xlfn.LET(_xlpm.v,VLOOKUP(tblCharDataWan[[#This Row],[Field]],INDIRECT($AH$1),2,FALSE),IF(OR(_xlpm.v=0,_xlpm.v=""),"-",REPT("●",_xlpm.v)))</f>
        <v>-</v>
      </c>
      <c r="D241" s="19"/>
      <c r="E241" s="15" t="s">
        <v>361</v>
      </c>
      <c r="F241" s="62"/>
      <c r="G241" s="63"/>
      <c r="H241" s="63"/>
      <c r="I241" s="64"/>
    </row>
    <row r="242" spans="1:9">
      <c r="A242" s="1" t="s">
        <v>241</v>
      </c>
      <c r="B242" t="str">
        <f ca="1">_xlfn.LET(_xlpm.v,VLOOKUP(tblCharDataWan[[#This Row],[Field]],INDIRECT($AH$1),2,FALSE),IF(OR(_xlpm.v=0,_xlpm.v=""),"-",REPT("●",_xlpm.v)))</f>
        <v>-</v>
      </c>
      <c r="D242" s="19"/>
      <c r="E242" s="15" t="s">
        <v>362</v>
      </c>
      <c r="F242" s="62"/>
      <c r="G242" s="63"/>
      <c r="H242" s="63"/>
      <c r="I242" s="64"/>
    </row>
    <row r="243" spans="1:9">
      <c r="A243" s="1" t="s">
        <v>242</v>
      </c>
      <c r="B243" t="str">
        <f ca="1">_xlfn.LET(_xlpm.v,VLOOKUP(tblCharDataWan[[#This Row],[Field]],INDIRECT($AH$1),2,FALSE),IF(OR(_xlpm.v=0,_xlpm.v=""),"-",REPT("●",_xlpm.v)))</f>
        <v>●●●●●</v>
      </c>
      <c r="D243" s="19"/>
      <c r="E243" s="19"/>
      <c r="F243" s="19"/>
      <c r="G243" s="19"/>
      <c r="H243" s="19"/>
      <c r="I243" s="19"/>
    </row>
    <row r="244" spans="1:9">
      <c r="A244" s="1" t="s">
        <v>243</v>
      </c>
      <c r="B244" t="str">
        <f ca="1">_xlfn.LET(_xlpm.v,VLOOKUP(tblCharDataWan[[#This Row],[Field]],INDIRECT($AH$1),2,FALSE),IF(OR(_xlpm.v=0,_xlpm.v=""),"-",REPT("●",_xlpm.v)))</f>
        <v>-</v>
      </c>
      <c r="D244" s="19"/>
      <c r="E244" s="15" t="s">
        <v>364</v>
      </c>
      <c r="F244" s="62" t="str" cm="1">
        <f t="array" ref="F244">_xlfn.TEXTJOIN(", ",TRUE,IF(SUMPRODUCT(($F$79:$F$98="Striking Looks")*($P$79:$P$98&gt;0)),"Striking Looks",""),IF(SUMPRODUCT(($F$79:$F$98="Giant")*($P$79:$P$98&gt;0)),"Giant",""),IF(SUMPRODUCT(($F$79:$F$98="Small-Framed")*($P$79:$P$98&gt;0)),"Small-Framed",""),IF(SUMPRODUCT(($F$79:$F$98="Fame")*($P$79:$P$98&gt;0)),"Fame",""),IF(SUMPRODUCT(($F$79:$F$98="Atrocious")*($P$79:$P$98&gt;0)),"Atrocious",""),IF(SUMPRODUCT(($F$79:$F$98="Enticing")*($P$79:$P$98&gt;0)),"Enticing",""),IF(SUMPRODUCT(($F$79:$F$98="Cutthroat")*($P$79:$P$98&gt;0)),"Cutthroat",""),IF(SUMPRODUCT(($F$79:$F$98="Unsettling Gaze")*($P$79:$P$98&gt;0)),"Unsettling Gaze",""),IF($P$36&gt;=4,"High Presence",""))</f>
        <v/>
      </c>
      <c r="G244" s="63"/>
      <c r="H244" s="63"/>
      <c r="I244" s="64"/>
    </row>
    <row r="245" spans="1:9">
      <c r="A245" s="1" t="s">
        <v>244</v>
      </c>
      <c r="B245" t="str">
        <f ca="1">_xlfn.LET(_xlpm.v,VLOOKUP(tblCharDataWan[[#This Row],[Field]],INDIRECT($AH$1),2,FALSE),IF(OR(_xlpm.v=0,_xlpm.v=""),"-",REPT("●",_xlpm.v)))</f>
        <v>-</v>
      </c>
      <c r="D245" s="19"/>
      <c r="E245" s="15" t="s">
        <v>1524</v>
      </c>
      <c r="F245" s="62"/>
      <c r="G245" s="63"/>
      <c r="H245" s="63"/>
      <c r="I245" s="64"/>
    </row>
    <row r="246" spans="1:9">
      <c r="A246" s="1" t="s">
        <v>245</v>
      </c>
      <c r="B246" t="str">
        <f ca="1">_xlfn.LET(_xlpm.v,VLOOKUP(tblCharDataWan[[#This Row],[Field]],INDIRECT($AH$1),2,FALSE),IF(OR(_xlpm.v=0,_xlpm.v=""),"-",REPT("●",_xlpm.v)))</f>
        <v>-</v>
      </c>
    </row>
    <row r="247" spans="1:9">
      <c r="A247" s="1" t="s">
        <v>246</v>
      </c>
      <c r="B247" t="str">
        <f ca="1">_xlfn.LET(_xlpm.v,VLOOKUP(tblCharDataWan[[#This Row],[Field]],INDIRECT($AH$1),2,FALSE),IF(OR(_xlpm.v=0,_xlpm.v=""),"-",REPT("●",_xlpm.v)))</f>
        <v>-</v>
      </c>
      <c r="D247" s="16" t="s">
        <v>1525</v>
      </c>
      <c r="E247" s="16"/>
      <c r="F247" s="16" t="s">
        <v>1526</v>
      </c>
      <c r="G247" s="16" t="s">
        <v>1527</v>
      </c>
      <c r="H247" s="16"/>
      <c r="I247" s="16"/>
    </row>
    <row r="248" spans="1:9">
      <c r="A248" s="1" t="s">
        <v>247</v>
      </c>
      <c r="B248" t="str">
        <f ca="1">_xlfn.LET(_xlpm.v,VLOOKUP(tblCharDataWan[[#This Row],[Field]],INDIRECT($AH$1),2,FALSE),IF(OR(_xlpm.v=0,_xlpm.v=""),"-",REPT("●",_xlpm.v)))</f>
        <v>-</v>
      </c>
      <c r="D248" s="19"/>
      <c r="E248" s="15" t="s">
        <v>1528</v>
      </c>
      <c r="F248" s="7"/>
      <c r="G248" s="7"/>
      <c r="H248" s="19"/>
      <c r="I248" s="19" t="s">
        <v>1529</v>
      </c>
    </row>
    <row r="249" spans="1:9">
      <c r="A249" s="1" t="s">
        <v>248</v>
      </c>
      <c r="B249" t="str">
        <f ca="1">_xlfn.LET(_xlpm.v,VLOOKUP(tblCharDataWan[[#This Row],[Field]],INDIRECT($AH$1),2,FALSE),IF(OR(_xlpm.v=0,_xlpm.v=""),"-",REPT("●",_xlpm.v)))</f>
        <v>-</v>
      </c>
      <c r="D249" s="19"/>
      <c r="E249" s="15" t="s">
        <v>1530</v>
      </c>
      <c r="F249" s="7"/>
      <c r="G249" s="7"/>
      <c r="H249" s="19"/>
      <c r="I249" s="19" t="s">
        <v>1531</v>
      </c>
    </row>
    <row r="250" spans="1:9">
      <c r="A250" s="1" t="s">
        <v>249</v>
      </c>
      <c r="B250" t="str">
        <f ca="1">_xlfn.LET(_xlpm.v,VLOOKUP(tblCharDataWan[[#This Row],[Field]],INDIRECT($AH$1),2,FALSE),IF(OR(_xlpm.v=0,_xlpm.v=""),"-",REPT("●",_xlpm.v)))</f>
        <v>-</v>
      </c>
      <c r="D250" s="19" t="s">
        <v>1532</v>
      </c>
      <c r="E250" s="15" t="s">
        <v>1533</v>
      </c>
      <c r="F250" s="7"/>
      <c r="G250" s="7"/>
      <c r="H250" s="19"/>
      <c r="I250" s="19"/>
    </row>
    <row r="251" spans="1:9">
      <c r="A251" s="1" t="s">
        <v>250</v>
      </c>
      <c r="B251" t="str">
        <f ca="1">_xlfn.LET(_xlpm.v,VLOOKUP(tblCharDataWan[[#This Row],[Field]],INDIRECT($AH$1),2,FALSE),IF(OR(_xlpm.v=0,_xlpm.v=""),"-",REPT("●",_xlpm.v)))</f>
        <v>-</v>
      </c>
      <c r="D251" s="19" t="s">
        <v>1532</v>
      </c>
      <c r="E251" s="15" t="s">
        <v>1534</v>
      </c>
      <c r="F251" s="7"/>
      <c r="G251" s="7"/>
      <c r="H251" s="19"/>
      <c r="I251" s="19"/>
    </row>
    <row r="252" spans="1:9">
      <c r="A252" s="1" t="s">
        <v>251</v>
      </c>
      <c r="B252" t="str">
        <f ca="1">_xlfn.LET(_xlpm.v,VLOOKUP(tblCharDataWan[[#This Row],[Field]],INDIRECT($AH$1),2,FALSE),IF(OR(_xlpm.v=0,_xlpm.v=""),"-",REPT("●",_xlpm.v)))</f>
        <v>-</v>
      </c>
      <c r="D252" s="19" t="s">
        <v>1532</v>
      </c>
      <c r="E252" s="15" t="s">
        <v>1535</v>
      </c>
      <c r="F252" s="7"/>
      <c r="G252" s="7"/>
      <c r="H252" s="19"/>
      <c r="I252" s="19"/>
    </row>
    <row r="253" spans="1:9">
      <c r="A253" s="1" t="s">
        <v>252</v>
      </c>
      <c r="B253" t="str">
        <f ca="1">_xlfn.LET(_xlpm.v,VLOOKUP(tblCharDataWan[[#This Row],[Field]],INDIRECT($AH$1),2,FALSE),IF(OR(_xlpm.v=0,_xlpm.v=""),"-",REPT("●",_xlpm.v)))</f>
        <v>-</v>
      </c>
      <c r="D253" s="19" t="s">
        <v>1532</v>
      </c>
      <c r="E253" s="15" t="s">
        <v>1536</v>
      </c>
      <c r="F253" s="7"/>
      <c r="G253" s="7"/>
      <c r="H253" s="19"/>
      <c r="I253" s="19"/>
    </row>
    <row r="254" spans="1:9">
      <c r="A254" s="1" t="s">
        <v>253</v>
      </c>
      <c r="B254" t="str">
        <f t="shared" ref="B254:B283" si="36">IF(AD44="","¬",AD44)</f>
        <v>Auspex ● | Beast's Hackles</v>
      </c>
      <c r="D254" s="19" t="s">
        <v>1532</v>
      </c>
      <c r="E254" s="15" t="s">
        <v>1537</v>
      </c>
      <c r="F254" s="7"/>
      <c r="G254" s="7"/>
      <c r="H254" s="19"/>
      <c r="I254" s="19"/>
    </row>
    <row r="255" spans="1:9">
      <c r="A255" s="1" t="s">
        <v>254</v>
      </c>
      <c r="B255" t="str">
        <f t="shared" si="36"/>
        <v>Auspex ●● | Uncanny Perception</v>
      </c>
      <c r="D255" s="19" t="s">
        <v>1532</v>
      </c>
      <c r="E255" s="15" t="s">
        <v>1538</v>
      </c>
      <c r="F255" s="7"/>
      <c r="G255" s="7"/>
      <c r="H255" s="19"/>
      <c r="I255" s="19"/>
    </row>
    <row r="256" spans="1:9">
      <c r="A256" s="1" t="s">
        <v>255</v>
      </c>
      <c r="B256" t="str">
        <f t="shared" si="36"/>
        <v>Obfuscate ● | Face in the Crowd</v>
      </c>
      <c r="D256" s="19" t="s">
        <v>1532</v>
      </c>
      <c r="E256" s="15" t="s">
        <v>1539</v>
      </c>
      <c r="F256" s="7"/>
      <c r="G256" s="7"/>
      <c r="H256" s="19"/>
      <c r="I256" s="19"/>
    </row>
    <row r="257" spans="1:9">
      <c r="A257" s="1" t="s">
        <v>256</v>
      </c>
      <c r="B257" t="str">
        <f t="shared" si="36"/>
        <v>Obfuscate ●● | Touch of Shadow</v>
      </c>
      <c r="D257" s="19" t="s">
        <v>1532</v>
      </c>
      <c r="E257" s="15" t="s">
        <v>1540</v>
      </c>
      <c r="F257" s="7"/>
      <c r="G257" s="7"/>
      <c r="H257" s="19"/>
      <c r="I257" s="19"/>
    </row>
    <row r="258" spans="1:9">
      <c r="A258" s="1" t="s">
        <v>257</v>
      </c>
      <c r="B258" t="str">
        <f t="shared" si="36"/>
        <v>Obfuscate ●●● | Cloak of Night</v>
      </c>
      <c r="D258" s="19" t="s">
        <v>1532</v>
      </c>
      <c r="E258" s="15" t="s">
        <v>1541</v>
      </c>
      <c r="F258" s="7"/>
      <c r="G258" s="7"/>
      <c r="H258" s="19"/>
      <c r="I258" s="19"/>
    </row>
    <row r="259" spans="1:9">
      <c r="A259" s="1" t="s">
        <v>258</v>
      </c>
      <c r="B259" t="str">
        <f t="shared" si="36"/>
        <v>Obfuscate ●●●● | The Familiar Stranger</v>
      </c>
      <c r="D259" s="19" t="s">
        <v>1532</v>
      </c>
      <c r="E259" s="15" t="s">
        <v>1542</v>
      </c>
      <c r="F259" s="7"/>
      <c r="G259" s="7"/>
      <c r="H259" s="19"/>
      <c r="I259" s="19"/>
    </row>
    <row r="260" spans="1:9">
      <c r="A260" s="1" t="s">
        <v>259</v>
      </c>
      <c r="B260" t="str">
        <f t="shared" si="36"/>
        <v>Obfuscate ●●●●● | Oubliette</v>
      </c>
      <c r="D260" s="19" t="s">
        <v>1532</v>
      </c>
      <c r="E260" s="15" t="s">
        <v>1543</v>
      </c>
      <c r="F260" s="7"/>
      <c r="G260" s="7"/>
      <c r="H260" s="19"/>
      <c r="I260" s="19"/>
    </row>
    <row r="261" spans="1:9">
      <c r="A261" s="1" t="s">
        <v>260</v>
      </c>
      <c r="B261" t="str">
        <f t="shared" si="36"/>
        <v>¬</v>
      </c>
      <c r="D261" s="19" t="s">
        <v>1532</v>
      </c>
      <c r="E261" s="15" t="s">
        <v>1544</v>
      </c>
      <c r="F261" s="7"/>
      <c r="G261" s="7"/>
      <c r="H261" s="19"/>
      <c r="I261" s="19"/>
    </row>
    <row r="262" spans="1:9">
      <c r="A262" s="1" t="s">
        <v>261</v>
      </c>
      <c r="B262" t="str">
        <f t="shared" si="36"/>
        <v>¬</v>
      </c>
      <c r="D262" s="19" t="s">
        <v>1532</v>
      </c>
      <c r="E262" s="15" t="s">
        <v>1545</v>
      </c>
      <c r="F262" s="7"/>
      <c r="G262" s="7"/>
      <c r="H262" s="19"/>
      <c r="I262" s="19"/>
    </row>
    <row r="263" spans="1:9">
      <c r="A263" s="1" t="s">
        <v>262</v>
      </c>
      <c r="B263" t="str">
        <f t="shared" si="36"/>
        <v>¬</v>
      </c>
      <c r="D263" s="19" t="s">
        <v>1532</v>
      </c>
      <c r="E263" s="15" t="s">
        <v>1546</v>
      </c>
      <c r="F263" s="7"/>
      <c r="G263" s="7"/>
      <c r="H263" s="19"/>
      <c r="I263" s="19"/>
    </row>
    <row r="264" spans="1:9">
      <c r="A264" s="1" t="s">
        <v>263</v>
      </c>
      <c r="B264" t="str">
        <f t="shared" si="36"/>
        <v>¬</v>
      </c>
      <c r="D264" s="19" t="s">
        <v>1532</v>
      </c>
      <c r="E264" s="15" t="s">
        <v>1547</v>
      </c>
      <c r="F264" s="7"/>
      <c r="G264" s="7"/>
      <c r="H264" s="19"/>
      <c r="I264" s="19"/>
    </row>
    <row r="265" spans="1:9">
      <c r="A265" s="1" t="s">
        <v>264</v>
      </c>
      <c r="B265" t="str">
        <f t="shared" si="36"/>
        <v>¬</v>
      </c>
      <c r="D265" s="19" t="s">
        <v>1532</v>
      </c>
      <c r="E265" s="15" t="s">
        <v>1548</v>
      </c>
      <c r="F265" s="7"/>
      <c r="G265" s="7"/>
      <c r="H265" s="19"/>
      <c r="I265" s="19"/>
    </row>
    <row r="266" spans="1:9">
      <c r="A266" s="1" t="s">
        <v>265</v>
      </c>
      <c r="B266" t="str">
        <f t="shared" si="36"/>
        <v>¬</v>
      </c>
      <c r="D266" s="19" t="s">
        <v>1532</v>
      </c>
      <c r="E266" s="15" t="s">
        <v>1549</v>
      </c>
      <c r="F266" s="7"/>
      <c r="G266" s="7"/>
      <c r="H266" s="19"/>
      <c r="I266" s="19"/>
    </row>
    <row r="267" spans="1:9">
      <c r="A267" s="1" t="s">
        <v>266</v>
      </c>
      <c r="B267" t="str">
        <f t="shared" si="36"/>
        <v>¬</v>
      </c>
      <c r="D267" s="19" t="s">
        <v>1532</v>
      </c>
      <c r="E267" s="15" t="s">
        <v>1550</v>
      </c>
      <c r="F267" s="7"/>
      <c r="G267" s="7"/>
      <c r="H267" s="19"/>
      <c r="I267" s="19"/>
    </row>
    <row r="268" spans="1:9">
      <c r="A268" s="1" t="s">
        <v>267</v>
      </c>
      <c r="B268" t="str">
        <f t="shared" si="36"/>
        <v>¬</v>
      </c>
      <c r="D268" s="19" t="s">
        <v>1532</v>
      </c>
      <c r="E268" s="15" t="s">
        <v>1551</v>
      </c>
      <c r="F268" s="7"/>
      <c r="G268" s="7"/>
      <c r="H268" s="19"/>
      <c r="I268" s="19"/>
    </row>
    <row r="269" spans="1:9">
      <c r="A269" s="1" t="s">
        <v>268</v>
      </c>
      <c r="B269" t="str">
        <f t="shared" si="36"/>
        <v>¬</v>
      </c>
      <c r="D269" s="19" t="s">
        <v>1532</v>
      </c>
      <c r="E269" s="15" t="s">
        <v>1552</v>
      </c>
      <c r="F269" s="7"/>
      <c r="G269" s="7"/>
      <c r="H269" s="19"/>
      <c r="I269" s="19"/>
    </row>
    <row r="270" spans="1:9">
      <c r="A270" s="1" t="s">
        <v>269</v>
      </c>
      <c r="B270" t="str">
        <f t="shared" si="36"/>
        <v>¬</v>
      </c>
      <c r="D270" s="19" t="s">
        <v>1532</v>
      </c>
      <c r="E270" s="15" t="s">
        <v>1553</v>
      </c>
      <c r="F270" s="7"/>
      <c r="G270" s="7"/>
      <c r="H270" s="19"/>
      <c r="I270" s="19"/>
    </row>
    <row r="271" spans="1:9">
      <c r="A271" s="1" t="s">
        <v>270</v>
      </c>
      <c r="B271" t="str">
        <f t="shared" si="36"/>
        <v>¬</v>
      </c>
      <c r="D271" s="19" t="s">
        <v>1532</v>
      </c>
      <c r="E271" s="15" t="s">
        <v>1554</v>
      </c>
      <c r="F271" s="7"/>
      <c r="G271" s="7"/>
      <c r="H271" s="19"/>
      <c r="I271" s="19"/>
    </row>
    <row r="272" spans="1:9">
      <c r="A272" s="1" t="s">
        <v>271</v>
      </c>
      <c r="B272" t="str">
        <f t="shared" si="36"/>
        <v>¬</v>
      </c>
      <c r="D272" s="19" t="s">
        <v>1532</v>
      </c>
      <c r="E272" s="15" t="s">
        <v>1555</v>
      </c>
      <c r="F272" s="7"/>
      <c r="G272" s="7"/>
      <c r="H272" s="19"/>
      <c r="I272" s="19"/>
    </row>
    <row r="273" spans="1:14">
      <c r="A273" s="1" t="s">
        <v>272</v>
      </c>
      <c r="B273" t="str">
        <f t="shared" si="36"/>
        <v>¬</v>
      </c>
      <c r="D273" s="19" t="s">
        <v>1532</v>
      </c>
      <c r="E273" s="15" t="s">
        <v>1556</v>
      </c>
      <c r="F273" s="7"/>
      <c r="G273" s="7"/>
      <c r="H273" s="19"/>
      <c r="I273" s="19"/>
    </row>
    <row r="274" spans="1:14">
      <c r="A274" s="1" t="s">
        <v>273</v>
      </c>
      <c r="B274" t="str">
        <f t="shared" si="36"/>
        <v>¬</v>
      </c>
      <c r="D274" s="19" t="s">
        <v>1532</v>
      </c>
      <c r="E274" s="15" t="s">
        <v>1557</v>
      </c>
      <c r="F274" s="7"/>
      <c r="G274" s="7"/>
      <c r="H274" s="19"/>
      <c r="I274" s="19"/>
    </row>
    <row r="275" spans="1:14">
      <c r="A275" s="1" t="s">
        <v>274</v>
      </c>
      <c r="B275" t="str">
        <f t="shared" si="36"/>
        <v>¬</v>
      </c>
      <c r="D275" s="19" t="s">
        <v>1532</v>
      </c>
      <c r="E275" s="15" t="s">
        <v>1558</v>
      </c>
      <c r="F275" s="7"/>
      <c r="G275" s="7"/>
      <c r="H275" s="19"/>
      <c r="I275" s="19"/>
    </row>
    <row r="276" spans="1:14">
      <c r="A276" s="1" t="s">
        <v>275</v>
      </c>
      <c r="B276" t="str">
        <f t="shared" si="36"/>
        <v>¬</v>
      </c>
      <c r="D276" s="19" t="s">
        <v>1532</v>
      </c>
      <c r="E276" s="15" t="s">
        <v>1559</v>
      </c>
      <c r="F276" s="7"/>
      <c r="G276" s="7"/>
      <c r="H276" s="19"/>
      <c r="I276" s="19"/>
    </row>
    <row r="277" spans="1:14">
      <c r="A277" s="1" t="s">
        <v>276</v>
      </c>
      <c r="B277" t="str">
        <f t="shared" si="36"/>
        <v>¬</v>
      </c>
      <c r="D277" s="19" t="s">
        <v>1532</v>
      </c>
      <c r="E277" s="15" t="s">
        <v>1560</v>
      </c>
      <c r="F277" s="7"/>
      <c r="G277" s="7"/>
      <c r="H277" s="19"/>
      <c r="I277" s="19"/>
    </row>
    <row r="278" spans="1:14">
      <c r="A278" s="1" t="s">
        <v>277</v>
      </c>
      <c r="B278" t="str">
        <f t="shared" si="36"/>
        <v>¬</v>
      </c>
    </row>
    <row r="279" spans="1:14">
      <c r="A279" s="1" t="s">
        <v>278</v>
      </c>
      <c r="B279" t="str">
        <f t="shared" si="36"/>
        <v>¬</v>
      </c>
      <c r="D279" s="16" t="s">
        <v>1561</v>
      </c>
      <c r="E279" s="16"/>
      <c r="F279" s="16" t="s">
        <v>1347</v>
      </c>
      <c r="G279" s="16" t="s">
        <v>1348</v>
      </c>
      <c r="H279" s="16" t="s">
        <v>1349</v>
      </c>
      <c r="I279" s="16" t="s">
        <v>1350</v>
      </c>
      <c r="N279" s="60">
        <f ca="1">SUM(N280:N282)</f>
        <v>3</v>
      </c>
    </row>
    <row r="280" spans="1:14">
      <c r="A280" s="1" t="s">
        <v>279</v>
      </c>
      <c r="B280" t="str">
        <f t="shared" si="36"/>
        <v>¬</v>
      </c>
      <c r="D280" s="61" t="str" cm="1">
        <f t="array" aca="1" ref="D280" ca="1">INDEX(Attendance!$C$14:$GP$44,
       MATCH($F$4, Attendance!$C$14:$C$44, 0),
       MATCH(1, (Attendance!$C$12:$GP$12=$E280) * (Attendance!$C$13:$GP$13="Paid"), 0)
)</f>
        <v>PayID</v>
      </c>
      <c r="E280" s="41">
        <v>46054</v>
      </c>
      <c r="F280" s="61" cm="1">
        <f t="array" aca="1" ref="F280" ca="1">N(INDEX(Attendance!$C$14:$GP$104,
       MATCH($F$4, Attendance!$C$14:$C$104, 0),
       MATCH(1, (Attendance!$C$12:$GP$12=$E280) * (Attendance!$C$13:$GP$13=$F$279), 0)
))</f>
        <v>3</v>
      </c>
      <c r="G280" s="61" cm="1">
        <f t="array" aca="1" ref="G280" ca="1">N(INDEX(Attendance!$C$14:$GP$104,
       MATCH($F$4, Attendance!$C$14:$C$104, 0),
       MATCH(1, (Attendance!$C$12:$GP$12=$E280) * (Attendance!$C$13:$GP$13=$G$279), 0)
))</f>
        <v>0</v>
      </c>
      <c r="H280" s="61" cm="1">
        <f t="array" aca="1" ref="H280" ca="1">N(INDEX(Attendance!$C$14:$GP$104,
       MATCH($F$4, Attendance!$C$14:$C$104, 0),
       MATCH(1, (Attendance!$C$12:$GP$12=$E280) * (Attendance!$C$13:$GP$13=$H$279), 0)
))</f>
        <v>0</v>
      </c>
      <c r="I280" s="61" t="str" cm="1">
        <f t="array" aca="1" ref="I280" ca="1">INDEX(Attendance!$C$14:$GP$44,
       MATCH($F$4, Attendance!$C$14:$C$44, 0),
       MATCH(1, (Attendance!$C$12:$GP$12=$E280) * (Attendance!$C$13:$GP$13=$I$279), 0)
)</f>
        <v>Quiet</v>
      </c>
      <c r="K280" s="18"/>
      <c r="L280" s="18"/>
      <c r="M280" s="18" t="s">
        <v>1562</v>
      </c>
      <c r="N280" s="61">
        <f ca="1">SUM(F$280:F$316)</f>
        <v>3</v>
      </c>
    </row>
    <row r="281" spans="1:14">
      <c r="A281" s="1" t="s">
        <v>280</v>
      </c>
      <c r="B281" t="str">
        <f t="shared" si="36"/>
        <v>¬</v>
      </c>
      <c r="D281" s="61" t="str" cm="1">
        <f t="array" aca="1" ref="D281" ca="1">INDEX(Attendance!$C$14:$GP$44,
       MATCH($F$4, Attendance!$C$14:$C$44, 0),
       MATCH(1, (Attendance!$C$12:$GP$12=$E281) * (Attendance!$C$13:$GP$13="Paid"), 0)
)</f>
        <v> </v>
      </c>
      <c r="E281" s="42">
        <f t="shared" ref="E281:E316" si="37">EDATE(E280, 1)</f>
        <v>46082</v>
      </c>
      <c r="F281" s="61" cm="1">
        <f t="array" aca="1" ref="F281" ca="1">N(INDEX(Attendance!$C$14:$GP$104,
       MATCH($F$4, Attendance!$C$14:$C$104, 0),
       MATCH(1, (Attendance!$C$12:$GP$12=$E281) * (Attendance!$C$13:$GP$13=$F$279), 0)
))</f>
        <v>0</v>
      </c>
      <c r="G281" s="61" cm="1">
        <f t="array" aca="1" ref="G281" ca="1">N(INDEX(Attendance!$C$14:$GP$104,
       MATCH($F$4, Attendance!$C$14:$C$104, 0),
       MATCH(1, (Attendance!$C$12:$GP$12=$E281) * (Attendance!$C$13:$GP$13=$G$279), 0)
))</f>
        <v>0</v>
      </c>
      <c r="H281" s="61" cm="1">
        <f t="array" aca="1" ref="H281" ca="1">N(INDEX(Attendance!$C$14:$GP$104,
       MATCH($F$4, Attendance!$C$14:$C$104, 0),
       MATCH(1, (Attendance!$C$12:$GP$12=$E281) * (Attendance!$C$13:$GP$13=$H$279), 0)
))</f>
        <v>0</v>
      </c>
      <c r="I281" s="61" cm="1">
        <f t="array" aca="1" ref="I281" ca="1">INDEX(Attendance!$C$14:$GP$44,
       MATCH($F$4, Attendance!$C$14:$C$44, 0),
       MATCH(1, (Attendance!$C$12:$GP$12=$E281) * (Attendance!$C$13:$GP$13=$I$279), 0)
)</f>
        <v>0</v>
      </c>
      <c r="K281" s="18"/>
      <c r="L281" s="18"/>
      <c r="M281" s="18" t="s">
        <v>1563</v>
      </c>
      <c r="N281" s="61">
        <f ca="1">SUM(G$280:G$316)</f>
        <v>0</v>
      </c>
    </row>
    <row r="282" spans="1:14">
      <c r="A282" s="1" t="s">
        <v>281</v>
      </c>
      <c r="B282" t="str">
        <f t="shared" si="36"/>
        <v>¬</v>
      </c>
      <c r="D282" s="61" t="str" cm="1">
        <f t="array" aca="1" ref="D282" ca="1">INDEX(Attendance!$C$14:$GP$44,
       MATCH($F$4, Attendance!$C$14:$C$44, 0),
       MATCH(1, (Attendance!$C$12:$GP$12=$E282) * (Attendance!$C$13:$GP$13="Paid"), 0)
)</f>
        <v> </v>
      </c>
      <c r="E282" s="42">
        <f t="shared" si="37"/>
        <v>46113</v>
      </c>
      <c r="F282" s="61" cm="1">
        <f t="array" aca="1" ref="F282" ca="1">N(INDEX(Attendance!$C$14:$GP$104,
       MATCH($F$4, Attendance!$C$14:$C$104, 0),
       MATCH(1, (Attendance!$C$12:$GP$12=$E282) * (Attendance!$C$13:$GP$13=$F$279), 0)
))</f>
        <v>0</v>
      </c>
      <c r="G282" s="61" cm="1">
        <f t="array" aca="1" ref="G282" ca="1">N(INDEX(Attendance!$C$14:$GP$104,
       MATCH($F$4, Attendance!$C$14:$C$104, 0),
       MATCH(1, (Attendance!$C$12:$GP$12=$E282) * (Attendance!$C$13:$GP$13=$G$279), 0)
))</f>
        <v>0</v>
      </c>
      <c r="H282" s="61" cm="1">
        <f t="array" aca="1" ref="H282" ca="1">N(INDEX(Attendance!$C$14:$GP$104,
       MATCH($F$4, Attendance!$C$14:$C$104, 0),
       MATCH(1, (Attendance!$C$12:$GP$12=$E282) * (Attendance!$C$13:$GP$13=$H$279), 0)
))</f>
        <v>0</v>
      </c>
      <c r="I282" s="61" cm="1">
        <f t="array" aca="1" ref="I282" ca="1">INDEX(Attendance!$C$14:$GP$44,
       MATCH($F$4, Attendance!$C$14:$C$44, 0),
       MATCH(1, (Attendance!$C$12:$GP$12=$E282) * (Attendance!$C$13:$GP$13=$I$279), 0)
)</f>
        <v>0</v>
      </c>
      <c r="K282" s="18"/>
      <c r="L282" s="18"/>
      <c r="M282" s="18" t="s">
        <v>1564</v>
      </c>
      <c r="N282" s="61">
        <f ca="1">SUM(H$280:H$316)</f>
        <v>0</v>
      </c>
    </row>
    <row r="283" spans="1:14">
      <c r="A283" s="1" t="s">
        <v>282</v>
      </c>
      <c r="B283" t="str">
        <f t="shared" si="36"/>
        <v>¬</v>
      </c>
      <c r="D283" s="61" t="str" cm="1">
        <f t="array" aca="1" ref="D283" ca="1">INDEX(Attendance!$C$14:$GP$44,
       MATCH($F$4, Attendance!$C$14:$C$44, 0),
       MATCH(1, (Attendance!$C$12:$GP$12=$E283) * (Attendance!$C$13:$GP$13="Paid"), 0)
)</f>
        <v> </v>
      </c>
      <c r="E283" s="42">
        <f t="shared" si="37"/>
        <v>46143</v>
      </c>
      <c r="F283" s="61" cm="1">
        <f t="array" aca="1" ref="F283" ca="1">N(INDEX(Attendance!$C$14:$GP$104,
       MATCH($F$4, Attendance!$C$14:$C$104, 0),
       MATCH(1, (Attendance!$C$12:$GP$12=$E283) * (Attendance!$C$13:$GP$13=$F$279), 0)
))</f>
        <v>0</v>
      </c>
      <c r="G283" s="61" cm="1">
        <f t="array" aca="1" ref="G283" ca="1">N(INDEX(Attendance!$C$14:$GP$104,
       MATCH($F$4, Attendance!$C$14:$C$104, 0),
       MATCH(1, (Attendance!$C$12:$GP$12=$E283) * (Attendance!$C$13:$GP$13=$G$279), 0)
))</f>
        <v>0</v>
      </c>
      <c r="H283" s="61" cm="1">
        <f t="array" aca="1" ref="H283" ca="1">N(INDEX(Attendance!$C$14:$GP$104,
       MATCH($F$4, Attendance!$C$14:$C$104, 0),
       MATCH(1, (Attendance!$C$12:$GP$12=$E283) * (Attendance!$C$13:$GP$13=$H$279), 0)
))</f>
        <v>0</v>
      </c>
      <c r="I283" s="61" cm="1">
        <f t="array" aca="1" ref="I283" ca="1">INDEX(Attendance!$C$14:$GP$44,
       MATCH($F$4, Attendance!$C$14:$C$44, 0),
       MATCH(1, (Attendance!$C$12:$GP$12=$E283) * (Attendance!$C$13:$GP$13=$I$279), 0)
)</f>
        <v>0</v>
      </c>
    </row>
    <row r="284" spans="1:14">
      <c r="A284" s="1" t="s">
        <v>283</v>
      </c>
      <c r="B284" t="str">
        <f t="shared" ref="B284:B313" si="38">IF(AE44="","¬",AE44)</f>
        <v>Cost: Free (1 V for Insight)  •  Pool: - - Composure &amp; Closed Book  •  Instant  •  Scene</v>
      </c>
      <c r="D284" s="61" t="str" cm="1">
        <f t="array" aca="1" ref="D284" ca="1">INDEX(Attendance!$C$14:$GP$44,
       MATCH($F$4, Attendance!$C$14:$C$44, 0),
       MATCH(1, (Attendance!$C$12:$GP$12=$E284) * (Attendance!$C$13:$GP$13="Paid"), 0)
)</f>
        <v> </v>
      </c>
      <c r="E284" s="42">
        <f t="shared" si="37"/>
        <v>46174</v>
      </c>
      <c r="F284" s="61" cm="1">
        <f t="array" aca="1" ref="F284" ca="1">N(INDEX(Attendance!$C$14:$GP$104,
       MATCH($F$4, Attendance!$C$14:$C$104, 0),
       MATCH(1, (Attendance!$C$12:$GP$12=$E284) * (Attendance!$C$13:$GP$13=$F$279), 0)
))</f>
        <v>0</v>
      </c>
      <c r="G284" s="61" cm="1">
        <f t="array" aca="1" ref="G284" ca="1">N(INDEX(Attendance!$C$14:$GP$104,
       MATCH($F$4, Attendance!$C$14:$C$104, 0),
       MATCH(1, (Attendance!$C$12:$GP$12=$E284) * (Attendance!$C$13:$GP$13=$G$279), 0)
))</f>
        <v>0</v>
      </c>
      <c r="H284" s="61" cm="1">
        <f t="array" aca="1" ref="H284" ca="1">N(INDEX(Attendance!$C$14:$GP$104,
       MATCH($F$4, Attendance!$C$14:$C$104, 0),
       MATCH(1, (Attendance!$C$12:$GP$12=$E284) * (Attendance!$C$13:$GP$13=$H$279), 0)
))</f>
        <v>0</v>
      </c>
      <c r="I284" s="61" cm="1">
        <f t="array" aca="1" ref="I284" ca="1">INDEX(Attendance!$C$14:$GP$44,
       MATCH($F$4, Attendance!$C$14:$C$44, 0),
       MATCH(1, (Attendance!$C$12:$GP$12=$E284) * (Attendance!$C$13:$GP$13=$I$279), 0)
)</f>
        <v>0</v>
      </c>
    </row>
    <row r="285" spans="1:14">
      <c r="A285" s="1" t="s">
        <v>284</v>
      </c>
      <c r="B285" t="str">
        <f t="shared" si="38"/>
        <v>Cost: Free (1 V for Insight) Must perceive target  •  Pool: -  •  Instant  •  Scene</v>
      </c>
      <c r="D285" s="61" t="str" cm="1">
        <f t="array" aca="1" ref="D285" ca="1">INDEX(Attendance!$C$14:$GP$44,
       MATCH($F$4, Attendance!$C$14:$C$44, 0),
       MATCH(1, (Attendance!$C$12:$GP$12=$E285) * (Attendance!$C$13:$GP$13="Paid"), 0)
)</f>
        <v> </v>
      </c>
      <c r="E285" s="42">
        <f t="shared" si="37"/>
        <v>46204</v>
      </c>
      <c r="F285" s="61" cm="1">
        <f t="array" aca="1" ref="F285" ca="1">N(INDEX(Attendance!$C$14:$GP$104,
       MATCH($F$4, Attendance!$C$14:$C$104, 0),
       MATCH(1, (Attendance!$C$12:$GP$12=$E285) * (Attendance!$C$13:$GP$13=$F$279), 0)
))</f>
        <v>0</v>
      </c>
      <c r="G285" s="61" cm="1">
        <f t="array" aca="1" ref="G285" ca="1">N(INDEX(Attendance!$C$14:$GP$104,
       MATCH($F$4, Attendance!$C$14:$C$104, 0),
       MATCH(1, (Attendance!$C$12:$GP$12=$E285) * (Attendance!$C$13:$GP$13=$G$279), 0)
))</f>
        <v>0</v>
      </c>
      <c r="H285" s="61" cm="1">
        <f t="array" aca="1" ref="H285" ca="1">N(INDEX(Attendance!$C$14:$GP$104,
       MATCH($F$4, Attendance!$C$14:$C$104, 0),
       MATCH(1, (Attendance!$C$12:$GP$12=$E285) * (Attendance!$C$13:$GP$13=$H$279), 0)
))</f>
        <v>0</v>
      </c>
      <c r="I285" s="61" cm="1">
        <f t="array" aca="1" ref="I285" ca="1">INDEX(Attendance!$C$14:$GP$44,
       MATCH($F$4, Attendance!$C$14:$C$44, 0),
       MATCH(1, (Attendance!$C$12:$GP$12=$E285) * (Attendance!$C$13:$GP$13=$I$279), 0)
)</f>
        <v>0</v>
      </c>
    </row>
    <row r="286" spans="1:14">
      <c r="A286" s="1" t="s">
        <v>285</v>
      </c>
      <c r="B286" t="str">
        <f t="shared" si="38"/>
        <v>Cost: -  •  Pool: -  •  Instant  •  Scene</v>
      </c>
      <c r="D286" s="61" t="str" cm="1">
        <f t="array" aca="1" ref="D286" ca="1">INDEX(Attendance!$C$14:$GP$44,
       MATCH($F$4, Attendance!$C$14:$C$44, 0),
       MATCH(1, (Attendance!$C$12:$GP$12=$E286) * (Attendance!$C$13:$GP$13="Paid"), 0)
)</f>
        <v> </v>
      </c>
      <c r="E286" s="42">
        <f t="shared" si="37"/>
        <v>46235</v>
      </c>
      <c r="F286" s="61" cm="1">
        <f t="array" aca="1" ref="F286" ca="1">N(INDEX(Attendance!$C$14:$GP$104,
       MATCH($F$4, Attendance!$C$14:$C$104, 0),
       MATCH(1, (Attendance!$C$12:$GP$12=$E286) * (Attendance!$C$13:$GP$13=$F$279), 0)
))</f>
        <v>0</v>
      </c>
      <c r="G286" s="61" cm="1">
        <f t="array" aca="1" ref="G286" ca="1">N(INDEX(Attendance!$C$14:$GP$104,
       MATCH($F$4, Attendance!$C$14:$C$104, 0),
       MATCH(1, (Attendance!$C$12:$GP$12=$E286) * (Attendance!$C$13:$GP$13=$G$279), 0)
))</f>
        <v>0</v>
      </c>
      <c r="H286" s="61" cm="1">
        <f t="array" aca="1" ref="H286" ca="1">N(INDEX(Attendance!$C$14:$GP$104,
       MATCH($F$4, Attendance!$C$14:$C$104, 0),
       MATCH(1, (Attendance!$C$12:$GP$12=$E286) * (Attendance!$C$13:$GP$13=$H$279), 0)
))</f>
        <v>0</v>
      </c>
      <c r="I286" s="61" cm="1">
        <f t="array" aca="1" ref="I286" ca="1">INDEX(Attendance!$C$14:$GP$44,
       MATCH($F$4, Attendance!$C$14:$C$44, 0),
       MATCH(1, (Attendance!$C$12:$GP$12=$E286) * (Attendance!$C$13:$GP$13=$I$279), 0)
)</f>
        <v>0</v>
      </c>
    </row>
    <row r="287" spans="1:14">
      <c r="A287" s="1" t="s">
        <v>286</v>
      </c>
      <c r="B287" t="str">
        <f t="shared" si="38"/>
        <v>Cost: 1 V  •  Pool: 7  •  Instant  •  Scene</v>
      </c>
      <c r="D287" s="61" t="str" cm="1">
        <f t="array" aca="1" ref="D287" ca="1">INDEX(Attendance!$C$14:$GP$44,
       MATCH($F$4, Attendance!$C$14:$C$44, 0),
       MATCH(1, (Attendance!$C$12:$GP$12=$E287) * (Attendance!$C$13:$GP$13="Paid"), 0)
)</f>
        <v> </v>
      </c>
      <c r="E287" s="42">
        <f t="shared" si="37"/>
        <v>46266</v>
      </c>
      <c r="F287" s="61" cm="1">
        <f t="array" aca="1" ref="F287" ca="1">N(INDEX(Attendance!$C$14:$GP$104,
       MATCH($F$4, Attendance!$C$14:$C$104, 0),
       MATCH(1, (Attendance!$C$12:$GP$12=$E287) * (Attendance!$C$13:$GP$13=$F$279), 0)
))</f>
        <v>0</v>
      </c>
      <c r="G287" s="61" cm="1">
        <f t="array" aca="1" ref="G287" ca="1">N(INDEX(Attendance!$C$14:$GP$104,
       MATCH($F$4, Attendance!$C$14:$C$104, 0),
       MATCH(1, (Attendance!$C$12:$GP$12=$E287) * (Attendance!$C$13:$GP$13=$G$279), 0)
))</f>
        <v>0</v>
      </c>
      <c r="H287" s="61" cm="1">
        <f t="array" aca="1" ref="H287" ca="1">N(INDEX(Attendance!$C$14:$GP$104,
       MATCH($F$4, Attendance!$C$14:$C$104, 0),
       MATCH(1, (Attendance!$C$12:$GP$12=$E287) * (Attendance!$C$13:$GP$13=$H$279), 0)
))</f>
        <v>0</v>
      </c>
      <c r="I287" s="61" cm="1">
        <f t="array" aca="1" ref="I287" ca="1">INDEX(Attendance!$C$14:$GP$44,
       MATCH($F$4, Attendance!$C$14:$C$44, 0),
       MATCH(1, (Attendance!$C$12:$GP$12=$E287) * (Attendance!$C$13:$GP$13=$I$279), 0)
)</f>
        <v>0</v>
      </c>
    </row>
    <row r="288" spans="1:14">
      <c r="A288" s="1" t="s">
        <v>287</v>
      </c>
      <c r="B288" t="str">
        <f t="shared" si="38"/>
        <v>Cost: 1 V  •  Pool: -  •  None</v>
      </c>
      <c r="D288" s="61" t="str" cm="1">
        <f t="array" aca="1" ref="D288" ca="1">INDEX(Attendance!$C$14:$GP$44,
       MATCH($F$4, Attendance!$C$14:$C$44, 0),
       MATCH(1, (Attendance!$C$12:$GP$12=$E288) * (Attendance!$C$13:$GP$13="Paid"), 0)
)</f>
        <v> </v>
      </c>
      <c r="E288" s="42">
        <f t="shared" si="37"/>
        <v>46296</v>
      </c>
      <c r="F288" s="61" cm="1">
        <f t="array" aca="1" ref="F288" ca="1">N(INDEX(Attendance!$C$14:$GP$104,
       MATCH($F$4, Attendance!$C$14:$C$104, 0),
       MATCH(1, (Attendance!$C$12:$GP$12=$E288) * (Attendance!$C$13:$GP$13=$F$279), 0)
))</f>
        <v>0</v>
      </c>
      <c r="G288" s="61" cm="1">
        <f t="array" aca="1" ref="G288" ca="1">N(INDEX(Attendance!$C$14:$GP$104,
       MATCH($F$4, Attendance!$C$14:$C$104, 0),
       MATCH(1, (Attendance!$C$12:$GP$12=$E288) * (Attendance!$C$13:$GP$13=$G$279), 0)
))</f>
        <v>0</v>
      </c>
      <c r="H288" s="61" cm="1">
        <f t="array" aca="1" ref="H288" ca="1">N(INDEX(Attendance!$C$14:$GP$104,
       MATCH($F$4, Attendance!$C$14:$C$104, 0),
       MATCH(1, (Attendance!$C$12:$GP$12=$E288) * (Attendance!$C$13:$GP$13=$H$279), 0)
))</f>
        <v>0</v>
      </c>
      <c r="I288" s="61" cm="1">
        <f t="array" aca="1" ref="I288" ca="1">INDEX(Attendance!$C$14:$GP$44,
       MATCH($F$4, Attendance!$C$14:$C$44, 0),
       MATCH(1, (Attendance!$C$12:$GP$12=$E288) * (Attendance!$C$13:$GP$13=$I$279), 0)
)</f>
        <v>0</v>
      </c>
    </row>
    <row r="289" spans="1:9">
      <c r="A289" s="1" t="s">
        <v>288</v>
      </c>
      <c r="B289" t="str">
        <f t="shared" si="38"/>
        <v>Cost: 2 V  •  Pool: -  •  None</v>
      </c>
      <c r="D289" s="61" t="str" cm="1">
        <f t="array" aca="1" ref="D289" ca="1">INDEX(Attendance!$C$14:$GP$44,
       MATCH($F$4, Attendance!$C$14:$C$44, 0),
       MATCH(1, (Attendance!$C$12:$GP$12=$E289) * (Attendance!$C$13:$GP$13="Paid"), 0)
)</f>
        <v> </v>
      </c>
      <c r="E289" s="42">
        <f t="shared" si="37"/>
        <v>46327</v>
      </c>
      <c r="F289" s="61" cm="1">
        <f t="array" aca="1" ref="F289" ca="1">N(INDEX(Attendance!$C$14:$GP$104,
       MATCH($F$4, Attendance!$C$14:$C$104, 0),
       MATCH(1, (Attendance!$C$12:$GP$12=$E289) * (Attendance!$C$13:$GP$13=$F$279), 0)
))</f>
        <v>0</v>
      </c>
      <c r="G289" s="61" cm="1">
        <f t="array" aca="1" ref="G289" ca="1">N(INDEX(Attendance!$C$14:$GP$104,
       MATCH($F$4, Attendance!$C$14:$C$104, 0),
       MATCH(1, (Attendance!$C$12:$GP$12=$E289) * (Attendance!$C$13:$GP$13=$G$279), 0)
))</f>
        <v>0</v>
      </c>
      <c r="H289" s="61" cm="1">
        <f t="array" aca="1" ref="H289" ca="1">N(INDEX(Attendance!$C$14:$GP$104,
       MATCH($F$4, Attendance!$C$14:$C$104, 0),
       MATCH(1, (Attendance!$C$12:$GP$12=$E289) * (Attendance!$C$13:$GP$13=$H$279), 0)
))</f>
        <v>0</v>
      </c>
      <c r="I289" s="61" cm="1">
        <f t="array" aca="1" ref="I289" ca="1">INDEX(Attendance!$C$14:$GP$44,
       MATCH($F$4, Attendance!$C$14:$C$44, 0),
       MATCH(1, (Attendance!$C$12:$GP$12=$E289) * (Attendance!$C$13:$GP$13=$I$279), 0)
)</f>
        <v>0</v>
      </c>
    </row>
    <row r="290" spans="1:9">
      <c r="A290" s="1" t="s">
        <v>289</v>
      </c>
      <c r="B290" t="str">
        <f t="shared" si="38"/>
        <v>Cost: Free (Haven) / 3-9 V &amp; 1 WP  •  Pool: -  •  Instant  •  1 week per BP</v>
      </c>
      <c r="D290" s="61" t="str" cm="1">
        <f t="array" aca="1" ref="D290" ca="1">INDEX(Attendance!$C$14:$GP$44,
       MATCH($F$4, Attendance!$C$14:$C$44, 0),
       MATCH(1, (Attendance!$C$12:$GP$12=$E290) * (Attendance!$C$13:$GP$13="Paid"), 0)
)</f>
        <v> </v>
      </c>
      <c r="E290" s="42">
        <f t="shared" si="37"/>
        <v>46357</v>
      </c>
      <c r="F290" s="61" cm="1">
        <f t="array" aca="1" ref="F290" ca="1">N(INDEX(Attendance!$C$14:$GP$104,
       MATCH($F$4, Attendance!$C$14:$C$104, 0),
       MATCH(1, (Attendance!$C$12:$GP$12=$E290) * (Attendance!$C$13:$GP$13=$F$279), 0)
))</f>
        <v>0</v>
      </c>
      <c r="G290" s="61" cm="1">
        <f t="array" aca="1" ref="G290" ca="1">N(INDEX(Attendance!$C$14:$GP$104,
       MATCH($F$4, Attendance!$C$14:$C$104, 0),
       MATCH(1, (Attendance!$C$12:$GP$12=$E290) * (Attendance!$C$13:$GP$13=$G$279), 0)
))</f>
        <v>0</v>
      </c>
      <c r="H290" s="61" cm="1">
        <f t="array" aca="1" ref="H290" ca="1">N(INDEX(Attendance!$C$14:$GP$104,
       MATCH($F$4, Attendance!$C$14:$C$104, 0),
       MATCH(1, (Attendance!$C$12:$GP$12=$E290) * (Attendance!$C$13:$GP$13=$H$279), 0)
))</f>
        <v>0</v>
      </c>
      <c r="I290" s="61" cm="1">
        <f t="array" aca="1" ref="I290" ca="1">INDEX(Attendance!$C$14:$GP$44,
       MATCH($F$4, Attendance!$C$14:$C$44, 0),
       MATCH(1, (Attendance!$C$12:$GP$12=$E290) * (Attendance!$C$13:$GP$13=$I$279), 0)
)</f>
        <v>0</v>
      </c>
    </row>
    <row r="291" spans="1:9">
      <c r="A291" s="1" t="s">
        <v>290</v>
      </c>
      <c r="B291" t="str">
        <f t="shared" si="38"/>
        <v>¬</v>
      </c>
      <c r="D291" s="61" t="str" cm="1">
        <f t="array" aca="1" ref="D291" ca="1">INDEX(Attendance!$C$14:$GP$44,
       MATCH($F$4, Attendance!$C$14:$C$44, 0),
       MATCH(1, (Attendance!$C$12:$GP$12=$E291) * (Attendance!$C$13:$GP$13="Paid"), 0)
)</f>
        <v> </v>
      </c>
      <c r="E291" s="42">
        <f t="shared" si="37"/>
        <v>46388</v>
      </c>
      <c r="F291" s="61" cm="1">
        <f t="array" aca="1" ref="F291" ca="1">N(INDEX(Attendance!$C$14:$GP$104,
       MATCH($F$4, Attendance!$C$14:$C$104, 0),
       MATCH(1, (Attendance!$C$12:$GP$12=$E291) * (Attendance!$C$13:$GP$13=$F$279), 0)
))</f>
        <v>0</v>
      </c>
      <c r="G291" s="61" cm="1">
        <f t="array" aca="1" ref="G291" ca="1">N(INDEX(Attendance!$C$14:$GP$104,
       MATCH($F$4, Attendance!$C$14:$C$104, 0),
       MATCH(1, (Attendance!$C$12:$GP$12=$E291) * (Attendance!$C$13:$GP$13=$G$279), 0)
))</f>
        <v>0</v>
      </c>
      <c r="H291" s="61" cm="1">
        <f t="array" aca="1" ref="H291" ca="1">N(INDEX(Attendance!$C$14:$GP$104,
       MATCH($F$4, Attendance!$C$14:$C$104, 0),
       MATCH(1, (Attendance!$C$12:$GP$12=$E291) * (Attendance!$C$13:$GP$13=$H$279), 0)
))</f>
        <v>0</v>
      </c>
      <c r="I291" s="61" cm="1">
        <f t="array" aca="1" ref="I291" ca="1">INDEX(Attendance!$C$14:$GP$44,
       MATCH($F$4, Attendance!$C$14:$C$44, 0),
       MATCH(1, (Attendance!$C$12:$GP$12=$E291) * (Attendance!$C$13:$GP$13=$I$279), 0)
)</f>
        <v>0</v>
      </c>
    </row>
    <row r="292" spans="1:9">
      <c r="A292" s="1" t="s">
        <v>291</v>
      </c>
      <c r="B292" t="str">
        <f t="shared" si="38"/>
        <v>¬</v>
      </c>
      <c r="D292" s="61" t="str" cm="1">
        <f t="array" aca="1" ref="D292" ca="1">INDEX(Attendance!$C$14:$GP$44,
       MATCH($F$4, Attendance!$C$14:$C$44, 0),
       MATCH(1, (Attendance!$C$12:$GP$12=$E292) * (Attendance!$C$13:$GP$13="Paid"), 0)
)</f>
        <v> </v>
      </c>
      <c r="E292" s="42">
        <f t="shared" si="37"/>
        <v>46419</v>
      </c>
      <c r="F292" s="61" cm="1">
        <f t="array" aca="1" ref="F292" ca="1">N(INDEX(Attendance!$C$14:$GP$104,
       MATCH($F$4, Attendance!$C$14:$C$104, 0),
       MATCH(1, (Attendance!$C$12:$GP$12=$E292) * (Attendance!$C$13:$GP$13=$F$279), 0)
))</f>
        <v>0</v>
      </c>
      <c r="G292" s="61" cm="1">
        <f t="array" aca="1" ref="G292" ca="1">N(INDEX(Attendance!$C$14:$GP$104,
       MATCH($F$4, Attendance!$C$14:$C$104, 0),
       MATCH(1, (Attendance!$C$12:$GP$12=$E292) * (Attendance!$C$13:$GP$13=$G$279), 0)
))</f>
        <v>0</v>
      </c>
      <c r="H292" s="61" cm="1">
        <f t="array" aca="1" ref="H292" ca="1">N(INDEX(Attendance!$C$14:$GP$104,
       MATCH($F$4, Attendance!$C$14:$C$104, 0),
       MATCH(1, (Attendance!$C$12:$GP$12=$E292) * (Attendance!$C$13:$GP$13=$H$279), 0)
))</f>
        <v>0</v>
      </c>
      <c r="I292" s="61" cm="1">
        <f t="array" aca="1" ref="I292" ca="1">INDEX(Attendance!$C$14:$GP$44,
       MATCH($F$4, Attendance!$C$14:$C$44, 0),
       MATCH(1, (Attendance!$C$12:$GP$12=$E292) * (Attendance!$C$13:$GP$13=$I$279), 0)
)</f>
        <v>0</v>
      </c>
    </row>
    <row r="293" spans="1:9">
      <c r="A293" s="1" t="s">
        <v>292</v>
      </c>
      <c r="B293" t="str">
        <f t="shared" si="38"/>
        <v>¬</v>
      </c>
      <c r="D293" s="61" t="str" cm="1">
        <f t="array" aca="1" ref="D293" ca="1">INDEX(Attendance!$C$14:$GP$44,
       MATCH($F$4, Attendance!$C$14:$C$44, 0),
       MATCH(1, (Attendance!$C$12:$GP$12=$E293) * (Attendance!$C$13:$GP$13="Paid"), 0)
)</f>
        <v> </v>
      </c>
      <c r="E293" s="42">
        <f t="shared" si="37"/>
        <v>46447</v>
      </c>
      <c r="F293" s="61" cm="1">
        <f t="array" aca="1" ref="F293" ca="1">N(INDEX(Attendance!$C$14:$GP$104,
       MATCH($F$4, Attendance!$C$14:$C$104, 0),
       MATCH(1, (Attendance!$C$12:$GP$12=$E293) * (Attendance!$C$13:$GP$13=$F$279), 0)
))</f>
        <v>0</v>
      </c>
      <c r="G293" s="61" cm="1">
        <f t="array" aca="1" ref="G293" ca="1">N(INDEX(Attendance!$C$14:$GP$104,
       MATCH($F$4, Attendance!$C$14:$C$104, 0),
       MATCH(1, (Attendance!$C$12:$GP$12=$E293) * (Attendance!$C$13:$GP$13=$G$279), 0)
))</f>
        <v>0</v>
      </c>
      <c r="H293" s="61" cm="1">
        <f t="array" aca="1" ref="H293" ca="1">N(INDEX(Attendance!$C$14:$GP$104,
       MATCH($F$4, Attendance!$C$14:$C$104, 0),
       MATCH(1, (Attendance!$C$12:$GP$12=$E293) * (Attendance!$C$13:$GP$13=$H$279), 0)
))</f>
        <v>0</v>
      </c>
      <c r="I293" s="61" cm="1">
        <f t="array" aca="1" ref="I293" ca="1">INDEX(Attendance!$C$14:$GP$44,
       MATCH($F$4, Attendance!$C$14:$C$44, 0),
       MATCH(1, (Attendance!$C$12:$GP$12=$E293) * (Attendance!$C$13:$GP$13=$I$279), 0)
)</f>
        <v>0</v>
      </c>
    </row>
    <row r="294" spans="1:9">
      <c r="A294" s="1" t="s">
        <v>293</v>
      </c>
      <c r="B294" t="str">
        <f t="shared" si="38"/>
        <v>¬</v>
      </c>
      <c r="D294" s="61" t="str" cm="1">
        <f t="array" aca="1" ref="D294" ca="1">INDEX(Attendance!$C$14:$GP$44,
       MATCH($F$4, Attendance!$C$14:$C$44, 0),
       MATCH(1, (Attendance!$C$12:$GP$12=$E294) * (Attendance!$C$13:$GP$13="Paid"), 0)
)</f>
        <v> </v>
      </c>
      <c r="E294" s="42">
        <f t="shared" si="37"/>
        <v>46478</v>
      </c>
      <c r="F294" s="61" cm="1">
        <f t="array" aca="1" ref="F294" ca="1">N(INDEX(Attendance!$C$14:$GP$104,
       MATCH($F$4, Attendance!$C$14:$C$104, 0),
       MATCH(1, (Attendance!$C$12:$GP$12=$E294) * (Attendance!$C$13:$GP$13=$F$279), 0)
))</f>
        <v>0</v>
      </c>
      <c r="G294" s="61" cm="1">
        <f t="array" aca="1" ref="G294" ca="1">N(INDEX(Attendance!$C$14:$GP$104,
       MATCH($F$4, Attendance!$C$14:$C$104, 0),
       MATCH(1, (Attendance!$C$12:$GP$12=$E294) * (Attendance!$C$13:$GP$13=$G$279), 0)
))</f>
        <v>0</v>
      </c>
      <c r="H294" s="61" cm="1">
        <f t="array" aca="1" ref="H294" ca="1">N(INDEX(Attendance!$C$14:$GP$104,
       MATCH($F$4, Attendance!$C$14:$C$104, 0),
       MATCH(1, (Attendance!$C$12:$GP$12=$E294) * (Attendance!$C$13:$GP$13=$H$279), 0)
))</f>
        <v>0</v>
      </c>
      <c r="I294" s="61" cm="1">
        <f t="array" aca="1" ref="I294" ca="1">INDEX(Attendance!$C$14:$GP$44,
       MATCH($F$4, Attendance!$C$14:$C$44, 0),
       MATCH(1, (Attendance!$C$12:$GP$12=$E294) * (Attendance!$C$13:$GP$13=$I$279), 0)
)</f>
        <v>0</v>
      </c>
    </row>
    <row r="295" spans="1:9">
      <c r="A295" s="1" t="s">
        <v>294</v>
      </c>
      <c r="B295" t="str">
        <f t="shared" si="38"/>
        <v>¬</v>
      </c>
      <c r="D295" s="61" t="str" cm="1">
        <f t="array" aca="1" ref="D295" ca="1">INDEX(Attendance!$C$14:$GP$44,
       MATCH($F$4, Attendance!$C$14:$C$44, 0),
       MATCH(1, (Attendance!$C$12:$GP$12=$E295) * (Attendance!$C$13:$GP$13="Paid"), 0)
)</f>
        <v> </v>
      </c>
      <c r="E295" s="42">
        <f t="shared" si="37"/>
        <v>46508</v>
      </c>
      <c r="F295" s="61" cm="1">
        <f t="array" aca="1" ref="F295" ca="1">N(INDEX(Attendance!$C$14:$GP$104,
       MATCH($F$4, Attendance!$C$14:$C$104, 0),
       MATCH(1, (Attendance!$C$12:$GP$12=$E295) * (Attendance!$C$13:$GP$13=$F$279), 0)
))</f>
        <v>0</v>
      </c>
      <c r="G295" s="61" cm="1">
        <f t="array" aca="1" ref="G295" ca="1">N(INDEX(Attendance!$C$14:$GP$104,
       MATCH($F$4, Attendance!$C$14:$C$104, 0),
       MATCH(1, (Attendance!$C$12:$GP$12=$E295) * (Attendance!$C$13:$GP$13=$G$279), 0)
))</f>
        <v>0</v>
      </c>
      <c r="H295" s="61" cm="1">
        <f t="array" aca="1" ref="H295" ca="1">N(INDEX(Attendance!$C$14:$GP$104,
       MATCH($F$4, Attendance!$C$14:$C$104, 0),
       MATCH(1, (Attendance!$C$12:$GP$12=$E295) * (Attendance!$C$13:$GP$13=$H$279), 0)
))</f>
        <v>0</v>
      </c>
      <c r="I295" s="61" cm="1">
        <f t="array" aca="1" ref="I295" ca="1">INDEX(Attendance!$C$14:$GP$44,
       MATCH($F$4, Attendance!$C$14:$C$44, 0),
       MATCH(1, (Attendance!$C$12:$GP$12=$E295) * (Attendance!$C$13:$GP$13=$I$279), 0)
)</f>
        <v>0</v>
      </c>
    </row>
    <row r="296" spans="1:9">
      <c r="A296" s="1" t="s">
        <v>295</v>
      </c>
      <c r="B296" t="str">
        <f t="shared" si="38"/>
        <v>¬</v>
      </c>
      <c r="D296" s="61" t="str" cm="1">
        <f t="array" aca="1" ref="D296" ca="1">INDEX(Attendance!$C$14:$GP$44,
       MATCH($F$4, Attendance!$C$14:$C$44, 0),
       MATCH(1, (Attendance!$C$12:$GP$12=$E296) * (Attendance!$C$13:$GP$13="Paid"), 0)
)</f>
        <v> </v>
      </c>
      <c r="E296" s="42">
        <f t="shared" si="37"/>
        <v>46539</v>
      </c>
      <c r="F296" s="61" cm="1">
        <f t="array" aca="1" ref="F296" ca="1">N(INDEX(Attendance!$C$14:$GP$104,
       MATCH($F$4, Attendance!$C$14:$C$104, 0),
       MATCH(1, (Attendance!$C$12:$GP$12=$E296) * (Attendance!$C$13:$GP$13=$F$279), 0)
))</f>
        <v>0</v>
      </c>
      <c r="G296" s="61" cm="1">
        <f t="array" aca="1" ref="G296" ca="1">N(INDEX(Attendance!$C$14:$GP$104,
       MATCH($F$4, Attendance!$C$14:$C$104, 0),
       MATCH(1, (Attendance!$C$12:$GP$12=$E296) * (Attendance!$C$13:$GP$13=$G$279), 0)
))</f>
        <v>0</v>
      </c>
      <c r="H296" s="61" cm="1">
        <f t="array" aca="1" ref="H296" ca="1">N(INDEX(Attendance!$C$14:$GP$104,
       MATCH($F$4, Attendance!$C$14:$C$104, 0),
       MATCH(1, (Attendance!$C$12:$GP$12=$E296) * (Attendance!$C$13:$GP$13=$H$279), 0)
))</f>
        <v>0</v>
      </c>
      <c r="I296" s="61" cm="1">
        <f t="array" aca="1" ref="I296" ca="1">INDEX(Attendance!$C$14:$GP$44,
       MATCH($F$4, Attendance!$C$14:$C$44, 0),
       MATCH(1, (Attendance!$C$12:$GP$12=$E296) * (Attendance!$C$13:$GP$13=$I$279), 0)
)</f>
        <v>0</v>
      </c>
    </row>
    <row r="297" spans="1:9">
      <c r="A297" s="1" t="s">
        <v>296</v>
      </c>
      <c r="B297" t="str">
        <f t="shared" si="38"/>
        <v>¬</v>
      </c>
      <c r="D297" s="61" t="str" cm="1">
        <f t="array" aca="1" ref="D297" ca="1">INDEX(Attendance!$C$14:$GP$44,
       MATCH($F$4, Attendance!$C$14:$C$44, 0),
       MATCH(1, (Attendance!$C$12:$GP$12=$E297) * (Attendance!$C$13:$GP$13="Paid"), 0)
)</f>
        <v> </v>
      </c>
      <c r="E297" s="42">
        <f t="shared" si="37"/>
        <v>46569</v>
      </c>
      <c r="F297" s="61" cm="1">
        <f t="array" aca="1" ref="F297" ca="1">N(INDEX(Attendance!$C$14:$GP$104,
       MATCH($F$4, Attendance!$C$14:$C$104, 0),
       MATCH(1, (Attendance!$C$12:$GP$12=$E297) * (Attendance!$C$13:$GP$13=$F$279), 0)
))</f>
        <v>0</v>
      </c>
      <c r="G297" s="61" cm="1">
        <f t="array" aca="1" ref="G297" ca="1">N(INDEX(Attendance!$C$14:$GP$104,
       MATCH($F$4, Attendance!$C$14:$C$104, 0),
       MATCH(1, (Attendance!$C$12:$GP$12=$E297) * (Attendance!$C$13:$GP$13=$G$279), 0)
))</f>
        <v>0</v>
      </c>
      <c r="H297" s="61" cm="1">
        <f t="array" aca="1" ref="H297" ca="1">N(INDEX(Attendance!$C$14:$GP$104,
       MATCH($F$4, Attendance!$C$14:$C$104, 0),
       MATCH(1, (Attendance!$C$12:$GP$12=$E297) * (Attendance!$C$13:$GP$13=$H$279), 0)
))</f>
        <v>0</v>
      </c>
      <c r="I297" s="61" cm="1">
        <f t="array" aca="1" ref="I297" ca="1">INDEX(Attendance!$C$14:$GP$44,
       MATCH($F$4, Attendance!$C$14:$C$44, 0),
       MATCH(1, (Attendance!$C$12:$GP$12=$E297) * (Attendance!$C$13:$GP$13=$I$279), 0)
)</f>
        <v>0</v>
      </c>
    </row>
    <row r="298" spans="1:9">
      <c r="A298" s="1" t="s">
        <v>297</v>
      </c>
      <c r="B298" t="str">
        <f t="shared" si="38"/>
        <v>¬</v>
      </c>
      <c r="D298" s="61" t="str" cm="1">
        <f t="array" aca="1" ref="D298" ca="1">INDEX(Attendance!$C$14:$GP$44,
       MATCH($F$4, Attendance!$C$14:$C$44, 0),
       MATCH(1, (Attendance!$C$12:$GP$12=$E298) * (Attendance!$C$13:$GP$13="Paid"), 0)
)</f>
        <v> </v>
      </c>
      <c r="E298" s="42">
        <f t="shared" si="37"/>
        <v>46600</v>
      </c>
      <c r="F298" s="61" cm="1">
        <f t="array" aca="1" ref="F298" ca="1">N(INDEX(Attendance!$C$14:$GP$104,
       MATCH($F$4, Attendance!$C$14:$C$104, 0),
       MATCH(1, (Attendance!$C$12:$GP$12=$E298) * (Attendance!$C$13:$GP$13=$F$279), 0)
))</f>
        <v>0</v>
      </c>
      <c r="G298" s="61" cm="1">
        <f t="array" aca="1" ref="G298" ca="1">N(INDEX(Attendance!$C$14:$GP$104,
       MATCH($F$4, Attendance!$C$14:$C$104, 0),
       MATCH(1, (Attendance!$C$12:$GP$12=$E298) * (Attendance!$C$13:$GP$13=$G$279), 0)
))</f>
        <v>0</v>
      </c>
      <c r="H298" s="61" cm="1">
        <f t="array" aca="1" ref="H298" ca="1">N(INDEX(Attendance!$C$14:$GP$104,
       MATCH($F$4, Attendance!$C$14:$C$104, 0),
       MATCH(1, (Attendance!$C$12:$GP$12=$E298) * (Attendance!$C$13:$GP$13=$H$279), 0)
))</f>
        <v>0</v>
      </c>
      <c r="I298" s="61" cm="1">
        <f t="array" aca="1" ref="I298" ca="1">INDEX(Attendance!$C$14:$GP$44,
       MATCH($F$4, Attendance!$C$14:$C$44, 0),
       MATCH(1, (Attendance!$C$12:$GP$12=$E298) * (Attendance!$C$13:$GP$13=$I$279), 0)
)</f>
        <v>0</v>
      </c>
    </row>
    <row r="299" spans="1:9">
      <c r="A299" s="1" t="s">
        <v>298</v>
      </c>
      <c r="B299" t="str">
        <f t="shared" si="38"/>
        <v>¬</v>
      </c>
      <c r="D299" s="61" t="str" cm="1">
        <f t="array" aca="1" ref="D299" ca="1">INDEX(Attendance!$C$14:$GP$44,
       MATCH($F$4, Attendance!$C$14:$C$44, 0),
       MATCH(1, (Attendance!$C$12:$GP$12=$E299) * (Attendance!$C$13:$GP$13="Paid"), 0)
)</f>
        <v> </v>
      </c>
      <c r="E299" s="42">
        <f t="shared" si="37"/>
        <v>46631</v>
      </c>
      <c r="F299" s="61" cm="1">
        <f t="array" aca="1" ref="F299" ca="1">N(INDEX(Attendance!$C$14:$GP$104,
       MATCH($F$4, Attendance!$C$14:$C$104, 0),
       MATCH(1, (Attendance!$C$12:$GP$12=$E299) * (Attendance!$C$13:$GP$13=$F$279), 0)
))</f>
        <v>0</v>
      </c>
      <c r="G299" s="61" cm="1">
        <f t="array" aca="1" ref="G299" ca="1">N(INDEX(Attendance!$C$14:$GP$104,
       MATCH($F$4, Attendance!$C$14:$C$104, 0),
       MATCH(1, (Attendance!$C$12:$GP$12=$E299) * (Attendance!$C$13:$GP$13=$G$279), 0)
))</f>
        <v>0</v>
      </c>
      <c r="H299" s="61" cm="1">
        <f t="array" aca="1" ref="H299" ca="1">N(INDEX(Attendance!$C$14:$GP$104,
       MATCH($F$4, Attendance!$C$14:$C$104, 0),
       MATCH(1, (Attendance!$C$12:$GP$12=$E299) * (Attendance!$C$13:$GP$13=$H$279), 0)
))</f>
        <v>0</v>
      </c>
      <c r="I299" s="61" cm="1">
        <f t="array" aca="1" ref="I299" ca="1">INDEX(Attendance!$C$14:$GP$44,
       MATCH($F$4, Attendance!$C$14:$C$44, 0),
       MATCH(1, (Attendance!$C$12:$GP$12=$E299) * (Attendance!$C$13:$GP$13=$I$279), 0)
)</f>
        <v>0</v>
      </c>
    </row>
    <row r="300" spans="1:9">
      <c r="A300" s="1" t="s">
        <v>299</v>
      </c>
      <c r="B300" t="str">
        <f t="shared" si="38"/>
        <v>¬</v>
      </c>
      <c r="D300" s="61" t="str" cm="1">
        <f t="array" aca="1" ref="D300" ca="1">INDEX(Attendance!$C$14:$GP$44,
       MATCH($F$4, Attendance!$C$14:$C$44, 0),
       MATCH(1, (Attendance!$C$12:$GP$12=$E300) * (Attendance!$C$13:$GP$13="Paid"), 0)
)</f>
        <v> </v>
      </c>
      <c r="E300" s="42">
        <f t="shared" si="37"/>
        <v>46661</v>
      </c>
      <c r="F300" s="61" cm="1">
        <f t="array" aca="1" ref="F300" ca="1">N(INDEX(Attendance!$C$14:$GP$104,
       MATCH($F$4, Attendance!$C$14:$C$104, 0),
       MATCH(1, (Attendance!$C$12:$GP$12=$E300) * (Attendance!$C$13:$GP$13=$F$279), 0)
))</f>
        <v>0</v>
      </c>
      <c r="G300" s="61" cm="1">
        <f t="array" aca="1" ref="G300" ca="1">N(INDEX(Attendance!$C$14:$GP$104,
       MATCH($F$4, Attendance!$C$14:$C$104, 0),
       MATCH(1, (Attendance!$C$12:$GP$12=$E300) * (Attendance!$C$13:$GP$13=$G$279), 0)
))</f>
        <v>0</v>
      </c>
      <c r="H300" s="61" cm="1">
        <f t="array" aca="1" ref="H300" ca="1">N(INDEX(Attendance!$C$14:$GP$104,
       MATCH($F$4, Attendance!$C$14:$C$104, 0),
       MATCH(1, (Attendance!$C$12:$GP$12=$E300) * (Attendance!$C$13:$GP$13=$H$279), 0)
))</f>
        <v>0</v>
      </c>
      <c r="I300" s="61" cm="1">
        <f t="array" aca="1" ref="I300" ca="1">INDEX(Attendance!$C$14:$GP$44,
       MATCH($F$4, Attendance!$C$14:$C$44, 0),
       MATCH(1, (Attendance!$C$12:$GP$12=$E300) * (Attendance!$C$13:$GP$13=$I$279), 0)
)</f>
        <v>0</v>
      </c>
    </row>
    <row r="301" spans="1:9">
      <c r="A301" s="1" t="s">
        <v>300</v>
      </c>
      <c r="B301" t="str">
        <f t="shared" si="38"/>
        <v>¬</v>
      </c>
      <c r="D301" s="61" t="str" cm="1">
        <f t="array" aca="1" ref="D301" ca="1">INDEX(Attendance!$C$14:$GP$44,
       MATCH($F$4, Attendance!$C$14:$C$44, 0),
       MATCH(1, (Attendance!$C$12:$GP$12=$E301) * (Attendance!$C$13:$GP$13="Paid"), 0)
)</f>
        <v> </v>
      </c>
      <c r="E301" s="42">
        <f t="shared" si="37"/>
        <v>46692</v>
      </c>
      <c r="F301" s="61" cm="1">
        <f t="array" aca="1" ref="F301" ca="1">N(INDEX(Attendance!$C$14:$GP$104,
       MATCH($F$4, Attendance!$C$14:$C$104, 0),
       MATCH(1, (Attendance!$C$12:$GP$12=$E301) * (Attendance!$C$13:$GP$13=$F$279), 0)
))</f>
        <v>0</v>
      </c>
      <c r="G301" s="61" cm="1">
        <f t="array" aca="1" ref="G301" ca="1">N(INDEX(Attendance!$C$14:$GP$104,
       MATCH($F$4, Attendance!$C$14:$C$104, 0),
       MATCH(1, (Attendance!$C$12:$GP$12=$E301) * (Attendance!$C$13:$GP$13=$G$279), 0)
))</f>
        <v>0</v>
      </c>
      <c r="H301" s="61" cm="1">
        <f t="array" aca="1" ref="H301" ca="1">N(INDEX(Attendance!$C$14:$GP$104,
       MATCH($F$4, Attendance!$C$14:$C$104, 0),
       MATCH(1, (Attendance!$C$12:$GP$12=$E301) * (Attendance!$C$13:$GP$13=$H$279), 0)
))</f>
        <v>0</v>
      </c>
      <c r="I301" s="61" cm="1">
        <f t="array" aca="1" ref="I301" ca="1">INDEX(Attendance!$C$14:$GP$44,
       MATCH($F$4, Attendance!$C$14:$C$44, 0),
       MATCH(1, (Attendance!$C$12:$GP$12=$E301) * (Attendance!$C$13:$GP$13=$I$279), 0)
)</f>
        <v>0</v>
      </c>
    </row>
    <row r="302" spans="1:9">
      <c r="A302" s="1" t="s">
        <v>301</v>
      </c>
      <c r="B302" t="str">
        <f t="shared" si="38"/>
        <v>¬</v>
      </c>
      <c r="D302" s="61" t="str" cm="1">
        <f t="array" aca="1" ref="D302" ca="1">INDEX(Attendance!$C$14:$GP$44,
       MATCH($F$4, Attendance!$C$14:$C$44, 0),
       MATCH(1, (Attendance!$C$12:$GP$12=$E302) * (Attendance!$C$13:$GP$13="Paid"), 0)
)</f>
        <v> </v>
      </c>
      <c r="E302" s="42">
        <f t="shared" si="37"/>
        <v>46722</v>
      </c>
      <c r="F302" s="61" cm="1">
        <f t="array" aca="1" ref="F302" ca="1">N(INDEX(Attendance!$C$14:$GP$104,
       MATCH($F$4, Attendance!$C$14:$C$104, 0),
       MATCH(1, (Attendance!$C$12:$GP$12=$E302) * (Attendance!$C$13:$GP$13=$F$279), 0)
))</f>
        <v>0</v>
      </c>
      <c r="G302" s="61" cm="1">
        <f t="array" aca="1" ref="G302" ca="1">N(INDEX(Attendance!$C$14:$GP$104,
       MATCH($F$4, Attendance!$C$14:$C$104, 0),
       MATCH(1, (Attendance!$C$12:$GP$12=$E302) * (Attendance!$C$13:$GP$13=$G$279), 0)
))</f>
        <v>0</v>
      </c>
      <c r="H302" s="61" cm="1">
        <f t="array" aca="1" ref="H302" ca="1">N(INDEX(Attendance!$C$14:$GP$104,
       MATCH($F$4, Attendance!$C$14:$C$104, 0),
       MATCH(1, (Attendance!$C$12:$GP$12=$E302) * (Attendance!$C$13:$GP$13=$H$279), 0)
))</f>
        <v>0</v>
      </c>
      <c r="I302" s="61" cm="1">
        <f t="array" aca="1" ref="I302" ca="1">INDEX(Attendance!$C$14:$GP$44,
       MATCH($F$4, Attendance!$C$14:$C$44, 0),
       MATCH(1, (Attendance!$C$12:$GP$12=$E302) * (Attendance!$C$13:$GP$13=$I$279), 0)
)</f>
        <v>0</v>
      </c>
    </row>
    <row r="303" spans="1:9">
      <c r="A303" s="1" t="s">
        <v>302</v>
      </c>
      <c r="B303" t="str">
        <f t="shared" si="38"/>
        <v>¬</v>
      </c>
      <c r="D303" s="61" t="str" cm="1">
        <f t="array" aca="1" ref="D303" ca="1">INDEX(Attendance!$C$14:$GP$44,
       MATCH($F$4, Attendance!$C$14:$C$44, 0),
       MATCH(1, (Attendance!$C$12:$GP$12=$E303) * (Attendance!$C$13:$GP$13="Paid"), 0)
)</f>
        <v> </v>
      </c>
      <c r="E303" s="42">
        <f t="shared" si="37"/>
        <v>46753</v>
      </c>
      <c r="F303" s="61" cm="1">
        <f t="array" aca="1" ref="F303" ca="1">N(INDEX(Attendance!$C$14:$GP$104,
       MATCH($F$4, Attendance!$C$14:$C$104, 0),
       MATCH(1, (Attendance!$C$12:$GP$12=$E303) * (Attendance!$C$13:$GP$13=$F$279), 0)
))</f>
        <v>0</v>
      </c>
      <c r="G303" s="61" cm="1">
        <f t="array" aca="1" ref="G303" ca="1">N(INDEX(Attendance!$C$14:$GP$104,
       MATCH($F$4, Attendance!$C$14:$C$104, 0),
       MATCH(1, (Attendance!$C$12:$GP$12=$E303) * (Attendance!$C$13:$GP$13=$G$279), 0)
))</f>
        <v>0</v>
      </c>
      <c r="H303" s="61" cm="1">
        <f t="array" aca="1" ref="H303" ca="1">N(INDEX(Attendance!$C$14:$GP$104,
       MATCH($F$4, Attendance!$C$14:$C$104, 0),
       MATCH(1, (Attendance!$C$12:$GP$12=$E303) * (Attendance!$C$13:$GP$13=$H$279), 0)
))</f>
        <v>0</v>
      </c>
      <c r="I303" s="61" cm="1">
        <f t="array" aca="1" ref="I303" ca="1">INDEX(Attendance!$C$14:$GP$44,
       MATCH($F$4, Attendance!$C$14:$C$44, 0),
       MATCH(1, (Attendance!$C$12:$GP$12=$E303) * (Attendance!$C$13:$GP$13=$I$279), 0)
)</f>
        <v>0</v>
      </c>
    </row>
    <row r="304" spans="1:9">
      <c r="A304" s="1" t="s">
        <v>303</v>
      </c>
      <c r="B304" t="str">
        <f t="shared" si="38"/>
        <v>¬</v>
      </c>
      <c r="D304" s="61" t="str" cm="1">
        <f t="array" aca="1" ref="D304" ca="1">INDEX(Attendance!$C$14:$GP$44,
       MATCH($F$4, Attendance!$C$14:$C$44, 0),
       MATCH(1, (Attendance!$C$12:$GP$12=$E304) * (Attendance!$C$13:$GP$13="Paid"), 0)
)</f>
        <v> </v>
      </c>
      <c r="E304" s="42">
        <f t="shared" si="37"/>
        <v>46784</v>
      </c>
      <c r="F304" s="61" cm="1">
        <f t="array" aca="1" ref="F304" ca="1">N(INDEX(Attendance!$C$14:$GP$104,
       MATCH($F$4, Attendance!$C$14:$C$104, 0),
       MATCH(1, (Attendance!$C$12:$GP$12=$E304) * (Attendance!$C$13:$GP$13=$F$279), 0)
))</f>
        <v>0</v>
      </c>
      <c r="G304" s="61" cm="1">
        <f t="array" aca="1" ref="G304" ca="1">N(INDEX(Attendance!$C$14:$GP$104,
       MATCH($F$4, Attendance!$C$14:$C$104, 0),
       MATCH(1, (Attendance!$C$12:$GP$12=$E304) * (Attendance!$C$13:$GP$13=$G$279), 0)
))</f>
        <v>0</v>
      </c>
      <c r="H304" s="61" cm="1">
        <f t="array" aca="1" ref="H304" ca="1">N(INDEX(Attendance!$C$14:$GP$104,
       MATCH($F$4, Attendance!$C$14:$C$104, 0),
       MATCH(1, (Attendance!$C$12:$GP$12=$E304) * (Attendance!$C$13:$GP$13=$H$279), 0)
))</f>
        <v>0</v>
      </c>
      <c r="I304" s="61" cm="1">
        <f t="array" aca="1" ref="I304" ca="1">INDEX(Attendance!$C$14:$GP$44,
       MATCH($F$4, Attendance!$C$14:$C$44, 0),
       MATCH(1, (Attendance!$C$12:$GP$12=$E304) * (Attendance!$C$13:$GP$13=$I$279), 0)
)</f>
        <v>0</v>
      </c>
    </row>
    <row r="305" spans="1:9">
      <c r="A305" s="1" t="s">
        <v>304</v>
      </c>
      <c r="B305" t="str">
        <f t="shared" si="38"/>
        <v>¬</v>
      </c>
      <c r="D305" s="61" t="str" cm="1">
        <f t="array" aca="1" ref="D305" ca="1">INDEX(Attendance!$C$14:$GP$44,
       MATCH($F$4, Attendance!$C$14:$C$44, 0),
       MATCH(1, (Attendance!$C$12:$GP$12=$E305) * (Attendance!$C$13:$GP$13="Paid"), 0)
)</f>
        <v> </v>
      </c>
      <c r="E305" s="42">
        <f t="shared" si="37"/>
        <v>46813</v>
      </c>
      <c r="F305" s="61" cm="1">
        <f t="array" aca="1" ref="F305" ca="1">N(INDEX(Attendance!$C$14:$GP$104,
       MATCH($F$4, Attendance!$C$14:$C$104, 0),
       MATCH(1, (Attendance!$C$12:$GP$12=$E305) * (Attendance!$C$13:$GP$13=$F$279), 0)
))</f>
        <v>0</v>
      </c>
      <c r="G305" s="61" cm="1">
        <f t="array" aca="1" ref="G305" ca="1">N(INDEX(Attendance!$C$14:$GP$104,
       MATCH($F$4, Attendance!$C$14:$C$104, 0),
       MATCH(1, (Attendance!$C$12:$GP$12=$E305) * (Attendance!$C$13:$GP$13=$G$279), 0)
))</f>
        <v>0</v>
      </c>
      <c r="H305" s="61" cm="1">
        <f t="array" aca="1" ref="H305" ca="1">N(INDEX(Attendance!$C$14:$GP$104,
       MATCH($F$4, Attendance!$C$14:$C$104, 0),
       MATCH(1, (Attendance!$C$12:$GP$12=$E305) * (Attendance!$C$13:$GP$13=$H$279), 0)
))</f>
        <v>0</v>
      </c>
      <c r="I305" s="61" cm="1">
        <f t="array" aca="1" ref="I305" ca="1">INDEX(Attendance!$C$14:$GP$44,
       MATCH($F$4, Attendance!$C$14:$C$44, 0),
       MATCH(1, (Attendance!$C$12:$GP$12=$E305) * (Attendance!$C$13:$GP$13=$I$279), 0)
)</f>
        <v>0</v>
      </c>
    </row>
    <row r="306" spans="1:9">
      <c r="A306" s="1" t="s">
        <v>305</v>
      </c>
      <c r="B306" t="str">
        <f t="shared" si="38"/>
        <v>¬</v>
      </c>
      <c r="D306" s="61" t="str" cm="1">
        <f t="array" aca="1" ref="D306" ca="1">INDEX(Attendance!$C$14:$GP$44,
       MATCH($F$4, Attendance!$C$14:$C$44, 0),
       MATCH(1, (Attendance!$C$12:$GP$12=$E306) * (Attendance!$C$13:$GP$13="Paid"), 0)
)</f>
        <v> </v>
      </c>
      <c r="E306" s="42">
        <f t="shared" si="37"/>
        <v>46844</v>
      </c>
      <c r="F306" s="61" cm="1">
        <f t="array" aca="1" ref="F306" ca="1">N(INDEX(Attendance!$C$14:$GP$104,
       MATCH($F$4, Attendance!$C$14:$C$104, 0),
       MATCH(1, (Attendance!$C$12:$GP$12=$E306) * (Attendance!$C$13:$GP$13=$F$279), 0)
))</f>
        <v>0</v>
      </c>
      <c r="G306" s="61" cm="1">
        <f t="array" aca="1" ref="G306" ca="1">N(INDEX(Attendance!$C$14:$GP$104,
       MATCH($F$4, Attendance!$C$14:$C$104, 0),
       MATCH(1, (Attendance!$C$12:$GP$12=$E306) * (Attendance!$C$13:$GP$13=$G$279), 0)
))</f>
        <v>0</v>
      </c>
      <c r="H306" s="61" cm="1">
        <f t="array" aca="1" ref="H306" ca="1">N(INDEX(Attendance!$C$14:$GP$104,
       MATCH($F$4, Attendance!$C$14:$C$104, 0),
       MATCH(1, (Attendance!$C$12:$GP$12=$E306) * (Attendance!$C$13:$GP$13=$H$279), 0)
))</f>
        <v>0</v>
      </c>
      <c r="I306" s="61" cm="1">
        <f t="array" aca="1" ref="I306" ca="1">INDEX(Attendance!$C$14:$GP$44,
       MATCH($F$4, Attendance!$C$14:$C$44, 0),
       MATCH(1, (Attendance!$C$12:$GP$12=$E306) * (Attendance!$C$13:$GP$13=$I$279), 0)
)</f>
        <v>0</v>
      </c>
    </row>
    <row r="307" spans="1:9">
      <c r="A307" s="1" t="s">
        <v>306</v>
      </c>
      <c r="B307" t="str">
        <f t="shared" si="38"/>
        <v>¬</v>
      </c>
      <c r="D307" s="61" t="str" cm="1">
        <f t="array" aca="1" ref="D307" ca="1">INDEX(Attendance!$C$14:$GP$44,
       MATCH($F$4, Attendance!$C$14:$C$44, 0),
       MATCH(1, (Attendance!$C$12:$GP$12=$E307) * (Attendance!$C$13:$GP$13="Paid"), 0)
)</f>
        <v> </v>
      </c>
      <c r="E307" s="42">
        <f t="shared" si="37"/>
        <v>46874</v>
      </c>
      <c r="F307" s="61" cm="1">
        <f t="array" aca="1" ref="F307" ca="1">N(INDEX(Attendance!$C$14:$GP$104,
       MATCH($F$4, Attendance!$C$14:$C$104, 0),
       MATCH(1, (Attendance!$C$12:$GP$12=$E307) * (Attendance!$C$13:$GP$13=$F$279), 0)
))</f>
        <v>0</v>
      </c>
      <c r="G307" s="61" cm="1">
        <f t="array" aca="1" ref="G307" ca="1">N(INDEX(Attendance!$C$14:$GP$104,
       MATCH($F$4, Attendance!$C$14:$C$104, 0),
       MATCH(1, (Attendance!$C$12:$GP$12=$E307) * (Attendance!$C$13:$GP$13=$G$279), 0)
))</f>
        <v>0</v>
      </c>
      <c r="H307" s="61" cm="1">
        <f t="array" aca="1" ref="H307" ca="1">N(INDEX(Attendance!$C$14:$GP$104,
       MATCH($F$4, Attendance!$C$14:$C$104, 0),
       MATCH(1, (Attendance!$C$12:$GP$12=$E307) * (Attendance!$C$13:$GP$13=$H$279), 0)
))</f>
        <v>0</v>
      </c>
      <c r="I307" s="61" cm="1">
        <f t="array" aca="1" ref="I307" ca="1">INDEX(Attendance!$C$14:$GP$44,
       MATCH($F$4, Attendance!$C$14:$C$44, 0),
       MATCH(1, (Attendance!$C$12:$GP$12=$E307) * (Attendance!$C$13:$GP$13=$I$279), 0)
)</f>
        <v>0</v>
      </c>
    </row>
    <row r="308" spans="1:9">
      <c r="A308" s="1" t="s">
        <v>307</v>
      </c>
      <c r="B308" t="str">
        <f t="shared" si="38"/>
        <v>¬</v>
      </c>
      <c r="D308" s="61" t="str" cm="1">
        <f t="array" aca="1" ref="D308" ca="1">INDEX(Attendance!$C$14:$GP$44,
       MATCH($F$4, Attendance!$C$14:$C$44, 0),
       MATCH(1, (Attendance!$C$12:$GP$12=$E308) * (Attendance!$C$13:$GP$13="Paid"), 0)
)</f>
        <v> </v>
      </c>
      <c r="E308" s="42">
        <f t="shared" si="37"/>
        <v>46905</v>
      </c>
      <c r="F308" s="61" cm="1">
        <f t="array" aca="1" ref="F308" ca="1">N(INDEX(Attendance!$C$14:$GP$104,
       MATCH($F$4, Attendance!$C$14:$C$104, 0),
       MATCH(1, (Attendance!$C$12:$GP$12=$E308) * (Attendance!$C$13:$GP$13=$F$279), 0)
))</f>
        <v>0</v>
      </c>
      <c r="G308" s="61" cm="1">
        <f t="array" aca="1" ref="G308" ca="1">N(INDEX(Attendance!$C$14:$GP$104,
       MATCH($F$4, Attendance!$C$14:$C$104, 0),
       MATCH(1, (Attendance!$C$12:$GP$12=$E308) * (Attendance!$C$13:$GP$13=$G$279), 0)
))</f>
        <v>0</v>
      </c>
      <c r="H308" s="61" cm="1">
        <f t="array" aca="1" ref="H308" ca="1">N(INDEX(Attendance!$C$14:$GP$104,
       MATCH($F$4, Attendance!$C$14:$C$104, 0),
       MATCH(1, (Attendance!$C$12:$GP$12=$E308) * (Attendance!$C$13:$GP$13=$H$279), 0)
))</f>
        <v>0</v>
      </c>
      <c r="I308" s="61" cm="1">
        <f t="array" aca="1" ref="I308" ca="1">INDEX(Attendance!$C$14:$GP$44,
       MATCH($F$4, Attendance!$C$14:$C$44, 0),
       MATCH(1, (Attendance!$C$12:$GP$12=$E308) * (Attendance!$C$13:$GP$13=$I$279), 0)
)</f>
        <v>0</v>
      </c>
    </row>
    <row r="309" spans="1:9">
      <c r="A309" s="1" t="s">
        <v>308</v>
      </c>
      <c r="B309" t="str">
        <f t="shared" si="38"/>
        <v>¬</v>
      </c>
      <c r="D309" s="61" t="str" cm="1">
        <f t="array" aca="1" ref="D309" ca="1">INDEX(Attendance!$C$14:$GP$44,
       MATCH($F$4, Attendance!$C$14:$C$44, 0),
       MATCH(1, (Attendance!$C$12:$GP$12=$E309) * (Attendance!$C$13:$GP$13="Paid"), 0)
)</f>
        <v> </v>
      </c>
      <c r="E309" s="42">
        <f t="shared" si="37"/>
        <v>46935</v>
      </c>
      <c r="F309" s="61" cm="1">
        <f t="array" aca="1" ref="F309" ca="1">N(INDEX(Attendance!$C$14:$GP$104,
       MATCH($F$4, Attendance!$C$14:$C$104, 0),
       MATCH(1, (Attendance!$C$12:$GP$12=$E309) * (Attendance!$C$13:$GP$13=$F$279), 0)
))</f>
        <v>0</v>
      </c>
      <c r="G309" s="61" cm="1">
        <f t="array" aca="1" ref="G309" ca="1">N(INDEX(Attendance!$C$14:$GP$104,
       MATCH($F$4, Attendance!$C$14:$C$104, 0),
       MATCH(1, (Attendance!$C$12:$GP$12=$E309) * (Attendance!$C$13:$GP$13=$G$279), 0)
))</f>
        <v>0</v>
      </c>
      <c r="H309" s="61" cm="1">
        <f t="array" aca="1" ref="H309" ca="1">N(INDEX(Attendance!$C$14:$GP$104,
       MATCH($F$4, Attendance!$C$14:$C$104, 0),
       MATCH(1, (Attendance!$C$12:$GP$12=$E309) * (Attendance!$C$13:$GP$13=$H$279), 0)
))</f>
        <v>0</v>
      </c>
      <c r="I309" s="61" cm="1">
        <f t="array" aca="1" ref="I309" ca="1">INDEX(Attendance!$C$14:$GP$44,
       MATCH($F$4, Attendance!$C$14:$C$44, 0),
       MATCH(1, (Attendance!$C$12:$GP$12=$E309) * (Attendance!$C$13:$GP$13=$I$279), 0)
)</f>
        <v>0</v>
      </c>
    </row>
    <row r="310" spans="1:9">
      <c r="A310" s="1" t="s">
        <v>309</v>
      </c>
      <c r="B310" t="str">
        <f t="shared" si="38"/>
        <v>¬</v>
      </c>
      <c r="D310" s="61" t="str" cm="1">
        <f t="array" aca="1" ref="D310" ca="1">INDEX(Attendance!$C$14:$GP$44,
       MATCH($F$4, Attendance!$C$14:$C$44, 0),
       MATCH(1, (Attendance!$C$12:$GP$12=$E310) * (Attendance!$C$13:$GP$13="Paid"), 0)
)</f>
        <v> </v>
      </c>
      <c r="E310" s="42">
        <f t="shared" si="37"/>
        <v>46966</v>
      </c>
      <c r="F310" s="61" cm="1">
        <f t="array" aca="1" ref="F310" ca="1">N(INDEX(Attendance!$C$14:$GP$104,
       MATCH($F$4, Attendance!$C$14:$C$104, 0),
       MATCH(1, (Attendance!$C$12:$GP$12=$E310) * (Attendance!$C$13:$GP$13=$F$279), 0)
))</f>
        <v>0</v>
      </c>
      <c r="G310" s="61" cm="1">
        <f t="array" aca="1" ref="G310" ca="1">N(INDEX(Attendance!$C$14:$GP$104,
       MATCH($F$4, Attendance!$C$14:$C$104, 0),
       MATCH(1, (Attendance!$C$12:$GP$12=$E310) * (Attendance!$C$13:$GP$13=$G$279), 0)
))</f>
        <v>0</v>
      </c>
      <c r="H310" s="61" cm="1">
        <f t="array" aca="1" ref="H310" ca="1">N(INDEX(Attendance!$C$14:$GP$104,
       MATCH($F$4, Attendance!$C$14:$C$104, 0),
       MATCH(1, (Attendance!$C$12:$GP$12=$E310) * (Attendance!$C$13:$GP$13=$H$279), 0)
))</f>
        <v>0</v>
      </c>
      <c r="I310" s="61" cm="1">
        <f t="array" aca="1" ref="I310" ca="1">INDEX(Attendance!$C$14:$GP$44,
       MATCH($F$4, Attendance!$C$14:$C$44, 0),
       MATCH(1, (Attendance!$C$12:$GP$12=$E310) * (Attendance!$C$13:$GP$13=$I$279), 0)
)</f>
        <v>0</v>
      </c>
    </row>
    <row r="311" spans="1:9">
      <c r="A311" s="1" t="s">
        <v>310</v>
      </c>
      <c r="B311" t="str">
        <f t="shared" si="38"/>
        <v>¬</v>
      </c>
      <c r="D311" s="61" t="str" cm="1">
        <f t="array" aca="1" ref="D311" ca="1">INDEX(Attendance!$C$14:$GP$44,
       MATCH($F$4, Attendance!$C$14:$C$44, 0),
       MATCH(1, (Attendance!$C$12:$GP$12=$E311) * (Attendance!$C$13:$GP$13="Paid"), 0)
)</f>
        <v> </v>
      </c>
      <c r="E311" s="42">
        <f t="shared" si="37"/>
        <v>46997</v>
      </c>
      <c r="F311" s="61" cm="1">
        <f t="array" aca="1" ref="F311" ca="1">N(INDEX(Attendance!$C$14:$GP$104,
       MATCH($F$4, Attendance!$C$14:$C$104, 0),
       MATCH(1, (Attendance!$C$12:$GP$12=$E311) * (Attendance!$C$13:$GP$13=$F$279), 0)
))</f>
        <v>0</v>
      </c>
      <c r="G311" s="61" cm="1">
        <f t="array" aca="1" ref="G311" ca="1">N(INDEX(Attendance!$C$14:$GP$104,
       MATCH($F$4, Attendance!$C$14:$C$104, 0),
       MATCH(1, (Attendance!$C$12:$GP$12=$E311) * (Attendance!$C$13:$GP$13=$G$279), 0)
))</f>
        <v>0</v>
      </c>
      <c r="H311" s="61" cm="1">
        <f t="array" aca="1" ref="H311" ca="1">N(INDEX(Attendance!$C$14:$GP$104,
       MATCH($F$4, Attendance!$C$14:$C$104, 0),
       MATCH(1, (Attendance!$C$12:$GP$12=$E311) * (Attendance!$C$13:$GP$13=$H$279), 0)
))</f>
        <v>0</v>
      </c>
      <c r="I311" s="61" cm="1">
        <f t="array" aca="1" ref="I311" ca="1">INDEX(Attendance!$C$14:$GP$44,
       MATCH($F$4, Attendance!$C$14:$C$44, 0),
       MATCH(1, (Attendance!$C$12:$GP$12=$E311) * (Attendance!$C$13:$GP$13=$I$279), 0)
)</f>
        <v>0</v>
      </c>
    </row>
    <row r="312" spans="1:9">
      <c r="A312" s="1" t="s">
        <v>311</v>
      </c>
      <c r="B312" t="str">
        <f t="shared" si="38"/>
        <v>¬</v>
      </c>
      <c r="D312" s="61" t="str" cm="1">
        <f t="array" aca="1" ref="D312" ca="1">INDEX(Attendance!$C$14:$GP$44,
       MATCH($F$4, Attendance!$C$14:$C$44, 0),
       MATCH(1, (Attendance!$C$12:$GP$12=$E312) * (Attendance!$C$13:$GP$13="Paid"), 0)
)</f>
        <v> </v>
      </c>
      <c r="E312" s="42">
        <f t="shared" si="37"/>
        <v>47027</v>
      </c>
      <c r="F312" s="61" cm="1">
        <f t="array" aca="1" ref="F312" ca="1">N(INDEX(Attendance!$C$14:$GP$104,
       MATCH($F$4, Attendance!$C$14:$C$104, 0),
       MATCH(1, (Attendance!$C$12:$GP$12=$E312) * (Attendance!$C$13:$GP$13=$F$279), 0)
))</f>
        <v>0</v>
      </c>
      <c r="G312" s="61" cm="1">
        <f t="array" aca="1" ref="G312" ca="1">N(INDEX(Attendance!$C$14:$GP$104,
       MATCH($F$4, Attendance!$C$14:$C$104, 0),
       MATCH(1, (Attendance!$C$12:$GP$12=$E312) * (Attendance!$C$13:$GP$13=$G$279), 0)
))</f>
        <v>0</v>
      </c>
      <c r="H312" s="61" cm="1">
        <f t="array" aca="1" ref="H312" ca="1">N(INDEX(Attendance!$C$14:$GP$104,
       MATCH($F$4, Attendance!$C$14:$C$104, 0),
       MATCH(1, (Attendance!$C$12:$GP$12=$E312) * (Attendance!$C$13:$GP$13=$H$279), 0)
))</f>
        <v>0</v>
      </c>
      <c r="I312" s="61" cm="1">
        <f t="array" aca="1" ref="I312" ca="1">INDEX(Attendance!$C$14:$GP$44,
       MATCH($F$4, Attendance!$C$14:$C$44, 0),
       MATCH(1, (Attendance!$C$12:$GP$12=$E312) * (Attendance!$C$13:$GP$13=$I$279), 0)
)</f>
        <v>0</v>
      </c>
    </row>
    <row r="313" spans="1:9">
      <c r="A313" s="1" t="s">
        <v>312</v>
      </c>
      <c r="B313" t="str">
        <f t="shared" si="38"/>
        <v>¬</v>
      </c>
      <c r="D313" s="61" t="str" cm="1">
        <f t="array" aca="1" ref="D313" ca="1">INDEX(Attendance!$C$14:$GP$44,
       MATCH($F$4, Attendance!$C$14:$C$44, 0),
       MATCH(1, (Attendance!$C$12:$GP$12=$E313) * (Attendance!$C$13:$GP$13="Paid"), 0)
)</f>
        <v> </v>
      </c>
      <c r="E313" s="42">
        <f t="shared" si="37"/>
        <v>47058</v>
      </c>
      <c r="F313" s="61" cm="1">
        <f t="array" aca="1" ref="F313" ca="1">N(INDEX(Attendance!$C$14:$GP$104,
       MATCH($F$4, Attendance!$C$14:$C$104, 0),
       MATCH(1, (Attendance!$C$12:$GP$12=$E313) * (Attendance!$C$13:$GP$13=$F$279), 0)
))</f>
        <v>0</v>
      </c>
      <c r="G313" s="61" cm="1">
        <f t="array" aca="1" ref="G313" ca="1">N(INDEX(Attendance!$C$14:$GP$104,
       MATCH($F$4, Attendance!$C$14:$C$104, 0),
       MATCH(1, (Attendance!$C$12:$GP$12=$E313) * (Attendance!$C$13:$GP$13=$G$279), 0)
))</f>
        <v>0</v>
      </c>
      <c r="H313" s="61" cm="1">
        <f t="array" aca="1" ref="H313" ca="1">N(INDEX(Attendance!$C$14:$GP$104,
       MATCH($F$4, Attendance!$C$14:$C$104, 0),
       MATCH(1, (Attendance!$C$12:$GP$12=$E313) * (Attendance!$C$13:$GP$13=$H$279), 0)
))</f>
        <v>0</v>
      </c>
      <c r="I313" s="61" cm="1">
        <f t="array" aca="1" ref="I313" ca="1">INDEX(Attendance!$C$14:$GP$44,
       MATCH($F$4, Attendance!$C$14:$C$44, 0),
       MATCH(1, (Attendance!$C$12:$GP$12=$E313) * (Attendance!$C$13:$GP$13=$I$279), 0)
)</f>
        <v>0</v>
      </c>
    </row>
    <row r="314" spans="1:9">
      <c r="A314" s="1" t="s">
        <v>313</v>
      </c>
      <c r="B314" t="str">
        <f t="shared" ref="B314:B343" si="39">IF(AF44="","¬",AF44)</f>
        <v>Add Auspex dots to any rolls to resist surprise. Access to Tier 1 Auspex Insight questions.</v>
      </c>
      <c r="D314" s="61" t="str" cm="1">
        <f t="array" aca="1" ref="D314" ca="1">INDEX(Attendance!$C$14:$GP$44,
       MATCH($F$4, Attendance!$C$14:$C$44, 0),
       MATCH(1, (Attendance!$C$12:$GP$12=$E314) * (Attendance!$C$13:$GP$13="Paid"), 0)
)</f>
        <v> </v>
      </c>
      <c r="E314" s="42">
        <f t="shared" si="37"/>
        <v>47088</v>
      </c>
      <c r="F314" s="61" cm="1">
        <f t="array" aca="1" ref="F314" ca="1">N(INDEX(Attendance!$C$14:$GP$104,
       MATCH($F$4, Attendance!$C$14:$C$104, 0),
       MATCH(1, (Attendance!$C$12:$GP$12=$E314) * (Attendance!$C$13:$GP$13=$F$279), 0)
))</f>
        <v>0</v>
      </c>
      <c r="G314" s="61" cm="1">
        <f t="array" aca="1" ref="G314" ca="1">N(INDEX(Attendance!$C$14:$GP$104,
       MATCH($F$4, Attendance!$C$14:$C$104, 0),
       MATCH(1, (Attendance!$C$12:$GP$12=$E314) * (Attendance!$C$13:$GP$13=$G$279), 0)
))</f>
        <v>0</v>
      </c>
      <c r="H314" s="61" cm="1">
        <f t="array" aca="1" ref="H314" ca="1">N(INDEX(Attendance!$C$14:$GP$104,
       MATCH($F$4, Attendance!$C$14:$C$104, 0),
       MATCH(1, (Attendance!$C$12:$GP$12=$E314) * (Attendance!$C$13:$GP$13=$H$279), 0)
))</f>
        <v>0</v>
      </c>
      <c r="I314" s="61" cm="1">
        <f t="array" aca="1" ref="I314" ca="1">INDEX(Attendance!$C$14:$GP$44,
       MATCH($F$4, Attendance!$C$14:$C$44, 0),
       MATCH(1, (Attendance!$C$12:$GP$12=$E314) * (Attendance!$C$13:$GP$13=$I$279), 0)
)</f>
        <v>0</v>
      </c>
    </row>
    <row r="315" spans="1:9">
      <c r="A315" s="1" t="s">
        <v>314</v>
      </c>
      <c r="B315" t="str">
        <f t="shared" si="39"/>
        <v>Persistent Acute Senses Merit, doubles actual merit. Access to Tier 2 Auspex Insight questions.</v>
      </c>
      <c r="D315" s="61" t="str" cm="1">
        <f t="array" aca="1" ref="D315" ca="1">INDEX(Attendance!$C$14:$GP$44,
       MATCH($F$4, Attendance!$C$14:$C$44, 0),
       MATCH(1, (Attendance!$C$12:$GP$12=$E315) * (Attendance!$C$13:$GP$13="Paid"), 0)
)</f>
        <v> </v>
      </c>
      <c r="E315" s="42">
        <f t="shared" si="37"/>
        <v>47119</v>
      </c>
      <c r="F315" s="61" cm="1">
        <f t="array" aca="1" ref="F315" ca="1">N(INDEX(Attendance!$C$14:$GP$104,
       MATCH($F$4, Attendance!$C$14:$C$104, 0),
       MATCH(1, (Attendance!$C$12:$GP$12=$E315) * (Attendance!$C$13:$GP$13=$F$279), 0)
))</f>
        <v>0</v>
      </c>
      <c r="G315" s="61" cm="1">
        <f t="array" aca="1" ref="G315" ca="1">N(INDEX(Attendance!$C$14:$GP$104,
       MATCH($F$4, Attendance!$C$14:$C$104, 0),
       MATCH(1, (Attendance!$C$12:$GP$12=$E315) * (Attendance!$C$13:$GP$13=$G$279), 0)
))</f>
        <v>0</v>
      </c>
      <c r="H315" s="61" cm="1">
        <f t="array" aca="1" ref="H315" ca="1">N(INDEX(Attendance!$C$14:$GP$104,
       MATCH($F$4, Attendance!$C$14:$C$104, 0),
       MATCH(1, (Attendance!$C$12:$GP$12=$E315) * (Attendance!$C$13:$GP$13=$H$279), 0)
))</f>
        <v>0</v>
      </c>
      <c r="I315" s="61" cm="1">
        <f t="array" aca="1" ref="I315" ca="1">INDEX(Attendance!$C$14:$GP$44,
       MATCH($F$4, Attendance!$C$14:$C$44, 0),
       MATCH(1, (Attendance!$C$12:$GP$12=$E315) * (Attendance!$C$13:$GP$13=$I$279), 0)
)</f>
        <v>0</v>
      </c>
    </row>
    <row r="316" spans="1:9">
      <c r="A316" s="1" t="s">
        <v>315</v>
      </c>
      <c r="B316" t="str">
        <f t="shared" si="39"/>
        <v>Blend into surroundings, visible but unnoticeable. Predatory aura fully on or off. Leaving combat: Wits + Composure - Obfuscate to notice; auto Clash of Wills vs Auspex.</v>
      </c>
      <c r="D316" s="61" t="str" cm="1">
        <f t="array" aca="1" ref="D316" ca="1">INDEX(Attendance!$C$14:$GP$44,
       MATCH($F$4, Attendance!$C$14:$C$44, 0),
       MATCH(1, (Attendance!$C$12:$GP$12=$E316) * (Attendance!$C$13:$GP$13="Paid"), 0)
)</f>
        <v> </v>
      </c>
      <c r="E316" s="42">
        <f t="shared" si="37"/>
        <v>47150</v>
      </c>
      <c r="F316" s="61" cm="1">
        <f t="array" aca="1" ref="F316" ca="1">N(INDEX(Attendance!$C$14:$GP$104,
       MATCH($F$4, Attendance!$C$14:$C$104, 0),
       MATCH(1, (Attendance!$C$12:$GP$12=$E316) * (Attendance!$C$13:$GP$13=$F$279), 0)
))</f>
        <v>0</v>
      </c>
      <c r="G316" s="61" cm="1">
        <f t="array" aca="1" ref="G316" ca="1">N(INDEX(Attendance!$C$14:$GP$104,
       MATCH($F$4, Attendance!$C$14:$C$104, 0),
       MATCH(1, (Attendance!$C$12:$GP$12=$E316) * (Attendance!$C$13:$GP$13=$G$279), 0)
))</f>
        <v>0</v>
      </c>
      <c r="H316" s="61" cm="1">
        <f t="array" aca="1" ref="H316" ca="1">N(INDEX(Attendance!$C$14:$GP$104,
       MATCH($F$4, Attendance!$C$14:$C$104, 0),
       MATCH(1, (Attendance!$C$12:$GP$12=$E316) * (Attendance!$C$13:$GP$13=$H$279), 0)
))</f>
        <v>0</v>
      </c>
      <c r="I316" s="61" cm="1">
        <f t="array" aca="1" ref="I316" ca="1">INDEX(Attendance!$C$14:$GP$44,
       MATCH($F$4, Attendance!$C$14:$C$44, 0),
       MATCH(1, (Attendance!$C$12:$GP$12=$E316) * (Attendance!$C$13:$GP$13=$I$279), 0)
)</f>
        <v>0</v>
      </c>
    </row>
    <row r="317" spans="1:9">
      <c r="A317" s="1" t="s">
        <v>316</v>
      </c>
      <c r="B317" t="str">
        <f t="shared" si="39"/>
        <v>Cast Face in the Crowd on object or person. Free and unlimited duration on carried/worn objects if not drawing attention.</v>
      </c>
    </row>
    <row r="318" spans="1:9">
      <c r="A318" s="1" t="s">
        <v>317</v>
      </c>
      <c r="B318" t="str">
        <f t="shared" si="39"/>
        <v>Become invisible. Leaving combat: auto Clash of Wills vs Auspex 2.</v>
      </c>
    </row>
    <row r="319" spans="1:9">
      <c r="A319" s="1" t="s">
        <v>318</v>
      </c>
      <c r="B319" t="str">
        <f t="shared" si="39"/>
        <v>Disguise self or other as a desired person. Free unlimited duration to reskin carried/worn objects, but no equipment bonus without Vitae.</v>
      </c>
    </row>
    <row r="320" spans="1:9">
      <c r="A320" s="1" t="s">
        <v>319</v>
      </c>
      <c r="B320" t="str">
        <f t="shared" si="39"/>
        <v>Always active on Haven/Safe Place at no cost. Further uses at standard cost. Use Obfuscate at distance on anything in area.</v>
      </c>
    </row>
    <row r="321" spans="1:2">
      <c r="A321" s="1" t="s">
        <v>320</v>
      </c>
      <c r="B321" t="str">
        <f t="shared" si="39"/>
        <v>¬</v>
      </c>
    </row>
    <row r="322" spans="1:2">
      <c r="A322" s="1" t="s">
        <v>321</v>
      </c>
      <c r="B322" t="str">
        <f t="shared" si="39"/>
        <v>¬</v>
      </c>
    </row>
    <row r="323" spans="1:2">
      <c r="A323" s="1" t="s">
        <v>322</v>
      </c>
      <c r="B323" t="str">
        <f t="shared" si="39"/>
        <v>¬</v>
      </c>
    </row>
    <row r="324" spans="1:2">
      <c r="A324" s="1" t="s">
        <v>323</v>
      </c>
      <c r="B324" t="str">
        <f t="shared" si="39"/>
        <v>¬</v>
      </c>
    </row>
    <row r="325" spans="1:2">
      <c r="A325" s="1" t="s">
        <v>324</v>
      </c>
      <c r="B325" t="str">
        <f t="shared" si="39"/>
        <v>¬</v>
      </c>
    </row>
    <row r="326" spans="1:2">
      <c r="A326" s="1" t="s">
        <v>325</v>
      </c>
      <c r="B326" t="str">
        <f t="shared" si="39"/>
        <v>¬</v>
      </c>
    </row>
    <row r="327" spans="1:2">
      <c r="A327" s="1" t="s">
        <v>326</v>
      </c>
      <c r="B327" t="str">
        <f t="shared" si="39"/>
        <v>¬</v>
      </c>
    </row>
    <row r="328" spans="1:2">
      <c r="A328" s="1" t="s">
        <v>327</v>
      </c>
      <c r="B328" t="str">
        <f t="shared" si="39"/>
        <v>¬</v>
      </c>
    </row>
    <row r="329" spans="1:2">
      <c r="A329" s="1" t="s">
        <v>328</v>
      </c>
      <c r="B329" t="str">
        <f t="shared" si="39"/>
        <v>¬</v>
      </c>
    </row>
    <row r="330" spans="1:2">
      <c r="A330" s="1" t="s">
        <v>329</v>
      </c>
      <c r="B330" t="str">
        <f t="shared" si="39"/>
        <v>¬</v>
      </c>
    </row>
    <row r="331" spans="1:2">
      <c r="A331" s="1" t="s">
        <v>330</v>
      </c>
      <c r="B331" t="str">
        <f t="shared" si="39"/>
        <v>¬</v>
      </c>
    </row>
    <row r="332" spans="1:2">
      <c r="A332" s="1" t="s">
        <v>331</v>
      </c>
      <c r="B332" t="str">
        <f t="shared" si="39"/>
        <v>¬</v>
      </c>
    </row>
    <row r="333" spans="1:2">
      <c r="A333" s="1" t="s">
        <v>332</v>
      </c>
      <c r="B333" t="str">
        <f t="shared" si="39"/>
        <v>¬</v>
      </c>
    </row>
    <row r="334" spans="1:2">
      <c r="A334" s="1" t="s">
        <v>333</v>
      </c>
      <c r="B334" t="str">
        <f t="shared" si="39"/>
        <v>¬</v>
      </c>
    </row>
    <row r="335" spans="1:2">
      <c r="A335" s="1" t="s">
        <v>334</v>
      </c>
      <c r="B335" t="str">
        <f t="shared" si="39"/>
        <v>¬</v>
      </c>
    </row>
    <row r="336" spans="1:2">
      <c r="A336" s="1" t="s">
        <v>335</v>
      </c>
      <c r="B336" t="str">
        <f t="shared" si="39"/>
        <v>¬</v>
      </c>
    </row>
    <row r="337" spans="1:2">
      <c r="A337" s="1" t="s">
        <v>336</v>
      </c>
      <c r="B337" t="str">
        <f t="shared" si="39"/>
        <v>¬</v>
      </c>
    </row>
    <row r="338" spans="1:2">
      <c r="A338" s="1" t="s">
        <v>337</v>
      </c>
      <c r="B338" t="str">
        <f t="shared" si="39"/>
        <v>¬</v>
      </c>
    </row>
    <row r="339" spans="1:2">
      <c r="A339" s="1" t="s">
        <v>338</v>
      </c>
      <c r="B339" t="str">
        <f t="shared" si="39"/>
        <v>¬</v>
      </c>
    </row>
    <row r="340" spans="1:2">
      <c r="A340" s="1" t="s">
        <v>339</v>
      </c>
      <c r="B340" t="str">
        <f t="shared" si="39"/>
        <v>¬</v>
      </c>
    </row>
    <row r="341" spans="1:2">
      <c r="A341" s="1" t="s">
        <v>340</v>
      </c>
      <c r="B341" t="str">
        <f t="shared" si="39"/>
        <v>¬</v>
      </c>
    </row>
    <row r="342" spans="1:2">
      <c r="A342" s="1" t="s">
        <v>341</v>
      </c>
      <c r="B342" t="str">
        <f t="shared" si="39"/>
        <v>¬</v>
      </c>
    </row>
    <row r="343" spans="1:2">
      <c r="A343" s="1" t="s">
        <v>342</v>
      </c>
      <c r="B343" t="str">
        <f t="shared" si="39"/>
        <v>¬</v>
      </c>
    </row>
    <row r="344" spans="1:2">
      <c r="A344" s="1" t="s">
        <v>343</v>
      </c>
      <c r="B344" s="8" t="str">
        <f>IF(VLOOKUP(tblCharDataWan[[#This Row],[Field]],$E$2:$F$361,2,FALSE)="","¬",VLOOKUP(tblCharDataWan[[#This Row],[Field]],$E$2:$F$361,2,FALSE))</f>
        <v>Tenebrous Curse</v>
      </c>
    </row>
    <row r="345" spans="1:2">
      <c r="A345" s="1" t="s">
        <v>344</v>
      </c>
      <c r="B345" s="8" t="str">
        <f>IF(VLOOKUP(tblCharDataWan[[#This Row],[Field]],$E$2:$F$361,2,FALSE)="","¬",VLOOKUP(tblCharDataWan[[#This Row],[Field]],$E$2:$F$361,2,FALSE))</f>
        <v>¬</v>
      </c>
    </row>
    <row r="346" spans="1:2">
      <c r="A346" s="1" t="s">
        <v>345</v>
      </c>
      <c r="B346" s="8" t="str">
        <f>IF(VLOOKUP(tblCharDataWan[[#This Row],[Field]],$E$2:$F$361,2,FALSE)="","¬",VLOOKUP(tblCharDataWan[[#This Row],[Field]],$E$2:$F$361,2,FALSE))</f>
        <v>¬</v>
      </c>
    </row>
    <row r="347" spans="1:2">
      <c r="A347" s="1" t="s">
        <v>346</v>
      </c>
      <c r="B347" s="8" t="str">
        <f>IF(VLOOKUP(tblCharDataWan[[#This Row],[Field]],$E$2:$F$361,2,FALSE)="","¬",VLOOKUP(tblCharDataWan[[#This Row],[Field]],$E$2:$F$361,2,FALSE))</f>
        <v>¬</v>
      </c>
    </row>
    <row r="348" spans="1:2">
      <c r="A348" s="1" t="s">
        <v>347</v>
      </c>
      <c r="B348" s="8" t="str">
        <f>IF(VLOOKUP(tblCharDataWan[[#This Row],[Field]],$E$2:$F$361,2,FALSE)="","¬",VLOOKUP(tblCharDataWan[[#This Row],[Field]],$E$2:$F$361,2,FALSE))</f>
        <v>¬</v>
      </c>
    </row>
    <row r="349" spans="1:2">
      <c r="A349" s="1" t="s">
        <v>348</v>
      </c>
      <c r="B349" t="str">
        <f>_xlfn.IFNA(VLOOKUP(B344,$F$234:$I$238,3,FALSE),"")</f>
        <v>Gain an extra bane at Humanity 6 (doesn't count towards cap); Humanity counts –1 for all Humanity-based banes.</v>
      </c>
    </row>
    <row r="350" spans="1:2">
      <c r="A350" s="1" t="s">
        <v>349</v>
      </c>
      <c r="B350" t="str">
        <f>_xlfn.IFNA(VLOOKUP(B345,$F$234:$I$238,3,FALSE),"¬")</f>
        <v>¬</v>
      </c>
    </row>
    <row r="351" spans="1:2">
      <c r="A351" s="1" t="s">
        <v>350</v>
      </c>
      <c r="B351" t="str">
        <f>_xlfn.IFNA(VLOOKUP(B346,$F$234:$I$238,3,FALSE),"")</f>
        <v/>
      </c>
    </row>
    <row r="352" spans="1:2">
      <c r="A352" s="1" t="s">
        <v>351</v>
      </c>
      <c r="B352" t="str">
        <f>_xlfn.IFNA(VLOOKUP(B347,$F$234:$I$238,3,FALSE),"¬")</f>
        <v>¬</v>
      </c>
    </row>
    <row r="353" spans="1:2">
      <c r="A353" s="1" t="s">
        <v>352</v>
      </c>
      <c r="B353" t="str">
        <f>_xlfn.IFNA(VLOOKUP(B348,$F$234:$I$238,3,FALSE),"¬")</f>
        <v>¬</v>
      </c>
    </row>
    <row r="354" spans="1:2">
      <c r="A354" s="1" t="s">
        <v>353</v>
      </c>
      <c r="B354">
        <f>P218</f>
        <v>5</v>
      </c>
    </row>
    <row r="355" spans="1:2">
      <c r="A355" s="1" t="s">
        <v>354</v>
      </c>
      <c r="B355">
        <f ca="1">P219</f>
        <v>10</v>
      </c>
    </row>
    <row r="356" spans="1:2">
      <c r="A356" s="1" t="s">
        <v>355</v>
      </c>
      <c r="B356">
        <f ca="1">P220</f>
        <v>4</v>
      </c>
    </row>
    <row r="357" spans="1:2">
      <c r="A357" s="1" t="s">
        <v>356</v>
      </c>
      <c r="B357" t="str">
        <f>IF(F10="","¬",VLOOKUP(F10,tblAnchors[],2,FALSE))</f>
        <v>Uncover a lost piece of information.</v>
      </c>
    </row>
    <row r="358" spans="1:2">
      <c r="A358" s="1" t="s">
        <v>357</v>
      </c>
      <c r="B358" t="str">
        <f>IF(F10="","¬",VLOOKUP(F10,tblAnchors[],3,FALSE))</f>
        <v>Uncover forbidden knowledge.</v>
      </c>
    </row>
    <row r="359" spans="1:2">
      <c r="A359" s="1" t="s">
        <v>358</v>
      </c>
      <c r="B359" t="str">
        <f>IF(F11="","¬",VLOOKUP(F11,tblAnchors[],2,FALSE))</f>
        <v>Build a new identity or uncover a secret.</v>
      </c>
    </row>
    <row r="360" spans="1:2">
      <c r="A360" s="1" t="s">
        <v>359</v>
      </c>
      <c r="B360" t="str">
        <f>IF(F11="","¬",VLOOKUP(F11,tblAnchors[],3,FALSE))</f>
        <v>Uncover a damning secret that could end someone.</v>
      </c>
    </row>
    <row r="361" spans="1:2">
      <c r="A361" s="1" t="s">
        <v>360</v>
      </c>
      <c r="B361" t="str">
        <f>IF(F240="","¬",F240)</f>
        <v>¬</v>
      </c>
    </row>
    <row r="362" spans="1:2">
      <c r="A362" s="1" t="s">
        <v>361</v>
      </c>
      <c r="B362" t="str">
        <f>IF(F241="","¬",F241)</f>
        <v>¬</v>
      </c>
    </row>
    <row r="363" spans="1:2">
      <c r="A363" s="1" t="s">
        <v>362</v>
      </c>
      <c r="B363" t="str">
        <f>IF(F242="","¬",F242)</f>
        <v>¬</v>
      </c>
    </row>
    <row r="364" spans="1:2">
      <c r="A364" s="1" t="s">
        <v>363</v>
      </c>
      <c r="B364" t="str">
        <f>IF(G14="","",G14)</f>
        <v/>
      </c>
    </row>
    <row r="365" spans="1:2">
      <c r="A365" s="1" t="s">
        <v>364</v>
      </c>
      <c r="B365" t="str">
        <f>_xlfn.LET(_xlpm.a,IF(F244="","",F244),_xlpm.b,IF(F245="","",F245),IF(AND(_xlpm.a&lt;&gt;"",_xlpm.b&lt;&gt;""),_xlpm.a&amp;", "&amp;_xlpm.b,IF(_xlpm.a&lt;&gt;"",_xlpm.a,IF(_xlpm.b&lt;&gt;"",_xlpm.b,""))))</f>
        <v/>
      </c>
    </row>
  </sheetData>
  <mergeCells count="89">
    <mergeCell ref="F240:I240"/>
    <mergeCell ref="F241:I241"/>
    <mergeCell ref="F242:I242"/>
    <mergeCell ref="F244:I244"/>
    <mergeCell ref="F245:I245"/>
    <mergeCell ref="H238:I238"/>
    <mergeCell ref="H208:I208"/>
    <mergeCell ref="H209:I209"/>
    <mergeCell ref="H210:I210"/>
    <mergeCell ref="H211:I211"/>
    <mergeCell ref="H212:I212"/>
    <mergeCell ref="H213:I213"/>
    <mergeCell ref="H214:I214"/>
    <mergeCell ref="H215:I215"/>
    <mergeCell ref="H234:I234"/>
    <mergeCell ref="H236:I236"/>
    <mergeCell ref="H237:I237"/>
    <mergeCell ref="H207:I207"/>
    <mergeCell ref="H153:I153"/>
    <mergeCell ref="H154:I154"/>
    <mergeCell ref="H155:I155"/>
    <mergeCell ref="H156:I156"/>
    <mergeCell ref="H157:I157"/>
    <mergeCell ref="H177:I177"/>
    <mergeCell ref="H178:I178"/>
    <mergeCell ref="H179:I179"/>
    <mergeCell ref="H180:I180"/>
    <mergeCell ref="H181:I181"/>
    <mergeCell ref="H206:I206"/>
    <mergeCell ref="H152:I152"/>
    <mergeCell ref="H141:I141"/>
    <mergeCell ref="H142:I142"/>
    <mergeCell ref="H143:I143"/>
    <mergeCell ref="H144:I144"/>
    <mergeCell ref="H145:I145"/>
    <mergeCell ref="H146:I146"/>
    <mergeCell ref="H147:I147"/>
    <mergeCell ref="H148:I148"/>
    <mergeCell ref="H149:I149"/>
    <mergeCell ref="H150:I150"/>
    <mergeCell ref="H151:I151"/>
    <mergeCell ref="H140:I140"/>
    <mergeCell ref="H112:I112"/>
    <mergeCell ref="H113:I113"/>
    <mergeCell ref="H114:I114"/>
    <mergeCell ref="H115:I115"/>
    <mergeCell ref="H116:I116"/>
    <mergeCell ref="H117:I117"/>
    <mergeCell ref="H118:I118"/>
    <mergeCell ref="H119:I119"/>
    <mergeCell ref="H120:I120"/>
    <mergeCell ref="H138:I138"/>
    <mergeCell ref="H139:I139"/>
    <mergeCell ref="H111:I111"/>
    <mergeCell ref="H98:I98"/>
    <mergeCell ref="H101:I101"/>
    <mergeCell ref="H102:I102"/>
    <mergeCell ref="H103:I103"/>
    <mergeCell ref="H104:I104"/>
    <mergeCell ref="H105:I105"/>
    <mergeCell ref="H106:I106"/>
    <mergeCell ref="H107:I107"/>
    <mergeCell ref="H108:I108"/>
    <mergeCell ref="H109:I109"/>
    <mergeCell ref="H110:I110"/>
    <mergeCell ref="H97:I97"/>
    <mergeCell ref="H86:I86"/>
    <mergeCell ref="H87:I87"/>
    <mergeCell ref="H88:I88"/>
    <mergeCell ref="H89:I89"/>
    <mergeCell ref="H90:I90"/>
    <mergeCell ref="H91:I91"/>
    <mergeCell ref="H92:I92"/>
    <mergeCell ref="H93:I93"/>
    <mergeCell ref="H94:I94"/>
    <mergeCell ref="H95:I95"/>
    <mergeCell ref="H96:I96"/>
    <mergeCell ref="H85:I85"/>
    <mergeCell ref="O8:P8"/>
    <mergeCell ref="O9:P9"/>
    <mergeCell ref="O10:P10"/>
    <mergeCell ref="O11:P11"/>
    <mergeCell ref="O12:P12"/>
    <mergeCell ref="H79:I79"/>
    <mergeCell ref="H80:I80"/>
    <mergeCell ref="H81:I81"/>
    <mergeCell ref="H82:I82"/>
    <mergeCell ref="H83:I83"/>
    <mergeCell ref="H84:I84"/>
  </mergeCells>
  <dataValidations count="15">
    <dataValidation type="list" allowBlank="1" showInputMessage="1" showErrorMessage="1" sqref="G248:G277" xr:uid="{8E5DEF58-0AC7-402F-8AA1-C41FCAA2158E}">
      <formula1>$I$248:$I$249</formula1>
    </dataValidation>
    <dataValidation type="list" allowBlank="1" showInputMessage="1" showErrorMessage="1" sqref="F101:F120" xr:uid="{C097EB9C-E6B3-45F3-843D-12EC9D678022}">
      <formula1>lstManoeuvres</formula1>
    </dataValidation>
    <dataValidation type="list" allowBlank="1" showInputMessage="1" showErrorMessage="1" sqref="F79:F98" xr:uid="{B0F2336E-5D15-4243-B09D-4DBCEAE36BA7}">
      <formula1>lstMerits</formula1>
    </dataValidation>
    <dataValidation type="list" allowBlank="1" showInputMessage="1" showErrorMessage="1" sqref="F236:F238" xr:uid="{B03B5B4A-6BB8-481C-8B78-7B2BCCCD1DC1}">
      <formula1>lstBanes</formula1>
    </dataValidation>
    <dataValidation type="list" allowBlank="1" showInputMessage="1" showErrorMessage="1" sqref="F206:F215" xr:uid="{575B3941-6058-4BA3-A327-C52C7AF03AB9}">
      <formula1>lstPacts</formula1>
    </dataValidation>
    <dataValidation type="list" allowBlank="1" showInputMessage="1" showErrorMessage="1" sqref="G12:G13" xr:uid="{1ACF04B4-4142-4AFE-A6FE-AB5EB2347AB5}">
      <formula1>lstStatus</formula1>
    </dataValidation>
    <dataValidation type="list" allowBlank="1" showInputMessage="1" showErrorMessage="1" sqref="F194:F205 F207:F215" xr:uid="{F93B15E4-6A7D-4FE4-B031-F86B4AE62CA0}">
      <formula1>lstRites</formula1>
    </dataValidation>
    <dataValidation type="list" allowBlank="1" showInputMessage="1" showErrorMessage="1" sqref="F177:F181" xr:uid="{B7D4E4C7-F10F-4379-95A1-D3EB88CC596C}">
      <formula1>lstDevotions</formula1>
    </dataValidation>
    <dataValidation type="list" allowBlank="1" showInputMessage="1" showErrorMessage="1" sqref="F17:F21" xr:uid="{9E3B9A92-2352-4FD3-9685-361FA5E6EBE7}">
      <formula1>"TRUE,FALSE"</formula1>
    </dataValidation>
    <dataValidation type="list" allowBlank="1" showInputMessage="1" showErrorMessage="1" sqref="F24" xr:uid="{CAC47B64-F06C-4426-B041-AEEA7221040D}">
      <formula1>$D$7:$D$8</formula1>
    </dataValidation>
    <dataValidation type="list" allowBlank="1" showInputMessage="1" showErrorMessage="1" sqref="I25 I30 I35 I41 I51 I61" xr:uid="{9DD2D5B2-A775-4775-A8C2-AC392C8C015F}">
      <formula1>lstPriority</formula1>
    </dataValidation>
    <dataValidation type="list" allowBlank="1" showInputMessage="1" showErrorMessage="1" sqref="F10:F11" xr:uid="{4433B769-6C55-4205-86EE-C9935E3843E6}">
      <formula1>lstNature</formula1>
    </dataValidation>
    <dataValidation type="list" allowBlank="1" showInputMessage="1" showErrorMessage="1" sqref="F8" xr:uid="{2012E0FB-1A3C-45CE-BA3C-2B5B31A3150C}">
      <formula1>lstBloodlines</formula1>
    </dataValidation>
    <dataValidation type="list" allowBlank="1" showInputMessage="1" showErrorMessage="1" sqref="F9" xr:uid="{9DF7E3F7-B522-4B7C-AA8D-33F44FA3A6BF}">
      <formula1>lstCovenant</formula1>
    </dataValidation>
    <dataValidation type="list" allowBlank="1" showInputMessage="1" showErrorMessage="1" sqref="F7" xr:uid="{CACFDF8E-9A9E-4B0A-9E89-ADA421BDADF2}">
      <formula1>lstClan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4E55E478-13A7-4FC3-8800-393E13383BF0}">
          <x14:formula1>
            <xm:f>'Lookup-Domain'!$A$2:$A$8</xm:f>
          </x14:formula1>
          <xm:sqref>F143:F157</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74378-096D-413D-94E9-8C96ECA67FBB}">
  <dimension ref="A2:S190"/>
  <sheetViews>
    <sheetView topLeftCell="L1" zoomScale="130" zoomScaleNormal="130" workbookViewId="0">
      <selection activeCell="L172" sqref="L172"/>
    </sheetView>
  </sheetViews>
  <sheetFormatPr defaultRowHeight="15"/>
  <cols>
    <col min="1" max="1" width="16.85546875" bestFit="1" customWidth="1"/>
    <col min="2" max="2" width="30.42578125" bestFit="1" customWidth="1"/>
    <col min="3" max="3" width="27" bestFit="1" customWidth="1"/>
    <col min="4" max="4" width="9.85546875" bestFit="1" customWidth="1"/>
    <col min="5" max="5" width="24.5703125" bestFit="1" customWidth="1"/>
    <col min="6" max="6" width="18.85546875" bestFit="1" customWidth="1"/>
    <col min="7" max="7" width="10.28515625" bestFit="1" customWidth="1"/>
    <col min="8" max="8" width="10.140625" bestFit="1" customWidth="1"/>
    <col min="9" max="9" width="21" bestFit="1" customWidth="1"/>
    <col min="10" max="10" width="12.5703125" bestFit="1" customWidth="1"/>
    <col min="11" max="12" width="24.28515625" bestFit="1" customWidth="1"/>
    <col min="13" max="13" width="28.7109375" bestFit="1" customWidth="1"/>
    <col min="14" max="14" width="30.5703125" bestFit="1" customWidth="1"/>
    <col min="15" max="15" width="20.42578125" bestFit="1" customWidth="1"/>
    <col min="19" max="19" width="10.42578125" bestFit="1" customWidth="1"/>
  </cols>
  <sheetData>
    <row r="2" spans="1:19">
      <c r="A2" t="s">
        <v>558</v>
      </c>
      <c r="B2" t="s">
        <v>1834</v>
      </c>
      <c r="C2" t="s">
        <v>1835</v>
      </c>
      <c r="D2" t="s">
        <v>790</v>
      </c>
      <c r="E2" t="s">
        <v>1836</v>
      </c>
      <c r="F2" t="s">
        <v>607</v>
      </c>
      <c r="G2" t="s">
        <v>236</v>
      </c>
      <c r="H2" t="s">
        <v>1565</v>
      </c>
      <c r="I2" t="s">
        <v>596</v>
      </c>
      <c r="J2" t="s">
        <v>25</v>
      </c>
      <c r="K2" t="s">
        <v>1837</v>
      </c>
      <c r="N2" t="s">
        <v>1838</v>
      </c>
      <c r="O2" t="s">
        <v>412</v>
      </c>
      <c r="P2" t="s">
        <v>1693</v>
      </c>
      <c r="Q2" t="s">
        <v>1839</v>
      </c>
      <c r="R2" t="s">
        <v>1840</v>
      </c>
      <c r="S2" t="s">
        <v>1841</v>
      </c>
    </row>
    <row r="3" spans="1:19">
      <c r="A3" t="s">
        <v>985</v>
      </c>
      <c r="B3" t="s">
        <v>1842</v>
      </c>
      <c r="C3" t="s">
        <v>1843</v>
      </c>
      <c r="D3" t="s">
        <v>491</v>
      </c>
      <c r="E3" t="s">
        <v>1844</v>
      </c>
      <c r="F3" t="s">
        <v>373</v>
      </c>
      <c r="G3" t="s">
        <v>237</v>
      </c>
      <c r="H3" t="s">
        <v>1567</v>
      </c>
      <c r="I3" t="s">
        <v>1845</v>
      </c>
      <c r="J3" t="s">
        <v>41</v>
      </c>
      <c r="K3" t="s">
        <v>1846</v>
      </c>
      <c r="L3" t="s">
        <v>1847</v>
      </c>
      <c r="M3" t="s">
        <v>1848</v>
      </c>
      <c r="N3" t="s">
        <v>1849</v>
      </c>
      <c r="O3" t="s">
        <v>1779</v>
      </c>
      <c r="P3" t="s">
        <v>1588</v>
      </c>
      <c r="Q3" t="s">
        <v>1847</v>
      </c>
      <c r="R3" t="s">
        <v>1531</v>
      </c>
      <c r="S3" t="s">
        <v>1354</v>
      </c>
    </row>
    <row r="4" spans="1:19">
      <c r="A4" t="s">
        <v>877</v>
      </c>
      <c r="B4" t="s">
        <v>1843</v>
      </c>
      <c r="C4" t="s">
        <v>1850</v>
      </c>
      <c r="D4" t="s">
        <v>370</v>
      </c>
      <c r="E4" t="s">
        <v>1851</v>
      </c>
      <c r="F4" t="s">
        <v>396</v>
      </c>
      <c r="G4" t="s">
        <v>238</v>
      </c>
      <c r="H4" t="s">
        <v>1566</v>
      </c>
      <c r="I4" t="s">
        <v>1852</v>
      </c>
      <c r="J4" t="s">
        <v>33</v>
      </c>
      <c r="K4" t="s">
        <v>1853</v>
      </c>
      <c r="L4" t="s">
        <v>1854</v>
      </c>
      <c r="M4" t="s">
        <v>1855</v>
      </c>
      <c r="N4" t="s">
        <v>1856</v>
      </c>
      <c r="O4" t="s">
        <v>413</v>
      </c>
      <c r="P4" t="s">
        <v>854</v>
      </c>
      <c r="Q4" t="s">
        <v>1854</v>
      </c>
      <c r="R4" t="s">
        <v>1352</v>
      </c>
      <c r="S4" t="s">
        <v>1857</v>
      </c>
    </row>
    <row r="5" spans="1:19">
      <c r="A5" t="s">
        <v>684</v>
      </c>
      <c r="B5" t="s">
        <v>1858</v>
      </c>
      <c r="C5" t="s">
        <v>1800</v>
      </c>
      <c r="D5" t="s">
        <v>680</v>
      </c>
      <c r="E5" t="s">
        <v>1859</v>
      </c>
      <c r="F5" t="s">
        <v>556</v>
      </c>
      <c r="G5" t="s">
        <v>239</v>
      </c>
      <c r="I5" t="s">
        <v>1860</v>
      </c>
      <c r="J5" t="s">
        <v>34</v>
      </c>
      <c r="K5" t="s">
        <v>1861</v>
      </c>
      <c r="L5" t="s">
        <v>1862</v>
      </c>
      <c r="M5" t="s">
        <v>1660</v>
      </c>
      <c r="N5" t="s">
        <v>1863</v>
      </c>
      <c r="O5" t="s">
        <v>96</v>
      </c>
      <c r="P5" t="s">
        <v>1672</v>
      </c>
      <c r="Q5" t="s">
        <v>1862</v>
      </c>
      <c r="R5" t="s">
        <v>1359</v>
      </c>
      <c r="S5" t="s">
        <v>1864</v>
      </c>
    </row>
    <row r="6" spans="1:19">
      <c r="A6" t="s">
        <v>1865</v>
      </c>
      <c r="B6" t="s">
        <v>1866</v>
      </c>
      <c r="C6" t="s">
        <v>1819</v>
      </c>
      <c r="D6" t="s">
        <v>553</v>
      </c>
      <c r="E6" t="s">
        <v>1867</v>
      </c>
      <c r="F6" t="s">
        <v>1868</v>
      </c>
      <c r="G6" t="s">
        <v>240</v>
      </c>
      <c r="I6" t="s">
        <v>1869</v>
      </c>
      <c r="J6" t="s">
        <v>26</v>
      </c>
      <c r="K6" t="s">
        <v>1870</v>
      </c>
      <c r="L6" t="s">
        <v>1871</v>
      </c>
      <c r="M6" t="s">
        <v>1872</v>
      </c>
      <c r="N6" t="s">
        <v>1873</v>
      </c>
      <c r="O6" t="s">
        <v>95</v>
      </c>
      <c r="P6" t="s">
        <v>1874</v>
      </c>
      <c r="Q6" t="s">
        <v>1871</v>
      </c>
      <c r="R6" t="s">
        <v>1367</v>
      </c>
      <c r="S6" t="s">
        <v>1875</v>
      </c>
    </row>
    <row r="7" spans="1:19">
      <c r="A7" t="s">
        <v>792</v>
      </c>
      <c r="B7" t="s">
        <v>1876</v>
      </c>
      <c r="C7" t="s">
        <v>1877</v>
      </c>
      <c r="E7" t="s">
        <v>824</v>
      </c>
      <c r="G7" t="s">
        <v>241</v>
      </c>
      <c r="I7" t="s">
        <v>542</v>
      </c>
      <c r="J7" t="s">
        <v>27</v>
      </c>
      <c r="K7" t="s">
        <v>1878</v>
      </c>
      <c r="L7" t="s">
        <v>1879</v>
      </c>
      <c r="M7" t="s">
        <v>1880</v>
      </c>
      <c r="N7" t="s">
        <v>1881</v>
      </c>
      <c r="O7" t="s">
        <v>1882</v>
      </c>
      <c r="Q7" t="s">
        <v>1879</v>
      </c>
      <c r="R7" t="s">
        <v>1356</v>
      </c>
      <c r="S7" t="s">
        <v>1883</v>
      </c>
    </row>
    <row r="8" spans="1:19">
      <c r="A8" t="s">
        <v>638</v>
      </c>
      <c r="B8" t="s">
        <v>1884</v>
      </c>
      <c r="C8" t="s">
        <v>1885</v>
      </c>
      <c r="E8" t="s">
        <v>1886</v>
      </c>
      <c r="G8" t="s">
        <v>242</v>
      </c>
      <c r="I8" t="s">
        <v>1887</v>
      </c>
      <c r="J8" t="s">
        <v>35</v>
      </c>
      <c r="K8" t="s">
        <v>1734</v>
      </c>
      <c r="L8" t="s">
        <v>1888</v>
      </c>
      <c r="M8" t="s">
        <v>1889</v>
      </c>
      <c r="N8" t="s">
        <v>1890</v>
      </c>
      <c r="O8" t="s">
        <v>1573</v>
      </c>
      <c r="Q8" t="s">
        <v>1888</v>
      </c>
      <c r="R8" t="s">
        <v>1372</v>
      </c>
      <c r="S8" t="s">
        <v>1891</v>
      </c>
    </row>
    <row r="9" spans="1:19">
      <c r="A9" t="s">
        <v>1282</v>
      </c>
      <c r="B9" t="s">
        <v>1892</v>
      </c>
      <c r="C9" t="s">
        <v>1893</v>
      </c>
      <c r="E9" t="s">
        <v>555</v>
      </c>
      <c r="G9" t="s">
        <v>243</v>
      </c>
      <c r="I9" t="s">
        <v>1106</v>
      </c>
      <c r="J9" t="s">
        <v>42</v>
      </c>
      <c r="K9" t="s">
        <v>1894</v>
      </c>
      <c r="L9" t="s">
        <v>1895</v>
      </c>
      <c r="M9" t="s">
        <v>1896</v>
      </c>
      <c r="N9" t="s">
        <v>1897</v>
      </c>
      <c r="O9" t="s">
        <v>1716</v>
      </c>
      <c r="Q9" t="s">
        <v>1895</v>
      </c>
      <c r="S9" t="s">
        <v>1898</v>
      </c>
    </row>
    <row r="10" spans="1:19">
      <c r="A10" t="s">
        <v>375</v>
      </c>
      <c r="B10" t="s">
        <v>1899</v>
      </c>
      <c r="C10" t="s">
        <v>1900</v>
      </c>
      <c r="E10" t="s">
        <v>1901</v>
      </c>
      <c r="G10" t="s">
        <v>244</v>
      </c>
      <c r="I10" t="s">
        <v>1902</v>
      </c>
      <c r="J10" t="s">
        <v>43</v>
      </c>
      <c r="K10" t="s">
        <v>1903</v>
      </c>
      <c r="L10" t="s">
        <v>1904</v>
      </c>
      <c r="M10" t="s">
        <v>1905</v>
      </c>
      <c r="N10" t="s">
        <v>1906</v>
      </c>
      <c r="O10" t="s">
        <v>1016</v>
      </c>
      <c r="Q10" t="s">
        <v>1904</v>
      </c>
      <c r="S10" t="s">
        <v>1907</v>
      </c>
    </row>
    <row r="11" spans="1:19">
      <c r="A11" t="s">
        <v>1140</v>
      </c>
      <c r="B11" t="s">
        <v>1908</v>
      </c>
      <c r="C11" t="s">
        <v>1909</v>
      </c>
      <c r="E11" t="s">
        <v>1910</v>
      </c>
      <c r="G11" t="s">
        <v>245</v>
      </c>
      <c r="I11" t="s">
        <v>1911</v>
      </c>
      <c r="J11" t="s">
        <v>36</v>
      </c>
      <c r="K11" t="s">
        <v>1912</v>
      </c>
      <c r="L11" t="s">
        <v>1913</v>
      </c>
      <c r="M11" t="s">
        <v>1658</v>
      </c>
      <c r="N11" t="s">
        <v>1914</v>
      </c>
      <c r="O11" t="s">
        <v>525</v>
      </c>
      <c r="Q11" t="s">
        <v>1913</v>
      </c>
      <c r="S11" t="s">
        <v>1369</v>
      </c>
    </row>
    <row r="12" spans="1:19">
      <c r="A12" t="s">
        <v>936</v>
      </c>
      <c r="B12" t="s">
        <v>1915</v>
      </c>
      <c r="C12" t="s">
        <v>1916</v>
      </c>
      <c r="E12" t="s">
        <v>1071</v>
      </c>
      <c r="I12" t="s">
        <v>748</v>
      </c>
      <c r="J12" t="s">
        <v>44</v>
      </c>
      <c r="K12" t="s">
        <v>1917</v>
      </c>
      <c r="L12" t="s">
        <v>1918</v>
      </c>
      <c r="M12" t="s">
        <v>1919</v>
      </c>
      <c r="N12" t="s">
        <v>1920</v>
      </c>
      <c r="O12" t="s">
        <v>468</v>
      </c>
      <c r="Q12" t="s">
        <v>1918</v>
      </c>
      <c r="S12" t="s">
        <v>1921</v>
      </c>
    </row>
    <row r="13" spans="1:19">
      <c r="A13" t="s">
        <v>609</v>
      </c>
      <c r="B13" t="s">
        <v>1922</v>
      </c>
      <c r="C13" t="s">
        <v>1923</v>
      </c>
      <c r="E13" t="s">
        <v>1924</v>
      </c>
      <c r="I13" t="s">
        <v>1925</v>
      </c>
      <c r="J13" t="s">
        <v>28</v>
      </c>
      <c r="K13" t="s">
        <v>1679</v>
      </c>
      <c r="L13" t="s">
        <v>1926</v>
      </c>
      <c r="M13" t="s">
        <v>1927</v>
      </c>
      <c r="N13" t="s">
        <v>1928</v>
      </c>
      <c r="O13" t="s">
        <v>94</v>
      </c>
      <c r="Q13" t="s">
        <v>1926</v>
      </c>
      <c r="S13" t="s">
        <v>1929</v>
      </c>
    </row>
    <row r="14" spans="1:19">
      <c r="A14" t="s">
        <v>876</v>
      </c>
      <c r="B14" t="s">
        <v>1877</v>
      </c>
      <c r="C14" t="s">
        <v>1930</v>
      </c>
      <c r="E14" t="s">
        <v>1180</v>
      </c>
      <c r="I14" t="s">
        <v>1060</v>
      </c>
      <c r="J14" t="s">
        <v>37</v>
      </c>
      <c r="K14" t="s">
        <v>1931</v>
      </c>
      <c r="L14" t="s">
        <v>1785</v>
      </c>
      <c r="M14" t="s">
        <v>1932</v>
      </c>
      <c r="N14" t="s">
        <v>1933</v>
      </c>
      <c r="O14" t="s">
        <v>1311</v>
      </c>
      <c r="Q14" t="s">
        <v>1785</v>
      </c>
      <c r="S14" t="s">
        <v>1934</v>
      </c>
    </row>
    <row r="15" spans="1:19">
      <c r="A15" t="s">
        <v>1201</v>
      </c>
      <c r="B15" t="s">
        <v>1935</v>
      </c>
      <c r="C15" t="s">
        <v>1936</v>
      </c>
      <c r="E15" t="s">
        <v>1937</v>
      </c>
      <c r="I15" t="s">
        <v>439</v>
      </c>
      <c r="J15" t="s">
        <v>29</v>
      </c>
      <c r="K15" t="s">
        <v>1938</v>
      </c>
      <c r="M15" t="s">
        <v>1659</v>
      </c>
      <c r="N15" t="s">
        <v>1939</v>
      </c>
      <c r="O15" t="s">
        <v>1940</v>
      </c>
      <c r="Q15" t="s">
        <v>1941</v>
      </c>
      <c r="S15" t="s">
        <v>1942</v>
      </c>
    </row>
    <row r="16" spans="1:19">
      <c r="A16" t="s">
        <v>1072</v>
      </c>
      <c r="B16" t="s">
        <v>1943</v>
      </c>
      <c r="C16" t="s">
        <v>1944</v>
      </c>
      <c r="E16" t="s">
        <v>682</v>
      </c>
      <c r="I16" t="s">
        <v>1945</v>
      </c>
      <c r="J16" t="s">
        <v>30</v>
      </c>
      <c r="K16" t="s">
        <v>1946</v>
      </c>
      <c r="M16" t="s">
        <v>1661</v>
      </c>
      <c r="N16" t="s">
        <v>1947</v>
      </c>
      <c r="Q16" t="s">
        <v>1848</v>
      </c>
    </row>
    <row r="17" spans="1:17">
      <c r="A17" t="s">
        <v>494</v>
      </c>
      <c r="B17" t="s">
        <v>1948</v>
      </c>
      <c r="C17" t="s">
        <v>1949</v>
      </c>
      <c r="E17" t="s">
        <v>1950</v>
      </c>
      <c r="I17" t="s">
        <v>1951</v>
      </c>
      <c r="J17" t="s">
        <v>45</v>
      </c>
      <c r="K17" t="s">
        <v>1952</v>
      </c>
      <c r="N17" t="s">
        <v>1953</v>
      </c>
      <c r="Q17" t="s">
        <v>1855</v>
      </c>
    </row>
    <row r="18" spans="1:17">
      <c r="A18" t="s">
        <v>1954</v>
      </c>
      <c r="B18" t="s">
        <v>1955</v>
      </c>
      <c r="C18" t="s">
        <v>1935</v>
      </c>
      <c r="E18" t="s">
        <v>1956</v>
      </c>
      <c r="I18" t="s">
        <v>438</v>
      </c>
      <c r="J18" t="s">
        <v>31</v>
      </c>
      <c r="K18" t="s">
        <v>1957</v>
      </c>
      <c r="N18" t="s">
        <v>1958</v>
      </c>
      <c r="Q18" t="s">
        <v>1660</v>
      </c>
    </row>
    <row r="19" spans="1:17">
      <c r="A19" t="s">
        <v>640</v>
      </c>
      <c r="B19" t="s">
        <v>1959</v>
      </c>
      <c r="C19" t="s">
        <v>1708</v>
      </c>
      <c r="E19" t="s">
        <v>875</v>
      </c>
      <c r="I19" t="s">
        <v>813</v>
      </c>
      <c r="J19" t="s">
        <v>32</v>
      </c>
      <c r="K19" t="s">
        <v>1813</v>
      </c>
      <c r="N19" t="s">
        <v>1960</v>
      </c>
      <c r="Q19" t="s">
        <v>1872</v>
      </c>
    </row>
    <row r="20" spans="1:17">
      <c r="A20" t="s">
        <v>954</v>
      </c>
      <c r="B20" t="s">
        <v>1961</v>
      </c>
      <c r="C20" t="s">
        <v>1962</v>
      </c>
      <c r="E20" t="s">
        <v>984</v>
      </c>
      <c r="I20" t="s">
        <v>1963</v>
      </c>
      <c r="J20" t="s">
        <v>46</v>
      </c>
      <c r="K20" t="s">
        <v>1964</v>
      </c>
      <c r="N20" t="s">
        <v>1965</v>
      </c>
      <c r="Q20" t="s">
        <v>1880</v>
      </c>
    </row>
    <row r="21" spans="1:17">
      <c r="A21" t="s">
        <v>493</v>
      </c>
      <c r="B21" t="s">
        <v>1966</v>
      </c>
      <c r="C21" t="s">
        <v>1884</v>
      </c>
      <c r="E21" t="s">
        <v>1967</v>
      </c>
      <c r="J21" t="s">
        <v>38</v>
      </c>
      <c r="K21" t="s">
        <v>1805</v>
      </c>
      <c r="N21" t="s">
        <v>1763</v>
      </c>
      <c r="Q21" t="s">
        <v>1889</v>
      </c>
    </row>
    <row r="22" spans="1:17">
      <c r="A22" t="s">
        <v>450</v>
      </c>
      <c r="B22" t="s">
        <v>1968</v>
      </c>
      <c r="C22" t="s">
        <v>1969</v>
      </c>
      <c r="E22" t="s">
        <v>1970</v>
      </c>
      <c r="J22" t="s">
        <v>47</v>
      </c>
      <c r="K22" t="s">
        <v>1971</v>
      </c>
      <c r="N22" t="s">
        <v>1972</v>
      </c>
      <c r="Q22" t="s">
        <v>1896</v>
      </c>
    </row>
    <row r="23" spans="1:17">
      <c r="A23" t="s">
        <v>685</v>
      </c>
      <c r="B23" t="s">
        <v>1744</v>
      </c>
      <c r="C23" t="s">
        <v>1966</v>
      </c>
      <c r="E23" t="s">
        <v>1250</v>
      </c>
      <c r="J23" t="s">
        <v>48</v>
      </c>
      <c r="K23" t="s">
        <v>1735</v>
      </c>
      <c r="N23" t="s">
        <v>1973</v>
      </c>
      <c r="Q23" t="s">
        <v>1905</v>
      </c>
    </row>
    <row r="24" spans="1:17">
      <c r="A24" t="s">
        <v>376</v>
      </c>
      <c r="B24" t="s">
        <v>1974</v>
      </c>
      <c r="C24" t="s">
        <v>1702</v>
      </c>
      <c r="E24" t="s">
        <v>1975</v>
      </c>
      <c r="J24" t="s">
        <v>39</v>
      </c>
      <c r="K24" t="s">
        <v>1976</v>
      </c>
      <c r="N24" t="s">
        <v>1977</v>
      </c>
      <c r="Q24" t="s">
        <v>1658</v>
      </c>
    </row>
    <row r="25" spans="1:17">
      <c r="A25" t="s">
        <v>793</v>
      </c>
      <c r="B25" t="s">
        <v>1978</v>
      </c>
      <c r="C25" t="s">
        <v>1979</v>
      </c>
      <c r="E25" t="s">
        <v>1980</v>
      </c>
      <c r="J25" t="s">
        <v>40</v>
      </c>
      <c r="K25" t="s">
        <v>1981</v>
      </c>
      <c r="N25" t="s">
        <v>1982</v>
      </c>
      <c r="Q25" t="s">
        <v>1919</v>
      </c>
    </row>
    <row r="26" spans="1:17">
      <c r="A26" t="s">
        <v>759</v>
      </c>
      <c r="B26" t="s">
        <v>1983</v>
      </c>
      <c r="C26" t="s">
        <v>1834</v>
      </c>
      <c r="E26" t="s">
        <v>1984</v>
      </c>
      <c r="K26" t="s">
        <v>1981</v>
      </c>
      <c r="N26" t="s">
        <v>1985</v>
      </c>
      <c r="Q26" t="s">
        <v>1927</v>
      </c>
    </row>
    <row r="27" spans="1:17">
      <c r="A27" t="s">
        <v>1315</v>
      </c>
      <c r="B27" t="s">
        <v>1944</v>
      </c>
      <c r="C27" t="s">
        <v>1986</v>
      </c>
      <c r="E27" t="s">
        <v>1987</v>
      </c>
      <c r="K27" t="s">
        <v>1988</v>
      </c>
      <c r="N27" t="s">
        <v>1989</v>
      </c>
      <c r="Q27" t="s">
        <v>1932</v>
      </c>
    </row>
    <row r="28" spans="1:17">
      <c r="A28" t="s">
        <v>853</v>
      </c>
      <c r="B28" t="s">
        <v>1990</v>
      </c>
      <c r="C28" t="s">
        <v>1948</v>
      </c>
      <c r="E28" t="s">
        <v>1991</v>
      </c>
      <c r="K28" t="s">
        <v>1736</v>
      </c>
      <c r="N28" t="s">
        <v>1992</v>
      </c>
      <c r="Q28" t="s">
        <v>1659</v>
      </c>
    </row>
    <row r="29" spans="1:17">
      <c r="B29" t="s">
        <v>1993</v>
      </c>
      <c r="C29" t="s">
        <v>1959</v>
      </c>
      <c r="E29" t="s">
        <v>1994</v>
      </c>
      <c r="K29" t="s">
        <v>1804</v>
      </c>
      <c r="N29" t="s">
        <v>1995</v>
      </c>
      <c r="Q29" t="s">
        <v>1661</v>
      </c>
    </row>
    <row r="30" spans="1:17">
      <c r="B30" t="s">
        <v>1885</v>
      </c>
      <c r="C30" t="s">
        <v>1996</v>
      </c>
      <c r="E30" t="s">
        <v>1997</v>
      </c>
      <c r="K30" t="s">
        <v>1998</v>
      </c>
      <c r="N30" t="s">
        <v>1999</v>
      </c>
    </row>
    <row r="31" spans="1:17">
      <c r="B31" t="s">
        <v>2000</v>
      </c>
      <c r="C31" t="s">
        <v>1641</v>
      </c>
      <c r="E31" t="s">
        <v>2001</v>
      </c>
      <c r="K31" t="s">
        <v>1657</v>
      </c>
      <c r="N31" t="s">
        <v>2002</v>
      </c>
    </row>
    <row r="32" spans="1:17">
      <c r="B32" t="s">
        <v>2003</v>
      </c>
      <c r="C32" t="s">
        <v>1723</v>
      </c>
      <c r="E32" t="s">
        <v>2004</v>
      </c>
      <c r="K32" t="s">
        <v>1691</v>
      </c>
      <c r="N32" t="s">
        <v>2005</v>
      </c>
    </row>
    <row r="33" spans="2:14">
      <c r="B33" t="s">
        <v>1612</v>
      </c>
      <c r="C33" t="s">
        <v>2006</v>
      </c>
      <c r="E33" t="s">
        <v>1281</v>
      </c>
      <c r="K33" t="s">
        <v>1691</v>
      </c>
      <c r="N33" t="s">
        <v>1597</v>
      </c>
    </row>
    <row r="34" spans="2:14">
      <c r="B34" t="s">
        <v>1613</v>
      </c>
      <c r="C34" t="s">
        <v>2007</v>
      </c>
      <c r="E34" t="s">
        <v>2008</v>
      </c>
      <c r="K34" t="s">
        <v>2009</v>
      </c>
      <c r="N34" t="s">
        <v>2010</v>
      </c>
    </row>
    <row r="35" spans="2:14">
      <c r="B35" t="s">
        <v>1614</v>
      </c>
      <c r="C35" t="s">
        <v>2011</v>
      </c>
      <c r="E35" t="s">
        <v>2012</v>
      </c>
      <c r="K35" t="s">
        <v>2013</v>
      </c>
      <c r="N35" t="s">
        <v>2014</v>
      </c>
    </row>
    <row r="36" spans="2:14">
      <c r="B36" t="s">
        <v>1615</v>
      </c>
      <c r="C36" t="s">
        <v>2015</v>
      </c>
      <c r="E36" t="s">
        <v>2016</v>
      </c>
      <c r="K36" t="s">
        <v>2017</v>
      </c>
      <c r="N36" t="s">
        <v>2018</v>
      </c>
    </row>
    <row r="37" spans="2:14">
      <c r="B37" t="s">
        <v>1616</v>
      </c>
      <c r="C37" t="s">
        <v>2019</v>
      </c>
      <c r="E37" t="s">
        <v>2020</v>
      </c>
      <c r="K37" t="s">
        <v>2021</v>
      </c>
      <c r="N37" t="s">
        <v>2022</v>
      </c>
    </row>
    <row r="38" spans="2:14">
      <c r="B38" t="s">
        <v>1640</v>
      </c>
      <c r="C38" t="s">
        <v>2023</v>
      </c>
      <c r="E38" t="s">
        <v>2024</v>
      </c>
      <c r="K38" t="s">
        <v>1816</v>
      </c>
      <c r="N38" t="s">
        <v>2025</v>
      </c>
    </row>
    <row r="39" spans="2:14">
      <c r="B39" t="s">
        <v>2026</v>
      </c>
      <c r="C39" t="s">
        <v>2027</v>
      </c>
      <c r="E39" t="s">
        <v>2028</v>
      </c>
      <c r="K39" t="s">
        <v>1814</v>
      </c>
      <c r="N39" t="s">
        <v>2029</v>
      </c>
    </row>
    <row r="40" spans="2:14">
      <c r="B40" t="s">
        <v>1641</v>
      </c>
      <c r="C40" t="s">
        <v>1640</v>
      </c>
      <c r="E40" t="s">
        <v>2030</v>
      </c>
      <c r="K40" t="s">
        <v>1607</v>
      </c>
      <c r="N40" t="s">
        <v>2031</v>
      </c>
    </row>
    <row r="41" spans="2:14">
      <c r="B41" t="s">
        <v>1768</v>
      </c>
      <c r="C41" t="s">
        <v>2032</v>
      </c>
      <c r="E41" t="s">
        <v>2033</v>
      </c>
      <c r="K41" t="s">
        <v>2034</v>
      </c>
      <c r="N41" t="s">
        <v>2035</v>
      </c>
    </row>
    <row r="42" spans="2:14">
      <c r="B42" t="s">
        <v>1769</v>
      </c>
      <c r="C42" t="s">
        <v>2036</v>
      </c>
      <c r="E42" t="s">
        <v>2037</v>
      </c>
      <c r="K42" t="s">
        <v>2038</v>
      </c>
      <c r="N42" t="s">
        <v>2039</v>
      </c>
    </row>
    <row r="43" spans="2:14">
      <c r="B43" t="s">
        <v>2040</v>
      </c>
      <c r="C43" t="s">
        <v>1990</v>
      </c>
      <c r="E43" t="s">
        <v>2041</v>
      </c>
      <c r="K43" t="s">
        <v>2042</v>
      </c>
      <c r="N43" t="s">
        <v>2043</v>
      </c>
    </row>
    <row r="44" spans="2:14">
      <c r="B44" t="s">
        <v>1923</v>
      </c>
      <c r="C44" t="s">
        <v>2044</v>
      </c>
      <c r="E44" t="s">
        <v>2045</v>
      </c>
      <c r="K44" t="s">
        <v>2046</v>
      </c>
      <c r="N44" t="s">
        <v>2047</v>
      </c>
    </row>
    <row r="45" spans="2:14">
      <c r="B45" t="s">
        <v>2048</v>
      </c>
      <c r="C45" t="s">
        <v>2049</v>
      </c>
      <c r="E45" t="s">
        <v>2050</v>
      </c>
      <c r="K45" t="s">
        <v>1762</v>
      </c>
      <c r="N45" t="s">
        <v>1738</v>
      </c>
    </row>
    <row r="46" spans="2:14">
      <c r="B46" t="s">
        <v>2051</v>
      </c>
      <c r="C46" t="s">
        <v>2052</v>
      </c>
      <c r="E46" t="s">
        <v>2053</v>
      </c>
      <c r="K46" t="s">
        <v>2054</v>
      </c>
      <c r="N46" t="s">
        <v>2055</v>
      </c>
    </row>
    <row r="47" spans="2:14">
      <c r="B47" t="s">
        <v>2056</v>
      </c>
      <c r="C47" t="s">
        <v>1643</v>
      </c>
      <c r="E47" t="s">
        <v>2057</v>
      </c>
      <c r="K47" t="s">
        <v>2058</v>
      </c>
      <c r="N47" t="s">
        <v>1669</v>
      </c>
    </row>
    <row r="48" spans="2:14">
      <c r="B48" t="s">
        <v>2059</v>
      </c>
      <c r="C48" t="s">
        <v>1728</v>
      </c>
      <c r="E48" t="s">
        <v>2060</v>
      </c>
      <c r="K48" t="s">
        <v>1761</v>
      </c>
      <c r="N48" t="s">
        <v>1586</v>
      </c>
    </row>
    <row r="49" spans="2:14">
      <c r="B49" t="s">
        <v>1727</v>
      </c>
      <c r="C49" t="s">
        <v>2061</v>
      </c>
      <c r="E49" t="s">
        <v>2062</v>
      </c>
      <c r="K49" t="s">
        <v>2063</v>
      </c>
      <c r="N49" t="s">
        <v>2064</v>
      </c>
    </row>
    <row r="50" spans="2:14">
      <c r="B50" t="s">
        <v>1728</v>
      </c>
      <c r="C50" t="s">
        <v>2065</v>
      </c>
      <c r="E50" t="s">
        <v>2066</v>
      </c>
      <c r="K50" t="s">
        <v>2067</v>
      </c>
      <c r="N50" t="s">
        <v>2068</v>
      </c>
    </row>
    <row r="51" spans="2:14">
      <c r="B51" t="s">
        <v>1730</v>
      </c>
      <c r="C51" t="s">
        <v>2069</v>
      </c>
      <c r="E51" t="s">
        <v>2070</v>
      </c>
      <c r="K51" t="s">
        <v>2071</v>
      </c>
      <c r="N51" t="s">
        <v>1775</v>
      </c>
    </row>
    <row r="52" spans="2:14">
      <c r="B52" t="s">
        <v>1729</v>
      </c>
      <c r="C52" t="s">
        <v>2059</v>
      </c>
      <c r="E52" t="s">
        <v>2072</v>
      </c>
      <c r="K52" t="s">
        <v>1803</v>
      </c>
      <c r="N52" t="s">
        <v>1764</v>
      </c>
    </row>
    <row r="53" spans="2:14">
      <c r="B53" t="s">
        <v>1800</v>
      </c>
      <c r="C53" t="s">
        <v>2056</v>
      </c>
      <c r="E53" t="s">
        <v>2073</v>
      </c>
      <c r="K53" t="s">
        <v>2074</v>
      </c>
      <c r="N53" t="s">
        <v>1621</v>
      </c>
    </row>
    <row r="54" spans="2:14">
      <c r="B54" t="s">
        <v>2075</v>
      </c>
      <c r="C54" t="s">
        <v>1706</v>
      </c>
      <c r="E54" t="s">
        <v>2076</v>
      </c>
      <c r="K54" t="s">
        <v>2077</v>
      </c>
      <c r="N54" t="s">
        <v>2078</v>
      </c>
    </row>
    <row r="55" spans="2:14">
      <c r="B55" t="s">
        <v>2006</v>
      </c>
      <c r="C55" t="s">
        <v>1993</v>
      </c>
      <c r="E55" t="s">
        <v>2079</v>
      </c>
      <c r="K55" t="s">
        <v>1815</v>
      </c>
      <c r="N55" t="s">
        <v>2080</v>
      </c>
    </row>
    <row r="56" spans="2:14">
      <c r="B56" t="s">
        <v>2081</v>
      </c>
      <c r="C56" t="s">
        <v>1955</v>
      </c>
      <c r="E56" t="s">
        <v>2082</v>
      </c>
      <c r="K56" t="s">
        <v>1784</v>
      </c>
      <c r="N56" t="s">
        <v>2083</v>
      </c>
    </row>
    <row r="57" spans="2:14">
      <c r="B57" t="s">
        <v>2084</v>
      </c>
      <c r="C57" t="s">
        <v>2085</v>
      </c>
      <c r="E57" t="s">
        <v>2086</v>
      </c>
      <c r="K57" t="s">
        <v>2087</v>
      </c>
      <c r="N57" t="s">
        <v>2088</v>
      </c>
    </row>
    <row r="58" spans="2:14">
      <c r="B58" t="s">
        <v>2089</v>
      </c>
      <c r="C58" t="s">
        <v>2090</v>
      </c>
      <c r="E58" t="s">
        <v>2091</v>
      </c>
      <c r="K58" t="s">
        <v>1754</v>
      </c>
      <c r="N58" t="s">
        <v>2092</v>
      </c>
    </row>
    <row r="59" spans="2:14">
      <c r="B59" t="s">
        <v>2093</v>
      </c>
      <c r="C59" t="s">
        <v>1983</v>
      </c>
      <c r="E59" t="s">
        <v>2094</v>
      </c>
      <c r="N59" t="s">
        <v>2095</v>
      </c>
    </row>
    <row r="60" spans="2:14">
      <c r="B60" t="s">
        <v>2096</v>
      </c>
      <c r="C60" t="s">
        <v>2097</v>
      </c>
      <c r="E60" t="s">
        <v>2098</v>
      </c>
      <c r="N60" t="s">
        <v>2099</v>
      </c>
    </row>
    <row r="61" spans="2:14">
      <c r="B61" t="s">
        <v>2100</v>
      </c>
      <c r="C61" t="s">
        <v>2051</v>
      </c>
      <c r="E61" t="s">
        <v>2101</v>
      </c>
      <c r="N61" t="s">
        <v>2102</v>
      </c>
    </row>
    <row r="62" spans="2:14">
      <c r="B62" t="s">
        <v>2103</v>
      </c>
      <c r="C62" t="s">
        <v>1595</v>
      </c>
      <c r="E62" t="s">
        <v>2104</v>
      </c>
      <c r="N62" t="s">
        <v>2105</v>
      </c>
    </row>
    <row r="63" spans="2:14">
      <c r="B63" t="s">
        <v>2106</v>
      </c>
      <c r="C63" t="s">
        <v>2107</v>
      </c>
      <c r="E63" t="s">
        <v>2108</v>
      </c>
      <c r="N63" t="s">
        <v>2109</v>
      </c>
    </row>
    <row r="64" spans="2:14">
      <c r="B64" t="s">
        <v>2110</v>
      </c>
      <c r="C64" t="s">
        <v>1876</v>
      </c>
      <c r="E64" t="s">
        <v>2111</v>
      </c>
      <c r="N64" t="s">
        <v>2112</v>
      </c>
    </row>
    <row r="65" spans="2:14">
      <c r="B65" t="s">
        <v>2113</v>
      </c>
      <c r="C65" t="s">
        <v>1719</v>
      </c>
      <c r="E65" t="s">
        <v>639</v>
      </c>
      <c r="N65" t="s">
        <v>1776</v>
      </c>
    </row>
    <row r="66" spans="2:14">
      <c r="B66" t="s">
        <v>2114</v>
      </c>
      <c r="C66" t="s">
        <v>2113</v>
      </c>
      <c r="E66" t="s">
        <v>2115</v>
      </c>
      <c r="N66" t="s">
        <v>2116</v>
      </c>
    </row>
    <row r="67" spans="2:14">
      <c r="B67" t="s">
        <v>2019</v>
      </c>
      <c r="C67" t="s">
        <v>1858</v>
      </c>
      <c r="E67" t="s">
        <v>2117</v>
      </c>
      <c r="N67" t="s">
        <v>2118</v>
      </c>
    </row>
    <row r="68" spans="2:14">
      <c r="B68" t="s">
        <v>2119</v>
      </c>
      <c r="C68" t="s">
        <v>2075</v>
      </c>
      <c r="E68" t="s">
        <v>2120</v>
      </c>
      <c r="N68" t="s">
        <v>2121</v>
      </c>
    </row>
    <row r="69" spans="2:14">
      <c r="B69" t="s">
        <v>2122</v>
      </c>
      <c r="C69" t="s">
        <v>2114</v>
      </c>
      <c r="E69" t="s">
        <v>2123</v>
      </c>
      <c r="N69" t="s">
        <v>2124</v>
      </c>
    </row>
    <row r="70" spans="2:14">
      <c r="B70" t="s">
        <v>2125</v>
      </c>
      <c r="C70" t="s">
        <v>2126</v>
      </c>
      <c r="E70" t="s">
        <v>2127</v>
      </c>
      <c r="N70" t="s">
        <v>2128</v>
      </c>
    </row>
    <row r="71" spans="2:14">
      <c r="B71" t="s">
        <v>2129</v>
      </c>
      <c r="C71" t="s">
        <v>2130</v>
      </c>
      <c r="E71" t="s">
        <v>2131</v>
      </c>
      <c r="N71" t="s">
        <v>2132</v>
      </c>
    </row>
    <row r="72" spans="2:14">
      <c r="B72" t="s">
        <v>2133</v>
      </c>
      <c r="C72" t="s">
        <v>2134</v>
      </c>
      <c r="E72" t="s">
        <v>2135</v>
      </c>
      <c r="N72" t="s">
        <v>2136</v>
      </c>
    </row>
    <row r="73" spans="2:14">
      <c r="B73" t="s">
        <v>1949</v>
      </c>
      <c r="C73" t="s">
        <v>2137</v>
      </c>
      <c r="E73" t="s">
        <v>2138</v>
      </c>
      <c r="N73" t="s">
        <v>2139</v>
      </c>
    </row>
    <row r="74" spans="2:14">
      <c r="B74" t="s">
        <v>2140</v>
      </c>
      <c r="C74" t="s">
        <v>1961</v>
      </c>
      <c r="E74" t="s">
        <v>2141</v>
      </c>
      <c r="N74" t="s">
        <v>2142</v>
      </c>
    </row>
    <row r="75" spans="2:14">
      <c r="B75" t="s">
        <v>2143</v>
      </c>
      <c r="C75" t="s">
        <v>2144</v>
      </c>
      <c r="E75" t="s">
        <v>2145</v>
      </c>
      <c r="N75" t="s">
        <v>2146</v>
      </c>
    </row>
    <row r="76" spans="2:14">
      <c r="B76" t="s">
        <v>1850</v>
      </c>
      <c r="C76" t="s">
        <v>2147</v>
      </c>
      <c r="E76" t="s">
        <v>2148</v>
      </c>
      <c r="N76" t="s">
        <v>2149</v>
      </c>
    </row>
    <row r="77" spans="2:14">
      <c r="B77" t="s">
        <v>2097</v>
      </c>
      <c r="C77" t="s">
        <v>1645</v>
      </c>
      <c r="E77" t="s">
        <v>2150</v>
      </c>
      <c r="N77" t="s">
        <v>2151</v>
      </c>
    </row>
    <row r="78" spans="2:14">
      <c r="B78" t="s">
        <v>1936</v>
      </c>
      <c r="C78" t="s">
        <v>2152</v>
      </c>
      <c r="E78" t="s">
        <v>2153</v>
      </c>
      <c r="N78" t="s">
        <v>2154</v>
      </c>
    </row>
    <row r="79" spans="2:14">
      <c r="B79" t="s">
        <v>1723</v>
      </c>
      <c r="C79" t="s">
        <v>2155</v>
      </c>
      <c r="E79" t="s">
        <v>2156</v>
      </c>
      <c r="N79" t="s">
        <v>2157</v>
      </c>
    </row>
    <row r="80" spans="2:14">
      <c r="B80" t="s">
        <v>1724</v>
      </c>
      <c r="C80" t="s">
        <v>2119</v>
      </c>
      <c r="E80" t="s">
        <v>606</v>
      </c>
      <c r="N80" t="s">
        <v>2158</v>
      </c>
    </row>
    <row r="81" spans="2:14">
      <c r="B81" t="s">
        <v>1725</v>
      </c>
      <c r="C81" t="s">
        <v>2048</v>
      </c>
      <c r="E81" t="s">
        <v>2159</v>
      </c>
      <c r="N81" t="s">
        <v>2160</v>
      </c>
    </row>
    <row r="82" spans="2:14">
      <c r="B82" t="s">
        <v>1726</v>
      </c>
      <c r="C82" t="s">
        <v>1922</v>
      </c>
      <c r="E82" t="s">
        <v>2161</v>
      </c>
      <c r="N82" t="s">
        <v>2162</v>
      </c>
    </row>
    <row r="83" spans="2:14">
      <c r="B83" t="s">
        <v>1706</v>
      </c>
      <c r="C83" t="s">
        <v>2163</v>
      </c>
      <c r="E83" t="s">
        <v>2164</v>
      </c>
      <c r="N83" t="s">
        <v>1775</v>
      </c>
    </row>
    <row r="84" spans="2:14">
      <c r="B84" t="s">
        <v>1707</v>
      </c>
      <c r="C84" t="s">
        <v>1968</v>
      </c>
      <c r="E84" t="s">
        <v>2165</v>
      </c>
      <c r="N84" t="s">
        <v>2166</v>
      </c>
    </row>
    <row r="85" spans="2:14">
      <c r="B85" t="s">
        <v>1708</v>
      </c>
      <c r="C85" t="s">
        <v>1943</v>
      </c>
      <c r="E85" t="s">
        <v>2167</v>
      </c>
    </row>
    <row r="86" spans="2:14">
      <c r="B86" t="s">
        <v>1709</v>
      </c>
      <c r="C86" t="s">
        <v>1614</v>
      </c>
      <c r="E86" t="s">
        <v>2168</v>
      </c>
    </row>
    <row r="87" spans="2:14">
      <c r="B87" t="s">
        <v>1710</v>
      </c>
      <c r="C87" t="s">
        <v>1720</v>
      </c>
      <c r="E87" t="s">
        <v>2169</v>
      </c>
    </row>
    <row r="88" spans="2:14">
      <c r="B88" t="s">
        <v>2170</v>
      </c>
      <c r="C88" t="s">
        <v>1651</v>
      </c>
      <c r="E88" t="s">
        <v>2171</v>
      </c>
    </row>
    <row r="89" spans="2:14">
      <c r="B89" t="s">
        <v>2172</v>
      </c>
      <c r="C89" t="s">
        <v>1709</v>
      </c>
      <c r="E89" t="s">
        <v>2173</v>
      </c>
    </row>
    <row r="90" spans="2:14">
      <c r="B90" t="s">
        <v>2174</v>
      </c>
      <c r="C90" t="s">
        <v>1899</v>
      </c>
      <c r="E90" t="s">
        <v>2175</v>
      </c>
    </row>
    <row r="91" spans="2:14">
      <c r="B91" t="s">
        <v>1979</v>
      </c>
      <c r="C91" t="s">
        <v>2122</v>
      </c>
      <c r="E91" t="s">
        <v>2176</v>
      </c>
    </row>
    <row r="92" spans="2:14">
      <c r="B92" t="s">
        <v>2177</v>
      </c>
      <c r="C92" t="s">
        <v>2178</v>
      </c>
      <c r="E92" t="s">
        <v>2179</v>
      </c>
    </row>
    <row r="93" spans="2:14">
      <c r="B93" t="s">
        <v>1642</v>
      </c>
      <c r="C93" t="s">
        <v>2180</v>
      </c>
      <c r="E93" t="s">
        <v>2181</v>
      </c>
    </row>
    <row r="94" spans="2:14">
      <c r="B94" t="s">
        <v>2036</v>
      </c>
      <c r="C94" t="s">
        <v>1727</v>
      </c>
      <c r="E94" t="s">
        <v>2182</v>
      </c>
    </row>
    <row r="95" spans="2:14">
      <c r="B95" t="s">
        <v>1643</v>
      </c>
      <c r="C95" t="s">
        <v>2000</v>
      </c>
      <c r="E95" t="s">
        <v>2183</v>
      </c>
    </row>
    <row r="96" spans="2:14">
      <c r="B96" t="s">
        <v>2184</v>
      </c>
      <c r="C96" t="s">
        <v>1866</v>
      </c>
      <c r="E96" t="s">
        <v>2185</v>
      </c>
    </row>
    <row r="97" spans="2:5">
      <c r="B97" t="s">
        <v>1801</v>
      </c>
      <c r="C97" t="s">
        <v>1594</v>
      </c>
      <c r="E97" t="s">
        <v>2186</v>
      </c>
    </row>
    <row r="98" spans="2:5">
      <c r="B98" t="s">
        <v>2180</v>
      </c>
      <c r="C98" t="s">
        <v>2187</v>
      </c>
      <c r="E98" t="s">
        <v>2188</v>
      </c>
    </row>
    <row r="99" spans="2:5">
      <c r="B99" t="s">
        <v>1835</v>
      </c>
      <c r="C99" t="s">
        <v>1646</v>
      </c>
      <c r="E99" t="s">
        <v>2189</v>
      </c>
    </row>
    <row r="100" spans="2:5">
      <c r="B100" t="s">
        <v>2069</v>
      </c>
      <c r="C100" t="s">
        <v>1718</v>
      </c>
      <c r="E100" t="s">
        <v>2190</v>
      </c>
    </row>
    <row r="101" spans="2:5">
      <c r="B101" t="s">
        <v>2061</v>
      </c>
      <c r="C101" t="s">
        <v>1615</v>
      </c>
      <c r="E101" t="s">
        <v>2191</v>
      </c>
    </row>
    <row r="102" spans="2:5">
      <c r="B102" t="s">
        <v>2147</v>
      </c>
      <c r="C102" t="s">
        <v>1729</v>
      </c>
      <c r="E102" t="s">
        <v>2192</v>
      </c>
    </row>
    <row r="103" spans="2:5">
      <c r="B103" t="s">
        <v>1986</v>
      </c>
      <c r="C103" t="s">
        <v>1612</v>
      </c>
      <c r="E103" t="s">
        <v>2193</v>
      </c>
    </row>
    <row r="104" spans="2:5">
      <c r="B104" t="s">
        <v>1996</v>
      </c>
      <c r="C104" t="s">
        <v>2177</v>
      </c>
      <c r="E104" t="s">
        <v>2194</v>
      </c>
    </row>
    <row r="105" spans="2:5">
      <c r="B105" t="s">
        <v>2195</v>
      </c>
      <c r="C105" t="s">
        <v>1593</v>
      </c>
      <c r="E105" t="s">
        <v>2196</v>
      </c>
    </row>
    <row r="106" spans="2:5">
      <c r="B106" t="s">
        <v>2197</v>
      </c>
      <c r="C106" t="s">
        <v>2198</v>
      </c>
      <c r="E106" t="s">
        <v>2199</v>
      </c>
    </row>
    <row r="107" spans="2:5">
      <c r="B107" t="s">
        <v>2107</v>
      </c>
      <c r="C107" t="s">
        <v>2200</v>
      </c>
      <c r="E107" t="s">
        <v>2201</v>
      </c>
    </row>
    <row r="108" spans="2:5">
      <c r="B108" t="s">
        <v>2202</v>
      </c>
      <c r="C108" t="s">
        <v>1613</v>
      </c>
      <c r="E108" t="s">
        <v>2203</v>
      </c>
    </row>
    <row r="109" spans="2:5">
      <c r="B109" t="s">
        <v>2085</v>
      </c>
      <c r="C109" t="s">
        <v>2143</v>
      </c>
      <c r="E109" t="s">
        <v>2204</v>
      </c>
    </row>
    <row r="110" spans="2:5">
      <c r="B110" t="s">
        <v>2205</v>
      </c>
      <c r="C110" t="s">
        <v>1730</v>
      </c>
      <c r="E110" t="s">
        <v>2206</v>
      </c>
    </row>
    <row r="111" spans="2:5">
      <c r="B111" t="s">
        <v>2207</v>
      </c>
      <c r="C111" t="s">
        <v>2207</v>
      </c>
      <c r="E111" t="s">
        <v>2208</v>
      </c>
    </row>
    <row r="112" spans="2:5">
      <c r="B112" t="s">
        <v>1916</v>
      </c>
      <c r="C112" t="s">
        <v>2172</v>
      </c>
      <c r="E112" t="s">
        <v>2209</v>
      </c>
    </row>
    <row r="113" spans="2:5">
      <c r="B113" t="s">
        <v>1689</v>
      </c>
      <c r="C113" t="s">
        <v>2210</v>
      </c>
      <c r="E113" t="s">
        <v>2211</v>
      </c>
    </row>
    <row r="114" spans="2:5">
      <c r="B114" t="s">
        <v>2212</v>
      </c>
      <c r="C114" t="s">
        <v>2081</v>
      </c>
    </row>
    <row r="115" spans="2:5">
      <c r="B115" t="s">
        <v>2049</v>
      </c>
      <c r="C115" t="s">
        <v>2096</v>
      </c>
    </row>
    <row r="116" spans="2:5">
      <c r="B116" t="s">
        <v>2213</v>
      </c>
      <c r="C116" t="s">
        <v>1768</v>
      </c>
    </row>
    <row r="117" spans="2:5">
      <c r="B117" t="s">
        <v>2198</v>
      </c>
      <c r="C117" t="s">
        <v>1649</v>
      </c>
    </row>
    <row r="118" spans="2:5">
      <c r="B118" t="s">
        <v>2052</v>
      </c>
      <c r="C118" t="s">
        <v>2089</v>
      </c>
    </row>
    <row r="119" spans="2:5">
      <c r="B119" t="s">
        <v>1962</v>
      </c>
      <c r="C119" t="s">
        <v>2214</v>
      </c>
    </row>
    <row r="120" spans="2:5">
      <c r="B120" t="s">
        <v>2215</v>
      </c>
      <c r="C120" t="s">
        <v>1769</v>
      </c>
    </row>
    <row r="121" spans="2:5">
      <c r="B121" t="s">
        <v>2032</v>
      </c>
      <c r="C121" t="s">
        <v>1721</v>
      </c>
    </row>
    <row r="122" spans="2:5">
      <c r="B122" t="s">
        <v>2065</v>
      </c>
      <c r="C122" t="s">
        <v>2213</v>
      </c>
    </row>
    <row r="123" spans="2:5">
      <c r="B123" t="s">
        <v>1702</v>
      </c>
      <c r="C123" t="s">
        <v>2106</v>
      </c>
    </row>
    <row r="124" spans="2:5">
      <c r="B124" t="s">
        <v>1703</v>
      </c>
      <c r="C124" t="s">
        <v>1704</v>
      </c>
    </row>
    <row r="125" spans="2:5">
      <c r="B125" t="s">
        <v>1704</v>
      </c>
      <c r="C125" t="s">
        <v>2100</v>
      </c>
    </row>
    <row r="126" spans="2:5">
      <c r="B126" t="s">
        <v>1718</v>
      </c>
      <c r="C126" t="s">
        <v>1710</v>
      </c>
    </row>
    <row r="127" spans="2:5">
      <c r="B127" t="s">
        <v>1719</v>
      </c>
      <c r="C127" t="s">
        <v>2103</v>
      </c>
    </row>
    <row r="128" spans="2:5">
      <c r="B128" t="s">
        <v>1720</v>
      </c>
      <c r="C128" t="s">
        <v>2212</v>
      </c>
    </row>
    <row r="129" spans="2:3">
      <c r="B129" t="s">
        <v>1721</v>
      </c>
      <c r="C129" t="s">
        <v>2216</v>
      </c>
    </row>
    <row r="130" spans="2:3">
      <c r="B130" t="s">
        <v>1593</v>
      </c>
      <c r="C130" t="s">
        <v>1644</v>
      </c>
    </row>
    <row r="131" spans="2:3">
      <c r="B131" t="s">
        <v>1594</v>
      </c>
      <c r="C131" t="s">
        <v>2217</v>
      </c>
    </row>
    <row r="132" spans="2:3">
      <c r="B132" t="s">
        <v>1595</v>
      </c>
      <c r="C132" t="s">
        <v>1647</v>
      </c>
    </row>
    <row r="133" spans="2:3">
      <c r="B133" t="s">
        <v>1596</v>
      </c>
      <c r="C133" t="s">
        <v>2218</v>
      </c>
    </row>
    <row r="134" spans="2:3">
      <c r="B134" t="s">
        <v>1819</v>
      </c>
      <c r="C134" t="s">
        <v>2093</v>
      </c>
    </row>
    <row r="135" spans="2:3">
      <c r="B135" t="s">
        <v>2044</v>
      </c>
      <c r="C135" t="s">
        <v>2129</v>
      </c>
    </row>
    <row r="136" spans="2:3">
      <c r="B136" t="s">
        <v>2130</v>
      </c>
      <c r="C136" t="s">
        <v>1725</v>
      </c>
    </row>
    <row r="137" spans="2:3">
      <c r="B137" t="s">
        <v>2217</v>
      </c>
      <c r="C137" t="s">
        <v>2110</v>
      </c>
    </row>
    <row r="138" spans="2:3">
      <c r="B138" t="s">
        <v>2214</v>
      </c>
      <c r="C138" t="s">
        <v>1726</v>
      </c>
    </row>
    <row r="139" spans="2:3">
      <c r="B139" t="s">
        <v>2219</v>
      </c>
      <c r="C139" t="s">
        <v>2125</v>
      </c>
    </row>
    <row r="140" spans="2:3">
      <c r="B140" t="s">
        <v>2220</v>
      </c>
      <c r="C140" t="s">
        <v>1724</v>
      </c>
    </row>
    <row r="141" spans="2:3">
      <c r="B141" t="s">
        <v>2221</v>
      </c>
      <c r="C141" t="s">
        <v>1707</v>
      </c>
    </row>
    <row r="142" spans="2:3">
      <c r="B142" t="s">
        <v>2015</v>
      </c>
      <c r="C142" t="s">
        <v>2202</v>
      </c>
    </row>
    <row r="143" spans="2:3">
      <c r="B143" t="s">
        <v>2137</v>
      </c>
      <c r="C143" t="s">
        <v>2084</v>
      </c>
    </row>
    <row r="144" spans="2:3">
      <c r="B144" t="s">
        <v>2134</v>
      </c>
      <c r="C144" t="s">
        <v>1908</v>
      </c>
    </row>
    <row r="145" spans="2:3">
      <c r="B145" t="s">
        <v>2163</v>
      </c>
      <c r="C145" t="s">
        <v>2205</v>
      </c>
    </row>
    <row r="146" spans="2:3">
      <c r="B146" t="s">
        <v>2144</v>
      </c>
      <c r="C146" t="s">
        <v>2133</v>
      </c>
    </row>
    <row r="147" spans="2:3">
      <c r="B147" t="s">
        <v>1644</v>
      </c>
      <c r="C147" t="s">
        <v>1801</v>
      </c>
    </row>
    <row r="148" spans="2:3">
      <c r="B148" t="s">
        <v>1645</v>
      </c>
      <c r="C148" t="s">
        <v>1642</v>
      </c>
    </row>
    <row r="149" spans="2:3">
      <c r="B149" t="s">
        <v>1646</v>
      </c>
      <c r="C149" t="s">
        <v>2219</v>
      </c>
    </row>
    <row r="150" spans="2:3">
      <c r="B150" t="s">
        <v>1647</v>
      </c>
      <c r="C150" t="s">
        <v>2221</v>
      </c>
    </row>
    <row r="151" spans="2:3">
      <c r="B151" t="s">
        <v>2210</v>
      </c>
      <c r="C151" t="s">
        <v>2222</v>
      </c>
    </row>
    <row r="152" spans="2:3">
      <c r="B152" t="s">
        <v>1900</v>
      </c>
      <c r="C152" t="s">
        <v>2170</v>
      </c>
    </row>
    <row r="153" spans="2:3">
      <c r="B153" t="s">
        <v>1969</v>
      </c>
      <c r="C153" t="s">
        <v>2174</v>
      </c>
    </row>
    <row r="154" spans="2:3">
      <c r="B154" t="s">
        <v>1893</v>
      </c>
      <c r="C154" t="s">
        <v>2195</v>
      </c>
    </row>
    <row r="155" spans="2:3">
      <c r="B155" t="s">
        <v>2023</v>
      </c>
      <c r="C155" t="s">
        <v>1616</v>
      </c>
    </row>
    <row r="156" spans="2:3">
      <c r="B156" t="s">
        <v>2027</v>
      </c>
      <c r="C156" t="s">
        <v>2003</v>
      </c>
    </row>
    <row r="157" spans="2:3">
      <c r="B157" t="s">
        <v>2178</v>
      </c>
      <c r="C157" t="s">
        <v>1596</v>
      </c>
    </row>
    <row r="158" spans="2:3">
      <c r="B158" t="s">
        <v>2090</v>
      </c>
      <c r="C158" t="s">
        <v>2026</v>
      </c>
    </row>
    <row r="159" spans="2:3">
      <c r="B159" t="s">
        <v>1909</v>
      </c>
      <c r="C159" t="s">
        <v>2220</v>
      </c>
    </row>
    <row r="160" spans="2:3">
      <c r="B160" t="s">
        <v>2187</v>
      </c>
      <c r="C160" t="s">
        <v>2184</v>
      </c>
    </row>
    <row r="161" spans="2:3">
      <c r="B161" t="s">
        <v>2011</v>
      </c>
      <c r="C161" t="s">
        <v>2215</v>
      </c>
    </row>
    <row r="162" spans="2:3">
      <c r="B162" t="s">
        <v>2007</v>
      </c>
      <c r="C162" t="s">
        <v>1915</v>
      </c>
    </row>
    <row r="163" spans="2:3">
      <c r="B163" t="s">
        <v>2152</v>
      </c>
      <c r="C163" t="s">
        <v>2140</v>
      </c>
    </row>
    <row r="164" spans="2:3">
      <c r="B164" t="s">
        <v>2218</v>
      </c>
      <c r="C164" t="s">
        <v>1842</v>
      </c>
    </row>
    <row r="165" spans="2:3">
      <c r="B165" t="s">
        <v>2200</v>
      </c>
      <c r="C165" t="s">
        <v>1703</v>
      </c>
    </row>
    <row r="166" spans="2:3">
      <c r="B166" t="s">
        <v>2126</v>
      </c>
      <c r="C166" t="s">
        <v>1892</v>
      </c>
    </row>
    <row r="167" spans="2:3">
      <c r="B167" t="s">
        <v>2155</v>
      </c>
      <c r="C167" t="s">
        <v>2197</v>
      </c>
    </row>
    <row r="168" spans="2:3">
      <c r="B168" t="s">
        <v>1649</v>
      </c>
      <c r="C168" t="s">
        <v>2040</v>
      </c>
    </row>
    <row r="169" spans="2:3">
      <c r="B169" t="s">
        <v>1930</v>
      </c>
    </row>
    <row r="170" spans="2:3">
      <c r="B170" t="s">
        <v>1651</v>
      </c>
    </row>
    <row r="171" spans="2:3">
      <c r="B171" t="s">
        <v>2222</v>
      </c>
    </row>
    <row r="172" spans="2:3">
      <c r="B172" t="s">
        <v>2223</v>
      </c>
    </row>
    <row r="173" spans="2:3">
      <c r="B173" t="s">
        <v>2224</v>
      </c>
    </row>
    <row r="174" spans="2:3">
      <c r="B174" t="s">
        <v>1742</v>
      </c>
    </row>
    <row r="175" spans="2:3">
      <c r="B175" t="s">
        <v>2225</v>
      </c>
    </row>
    <row r="176" spans="2:3">
      <c r="B176" t="s">
        <v>2226</v>
      </c>
    </row>
    <row r="177" spans="2:2">
      <c r="B177" t="s">
        <v>2227</v>
      </c>
    </row>
    <row r="178" spans="2:2">
      <c r="B178" t="s">
        <v>2228</v>
      </c>
    </row>
    <row r="179" spans="2:2">
      <c r="B179" t="s">
        <v>2229</v>
      </c>
    </row>
    <row r="180" spans="2:2">
      <c r="B180" t="s">
        <v>2230</v>
      </c>
    </row>
    <row r="181" spans="2:2">
      <c r="B181" t="s">
        <v>2231</v>
      </c>
    </row>
    <row r="182" spans="2:2">
      <c r="B182" t="s">
        <v>2232</v>
      </c>
    </row>
    <row r="183" spans="2:2">
      <c r="B183" t="s">
        <v>2233</v>
      </c>
    </row>
    <row r="184" spans="2:2">
      <c r="B184" t="s">
        <v>2234</v>
      </c>
    </row>
    <row r="185" spans="2:2">
      <c r="B185" t="s">
        <v>1568</v>
      </c>
    </row>
    <row r="186" spans="2:2">
      <c r="B186" t="s">
        <v>2235</v>
      </c>
    </row>
    <row r="187" spans="2:2">
      <c r="B187" t="s">
        <v>1785</v>
      </c>
    </row>
    <row r="188" spans="2:2">
      <c r="B188" t="s">
        <v>1582</v>
      </c>
    </row>
    <row r="189" spans="2:2">
      <c r="B189" t="s">
        <v>2236</v>
      </c>
    </row>
    <row r="190" spans="2:2">
      <c r="B190" t="s">
        <v>2237</v>
      </c>
    </row>
  </sheetData>
  <sortState xmlns:xlrd2="http://schemas.microsoft.com/office/spreadsheetml/2017/richdata2" ref="K2:K56">
    <sortCondition ref="K2:K56"/>
  </sortState>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76776-9EE2-4470-9167-52BDEDD1D9D0}">
  <dimension ref="A1:AA150"/>
  <sheetViews>
    <sheetView topLeftCell="A91" workbookViewId="0">
      <selection activeCell="A114" sqref="A114:A119"/>
    </sheetView>
  </sheetViews>
  <sheetFormatPr defaultRowHeight="15"/>
  <cols>
    <col min="1" max="1" width="21" bestFit="1" customWidth="1"/>
    <col min="2" max="2" width="103.5703125" bestFit="1" customWidth="1"/>
    <col min="3" max="3" width="73.42578125" bestFit="1" customWidth="1"/>
    <col min="4" max="4" width="12.7109375" bestFit="1" customWidth="1"/>
    <col min="5" max="5" width="10" bestFit="1" customWidth="1"/>
    <col min="13" max="13" width="21" bestFit="1" customWidth="1"/>
    <col min="14" max="14" width="13.28515625" customWidth="1"/>
    <col min="27" max="27" width="47" bestFit="1" customWidth="1"/>
  </cols>
  <sheetData>
    <row r="1" spans="1:27">
      <c r="A1" t="s">
        <v>1446</v>
      </c>
      <c r="B1" t="s">
        <v>2238</v>
      </c>
      <c r="C1" t="s">
        <v>2239</v>
      </c>
      <c r="AA1" t="s">
        <v>2240</v>
      </c>
    </row>
    <row r="2" spans="1:27">
      <c r="A2" t="s">
        <v>1565</v>
      </c>
      <c r="B2">
        <v>5</v>
      </c>
      <c r="C2">
        <v>11</v>
      </c>
    </row>
    <row r="3" spans="1:27">
      <c r="A3" t="s">
        <v>1567</v>
      </c>
      <c r="B3">
        <v>4</v>
      </c>
      <c r="C3">
        <v>7</v>
      </c>
    </row>
    <row r="4" spans="1:27">
      <c r="A4" t="s">
        <v>1566</v>
      </c>
      <c r="B4">
        <v>3</v>
      </c>
      <c r="C4">
        <v>4</v>
      </c>
    </row>
    <row r="6" spans="1:27">
      <c r="A6" t="s">
        <v>2241</v>
      </c>
      <c r="B6" t="s">
        <v>2242</v>
      </c>
      <c r="C6" t="s">
        <v>2243</v>
      </c>
    </row>
    <row r="7" spans="1:27">
      <c r="A7">
        <v>0</v>
      </c>
      <c r="B7" t="s">
        <v>2244</v>
      </c>
      <c r="C7" t="s">
        <v>2244</v>
      </c>
    </row>
    <row r="8" spans="1:27">
      <c r="A8">
        <v>1</v>
      </c>
      <c r="B8" t="s">
        <v>2245</v>
      </c>
      <c r="C8" t="s">
        <v>2244</v>
      </c>
    </row>
    <row r="9" spans="1:27">
      <c r="A9">
        <v>2</v>
      </c>
      <c r="B9" t="s">
        <v>2246</v>
      </c>
      <c r="C9" t="s">
        <v>2244</v>
      </c>
    </row>
    <row r="10" spans="1:27">
      <c r="A10">
        <v>3</v>
      </c>
      <c r="B10" t="s">
        <v>2247</v>
      </c>
      <c r="C10" t="s">
        <v>2244</v>
      </c>
    </row>
    <row r="11" spans="1:27">
      <c r="A11">
        <v>4</v>
      </c>
      <c r="B11" t="s">
        <v>2248</v>
      </c>
      <c r="C11" t="s">
        <v>2244</v>
      </c>
    </row>
    <row r="12" spans="1:27">
      <c r="A12">
        <v>5</v>
      </c>
      <c r="B12" t="s">
        <v>2249</v>
      </c>
      <c r="C12" t="s">
        <v>2244</v>
      </c>
    </row>
    <row r="13" spans="1:27">
      <c r="A13">
        <v>6</v>
      </c>
      <c r="B13" t="s">
        <v>2249</v>
      </c>
      <c r="C13" t="s">
        <v>2245</v>
      </c>
    </row>
    <row r="14" spans="1:27">
      <c r="A14">
        <v>7</v>
      </c>
      <c r="B14" t="s">
        <v>2249</v>
      </c>
      <c r="C14" t="s">
        <v>2246</v>
      </c>
    </row>
    <row r="15" spans="1:27">
      <c r="A15">
        <v>8</v>
      </c>
      <c r="B15" t="s">
        <v>2249</v>
      </c>
      <c r="C15" t="s">
        <v>2247</v>
      </c>
    </row>
    <row r="16" spans="1:27">
      <c r="A16">
        <v>9</v>
      </c>
      <c r="B16" t="s">
        <v>2249</v>
      </c>
      <c r="C16" t="s">
        <v>2248</v>
      </c>
    </row>
    <row r="17" spans="1:7">
      <c r="A17">
        <v>10</v>
      </c>
      <c r="B17" t="s">
        <v>2249</v>
      </c>
      <c r="C17" t="s">
        <v>2249</v>
      </c>
    </row>
    <row r="19" spans="1:7">
      <c r="A19" t="s">
        <v>8</v>
      </c>
      <c r="B19" t="s">
        <v>2250</v>
      </c>
      <c r="C19" t="s">
        <v>2251</v>
      </c>
      <c r="D19" t="s">
        <v>343</v>
      </c>
      <c r="E19" t="s">
        <v>2252</v>
      </c>
      <c r="F19" t="s">
        <v>2253</v>
      </c>
      <c r="G19" t="s">
        <v>2254</v>
      </c>
    </row>
    <row r="20" spans="1:7">
      <c r="A20" t="s">
        <v>790</v>
      </c>
      <c r="B20" t="s">
        <v>20</v>
      </c>
      <c r="C20" t="s">
        <v>23</v>
      </c>
      <c r="D20" t="s">
        <v>813</v>
      </c>
      <c r="E20" t="s">
        <v>238</v>
      </c>
      <c r="F20" t="s">
        <v>240</v>
      </c>
      <c r="G20" t="s">
        <v>245</v>
      </c>
    </row>
    <row r="21" spans="1:7">
      <c r="A21" t="s">
        <v>491</v>
      </c>
      <c r="B21" t="s">
        <v>24</v>
      </c>
      <c r="C21" t="s">
        <v>21</v>
      </c>
      <c r="D21" t="s">
        <v>542</v>
      </c>
      <c r="E21" t="s">
        <v>236</v>
      </c>
      <c r="F21" t="s">
        <v>243</v>
      </c>
      <c r="G21" t="s">
        <v>244</v>
      </c>
    </row>
    <row r="22" spans="1:7">
      <c r="A22" t="s">
        <v>370</v>
      </c>
      <c r="B22" t="s">
        <v>16</v>
      </c>
      <c r="C22" t="s">
        <v>17</v>
      </c>
      <c r="D22" t="s">
        <v>438</v>
      </c>
      <c r="E22" t="s">
        <v>237</v>
      </c>
      <c r="F22" t="s">
        <v>238</v>
      </c>
      <c r="G22" t="s">
        <v>242</v>
      </c>
    </row>
    <row r="23" spans="1:7">
      <c r="A23" t="s">
        <v>680</v>
      </c>
      <c r="B23" t="s">
        <v>24</v>
      </c>
      <c r="C23" t="s">
        <v>19</v>
      </c>
      <c r="D23" t="s">
        <v>748</v>
      </c>
      <c r="E23" t="s">
        <v>241</v>
      </c>
      <c r="F23" t="s">
        <v>242</v>
      </c>
      <c r="G23" t="s">
        <v>245</v>
      </c>
    </row>
    <row r="24" spans="1:7">
      <c r="A24" t="s">
        <v>553</v>
      </c>
      <c r="B24" t="s">
        <v>22</v>
      </c>
      <c r="C24" t="s">
        <v>18</v>
      </c>
      <c r="D24" t="s">
        <v>596</v>
      </c>
      <c r="E24" t="s">
        <v>236</v>
      </c>
      <c r="F24" t="s">
        <v>239</v>
      </c>
      <c r="G24" t="s">
        <v>244</v>
      </c>
    </row>
    <row r="26" spans="1:7">
      <c r="A26" t="s">
        <v>11</v>
      </c>
      <c r="B26" t="s">
        <v>2255</v>
      </c>
    </row>
    <row r="27" spans="1:7">
      <c r="A27" t="s">
        <v>607</v>
      </c>
      <c r="B27" t="s">
        <v>394</v>
      </c>
    </row>
    <row r="28" spans="1:7">
      <c r="A28" t="s">
        <v>373</v>
      </c>
      <c r="B28" t="s">
        <v>393</v>
      </c>
    </row>
    <row r="29" spans="1:7">
      <c r="A29" t="s">
        <v>396</v>
      </c>
      <c r="B29" t="s">
        <v>396</v>
      </c>
    </row>
    <row r="30" spans="1:7">
      <c r="A30" t="s">
        <v>556</v>
      </c>
      <c r="B30" t="s">
        <v>397</v>
      </c>
    </row>
    <row r="31" spans="1:7">
      <c r="A31" t="s">
        <v>1868</v>
      </c>
      <c r="B31" t="s">
        <v>2256</v>
      </c>
    </row>
    <row r="33" spans="1:5">
      <c r="A33" t="s">
        <v>927</v>
      </c>
      <c r="B33" t="s">
        <v>2257</v>
      </c>
    </row>
    <row r="34" spans="1:5">
      <c r="A34">
        <v>0</v>
      </c>
      <c r="B34" t="s">
        <v>2258</v>
      </c>
    </row>
    <row r="35" spans="1:5">
      <c r="A35">
        <v>1</v>
      </c>
      <c r="B35" t="s">
        <v>2259</v>
      </c>
    </row>
    <row r="36" spans="1:5">
      <c r="A36">
        <v>2</v>
      </c>
      <c r="B36" t="s">
        <v>2260</v>
      </c>
    </row>
    <row r="37" spans="1:5">
      <c r="A37">
        <v>3</v>
      </c>
      <c r="B37" t="s">
        <v>2261</v>
      </c>
    </row>
    <row r="38" spans="1:5">
      <c r="A38">
        <v>4</v>
      </c>
      <c r="B38" t="s">
        <v>2262</v>
      </c>
    </row>
    <row r="39" spans="1:5">
      <c r="A39">
        <v>5</v>
      </c>
      <c r="B39" t="s">
        <v>2263</v>
      </c>
    </row>
    <row r="40" spans="1:5">
      <c r="A40">
        <v>6</v>
      </c>
      <c r="B40" t="s">
        <v>2264</v>
      </c>
    </row>
    <row r="41" spans="1:5">
      <c r="A41">
        <v>7</v>
      </c>
      <c r="B41" t="s">
        <v>2265</v>
      </c>
    </row>
    <row r="42" spans="1:5">
      <c r="A42">
        <v>8</v>
      </c>
      <c r="B42" t="s">
        <v>2266</v>
      </c>
    </row>
    <row r="44" spans="1:5">
      <c r="A44" t="s">
        <v>2241</v>
      </c>
      <c r="B44" t="s">
        <v>2267</v>
      </c>
      <c r="C44" t="s">
        <v>2268</v>
      </c>
      <c r="D44" t="s">
        <v>2269</v>
      </c>
      <c r="E44" t="s">
        <v>2270</v>
      </c>
    </row>
    <row r="45" spans="1:5">
      <c r="A45">
        <v>0</v>
      </c>
      <c r="B45" t="s">
        <v>2271</v>
      </c>
      <c r="C45" t="s">
        <v>2271</v>
      </c>
      <c r="D45" t="s">
        <v>2271</v>
      </c>
      <c r="E45" t="s">
        <v>2271</v>
      </c>
    </row>
    <row r="46" spans="1:5">
      <c r="A46">
        <v>1</v>
      </c>
      <c r="B46" t="s">
        <v>2272</v>
      </c>
      <c r="C46" t="s">
        <v>2271</v>
      </c>
      <c r="D46" t="s">
        <v>2271</v>
      </c>
      <c r="E46" t="s">
        <v>2271</v>
      </c>
    </row>
    <row r="47" spans="1:5">
      <c r="A47">
        <v>2</v>
      </c>
      <c r="B47" t="s">
        <v>2273</v>
      </c>
      <c r="C47" t="s">
        <v>2271</v>
      </c>
      <c r="D47" t="s">
        <v>2271</v>
      </c>
      <c r="E47" t="s">
        <v>2271</v>
      </c>
    </row>
    <row r="48" spans="1:5">
      <c r="A48">
        <v>3</v>
      </c>
      <c r="B48" t="s">
        <v>2274</v>
      </c>
      <c r="C48" t="s">
        <v>2271</v>
      </c>
      <c r="D48" t="s">
        <v>2271</v>
      </c>
      <c r="E48" t="s">
        <v>2271</v>
      </c>
    </row>
    <row r="49" spans="1:5">
      <c r="A49">
        <v>4</v>
      </c>
      <c r="B49" t="s">
        <v>2275</v>
      </c>
      <c r="C49" t="s">
        <v>2271</v>
      </c>
      <c r="D49" t="s">
        <v>2271</v>
      </c>
      <c r="E49" t="s">
        <v>2271</v>
      </c>
    </row>
    <row r="50" spans="1:5">
      <c r="A50">
        <v>5</v>
      </c>
      <c r="B50" t="s">
        <v>2276</v>
      </c>
      <c r="C50" t="s">
        <v>2271</v>
      </c>
      <c r="D50" t="s">
        <v>2271</v>
      </c>
      <c r="E50" t="s">
        <v>2271</v>
      </c>
    </row>
    <row r="51" spans="1:5">
      <c r="A51">
        <v>6</v>
      </c>
      <c r="B51" t="s">
        <v>2276</v>
      </c>
      <c r="C51" t="s">
        <v>2272</v>
      </c>
      <c r="D51" t="s">
        <v>2271</v>
      </c>
      <c r="E51" t="s">
        <v>2271</v>
      </c>
    </row>
    <row r="52" spans="1:5">
      <c r="A52">
        <v>7</v>
      </c>
      <c r="B52" t="s">
        <v>2276</v>
      </c>
      <c r="C52" t="s">
        <v>2273</v>
      </c>
      <c r="D52" t="s">
        <v>2271</v>
      </c>
      <c r="E52" t="s">
        <v>2271</v>
      </c>
    </row>
    <row r="53" spans="1:5">
      <c r="A53">
        <v>8</v>
      </c>
      <c r="B53" t="s">
        <v>2276</v>
      </c>
      <c r="C53" t="s">
        <v>2274</v>
      </c>
      <c r="D53" t="s">
        <v>2271</v>
      </c>
      <c r="E53" t="s">
        <v>2271</v>
      </c>
    </row>
    <row r="54" spans="1:5">
      <c r="A54">
        <v>9</v>
      </c>
      <c r="B54" t="s">
        <v>2276</v>
      </c>
      <c r="C54" t="s">
        <v>2275</v>
      </c>
      <c r="D54" t="s">
        <v>2271</v>
      </c>
      <c r="E54" t="s">
        <v>2271</v>
      </c>
    </row>
    <row r="55" spans="1:5">
      <c r="A55">
        <v>10</v>
      </c>
      <c r="B55" t="s">
        <v>2276</v>
      </c>
      <c r="C55" t="s">
        <v>2276</v>
      </c>
      <c r="D55" t="s">
        <v>2271</v>
      </c>
      <c r="E55" t="s">
        <v>2271</v>
      </c>
    </row>
    <row r="56" spans="1:5">
      <c r="A56">
        <v>11</v>
      </c>
      <c r="B56" t="s">
        <v>2276</v>
      </c>
      <c r="C56" t="s">
        <v>2276</v>
      </c>
      <c r="D56" t="s">
        <v>2272</v>
      </c>
      <c r="E56" t="s">
        <v>2271</v>
      </c>
    </row>
    <row r="57" spans="1:5">
      <c r="A57">
        <v>12</v>
      </c>
      <c r="B57" t="s">
        <v>2276</v>
      </c>
      <c r="C57" t="s">
        <v>2276</v>
      </c>
      <c r="D57" t="s">
        <v>2273</v>
      </c>
      <c r="E57" t="s">
        <v>2271</v>
      </c>
    </row>
    <row r="58" spans="1:5">
      <c r="A58">
        <v>13</v>
      </c>
      <c r="B58" t="s">
        <v>2276</v>
      </c>
      <c r="C58" t="s">
        <v>2276</v>
      </c>
      <c r="D58" t="s">
        <v>2274</v>
      </c>
      <c r="E58" t="s">
        <v>2271</v>
      </c>
    </row>
    <row r="59" spans="1:5">
      <c r="A59">
        <v>14</v>
      </c>
      <c r="B59" t="s">
        <v>2276</v>
      </c>
      <c r="C59" t="s">
        <v>2276</v>
      </c>
      <c r="D59" t="s">
        <v>2275</v>
      </c>
      <c r="E59" t="s">
        <v>2271</v>
      </c>
    </row>
    <row r="60" spans="1:5">
      <c r="A60">
        <v>15</v>
      </c>
      <c r="B60" t="s">
        <v>2276</v>
      </c>
      <c r="C60" t="s">
        <v>2276</v>
      </c>
      <c r="D60" t="s">
        <v>2276</v>
      </c>
      <c r="E60" t="s">
        <v>2271</v>
      </c>
    </row>
    <row r="61" spans="1:5">
      <c r="A61">
        <v>16</v>
      </c>
      <c r="B61" t="s">
        <v>2276</v>
      </c>
      <c r="C61" t="s">
        <v>2276</v>
      </c>
      <c r="D61" t="s">
        <v>2276</v>
      </c>
      <c r="E61" t="s">
        <v>2272</v>
      </c>
    </row>
    <row r="62" spans="1:5">
      <c r="A62">
        <v>17</v>
      </c>
      <c r="B62" t="s">
        <v>2276</v>
      </c>
      <c r="C62" t="s">
        <v>2276</v>
      </c>
      <c r="D62" t="s">
        <v>2276</v>
      </c>
      <c r="E62" t="s">
        <v>2273</v>
      </c>
    </row>
    <row r="63" spans="1:5">
      <c r="A63">
        <v>18</v>
      </c>
      <c r="B63" t="s">
        <v>2276</v>
      </c>
      <c r="C63" t="s">
        <v>2276</v>
      </c>
      <c r="D63" t="s">
        <v>2276</v>
      </c>
      <c r="E63" t="s">
        <v>2274</v>
      </c>
    </row>
    <row r="64" spans="1:5">
      <c r="A64">
        <v>19</v>
      </c>
      <c r="B64" t="s">
        <v>2276</v>
      </c>
      <c r="C64" t="s">
        <v>2276</v>
      </c>
      <c r="D64" t="s">
        <v>2276</v>
      </c>
      <c r="E64" t="s">
        <v>2275</v>
      </c>
    </row>
    <row r="65" spans="1:5">
      <c r="A65">
        <v>20</v>
      </c>
      <c r="B65" t="s">
        <v>2276</v>
      </c>
      <c r="C65" t="s">
        <v>2276</v>
      </c>
      <c r="D65" t="s">
        <v>2276</v>
      </c>
      <c r="E65" t="s">
        <v>2276</v>
      </c>
    </row>
    <row r="68" spans="1:5">
      <c r="A68" t="s">
        <v>49</v>
      </c>
      <c r="B68" t="s">
        <v>2277</v>
      </c>
      <c r="C68" t="s">
        <v>57</v>
      </c>
      <c r="D68" t="s">
        <v>2278</v>
      </c>
      <c r="E68" t="s">
        <v>2279</v>
      </c>
    </row>
    <row r="69" spans="1:5">
      <c r="A69">
        <v>1</v>
      </c>
      <c r="B69">
        <v>10</v>
      </c>
      <c r="C69">
        <v>1</v>
      </c>
      <c r="D69" t="s">
        <v>389</v>
      </c>
      <c r="E69" s="5" t="s">
        <v>382</v>
      </c>
    </row>
    <row r="70" spans="1:5">
      <c r="A70">
        <v>2</v>
      </c>
      <c r="B70">
        <v>11</v>
      </c>
      <c r="C70">
        <v>2</v>
      </c>
      <c r="D70" t="s">
        <v>389</v>
      </c>
      <c r="E70" s="6" t="s">
        <v>561</v>
      </c>
    </row>
    <row r="71" spans="1:5">
      <c r="A71">
        <v>3</v>
      </c>
      <c r="B71">
        <v>12</v>
      </c>
      <c r="C71">
        <v>3</v>
      </c>
      <c r="D71" t="s">
        <v>389</v>
      </c>
      <c r="E71" t="s">
        <v>2280</v>
      </c>
    </row>
    <row r="72" spans="1:5">
      <c r="A72">
        <v>4</v>
      </c>
      <c r="B72">
        <v>13</v>
      </c>
      <c r="C72">
        <v>4</v>
      </c>
      <c r="D72" t="s">
        <v>2281</v>
      </c>
      <c r="E72" t="s">
        <v>2280</v>
      </c>
    </row>
    <row r="73" spans="1:5">
      <c r="A73">
        <v>5</v>
      </c>
      <c r="B73">
        <v>15</v>
      </c>
      <c r="C73">
        <v>5</v>
      </c>
      <c r="D73" t="s">
        <v>2281</v>
      </c>
      <c r="E73" t="s">
        <v>2280</v>
      </c>
    </row>
    <row r="74" spans="1:5">
      <c r="A74">
        <v>6</v>
      </c>
      <c r="B74">
        <v>20</v>
      </c>
      <c r="C74">
        <v>6</v>
      </c>
      <c r="D74" t="s">
        <v>2281</v>
      </c>
      <c r="E74" t="s">
        <v>2280</v>
      </c>
    </row>
    <row r="75" spans="1:5">
      <c r="A75">
        <v>7</v>
      </c>
      <c r="B75">
        <v>25</v>
      </c>
      <c r="C75">
        <v>7</v>
      </c>
      <c r="D75" t="s">
        <v>2282</v>
      </c>
      <c r="E75" t="s">
        <v>2280</v>
      </c>
    </row>
    <row r="76" spans="1:5">
      <c r="A76">
        <v>8</v>
      </c>
      <c r="B76">
        <v>30</v>
      </c>
      <c r="C76">
        <v>8</v>
      </c>
      <c r="D76" t="s">
        <v>2282</v>
      </c>
      <c r="E76" t="s">
        <v>2280</v>
      </c>
    </row>
    <row r="77" spans="1:5">
      <c r="A77">
        <v>9</v>
      </c>
      <c r="B77">
        <v>50</v>
      </c>
      <c r="C77">
        <v>10</v>
      </c>
      <c r="D77" t="s">
        <v>2282</v>
      </c>
      <c r="E77" t="s">
        <v>2280</v>
      </c>
    </row>
    <row r="78" spans="1:5">
      <c r="A78">
        <v>10</v>
      </c>
      <c r="B78">
        <v>75</v>
      </c>
      <c r="C78">
        <v>15</v>
      </c>
      <c r="D78" t="s">
        <v>2282</v>
      </c>
      <c r="E78" t="s">
        <v>2280</v>
      </c>
    </row>
    <row r="80" spans="1:5">
      <c r="A80" t="s">
        <v>2283</v>
      </c>
      <c r="B80" t="s">
        <v>2284</v>
      </c>
    </row>
    <row r="81" spans="1:2">
      <c r="A81" t="s">
        <v>596</v>
      </c>
      <c r="B81" t="s">
        <v>597</v>
      </c>
    </row>
    <row r="82" spans="1:2">
      <c r="A82" t="s">
        <v>1845</v>
      </c>
      <c r="B82" t="s">
        <v>2285</v>
      </c>
    </row>
    <row r="83" spans="1:2">
      <c r="A83" t="s">
        <v>1852</v>
      </c>
      <c r="B83" t="s">
        <v>2286</v>
      </c>
    </row>
    <row r="84" spans="1:2">
      <c r="A84" t="s">
        <v>1860</v>
      </c>
      <c r="B84" t="s">
        <v>2287</v>
      </c>
    </row>
    <row r="85" spans="1:2">
      <c r="A85" t="s">
        <v>1869</v>
      </c>
      <c r="B85" t="s">
        <v>2288</v>
      </c>
    </row>
    <row r="86" spans="1:2">
      <c r="A86" t="s">
        <v>542</v>
      </c>
      <c r="B86" t="s">
        <v>543</v>
      </c>
    </row>
    <row r="87" spans="1:2">
      <c r="A87" t="s">
        <v>1887</v>
      </c>
      <c r="B87" t="s">
        <v>2289</v>
      </c>
    </row>
    <row r="88" spans="1:2">
      <c r="A88" t="s">
        <v>1106</v>
      </c>
      <c r="B88" t="s">
        <v>1107</v>
      </c>
    </row>
    <row r="89" spans="1:2">
      <c r="A89" t="s">
        <v>1902</v>
      </c>
      <c r="B89" t="s">
        <v>2290</v>
      </c>
    </row>
    <row r="90" spans="1:2">
      <c r="A90" t="s">
        <v>1911</v>
      </c>
      <c r="B90" t="s">
        <v>2291</v>
      </c>
    </row>
    <row r="91" spans="1:2">
      <c r="A91" t="s">
        <v>748</v>
      </c>
      <c r="B91" t="s">
        <v>749</v>
      </c>
    </row>
    <row r="92" spans="1:2">
      <c r="A92" t="s">
        <v>1925</v>
      </c>
      <c r="B92" t="s">
        <v>2292</v>
      </c>
    </row>
    <row r="93" spans="1:2">
      <c r="A93" t="s">
        <v>1060</v>
      </c>
      <c r="B93" t="s">
        <v>1061</v>
      </c>
    </row>
    <row r="94" spans="1:2">
      <c r="A94" t="s">
        <v>439</v>
      </c>
      <c r="B94" t="s">
        <v>441</v>
      </c>
    </row>
    <row r="95" spans="1:2">
      <c r="A95" t="s">
        <v>1945</v>
      </c>
      <c r="B95" t="s">
        <v>2293</v>
      </c>
    </row>
    <row r="96" spans="1:2">
      <c r="A96" t="s">
        <v>1951</v>
      </c>
      <c r="B96" t="s">
        <v>2294</v>
      </c>
    </row>
    <row r="97" spans="1:2">
      <c r="A97" t="s">
        <v>438</v>
      </c>
      <c r="B97" t="s">
        <v>440</v>
      </c>
    </row>
    <row r="98" spans="1:2">
      <c r="A98" t="s">
        <v>813</v>
      </c>
      <c r="B98" t="s">
        <v>814</v>
      </c>
    </row>
    <row r="99" spans="1:2">
      <c r="A99" t="s">
        <v>1963</v>
      </c>
      <c r="B99" t="s">
        <v>2295</v>
      </c>
    </row>
    <row r="101" spans="1:2">
      <c r="A101" t="s">
        <v>1448</v>
      </c>
      <c r="B101" t="s">
        <v>1421</v>
      </c>
    </row>
    <row r="102" spans="1:2">
      <c r="A102">
        <v>10</v>
      </c>
      <c r="B102" t="s">
        <v>2296</v>
      </c>
    </row>
    <row r="103" spans="1:2">
      <c r="A103">
        <v>9</v>
      </c>
      <c r="B103" t="s">
        <v>2296</v>
      </c>
    </row>
    <row r="104" spans="1:2">
      <c r="A104">
        <v>8</v>
      </c>
      <c r="B104" t="s">
        <v>2296</v>
      </c>
    </row>
    <row r="105" spans="1:2">
      <c r="A105">
        <v>7</v>
      </c>
      <c r="B105" s="5" t="s">
        <v>400</v>
      </c>
    </row>
    <row r="106" spans="1:2">
      <c r="A106">
        <v>6</v>
      </c>
      <c r="B106" s="5" t="s">
        <v>400</v>
      </c>
    </row>
    <row r="107" spans="1:2">
      <c r="A107">
        <v>5</v>
      </c>
      <c r="B107" s="5" t="s">
        <v>400</v>
      </c>
    </row>
    <row r="108" spans="1:2">
      <c r="A108">
        <v>4</v>
      </c>
      <c r="B108" s="6" t="s">
        <v>695</v>
      </c>
    </row>
    <row r="109" spans="1:2">
      <c r="A109">
        <v>3</v>
      </c>
      <c r="B109" s="6" t="s">
        <v>695</v>
      </c>
    </row>
    <row r="110" spans="1:2">
      <c r="A110">
        <v>2</v>
      </c>
      <c r="B110" s="6" t="s">
        <v>695</v>
      </c>
    </row>
    <row r="111" spans="1:2">
      <c r="A111">
        <v>1</v>
      </c>
      <c r="B111" t="s">
        <v>2297</v>
      </c>
    </row>
    <row r="113" spans="1:3">
      <c r="A113" t="s">
        <v>2298</v>
      </c>
      <c r="B113" t="s">
        <v>927</v>
      </c>
    </row>
    <row r="114" spans="1:3">
      <c r="A114" t="s">
        <v>1693</v>
      </c>
      <c r="B114">
        <v>3</v>
      </c>
    </row>
    <row r="115" spans="1:3">
      <c r="A115" t="s">
        <v>1588</v>
      </c>
      <c r="B115">
        <v>1</v>
      </c>
    </row>
    <row r="116" spans="1:3">
      <c r="A116" t="s">
        <v>854</v>
      </c>
      <c r="B116">
        <v>2</v>
      </c>
    </row>
    <row r="117" spans="1:3">
      <c r="A117" t="s">
        <v>1672</v>
      </c>
      <c r="B117">
        <v>1</v>
      </c>
    </row>
    <row r="118" spans="1:3">
      <c r="A118" t="s">
        <v>1874</v>
      </c>
      <c r="B118">
        <v>1</v>
      </c>
    </row>
    <row r="119" spans="1:3">
      <c r="A119" t="s">
        <v>377</v>
      </c>
      <c r="B119">
        <v>0</v>
      </c>
    </row>
    <row r="123" spans="1:3">
      <c r="A123" t="s">
        <v>2299</v>
      </c>
      <c r="B123" t="s">
        <v>2300</v>
      </c>
      <c r="C123" t="s">
        <v>2301</v>
      </c>
    </row>
    <row r="124" spans="1:3">
      <c r="A124" t="s">
        <v>558</v>
      </c>
      <c r="B124" t="s">
        <v>598</v>
      </c>
      <c r="C124" t="s">
        <v>599</v>
      </c>
    </row>
    <row r="125" spans="1:3">
      <c r="A125" t="s">
        <v>985</v>
      </c>
      <c r="B125" t="s">
        <v>1037</v>
      </c>
      <c r="C125" t="s">
        <v>1038</v>
      </c>
    </row>
    <row r="126" spans="1:3">
      <c r="A126" t="s">
        <v>877</v>
      </c>
      <c r="B126" t="s">
        <v>907</v>
      </c>
      <c r="C126" t="s">
        <v>908</v>
      </c>
    </row>
    <row r="127" spans="1:3">
      <c r="A127" t="s">
        <v>684</v>
      </c>
      <c r="B127" t="s">
        <v>750</v>
      </c>
      <c r="C127" t="s">
        <v>751</v>
      </c>
    </row>
    <row r="128" spans="1:3">
      <c r="A128" t="s">
        <v>1865</v>
      </c>
      <c r="B128" t="s">
        <v>2302</v>
      </c>
      <c r="C128" t="s">
        <v>2303</v>
      </c>
    </row>
    <row r="129" spans="1:3">
      <c r="A129" t="s">
        <v>792</v>
      </c>
      <c r="B129" t="s">
        <v>815</v>
      </c>
      <c r="C129" t="s">
        <v>816</v>
      </c>
    </row>
    <row r="130" spans="1:3">
      <c r="A130" t="s">
        <v>638</v>
      </c>
      <c r="B130" t="s">
        <v>673</v>
      </c>
      <c r="C130" t="s">
        <v>674</v>
      </c>
    </row>
    <row r="131" spans="1:3">
      <c r="A131" t="s">
        <v>1282</v>
      </c>
      <c r="B131" t="s">
        <v>1302</v>
      </c>
      <c r="C131" t="s">
        <v>1303</v>
      </c>
    </row>
    <row r="132" spans="1:3">
      <c r="A132" t="s">
        <v>375</v>
      </c>
      <c r="B132" t="s">
        <v>442</v>
      </c>
      <c r="C132" t="s">
        <v>443</v>
      </c>
    </row>
    <row r="133" spans="1:3">
      <c r="A133" t="s">
        <v>1140</v>
      </c>
      <c r="B133" t="s">
        <v>1156</v>
      </c>
      <c r="C133" t="s">
        <v>1157</v>
      </c>
    </row>
    <row r="134" spans="1:3">
      <c r="A134" t="s">
        <v>936</v>
      </c>
      <c r="B134" t="s">
        <v>948</v>
      </c>
      <c r="C134" t="s">
        <v>949</v>
      </c>
    </row>
    <row r="135" spans="1:3">
      <c r="A135" t="s">
        <v>609</v>
      </c>
      <c r="B135" t="s">
        <v>632</v>
      </c>
      <c r="C135" t="s">
        <v>633</v>
      </c>
    </row>
    <row r="136" spans="1:3">
      <c r="A136" t="s">
        <v>876</v>
      </c>
      <c r="B136" t="s">
        <v>905</v>
      </c>
      <c r="C136" t="s">
        <v>906</v>
      </c>
    </row>
    <row r="137" spans="1:3">
      <c r="A137" t="s">
        <v>1201</v>
      </c>
      <c r="B137" t="s">
        <v>1209</v>
      </c>
      <c r="C137" t="s">
        <v>1210</v>
      </c>
    </row>
    <row r="138" spans="1:3">
      <c r="A138" t="s">
        <v>1072</v>
      </c>
      <c r="B138" t="s">
        <v>1108</v>
      </c>
      <c r="C138" t="s">
        <v>1109</v>
      </c>
    </row>
    <row r="139" spans="1:3">
      <c r="A139" t="s">
        <v>494</v>
      </c>
      <c r="B139" t="s">
        <v>546</v>
      </c>
      <c r="C139" t="s">
        <v>547</v>
      </c>
    </row>
    <row r="140" spans="1:3">
      <c r="A140" t="s">
        <v>1954</v>
      </c>
      <c r="B140" t="s">
        <v>2304</v>
      </c>
      <c r="C140" t="s">
        <v>2305</v>
      </c>
    </row>
    <row r="141" spans="1:3">
      <c r="A141" t="s">
        <v>640</v>
      </c>
      <c r="B141" t="s">
        <v>671</v>
      </c>
      <c r="C141" t="s">
        <v>672</v>
      </c>
    </row>
    <row r="142" spans="1:3">
      <c r="A142" t="s">
        <v>493</v>
      </c>
      <c r="B142" t="s">
        <v>544</v>
      </c>
      <c r="C142" t="s">
        <v>545</v>
      </c>
    </row>
    <row r="143" spans="1:3">
      <c r="A143" t="s">
        <v>954</v>
      </c>
      <c r="B143" t="s">
        <v>978</v>
      </c>
      <c r="C143" t="s">
        <v>979</v>
      </c>
    </row>
    <row r="144" spans="1:3">
      <c r="A144" t="s">
        <v>450</v>
      </c>
      <c r="B144" t="s">
        <v>483</v>
      </c>
      <c r="C144" t="s">
        <v>484</v>
      </c>
    </row>
    <row r="145" spans="1:3">
      <c r="A145" t="s">
        <v>685</v>
      </c>
      <c r="B145" t="s">
        <v>752</v>
      </c>
      <c r="C145" t="s">
        <v>753</v>
      </c>
    </row>
    <row r="146" spans="1:3">
      <c r="A146" t="s">
        <v>376</v>
      </c>
      <c r="B146" t="s">
        <v>444</v>
      </c>
      <c r="C146" t="s">
        <v>445</v>
      </c>
    </row>
    <row r="147" spans="1:3">
      <c r="A147" t="s">
        <v>793</v>
      </c>
      <c r="B147" t="s">
        <v>817</v>
      </c>
      <c r="C147" t="s">
        <v>818</v>
      </c>
    </row>
    <row r="148" spans="1:3">
      <c r="A148" t="s">
        <v>759</v>
      </c>
      <c r="B148" t="s">
        <v>783</v>
      </c>
      <c r="C148" t="s">
        <v>784</v>
      </c>
    </row>
    <row r="149" spans="1:3">
      <c r="A149" t="s">
        <v>1315</v>
      </c>
      <c r="B149" t="s">
        <v>1325</v>
      </c>
      <c r="C149" t="s">
        <v>1326</v>
      </c>
    </row>
    <row r="150" spans="1:3">
      <c r="A150" t="s">
        <v>853</v>
      </c>
      <c r="B150" t="s">
        <v>868</v>
      </c>
      <c r="C150" t="s">
        <v>869</v>
      </c>
    </row>
  </sheetData>
  <sortState xmlns:xlrd2="http://schemas.microsoft.com/office/spreadsheetml/2017/richdata2" ref="A80:A92">
    <sortCondition ref="A92"/>
  </sortState>
  <phoneticPr fontId="1" type="noConversion"/>
  <pageMargins left="0.7" right="0.7" top="0.75" bottom="0.75" header="0.3" footer="0.3"/>
  <pageSetup paperSize="9" orientation="portrait" horizontalDpi="0" verticalDpi="0"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0512B-D79C-4A62-B91A-D53126B58099}">
  <dimension ref="A1:I112"/>
  <sheetViews>
    <sheetView topLeftCell="A67" workbookViewId="0">
      <selection activeCell="A82" sqref="A82:I82"/>
    </sheetView>
  </sheetViews>
  <sheetFormatPr defaultRowHeight="15"/>
  <cols>
    <col min="1" max="1" width="22" bestFit="1" customWidth="1"/>
    <col min="2" max="3" width="9.85546875" bestFit="1" customWidth="1"/>
    <col min="4" max="4" width="11.7109375" bestFit="1" customWidth="1"/>
    <col min="5" max="7" width="13.42578125" bestFit="1" customWidth="1"/>
  </cols>
  <sheetData>
    <row r="1" spans="1:9">
      <c r="A1" t="s">
        <v>10</v>
      </c>
      <c r="B1" t="s">
        <v>2306</v>
      </c>
      <c r="C1" t="s">
        <v>2307</v>
      </c>
      <c r="D1" t="s">
        <v>11</v>
      </c>
      <c r="E1" t="s">
        <v>2252</v>
      </c>
      <c r="F1" t="s">
        <v>2253</v>
      </c>
      <c r="G1" t="s">
        <v>2254</v>
      </c>
      <c r="H1" t="s">
        <v>2308</v>
      </c>
      <c r="I1" t="s">
        <v>927</v>
      </c>
    </row>
    <row r="2" spans="1:9">
      <c r="A2" t="s">
        <v>1980</v>
      </c>
      <c r="B2" t="s">
        <v>680</v>
      </c>
      <c r="E2" t="s">
        <v>241</v>
      </c>
      <c r="F2" t="s">
        <v>242</v>
      </c>
      <c r="G2" t="s">
        <v>244</v>
      </c>
      <c r="H2" t="s">
        <v>245</v>
      </c>
      <c r="I2" t="s">
        <v>2309</v>
      </c>
    </row>
    <row r="3" spans="1:9">
      <c r="A3" t="s">
        <v>1984</v>
      </c>
      <c r="B3" t="s">
        <v>680</v>
      </c>
      <c r="E3" t="s">
        <v>241</v>
      </c>
      <c r="F3" t="s">
        <v>242</v>
      </c>
      <c r="G3" t="s">
        <v>244</v>
      </c>
      <c r="H3" t="s">
        <v>245</v>
      </c>
      <c r="I3" t="s">
        <v>2310</v>
      </c>
    </row>
    <row r="4" spans="1:9">
      <c r="A4" t="s">
        <v>1987</v>
      </c>
      <c r="B4" t="s">
        <v>553</v>
      </c>
      <c r="E4" t="s">
        <v>236</v>
      </c>
      <c r="F4" t="s">
        <v>239</v>
      </c>
      <c r="G4" t="s">
        <v>243</v>
      </c>
      <c r="H4" t="s">
        <v>244</v>
      </c>
      <c r="I4" t="s">
        <v>2310</v>
      </c>
    </row>
    <row r="5" spans="1:9">
      <c r="A5" t="s">
        <v>1991</v>
      </c>
      <c r="B5" t="s">
        <v>370</v>
      </c>
      <c r="E5" t="s">
        <v>237</v>
      </c>
      <c r="F5" t="s">
        <v>238</v>
      </c>
      <c r="G5" t="s">
        <v>239</v>
      </c>
      <c r="H5" t="s">
        <v>242</v>
      </c>
      <c r="I5" t="s">
        <v>2310</v>
      </c>
    </row>
    <row r="6" spans="1:9">
      <c r="A6" t="s">
        <v>1994</v>
      </c>
      <c r="B6" t="s">
        <v>370</v>
      </c>
      <c r="E6" t="s">
        <v>237</v>
      </c>
      <c r="F6" t="s">
        <v>238</v>
      </c>
      <c r="G6" t="s">
        <v>242</v>
      </c>
      <c r="H6" t="s">
        <v>244</v>
      </c>
      <c r="I6" t="s">
        <v>2310</v>
      </c>
    </row>
    <row r="7" spans="1:9">
      <c r="A7" t="s">
        <v>1997</v>
      </c>
      <c r="B7" t="s">
        <v>790</v>
      </c>
      <c r="E7" t="s">
        <v>238</v>
      </c>
      <c r="F7" t="s">
        <v>240</v>
      </c>
      <c r="G7" t="s">
        <v>237</v>
      </c>
      <c r="H7" t="s">
        <v>245</v>
      </c>
      <c r="I7" t="s">
        <v>2309</v>
      </c>
    </row>
    <row r="8" spans="1:9">
      <c r="A8" t="s">
        <v>1844</v>
      </c>
      <c r="B8" t="s">
        <v>370</v>
      </c>
      <c r="E8" t="s">
        <v>237</v>
      </c>
      <c r="F8" t="s">
        <v>238</v>
      </c>
      <c r="G8" t="s">
        <v>242</v>
      </c>
      <c r="H8" t="s">
        <v>245</v>
      </c>
      <c r="I8" t="s">
        <v>2311</v>
      </c>
    </row>
    <row r="9" spans="1:9">
      <c r="A9" t="s">
        <v>2001</v>
      </c>
      <c r="B9" t="s">
        <v>491</v>
      </c>
      <c r="E9" t="s">
        <v>236</v>
      </c>
      <c r="F9" t="s">
        <v>243</v>
      </c>
      <c r="G9" t="s">
        <v>244</v>
      </c>
      <c r="H9" t="s">
        <v>245</v>
      </c>
      <c r="I9" t="s">
        <v>2310</v>
      </c>
    </row>
    <row r="10" spans="1:9">
      <c r="A10" t="s">
        <v>2004</v>
      </c>
      <c r="B10" t="s">
        <v>790</v>
      </c>
      <c r="E10" t="s">
        <v>237</v>
      </c>
      <c r="F10" t="s">
        <v>238</v>
      </c>
      <c r="G10" t="s">
        <v>240</v>
      </c>
      <c r="H10" t="s">
        <v>245</v>
      </c>
      <c r="I10" t="s">
        <v>2310</v>
      </c>
    </row>
    <row r="11" spans="1:9">
      <c r="A11" t="s">
        <v>1281</v>
      </c>
      <c r="B11" t="s">
        <v>553</v>
      </c>
      <c r="E11" t="s">
        <v>236</v>
      </c>
      <c r="F11" t="s">
        <v>239</v>
      </c>
      <c r="G11" t="s">
        <v>244</v>
      </c>
      <c r="H11" t="s">
        <v>242</v>
      </c>
      <c r="I11" t="s">
        <v>2309</v>
      </c>
    </row>
    <row r="12" spans="1:9">
      <c r="A12" t="s">
        <v>2008</v>
      </c>
      <c r="B12" t="s">
        <v>553</v>
      </c>
      <c r="E12" t="s">
        <v>236</v>
      </c>
      <c r="F12" t="s">
        <v>237</v>
      </c>
      <c r="G12" t="s">
        <v>239</v>
      </c>
      <c r="H12" t="s">
        <v>244</v>
      </c>
      <c r="I12" t="s">
        <v>2310</v>
      </c>
    </row>
    <row r="13" spans="1:9">
      <c r="A13" t="s">
        <v>2012</v>
      </c>
      <c r="B13" t="s">
        <v>790</v>
      </c>
      <c r="E13" t="s">
        <v>238</v>
      </c>
      <c r="F13" t="s">
        <v>240</v>
      </c>
      <c r="G13" t="s">
        <v>237</v>
      </c>
      <c r="H13" t="s">
        <v>245</v>
      </c>
      <c r="I13" t="s">
        <v>2309</v>
      </c>
    </row>
    <row r="14" spans="1:9">
      <c r="A14" t="s">
        <v>2016</v>
      </c>
      <c r="B14" t="s">
        <v>680</v>
      </c>
      <c r="E14" t="s">
        <v>238</v>
      </c>
      <c r="F14" t="s">
        <v>241</v>
      </c>
      <c r="G14" t="s">
        <v>242</v>
      </c>
      <c r="H14" t="s">
        <v>245</v>
      </c>
      <c r="I14" t="s">
        <v>2309</v>
      </c>
    </row>
    <row r="15" spans="1:9">
      <c r="A15" t="s">
        <v>2020</v>
      </c>
      <c r="B15" t="s">
        <v>680</v>
      </c>
      <c r="E15" t="s">
        <v>237</v>
      </c>
      <c r="F15" t="s">
        <v>241</v>
      </c>
      <c r="G15" t="s">
        <v>242</v>
      </c>
      <c r="H15" t="s">
        <v>245</v>
      </c>
      <c r="I15" t="s">
        <v>2310</v>
      </c>
    </row>
    <row r="16" spans="1:9">
      <c r="A16" t="s">
        <v>2024</v>
      </c>
      <c r="B16" t="s">
        <v>370</v>
      </c>
      <c r="E16" t="s">
        <v>237</v>
      </c>
      <c r="F16" t="s">
        <v>238</v>
      </c>
      <c r="G16" t="s">
        <v>240</v>
      </c>
      <c r="H16" t="s">
        <v>242</v>
      </c>
      <c r="I16" t="s">
        <v>2309</v>
      </c>
    </row>
    <row r="17" spans="1:9">
      <c r="A17" t="s">
        <v>2028</v>
      </c>
      <c r="B17" t="s">
        <v>491</v>
      </c>
      <c r="E17" t="s">
        <v>236</v>
      </c>
      <c r="F17" t="s">
        <v>238</v>
      </c>
      <c r="G17" t="s">
        <v>243</v>
      </c>
      <c r="H17" t="s">
        <v>244</v>
      </c>
      <c r="I17" t="s">
        <v>2309</v>
      </c>
    </row>
    <row r="18" spans="1:9">
      <c r="A18" t="s">
        <v>2030</v>
      </c>
      <c r="B18" t="s">
        <v>491</v>
      </c>
      <c r="E18" t="s">
        <v>236</v>
      </c>
      <c r="F18" t="s">
        <v>243</v>
      </c>
      <c r="G18" t="s">
        <v>244</v>
      </c>
      <c r="H18" t="s">
        <v>245</v>
      </c>
      <c r="I18" t="s">
        <v>2310</v>
      </c>
    </row>
    <row r="19" spans="1:9">
      <c r="A19" t="s">
        <v>1851</v>
      </c>
      <c r="B19" t="s">
        <v>553</v>
      </c>
      <c r="E19" t="s">
        <v>236</v>
      </c>
      <c r="F19" t="s">
        <v>237</v>
      </c>
      <c r="G19" t="s">
        <v>239</v>
      </c>
      <c r="H19" t="s">
        <v>244</v>
      </c>
      <c r="I19" t="s">
        <v>2311</v>
      </c>
    </row>
    <row r="20" spans="1:9">
      <c r="A20" t="s">
        <v>2033</v>
      </c>
      <c r="B20" t="s">
        <v>370</v>
      </c>
      <c r="E20" t="s">
        <v>237</v>
      </c>
      <c r="F20" t="s">
        <v>238</v>
      </c>
      <c r="G20" t="s">
        <v>242</v>
      </c>
      <c r="H20" t="s">
        <v>244</v>
      </c>
      <c r="I20" t="s">
        <v>2309</v>
      </c>
    </row>
    <row r="21" spans="1:9">
      <c r="A21" t="s">
        <v>2037</v>
      </c>
      <c r="B21" t="s">
        <v>491</v>
      </c>
      <c r="E21" t="s">
        <v>236</v>
      </c>
      <c r="F21" t="s">
        <v>243</v>
      </c>
      <c r="G21" t="s">
        <v>244</v>
      </c>
      <c r="H21" t="s">
        <v>245</v>
      </c>
      <c r="I21" t="s">
        <v>2310</v>
      </c>
    </row>
    <row r="22" spans="1:9">
      <c r="A22" t="s">
        <v>2041</v>
      </c>
      <c r="B22" t="s">
        <v>680</v>
      </c>
      <c r="E22" t="s">
        <v>241</v>
      </c>
      <c r="F22" t="s">
        <v>242</v>
      </c>
      <c r="G22" t="s">
        <v>244</v>
      </c>
      <c r="H22" t="s">
        <v>245</v>
      </c>
      <c r="I22" t="s">
        <v>2309</v>
      </c>
    </row>
    <row r="23" spans="1:9">
      <c r="A23" t="s">
        <v>2045</v>
      </c>
      <c r="B23" t="s">
        <v>680</v>
      </c>
      <c r="E23" t="s">
        <v>237</v>
      </c>
      <c r="F23" t="s">
        <v>241</v>
      </c>
      <c r="G23" t="s">
        <v>242</v>
      </c>
      <c r="H23" t="s">
        <v>245</v>
      </c>
      <c r="I23" t="s">
        <v>2309</v>
      </c>
    </row>
    <row r="24" spans="1:9">
      <c r="A24" t="s">
        <v>2050</v>
      </c>
      <c r="B24" t="s">
        <v>790</v>
      </c>
      <c r="E24" t="s">
        <v>238</v>
      </c>
      <c r="F24" t="s">
        <v>240</v>
      </c>
      <c r="G24" t="s">
        <v>237</v>
      </c>
      <c r="H24" t="s">
        <v>245</v>
      </c>
      <c r="I24" t="s">
        <v>2309</v>
      </c>
    </row>
    <row r="25" spans="1:9">
      <c r="A25" t="s">
        <v>2053</v>
      </c>
      <c r="B25" t="s">
        <v>680</v>
      </c>
      <c r="E25" t="s">
        <v>238</v>
      </c>
      <c r="F25" t="s">
        <v>241</v>
      </c>
      <c r="G25" t="s">
        <v>242</v>
      </c>
      <c r="H25" t="s">
        <v>245</v>
      </c>
      <c r="I25" t="s">
        <v>2309</v>
      </c>
    </row>
    <row r="26" spans="1:9">
      <c r="A26" t="s">
        <v>2057</v>
      </c>
      <c r="B26" t="s">
        <v>491</v>
      </c>
      <c r="E26" t="s">
        <v>236</v>
      </c>
      <c r="F26" t="s">
        <v>241</v>
      </c>
      <c r="G26" t="s">
        <v>243</v>
      </c>
      <c r="H26" t="s">
        <v>244</v>
      </c>
      <c r="I26" t="s">
        <v>2310</v>
      </c>
    </row>
    <row r="27" spans="1:9">
      <c r="A27" t="s">
        <v>2060</v>
      </c>
      <c r="B27" t="s">
        <v>790</v>
      </c>
      <c r="E27" t="s">
        <v>238</v>
      </c>
      <c r="F27" t="s">
        <v>240</v>
      </c>
      <c r="G27" t="s">
        <v>242</v>
      </c>
      <c r="H27" t="s">
        <v>245</v>
      </c>
      <c r="I27" t="s">
        <v>2309</v>
      </c>
    </row>
    <row r="28" spans="1:9">
      <c r="A28" t="s">
        <v>2062</v>
      </c>
      <c r="B28" t="s">
        <v>491</v>
      </c>
      <c r="E28" t="s">
        <v>236</v>
      </c>
      <c r="F28" t="s">
        <v>243</v>
      </c>
      <c r="G28" t="s">
        <v>244</v>
      </c>
      <c r="H28" t="s">
        <v>245</v>
      </c>
      <c r="I28" t="s">
        <v>2310</v>
      </c>
    </row>
    <row r="29" spans="1:9">
      <c r="A29" t="s">
        <v>2066</v>
      </c>
      <c r="B29" t="s">
        <v>790</v>
      </c>
      <c r="E29" t="s">
        <v>237</v>
      </c>
      <c r="F29" t="s">
        <v>239</v>
      </c>
      <c r="G29" t="s">
        <v>240</v>
      </c>
      <c r="H29" t="s">
        <v>244</v>
      </c>
      <c r="I29" t="s">
        <v>2310</v>
      </c>
    </row>
    <row r="30" spans="1:9">
      <c r="A30" t="s">
        <v>2070</v>
      </c>
      <c r="B30" t="s">
        <v>680</v>
      </c>
      <c r="E30" t="s">
        <v>237</v>
      </c>
      <c r="F30" t="s">
        <v>241</v>
      </c>
      <c r="G30" t="s">
        <v>242</v>
      </c>
      <c r="H30" t="s">
        <v>245</v>
      </c>
      <c r="I30" t="s">
        <v>2309</v>
      </c>
    </row>
    <row r="31" spans="1:9">
      <c r="A31" t="s">
        <v>2072</v>
      </c>
      <c r="B31" t="s">
        <v>680</v>
      </c>
      <c r="E31" t="s">
        <v>240</v>
      </c>
      <c r="F31" t="s">
        <v>241</v>
      </c>
      <c r="G31" t="s">
        <v>242</v>
      </c>
      <c r="H31" t="s">
        <v>245</v>
      </c>
      <c r="I31" t="s">
        <v>2310</v>
      </c>
    </row>
    <row r="32" spans="1:9">
      <c r="A32" t="s">
        <v>2073</v>
      </c>
      <c r="B32" t="s">
        <v>553</v>
      </c>
      <c r="E32" t="s">
        <v>236</v>
      </c>
      <c r="F32" t="s">
        <v>239</v>
      </c>
      <c r="G32" t="s">
        <v>244</v>
      </c>
      <c r="H32" t="s">
        <v>237</v>
      </c>
      <c r="I32" t="s">
        <v>2309</v>
      </c>
    </row>
    <row r="33" spans="1:9">
      <c r="A33" t="s">
        <v>2076</v>
      </c>
      <c r="B33" t="s">
        <v>370</v>
      </c>
      <c r="E33" t="s">
        <v>237</v>
      </c>
      <c r="F33" t="s">
        <v>238</v>
      </c>
      <c r="G33" t="s">
        <v>242</v>
      </c>
      <c r="H33" t="s">
        <v>244</v>
      </c>
      <c r="I33" t="s">
        <v>2309</v>
      </c>
    </row>
    <row r="34" spans="1:9">
      <c r="A34" t="s">
        <v>2312</v>
      </c>
      <c r="B34" t="s">
        <v>491</v>
      </c>
      <c r="E34" t="s">
        <v>236</v>
      </c>
      <c r="F34" t="s">
        <v>243</v>
      </c>
      <c r="G34" t="s">
        <v>244</v>
      </c>
      <c r="H34" t="s">
        <v>245</v>
      </c>
      <c r="I34" t="s">
        <v>2309</v>
      </c>
    </row>
    <row r="35" spans="1:9">
      <c r="A35" t="s">
        <v>2079</v>
      </c>
      <c r="B35" t="s">
        <v>553</v>
      </c>
      <c r="E35" t="s">
        <v>236</v>
      </c>
      <c r="F35" t="s">
        <v>239</v>
      </c>
      <c r="G35" t="s">
        <v>240</v>
      </c>
      <c r="H35" t="s">
        <v>244</v>
      </c>
      <c r="I35" t="s">
        <v>2309</v>
      </c>
    </row>
    <row r="36" spans="1:9">
      <c r="A36" t="s">
        <v>2082</v>
      </c>
      <c r="B36" t="s">
        <v>553</v>
      </c>
      <c r="E36" t="s">
        <v>236</v>
      </c>
      <c r="F36" t="s">
        <v>237</v>
      </c>
      <c r="G36" t="s">
        <v>239</v>
      </c>
      <c r="H36" t="s">
        <v>244</v>
      </c>
      <c r="I36" t="s">
        <v>2309</v>
      </c>
    </row>
    <row r="37" spans="1:9">
      <c r="A37" t="s">
        <v>2086</v>
      </c>
      <c r="B37" t="s">
        <v>790</v>
      </c>
      <c r="E37" t="s">
        <v>238</v>
      </c>
      <c r="F37" t="s">
        <v>239</v>
      </c>
      <c r="G37" t="s">
        <v>240</v>
      </c>
      <c r="H37" t="s">
        <v>245</v>
      </c>
      <c r="I37" t="s">
        <v>2310</v>
      </c>
    </row>
    <row r="38" spans="1:9">
      <c r="A38" t="s">
        <v>2091</v>
      </c>
      <c r="B38" t="s">
        <v>491</v>
      </c>
      <c r="E38" t="s">
        <v>237</v>
      </c>
      <c r="F38" t="s">
        <v>242</v>
      </c>
      <c r="G38" t="s">
        <v>243</v>
      </c>
      <c r="H38" t="s">
        <v>244</v>
      </c>
      <c r="I38" t="s">
        <v>2310</v>
      </c>
    </row>
    <row r="39" spans="1:9">
      <c r="A39" t="s">
        <v>2094</v>
      </c>
      <c r="B39" t="s">
        <v>790</v>
      </c>
      <c r="E39" t="s">
        <v>238</v>
      </c>
      <c r="F39" t="s">
        <v>239</v>
      </c>
      <c r="G39" t="s">
        <v>240</v>
      </c>
      <c r="H39" t="s">
        <v>245</v>
      </c>
      <c r="I39" t="s">
        <v>2310</v>
      </c>
    </row>
    <row r="40" spans="1:9">
      <c r="A40" t="s">
        <v>2098</v>
      </c>
      <c r="B40" t="s">
        <v>790</v>
      </c>
      <c r="E40" t="s">
        <v>237</v>
      </c>
      <c r="F40" t="s">
        <v>238</v>
      </c>
      <c r="G40" t="s">
        <v>240</v>
      </c>
      <c r="H40" t="s">
        <v>245</v>
      </c>
      <c r="I40" t="s">
        <v>2309</v>
      </c>
    </row>
    <row r="41" spans="1:9">
      <c r="A41" t="s">
        <v>2101</v>
      </c>
      <c r="B41" t="s">
        <v>790</v>
      </c>
      <c r="E41" t="s">
        <v>238</v>
      </c>
      <c r="F41" t="s">
        <v>239</v>
      </c>
      <c r="G41" t="s">
        <v>240</v>
      </c>
      <c r="H41" t="s">
        <v>241</v>
      </c>
      <c r="I41" t="s">
        <v>2309</v>
      </c>
    </row>
    <row r="42" spans="1:9">
      <c r="A42" t="s">
        <v>2104</v>
      </c>
      <c r="B42" t="s">
        <v>680</v>
      </c>
      <c r="E42" t="s">
        <v>240</v>
      </c>
      <c r="F42" t="s">
        <v>241</v>
      </c>
      <c r="G42" t="s">
        <v>242</v>
      </c>
      <c r="H42" t="s">
        <v>244</v>
      </c>
      <c r="I42" t="s">
        <v>2310</v>
      </c>
    </row>
    <row r="43" spans="1:9">
      <c r="A43" t="s">
        <v>2108</v>
      </c>
      <c r="B43" t="s">
        <v>553</v>
      </c>
      <c r="E43" t="s">
        <v>236</v>
      </c>
      <c r="F43" t="s">
        <v>237</v>
      </c>
      <c r="G43" t="s">
        <v>239</v>
      </c>
      <c r="H43" t="s">
        <v>244</v>
      </c>
      <c r="I43" t="s">
        <v>2310</v>
      </c>
    </row>
    <row r="44" spans="1:9">
      <c r="A44" t="s">
        <v>2111</v>
      </c>
      <c r="B44" t="s">
        <v>680</v>
      </c>
      <c r="E44" t="s">
        <v>240</v>
      </c>
      <c r="F44" t="s">
        <v>241</v>
      </c>
      <c r="G44" t="s">
        <v>242</v>
      </c>
      <c r="H44" t="s">
        <v>244</v>
      </c>
      <c r="I44" t="s">
        <v>2310</v>
      </c>
    </row>
    <row r="45" spans="1:9">
      <c r="A45" t="s">
        <v>639</v>
      </c>
      <c r="B45" t="s">
        <v>553</v>
      </c>
      <c r="E45" t="s">
        <v>236</v>
      </c>
      <c r="F45" t="s">
        <v>239</v>
      </c>
      <c r="G45" t="s">
        <v>241</v>
      </c>
      <c r="H45" t="s">
        <v>244</v>
      </c>
      <c r="I45" t="s">
        <v>2310</v>
      </c>
    </row>
    <row r="46" spans="1:9">
      <c r="A46" t="s">
        <v>2115</v>
      </c>
      <c r="B46" t="s">
        <v>790</v>
      </c>
      <c r="E46" t="s">
        <v>236</v>
      </c>
      <c r="F46" t="s">
        <v>238</v>
      </c>
      <c r="G46" t="s">
        <v>240</v>
      </c>
      <c r="H46" t="s">
        <v>245</v>
      </c>
      <c r="I46" t="s">
        <v>2310</v>
      </c>
    </row>
    <row r="47" spans="1:9">
      <c r="A47" t="s">
        <v>2117</v>
      </c>
      <c r="B47" t="s">
        <v>491</v>
      </c>
      <c r="E47" t="s">
        <v>236</v>
      </c>
      <c r="F47" t="s">
        <v>242</v>
      </c>
      <c r="G47" t="s">
        <v>243</v>
      </c>
      <c r="H47" t="s">
        <v>244</v>
      </c>
      <c r="I47" t="s">
        <v>2309</v>
      </c>
    </row>
    <row r="48" spans="1:9">
      <c r="A48" t="s">
        <v>2120</v>
      </c>
      <c r="B48" t="s">
        <v>553</v>
      </c>
      <c r="E48" t="s">
        <v>236</v>
      </c>
      <c r="F48" t="s">
        <v>239</v>
      </c>
      <c r="G48" t="s">
        <v>242</v>
      </c>
      <c r="H48" t="s">
        <v>244</v>
      </c>
      <c r="I48" t="s">
        <v>2310</v>
      </c>
    </row>
    <row r="49" spans="1:9">
      <c r="A49" t="s">
        <v>1859</v>
      </c>
      <c r="B49" t="s">
        <v>370</v>
      </c>
      <c r="C49" t="s">
        <v>553</v>
      </c>
      <c r="E49" t="s">
        <v>237</v>
      </c>
      <c r="F49" t="s">
        <v>239</v>
      </c>
      <c r="G49" t="s">
        <v>242</v>
      </c>
      <c r="H49" t="s">
        <v>244</v>
      </c>
      <c r="I49" t="s">
        <v>2311</v>
      </c>
    </row>
    <row r="50" spans="1:9">
      <c r="A50" t="s">
        <v>2123</v>
      </c>
      <c r="B50" t="s">
        <v>370</v>
      </c>
      <c r="E50" t="s">
        <v>236</v>
      </c>
      <c r="F50" t="s">
        <v>237</v>
      </c>
      <c r="G50" t="s">
        <v>238</v>
      </c>
      <c r="H50" t="s">
        <v>242</v>
      </c>
      <c r="I50" t="s">
        <v>2310</v>
      </c>
    </row>
    <row r="51" spans="1:9">
      <c r="A51" t="s">
        <v>1867</v>
      </c>
      <c r="B51" t="s">
        <v>790</v>
      </c>
      <c r="E51" t="s">
        <v>237</v>
      </c>
      <c r="F51" t="s">
        <v>238</v>
      </c>
      <c r="G51" t="s">
        <v>242</v>
      </c>
      <c r="H51" t="s">
        <v>245</v>
      </c>
      <c r="I51" t="s">
        <v>2311</v>
      </c>
    </row>
    <row r="52" spans="1:9">
      <c r="A52" t="s">
        <v>2127</v>
      </c>
      <c r="B52" t="s">
        <v>790</v>
      </c>
      <c r="E52" t="s">
        <v>238</v>
      </c>
      <c r="F52" t="s">
        <v>239</v>
      </c>
      <c r="G52" t="s">
        <v>240</v>
      </c>
      <c r="H52" t="s">
        <v>242</v>
      </c>
      <c r="I52" t="s">
        <v>2309</v>
      </c>
    </row>
    <row r="53" spans="1:9">
      <c r="A53" t="s">
        <v>824</v>
      </c>
      <c r="B53" t="s">
        <v>491</v>
      </c>
      <c r="E53" t="s">
        <v>236</v>
      </c>
      <c r="F53" t="s">
        <v>240</v>
      </c>
      <c r="G53" t="s">
        <v>243</v>
      </c>
      <c r="H53" t="s">
        <v>244</v>
      </c>
      <c r="I53" t="s">
        <v>2311</v>
      </c>
    </row>
    <row r="54" spans="1:9">
      <c r="A54" t="s">
        <v>1886</v>
      </c>
      <c r="B54" t="s">
        <v>370</v>
      </c>
      <c r="E54" t="s">
        <v>237</v>
      </c>
      <c r="F54" t="s">
        <v>238</v>
      </c>
      <c r="G54" t="s">
        <v>242</v>
      </c>
      <c r="H54" t="s">
        <v>245</v>
      </c>
      <c r="I54" t="s">
        <v>2311</v>
      </c>
    </row>
    <row r="55" spans="1:9">
      <c r="A55" t="s">
        <v>2131</v>
      </c>
      <c r="B55" t="s">
        <v>790</v>
      </c>
      <c r="E55" t="s">
        <v>238</v>
      </c>
      <c r="F55" t="s">
        <v>240</v>
      </c>
      <c r="G55" t="s">
        <v>237</v>
      </c>
      <c r="H55" t="s">
        <v>245</v>
      </c>
      <c r="I55" t="s">
        <v>2309</v>
      </c>
    </row>
    <row r="56" spans="1:9">
      <c r="A56" t="s">
        <v>2135</v>
      </c>
      <c r="B56" t="s">
        <v>370</v>
      </c>
      <c r="E56" t="s">
        <v>237</v>
      </c>
      <c r="F56" t="s">
        <v>238</v>
      </c>
      <c r="G56" t="s">
        <v>242</v>
      </c>
      <c r="H56" t="s">
        <v>244</v>
      </c>
      <c r="I56" t="s">
        <v>2309</v>
      </c>
    </row>
    <row r="57" spans="1:9">
      <c r="A57" t="s">
        <v>2138</v>
      </c>
      <c r="B57" t="s">
        <v>491</v>
      </c>
      <c r="E57" t="s">
        <v>236</v>
      </c>
      <c r="F57" t="s">
        <v>238</v>
      </c>
      <c r="G57" t="s">
        <v>243</v>
      </c>
      <c r="H57" t="s">
        <v>244</v>
      </c>
      <c r="I57" t="s">
        <v>2310</v>
      </c>
    </row>
    <row r="58" spans="1:9">
      <c r="A58" t="s">
        <v>555</v>
      </c>
      <c r="B58" t="s">
        <v>370</v>
      </c>
      <c r="E58" t="s">
        <v>236</v>
      </c>
      <c r="F58" t="s">
        <v>239</v>
      </c>
      <c r="G58" t="s">
        <v>241</v>
      </c>
      <c r="H58" t="s">
        <v>244</v>
      </c>
      <c r="I58" t="s">
        <v>2311</v>
      </c>
    </row>
    <row r="59" spans="1:9">
      <c r="A59" t="s">
        <v>2141</v>
      </c>
      <c r="B59" t="s">
        <v>370</v>
      </c>
      <c r="E59" t="s">
        <v>237</v>
      </c>
      <c r="F59" t="s">
        <v>239</v>
      </c>
      <c r="G59" t="s">
        <v>242</v>
      </c>
      <c r="H59" t="s">
        <v>244</v>
      </c>
      <c r="I59" t="s">
        <v>2309</v>
      </c>
    </row>
    <row r="60" spans="1:9">
      <c r="A60" t="s">
        <v>2145</v>
      </c>
      <c r="B60" t="s">
        <v>680</v>
      </c>
      <c r="E60" t="s">
        <v>236</v>
      </c>
      <c r="F60" t="s">
        <v>239</v>
      </c>
      <c r="G60" t="s">
        <v>241</v>
      </c>
      <c r="H60" t="s">
        <v>245</v>
      </c>
      <c r="I60" t="s">
        <v>2309</v>
      </c>
    </row>
    <row r="61" spans="1:9">
      <c r="A61" t="s">
        <v>1901</v>
      </c>
      <c r="B61" t="s">
        <v>790</v>
      </c>
      <c r="E61" t="s">
        <v>238</v>
      </c>
      <c r="F61" t="s">
        <v>240</v>
      </c>
      <c r="G61" t="s">
        <v>242</v>
      </c>
      <c r="H61" t="s">
        <v>245</v>
      </c>
      <c r="I61" t="s">
        <v>2311</v>
      </c>
    </row>
    <row r="62" spans="1:9">
      <c r="A62" t="s">
        <v>1910</v>
      </c>
      <c r="B62" t="s">
        <v>680</v>
      </c>
      <c r="E62" t="s">
        <v>237</v>
      </c>
      <c r="F62" t="s">
        <v>241</v>
      </c>
      <c r="G62" t="s">
        <v>242</v>
      </c>
      <c r="H62" t="s">
        <v>245</v>
      </c>
      <c r="I62" t="s">
        <v>2311</v>
      </c>
    </row>
    <row r="63" spans="1:9">
      <c r="A63" t="s">
        <v>2148</v>
      </c>
      <c r="B63" t="s">
        <v>370</v>
      </c>
      <c r="E63" t="s">
        <v>237</v>
      </c>
      <c r="F63" t="s">
        <v>238</v>
      </c>
      <c r="G63" t="s">
        <v>242</v>
      </c>
      <c r="H63" t="s">
        <v>244</v>
      </c>
      <c r="I63" t="s">
        <v>2310</v>
      </c>
    </row>
    <row r="64" spans="1:9">
      <c r="A64" t="s">
        <v>2150</v>
      </c>
      <c r="B64" t="s">
        <v>491</v>
      </c>
      <c r="E64" t="s">
        <v>236</v>
      </c>
      <c r="F64" t="s">
        <v>243</v>
      </c>
      <c r="G64" t="s">
        <v>244</v>
      </c>
      <c r="H64" t="s">
        <v>245</v>
      </c>
      <c r="I64" t="s">
        <v>2309</v>
      </c>
    </row>
    <row r="65" spans="1:9">
      <c r="A65" t="s">
        <v>2153</v>
      </c>
      <c r="B65" t="s">
        <v>553</v>
      </c>
      <c r="E65" t="s">
        <v>236</v>
      </c>
      <c r="F65" t="s">
        <v>239</v>
      </c>
      <c r="G65" t="s">
        <v>244</v>
      </c>
      <c r="H65" t="s">
        <v>245</v>
      </c>
      <c r="I65" t="s">
        <v>2310</v>
      </c>
    </row>
    <row r="66" spans="1:9">
      <c r="A66" t="s">
        <v>2156</v>
      </c>
      <c r="B66" t="s">
        <v>790</v>
      </c>
      <c r="E66" t="s">
        <v>238</v>
      </c>
      <c r="F66" t="s">
        <v>239</v>
      </c>
      <c r="G66" t="s">
        <v>240</v>
      </c>
      <c r="H66" t="s">
        <v>245</v>
      </c>
      <c r="I66" t="s">
        <v>2309</v>
      </c>
    </row>
    <row r="67" spans="1:9">
      <c r="A67" t="s">
        <v>606</v>
      </c>
      <c r="B67" t="s">
        <v>553</v>
      </c>
      <c r="E67" t="s">
        <v>237</v>
      </c>
      <c r="F67" t="s">
        <v>239</v>
      </c>
      <c r="G67" t="s">
        <v>242</v>
      </c>
      <c r="H67" t="s">
        <v>244</v>
      </c>
      <c r="I67" t="s">
        <v>2310</v>
      </c>
    </row>
    <row r="68" spans="1:9">
      <c r="A68" t="s">
        <v>2159</v>
      </c>
      <c r="B68" t="s">
        <v>553</v>
      </c>
      <c r="E68" t="s">
        <v>236</v>
      </c>
      <c r="F68" t="s">
        <v>240</v>
      </c>
      <c r="G68" t="s">
        <v>239</v>
      </c>
      <c r="H68" t="s">
        <v>244</v>
      </c>
      <c r="I68" t="s">
        <v>2309</v>
      </c>
    </row>
    <row r="69" spans="1:9">
      <c r="A69" t="s">
        <v>2161</v>
      </c>
      <c r="B69" t="s">
        <v>491</v>
      </c>
      <c r="E69" t="s">
        <v>236</v>
      </c>
      <c r="F69" t="s">
        <v>242</v>
      </c>
      <c r="G69" t="s">
        <v>243</v>
      </c>
      <c r="H69" t="s">
        <v>244</v>
      </c>
      <c r="I69" t="s">
        <v>2309</v>
      </c>
    </row>
    <row r="70" spans="1:9">
      <c r="A70" t="s">
        <v>2164</v>
      </c>
      <c r="B70" t="s">
        <v>680</v>
      </c>
      <c r="E70" t="s">
        <v>241</v>
      </c>
      <c r="F70" t="s">
        <v>242</v>
      </c>
      <c r="G70" t="s">
        <v>244</v>
      </c>
      <c r="H70" t="s">
        <v>237</v>
      </c>
      <c r="I70" t="s">
        <v>2309</v>
      </c>
    </row>
    <row r="71" spans="1:9">
      <c r="A71" t="s">
        <v>2165</v>
      </c>
      <c r="B71" t="s">
        <v>790</v>
      </c>
      <c r="E71" t="s">
        <v>236</v>
      </c>
      <c r="F71" t="s">
        <v>237</v>
      </c>
      <c r="G71" t="s">
        <v>239</v>
      </c>
      <c r="H71" t="s">
        <v>244</v>
      </c>
      <c r="I71" t="s">
        <v>2310</v>
      </c>
    </row>
    <row r="72" spans="1:9">
      <c r="A72" t="s">
        <v>1071</v>
      </c>
      <c r="B72" t="s">
        <v>370</v>
      </c>
      <c r="E72" t="s">
        <v>237</v>
      </c>
      <c r="F72" t="s">
        <v>238</v>
      </c>
      <c r="G72" t="s">
        <v>242</v>
      </c>
      <c r="H72" t="s">
        <v>239</v>
      </c>
      <c r="I72" t="s">
        <v>2311</v>
      </c>
    </row>
    <row r="73" spans="1:9">
      <c r="A73" t="s">
        <v>1924</v>
      </c>
      <c r="B73" t="s">
        <v>370</v>
      </c>
      <c r="E73" t="s">
        <v>236</v>
      </c>
      <c r="F73" t="s">
        <v>237</v>
      </c>
      <c r="G73" t="s">
        <v>238</v>
      </c>
      <c r="H73" t="s">
        <v>242</v>
      </c>
      <c r="I73" t="s">
        <v>2311</v>
      </c>
    </row>
    <row r="74" spans="1:9">
      <c r="A74" t="s">
        <v>2167</v>
      </c>
      <c r="B74" t="s">
        <v>680</v>
      </c>
      <c r="E74" t="s">
        <v>241</v>
      </c>
      <c r="F74" t="s">
        <v>242</v>
      </c>
      <c r="G74" t="s">
        <v>244</v>
      </c>
      <c r="H74" t="s">
        <v>245</v>
      </c>
      <c r="I74" t="s">
        <v>2310</v>
      </c>
    </row>
    <row r="75" spans="1:9">
      <c r="A75" t="s">
        <v>2168</v>
      </c>
      <c r="E75" t="s">
        <v>237</v>
      </c>
      <c r="F75" t="s">
        <v>242</v>
      </c>
      <c r="G75" t="s">
        <v>244</v>
      </c>
      <c r="H75" t="s">
        <v>245</v>
      </c>
      <c r="I75" t="s">
        <v>2309</v>
      </c>
    </row>
    <row r="76" spans="1:9">
      <c r="A76" t="s">
        <v>2169</v>
      </c>
      <c r="B76" t="s">
        <v>491</v>
      </c>
      <c r="E76" t="s">
        <v>236</v>
      </c>
      <c r="F76" t="s">
        <v>243</v>
      </c>
      <c r="G76" t="s">
        <v>244</v>
      </c>
      <c r="H76" t="s">
        <v>237</v>
      </c>
      <c r="I76" t="s">
        <v>2309</v>
      </c>
    </row>
    <row r="77" spans="1:9">
      <c r="A77" t="s">
        <v>2171</v>
      </c>
      <c r="B77" t="s">
        <v>790</v>
      </c>
      <c r="E77" t="s">
        <v>237</v>
      </c>
      <c r="F77" t="s">
        <v>238</v>
      </c>
      <c r="G77" t="s">
        <v>240</v>
      </c>
      <c r="H77" t="s">
        <v>245</v>
      </c>
      <c r="I77" t="s">
        <v>2309</v>
      </c>
    </row>
    <row r="78" spans="1:9">
      <c r="A78" t="s">
        <v>2173</v>
      </c>
      <c r="B78" t="s">
        <v>553</v>
      </c>
      <c r="E78" t="s">
        <v>237</v>
      </c>
      <c r="F78" t="s">
        <v>239</v>
      </c>
      <c r="G78" t="s">
        <v>244</v>
      </c>
      <c r="H78" t="s">
        <v>243</v>
      </c>
      <c r="I78" t="s">
        <v>2309</v>
      </c>
    </row>
    <row r="79" spans="1:9">
      <c r="A79" t="s">
        <v>2175</v>
      </c>
      <c r="B79" t="s">
        <v>790</v>
      </c>
      <c r="E79" t="s">
        <v>238</v>
      </c>
      <c r="F79" t="s">
        <v>240</v>
      </c>
      <c r="G79" t="s">
        <v>241</v>
      </c>
      <c r="H79" t="s">
        <v>245</v>
      </c>
      <c r="I79" t="s">
        <v>2310</v>
      </c>
    </row>
    <row r="80" spans="1:9">
      <c r="A80" t="s">
        <v>2176</v>
      </c>
      <c r="B80" t="s">
        <v>491</v>
      </c>
      <c r="E80" t="s">
        <v>237</v>
      </c>
      <c r="F80" t="s">
        <v>243</v>
      </c>
      <c r="G80" t="s">
        <v>244</v>
      </c>
      <c r="H80" t="s">
        <v>236</v>
      </c>
      <c r="I80" t="s">
        <v>2309</v>
      </c>
    </row>
    <row r="81" spans="1:9">
      <c r="A81" t="s">
        <v>2179</v>
      </c>
      <c r="B81" t="s">
        <v>680</v>
      </c>
      <c r="E81" t="s">
        <v>241</v>
      </c>
      <c r="F81" t="s">
        <v>242</v>
      </c>
      <c r="G81" t="s">
        <v>244</v>
      </c>
      <c r="H81" t="s">
        <v>245</v>
      </c>
      <c r="I81" t="s">
        <v>2310</v>
      </c>
    </row>
    <row r="82" spans="1:9">
      <c r="A82" t="s">
        <v>1180</v>
      </c>
      <c r="B82" t="s">
        <v>370</v>
      </c>
      <c r="E82" t="s">
        <v>237</v>
      </c>
      <c r="F82" t="s">
        <v>238</v>
      </c>
      <c r="G82" t="s">
        <v>242</v>
      </c>
      <c r="H82" t="s">
        <v>245</v>
      </c>
      <c r="I82" t="s">
        <v>2311</v>
      </c>
    </row>
    <row r="83" spans="1:9">
      <c r="A83" t="s">
        <v>1937</v>
      </c>
      <c r="B83" t="s">
        <v>491</v>
      </c>
      <c r="E83" t="s">
        <v>239</v>
      </c>
      <c r="F83" t="s">
        <v>242</v>
      </c>
      <c r="G83" t="s">
        <v>243</v>
      </c>
      <c r="H83" t="s">
        <v>244</v>
      </c>
      <c r="I83" t="s">
        <v>2311</v>
      </c>
    </row>
    <row r="84" spans="1:9">
      <c r="A84" t="s">
        <v>2181</v>
      </c>
      <c r="B84" t="s">
        <v>491</v>
      </c>
      <c r="E84" t="s">
        <v>236</v>
      </c>
      <c r="F84" t="s">
        <v>239</v>
      </c>
      <c r="G84" t="s">
        <v>243</v>
      </c>
      <c r="H84" t="s">
        <v>244</v>
      </c>
      <c r="I84" t="s">
        <v>2310</v>
      </c>
    </row>
    <row r="85" spans="1:9">
      <c r="A85" t="s">
        <v>682</v>
      </c>
      <c r="B85" t="s">
        <v>680</v>
      </c>
      <c r="E85" t="s">
        <v>241</v>
      </c>
      <c r="F85" t="s">
        <v>242</v>
      </c>
      <c r="G85" t="s">
        <v>244</v>
      </c>
      <c r="H85" t="s">
        <v>245</v>
      </c>
      <c r="I85" t="s">
        <v>2311</v>
      </c>
    </row>
    <row r="86" spans="1:9">
      <c r="A86" t="s">
        <v>2182</v>
      </c>
      <c r="B86" t="s">
        <v>370</v>
      </c>
      <c r="E86" t="s">
        <v>237</v>
      </c>
      <c r="F86" t="s">
        <v>238</v>
      </c>
      <c r="G86" t="s">
        <v>242</v>
      </c>
      <c r="H86" t="s">
        <v>244</v>
      </c>
      <c r="I86" t="s">
        <v>2309</v>
      </c>
    </row>
    <row r="87" spans="1:9">
      <c r="A87" t="s">
        <v>1950</v>
      </c>
      <c r="E87" t="s">
        <v>236</v>
      </c>
      <c r="F87" t="s">
        <v>237</v>
      </c>
      <c r="G87" t="s">
        <v>238</v>
      </c>
      <c r="H87" t="s">
        <v>240</v>
      </c>
      <c r="I87" t="s">
        <v>2311</v>
      </c>
    </row>
    <row r="88" spans="1:9">
      <c r="A88" t="s">
        <v>1956</v>
      </c>
      <c r="E88" t="s">
        <v>237</v>
      </c>
      <c r="F88" t="s">
        <v>238</v>
      </c>
      <c r="G88" t="s">
        <v>242</v>
      </c>
      <c r="H88" t="s">
        <v>245</v>
      </c>
      <c r="I88" t="s">
        <v>2311</v>
      </c>
    </row>
    <row r="89" spans="1:9">
      <c r="A89" t="s">
        <v>2183</v>
      </c>
      <c r="B89" t="s">
        <v>370</v>
      </c>
      <c r="E89" t="s">
        <v>237</v>
      </c>
      <c r="F89" t="s">
        <v>238</v>
      </c>
      <c r="G89" t="s">
        <v>240</v>
      </c>
      <c r="H89" t="s">
        <v>242</v>
      </c>
      <c r="I89" t="s">
        <v>2309</v>
      </c>
    </row>
    <row r="90" spans="1:9">
      <c r="A90" t="s">
        <v>2185</v>
      </c>
      <c r="B90" t="s">
        <v>370</v>
      </c>
      <c r="E90" t="s">
        <v>237</v>
      </c>
      <c r="F90" t="s">
        <v>238</v>
      </c>
      <c r="G90" t="s">
        <v>242</v>
      </c>
      <c r="H90" t="s">
        <v>244</v>
      </c>
      <c r="I90" t="s">
        <v>2310</v>
      </c>
    </row>
    <row r="91" spans="1:9">
      <c r="A91" t="s">
        <v>2186</v>
      </c>
      <c r="B91" t="s">
        <v>680</v>
      </c>
      <c r="E91" t="s">
        <v>241</v>
      </c>
      <c r="F91" t="s">
        <v>242</v>
      </c>
      <c r="G91" t="s">
        <v>243</v>
      </c>
      <c r="H91" t="s">
        <v>245</v>
      </c>
      <c r="I91" t="s">
        <v>2310</v>
      </c>
    </row>
    <row r="92" spans="1:9">
      <c r="A92" t="s">
        <v>875</v>
      </c>
      <c r="B92" t="s">
        <v>553</v>
      </c>
      <c r="E92" t="s">
        <v>236</v>
      </c>
      <c r="F92" t="s">
        <v>239</v>
      </c>
      <c r="G92" t="s">
        <v>243</v>
      </c>
      <c r="H92" t="s">
        <v>244</v>
      </c>
      <c r="I92" t="s">
        <v>2311</v>
      </c>
    </row>
    <row r="93" spans="1:9">
      <c r="A93" t="s">
        <v>2188</v>
      </c>
      <c r="B93" t="s">
        <v>370</v>
      </c>
      <c r="E93" t="s">
        <v>237</v>
      </c>
      <c r="F93" t="s">
        <v>238</v>
      </c>
      <c r="G93" t="s">
        <v>242</v>
      </c>
      <c r="H93" t="s">
        <v>244</v>
      </c>
      <c r="I93" t="s">
        <v>2310</v>
      </c>
    </row>
    <row r="94" spans="1:9">
      <c r="A94" t="s">
        <v>984</v>
      </c>
      <c r="D94" t="s">
        <v>396</v>
      </c>
      <c r="E94" t="s">
        <v>236</v>
      </c>
      <c r="F94" t="s">
        <v>237</v>
      </c>
      <c r="G94" t="s">
        <v>242</v>
      </c>
      <c r="H94" t="s">
        <v>244</v>
      </c>
      <c r="I94" t="s">
        <v>2311</v>
      </c>
    </row>
    <row r="95" spans="1:9">
      <c r="A95" t="s">
        <v>2189</v>
      </c>
      <c r="B95" t="s">
        <v>790</v>
      </c>
      <c r="E95" t="s">
        <v>237</v>
      </c>
      <c r="F95" t="s">
        <v>238</v>
      </c>
      <c r="G95" t="s">
        <v>240</v>
      </c>
      <c r="H95" t="s">
        <v>245</v>
      </c>
      <c r="I95" t="s">
        <v>2310</v>
      </c>
    </row>
    <row r="96" spans="1:9">
      <c r="A96" t="s">
        <v>2190</v>
      </c>
      <c r="B96" t="s">
        <v>491</v>
      </c>
      <c r="E96" t="s">
        <v>236</v>
      </c>
      <c r="F96" t="s">
        <v>242</v>
      </c>
      <c r="G96" t="s">
        <v>243</v>
      </c>
      <c r="H96" t="s">
        <v>244</v>
      </c>
      <c r="I96" t="s">
        <v>2310</v>
      </c>
    </row>
    <row r="97" spans="1:9">
      <c r="A97" t="s">
        <v>2191</v>
      </c>
      <c r="B97" t="s">
        <v>553</v>
      </c>
      <c r="E97" t="s">
        <v>236</v>
      </c>
      <c r="F97" t="s">
        <v>239</v>
      </c>
      <c r="G97" t="s">
        <v>244</v>
      </c>
      <c r="H97" t="s">
        <v>245</v>
      </c>
      <c r="I97" t="s">
        <v>2309</v>
      </c>
    </row>
    <row r="98" spans="1:9">
      <c r="A98" t="s">
        <v>2192</v>
      </c>
      <c r="B98" t="s">
        <v>553</v>
      </c>
      <c r="E98" t="s">
        <v>236</v>
      </c>
      <c r="F98" t="s">
        <v>239</v>
      </c>
      <c r="G98" t="s">
        <v>244</v>
      </c>
      <c r="H98" t="s">
        <v>242</v>
      </c>
      <c r="I98" t="s">
        <v>2309</v>
      </c>
    </row>
    <row r="99" spans="1:9">
      <c r="A99" t="s">
        <v>2193</v>
      </c>
      <c r="B99" t="s">
        <v>790</v>
      </c>
      <c r="E99" t="s">
        <v>238</v>
      </c>
      <c r="F99" t="s">
        <v>239</v>
      </c>
      <c r="G99" t="s">
        <v>240</v>
      </c>
      <c r="H99" t="s">
        <v>245</v>
      </c>
      <c r="I99" t="s">
        <v>2310</v>
      </c>
    </row>
    <row r="100" spans="1:9">
      <c r="A100" t="s">
        <v>2194</v>
      </c>
      <c r="E100" t="s">
        <v>237</v>
      </c>
      <c r="F100" t="s">
        <v>242</v>
      </c>
      <c r="G100" t="s">
        <v>243</v>
      </c>
      <c r="H100" t="s">
        <v>244</v>
      </c>
      <c r="I100" t="s">
        <v>2309</v>
      </c>
    </row>
    <row r="101" spans="1:9">
      <c r="A101" t="s">
        <v>2196</v>
      </c>
      <c r="B101" t="s">
        <v>491</v>
      </c>
      <c r="E101" t="s">
        <v>236</v>
      </c>
      <c r="F101" t="s">
        <v>240</v>
      </c>
      <c r="G101" t="s">
        <v>243</v>
      </c>
      <c r="H101" t="s">
        <v>244</v>
      </c>
      <c r="I101" t="s">
        <v>2310</v>
      </c>
    </row>
    <row r="102" spans="1:9">
      <c r="A102" t="s">
        <v>2199</v>
      </c>
      <c r="B102" t="s">
        <v>680</v>
      </c>
      <c r="E102" t="s">
        <v>236</v>
      </c>
      <c r="F102" t="s">
        <v>241</v>
      </c>
      <c r="G102" t="s">
        <v>242</v>
      </c>
      <c r="H102" t="s">
        <v>245</v>
      </c>
      <c r="I102" t="s">
        <v>2309</v>
      </c>
    </row>
    <row r="103" spans="1:9">
      <c r="A103" t="s">
        <v>2201</v>
      </c>
      <c r="E103" t="s">
        <v>242</v>
      </c>
      <c r="F103" t="s">
        <v>239</v>
      </c>
      <c r="G103" t="s">
        <v>236</v>
      </c>
      <c r="H103" t="s">
        <v>237</v>
      </c>
      <c r="I103" t="s">
        <v>2309</v>
      </c>
    </row>
    <row r="104" spans="1:9">
      <c r="A104" t="s">
        <v>2203</v>
      </c>
      <c r="B104" t="s">
        <v>790</v>
      </c>
      <c r="E104" t="s">
        <v>238</v>
      </c>
      <c r="F104" t="s">
        <v>240</v>
      </c>
      <c r="G104" t="s">
        <v>237</v>
      </c>
      <c r="H104" t="s">
        <v>245</v>
      </c>
      <c r="I104" t="s">
        <v>2309</v>
      </c>
    </row>
    <row r="105" spans="1:9">
      <c r="A105" t="s">
        <v>2204</v>
      </c>
      <c r="B105" t="s">
        <v>370</v>
      </c>
      <c r="E105" t="s">
        <v>237</v>
      </c>
      <c r="F105" t="s">
        <v>238</v>
      </c>
      <c r="G105" t="s">
        <v>240</v>
      </c>
      <c r="H105" t="s">
        <v>242</v>
      </c>
      <c r="I105" t="s">
        <v>2309</v>
      </c>
    </row>
    <row r="106" spans="1:9">
      <c r="A106" t="s">
        <v>2206</v>
      </c>
      <c r="B106" t="s">
        <v>790</v>
      </c>
      <c r="E106" t="s">
        <v>238</v>
      </c>
      <c r="F106" t="s">
        <v>239</v>
      </c>
      <c r="G106" t="s">
        <v>240</v>
      </c>
      <c r="H106" t="s">
        <v>245</v>
      </c>
      <c r="I106" t="s">
        <v>2309</v>
      </c>
    </row>
    <row r="107" spans="1:9">
      <c r="A107" t="s">
        <v>2208</v>
      </c>
      <c r="B107" t="s">
        <v>680</v>
      </c>
      <c r="E107" t="s">
        <v>237</v>
      </c>
      <c r="F107" t="s">
        <v>241</v>
      </c>
      <c r="G107" t="s">
        <v>242</v>
      </c>
      <c r="H107" t="s">
        <v>244</v>
      </c>
      <c r="I107" t="s">
        <v>2309</v>
      </c>
    </row>
    <row r="108" spans="1:9">
      <c r="A108" t="s">
        <v>1967</v>
      </c>
      <c r="B108" t="s">
        <v>553</v>
      </c>
      <c r="E108" t="s">
        <v>239</v>
      </c>
      <c r="F108" t="s">
        <v>242</v>
      </c>
      <c r="G108" t="s">
        <v>243</v>
      </c>
      <c r="H108" t="s">
        <v>244</v>
      </c>
      <c r="I108" t="s">
        <v>2311</v>
      </c>
    </row>
    <row r="109" spans="1:9">
      <c r="A109" t="s">
        <v>2209</v>
      </c>
      <c r="B109" t="s">
        <v>491</v>
      </c>
      <c r="E109" t="s">
        <v>236</v>
      </c>
      <c r="F109" t="s">
        <v>243</v>
      </c>
      <c r="G109" t="s">
        <v>244</v>
      </c>
      <c r="H109" t="s">
        <v>237</v>
      </c>
      <c r="I109" t="s">
        <v>2309</v>
      </c>
    </row>
    <row r="110" spans="1:9">
      <c r="A110" t="s">
        <v>1970</v>
      </c>
      <c r="B110" t="s">
        <v>790</v>
      </c>
      <c r="C110" t="s">
        <v>680</v>
      </c>
      <c r="E110" t="s">
        <v>240</v>
      </c>
      <c r="F110" t="s">
        <v>241</v>
      </c>
      <c r="G110" t="s">
        <v>242</v>
      </c>
      <c r="H110" t="s">
        <v>244</v>
      </c>
      <c r="I110" t="s">
        <v>2311</v>
      </c>
    </row>
    <row r="111" spans="1:9">
      <c r="A111" t="s">
        <v>2211</v>
      </c>
      <c r="B111" t="s">
        <v>680</v>
      </c>
      <c r="E111" t="s">
        <v>239</v>
      </c>
      <c r="F111" t="s">
        <v>241</v>
      </c>
      <c r="G111" t="s">
        <v>242</v>
      </c>
      <c r="H111" t="s">
        <v>245</v>
      </c>
      <c r="I111" t="s">
        <v>2310</v>
      </c>
    </row>
    <row r="112" spans="1:9">
      <c r="A112" t="s">
        <v>1250</v>
      </c>
      <c r="B112" t="s">
        <v>790</v>
      </c>
      <c r="E112" t="s">
        <v>238</v>
      </c>
      <c r="F112" t="s">
        <v>240</v>
      </c>
      <c r="G112" t="s">
        <v>237</v>
      </c>
      <c r="H112" t="s">
        <v>245</v>
      </c>
      <c r="I112" t="s">
        <v>2311</v>
      </c>
    </row>
  </sheetData>
  <phoneticPr fontId="1" type="noConversion"/>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B414F-E012-47BD-BA89-E3D9EEF391E5}">
  <dimension ref="A1:O218"/>
  <sheetViews>
    <sheetView topLeftCell="F1" workbookViewId="0">
      <pane ySplit="1" topLeftCell="A58" activePane="bottomLeft" state="frozen"/>
      <selection activeCell="F12" sqref="F12"/>
      <selection pane="bottomLeft" activeCell="L72" sqref="L72"/>
    </sheetView>
  </sheetViews>
  <sheetFormatPr defaultColWidth="72.85546875" defaultRowHeight="15"/>
  <cols>
    <col min="1" max="1" width="24.28515625" bestFit="1" customWidth="1"/>
    <col min="2" max="2" width="14.28515625" bestFit="1" customWidth="1"/>
    <col min="3" max="3" width="9.85546875" bestFit="1" customWidth="1"/>
    <col min="4" max="4" width="13.85546875" bestFit="1" customWidth="1"/>
    <col min="5" max="5" width="28.28515625" bestFit="1" customWidth="1"/>
    <col min="6" max="6" width="13.7109375" bestFit="1" customWidth="1"/>
    <col min="7" max="7" width="12" bestFit="1" customWidth="1"/>
    <col min="8" max="8" width="26.5703125" bestFit="1" customWidth="1"/>
    <col min="9" max="9" width="18.5703125" bestFit="1" customWidth="1"/>
    <col min="10" max="10" width="11.28515625" bestFit="1" customWidth="1"/>
    <col min="11" max="11" width="36.7109375" bestFit="1" customWidth="1"/>
    <col min="12" max="12" width="70" customWidth="1"/>
    <col min="13" max="13" width="49.7109375" bestFit="1" customWidth="1"/>
    <col min="14" max="14" width="19.28515625" bestFit="1" customWidth="1"/>
    <col min="15" max="15" width="5.5703125" bestFit="1" customWidth="1"/>
  </cols>
  <sheetData>
    <row r="1" spans="1:15">
      <c r="A1" t="s">
        <v>1418</v>
      </c>
      <c r="B1" t="s">
        <v>2313</v>
      </c>
      <c r="C1" t="s">
        <v>2257</v>
      </c>
      <c r="D1" t="s">
        <v>2314</v>
      </c>
      <c r="E1" t="s">
        <v>2315</v>
      </c>
      <c r="F1" t="s">
        <v>2316</v>
      </c>
      <c r="G1" t="s">
        <v>2317</v>
      </c>
      <c r="H1" t="s">
        <v>2318</v>
      </c>
      <c r="I1" t="s">
        <v>2319</v>
      </c>
      <c r="J1" t="s">
        <v>2320</v>
      </c>
      <c r="K1" t="s">
        <v>2321</v>
      </c>
      <c r="L1" t="s">
        <v>1421</v>
      </c>
      <c r="M1" t="s">
        <v>2322</v>
      </c>
      <c r="N1" t="s">
        <v>1489</v>
      </c>
      <c r="O1" t="s">
        <v>1407</v>
      </c>
    </row>
    <row r="2" spans="1:15">
      <c r="A2" t="s">
        <v>2323</v>
      </c>
      <c r="B2" t="s">
        <v>236</v>
      </c>
      <c r="C2">
        <v>1</v>
      </c>
      <c r="D2" t="s">
        <v>395</v>
      </c>
      <c r="F2" t="s">
        <v>23</v>
      </c>
      <c r="G2" t="s">
        <v>41</v>
      </c>
      <c r="H2" t="s">
        <v>236</v>
      </c>
      <c r="J2" t="s">
        <v>2324</v>
      </c>
      <c r="K2" t="s">
        <v>2325</v>
      </c>
      <c r="L2" t="s">
        <v>664</v>
      </c>
      <c r="M2" t="s">
        <v>2326</v>
      </c>
    </row>
    <row r="3" spans="1:15">
      <c r="A3" t="s">
        <v>2327</v>
      </c>
      <c r="B3" t="s">
        <v>236</v>
      </c>
      <c r="C3">
        <v>2</v>
      </c>
      <c r="D3" t="s">
        <v>2328</v>
      </c>
      <c r="E3" t="s">
        <v>2329</v>
      </c>
      <c r="F3" t="s">
        <v>395</v>
      </c>
      <c r="G3" t="s">
        <v>395</v>
      </c>
      <c r="H3" t="s">
        <v>236</v>
      </c>
      <c r="J3" t="s">
        <v>2324</v>
      </c>
      <c r="K3" t="s">
        <v>2330</v>
      </c>
      <c r="L3" t="s">
        <v>2331</v>
      </c>
      <c r="M3" t="s">
        <v>2332</v>
      </c>
    </row>
    <row r="4" spans="1:15">
      <c r="A4" t="s">
        <v>2333</v>
      </c>
      <c r="B4" t="s">
        <v>236</v>
      </c>
      <c r="C4">
        <v>3</v>
      </c>
      <c r="D4" t="s">
        <v>2334</v>
      </c>
      <c r="F4" t="s">
        <v>22</v>
      </c>
      <c r="G4" t="s">
        <v>41</v>
      </c>
      <c r="H4" t="s">
        <v>236</v>
      </c>
      <c r="J4" t="s">
        <v>2324</v>
      </c>
      <c r="K4" t="s">
        <v>2335</v>
      </c>
      <c r="L4" t="s">
        <v>2336</v>
      </c>
      <c r="M4" t="s">
        <v>2337</v>
      </c>
    </row>
    <row r="5" spans="1:15">
      <c r="A5" t="s">
        <v>2338</v>
      </c>
      <c r="B5" t="s">
        <v>236</v>
      </c>
      <c r="C5">
        <v>4</v>
      </c>
      <c r="D5" t="s">
        <v>2334</v>
      </c>
      <c r="F5" t="s">
        <v>22</v>
      </c>
      <c r="G5" t="s">
        <v>44</v>
      </c>
      <c r="H5" t="s">
        <v>236</v>
      </c>
      <c r="J5" t="s">
        <v>2324</v>
      </c>
      <c r="K5" t="s">
        <v>2339</v>
      </c>
      <c r="L5" t="s">
        <v>2340</v>
      </c>
      <c r="M5" t="s">
        <v>2341</v>
      </c>
    </row>
    <row r="6" spans="1:15">
      <c r="A6" t="s">
        <v>2342</v>
      </c>
      <c r="B6" t="s">
        <v>236</v>
      </c>
      <c r="C6">
        <v>5</v>
      </c>
      <c r="D6" t="s">
        <v>2343</v>
      </c>
      <c r="F6" t="s">
        <v>395</v>
      </c>
      <c r="G6" t="s">
        <v>395</v>
      </c>
      <c r="H6" t="s">
        <v>236</v>
      </c>
      <c r="J6" t="s">
        <v>2324</v>
      </c>
      <c r="K6" t="s">
        <v>2344</v>
      </c>
      <c r="L6" t="s">
        <v>2345</v>
      </c>
      <c r="M6" t="s">
        <v>2346</v>
      </c>
    </row>
    <row r="7" spans="1:15">
      <c r="A7" t="s">
        <v>2347</v>
      </c>
      <c r="B7" t="s">
        <v>237</v>
      </c>
      <c r="C7">
        <v>1</v>
      </c>
      <c r="D7" t="s">
        <v>2348</v>
      </c>
      <c r="F7" t="s">
        <v>395</v>
      </c>
      <c r="G7" t="s">
        <v>395</v>
      </c>
      <c r="H7" t="s">
        <v>395</v>
      </c>
      <c r="I7" s="5" t="s">
        <v>2349</v>
      </c>
      <c r="J7" t="s">
        <v>2324</v>
      </c>
      <c r="K7" t="s">
        <v>2339</v>
      </c>
      <c r="L7" t="s">
        <v>430</v>
      </c>
      <c r="M7" t="s">
        <v>2350</v>
      </c>
    </row>
    <row r="8" spans="1:15">
      <c r="A8" t="s">
        <v>2351</v>
      </c>
      <c r="B8" t="s">
        <v>237</v>
      </c>
      <c r="C8">
        <v>2</v>
      </c>
      <c r="D8" t="s">
        <v>2348</v>
      </c>
      <c r="E8" t="s">
        <v>2352</v>
      </c>
      <c r="F8" t="s">
        <v>395</v>
      </c>
      <c r="G8" t="s">
        <v>395</v>
      </c>
      <c r="H8" t="s">
        <v>395</v>
      </c>
      <c r="J8" t="s">
        <v>2324</v>
      </c>
      <c r="K8" t="s">
        <v>2339</v>
      </c>
      <c r="L8" t="s">
        <v>478</v>
      </c>
      <c r="M8" t="s">
        <v>2353</v>
      </c>
    </row>
    <row r="9" spans="1:15">
      <c r="A9" t="s">
        <v>2354</v>
      </c>
      <c r="B9" t="s">
        <v>237</v>
      </c>
      <c r="C9">
        <v>3</v>
      </c>
      <c r="D9" t="s">
        <v>2355</v>
      </c>
      <c r="F9" t="s">
        <v>17</v>
      </c>
      <c r="G9" t="s">
        <v>2356</v>
      </c>
      <c r="H9" t="s">
        <v>237</v>
      </c>
      <c r="I9" t="s">
        <v>2357</v>
      </c>
      <c r="J9" t="s">
        <v>2358</v>
      </c>
      <c r="K9" t="s">
        <v>2359</v>
      </c>
      <c r="L9" t="s">
        <v>777</v>
      </c>
      <c r="M9" t="s">
        <v>2360</v>
      </c>
    </row>
    <row r="10" spans="1:15">
      <c r="A10" t="s">
        <v>2361</v>
      </c>
      <c r="B10" t="s">
        <v>237</v>
      </c>
      <c r="C10">
        <v>4</v>
      </c>
      <c r="D10" t="s">
        <v>2328</v>
      </c>
      <c r="F10" t="s">
        <v>16</v>
      </c>
      <c r="G10" t="s">
        <v>46</v>
      </c>
      <c r="H10" t="s">
        <v>237</v>
      </c>
      <c r="I10" t="s">
        <v>2362</v>
      </c>
      <c r="J10" t="s">
        <v>2324</v>
      </c>
      <c r="K10" t="s">
        <v>2339</v>
      </c>
      <c r="L10" t="s">
        <v>778</v>
      </c>
      <c r="M10" t="s">
        <v>2363</v>
      </c>
    </row>
    <row r="11" spans="1:15">
      <c r="A11" t="s">
        <v>2364</v>
      </c>
      <c r="B11" t="s">
        <v>237</v>
      </c>
      <c r="C11">
        <v>5</v>
      </c>
      <c r="D11" t="s">
        <v>2334</v>
      </c>
      <c r="F11" t="s">
        <v>16</v>
      </c>
      <c r="G11" t="s">
        <v>30</v>
      </c>
      <c r="H11" t="s">
        <v>237</v>
      </c>
      <c r="J11" t="s">
        <v>2324</v>
      </c>
      <c r="K11" t="s">
        <v>2365</v>
      </c>
      <c r="L11" t="s">
        <v>779</v>
      </c>
      <c r="M11" t="s">
        <v>2366</v>
      </c>
    </row>
    <row r="12" spans="1:15">
      <c r="A12" t="s">
        <v>2367</v>
      </c>
      <c r="B12" t="s">
        <v>238</v>
      </c>
      <c r="C12">
        <v>1</v>
      </c>
      <c r="D12" t="s">
        <v>2368</v>
      </c>
      <c r="F12" t="s">
        <v>395</v>
      </c>
      <c r="G12" t="s">
        <v>395</v>
      </c>
      <c r="H12" t="s">
        <v>238</v>
      </c>
      <c r="J12" t="s">
        <v>2358</v>
      </c>
      <c r="K12" t="s">
        <v>2369</v>
      </c>
      <c r="L12" t="s">
        <v>431</v>
      </c>
      <c r="M12" t="s">
        <v>2370</v>
      </c>
    </row>
    <row r="13" spans="1:15">
      <c r="A13" t="s">
        <v>2371</v>
      </c>
      <c r="B13" t="s">
        <v>238</v>
      </c>
      <c r="C13">
        <v>2</v>
      </c>
      <c r="D13" t="s">
        <v>2368</v>
      </c>
      <c r="F13" t="s">
        <v>395</v>
      </c>
      <c r="G13" t="s">
        <v>395</v>
      </c>
      <c r="H13" t="s">
        <v>238</v>
      </c>
      <c r="J13" t="s">
        <v>2358</v>
      </c>
      <c r="K13" t="s">
        <v>2369</v>
      </c>
      <c r="L13" t="s">
        <v>431</v>
      </c>
      <c r="M13" t="s">
        <v>2372</v>
      </c>
    </row>
    <row r="14" spans="1:15">
      <c r="A14" t="s">
        <v>2373</v>
      </c>
      <c r="B14" t="s">
        <v>238</v>
      </c>
      <c r="C14">
        <v>3</v>
      </c>
      <c r="D14" t="s">
        <v>2368</v>
      </c>
      <c r="F14" t="s">
        <v>395</v>
      </c>
      <c r="G14" t="s">
        <v>395</v>
      </c>
      <c r="H14" t="s">
        <v>238</v>
      </c>
      <c r="J14" t="s">
        <v>2358</v>
      </c>
      <c r="K14" t="s">
        <v>2369</v>
      </c>
      <c r="L14" t="s">
        <v>431</v>
      </c>
      <c r="M14" t="s">
        <v>2374</v>
      </c>
    </row>
    <row r="15" spans="1:15">
      <c r="A15" t="s">
        <v>2375</v>
      </c>
      <c r="B15" t="s">
        <v>238</v>
      </c>
      <c r="C15">
        <v>4</v>
      </c>
      <c r="D15" t="s">
        <v>2368</v>
      </c>
      <c r="F15" t="s">
        <v>395</v>
      </c>
      <c r="G15" t="s">
        <v>395</v>
      </c>
      <c r="H15" t="s">
        <v>238</v>
      </c>
      <c r="J15" t="s">
        <v>2358</v>
      </c>
      <c r="K15" t="s">
        <v>2369</v>
      </c>
      <c r="L15" t="s">
        <v>431</v>
      </c>
      <c r="M15" t="s">
        <v>2376</v>
      </c>
    </row>
    <row r="16" spans="1:15">
      <c r="A16" t="s">
        <v>2377</v>
      </c>
      <c r="B16" t="s">
        <v>238</v>
      </c>
      <c r="C16">
        <v>5</v>
      </c>
      <c r="D16" t="s">
        <v>2368</v>
      </c>
      <c r="F16" t="s">
        <v>395</v>
      </c>
      <c r="G16" t="s">
        <v>395</v>
      </c>
      <c r="H16" t="s">
        <v>238</v>
      </c>
      <c r="J16" t="s">
        <v>2358</v>
      </c>
      <c r="K16" t="s">
        <v>2369</v>
      </c>
      <c r="L16" t="s">
        <v>431</v>
      </c>
      <c r="M16" t="s">
        <v>2378</v>
      </c>
    </row>
    <row r="17" spans="1:15">
      <c r="A17" t="s">
        <v>2379</v>
      </c>
      <c r="B17" t="s">
        <v>248</v>
      </c>
      <c r="C17">
        <v>1</v>
      </c>
      <c r="D17" t="s">
        <v>395</v>
      </c>
      <c r="F17" t="s">
        <v>395</v>
      </c>
      <c r="G17" t="s">
        <v>395</v>
      </c>
      <c r="H17" t="s">
        <v>395</v>
      </c>
      <c r="J17" t="s">
        <v>395</v>
      </c>
      <c r="K17" t="s">
        <v>395</v>
      </c>
      <c r="L17" t="s">
        <v>435</v>
      </c>
    </row>
    <row r="18" spans="1:15">
      <c r="A18" t="s">
        <v>2380</v>
      </c>
      <c r="B18" t="s">
        <v>248</v>
      </c>
      <c r="C18">
        <v>2</v>
      </c>
      <c r="D18" t="s">
        <v>395</v>
      </c>
      <c r="F18" t="s">
        <v>395</v>
      </c>
      <c r="G18" t="s">
        <v>395</v>
      </c>
      <c r="H18" t="s">
        <v>395</v>
      </c>
      <c r="J18" t="s">
        <v>395</v>
      </c>
      <c r="K18" t="s">
        <v>395</v>
      </c>
      <c r="L18" t="s">
        <v>667</v>
      </c>
    </row>
    <row r="19" spans="1:15">
      <c r="A19" t="s">
        <v>2381</v>
      </c>
      <c r="B19" t="s">
        <v>248</v>
      </c>
      <c r="C19">
        <v>3</v>
      </c>
      <c r="D19" t="s">
        <v>395</v>
      </c>
      <c r="F19" t="s">
        <v>395</v>
      </c>
      <c r="G19" t="s">
        <v>395</v>
      </c>
      <c r="H19" t="s">
        <v>395</v>
      </c>
      <c r="J19" t="s">
        <v>395</v>
      </c>
      <c r="K19" t="s">
        <v>395</v>
      </c>
      <c r="L19" t="s">
        <v>2382</v>
      </c>
    </row>
    <row r="20" spans="1:15">
      <c r="A20" t="s">
        <v>2383</v>
      </c>
      <c r="B20" t="s">
        <v>248</v>
      </c>
      <c r="C20">
        <v>4</v>
      </c>
      <c r="D20" t="s">
        <v>395</v>
      </c>
      <c r="F20" t="s">
        <v>395</v>
      </c>
      <c r="G20" t="s">
        <v>395</v>
      </c>
      <c r="H20" t="s">
        <v>395</v>
      </c>
      <c r="J20" t="s">
        <v>395</v>
      </c>
      <c r="K20" t="s">
        <v>395</v>
      </c>
      <c r="L20" t="s">
        <v>2384</v>
      </c>
    </row>
    <row r="21" spans="1:15">
      <c r="A21" t="s">
        <v>2385</v>
      </c>
      <c r="B21" t="s">
        <v>248</v>
      </c>
      <c r="C21">
        <v>5</v>
      </c>
      <c r="D21" t="s">
        <v>395</v>
      </c>
      <c r="F21" t="s">
        <v>395</v>
      </c>
      <c r="G21" t="s">
        <v>395</v>
      </c>
      <c r="H21" t="s">
        <v>395</v>
      </c>
      <c r="J21" t="s">
        <v>395</v>
      </c>
      <c r="K21" t="s">
        <v>395</v>
      </c>
      <c r="L21" t="s">
        <v>2386</v>
      </c>
    </row>
    <row r="22" spans="1:15">
      <c r="A22" t="s">
        <v>1849</v>
      </c>
      <c r="B22" t="s">
        <v>246</v>
      </c>
      <c r="C22">
        <v>1</v>
      </c>
      <c r="D22" t="s">
        <v>2328</v>
      </c>
      <c r="E22" t="s">
        <v>2387</v>
      </c>
      <c r="F22" t="s">
        <v>23</v>
      </c>
      <c r="G22" t="s">
        <v>30</v>
      </c>
      <c r="H22" t="s">
        <v>246</v>
      </c>
      <c r="I22" t="s">
        <v>2388</v>
      </c>
      <c r="J22" t="s">
        <v>2389</v>
      </c>
      <c r="K22" t="s">
        <v>2390</v>
      </c>
      <c r="L22" t="s">
        <v>2391</v>
      </c>
      <c r="N22" t="s">
        <v>2392</v>
      </c>
    </row>
    <row r="23" spans="1:15">
      <c r="A23" t="s">
        <v>1933</v>
      </c>
      <c r="B23" t="s">
        <v>246</v>
      </c>
      <c r="C23">
        <v>1</v>
      </c>
      <c r="D23" t="s">
        <v>2328</v>
      </c>
      <c r="E23" t="s">
        <v>2387</v>
      </c>
      <c r="F23" t="s">
        <v>23</v>
      </c>
      <c r="G23" t="s">
        <v>30</v>
      </c>
      <c r="H23" t="s">
        <v>246</v>
      </c>
      <c r="J23" t="s">
        <v>2389</v>
      </c>
      <c r="K23" t="s">
        <v>2339</v>
      </c>
      <c r="L23" t="s">
        <v>2393</v>
      </c>
      <c r="N23" t="s">
        <v>2394</v>
      </c>
    </row>
    <row r="24" spans="1:15">
      <c r="A24" t="s">
        <v>1763</v>
      </c>
      <c r="B24" t="s">
        <v>246</v>
      </c>
      <c r="C24">
        <v>1</v>
      </c>
      <c r="D24" t="s">
        <v>2328</v>
      </c>
      <c r="E24" t="s">
        <v>2387</v>
      </c>
      <c r="F24" t="s">
        <v>23</v>
      </c>
      <c r="G24" t="s">
        <v>30</v>
      </c>
      <c r="H24" t="s">
        <v>246</v>
      </c>
      <c r="J24" t="s">
        <v>2389</v>
      </c>
      <c r="K24" t="s">
        <v>2339</v>
      </c>
      <c r="L24" t="s">
        <v>1104</v>
      </c>
      <c r="N24" t="s">
        <v>2395</v>
      </c>
    </row>
    <row r="25" spans="1:15">
      <c r="A25" t="s">
        <v>1972</v>
      </c>
      <c r="B25" t="s">
        <v>246</v>
      </c>
      <c r="C25">
        <v>1</v>
      </c>
      <c r="D25" t="s">
        <v>2328</v>
      </c>
      <c r="E25" t="s">
        <v>2387</v>
      </c>
      <c r="F25" t="s">
        <v>23</v>
      </c>
      <c r="G25" t="s">
        <v>30</v>
      </c>
      <c r="H25" t="s">
        <v>246</v>
      </c>
      <c r="J25" t="s">
        <v>2389</v>
      </c>
      <c r="K25" t="s">
        <v>2324</v>
      </c>
      <c r="L25" t="s">
        <v>2396</v>
      </c>
      <c r="N25" t="s">
        <v>2394</v>
      </c>
    </row>
    <row r="26" spans="1:15">
      <c r="A26" t="s">
        <v>1977</v>
      </c>
      <c r="B26" t="s">
        <v>246</v>
      </c>
      <c r="C26">
        <v>1</v>
      </c>
      <c r="D26" t="s">
        <v>2328</v>
      </c>
      <c r="E26" t="s">
        <v>2387</v>
      </c>
      <c r="F26" t="s">
        <v>23</v>
      </c>
      <c r="G26" t="s">
        <v>30</v>
      </c>
      <c r="H26" t="s">
        <v>246</v>
      </c>
      <c r="J26" t="s">
        <v>2389</v>
      </c>
      <c r="K26" t="s">
        <v>2390</v>
      </c>
      <c r="L26" t="s">
        <v>2397</v>
      </c>
      <c r="N26" t="s">
        <v>2392</v>
      </c>
    </row>
    <row r="27" spans="1:15">
      <c r="A27" t="s">
        <v>1985</v>
      </c>
      <c r="B27" t="s">
        <v>246</v>
      </c>
      <c r="C27">
        <v>1</v>
      </c>
      <c r="D27" t="s">
        <v>2328</v>
      </c>
      <c r="E27" t="s">
        <v>2387</v>
      </c>
      <c r="F27" t="s">
        <v>23</v>
      </c>
      <c r="G27" t="s">
        <v>30</v>
      </c>
      <c r="H27" t="s">
        <v>246</v>
      </c>
      <c r="J27" t="s">
        <v>2389</v>
      </c>
      <c r="K27" t="s">
        <v>2339</v>
      </c>
      <c r="L27" t="s">
        <v>2398</v>
      </c>
      <c r="N27" t="s">
        <v>2379</v>
      </c>
    </row>
    <row r="28" spans="1:15">
      <c r="A28" t="s">
        <v>1620</v>
      </c>
      <c r="B28" t="s">
        <v>246</v>
      </c>
      <c r="C28">
        <v>1</v>
      </c>
      <c r="D28" t="s">
        <v>2328</v>
      </c>
      <c r="E28" t="s">
        <v>2387</v>
      </c>
      <c r="F28" t="s">
        <v>23</v>
      </c>
      <c r="G28" t="s">
        <v>30</v>
      </c>
      <c r="H28" t="s">
        <v>246</v>
      </c>
      <c r="J28" t="s">
        <v>2389</v>
      </c>
      <c r="K28" t="s">
        <v>2390</v>
      </c>
      <c r="L28" t="s">
        <v>669</v>
      </c>
      <c r="N28" t="s">
        <v>2379</v>
      </c>
      <c r="O28" s="24"/>
    </row>
    <row r="29" spans="1:15">
      <c r="A29" t="s">
        <v>1597</v>
      </c>
      <c r="B29" t="s">
        <v>246</v>
      </c>
      <c r="C29">
        <v>1</v>
      </c>
      <c r="D29" t="s">
        <v>2328</v>
      </c>
      <c r="E29" t="s">
        <v>2387</v>
      </c>
      <c r="F29" t="s">
        <v>23</v>
      </c>
      <c r="G29" t="s">
        <v>30</v>
      </c>
      <c r="H29" t="s">
        <v>246</v>
      </c>
      <c r="J29" t="s">
        <v>2389</v>
      </c>
      <c r="K29" t="s">
        <v>2339</v>
      </c>
      <c r="L29" t="s">
        <v>541</v>
      </c>
      <c r="N29" t="s">
        <v>2392</v>
      </c>
    </row>
    <row r="30" spans="1:15">
      <c r="A30" t="s">
        <v>2022</v>
      </c>
      <c r="B30" t="s">
        <v>246</v>
      </c>
      <c r="C30">
        <v>1</v>
      </c>
      <c r="D30" t="s">
        <v>2328</v>
      </c>
      <c r="E30" t="s">
        <v>2387</v>
      </c>
      <c r="F30" t="s">
        <v>23</v>
      </c>
      <c r="G30" t="s">
        <v>30</v>
      </c>
      <c r="H30" t="s">
        <v>246</v>
      </c>
      <c r="J30" t="s">
        <v>2389</v>
      </c>
      <c r="K30" t="s">
        <v>2399</v>
      </c>
      <c r="L30" t="s">
        <v>2400</v>
      </c>
      <c r="N30" t="s">
        <v>2392</v>
      </c>
    </row>
    <row r="31" spans="1:15">
      <c r="A31" t="s">
        <v>2035</v>
      </c>
      <c r="B31" t="s">
        <v>246</v>
      </c>
      <c r="C31">
        <v>1</v>
      </c>
      <c r="D31" t="s">
        <v>2328</v>
      </c>
      <c r="E31" t="s">
        <v>2387</v>
      </c>
      <c r="F31" t="s">
        <v>23</v>
      </c>
      <c r="G31" t="s">
        <v>30</v>
      </c>
      <c r="H31" t="s">
        <v>246</v>
      </c>
      <c r="I31" t="s">
        <v>2362</v>
      </c>
      <c r="J31" t="s">
        <v>2389</v>
      </c>
      <c r="K31" t="s">
        <v>2401</v>
      </c>
      <c r="L31" t="s">
        <v>2402</v>
      </c>
      <c r="N31" t="s">
        <v>2392</v>
      </c>
    </row>
    <row r="32" spans="1:15">
      <c r="A32" t="s">
        <v>1669</v>
      </c>
      <c r="B32" t="s">
        <v>246</v>
      </c>
      <c r="C32">
        <v>1</v>
      </c>
      <c r="D32" t="s">
        <v>2328</v>
      </c>
      <c r="E32" t="s">
        <v>2387</v>
      </c>
      <c r="F32" t="s">
        <v>23</v>
      </c>
      <c r="G32" t="s">
        <v>30</v>
      </c>
      <c r="H32" t="s">
        <v>246</v>
      </c>
      <c r="J32" t="s">
        <v>2389</v>
      </c>
      <c r="K32" t="s">
        <v>2390</v>
      </c>
      <c r="L32" t="s">
        <v>812</v>
      </c>
      <c r="N32" t="s">
        <v>2394</v>
      </c>
    </row>
    <row r="33" spans="1:15">
      <c r="A33" t="s">
        <v>1586</v>
      </c>
      <c r="B33" t="s">
        <v>246</v>
      </c>
      <c r="C33">
        <v>1</v>
      </c>
      <c r="D33" t="s">
        <v>2328</v>
      </c>
      <c r="E33" t="s">
        <v>2387</v>
      </c>
      <c r="F33" t="s">
        <v>23</v>
      </c>
      <c r="G33" t="s">
        <v>30</v>
      </c>
      <c r="H33" t="s">
        <v>246</v>
      </c>
      <c r="J33" t="s">
        <v>2389</v>
      </c>
      <c r="K33" t="s">
        <v>2324</v>
      </c>
      <c r="L33" t="s">
        <v>482</v>
      </c>
      <c r="N33" t="s">
        <v>2394</v>
      </c>
    </row>
    <row r="34" spans="1:15">
      <c r="A34" t="s">
        <v>1856</v>
      </c>
      <c r="B34" t="s">
        <v>246</v>
      </c>
      <c r="C34">
        <v>2</v>
      </c>
      <c r="D34" t="s">
        <v>2328</v>
      </c>
      <c r="E34" t="s">
        <v>2403</v>
      </c>
      <c r="F34" t="s">
        <v>23</v>
      </c>
      <c r="G34" t="s">
        <v>30</v>
      </c>
      <c r="H34" t="s">
        <v>246</v>
      </c>
      <c r="J34" t="s">
        <v>2389</v>
      </c>
      <c r="K34" t="s">
        <v>2404</v>
      </c>
      <c r="L34" t="s">
        <v>2405</v>
      </c>
      <c r="N34" t="s">
        <v>2406</v>
      </c>
    </row>
    <row r="35" spans="1:15">
      <c r="A35" t="s">
        <v>1914</v>
      </c>
      <c r="B35" t="s">
        <v>246</v>
      </c>
      <c r="C35">
        <v>2</v>
      </c>
      <c r="D35" t="s">
        <v>2328</v>
      </c>
      <c r="E35" t="s">
        <v>2403</v>
      </c>
      <c r="F35" t="s">
        <v>23</v>
      </c>
      <c r="G35" t="s">
        <v>30</v>
      </c>
      <c r="H35" t="s">
        <v>246</v>
      </c>
      <c r="I35" t="s">
        <v>2362</v>
      </c>
      <c r="J35" t="s">
        <v>2389</v>
      </c>
      <c r="K35" t="s">
        <v>2407</v>
      </c>
      <c r="L35" t="s">
        <v>2408</v>
      </c>
      <c r="N35" t="s">
        <v>2409</v>
      </c>
    </row>
    <row r="36" spans="1:15">
      <c r="A36" t="s">
        <v>1737</v>
      </c>
      <c r="B36" t="s">
        <v>246</v>
      </c>
      <c r="C36">
        <v>2</v>
      </c>
      <c r="D36" t="s">
        <v>2328</v>
      </c>
      <c r="E36" t="s">
        <v>2403</v>
      </c>
      <c r="F36" t="s">
        <v>23</v>
      </c>
      <c r="G36" t="s">
        <v>30</v>
      </c>
      <c r="H36" t="s">
        <v>246</v>
      </c>
      <c r="J36" t="s">
        <v>2389</v>
      </c>
      <c r="K36" t="s">
        <v>2410</v>
      </c>
      <c r="L36" t="s">
        <v>1035</v>
      </c>
      <c r="N36" s="21" t="s">
        <v>2411</v>
      </c>
      <c r="O36" s="24"/>
    </row>
    <row r="37" spans="1:15">
      <c r="A37" t="s">
        <v>1928</v>
      </c>
      <c r="B37" t="s">
        <v>246</v>
      </c>
      <c r="C37">
        <v>2</v>
      </c>
      <c r="D37" t="s">
        <v>2328</v>
      </c>
      <c r="E37" t="s">
        <v>2403</v>
      </c>
      <c r="F37" t="s">
        <v>23</v>
      </c>
      <c r="G37" t="s">
        <v>30</v>
      </c>
      <c r="H37" t="s">
        <v>246</v>
      </c>
      <c r="J37" t="s">
        <v>2389</v>
      </c>
      <c r="K37" t="s">
        <v>2339</v>
      </c>
      <c r="L37" t="s">
        <v>2412</v>
      </c>
      <c r="N37" t="s">
        <v>2409</v>
      </c>
    </row>
    <row r="38" spans="1:15">
      <c r="A38" t="s">
        <v>1947</v>
      </c>
      <c r="B38" t="s">
        <v>246</v>
      </c>
      <c r="C38">
        <v>2</v>
      </c>
      <c r="D38" t="s">
        <v>2328</v>
      </c>
      <c r="E38" t="s">
        <v>2403</v>
      </c>
      <c r="F38" t="s">
        <v>23</v>
      </c>
      <c r="G38" t="s">
        <v>30</v>
      </c>
      <c r="H38" t="s">
        <v>246</v>
      </c>
      <c r="J38" t="s">
        <v>2389</v>
      </c>
      <c r="K38" t="s">
        <v>2339</v>
      </c>
      <c r="L38" t="s">
        <v>2413</v>
      </c>
      <c r="N38" t="s">
        <v>2406</v>
      </c>
    </row>
    <row r="39" spans="1:15">
      <c r="A39" t="s">
        <v>1960</v>
      </c>
      <c r="B39" t="s">
        <v>246</v>
      </c>
      <c r="C39">
        <v>2</v>
      </c>
      <c r="D39" t="s">
        <v>2328</v>
      </c>
      <c r="E39" t="s">
        <v>2403</v>
      </c>
      <c r="F39" t="s">
        <v>23</v>
      </c>
      <c r="G39" t="s">
        <v>30</v>
      </c>
      <c r="H39" t="s">
        <v>246</v>
      </c>
      <c r="I39" t="s">
        <v>2414</v>
      </c>
      <c r="J39" t="s">
        <v>2389</v>
      </c>
      <c r="K39" t="s">
        <v>2415</v>
      </c>
      <c r="L39" t="s">
        <v>2416</v>
      </c>
      <c r="N39" t="s">
        <v>2409</v>
      </c>
    </row>
    <row r="40" spans="1:15">
      <c r="A40" t="s">
        <v>1999</v>
      </c>
      <c r="B40" t="s">
        <v>246</v>
      </c>
      <c r="C40">
        <v>2</v>
      </c>
      <c r="D40" t="s">
        <v>2328</v>
      </c>
      <c r="E40" t="s">
        <v>2403</v>
      </c>
      <c r="F40" t="s">
        <v>23</v>
      </c>
      <c r="G40" t="s">
        <v>30</v>
      </c>
      <c r="H40" t="s">
        <v>246</v>
      </c>
      <c r="J40" t="s">
        <v>2389</v>
      </c>
      <c r="K40" t="s">
        <v>2417</v>
      </c>
      <c r="L40" t="s">
        <v>2418</v>
      </c>
      <c r="N40" t="s">
        <v>2419</v>
      </c>
    </row>
    <row r="41" spans="1:15">
      <c r="A41" t="s">
        <v>2010</v>
      </c>
      <c r="B41" t="s">
        <v>246</v>
      </c>
      <c r="C41">
        <v>2</v>
      </c>
      <c r="D41" t="s">
        <v>2328</v>
      </c>
      <c r="E41" t="s">
        <v>2403</v>
      </c>
      <c r="F41" t="s">
        <v>23</v>
      </c>
      <c r="G41" t="s">
        <v>30</v>
      </c>
      <c r="H41" t="s">
        <v>246</v>
      </c>
      <c r="J41" t="s">
        <v>2389</v>
      </c>
      <c r="K41" t="s">
        <v>2420</v>
      </c>
      <c r="L41" t="s">
        <v>2421</v>
      </c>
      <c r="N41" t="s">
        <v>2409</v>
      </c>
    </row>
    <row r="42" spans="1:15">
      <c r="A42" t="s">
        <v>2018</v>
      </c>
      <c r="B42" t="s">
        <v>246</v>
      </c>
      <c r="C42">
        <v>2</v>
      </c>
      <c r="D42" t="s">
        <v>2328</v>
      </c>
      <c r="E42" t="s">
        <v>2403</v>
      </c>
      <c r="F42" t="s">
        <v>23</v>
      </c>
      <c r="G42" t="s">
        <v>30</v>
      </c>
      <c r="H42" t="s">
        <v>246</v>
      </c>
      <c r="J42" t="s">
        <v>2389</v>
      </c>
      <c r="K42" t="s">
        <v>2420</v>
      </c>
      <c r="L42" t="s">
        <v>2422</v>
      </c>
      <c r="N42" t="s">
        <v>2423</v>
      </c>
    </row>
    <row r="43" spans="1:15" ht="30">
      <c r="A43" t="s">
        <v>2424</v>
      </c>
      <c r="B43" t="s">
        <v>246</v>
      </c>
      <c r="C43">
        <v>2</v>
      </c>
      <c r="D43" t="s">
        <v>2328</v>
      </c>
      <c r="E43" t="s">
        <v>2403</v>
      </c>
      <c r="F43" t="s">
        <v>23</v>
      </c>
      <c r="G43" t="s">
        <v>30</v>
      </c>
      <c r="H43" t="s">
        <v>246</v>
      </c>
      <c r="J43" t="s">
        <v>2389</v>
      </c>
      <c r="K43" t="s">
        <v>2425</v>
      </c>
      <c r="L43" s="49" t="s">
        <v>2426</v>
      </c>
      <c r="N43" s="21" t="s">
        <v>2380</v>
      </c>
      <c r="O43" s="24"/>
    </row>
    <row r="44" spans="1:15">
      <c r="A44" t="s">
        <v>2025</v>
      </c>
      <c r="B44" t="s">
        <v>246</v>
      </c>
      <c r="C44">
        <v>2</v>
      </c>
      <c r="D44" t="s">
        <v>2328</v>
      </c>
      <c r="E44" t="s">
        <v>2403</v>
      </c>
      <c r="F44" t="s">
        <v>23</v>
      </c>
      <c r="G44" t="s">
        <v>30</v>
      </c>
      <c r="H44" t="s">
        <v>246</v>
      </c>
      <c r="J44" t="s">
        <v>2389</v>
      </c>
      <c r="K44" t="s">
        <v>2339</v>
      </c>
      <c r="L44" t="s">
        <v>2427</v>
      </c>
      <c r="N44" s="23" t="s">
        <v>2409</v>
      </c>
      <c r="O44" s="26"/>
    </row>
    <row r="45" spans="1:15">
      <c r="A45" t="s">
        <v>2428</v>
      </c>
      <c r="B45" t="s">
        <v>246</v>
      </c>
      <c r="C45">
        <v>2</v>
      </c>
      <c r="D45" t="s">
        <v>2328</v>
      </c>
      <c r="E45" t="s">
        <v>2429</v>
      </c>
      <c r="F45" t="s">
        <v>23</v>
      </c>
      <c r="G45" t="s">
        <v>30</v>
      </c>
      <c r="H45" t="s">
        <v>246</v>
      </c>
      <c r="J45" t="s">
        <v>2389</v>
      </c>
      <c r="K45" t="s">
        <v>2339</v>
      </c>
      <c r="L45" t="s">
        <v>2430</v>
      </c>
      <c r="O45">
        <v>2</v>
      </c>
    </row>
    <row r="46" spans="1:15">
      <c r="A46" t="s">
        <v>1738</v>
      </c>
      <c r="B46" t="s">
        <v>246</v>
      </c>
      <c r="C46">
        <v>2</v>
      </c>
      <c r="D46" t="s">
        <v>2328</v>
      </c>
      <c r="E46" t="s">
        <v>2403</v>
      </c>
      <c r="F46" t="s">
        <v>23</v>
      </c>
      <c r="G46" t="s">
        <v>30</v>
      </c>
      <c r="H46" t="s">
        <v>246</v>
      </c>
      <c r="J46" t="s">
        <v>2389</v>
      </c>
      <c r="K46" t="s">
        <v>2339</v>
      </c>
      <c r="L46" t="s">
        <v>1036</v>
      </c>
      <c r="N46" t="s">
        <v>2431</v>
      </c>
    </row>
    <row r="47" spans="1:15">
      <c r="A47" t="s">
        <v>2064</v>
      </c>
      <c r="B47" t="s">
        <v>246</v>
      </c>
      <c r="C47">
        <v>2</v>
      </c>
      <c r="D47" t="s">
        <v>2328</v>
      </c>
      <c r="E47" t="s">
        <v>2403</v>
      </c>
      <c r="F47" t="s">
        <v>23</v>
      </c>
      <c r="G47" t="s">
        <v>30</v>
      </c>
      <c r="H47" t="s">
        <v>246</v>
      </c>
      <c r="J47" t="s">
        <v>2389</v>
      </c>
      <c r="K47" t="s">
        <v>2339</v>
      </c>
      <c r="L47" t="s">
        <v>2432</v>
      </c>
      <c r="N47" t="s">
        <v>2433</v>
      </c>
    </row>
    <row r="48" spans="1:15">
      <c r="A48" t="s">
        <v>2068</v>
      </c>
      <c r="B48" t="s">
        <v>246</v>
      </c>
      <c r="C48">
        <v>2</v>
      </c>
      <c r="D48" t="s">
        <v>2328</v>
      </c>
      <c r="E48" t="s">
        <v>2403</v>
      </c>
      <c r="F48" t="s">
        <v>23</v>
      </c>
      <c r="G48" t="s">
        <v>30</v>
      </c>
      <c r="H48" t="s">
        <v>246</v>
      </c>
      <c r="J48" t="s">
        <v>2389</v>
      </c>
      <c r="K48" t="s">
        <v>2434</v>
      </c>
      <c r="L48" t="s">
        <v>2435</v>
      </c>
      <c r="N48" t="s">
        <v>2431</v>
      </c>
    </row>
    <row r="49" spans="1:14">
      <c r="A49" t="s">
        <v>1621</v>
      </c>
      <c r="B49" t="s">
        <v>246</v>
      </c>
      <c r="C49">
        <v>2</v>
      </c>
      <c r="D49" t="s">
        <v>2328</v>
      </c>
      <c r="E49" t="s">
        <v>2403</v>
      </c>
      <c r="F49" t="s">
        <v>23</v>
      </c>
      <c r="G49" t="s">
        <v>30</v>
      </c>
      <c r="H49" t="s">
        <v>246</v>
      </c>
      <c r="J49" t="s">
        <v>2389</v>
      </c>
      <c r="K49" t="s">
        <v>2324</v>
      </c>
      <c r="L49" t="s">
        <v>670</v>
      </c>
      <c r="N49" t="s">
        <v>2411</v>
      </c>
    </row>
    <row r="50" spans="1:14">
      <c r="A50" t="s">
        <v>1881</v>
      </c>
      <c r="B50" t="s">
        <v>246</v>
      </c>
      <c r="C50">
        <v>3</v>
      </c>
      <c r="D50" t="s">
        <v>2334</v>
      </c>
      <c r="E50" t="s">
        <v>2436</v>
      </c>
      <c r="F50" t="s">
        <v>23</v>
      </c>
      <c r="G50" t="s">
        <v>30</v>
      </c>
      <c r="H50" t="s">
        <v>246</v>
      </c>
      <c r="I50" t="s">
        <v>2388</v>
      </c>
      <c r="J50" t="s">
        <v>2389</v>
      </c>
      <c r="K50" t="s">
        <v>2417</v>
      </c>
      <c r="L50" t="s">
        <v>2437</v>
      </c>
      <c r="N50" t="s">
        <v>2438</v>
      </c>
    </row>
    <row r="51" spans="1:14">
      <c r="A51" t="s">
        <v>1906</v>
      </c>
      <c r="B51" t="s">
        <v>246</v>
      </c>
      <c r="C51">
        <v>3</v>
      </c>
      <c r="D51" t="s">
        <v>2334</v>
      </c>
      <c r="E51" t="s">
        <v>2436</v>
      </c>
      <c r="F51" t="s">
        <v>23</v>
      </c>
      <c r="G51" t="s">
        <v>30</v>
      </c>
      <c r="H51" t="s">
        <v>246</v>
      </c>
      <c r="J51" t="s">
        <v>2389</v>
      </c>
      <c r="K51" t="s">
        <v>2439</v>
      </c>
      <c r="L51" t="s">
        <v>2440</v>
      </c>
      <c r="N51" t="s">
        <v>2441</v>
      </c>
    </row>
    <row r="52" spans="1:14">
      <c r="A52" t="s">
        <v>1920</v>
      </c>
      <c r="B52" t="s">
        <v>246</v>
      </c>
      <c r="C52">
        <v>3</v>
      </c>
      <c r="D52" t="s">
        <v>2334</v>
      </c>
      <c r="E52" t="s">
        <v>2436</v>
      </c>
      <c r="F52" t="s">
        <v>23</v>
      </c>
      <c r="G52" t="s">
        <v>30</v>
      </c>
      <c r="H52" t="s">
        <v>246</v>
      </c>
      <c r="J52" t="s">
        <v>2389</v>
      </c>
      <c r="K52" t="s">
        <v>2442</v>
      </c>
      <c r="L52" t="s">
        <v>2443</v>
      </c>
      <c r="N52" t="s">
        <v>2381</v>
      </c>
    </row>
    <row r="53" spans="1:14">
      <c r="A53" t="s">
        <v>1958</v>
      </c>
      <c r="B53" t="s">
        <v>246</v>
      </c>
      <c r="C53">
        <v>3</v>
      </c>
      <c r="D53" t="s">
        <v>2334</v>
      </c>
      <c r="E53" t="s">
        <v>2436</v>
      </c>
      <c r="F53" t="s">
        <v>23</v>
      </c>
      <c r="G53" t="s">
        <v>30</v>
      </c>
      <c r="H53" t="s">
        <v>246</v>
      </c>
      <c r="J53" t="s">
        <v>2389</v>
      </c>
      <c r="K53" t="s">
        <v>2324</v>
      </c>
      <c r="L53" t="s">
        <v>2444</v>
      </c>
      <c r="N53" t="s">
        <v>2445</v>
      </c>
    </row>
    <row r="54" spans="1:14">
      <c r="A54" t="s">
        <v>1973</v>
      </c>
      <c r="B54" t="s">
        <v>246</v>
      </c>
      <c r="C54">
        <v>3</v>
      </c>
      <c r="D54" t="s">
        <v>2334</v>
      </c>
      <c r="E54" t="s">
        <v>2436</v>
      </c>
      <c r="F54" t="s">
        <v>23</v>
      </c>
      <c r="G54" t="s">
        <v>30</v>
      </c>
      <c r="H54" t="s">
        <v>246</v>
      </c>
      <c r="I54" t="s">
        <v>2362</v>
      </c>
      <c r="J54" t="s">
        <v>2389</v>
      </c>
      <c r="K54" t="s">
        <v>2417</v>
      </c>
      <c r="L54" t="s">
        <v>2446</v>
      </c>
      <c r="N54" t="s">
        <v>2447</v>
      </c>
    </row>
    <row r="55" spans="1:14">
      <c r="A55" t="s">
        <v>1989</v>
      </c>
      <c r="B55" t="s">
        <v>246</v>
      </c>
      <c r="C55">
        <v>3</v>
      </c>
      <c r="D55" t="s">
        <v>2334</v>
      </c>
      <c r="E55" t="s">
        <v>2436</v>
      </c>
      <c r="F55" t="s">
        <v>23</v>
      </c>
      <c r="G55" t="s">
        <v>30</v>
      </c>
      <c r="H55" t="s">
        <v>246</v>
      </c>
      <c r="J55" t="s">
        <v>2389</v>
      </c>
      <c r="K55" t="s">
        <v>2425</v>
      </c>
      <c r="L55" t="s">
        <v>2448</v>
      </c>
      <c r="N55" t="s">
        <v>2381</v>
      </c>
    </row>
    <row r="56" spans="1:14">
      <c r="A56" t="s">
        <v>1992</v>
      </c>
      <c r="B56" t="s">
        <v>246</v>
      </c>
      <c r="C56">
        <v>3</v>
      </c>
      <c r="D56" t="s">
        <v>2334</v>
      </c>
      <c r="E56" t="s">
        <v>2436</v>
      </c>
      <c r="F56" t="s">
        <v>23</v>
      </c>
      <c r="G56" t="s">
        <v>30</v>
      </c>
      <c r="H56" t="s">
        <v>246</v>
      </c>
      <c r="J56" t="s">
        <v>2389</v>
      </c>
      <c r="K56" t="s">
        <v>2449</v>
      </c>
      <c r="L56" t="s">
        <v>2450</v>
      </c>
      <c r="N56" t="s">
        <v>2451</v>
      </c>
    </row>
    <row r="57" spans="1:14">
      <c r="A57" t="s">
        <v>1995</v>
      </c>
      <c r="B57" t="s">
        <v>246</v>
      </c>
      <c r="C57">
        <v>3</v>
      </c>
      <c r="D57" t="s">
        <v>2334</v>
      </c>
      <c r="E57" t="s">
        <v>2436</v>
      </c>
      <c r="F57" t="s">
        <v>23</v>
      </c>
      <c r="G57" t="s">
        <v>30</v>
      </c>
      <c r="H57" t="s">
        <v>246</v>
      </c>
      <c r="I57" t="s">
        <v>2388</v>
      </c>
      <c r="J57" t="s">
        <v>2389</v>
      </c>
      <c r="K57" t="s">
        <v>2420</v>
      </c>
      <c r="L57" t="s">
        <v>2452</v>
      </c>
      <c r="N57" t="s">
        <v>2441</v>
      </c>
    </row>
    <row r="58" spans="1:14">
      <c r="A58" t="s">
        <v>2029</v>
      </c>
      <c r="B58" t="s">
        <v>246</v>
      </c>
      <c r="C58">
        <v>3</v>
      </c>
      <c r="D58" t="s">
        <v>2334</v>
      </c>
      <c r="E58" t="s">
        <v>2436</v>
      </c>
      <c r="F58" t="s">
        <v>23</v>
      </c>
      <c r="G58" t="s">
        <v>30</v>
      </c>
      <c r="H58" t="s">
        <v>246</v>
      </c>
      <c r="J58" t="s">
        <v>2389</v>
      </c>
      <c r="K58" t="s">
        <v>2339</v>
      </c>
      <c r="L58" t="s">
        <v>2453</v>
      </c>
      <c r="N58" t="s">
        <v>2445</v>
      </c>
    </row>
    <row r="59" spans="1:14">
      <c r="A59" t="s">
        <v>2039</v>
      </c>
      <c r="B59" t="s">
        <v>246</v>
      </c>
      <c r="C59">
        <v>3</v>
      </c>
      <c r="D59" t="s">
        <v>2334</v>
      </c>
      <c r="E59" t="s">
        <v>2436</v>
      </c>
      <c r="F59" t="s">
        <v>23</v>
      </c>
      <c r="G59" t="s">
        <v>30</v>
      </c>
      <c r="H59" t="s">
        <v>246</v>
      </c>
      <c r="J59" t="s">
        <v>2389</v>
      </c>
      <c r="K59" t="s">
        <v>2390</v>
      </c>
      <c r="L59" t="s">
        <v>2454</v>
      </c>
      <c r="N59" t="s">
        <v>2455</v>
      </c>
    </row>
    <row r="60" spans="1:14">
      <c r="A60" t="s">
        <v>2047</v>
      </c>
      <c r="B60" t="s">
        <v>246</v>
      </c>
      <c r="C60">
        <v>3</v>
      </c>
      <c r="D60" t="s">
        <v>2334</v>
      </c>
      <c r="E60" t="s">
        <v>2436</v>
      </c>
      <c r="F60" t="s">
        <v>23</v>
      </c>
      <c r="G60" t="s">
        <v>30</v>
      </c>
      <c r="H60" t="s">
        <v>246</v>
      </c>
      <c r="J60" t="s">
        <v>2389</v>
      </c>
      <c r="K60" t="s">
        <v>2456</v>
      </c>
      <c r="L60" t="s">
        <v>2457</v>
      </c>
      <c r="N60" t="s">
        <v>2458</v>
      </c>
    </row>
    <row r="61" spans="1:14">
      <c r="A61" t="s">
        <v>1764</v>
      </c>
      <c r="B61" t="s">
        <v>246</v>
      </c>
      <c r="C61">
        <v>4</v>
      </c>
      <c r="D61" t="s">
        <v>2334</v>
      </c>
      <c r="E61" t="s">
        <v>2459</v>
      </c>
      <c r="F61" t="s">
        <v>23</v>
      </c>
      <c r="G61" t="s">
        <v>30</v>
      </c>
      <c r="H61" t="s">
        <v>246</v>
      </c>
      <c r="J61" t="s">
        <v>2389</v>
      </c>
      <c r="K61" t="s">
        <v>2460</v>
      </c>
      <c r="L61" t="s">
        <v>1105</v>
      </c>
      <c r="N61" t="s">
        <v>2395</v>
      </c>
    </row>
    <row r="62" spans="1:14">
      <c r="A62" t="s">
        <v>1873</v>
      </c>
      <c r="B62" t="s">
        <v>246</v>
      </c>
      <c r="C62">
        <v>4</v>
      </c>
      <c r="D62" t="s">
        <v>2334</v>
      </c>
      <c r="E62" t="s">
        <v>2459</v>
      </c>
      <c r="F62" t="s">
        <v>23</v>
      </c>
      <c r="G62" t="s">
        <v>30</v>
      </c>
      <c r="H62" t="s">
        <v>246</v>
      </c>
      <c r="J62" t="s">
        <v>2389</v>
      </c>
      <c r="K62" t="s">
        <v>2417</v>
      </c>
      <c r="L62" t="s">
        <v>2461</v>
      </c>
      <c r="N62" t="s">
        <v>2383</v>
      </c>
    </row>
    <row r="63" spans="1:14">
      <c r="A63" t="s">
        <v>1890</v>
      </c>
      <c r="B63" t="s">
        <v>246</v>
      </c>
      <c r="C63">
        <v>4</v>
      </c>
      <c r="D63" t="s">
        <v>2334</v>
      </c>
      <c r="E63" t="s">
        <v>2459</v>
      </c>
      <c r="F63" t="s">
        <v>23</v>
      </c>
      <c r="G63" t="s">
        <v>30</v>
      </c>
      <c r="H63" t="s">
        <v>246</v>
      </c>
      <c r="I63" t="s">
        <v>2388</v>
      </c>
      <c r="J63" t="s">
        <v>2389</v>
      </c>
      <c r="K63" t="s">
        <v>2324</v>
      </c>
      <c r="L63" t="s">
        <v>2462</v>
      </c>
      <c r="N63" t="s">
        <v>2463</v>
      </c>
    </row>
    <row r="64" spans="1:14">
      <c r="A64" t="s">
        <v>1939</v>
      </c>
      <c r="B64" t="s">
        <v>246</v>
      </c>
      <c r="C64">
        <v>4</v>
      </c>
      <c r="D64" t="s">
        <v>2334</v>
      </c>
      <c r="E64" t="s">
        <v>2459</v>
      </c>
      <c r="F64" t="s">
        <v>23</v>
      </c>
      <c r="G64" t="s">
        <v>30</v>
      </c>
      <c r="H64" t="s">
        <v>246</v>
      </c>
      <c r="I64" t="s">
        <v>2362</v>
      </c>
      <c r="J64" t="s">
        <v>2389</v>
      </c>
      <c r="K64" t="s">
        <v>2464</v>
      </c>
      <c r="L64" t="s">
        <v>2465</v>
      </c>
      <c r="N64" t="s">
        <v>2466</v>
      </c>
    </row>
    <row r="65" spans="1:14">
      <c r="A65" t="s">
        <v>1965</v>
      </c>
      <c r="B65" t="s">
        <v>246</v>
      </c>
      <c r="C65">
        <v>4</v>
      </c>
      <c r="D65" t="s">
        <v>2334</v>
      </c>
      <c r="E65" t="s">
        <v>2459</v>
      </c>
      <c r="F65" t="s">
        <v>23</v>
      </c>
      <c r="G65" t="s">
        <v>30</v>
      </c>
      <c r="H65" t="s">
        <v>246</v>
      </c>
      <c r="I65" t="s">
        <v>2362</v>
      </c>
      <c r="J65" t="s">
        <v>2389</v>
      </c>
      <c r="K65" t="s">
        <v>2417</v>
      </c>
      <c r="L65" t="s">
        <v>2467</v>
      </c>
      <c r="N65" t="s">
        <v>2468</v>
      </c>
    </row>
    <row r="66" spans="1:14">
      <c r="A66" t="s">
        <v>2002</v>
      </c>
      <c r="B66" t="s">
        <v>246</v>
      </c>
      <c r="C66">
        <v>4</v>
      </c>
      <c r="D66" t="s">
        <v>2334</v>
      </c>
      <c r="E66" t="s">
        <v>2459</v>
      </c>
      <c r="F66" t="s">
        <v>23</v>
      </c>
      <c r="G66" t="s">
        <v>30</v>
      </c>
      <c r="H66" t="s">
        <v>246</v>
      </c>
      <c r="J66" t="s">
        <v>2389</v>
      </c>
      <c r="K66" t="s">
        <v>2390</v>
      </c>
      <c r="L66" t="s">
        <v>2469</v>
      </c>
      <c r="N66" t="s">
        <v>2470</v>
      </c>
    </row>
    <row r="67" spans="1:14">
      <c r="A67" t="s">
        <v>2005</v>
      </c>
      <c r="B67" t="s">
        <v>246</v>
      </c>
      <c r="C67">
        <v>4</v>
      </c>
      <c r="D67" t="s">
        <v>2334</v>
      </c>
      <c r="E67" t="s">
        <v>2459</v>
      </c>
      <c r="F67" t="s">
        <v>23</v>
      </c>
      <c r="G67" t="s">
        <v>30</v>
      </c>
      <c r="H67" t="s">
        <v>246</v>
      </c>
      <c r="J67" t="s">
        <v>2389</v>
      </c>
      <c r="K67" t="s">
        <v>2425</v>
      </c>
      <c r="L67" t="s">
        <v>2471</v>
      </c>
      <c r="N67" t="s">
        <v>2472</v>
      </c>
    </row>
    <row r="68" spans="1:14">
      <c r="A68" t="s">
        <v>2014</v>
      </c>
      <c r="B68" t="s">
        <v>246</v>
      </c>
      <c r="C68">
        <v>4</v>
      </c>
      <c r="D68" t="s">
        <v>2334</v>
      </c>
      <c r="E68" t="s">
        <v>2459</v>
      </c>
      <c r="F68" t="s">
        <v>23</v>
      </c>
      <c r="G68" t="s">
        <v>30</v>
      </c>
      <c r="H68" t="s">
        <v>246</v>
      </c>
      <c r="J68" t="s">
        <v>2389</v>
      </c>
      <c r="K68" t="s">
        <v>2390</v>
      </c>
      <c r="L68" t="s">
        <v>2473</v>
      </c>
      <c r="N68" t="s">
        <v>2466</v>
      </c>
    </row>
    <row r="69" spans="1:14">
      <c r="A69" t="s">
        <v>2055</v>
      </c>
      <c r="B69" t="s">
        <v>246</v>
      </c>
      <c r="C69">
        <v>4</v>
      </c>
      <c r="D69" t="s">
        <v>2334</v>
      </c>
      <c r="E69" t="s">
        <v>2459</v>
      </c>
      <c r="F69" t="s">
        <v>23</v>
      </c>
      <c r="G69" t="s">
        <v>30</v>
      </c>
      <c r="H69" t="s">
        <v>246</v>
      </c>
      <c r="I69" t="s">
        <v>2474</v>
      </c>
      <c r="J69" t="s">
        <v>2389</v>
      </c>
      <c r="K69" t="s">
        <v>2425</v>
      </c>
      <c r="L69" t="s">
        <v>2475</v>
      </c>
      <c r="N69" t="s">
        <v>2476</v>
      </c>
    </row>
    <row r="70" spans="1:14">
      <c r="A70" t="s">
        <v>1863</v>
      </c>
      <c r="B70" t="s">
        <v>246</v>
      </c>
      <c r="C70">
        <v>5</v>
      </c>
      <c r="D70" t="s">
        <v>2477</v>
      </c>
      <c r="E70" t="s">
        <v>2478</v>
      </c>
      <c r="F70" t="s">
        <v>23</v>
      </c>
      <c r="G70" t="s">
        <v>30</v>
      </c>
      <c r="H70" t="s">
        <v>246</v>
      </c>
      <c r="J70" t="s">
        <v>2389</v>
      </c>
      <c r="K70" t="s">
        <v>2417</v>
      </c>
      <c r="L70" t="s">
        <v>2479</v>
      </c>
      <c r="N70" t="s">
        <v>2385</v>
      </c>
    </row>
    <row r="71" spans="1:14">
      <c r="A71" t="s">
        <v>1897</v>
      </c>
      <c r="B71" t="s">
        <v>246</v>
      </c>
      <c r="C71">
        <v>5</v>
      </c>
      <c r="D71" t="s">
        <v>2477</v>
      </c>
      <c r="E71" t="s">
        <v>2478</v>
      </c>
      <c r="F71" t="s">
        <v>23</v>
      </c>
      <c r="G71" t="s">
        <v>30</v>
      </c>
      <c r="H71" t="s">
        <v>246</v>
      </c>
      <c r="J71" t="s">
        <v>2389</v>
      </c>
      <c r="K71" t="s">
        <v>2390</v>
      </c>
      <c r="L71" t="s">
        <v>2480</v>
      </c>
      <c r="N71" t="s">
        <v>2481</v>
      </c>
    </row>
    <row r="72" spans="1:14">
      <c r="A72" t="s">
        <v>1953</v>
      </c>
      <c r="B72" t="s">
        <v>246</v>
      </c>
      <c r="C72">
        <v>5</v>
      </c>
      <c r="D72" t="s">
        <v>2477</v>
      </c>
      <c r="E72" t="s">
        <v>2478</v>
      </c>
      <c r="F72" t="s">
        <v>23</v>
      </c>
      <c r="G72" t="s">
        <v>30</v>
      </c>
      <c r="H72" t="s">
        <v>246</v>
      </c>
      <c r="J72" t="s">
        <v>2389</v>
      </c>
      <c r="K72" t="s">
        <v>2390</v>
      </c>
      <c r="L72" t="s">
        <v>2482</v>
      </c>
      <c r="N72" t="s">
        <v>2483</v>
      </c>
    </row>
    <row r="73" spans="1:14">
      <c r="A73" t="s">
        <v>1982</v>
      </c>
      <c r="B73" t="s">
        <v>246</v>
      </c>
      <c r="C73">
        <v>5</v>
      </c>
      <c r="D73" t="s">
        <v>2477</v>
      </c>
      <c r="E73" t="s">
        <v>2478</v>
      </c>
      <c r="F73" t="s">
        <v>23</v>
      </c>
      <c r="G73" t="s">
        <v>30</v>
      </c>
      <c r="H73" t="s">
        <v>246</v>
      </c>
      <c r="I73" t="s">
        <v>2388</v>
      </c>
      <c r="J73" t="s">
        <v>2389</v>
      </c>
      <c r="K73" t="s">
        <v>2484</v>
      </c>
      <c r="L73" t="s">
        <v>2485</v>
      </c>
      <c r="N73" t="s">
        <v>2486</v>
      </c>
    </row>
    <row r="74" spans="1:14">
      <c r="A74" t="s">
        <v>2031</v>
      </c>
      <c r="B74" t="s">
        <v>246</v>
      </c>
      <c r="C74">
        <v>5</v>
      </c>
      <c r="D74" t="s">
        <v>2477</v>
      </c>
      <c r="E74" t="s">
        <v>2478</v>
      </c>
      <c r="F74" t="s">
        <v>23</v>
      </c>
      <c r="G74" t="s">
        <v>30</v>
      </c>
      <c r="H74" t="s">
        <v>246</v>
      </c>
      <c r="J74" t="s">
        <v>2389</v>
      </c>
      <c r="K74" t="s">
        <v>2417</v>
      </c>
      <c r="L74" t="s">
        <v>2487</v>
      </c>
      <c r="N74" t="s">
        <v>2483</v>
      </c>
    </row>
    <row r="75" spans="1:14">
      <c r="A75" t="s">
        <v>2043</v>
      </c>
      <c r="B75" t="s">
        <v>246</v>
      </c>
      <c r="C75">
        <v>5</v>
      </c>
      <c r="D75" t="s">
        <v>2477</v>
      </c>
      <c r="E75" t="s">
        <v>2478</v>
      </c>
      <c r="F75" t="s">
        <v>23</v>
      </c>
      <c r="G75" t="s">
        <v>30</v>
      </c>
      <c r="H75" t="s">
        <v>246</v>
      </c>
      <c r="I75" t="s">
        <v>2488</v>
      </c>
      <c r="J75" t="s">
        <v>2389</v>
      </c>
      <c r="K75" t="s">
        <v>2390</v>
      </c>
      <c r="L75" t="s">
        <v>2489</v>
      </c>
      <c r="N75" t="s">
        <v>2490</v>
      </c>
    </row>
    <row r="76" spans="1:14">
      <c r="A76" t="s">
        <v>2491</v>
      </c>
      <c r="B76" t="s">
        <v>249</v>
      </c>
      <c r="C76">
        <v>1</v>
      </c>
      <c r="D76" t="s">
        <v>395</v>
      </c>
      <c r="F76" t="s">
        <v>395</v>
      </c>
      <c r="G76" t="s">
        <v>395</v>
      </c>
      <c r="H76" t="s">
        <v>395</v>
      </c>
      <c r="J76" t="s">
        <v>395</v>
      </c>
      <c r="K76" t="s">
        <v>395</v>
      </c>
      <c r="L76" t="s">
        <v>540</v>
      </c>
    </row>
    <row r="77" spans="1:14">
      <c r="A77" t="s">
        <v>2431</v>
      </c>
      <c r="B77" t="s">
        <v>249</v>
      </c>
      <c r="C77">
        <v>2</v>
      </c>
      <c r="D77" t="s">
        <v>395</v>
      </c>
      <c r="F77" t="s">
        <v>395</v>
      </c>
      <c r="G77" t="s">
        <v>395</v>
      </c>
      <c r="H77" t="s">
        <v>395</v>
      </c>
      <c r="J77" t="s">
        <v>395</v>
      </c>
      <c r="K77" t="s">
        <v>395</v>
      </c>
      <c r="L77" t="s">
        <v>2492</v>
      </c>
    </row>
    <row r="78" spans="1:14">
      <c r="A78" t="s">
        <v>2438</v>
      </c>
      <c r="B78" t="s">
        <v>249</v>
      </c>
      <c r="C78">
        <v>3</v>
      </c>
      <c r="D78" t="s">
        <v>395</v>
      </c>
      <c r="F78" t="s">
        <v>395</v>
      </c>
      <c r="G78" t="s">
        <v>395</v>
      </c>
      <c r="H78" t="s">
        <v>395</v>
      </c>
      <c r="J78" t="s">
        <v>395</v>
      </c>
      <c r="K78" t="s">
        <v>395</v>
      </c>
      <c r="L78" t="s">
        <v>2493</v>
      </c>
    </row>
    <row r="79" spans="1:14">
      <c r="A79" t="s">
        <v>2463</v>
      </c>
      <c r="B79" t="s">
        <v>249</v>
      </c>
      <c r="C79">
        <v>4</v>
      </c>
      <c r="D79" t="s">
        <v>395</v>
      </c>
      <c r="F79" t="s">
        <v>395</v>
      </c>
      <c r="G79" t="s">
        <v>395</v>
      </c>
      <c r="H79" t="s">
        <v>395</v>
      </c>
      <c r="J79" t="s">
        <v>395</v>
      </c>
      <c r="K79" t="s">
        <v>395</v>
      </c>
      <c r="L79" t="s">
        <v>2494</v>
      </c>
    </row>
    <row r="80" spans="1:14">
      <c r="A80" t="s">
        <v>2486</v>
      </c>
      <c r="B80" t="s">
        <v>249</v>
      </c>
      <c r="C80">
        <v>5</v>
      </c>
      <c r="D80" t="s">
        <v>395</v>
      </c>
      <c r="F80" t="s">
        <v>395</v>
      </c>
      <c r="G80" t="s">
        <v>395</v>
      </c>
      <c r="H80" t="s">
        <v>395</v>
      </c>
      <c r="J80" t="s">
        <v>395</v>
      </c>
      <c r="K80" t="s">
        <v>395</v>
      </c>
      <c r="L80" t="s">
        <v>2495</v>
      </c>
    </row>
    <row r="81" spans="1:15">
      <c r="A81" t="s">
        <v>1837</v>
      </c>
      <c r="B81" t="s">
        <v>1472</v>
      </c>
      <c r="D81" t="s">
        <v>2328</v>
      </c>
      <c r="E81" t="s">
        <v>2496</v>
      </c>
      <c r="F81" t="s">
        <v>22</v>
      </c>
      <c r="G81" t="s">
        <v>30</v>
      </c>
      <c r="H81" t="s">
        <v>241</v>
      </c>
      <c r="J81" t="s">
        <v>2324</v>
      </c>
      <c r="K81" t="s">
        <v>2339</v>
      </c>
      <c r="L81" t="s">
        <v>2497</v>
      </c>
      <c r="M81" t="s">
        <v>2498</v>
      </c>
      <c r="N81" t="s">
        <v>2499</v>
      </c>
      <c r="O81">
        <v>2</v>
      </c>
    </row>
    <row r="82" spans="1:15">
      <c r="A82" t="s">
        <v>1846</v>
      </c>
      <c r="B82" t="s">
        <v>1472</v>
      </c>
      <c r="D82" t="s">
        <v>2328</v>
      </c>
      <c r="E82" t="s">
        <v>2500</v>
      </c>
      <c r="F82" t="s">
        <v>395</v>
      </c>
      <c r="G82" t="s">
        <v>395</v>
      </c>
      <c r="H82" t="s">
        <v>395</v>
      </c>
      <c r="J82" t="s">
        <v>2358</v>
      </c>
      <c r="K82" t="s">
        <v>2339</v>
      </c>
      <c r="L82" t="s">
        <v>2501</v>
      </c>
      <c r="N82" t="s">
        <v>2502</v>
      </c>
      <c r="O82">
        <v>2</v>
      </c>
    </row>
    <row r="83" spans="1:15">
      <c r="A83" t="s">
        <v>1853</v>
      </c>
      <c r="B83" t="s">
        <v>1472</v>
      </c>
      <c r="D83" t="s">
        <v>2328</v>
      </c>
      <c r="E83" t="s">
        <v>2503</v>
      </c>
      <c r="F83" t="s">
        <v>395</v>
      </c>
      <c r="G83" t="s">
        <v>395</v>
      </c>
      <c r="H83" t="s">
        <v>395</v>
      </c>
      <c r="J83" t="s">
        <v>2358</v>
      </c>
      <c r="K83" t="s">
        <v>2339</v>
      </c>
      <c r="L83" t="s">
        <v>2504</v>
      </c>
      <c r="N83" s="21" t="s">
        <v>2505</v>
      </c>
      <c r="O83" s="24">
        <v>1</v>
      </c>
    </row>
    <row r="84" spans="1:15">
      <c r="A84" t="s">
        <v>1861</v>
      </c>
      <c r="B84" t="s">
        <v>1472</v>
      </c>
      <c r="D84" t="s">
        <v>2506</v>
      </c>
      <c r="E84" t="s">
        <v>2507</v>
      </c>
      <c r="F84" t="s">
        <v>395</v>
      </c>
      <c r="G84" t="s">
        <v>395</v>
      </c>
      <c r="H84" t="s">
        <v>395</v>
      </c>
      <c r="J84" t="s">
        <v>2508</v>
      </c>
      <c r="K84" t="s">
        <v>2339</v>
      </c>
      <c r="L84" t="s">
        <v>2509</v>
      </c>
      <c r="N84" t="s">
        <v>2510</v>
      </c>
      <c r="O84">
        <v>3</v>
      </c>
    </row>
    <row r="85" spans="1:15">
      <c r="A85" t="s">
        <v>1870</v>
      </c>
      <c r="B85" t="s">
        <v>1472</v>
      </c>
      <c r="D85" t="s">
        <v>2328</v>
      </c>
      <c r="F85" t="s">
        <v>21</v>
      </c>
      <c r="G85" t="s">
        <v>39</v>
      </c>
      <c r="H85" t="s">
        <v>244</v>
      </c>
      <c r="J85" t="s">
        <v>2358</v>
      </c>
      <c r="K85" t="s">
        <v>2511</v>
      </c>
      <c r="L85" t="s">
        <v>2512</v>
      </c>
      <c r="N85" t="s">
        <v>2513</v>
      </c>
      <c r="O85">
        <v>2</v>
      </c>
    </row>
    <row r="86" spans="1:15">
      <c r="A86" t="s">
        <v>1878</v>
      </c>
      <c r="B86" t="s">
        <v>1472</v>
      </c>
      <c r="D86" t="s">
        <v>2334</v>
      </c>
      <c r="F86" t="s">
        <v>16</v>
      </c>
      <c r="G86" t="s">
        <v>45</v>
      </c>
      <c r="H86" t="s">
        <v>239</v>
      </c>
      <c r="I86" t="s">
        <v>2362</v>
      </c>
      <c r="J86" t="s">
        <v>2514</v>
      </c>
      <c r="K86" t="s">
        <v>2449</v>
      </c>
      <c r="L86" t="s">
        <v>2515</v>
      </c>
      <c r="N86" t="s">
        <v>2516</v>
      </c>
      <c r="O86">
        <v>2</v>
      </c>
    </row>
    <row r="87" spans="1:15">
      <c r="A87" t="s">
        <v>1734</v>
      </c>
      <c r="B87" t="s">
        <v>1472</v>
      </c>
      <c r="D87" t="s">
        <v>2328</v>
      </c>
      <c r="E87" t="s">
        <v>2517</v>
      </c>
      <c r="F87" t="s">
        <v>395</v>
      </c>
      <c r="G87" t="s">
        <v>395</v>
      </c>
      <c r="H87" t="s">
        <v>395</v>
      </c>
      <c r="J87" t="s">
        <v>2324</v>
      </c>
      <c r="K87" t="s">
        <v>2390</v>
      </c>
      <c r="L87" t="s">
        <v>1032</v>
      </c>
      <c r="N87" t="s">
        <v>2518</v>
      </c>
      <c r="O87">
        <v>0</v>
      </c>
    </row>
    <row r="88" spans="1:15">
      <c r="A88" t="s">
        <v>1894</v>
      </c>
      <c r="B88" t="s">
        <v>1472</v>
      </c>
      <c r="D88" t="s">
        <v>2334</v>
      </c>
      <c r="F88" t="s">
        <v>395</v>
      </c>
      <c r="G88" t="s">
        <v>395</v>
      </c>
      <c r="H88" t="s">
        <v>395</v>
      </c>
      <c r="J88" t="s">
        <v>395</v>
      </c>
      <c r="K88" t="s">
        <v>2519</v>
      </c>
      <c r="L88" t="s">
        <v>2520</v>
      </c>
      <c r="N88" t="s">
        <v>2521</v>
      </c>
      <c r="O88">
        <v>2</v>
      </c>
    </row>
    <row r="89" spans="1:15">
      <c r="A89" t="s">
        <v>1903</v>
      </c>
      <c r="B89" t="s">
        <v>1472</v>
      </c>
      <c r="D89" t="s">
        <v>395</v>
      </c>
      <c r="E89" t="s">
        <v>2522</v>
      </c>
      <c r="F89" t="s">
        <v>17</v>
      </c>
      <c r="G89" t="s">
        <v>48</v>
      </c>
      <c r="H89" t="s">
        <v>239</v>
      </c>
      <c r="I89" t="s">
        <v>2362</v>
      </c>
      <c r="J89" t="s">
        <v>2324</v>
      </c>
      <c r="K89" t="s">
        <v>2425</v>
      </c>
      <c r="L89" t="s">
        <v>2523</v>
      </c>
      <c r="M89" t="s">
        <v>2524</v>
      </c>
      <c r="N89" t="s">
        <v>2525</v>
      </c>
      <c r="O89">
        <v>2</v>
      </c>
    </row>
    <row r="90" spans="1:15">
      <c r="A90" t="s">
        <v>1912</v>
      </c>
      <c r="B90" t="s">
        <v>1472</v>
      </c>
      <c r="D90" t="s">
        <v>395</v>
      </c>
      <c r="F90" t="s">
        <v>22</v>
      </c>
      <c r="G90" t="s">
        <v>42</v>
      </c>
      <c r="H90" t="s">
        <v>2526</v>
      </c>
      <c r="J90" t="s">
        <v>2324</v>
      </c>
      <c r="K90" t="s">
        <v>2339</v>
      </c>
      <c r="L90" t="s">
        <v>2527</v>
      </c>
      <c r="N90" t="s">
        <v>2528</v>
      </c>
      <c r="O90">
        <v>1</v>
      </c>
    </row>
    <row r="91" spans="1:15">
      <c r="A91" t="s">
        <v>1917</v>
      </c>
      <c r="B91" t="s">
        <v>1472</v>
      </c>
      <c r="D91" t="s">
        <v>2328</v>
      </c>
      <c r="F91" t="s">
        <v>23</v>
      </c>
      <c r="G91" t="s">
        <v>42</v>
      </c>
      <c r="H91" t="s">
        <v>240</v>
      </c>
      <c r="I91" t="s">
        <v>2414</v>
      </c>
      <c r="J91" t="s">
        <v>2514</v>
      </c>
      <c r="K91" t="s">
        <v>2529</v>
      </c>
      <c r="L91" t="s">
        <v>2530</v>
      </c>
      <c r="N91" t="s">
        <v>2531</v>
      </c>
      <c r="O91">
        <v>2</v>
      </c>
    </row>
    <row r="92" spans="1:15">
      <c r="A92" t="s">
        <v>1679</v>
      </c>
      <c r="B92" t="s">
        <v>1472</v>
      </c>
      <c r="D92" t="s">
        <v>2328</v>
      </c>
      <c r="F92" t="s">
        <v>22</v>
      </c>
      <c r="G92" t="s">
        <v>44</v>
      </c>
      <c r="H92" t="s">
        <v>240</v>
      </c>
      <c r="I92" t="s">
        <v>2414</v>
      </c>
      <c r="J92" t="s">
        <v>2514</v>
      </c>
      <c r="K92" t="s">
        <v>2339</v>
      </c>
      <c r="L92" t="s">
        <v>848</v>
      </c>
      <c r="N92" t="s">
        <v>2532</v>
      </c>
      <c r="O92">
        <v>3</v>
      </c>
    </row>
    <row r="93" spans="1:15">
      <c r="A93" t="s">
        <v>1931</v>
      </c>
      <c r="B93" t="s">
        <v>1472</v>
      </c>
      <c r="D93" t="s">
        <v>2477</v>
      </c>
      <c r="E93" t="s">
        <v>2503</v>
      </c>
      <c r="F93" t="s">
        <v>19</v>
      </c>
      <c r="G93" t="s">
        <v>34</v>
      </c>
      <c r="H93" t="s">
        <v>2533</v>
      </c>
      <c r="J93" t="s">
        <v>2324</v>
      </c>
      <c r="K93" t="s">
        <v>2324</v>
      </c>
      <c r="L93" t="s">
        <v>2534</v>
      </c>
      <c r="M93" t="s">
        <v>2535</v>
      </c>
      <c r="N93" s="21" t="s">
        <v>2536</v>
      </c>
      <c r="O93" s="24">
        <v>3</v>
      </c>
    </row>
    <row r="94" spans="1:15">
      <c r="A94" t="s">
        <v>1938</v>
      </c>
      <c r="B94" t="s">
        <v>1472</v>
      </c>
      <c r="D94" t="s">
        <v>2328</v>
      </c>
      <c r="E94" t="s">
        <v>2537</v>
      </c>
      <c r="F94" t="s">
        <v>395</v>
      </c>
      <c r="G94" t="s">
        <v>395</v>
      </c>
      <c r="H94" t="s">
        <v>395</v>
      </c>
      <c r="J94" t="s">
        <v>2358</v>
      </c>
      <c r="K94" t="s">
        <v>2369</v>
      </c>
      <c r="L94" t="s">
        <v>2538</v>
      </c>
      <c r="N94" t="s">
        <v>2539</v>
      </c>
      <c r="O94">
        <v>2</v>
      </c>
    </row>
    <row r="95" spans="1:15">
      <c r="A95" t="s">
        <v>1946</v>
      </c>
      <c r="B95" t="s">
        <v>1472</v>
      </c>
      <c r="D95" t="s">
        <v>2540</v>
      </c>
      <c r="F95" t="s">
        <v>395</v>
      </c>
      <c r="G95" t="s">
        <v>395</v>
      </c>
      <c r="H95" t="s">
        <v>395</v>
      </c>
      <c r="J95" t="s">
        <v>2324</v>
      </c>
      <c r="K95" t="s">
        <v>2339</v>
      </c>
      <c r="L95" t="s">
        <v>2541</v>
      </c>
      <c r="N95" t="s">
        <v>2542</v>
      </c>
      <c r="O95">
        <v>5</v>
      </c>
    </row>
    <row r="96" spans="1:15">
      <c r="A96" t="s">
        <v>1952</v>
      </c>
      <c r="B96" t="s">
        <v>1472</v>
      </c>
      <c r="D96" t="s">
        <v>2328</v>
      </c>
      <c r="F96" t="s">
        <v>395</v>
      </c>
      <c r="G96" t="s">
        <v>395</v>
      </c>
      <c r="H96" t="s">
        <v>395</v>
      </c>
      <c r="J96" t="s">
        <v>2358</v>
      </c>
      <c r="K96" t="s">
        <v>2543</v>
      </c>
      <c r="L96" t="s">
        <v>2544</v>
      </c>
      <c r="N96" t="s">
        <v>2545</v>
      </c>
      <c r="O96">
        <v>1</v>
      </c>
    </row>
    <row r="97" spans="1:15">
      <c r="A97" t="s">
        <v>1957</v>
      </c>
      <c r="B97" t="s">
        <v>1472</v>
      </c>
      <c r="D97" t="s">
        <v>2328</v>
      </c>
      <c r="E97" t="s">
        <v>94</v>
      </c>
      <c r="F97" t="s">
        <v>395</v>
      </c>
      <c r="G97" t="s">
        <v>395</v>
      </c>
      <c r="H97" t="s">
        <v>395</v>
      </c>
      <c r="J97" t="s">
        <v>2358</v>
      </c>
      <c r="K97" t="s">
        <v>2546</v>
      </c>
      <c r="L97" t="s">
        <v>2547</v>
      </c>
      <c r="N97" t="s">
        <v>2548</v>
      </c>
      <c r="O97">
        <v>1</v>
      </c>
    </row>
    <row r="98" spans="1:15">
      <c r="A98" t="s">
        <v>1813</v>
      </c>
      <c r="B98" t="s">
        <v>1472</v>
      </c>
      <c r="D98" t="s">
        <v>2328</v>
      </c>
      <c r="E98" t="s">
        <v>2549</v>
      </c>
      <c r="F98" t="s">
        <v>17</v>
      </c>
      <c r="G98" t="s">
        <v>45</v>
      </c>
      <c r="H98" t="s">
        <v>239</v>
      </c>
      <c r="I98" t="s">
        <v>2550</v>
      </c>
      <c r="J98" t="s">
        <v>2514</v>
      </c>
      <c r="K98" t="s">
        <v>2551</v>
      </c>
      <c r="L98" t="s">
        <v>1299</v>
      </c>
      <c r="M98" t="s">
        <v>2552</v>
      </c>
      <c r="N98" t="s">
        <v>2553</v>
      </c>
      <c r="O98">
        <v>1</v>
      </c>
    </row>
    <row r="99" spans="1:15">
      <c r="A99" t="s">
        <v>1964</v>
      </c>
      <c r="B99" t="s">
        <v>1472</v>
      </c>
      <c r="D99" t="s">
        <v>2554</v>
      </c>
      <c r="F99" t="s">
        <v>395</v>
      </c>
      <c r="G99" t="s">
        <v>395</v>
      </c>
      <c r="H99" t="s">
        <v>395</v>
      </c>
      <c r="J99" t="s">
        <v>2358</v>
      </c>
      <c r="K99" t="s">
        <v>2324</v>
      </c>
      <c r="L99" t="s">
        <v>2555</v>
      </c>
      <c r="N99" t="s">
        <v>2556</v>
      </c>
      <c r="O99">
        <v>2</v>
      </c>
    </row>
    <row r="100" spans="1:15">
      <c r="A100" t="s">
        <v>1805</v>
      </c>
      <c r="B100" t="s">
        <v>1472</v>
      </c>
      <c r="D100" t="s">
        <v>2557</v>
      </c>
      <c r="E100" t="s">
        <v>2537</v>
      </c>
      <c r="F100" t="s">
        <v>16</v>
      </c>
      <c r="G100" t="s">
        <v>17</v>
      </c>
      <c r="H100" t="s">
        <v>237</v>
      </c>
      <c r="J100" t="s">
        <v>2358</v>
      </c>
      <c r="K100" t="s">
        <v>2339</v>
      </c>
      <c r="L100" t="s">
        <v>1276</v>
      </c>
      <c r="M100" t="s">
        <v>2558</v>
      </c>
      <c r="N100" t="s">
        <v>2559</v>
      </c>
      <c r="O100">
        <v>3</v>
      </c>
    </row>
    <row r="101" spans="1:15">
      <c r="A101" t="s">
        <v>1971</v>
      </c>
      <c r="B101" t="s">
        <v>1472</v>
      </c>
      <c r="D101" t="s">
        <v>2328</v>
      </c>
      <c r="E101" t="s">
        <v>2560</v>
      </c>
      <c r="F101" t="s">
        <v>17</v>
      </c>
      <c r="G101" t="s">
        <v>38</v>
      </c>
      <c r="H101" t="s">
        <v>237</v>
      </c>
      <c r="J101" t="s">
        <v>2358</v>
      </c>
      <c r="K101" t="s">
        <v>2339</v>
      </c>
      <c r="L101" t="s">
        <v>2561</v>
      </c>
      <c r="N101" t="s">
        <v>2562</v>
      </c>
      <c r="O101">
        <v>1</v>
      </c>
    </row>
    <row r="102" spans="1:15">
      <c r="A102" t="s">
        <v>1735</v>
      </c>
      <c r="B102" t="s">
        <v>1472</v>
      </c>
      <c r="D102" t="s">
        <v>2563</v>
      </c>
      <c r="E102" t="s">
        <v>2564</v>
      </c>
      <c r="F102" t="s">
        <v>17</v>
      </c>
      <c r="G102" t="s">
        <v>42</v>
      </c>
      <c r="H102" t="s">
        <v>237</v>
      </c>
      <c r="J102" t="s">
        <v>2324</v>
      </c>
      <c r="K102" t="s">
        <v>2324</v>
      </c>
      <c r="L102" t="s">
        <v>1033</v>
      </c>
      <c r="N102" t="s">
        <v>2565</v>
      </c>
      <c r="O102">
        <v>1</v>
      </c>
    </row>
    <row r="103" spans="1:15">
      <c r="A103" t="s">
        <v>1976</v>
      </c>
      <c r="B103" t="s">
        <v>1472</v>
      </c>
      <c r="D103" t="s">
        <v>2566</v>
      </c>
      <c r="F103" t="s">
        <v>395</v>
      </c>
      <c r="G103" t="s">
        <v>395</v>
      </c>
      <c r="H103" t="s">
        <v>395</v>
      </c>
      <c r="J103" t="s">
        <v>2358</v>
      </c>
      <c r="K103" t="s">
        <v>2567</v>
      </c>
      <c r="L103" t="s">
        <v>2568</v>
      </c>
      <c r="N103" t="s">
        <v>2569</v>
      </c>
      <c r="O103">
        <v>4</v>
      </c>
    </row>
    <row r="104" spans="1:15">
      <c r="A104" t="s">
        <v>1981</v>
      </c>
      <c r="B104" t="s">
        <v>1472</v>
      </c>
      <c r="D104" t="s">
        <v>2570</v>
      </c>
      <c r="E104" t="s">
        <v>2571</v>
      </c>
      <c r="F104" t="s">
        <v>395</v>
      </c>
      <c r="G104" t="s">
        <v>395</v>
      </c>
      <c r="H104" t="s">
        <v>395</v>
      </c>
      <c r="J104" t="s">
        <v>395</v>
      </c>
      <c r="K104" t="s">
        <v>2425</v>
      </c>
      <c r="L104" t="s">
        <v>2572</v>
      </c>
      <c r="N104" t="s">
        <v>2573</v>
      </c>
      <c r="O104">
        <v>1</v>
      </c>
    </row>
    <row r="105" spans="1:15">
      <c r="A105" t="s">
        <v>1981</v>
      </c>
      <c r="B105" t="s">
        <v>1472</v>
      </c>
      <c r="D105" t="s">
        <v>2570</v>
      </c>
      <c r="E105" t="s">
        <v>2571</v>
      </c>
      <c r="F105" t="s">
        <v>395</v>
      </c>
      <c r="G105" t="s">
        <v>395</v>
      </c>
      <c r="H105" t="s">
        <v>395</v>
      </c>
      <c r="J105" t="s">
        <v>395</v>
      </c>
      <c r="K105" t="s">
        <v>2425</v>
      </c>
      <c r="L105" t="s">
        <v>2572</v>
      </c>
      <c r="N105" t="s">
        <v>2573</v>
      </c>
      <c r="O105">
        <v>1</v>
      </c>
    </row>
    <row r="106" spans="1:15">
      <c r="A106" t="s">
        <v>1988</v>
      </c>
      <c r="B106" t="s">
        <v>1472</v>
      </c>
      <c r="D106" t="s">
        <v>2328</v>
      </c>
      <c r="E106" t="s">
        <v>2507</v>
      </c>
      <c r="F106" t="s">
        <v>395</v>
      </c>
      <c r="G106" t="s">
        <v>395</v>
      </c>
      <c r="H106" t="s">
        <v>395</v>
      </c>
      <c r="J106" t="s">
        <v>2358</v>
      </c>
      <c r="K106" t="s">
        <v>2574</v>
      </c>
      <c r="L106" t="s">
        <v>2575</v>
      </c>
      <c r="N106" t="s">
        <v>2576</v>
      </c>
      <c r="O106">
        <v>2</v>
      </c>
    </row>
    <row r="107" spans="1:15">
      <c r="A107" t="s">
        <v>1736</v>
      </c>
      <c r="B107" t="s">
        <v>1472</v>
      </c>
      <c r="D107" t="s">
        <v>2334</v>
      </c>
      <c r="E107" t="s">
        <v>2577</v>
      </c>
      <c r="F107" t="s">
        <v>16</v>
      </c>
      <c r="G107" t="s">
        <v>30</v>
      </c>
      <c r="H107" t="s">
        <v>237</v>
      </c>
      <c r="I107" t="s">
        <v>2362</v>
      </c>
      <c r="J107" t="s">
        <v>2514</v>
      </c>
      <c r="K107" t="s">
        <v>2578</v>
      </c>
      <c r="L107" t="s">
        <v>1034</v>
      </c>
      <c r="N107" t="s">
        <v>2579</v>
      </c>
      <c r="O107">
        <v>3</v>
      </c>
    </row>
    <row r="108" spans="1:15">
      <c r="A108" t="s">
        <v>1804</v>
      </c>
      <c r="B108" t="s">
        <v>1472</v>
      </c>
      <c r="D108" t="s">
        <v>2328</v>
      </c>
      <c r="F108" t="s">
        <v>395</v>
      </c>
      <c r="G108" t="s">
        <v>395</v>
      </c>
      <c r="H108" t="s">
        <v>395</v>
      </c>
      <c r="J108" t="s">
        <v>2358</v>
      </c>
      <c r="K108" t="s">
        <v>2369</v>
      </c>
      <c r="L108" t="s">
        <v>1275</v>
      </c>
      <c r="N108" t="s">
        <v>2580</v>
      </c>
      <c r="O108">
        <v>1</v>
      </c>
    </row>
    <row r="109" spans="1:15">
      <c r="A109" t="s">
        <v>1998</v>
      </c>
      <c r="B109" t="s">
        <v>1472</v>
      </c>
      <c r="D109" t="s">
        <v>2581</v>
      </c>
      <c r="F109" t="s">
        <v>395</v>
      </c>
      <c r="G109" t="s">
        <v>395</v>
      </c>
      <c r="H109" t="s">
        <v>395</v>
      </c>
      <c r="J109" t="s">
        <v>2324</v>
      </c>
      <c r="K109" t="s">
        <v>2582</v>
      </c>
      <c r="L109" t="s">
        <v>2583</v>
      </c>
      <c r="N109" t="s">
        <v>2584</v>
      </c>
      <c r="O109">
        <v>3</v>
      </c>
    </row>
    <row r="110" spans="1:15">
      <c r="A110" t="s">
        <v>1657</v>
      </c>
      <c r="B110" t="s">
        <v>1472</v>
      </c>
      <c r="D110" t="s">
        <v>2328</v>
      </c>
      <c r="E110" t="s">
        <v>2585</v>
      </c>
      <c r="F110" t="s">
        <v>395</v>
      </c>
      <c r="G110" t="s">
        <v>395</v>
      </c>
      <c r="H110" t="s">
        <v>395</v>
      </c>
      <c r="J110" t="s">
        <v>2358</v>
      </c>
      <c r="K110" t="s">
        <v>2339</v>
      </c>
      <c r="L110" t="s">
        <v>743</v>
      </c>
      <c r="N110" t="s">
        <v>2586</v>
      </c>
      <c r="O110">
        <v>2</v>
      </c>
    </row>
    <row r="111" spans="1:15">
      <c r="A111" t="s">
        <v>1691</v>
      </c>
      <c r="B111" t="s">
        <v>1472</v>
      </c>
      <c r="D111" t="s">
        <v>2587</v>
      </c>
      <c r="E111" t="s">
        <v>2588</v>
      </c>
      <c r="F111" t="s">
        <v>395</v>
      </c>
      <c r="G111" t="s">
        <v>395</v>
      </c>
      <c r="H111" t="s">
        <v>395</v>
      </c>
      <c r="J111" t="s">
        <v>2358</v>
      </c>
      <c r="K111" t="s">
        <v>2425</v>
      </c>
      <c r="L111" t="s">
        <v>904</v>
      </c>
      <c r="N111" t="s">
        <v>2589</v>
      </c>
      <c r="O111">
        <v>2</v>
      </c>
    </row>
    <row r="112" spans="1:15">
      <c r="A112" t="s">
        <v>1691</v>
      </c>
      <c r="B112" t="s">
        <v>1472</v>
      </c>
      <c r="D112" t="s">
        <v>2587</v>
      </c>
      <c r="E112" t="s">
        <v>2588</v>
      </c>
      <c r="F112" t="s">
        <v>395</v>
      </c>
      <c r="G112" t="s">
        <v>395</v>
      </c>
      <c r="H112" t="s">
        <v>395</v>
      </c>
      <c r="J112" t="s">
        <v>2358</v>
      </c>
      <c r="K112" t="s">
        <v>2425</v>
      </c>
      <c r="L112" t="s">
        <v>904</v>
      </c>
      <c r="N112" t="s">
        <v>2589</v>
      </c>
      <c r="O112">
        <v>2</v>
      </c>
    </row>
    <row r="113" spans="1:15">
      <c r="A113" t="s">
        <v>2009</v>
      </c>
      <c r="B113" t="s">
        <v>1472</v>
      </c>
      <c r="D113" t="s">
        <v>2587</v>
      </c>
      <c r="E113" t="s">
        <v>2496</v>
      </c>
      <c r="F113" t="s">
        <v>395</v>
      </c>
      <c r="G113" t="s">
        <v>395</v>
      </c>
      <c r="H113" t="s">
        <v>395</v>
      </c>
      <c r="J113" t="s">
        <v>2324</v>
      </c>
      <c r="K113" t="s">
        <v>2339</v>
      </c>
      <c r="L113" t="s">
        <v>2590</v>
      </c>
      <c r="N113" t="s">
        <v>2591</v>
      </c>
      <c r="O113">
        <v>2</v>
      </c>
    </row>
    <row r="114" spans="1:15">
      <c r="A114" t="s">
        <v>2013</v>
      </c>
      <c r="B114" t="s">
        <v>1472</v>
      </c>
      <c r="D114" t="s">
        <v>2592</v>
      </c>
      <c r="E114" t="s">
        <v>2496</v>
      </c>
      <c r="F114" t="s">
        <v>16</v>
      </c>
      <c r="G114" t="s">
        <v>48</v>
      </c>
      <c r="H114" t="s">
        <v>239</v>
      </c>
      <c r="J114" t="s">
        <v>2324</v>
      </c>
      <c r="K114" t="s">
        <v>2339</v>
      </c>
      <c r="L114" t="s">
        <v>2593</v>
      </c>
      <c r="M114" t="s">
        <v>2594</v>
      </c>
      <c r="N114" t="s">
        <v>2595</v>
      </c>
      <c r="O114">
        <v>3</v>
      </c>
    </row>
    <row r="115" spans="1:15">
      <c r="A115" t="s">
        <v>2017</v>
      </c>
      <c r="B115" t="s">
        <v>1472</v>
      </c>
      <c r="D115" t="s">
        <v>2334</v>
      </c>
      <c r="F115" t="s">
        <v>16</v>
      </c>
      <c r="G115" t="s">
        <v>42</v>
      </c>
      <c r="H115" t="s">
        <v>237</v>
      </c>
      <c r="J115" t="s">
        <v>2324</v>
      </c>
      <c r="K115" t="s">
        <v>2339</v>
      </c>
      <c r="L115" t="s">
        <v>2596</v>
      </c>
      <c r="N115" t="s">
        <v>2597</v>
      </c>
      <c r="O115">
        <v>2</v>
      </c>
    </row>
    <row r="116" spans="1:15">
      <c r="A116" t="s">
        <v>2021</v>
      </c>
      <c r="B116" t="s">
        <v>1472</v>
      </c>
      <c r="D116" t="s">
        <v>2334</v>
      </c>
      <c r="F116" t="s">
        <v>395</v>
      </c>
      <c r="G116" t="s">
        <v>395</v>
      </c>
      <c r="H116" t="s">
        <v>395</v>
      </c>
      <c r="J116" t="s">
        <v>2358</v>
      </c>
      <c r="K116" t="s">
        <v>2324</v>
      </c>
      <c r="L116" t="s">
        <v>2598</v>
      </c>
      <c r="N116" t="s">
        <v>2599</v>
      </c>
      <c r="O116">
        <v>2</v>
      </c>
    </row>
    <row r="117" spans="1:15">
      <c r="A117" t="s">
        <v>1816</v>
      </c>
      <c r="B117" t="s">
        <v>1472</v>
      </c>
      <c r="D117" t="s">
        <v>2328</v>
      </c>
      <c r="E117" t="s">
        <v>2600</v>
      </c>
      <c r="F117" t="s">
        <v>23</v>
      </c>
      <c r="G117" t="s">
        <v>30</v>
      </c>
      <c r="H117" t="s">
        <v>242</v>
      </c>
      <c r="J117" t="s">
        <v>2324</v>
      </c>
      <c r="K117" t="s">
        <v>2601</v>
      </c>
      <c r="L117" t="s">
        <v>2602</v>
      </c>
      <c r="N117" t="s">
        <v>2603</v>
      </c>
      <c r="O117">
        <v>3</v>
      </c>
    </row>
    <row r="118" spans="1:15">
      <c r="A118" t="s">
        <v>1814</v>
      </c>
      <c r="B118" t="s">
        <v>1472</v>
      </c>
      <c r="D118" t="s">
        <v>2328</v>
      </c>
      <c r="E118" t="s">
        <v>2604</v>
      </c>
      <c r="F118" t="s">
        <v>22</v>
      </c>
      <c r="G118" t="s">
        <v>37</v>
      </c>
      <c r="H118" t="s">
        <v>239</v>
      </c>
      <c r="J118" t="s">
        <v>2324</v>
      </c>
      <c r="K118" t="s">
        <v>2605</v>
      </c>
      <c r="L118" t="s">
        <v>1300</v>
      </c>
      <c r="M118" t="s">
        <v>2606</v>
      </c>
      <c r="N118" t="s">
        <v>2607</v>
      </c>
      <c r="O118">
        <v>1</v>
      </c>
    </row>
    <row r="119" spans="1:15">
      <c r="A119" t="s">
        <v>1607</v>
      </c>
      <c r="B119" t="s">
        <v>1472</v>
      </c>
      <c r="D119" t="s">
        <v>2328</v>
      </c>
      <c r="E119" t="s">
        <v>2496</v>
      </c>
      <c r="F119" t="s">
        <v>17</v>
      </c>
      <c r="G119" t="s">
        <v>38</v>
      </c>
      <c r="H119" t="s">
        <v>244</v>
      </c>
      <c r="J119" t="s">
        <v>2324</v>
      </c>
      <c r="K119" t="s">
        <v>2324</v>
      </c>
      <c r="L119" t="s">
        <v>595</v>
      </c>
      <c r="M119" t="s">
        <v>2608</v>
      </c>
      <c r="N119" t="s">
        <v>2609</v>
      </c>
      <c r="O119">
        <v>2</v>
      </c>
    </row>
    <row r="120" spans="1:15">
      <c r="A120" t="s">
        <v>2034</v>
      </c>
      <c r="B120" t="s">
        <v>1472</v>
      </c>
      <c r="D120" t="s">
        <v>2328</v>
      </c>
      <c r="F120" t="s">
        <v>395</v>
      </c>
      <c r="G120" t="s">
        <v>395</v>
      </c>
      <c r="H120" t="s">
        <v>395</v>
      </c>
      <c r="J120" t="s">
        <v>2324</v>
      </c>
      <c r="K120" t="s">
        <v>2390</v>
      </c>
      <c r="L120" t="s">
        <v>2610</v>
      </c>
      <c r="N120" t="s">
        <v>2611</v>
      </c>
      <c r="O120">
        <v>2</v>
      </c>
    </row>
    <row r="121" spans="1:15">
      <c r="A121" t="s">
        <v>2038</v>
      </c>
      <c r="B121" t="s">
        <v>1472</v>
      </c>
      <c r="D121" t="s">
        <v>2328</v>
      </c>
      <c r="E121" t="s">
        <v>2612</v>
      </c>
      <c r="F121" t="s">
        <v>23</v>
      </c>
      <c r="G121" t="s">
        <v>41</v>
      </c>
      <c r="H121" t="s">
        <v>236</v>
      </c>
      <c r="I121" t="s">
        <v>2613</v>
      </c>
      <c r="J121" t="s">
        <v>2358</v>
      </c>
      <c r="K121" t="s">
        <v>2614</v>
      </c>
      <c r="L121" t="s">
        <v>2615</v>
      </c>
      <c r="M121" t="s">
        <v>2616</v>
      </c>
      <c r="N121" t="s">
        <v>2617</v>
      </c>
      <c r="O121">
        <v>3</v>
      </c>
    </row>
    <row r="122" spans="1:15">
      <c r="A122" t="s">
        <v>2042</v>
      </c>
      <c r="B122" t="s">
        <v>1472</v>
      </c>
      <c r="D122" t="s">
        <v>2328</v>
      </c>
      <c r="E122" t="s">
        <v>2618</v>
      </c>
      <c r="F122" t="s">
        <v>23</v>
      </c>
      <c r="G122" t="s">
        <v>45</v>
      </c>
      <c r="H122" t="s">
        <v>2619</v>
      </c>
      <c r="I122" t="s">
        <v>2414</v>
      </c>
      <c r="J122" t="s">
        <v>2514</v>
      </c>
      <c r="K122" t="s">
        <v>2390</v>
      </c>
      <c r="L122" t="s">
        <v>2620</v>
      </c>
      <c r="M122" t="s">
        <v>2621</v>
      </c>
      <c r="N122" t="s">
        <v>2622</v>
      </c>
      <c r="O122">
        <v>2</v>
      </c>
    </row>
    <row r="123" spans="1:15">
      <c r="A123" t="s">
        <v>2046</v>
      </c>
      <c r="B123" t="s">
        <v>1472</v>
      </c>
      <c r="D123" t="s">
        <v>2328</v>
      </c>
      <c r="E123" t="s">
        <v>2623</v>
      </c>
      <c r="F123" t="s">
        <v>23</v>
      </c>
      <c r="G123" t="s">
        <v>42</v>
      </c>
      <c r="H123" t="s">
        <v>241</v>
      </c>
      <c r="I123" t="s">
        <v>2414</v>
      </c>
      <c r="J123" t="s">
        <v>2514</v>
      </c>
      <c r="K123" t="s">
        <v>2624</v>
      </c>
      <c r="L123" t="s">
        <v>2625</v>
      </c>
      <c r="N123" t="s">
        <v>2626</v>
      </c>
      <c r="O123">
        <v>4</v>
      </c>
    </row>
    <row r="124" spans="1:15">
      <c r="A124" t="s">
        <v>1762</v>
      </c>
      <c r="B124" t="s">
        <v>1472</v>
      </c>
      <c r="D124" t="s">
        <v>2328</v>
      </c>
      <c r="E124" t="s">
        <v>2627</v>
      </c>
      <c r="F124" t="s">
        <v>16</v>
      </c>
      <c r="G124" t="s">
        <v>43</v>
      </c>
      <c r="H124" t="s">
        <v>239</v>
      </c>
      <c r="I124" t="s">
        <v>2362</v>
      </c>
      <c r="J124" t="s">
        <v>2514</v>
      </c>
      <c r="K124" t="s">
        <v>2628</v>
      </c>
      <c r="L124" t="s">
        <v>1101</v>
      </c>
      <c r="M124" t="s">
        <v>2629</v>
      </c>
      <c r="N124" t="s">
        <v>2525</v>
      </c>
      <c r="O124">
        <v>0</v>
      </c>
    </row>
    <row r="125" spans="1:15">
      <c r="A125" t="s">
        <v>2054</v>
      </c>
      <c r="B125" t="s">
        <v>1472</v>
      </c>
      <c r="D125" t="s">
        <v>2630</v>
      </c>
      <c r="E125" t="s">
        <v>2631</v>
      </c>
      <c r="F125" t="s">
        <v>18</v>
      </c>
      <c r="G125" t="s">
        <v>29</v>
      </c>
      <c r="H125" t="s">
        <v>245</v>
      </c>
      <c r="J125" t="s">
        <v>2324</v>
      </c>
      <c r="K125" t="s">
        <v>2390</v>
      </c>
      <c r="L125" t="s">
        <v>2632</v>
      </c>
      <c r="M125" t="s">
        <v>2633</v>
      </c>
      <c r="N125" t="s">
        <v>2634</v>
      </c>
      <c r="O125">
        <v>2</v>
      </c>
    </row>
    <row r="126" spans="1:15">
      <c r="A126" t="s">
        <v>2058</v>
      </c>
      <c r="B126" t="s">
        <v>1472</v>
      </c>
      <c r="D126" t="s">
        <v>2587</v>
      </c>
      <c r="E126" t="s">
        <v>2635</v>
      </c>
      <c r="F126" t="s">
        <v>16</v>
      </c>
      <c r="G126" t="s">
        <v>30</v>
      </c>
      <c r="H126" t="s">
        <v>237</v>
      </c>
      <c r="I126" t="s">
        <v>2362</v>
      </c>
      <c r="J126" t="s">
        <v>2324</v>
      </c>
      <c r="K126" t="s">
        <v>2324</v>
      </c>
      <c r="L126" t="s">
        <v>2636</v>
      </c>
      <c r="M126" t="s">
        <v>2637</v>
      </c>
      <c r="N126" t="s">
        <v>2638</v>
      </c>
      <c r="O126">
        <v>2</v>
      </c>
    </row>
    <row r="127" spans="1:15">
      <c r="A127" t="s">
        <v>1761</v>
      </c>
      <c r="B127" t="s">
        <v>1472</v>
      </c>
      <c r="D127" t="s">
        <v>2639</v>
      </c>
      <c r="E127" t="s">
        <v>2640</v>
      </c>
      <c r="F127" t="s">
        <v>17</v>
      </c>
      <c r="G127" t="s">
        <v>30</v>
      </c>
      <c r="H127" t="s">
        <v>237</v>
      </c>
      <c r="J127" t="s">
        <v>2358</v>
      </c>
      <c r="K127" t="s">
        <v>2339</v>
      </c>
      <c r="L127" t="s">
        <v>1100</v>
      </c>
      <c r="M127" t="s">
        <v>2641</v>
      </c>
      <c r="N127" t="s">
        <v>2642</v>
      </c>
      <c r="O127">
        <v>1</v>
      </c>
    </row>
    <row r="128" spans="1:15">
      <c r="A128" t="s">
        <v>2063</v>
      </c>
      <c r="B128" t="s">
        <v>1472</v>
      </c>
      <c r="D128" t="s">
        <v>2643</v>
      </c>
      <c r="E128" t="s">
        <v>2635</v>
      </c>
      <c r="F128" t="s">
        <v>16</v>
      </c>
      <c r="G128" t="s">
        <v>42</v>
      </c>
      <c r="H128" t="s">
        <v>239</v>
      </c>
      <c r="I128" t="s">
        <v>2362</v>
      </c>
      <c r="J128" t="s">
        <v>2514</v>
      </c>
      <c r="K128" t="s">
        <v>2390</v>
      </c>
      <c r="L128" t="s">
        <v>2644</v>
      </c>
      <c r="M128" t="s">
        <v>2645</v>
      </c>
      <c r="N128" t="s">
        <v>2525</v>
      </c>
      <c r="O128">
        <v>2</v>
      </c>
    </row>
    <row r="129" spans="1:15">
      <c r="A129" t="s">
        <v>2067</v>
      </c>
      <c r="B129" t="s">
        <v>1472</v>
      </c>
      <c r="D129" t="s">
        <v>2581</v>
      </c>
      <c r="E129" t="s">
        <v>2646</v>
      </c>
      <c r="F129" t="s">
        <v>23</v>
      </c>
      <c r="G129" t="s">
        <v>45</v>
      </c>
      <c r="H129" t="s">
        <v>240</v>
      </c>
      <c r="J129" t="s">
        <v>2324</v>
      </c>
      <c r="K129" t="s">
        <v>2647</v>
      </c>
      <c r="L129" t="s">
        <v>2648</v>
      </c>
      <c r="N129" t="s">
        <v>2649</v>
      </c>
      <c r="O129">
        <v>2</v>
      </c>
    </row>
    <row r="130" spans="1:15">
      <c r="A130" t="s">
        <v>2071</v>
      </c>
      <c r="B130" t="s">
        <v>1472</v>
      </c>
      <c r="D130" t="s">
        <v>2328</v>
      </c>
      <c r="E130" t="s">
        <v>2650</v>
      </c>
      <c r="F130" t="s">
        <v>16</v>
      </c>
      <c r="G130" t="s">
        <v>29</v>
      </c>
      <c r="H130" t="s">
        <v>237</v>
      </c>
      <c r="I130" t="s">
        <v>2362</v>
      </c>
      <c r="J130" t="s">
        <v>2324</v>
      </c>
      <c r="K130" t="s">
        <v>2339</v>
      </c>
      <c r="L130" t="s">
        <v>2651</v>
      </c>
      <c r="N130" t="s">
        <v>2652</v>
      </c>
      <c r="O130">
        <v>3</v>
      </c>
    </row>
    <row r="131" spans="1:15">
      <c r="A131" t="s">
        <v>1803</v>
      </c>
      <c r="B131" t="s">
        <v>1472</v>
      </c>
      <c r="D131" t="s">
        <v>2587</v>
      </c>
      <c r="E131" t="s">
        <v>2537</v>
      </c>
      <c r="F131" t="s">
        <v>395</v>
      </c>
      <c r="G131" t="s">
        <v>395</v>
      </c>
      <c r="H131" t="s">
        <v>395</v>
      </c>
      <c r="J131" t="s">
        <v>2324</v>
      </c>
      <c r="K131" t="s">
        <v>2339</v>
      </c>
      <c r="L131" t="s">
        <v>1274</v>
      </c>
      <c r="N131" t="s">
        <v>2653</v>
      </c>
      <c r="O131">
        <v>1</v>
      </c>
    </row>
    <row r="132" spans="1:15">
      <c r="A132" t="s">
        <v>2074</v>
      </c>
      <c r="B132" t="s">
        <v>1472</v>
      </c>
      <c r="D132" t="s">
        <v>2643</v>
      </c>
      <c r="E132" t="s">
        <v>2588</v>
      </c>
      <c r="F132" t="s">
        <v>16</v>
      </c>
      <c r="G132" t="s">
        <v>42</v>
      </c>
      <c r="H132" t="s">
        <v>236</v>
      </c>
      <c r="J132" t="s">
        <v>2324</v>
      </c>
      <c r="K132" t="s">
        <v>2339</v>
      </c>
      <c r="L132" t="s">
        <v>2654</v>
      </c>
      <c r="M132" t="s">
        <v>2655</v>
      </c>
      <c r="N132" t="s">
        <v>2656</v>
      </c>
      <c r="O132">
        <v>2</v>
      </c>
    </row>
    <row r="133" spans="1:15">
      <c r="A133" t="s">
        <v>2077</v>
      </c>
      <c r="B133" t="s">
        <v>1472</v>
      </c>
      <c r="D133" t="s">
        <v>2334</v>
      </c>
      <c r="F133" t="s">
        <v>395</v>
      </c>
      <c r="G133" t="s">
        <v>395</v>
      </c>
      <c r="H133" t="s">
        <v>395</v>
      </c>
      <c r="J133" t="s">
        <v>2324</v>
      </c>
      <c r="K133" t="s">
        <v>2657</v>
      </c>
      <c r="L133" t="s">
        <v>2658</v>
      </c>
      <c r="N133" t="s">
        <v>2659</v>
      </c>
      <c r="O133" s="26">
        <v>1</v>
      </c>
    </row>
    <row r="134" spans="1:15">
      <c r="A134" t="s">
        <v>1815</v>
      </c>
      <c r="B134" t="s">
        <v>1472</v>
      </c>
      <c r="D134" t="s">
        <v>2328</v>
      </c>
      <c r="E134" t="s">
        <v>2660</v>
      </c>
      <c r="F134" t="s">
        <v>17</v>
      </c>
      <c r="G134" t="s">
        <v>27</v>
      </c>
      <c r="H134" t="s">
        <v>242</v>
      </c>
      <c r="J134" t="s">
        <v>2324</v>
      </c>
      <c r="K134" t="s">
        <v>2661</v>
      </c>
      <c r="L134" t="s">
        <v>1301</v>
      </c>
      <c r="N134" t="s">
        <v>2662</v>
      </c>
      <c r="O134">
        <v>2</v>
      </c>
    </row>
    <row r="135" spans="1:15">
      <c r="A135" t="s">
        <v>1784</v>
      </c>
      <c r="B135" t="s">
        <v>1472</v>
      </c>
      <c r="D135" t="s">
        <v>2368</v>
      </c>
      <c r="E135" t="s">
        <v>2503</v>
      </c>
      <c r="F135" t="s">
        <v>395</v>
      </c>
      <c r="G135" t="s">
        <v>395</v>
      </c>
      <c r="H135" t="s">
        <v>395</v>
      </c>
      <c r="J135" t="s">
        <v>2358</v>
      </c>
      <c r="K135" t="s">
        <v>2339</v>
      </c>
      <c r="L135" t="s">
        <v>1196</v>
      </c>
      <c r="N135" s="21" t="s">
        <v>2663</v>
      </c>
      <c r="O135" s="24">
        <v>2</v>
      </c>
    </row>
    <row r="136" spans="1:15">
      <c r="A136" t="s">
        <v>2087</v>
      </c>
      <c r="B136" t="s">
        <v>1472</v>
      </c>
      <c r="D136" t="s">
        <v>2328</v>
      </c>
      <c r="F136" t="s">
        <v>23</v>
      </c>
      <c r="G136" t="s">
        <v>42</v>
      </c>
      <c r="H136" t="s">
        <v>240</v>
      </c>
      <c r="I136" t="s">
        <v>2414</v>
      </c>
      <c r="J136" t="s">
        <v>2514</v>
      </c>
      <c r="K136" t="s">
        <v>2664</v>
      </c>
      <c r="L136" t="s">
        <v>2665</v>
      </c>
      <c r="N136" t="s">
        <v>2666</v>
      </c>
      <c r="O136">
        <v>2</v>
      </c>
    </row>
    <row r="137" spans="1:15">
      <c r="A137" t="s">
        <v>1754</v>
      </c>
      <c r="B137" t="s">
        <v>1472</v>
      </c>
      <c r="D137" t="s">
        <v>2328</v>
      </c>
      <c r="E137" t="s">
        <v>2667</v>
      </c>
      <c r="F137" t="s">
        <v>17</v>
      </c>
      <c r="G137" t="s">
        <v>48</v>
      </c>
      <c r="H137" t="s">
        <v>242</v>
      </c>
      <c r="J137" t="s">
        <v>2324</v>
      </c>
      <c r="K137" t="s">
        <v>2339</v>
      </c>
      <c r="L137" t="s">
        <v>2668</v>
      </c>
      <c r="N137" t="s">
        <v>2669</v>
      </c>
      <c r="O137">
        <v>2</v>
      </c>
    </row>
    <row r="138" spans="1:15">
      <c r="A138" t="s">
        <v>2394</v>
      </c>
      <c r="B138" t="s">
        <v>250</v>
      </c>
      <c r="C138">
        <v>1</v>
      </c>
      <c r="D138" t="s">
        <v>395</v>
      </c>
      <c r="F138" t="s">
        <v>395</v>
      </c>
      <c r="G138" t="s">
        <v>395</v>
      </c>
      <c r="H138" t="s">
        <v>395</v>
      </c>
      <c r="J138" t="s">
        <v>395</v>
      </c>
      <c r="K138" t="s">
        <v>395</v>
      </c>
      <c r="L138" t="s">
        <v>436</v>
      </c>
    </row>
    <row r="139" spans="1:15">
      <c r="A139" t="s">
        <v>2411</v>
      </c>
      <c r="B139" t="s">
        <v>250</v>
      </c>
      <c r="C139">
        <v>2</v>
      </c>
      <c r="D139" t="s">
        <v>395</v>
      </c>
      <c r="F139" t="s">
        <v>395</v>
      </c>
      <c r="G139" t="s">
        <v>395</v>
      </c>
      <c r="H139" t="s">
        <v>395</v>
      </c>
      <c r="J139" t="s">
        <v>395</v>
      </c>
      <c r="K139" t="s">
        <v>395</v>
      </c>
      <c r="L139" t="s">
        <v>480</v>
      </c>
    </row>
    <row r="140" spans="1:15">
      <c r="A140" t="s">
        <v>2445</v>
      </c>
      <c r="B140" t="s">
        <v>250</v>
      </c>
      <c r="C140">
        <v>3</v>
      </c>
      <c r="D140" t="s">
        <v>395</v>
      </c>
      <c r="F140" t="s">
        <v>395</v>
      </c>
      <c r="G140" t="s">
        <v>395</v>
      </c>
      <c r="H140" t="s">
        <v>395</v>
      </c>
      <c r="J140" t="s">
        <v>395</v>
      </c>
      <c r="K140" t="s">
        <v>395</v>
      </c>
      <c r="L140" t="s">
        <v>481</v>
      </c>
    </row>
    <row r="141" spans="1:15">
      <c r="A141" t="s">
        <v>2470</v>
      </c>
      <c r="B141" t="s">
        <v>250</v>
      </c>
      <c r="C141">
        <v>4</v>
      </c>
      <c r="D141" t="s">
        <v>395</v>
      </c>
      <c r="F141" t="s">
        <v>395</v>
      </c>
      <c r="G141" t="s">
        <v>395</v>
      </c>
      <c r="H141" t="s">
        <v>395</v>
      </c>
      <c r="J141" t="s">
        <v>395</v>
      </c>
      <c r="K141" t="s">
        <v>395</v>
      </c>
      <c r="L141" t="s">
        <v>2670</v>
      </c>
    </row>
    <row r="142" spans="1:15">
      <c r="A142" t="s">
        <v>2671</v>
      </c>
      <c r="B142" t="s">
        <v>250</v>
      </c>
      <c r="C142">
        <v>5</v>
      </c>
      <c r="D142" t="s">
        <v>395</v>
      </c>
      <c r="F142" t="s">
        <v>395</v>
      </c>
      <c r="G142" t="s">
        <v>395</v>
      </c>
      <c r="H142" t="s">
        <v>395</v>
      </c>
      <c r="J142" t="s">
        <v>395</v>
      </c>
      <c r="K142" t="s">
        <v>395</v>
      </c>
      <c r="L142" t="s">
        <v>2672</v>
      </c>
    </row>
    <row r="143" spans="1:15">
      <c r="A143" t="s">
        <v>1077</v>
      </c>
      <c r="B143" t="s">
        <v>239</v>
      </c>
      <c r="C143">
        <v>1</v>
      </c>
      <c r="D143" t="s">
        <v>395</v>
      </c>
      <c r="E143" t="s">
        <v>2673</v>
      </c>
      <c r="F143" t="s">
        <v>16</v>
      </c>
      <c r="G143" t="s">
        <v>43</v>
      </c>
      <c r="H143" t="s">
        <v>239</v>
      </c>
      <c r="I143" t="s">
        <v>2362</v>
      </c>
      <c r="J143" t="s">
        <v>2324</v>
      </c>
      <c r="K143" t="s">
        <v>2324</v>
      </c>
      <c r="L143" t="s">
        <v>665</v>
      </c>
      <c r="M143" t="s">
        <v>2674</v>
      </c>
    </row>
    <row r="144" spans="1:15">
      <c r="A144" t="s">
        <v>2675</v>
      </c>
      <c r="B144" t="s">
        <v>239</v>
      </c>
      <c r="C144">
        <v>2</v>
      </c>
      <c r="D144" t="s">
        <v>2676</v>
      </c>
      <c r="E144" t="s">
        <v>2677</v>
      </c>
      <c r="F144" t="s">
        <v>395</v>
      </c>
      <c r="G144" t="s">
        <v>395</v>
      </c>
      <c r="H144" t="s">
        <v>239</v>
      </c>
      <c r="J144" t="s">
        <v>2324</v>
      </c>
      <c r="K144" t="s">
        <v>2324</v>
      </c>
      <c r="L144" t="s">
        <v>666</v>
      </c>
    </row>
    <row r="145" spans="1:13">
      <c r="A145" t="s">
        <v>2678</v>
      </c>
      <c r="B145" t="s">
        <v>239</v>
      </c>
      <c r="C145">
        <v>3</v>
      </c>
      <c r="D145" t="s">
        <v>395</v>
      </c>
      <c r="E145" t="s">
        <v>2679</v>
      </c>
      <c r="F145" t="s">
        <v>16</v>
      </c>
      <c r="G145" t="s">
        <v>48</v>
      </c>
      <c r="H145" t="s">
        <v>239</v>
      </c>
      <c r="I145" t="s">
        <v>2488</v>
      </c>
      <c r="J145" t="s">
        <v>2324</v>
      </c>
      <c r="K145" t="s">
        <v>2680</v>
      </c>
      <c r="L145" t="s">
        <v>977</v>
      </c>
      <c r="M145" t="s">
        <v>2681</v>
      </c>
    </row>
    <row r="146" spans="1:13">
      <c r="A146" t="s">
        <v>2682</v>
      </c>
      <c r="B146" t="s">
        <v>239</v>
      </c>
      <c r="C146">
        <v>4</v>
      </c>
      <c r="D146" t="s">
        <v>2334</v>
      </c>
      <c r="E146" t="s">
        <v>2679</v>
      </c>
      <c r="F146" t="s">
        <v>395</v>
      </c>
      <c r="G146" t="s">
        <v>395</v>
      </c>
      <c r="H146" t="s">
        <v>239</v>
      </c>
      <c r="J146" t="s">
        <v>2324</v>
      </c>
      <c r="K146" t="s">
        <v>2425</v>
      </c>
      <c r="L146" t="s">
        <v>1099</v>
      </c>
      <c r="M146" t="s">
        <v>2683</v>
      </c>
    </row>
    <row r="147" spans="1:13">
      <c r="A147" t="s">
        <v>2684</v>
      </c>
      <c r="B147" t="s">
        <v>239</v>
      </c>
      <c r="C147">
        <v>5</v>
      </c>
      <c r="D147" t="s">
        <v>2685</v>
      </c>
      <c r="E147" t="s">
        <v>2677</v>
      </c>
      <c r="F147" t="s">
        <v>16</v>
      </c>
      <c r="G147" t="s">
        <v>44</v>
      </c>
      <c r="H147" t="s">
        <v>239</v>
      </c>
      <c r="I147" t="s">
        <v>2686</v>
      </c>
      <c r="J147" t="s">
        <v>2324</v>
      </c>
      <c r="K147" t="s">
        <v>2687</v>
      </c>
      <c r="L147" t="s">
        <v>1245</v>
      </c>
      <c r="M147" t="s">
        <v>2688</v>
      </c>
    </row>
    <row r="148" spans="1:13">
      <c r="A148" t="s">
        <v>2689</v>
      </c>
      <c r="B148" t="s">
        <v>240</v>
      </c>
      <c r="C148">
        <v>1</v>
      </c>
      <c r="D148" t="s">
        <v>395</v>
      </c>
      <c r="F148" t="s">
        <v>395</v>
      </c>
      <c r="G148" t="s">
        <v>395</v>
      </c>
      <c r="H148" t="s">
        <v>240</v>
      </c>
      <c r="J148" t="s">
        <v>2324</v>
      </c>
      <c r="K148" t="s">
        <v>2339</v>
      </c>
      <c r="L148" t="s">
        <v>537</v>
      </c>
      <c r="M148" t="s">
        <v>2690</v>
      </c>
    </row>
    <row r="149" spans="1:13">
      <c r="A149" t="s">
        <v>2691</v>
      </c>
      <c r="B149" t="s">
        <v>240</v>
      </c>
      <c r="C149">
        <v>2</v>
      </c>
      <c r="D149" t="s">
        <v>395</v>
      </c>
      <c r="E149" t="s">
        <v>2692</v>
      </c>
      <c r="F149" t="s">
        <v>22</v>
      </c>
      <c r="G149" t="s">
        <v>42</v>
      </c>
      <c r="H149" t="s">
        <v>240</v>
      </c>
      <c r="I149" t="s">
        <v>2362</v>
      </c>
      <c r="J149" t="s">
        <v>2514</v>
      </c>
      <c r="L149" t="s">
        <v>811</v>
      </c>
      <c r="M149" t="s">
        <v>2693</v>
      </c>
    </row>
    <row r="150" spans="1:13">
      <c r="A150" t="s">
        <v>2694</v>
      </c>
      <c r="B150" t="s">
        <v>240</v>
      </c>
      <c r="C150">
        <v>3</v>
      </c>
      <c r="D150" t="s">
        <v>2328</v>
      </c>
      <c r="E150" t="s">
        <v>2695</v>
      </c>
      <c r="F150" t="s">
        <v>395</v>
      </c>
      <c r="G150" t="s">
        <v>395</v>
      </c>
      <c r="H150" t="s">
        <v>240</v>
      </c>
      <c r="J150" t="s">
        <v>2324</v>
      </c>
      <c r="K150" t="s">
        <v>2339</v>
      </c>
      <c r="L150" t="s">
        <v>847</v>
      </c>
      <c r="M150" t="s">
        <v>2696</v>
      </c>
    </row>
    <row r="151" spans="1:13">
      <c r="A151" t="s">
        <v>2697</v>
      </c>
      <c r="B151" t="s">
        <v>240</v>
      </c>
      <c r="C151">
        <v>4</v>
      </c>
      <c r="D151" t="s">
        <v>2334</v>
      </c>
      <c r="E151" t="s">
        <v>2698</v>
      </c>
      <c r="F151" t="s">
        <v>23</v>
      </c>
      <c r="G151" t="s">
        <v>42</v>
      </c>
      <c r="H151" t="s">
        <v>240</v>
      </c>
      <c r="I151" t="s">
        <v>2362</v>
      </c>
      <c r="J151" t="s">
        <v>2514</v>
      </c>
      <c r="L151" t="s">
        <v>2699</v>
      </c>
      <c r="M151" t="s">
        <v>2700</v>
      </c>
    </row>
    <row r="152" spans="1:13">
      <c r="A152" t="s">
        <v>2701</v>
      </c>
      <c r="B152" t="s">
        <v>240</v>
      </c>
      <c r="C152">
        <v>5</v>
      </c>
      <c r="D152" t="s">
        <v>2702</v>
      </c>
      <c r="E152" t="s">
        <v>2692</v>
      </c>
      <c r="F152" t="s">
        <v>395</v>
      </c>
      <c r="G152" t="s">
        <v>395</v>
      </c>
      <c r="H152" t="s">
        <v>240</v>
      </c>
      <c r="J152" t="s">
        <v>2324</v>
      </c>
      <c r="K152" t="s">
        <v>2339</v>
      </c>
      <c r="L152" t="s">
        <v>2703</v>
      </c>
      <c r="M152" t="s">
        <v>2704</v>
      </c>
    </row>
    <row r="153" spans="1:13">
      <c r="A153" t="s">
        <v>2705</v>
      </c>
      <c r="B153" t="s">
        <v>241</v>
      </c>
      <c r="C153">
        <v>1</v>
      </c>
      <c r="D153" t="s">
        <v>395</v>
      </c>
      <c r="F153" t="s">
        <v>395</v>
      </c>
      <c r="G153" t="s">
        <v>395</v>
      </c>
      <c r="H153" t="s">
        <v>241</v>
      </c>
      <c r="J153" t="s">
        <v>2324</v>
      </c>
      <c r="K153" t="s">
        <v>2339</v>
      </c>
      <c r="L153" t="s">
        <v>590</v>
      </c>
      <c r="M153" t="s">
        <v>2706</v>
      </c>
    </row>
    <row r="154" spans="1:13">
      <c r="A154" t="s">
        <v>2707</v>
      </c>
      <c r="B154" t="s">
        <v>241</v>
      </c>
      <c r="C154">
        <v>2</v>
      </c>
      <c r="D154" t="s">
        <v>2328</v>
      </c>
      <c r="F154" t="s">
        <v>22</v>
      </c>
      <c r="G154" t="s">
        <v>42</v>
      </c>
      <c r="H154" t="s">
        <v>241</v>
      </c>
      <c r="I154" t="s">
        <v>2414</v>
      </c>
      <c r="J154" t="s">
        <v>2514</v>
      </c>
      <c r="K154" t="s">
        <v>2324</v>
      </c>
      <c r="L154" t="s">
        <v>591</v>
      </c>
      <c r="M154" t="s">
        <v>2708</v>
      </c>
    </row>
    <row r="155" spans="1:13">
      <c r="A155" t="s">
        <v>2709</v>
      </c>
      <c r="B155" t="s">
        <v>241</v>
      </c>
      <c r="C155">
        <v>3</v>
      </c>
      <c r="D155" t="s">
        <v>2334</v>
      </c>
      <c r="F155" t="s">
        <v>23</v>
      </c>
      <c r="G155" t="s">
        <v>42</v>
      </c>
      <c r="H155" t="s">
        <v>241</v>
      </c>
      <c r="I155" t="s">
        <v>2414</v>
      </c>
      <c r="J155" t="s">
        <v>2514</v>
      </c>
      <c r="K155" t="s">
        <v>2390</v>
      </c>
      <c r="L155" t="s">
        <v>592</v>
      </c>
      <c r="M155" t="s">
        <v>2710</v>
      </c>
    </row>
    <row r="156" spans="1:13">
      <c r="A156" t="s">
        <v>2711</v>
      </c>
      <c r="B156" t="s">
        <v>241</v>
      </c>
      <c r="C156">
        <v>4</v>
      </c>
      <c r="D156" t="s">
        <v>2328</v>
      </c>
      <c r="F156" t="s">
        <v>22</v>
      </c>
      <c r="G156" t="s">
        <v>42</v>
      </c>
      <c r="H156" t="s">
        <v>241</v>
      </c>
      <c r="I156" t="s">
        <v>2712</v>
      </c>
      <c r="J156" t="s">
        <v>2514</v>
      </c>
      <c r="K156" t="s">
        <v>2339</v>
      </c>
      <c r="L156" t="s">
        <v>593</v>
      </c>
      <c r="M156" t="s">
        <v>2713</v>
      </c>
    </row>
    <row r="157" spans="1:13">
      <c r="A157" t="s">
        <v>2714</v>
      </c>
      <c r="B157" t="s">
        <v>241</v>
      </c>
      <c r="C157">
        <v>5</v>
      </c>
      <c r="D157" t="s">
        <v>2685</v>
      </c>
      <c r="E157" t="s">
        <v>2715</v>
      </c>
      <c r="F157" t="s">
        <v>22</v>
      </c>
      <c r="G157" t="s">
        <v>44</v>
      </c>
      <c r="H157" t="s">
        <v>241</v>
      </c>
      <c r="I157" t="s">
        <v>2716</v>
      </c>
      <c r="J157" t="s">
        <v>2324</v>
      </c>
      <c r="L157" t="s">
        <v>2717</v>
      </c>
      <c r="M157" t="s">
        <v>2718</v>
      </c>
    </row>
    <row r="158" spans="1:13">
      <c r="A158" t="s">
        <v>2719</v>
      </c>
      <c r="B158" t="s">
        <v>242</v>
      </c>
      <c r="C158">
        <v>1</v>
      </c>
      <c r="D158" t="s">
        <v>395</v>
      </c>
      <c r="F158" t="s">
        <v>395</v>
      </c>
      <c r="G158" t="s">
        <v>395</v>
      </c>
      <c r="H158" t="s">
        <v>242</v>
      </c>
      <c r="J158" t="s">
        <v>2324</v>
      </c>
      <c r="K158" t="s">
        <v>2339</v>
      </c>
      <c r="L158" t="s">
        <v>432</v>
      </c>
      <c r="M158" t="s">
        <v>2720</v>
      </c>
    </row>
    <row r="159" spans="1:13">
      <c r="A159" t="s">
        <v>2721</v>
      </c>
      <c r="B159" t="s">
        <v>242</v>
      </c>
      <c r="C159">
        <v>2</v>
      </c>
      <c r="D159" t="s">
        <v>2328</v>
      </c>
      <c r="F159" t="s">
        <v>17</v>
      </c>
      <c r="G159" t="s">
        <v>37</v>
      </c>
      <c r="H159" t="s">
        <v>242</v>
      </c>
      <c r="J159" t="s">
        <v>2324</v>
      </c>
      <c r="K159" t="s">
        <v>2339</v>
      </c>
      <c r="L159" t="s">
        <v>433</v>
      </c>
      <c r="M159" t="s">
        <v>2722</v>
      </c>
    </row>
    <row r="160" spans="1:13">
      <c r="A160" t="s">
        <v>2723</v>
      </c>
      <c r="B160" t="s">
        <v>242</v>
      </c>
      <c r="C160">
        <v>3</v>
      </c>
      <c r="D160" t="s">
        <v>2328</v>
      </c>
      <c r="F160" t="s">
        <v>395</v>
      </c>
      <c r="G160" t="s">
        <v>395</v>
      </c>
      <c r="H160" t="s">
        <v>242</v>
      </c>
      <c r="J160" t="s">
        <v>2724</v>
      </c>
      <c r="L160" t="s">
        <v>434</v>
      </c>
      <c r="M160" t="s">
        <v>2725</v>
      </c>
    </row>
    <row r="161" spans="1:13">
      <c r="A161" t="s">
        <v>2726</v>
      </c>
      <c r="B161" t="s">
        <v>242</v>
      </c>
      <c r="C161">
        <v>4</v>
      </c>
      <c r="D161" t="s">
        <v>2334</v>
      </c>
      <c r="F161" t="s">
        <v>395</v>
      </c>
      <c r="G161" t="s">
        <v>395</v>
      </c>
      <c r="H161" t="s">
        <v>242</v>
      </c>
      <c r="J161" t="s">
        <v>2724</v>
      </c>
      <c r="L161" t="s">
        <v>741</v>
      </c>
      <c r="M161" t="s">
        <v>2727</v>
      </c>
    </row>
    <row r="162" spans="1:13">
      <c r="A162" t="s">
        <v>2728</v>
      </c>
      <c r="B162" t="s">
        <v>242</v>
      </c>
      <c r="C162">
        <v>5</v>
      </c>
      <c r="D162" t="s">
        <v>2343</v>
      </c>
      <c r="F162" t="s">
        <v>395</v>
      </c>
      <c r="G162" t="s">
        <v>395</v>
      </c>
      <c r="H162" t="s">
        <v>242</v>
      </c>
      <c r="J162" t="s">
        <v>2324</v>
      </c>
      <c r="K162" t="s">
        <v>2344</v>
      </c>
      <c r="L162" t="s">
        <v>742</v>
      </c>
      <c r="M162" t="s">
        <v>2729</v>
      </c>
    </row>
    <row r="163" spans="1:13">
      <c r="A163" t="s">
        <v>2730</v>
      </c>
      <c r="B163" t="s">
        <v>243</v>
      </c>
      <c r="C163">
        <v>1</v>
      </c>
      <c r="D163" t="s">
        <v>2731</v>
      </c>
      <c r="F163" t="s">
        <v>395</v>
      </c>
      <c r="G163" t="s">
        <v>395</v>
      </c>
      <c r="H163" t="s">
        <v>243</v>
      </c>
      <c r="J163" t="s">
        <v>2324</v>
      </c>
      <c r="K163" t="s">
        <v>2732</v>
      </c>
      <c r="L163" t="s">
        <v>479</v>
      </c>
      <c r="M163" t="s">
        <v>2733</v>
      </c>
    </row>
    <row r="164" spans="1:13">
      <c r="A164" t="s">
        <v>2734</v>
      </c>
      <c r="B164" t="s">
        <v>243</v>
      </c>
      <c r="C164">
        <v>2</v>
      </c>
      <c r="D164" t="s">
        <v>2328</v>
      </c>
      <c r="F164" t="s">
        <v>395</v>
      </c>
      <c r="G164" t="s">
        <v>395</v>
      </c>
      <c r="H164" t="s">
        <v>243</v>
      </c>
      <c r="J164" t="s">
        <v>2324</v>
      </c>
      <c r="K164" t="s">
        <v>2339</v>
      </c>
      <c r="L164" t="s">
        <v>538</v>
      </c>
      <c r="M164" t="s">
        <v>2735</v>
      </c>
    </row>
    <row r="165" spans="1:13">
      <c r="A165" t="s">
        <v>2736</v>
      </c>
      <c r="B165" t="s">
        <v>243</v>
      </c>
      <c r="C165">
        <v>3</v>
      </c>
      <c r="D165" t="s">
        <v>2334</v>
      </c>
      <c r="F165" t="s">
        <v>395</v>
      </c>
      <c r="G165" t="s">
        <v>395</v>
      </c>
      <c r="H165" t="s">
        <v>243</v>
      </c>
      <c r="J165" t="s">
        <v>2324</v>
      </c>
      <c r="K165" t="s">
        <v>2732</v>
      </c>
      <c r="L165" t="s">
        <v>539</v>
      </c>
      <c r="M165" t="s">
        <v>2737</v>
      </c>
    </row>
    <row r="166" spans="1:13">
      <c r="A166" t="s">
        <v>2738</v>
      </c>
      <c r="B166" t="s">
        <v>243</v>
      </c>
      <c r="C166">
        <v>4</v>
      </c>
      <c r="D166" t="s">
        <v>2328</v>
      </c>
      <c r="F166" t="s">
        <v>395</v>
      </c>
      <c r="G166" t="s">
        <v>395</v>
      </c>
      <c r="H166" t="s">
        <v>243</v>
      </c>
      <c r="J166" t="s">
        <v>2724</v>
      </c>
      <c r="K166" t="s">
        <v>2339</v>
      </c>
      <c r="L166" t="s">
        <v>902</v>
      </c>
      <c r="M166" t="s">
        <v>2739</v>
      </c>
    </row>
    <row r="167" spans="1:13">
      <c r="A167" t="s">
        <v>2740</v>
      </c>
      <c r="B167" t="s">
        <v>243</v>
      </c>
      <c r="C167">
        <v>5</v>
      </c>
      <c r="D167" t="s">
        <v>2477</v>
      </c>
      <c r="F167" t="s">
        <v>395</v>
      </c>
      <c r="G167" t="s">
        <v>395</v>
      </c>
      <c r="H167" t="s">
        <v>243</v>
      </c>
      <c r="J167" t="s">
        <v>2324</v>
      </c>
      <c r="L167" t="s">
        <v>2741</v>
      </c>
      <c r="M167" t="s">
        <v>2742</v>
      </c>
    </row>
    <row r="168" spans="1:13">
      <c r="A168" t="s">
        <v>2395</v>
      </c>
      <c r="B168" t="s">
        <v>251</v>
      </c>
      <c r="C168">
        <v>1</v>
      </c>
      <c r="D168" t="s">
        <v>395</v>
      </c>
      <c r="F168" t="s">
        <v>395</v>
      </c>
      <c r="G168" t="s">
        <v>395</v>
      </c>
      <c r="H168" t="s">
        <v>395</v>
      </c>
      <c r="J168" t="s">
        <v>395</v>
      </c>
      <c r="K168" t="s">
        <v>395</v>
      </c>
      <c r="L168" t="s">
        <v>437</v>
      </c>
    </row>
    <row r="169" spans="1:13">
      <c r="A169" t="s">
        <v>2406</v>
      </c>
      <c r="B169" t="s">
        <v>251</v>
      </c>
      <c r="C169">
        <v>2</v>
      </c>
      <c r="D169" t="s">
        <v>395</v>
      </c>
      <c r="F169" t="s">
        <v>395</v>
      </c>
      <c r="G169" t="s">
        <v>395</v>
      </c>
      <c r="H169" t="s">
        <v>395</v>
      </c>
      <c r="J169" t="s">
        <v>395</v>
      </c>
      <c r="K169" t="s">
        <v>395</v>
      </c>
      <c r="L169" t="s">
        <v>780</v>
      </c>
    </row>
    <row r="170" spans="1:13">
      <c r="A170" t="s">
        <v>2743</v>
      </c>
      <c r="B170" t="s">
        <v>251</v>
      </c>
      <c r="C170">
        <v>3</v>
      </c>
      <c r="D170" t="s">
        <v>395</v>
      </c>
      <c r="F170" t="s">
        <v>395</v>
      </c>
      <c r="G170" t="s">
        <v>395</v>
      </c>
      <c r="H170" t="s">
        <v>395</v>
      </c>
      <c r="J170" t="s">
        <v>395</v>
      </c>
      <c r="K170" t="s">
        <v>395</v>
      </c>
      <c r="L170" t="s">
        <v>781</v>
      </c>
    </row>
    <row r="171" spans="1:13">
      <c r="A171" t="s">
        <v>2744</v>
      </c>
      <c r="B171" t="s">
        <v>251</v>
      </c>
      <c r="C171">
        <v>4</v>
      </c>
      <c r="D171" t="s">
        <v>395</v>
      </c>
      <c r="F171" t="s">
        <v>395</v>
      </c>
      <c r="G171" t="s">
        <v>395</v>
      </c>
      <c r="H171" t="s">
        <v>395</v>
      </c>
      <c r="J171" t="s">
        <v>395</v>
      </c>
      <c r="K171" t="s">
        <v>395</v>
      </c>
      <c r="L171" t="s">
        <v>782</v>
      </c>
    </row>
    <row r="172" spans="1:13">
      <c r="A172" t="s">
        <v>2745</v>
      </c>
      <c r="B172" t="s">
        <v>251</v>
      </c>
      <c r="C172">
        <v>5</v>
      </c>
      <c r="D172" t="s">
        <v>395</v>
      </c>
      <c r="F172" t="s">
        <v>395</v>
      </c>
      <c r="G172" t="s">
        <v>395</v>
      </c>
      <c r="H172" t="s">
        <v>395</v>
      </c>
      <c r="J172" t="s">
        <v>395</v>
      </c>
      <c r="K172" t="s">
        <v>395</v>
      </c>
      <c r="L172" t="s">
        <v>2746</v>
      </c>
    </row>
    <row r="173" spans="1:13">
      <c r="A173" t="s">
        <v>2747</v>
      </c>
      <c r="B173" t="s">
        <v>244</v>
      </c>
      <c r="C173">
        <v>1</v>
      </c>
      <c r="D173" t="s">
        <v>2368</v>
      </c>
      <c r="F173" t="s">
        <v>395</v>
      </c>
      <c r="G173" t="s">
        <v>395</v>
      </c>
      <c r="H173" t="s">
        <v>244</v>
      </c>
      <c r="J173" t="s">
        <v>2358</v>
      </c>
      <c r="K173" t="s">
        <v>2369</v>
      </c>
      <c r="L173" t="s">
        <v>594</v>
      </c>
      <c r="M173" t="s">
        <v>2748</v>
      </c>
    </row>
    <row r="174" spans="1:13">
      <c r="A174" t="s">
        <v>2749</v>
      </c>
      <c r="B174" t="s">
        <v>244</v>
      </c>
      <c r="C174">
        <v>2</v>
      </c>
      <c r="D174" t="s">
        <v>2368</v>
      </c>
      <c r="F174" t="s">
        <v>395</v>
      </c>
      <c r="G174" t="s">
        <v>395</v>
      </c>
      <c r="H174" t="s">
        <v>244</v>
      </c>
      <c r="J174" t="s">
        <v>2358</v>
      </c>
      <c r="K174" t="s">
        <v>2369</v>
      </c>
      <c r="L174" t="s">
        <v>594</v>
      </c>
      <c r="M174" t="s">
        <v>2750</v>
      </c>
    </row>
    <row r="175" spans="1:13">
      <c r="A175" t="s">
        <v>2751</v>
      </c>
      <c r="B175" t="s">
        <v>244</v>
      </c>
      <c r="C175">
        <v>3</v>
      </c>
      <c r="D175" t="s">
        <v>2368</v>
      </c>
      <c r="F175" t="s">
        <v>395</v>
      </c>
      <c r="G175" t="s">
        <v>395</v>
      </c>
      <c r="H175" t="s">
        <v>244</v>
      </c>
      <c r="J175" t="s">
        <v>2358</v>
      </c>
      <c r="K175" t="s">
        <v>2369</v>
      </c>
      <c r="L175" t="s">
        <v>594</v>
      </c>
      <c r="M175" t="s">
        <v>2752</v>
      </c>
    </row>
    <row r="176" spans="1:13">
      <c r="A176" t="s">
        <v>2753</v>
      </c>
      <c r="B176" t="s">
        <v>244</v>
      </c>
      <c r="C176">
        <v>4</v>
      </c>
      <c r="D176" t="s">
        <v>2368</v>
      </c>
      <c r="F176" t="s">
        <v>395</v>
      </c>
      <c r="G176" t="s">
        <v>395</v>
      </c>
      <c r="H176" t="s">
        <v>244</v>
      </c>
      <c r="J176" t="s">
        <v>2358</v>
      </c>
      <c r="K176" t="s">
        <v>2369</v>
      </c>
      <c r="L176" t="s">
        <v>594</v>
      </c>
      <c r="M176" t="s">
        <v>2754</v>
      </c>
    </row>
    <row r="177" spans="1:14">
      <c r="A177" t="s">
        <v>2755</v>
      </c>
      <c r="B177" t="s">
        <v>244</v>
      </c>
      <c r="C177">
        <v>5</v>
      </c>
      <c r="D177" t="s">
        <v>2368</v>
      </c>
      <c r="F177" t="s">
        <v>395</v>
      </c>
      <c r="G177" t="s">
        <v>395</v>
      </c>
      <c r="H177" t="s">
        <v>244</v>
      </c>
      <c r="J177" t="s">
        <v>2358</v>
      </c>
      <c r="K177" t="s">
        <v>2369</v>
      </c>
      <c r="L177" t="s">
        <v>594</v>
      </c>
      <c r="M177" t="s">
        <v>2756</v>
      </c>
    </row>
    <row r="178" spans="1:14">
      <c r="A178" t="s">
        <v>2095</v>
      </c>
      <c r="B178" t="s">
        <v>247</v>
      </c>
      <c r="C178">
        <v>1</v>
      </c>
      <c r="D178" t="s">
        <v>2643</v>
      </c>
      <c r="E178" t="s">
        <v>2387</v>
      </c>
      <c r="F178" t="s">
        <v>16</v>
      </c>
      <c r="G178" t="s">
        <v>25</v>
      </c>
      <c r="H178" t="s">
        <v>247</v>
      </c>
      <c r="I178" t="s">
        <v>2362</v>
      </c>
      <c r="J178" t="s">
        <v>2389</v>
      </c>
      <c r="K178" t="s">
        <v>2757</v>
      </c>
      <c r="L178" t="s">
        <v>2758</v>
      </c>
      <c r="N178" t="s">
        <v>2491</v>
      </c>
    </row>
    <row r="179" spans="1:14">
      <c r="A179" t="s">
        <v>2102</v>
      </c>
      <c r="B179" t="s">
        <v>247</v>
      </c>
      <c r="C179">
        <v>1</v>
      </c>
      <c r="D179" t="s">
        <v>2643</v>
      </c>
      <c r="E179" t="s">
        <v>2387</v>
      </c>
      <c r="F179" t="s">
        <v>16</v>
      </c>
      <c r="G179" t="s">
        <v>25</v>
      </c>
      <c r="H179" t="s">
        <v>247</v>
      </c>
      <c r="J179" t="s">
        <v>2389</v>
      </c>
      <c r="K179" t="s">
        <v>2759</v>
      </c>
      <c r="L179" t="s">
        <v>2760</v>
      </c>
      <c r="N179" t="s">
        <v>2379</v>
      </c>
    </row>
    <row r="180" spans="1:14">
      <c r="A180" t="s">
        <v>2132</v>
      </c>
      <c r="B180" t="s">
        <v>247</v>
      </c>
      <c r="C180">
        <v>1</v>
      </c>
      <c r="D180" t="s">
        <v>2643</v>
      </c>
      <c r="E180" t="s">
        <v>2387</v>
      </c>
      <c r="F180" t="s">
        <v>16</v>
      </c>
      <c r="G180" t="s">
        <v>25</v>
      </c>
      <c r="H180" t="s">
        <v>247</v>
      </c>
      <c r="I180" t="s">
        <v>2761</v>
      </c>
      <c r="J180" t="s">
        <v>2389</v>
      </c>
      <c r="K180" t="s">
        <v>2339</v>
      </c>
      <c r="L180" t="s">
        <v>2762</v>
      </c>
      <c r="N180" t="s">
        <v>2394</v>
      </c>
    </row>
    <row r="181" spans="1:14">
      <c r="A181" t="s">
        <v>2142</v>
      </c>
      <c r="B181" t="s">
        <v>247</v>
      </c>
      <c r="C181">
        <v>1</v>
      </c>
      <c r="D181" t="s">
        <v>2643</v>
      </c>
      <c r="E181" t="s">
        <v>2387</v>
      </c>
      <c r="F181" t="s">
        <v>16</v>
      </c>
      <c r="G181" t="s">
        <v>25</v>
      </c>
      <c r="H181" t="s">
        <v>247</v>
      </c>
      <c r="J181" t="s">
        <v>2389</v>
      </c>
      <c r="K181" t="s">
        <v>2324</v>
      </c>
      <c r="L181" t="s">
        <v>2763</v>
      </c>
      <c r="N181" t="s">
        <v>2394</v>
      </c>
    </row>
    <row r="182" spans="1:14">
      <c r="A182" t="s">
        <v>2149</v>
      </c>
      <c r="B182" t="s">
        <v>247</v>
      </c>
      <c r="C182">
        <v>1</v>
      </c>
      <c r="D182" t="s">
        <v>2643</v>
      </c>
      <c r="E182" t="s">
        <v>2387</v>
      </c>
      <c r="F182" t="s">
        <v>16</v>
      </c>
      <c r="G182" t="s">
        <v>25</v>
      </c>
      <c r="H182" t="s">
        <v>247</v>
      </c>
      <c r="J182" t="s">
        <v>2389</v>
      </c>
      <c r="K182" t="s">
        <v>2324</v>
      </c>
      <c r="L182" t="s">
        <v>2764</v>
      </c>
      <c r="N182" t="s">
        <v>2394</v>
      </c>
    </row>
    <row r="183" spans="1:14">
      <c r="A183" t="s">
        <v>1775</v>
      </c>
      <c r="B183" t="s">
        <v>247</v>
      </c>
      <c r="C183">
        <v>1</v>
      </c>
      <c r="D183" t="s">
        <v>2328</v>
      </c>
      <c r="E183" t="s">
        <v>2387</v>
      </c>
      <c r="F183" t="s">
        <v>23</v>
      </c>
      <c r="G183" t="s">
        <v>30</v>
      </c>
      <c r="H183" t="s">
        <v>246</v>
      </c>
      <c r="J183" t="s">
        <v>2389</v>
      </c>
      <c r="K183" t="s">
        <v>2417</v>
      </c>
      <c r="L183" t="s">
        <v>1154</v>
      </c>
      <c r="N183" t="s">
        <v>2392</v>
      </c>
    </row>
    <row r="184" spans="1:14">
      <c r="A184" t="s">
        <v>1775</v>
      </c>
      <c r="B184" t="s">
        <v>247</v>
      </c>
      <c r="C184">
        <v>1</v>
      </c>
      <c r="D184" t="s">
        <v>2643</v>
      </c>
      <c r="E184" t="s">
        <v>2387</v>
      </c>
      <c r="F184" t="s">
        <v>16</v>
      </c>
      <c r="G184" t="s">
        <v>25</v>
      </c>
      <c r="H184" t="s">
        <v>247</v>
      </c>
      <c r="J184" t="s">
        <v>2389</v>
      </c>
      <c r="K184" t="s">
        <v>2417</v>
      </c>
      <c r="L184" t="s">
        <v>2765</v>
      </c>
      <c r="N184" t="s">
        <v>2392</v>
      </c>
    </row>
    <row r="185" spans="1:14">
      <c r="A185" t="s">
        <v>2088</v>
      </c>
      <c r="B185" t="s">
        <v>247</v>
      </c>
      <c r="C185">
        <v>2</v>
      </c>
      <c r="D185" t="s">
        <v>2643</v>
      </c>
      <c r="E185" t="s">
        <v>2403</v>
      </c>
      <c r="F185" t="s">
        <v>16</v>
      </c>
      <c r="G185" t="s">
        <v>25</v>
      </c>
      <c r="H185" t="s">
        <v>247</v>
      </c>
      <c r="I185" t="s">
        <v>2362</v>
      </c>
      <c r="J185" t="s">
        <v>2389</v>
      </c>
      <c r="K185" t="s">
        <v>2339</v>
      </c>
      <c r="L185" t="s">
        <v>2766</v>
      </c>
      <c r="N185" t="s">
        <v>2411</v>
      </c>
    </row>
    <row r="186" spans="1:14">
      <c r="A186" t="s">
        <v>2105</v>
      </c>
      <c r="B186" t="s">
        <v>247</v>
      </c>
      <c r="C186">
        <v>2</v>
      </c>
      <c r="D186" t="s">
        <v>2643</v>
      </c>
      <c r="E186" t="s">
        <v>2403</v>
      </c>
      <c r="F186" t="s">
        <v>16</v>
      </c>
      <c r="G186" t="s">
        <v>25</v>
      </c>
      <c r="H186" t="s">
        <v>247</v>
      </c>
      <c r="J186" t="s">
        <v>2389</v>
      </c>
      <c r="K186" t="s">
        <v>2390</v>
      </c>
      <c r="L186" t="s">
        <v>2767</v>
      </c>
      <c r="N186" t="s">
        <v>2409</v>
      </c>
    </row>
    <row r="187" spans="1:14">
      <c r="A187" t="s">
        <v>2112</v>
      </c>
      <c r="B187" t="s">
        <v>247</v>
      </c>
      <c r="C187">
        <v>2</v>
      </c>
      <c r="D187" t="s">
        <v>2643</v>
      </c>
      <c r="E187" t="s">
        <v>2403</v>
      </c>
      <c r="F187" t="s">
        <v>16</v>
      </c>
      <c r="G187" t="s">
        <v>25</v>
      </c>
      <c r="H187" t="s">
        <v>247</v>
      </c>
      <c r="I187" t="s">
        <v>2768</v>
      </c>
      <c r="J187" t="s">
        <v>2389</v>
      </c>
      <c r="K187" t="s">
        <v>2420</v>
      </c>
      <c r="L187" t="s">
        <v>2769</v>
      </c>
      <c r="N187" t="s">
        <v>2409</v>
      </c>
    </row>
    <row r="188" spans="1:14">
      <c r="A188" t="s">
        <v>2124</v>
      </c>
      <c r="B188" t="s">
        <v>247</v>
      </c>
      <c r="C188">
        <v>2</v>
      </c>
      <c r="D188" t="s">
        <v>2643</v>
      </c>
      <c r="E188" t="s">
        <v>2403</v>
      </c>
      <c r="F188" t="s">
        <v>16</v>
      </c>
      <c r="G188" t="s">
        <v>25</v>
      </c>
      <c r="H188" t="s">
        <v>247</v>
      </c>
      <c r="I188" t="s">
        <v>2362</v>
      </c>
      <c r="J188" t="s">
        <v>2389</v>
      </c>
      <c r="K188" t="s">
        <v>2339</v>
      </c>
      <c r="L188" t="s">
        <v>2770</v>
      </c>
      <c r="N188" t="s">
        <v>2409</v>
      </c>
    </row>
    <row r="189" spans="1:14">
      <c r="A189" t="s">
        <v>2157</v>
      </c>
      <c r="B189" t="s">
        <v>247</v>
      </c>
      <c r="C189">
        <v>2</v>
      </c>
      <c r="D189" t="s">
        <v>2643</v>
      </c>
      <c r="E189" t="s">
        <v>2403</v>
      </c>
      <c r="F189" t="s">
        <v>16</v>
      </c>
      <c r="G189" t="s">
        <v>25</v>
      </c>
      <c r="H189" t="s">
        <v>247</v>
      </c>
      <c r="J189" t="s">
        <v>2389</v>
      </c>
      <c r="K189" t="s">
        <v>2324</v>
      </c>
      <c r="L189" t="s">
        <v>2771</v>
      </c>
      <c r="N189" t="s">
        <v>2431</v>
      </c>
    </row>
    <row r="190" spans="1:14">
      <c r="A190" t="s">
        <v>2158</v>
      </c>
      <c r="B190" t="s">
        <v>247</v>
      </c>
      <c r="C190">
        <v>2</v>
      </c>
      <c r="D190" t="s">
        <v>2643</v>
      </c>
      <c r="E190" t="s">
        <v>2403</v>
      </c>
      <c r="F190" t="s">
        <v>16</v>
      </c>
      <c r="G190" t="s">
        <v>25</v>
      </c>
      <c r="H190" t="s">
        <v>247</v>
      </c>
      <c r="J190" t="s">
        <v>2389</v>
      </c>
      <c r="K190" t="s">
        <v>2772</v>
      </c>
      <c r="L190" t="s">
        <v>2773</v>
      </c>
      <c r="N190" t="s">
        <v>2458</v>
      </c>
    </row>
    <row r="191" spans="1:14">
      <c r="A191" t="s">
        <v>2160</v>
      </c>
      <c r="B191" t="s">
        <v>247</v>
      </c>
      <c r="C191">
        <v>2</v>
      </c>
      <c r="D191" t="s">
        <v>2643</v>
      </c>
      <c r="E191" t="s">
        <v>2403</v>
      </c>
      <c r="F191" t="s">
        <v>16</v>
      </c>
      <c r="G191" t="s">
        <v>25</v>
      </c>
      <c r="H191" t="s">
        <v>247</v>
      </c>
      <c r="J191" t="s">
        <v>2389</v>
      </c>
      <c r="K191" t="s">
        <v>2339</v>
      </c>
      <c r="L191" t="s">
        <v>2774</v>
      </c>
      <c r="N191" t="s">
        <v>2438</v>
      </c>
    </row>
    <row r="192" spans="1:14">
      <c r="A192" t="s">
        <v>2166</v>
      </c>
      <c r="B192" t="s">
        <v>247</v>
      </c>
      <c r="C192">
        <v>2</v>
      </c>
      <c r="D192" t="s">
        <v>2643</v>
      </c>
      <c r="E192" t="s">
        <v>2403</v>
      </c>
      <c r="F192" t="s">
        <v>16</v>
      </c>
      <c r="G192" t="s">
        <v>25</v>
      </c>
      <c r="H192" t="s">
        <v>247</v>
      </c>
      <c r="J192" t="s">
        <v>2389</v>
      </c>
      <c r="K192" t="s">
        <v>2339</v>
      </c>
      <c r="L192" t="s">
        <v>2775</v>
      </c>
      <c r="N192" t="s">
        <v>2441</v>
      </c>
    </row>
    <row r="193" spans="1:14">
      <c r="A193" t="s">
        <v>2080</v>
      </c>
      <c r="B193" t="s">
        <v>247</v>
      </c>
      <c r="C193">
        <v>3</v>
      </c>
      <c r="D193" t="s">
        <v>2643</v>
      </c>
      <c r="E193" t="s">
        <v>2436</v>
      </c>
      <c r="F193" t="s">
        <v>16</v>
      </c>
      <c r="G193" t="s">
        <v>25</v>
      </c>
      <c r="H193" t="s">
        <v>247</v>
      </c>
      <c r="J193" t="s">
        <v>2389</v>
      </c>
      <c r="K193" t="s">
        <v>2339</v>
      </c>
      <c r="L193" t="s">
        <v>2776</v>
      </c>
      <c r="N193" t="s">
        <v>2441</v>
      </c>
    </row>
    <row r="194" spans="1:14">
      <c r="A194" t="s">
        <v>2092</v>
      </c>
      <c r="B194" t="s">
        <v>247</v>
      </c>
      <c r="C194">
        <v>3</v>
      </c>
      <c r="D194" t="s">
        <v>2643</v>
      </c>
      <c r="E194" t="s">
        <v>2436</v>
      </c>
      <c r="F194" t="s">
        <v>16</v>
      </c>
      <c r="G194" t="s">
        <v>25</v>
      </c>
      <c r="H194" t="s">
        <v>247</v>
      </c>
      <c r="I194" t="s">
        <v>2362</v>
      </c>
      <c r="J194" t="s">
        <v>2389</v>
      </c>
      <c r="K194" t="s">
        <v>2425</v>
      </c>
      <c r="L194" t="s">
        <v>2777</v>
      </c>
      <c r="N194" t="s">
        <v>2778</v>
      </c>
    </row>
    <row r="195" spans="1:14">
      <c r="A195" t="s">
        <v>2099</v>
      </c>
      <c r="B195" t="s">
        <v>247</v>
      </c>
      <c r="C195">
        <v>3</v>
      </c>
      <c r="D195" t="s">
        <v>2643</v>
      </c>
      <c r="E195" t="s">
        <v>2436</v>
      </c>
      <c r="F195" t="s">
        <v>16</v>
      </c>
      <c r="G195" t="s">
        <v>25</v>
      </c>
      <c r="H195" t="s">
        <v>247</v>
      </c>
      <c r="J195" t="s">
        <v>2389</v>
      </c>
      <c r="K195" t="s">
        <v>2779</v>
      </c>
      <c r="L195" t="s">
        <v>2780</v>
      </c>
      <c r="N195" t="s">
        <v>2409</v>
      </c>
    </row>
    <row r="196" spans="1:14">
      <c r="A196" t="s">
        <v>2118</v>
      </c>
      <c r="B196" t="s">
        <v>247</v>
      </c>
      <c r="C196">
        <v>3</v>
      </c>
      <c r="D196" t="s">
        <v>2643</v>
      </c>
      <c r="E196" t="s">
        <v>2436</v>
      </c>
      <c r="F196" t="s">
        <v>16</v>
      </c>
      <c r="G196" t="s">
        <v>25</v>
      </c>
      <c r="H196" t="s">
        <v>247</v>
      </c>
      <c r="J196" t="s">
        <v>2389</v>
      </c>
      <c r="K196" t="s">
        <v>2781</v>
      </c>
      <c r="L196" t="s">
        <v>2782</v>
      </c>
      <c r="N196" t="s">
        <v>2743</v>
      </c>
    </row>
    <row r="197" spans="1:14">
      <c r="A197" t="s">
        <v>2121</v>
      </c>
      <c r="B197" t="s">
        <v>247</v>
      </c>
      <c r="C197">
        <v>3</v>
      </c>
      <c r="D197" t="s">
        <v>2643</v>
      </c>
      <c r="E197" t="s">
        <v>2436</v>
      </c>
      <c r="F197" t="s">
        <v>16</v>
      </c>
      <c r="G197" t="s">
        <v>25</v>
      </c>
      <c r="H197" t="s">
        <v>247</v>
      </c>
      <c r="J197" t="s">
        <v>2389</v>
      </c>
      <c r="K197" t="s">
        <v>2324</v>
      </c>
      <c r="L197" t="s">
        <v>2783</v>
      </c>
      <c r="N197" t="s">
        <v>2743</v>
      </c>
    </row>
    <row r="198" spans="1:14">
      <c r="A198" t="s">
        <v>2128</v>
      </c>
      <c r="B198" t="s">
        <v>247</v>
      </c>
      <c r="C198">
        <v>3</v>
      </c>
      <c r="D198" t="s">
        <v>2643</v>
      </c>
      <c r="E198" t="s">
        <v>2436</v>
      </c>
      <c r="F198" t="s">
        <v>16</v>
      </c>
      <c r="G198" t="s">
        <v>25</v>
      </c>
      <c r="H198" t="s">
        <v>247</v>
      </c>
      <c r="I198" t="s">
        <v>2362</v>
      </c>
      <c r="J198" t="s">
        <v>2389</v>
      </c>
      <c r="K198" t="s">
        <v>2417</v>
      </c>
      <c r="L198" t="s">
        <v>2784</v>
      </c>
      <c r="N198" t="s">
        <v>2438</v>
      </c>
    </row>
    <row r="199" spans="1:14">
      <c r="A199" t="s">
        <v>2136</v>
      </c>
      <c r="B199" t="s">
        <v>247</v>
      </c>
      <c r="C199">
        <v>3</v>
      </c>
      <c r="D199" t="s">
        <v>2643</v>
      </c>
      <c r="E199" t="s">
        <v>2436</v>
      </c>
      <c r="F199" t="s">
        <v>16</v>
      </c>
      <c r="G199" t="s">
        <v>25</v>
      </c>
      <c r="H199" t="s">
        <v>247</v>
      </c>
      <c r="J199" t="s">
        <v>2389</v>
      </c>
      <c r="K199" t="s">
        <v>2785</v>
      </c>
      <c r="L199" t="s">
        <v>2786</v>
      </c>
      <c r="N199" t="s">
        <v>2743</v>
      </c>
    </row>
    <row r="200" spans="1:14">
      <c r="A200" t="s">
        <v>2083</v>
      </c>
      <c r="B200" t="s">
        <v>247</v>
      </c>
      <c r="C200">
        <v>4</v>
      </c>
      <c r="D200" t="s">
        <v>2643</v>
      </c>
      <c r="E200" t="s">
        <v>2459</v>
      </c>
      <c r="F200" t="s">
        <v>16</v>
      </c>
      <c r="G200" t="s">
        <v>25</v>
      </c>
      <c r="H200" t="s">
        <v>247</v>
      </c>
      <c r="J200" t="s">
        <v>2389</v>
      </c>
      <c r="K200" t="s">
        <v>2460</v>
      </c>
      <c r="L200" t="s">
        <v>2787</v>
      </c>
      <c r="N200" t="s">
        <v>2788</v>
      </c>
    </row>
    <row r="201" spans="1:14">
      <c r="A201" t="s">
        <v>2109</v>
      </c>
      <c r="B201" t="s">
        <v>247</v>
      </c>
      <c r="C201">
        <v>4</v>
      </c>
      <c r="D201" t="s">
        <v>2643</v>
      </c>
      <c r="E201" t="s">
        <v>2459</v>
      </c>
      <c r="F201" t="s">
        <v>16</v>
      </c>
      <c r="G201" t="s">
        <v>25</v>
      </c>
      <c r="H201" t="s">
        <v>247</v>
      </c>
      <c r="J201" t="s">
        <v>2389</v>
      </c>
      <c r="K201" t="s">
        <v>2417</v>
      </c>
      <c r="L201" t="s">
        <v>2789</v>
      </c>
      <c r="N201" t="s">
        <v>2466</v>
      </c>
    </row>
    <row r="202" spans="1:14">
      <c r="A202" t="s">
        <v>1776</v>
      </c>
      <c r="B202" t="s">
        <v>247</v>
      </c>
      <c r="C202">
        <v>4</v>
      </c>
      <c r="D202" t="s">
        <v>2643</v>
      </c>
      <c r="E202" t="s">
        <v>2459</v>
      </c>
      <c r="F202" t="s">
        <v>16</v>
      </c>
      <c r="G202" t="s">
        <v>25</v>
      </c>
      <c r="H202" t="s">
        <v>247</v>
      </c>
      <c r="I202" t="s">
        <v>2388</v>
      </c>
      <c r="J202" t="s">
        <v>2389</v>
      </c>
      <c r="K202" t="s">
        <v>2390</v>
      </c>
      <c r="L202" t="s">
        <v>1155</v>
      </c>
      <c r="N202" t="s">
        <v>2790</v>
      </c>
    </row>
    <row r="203" spans="1:14">
      <c r="A203" t="s">
        <v>2151</v>
      </c>
      <c r="B203" t="s">
        <v>247</v>
      </c>
      <c r="C203">
        <v>4</v>
      </c>
      <c r="D203" t="s">
        <v>2643</v>
      </c>
      <c r="E203" t="s">
        <v>2459</v>
      </c>
      <c r="F203" t="s">
        <v>16</v>
      </c>
      <c r="G203" t="s">
        <v>25</v>
      </c>
      <c r="H203" t="s">
        <v>247</v>
      </c>
      <c r="J203" t="s">
        <v>2389</v>
      </c>
      <c r="K203" t="s">
        <v>2791</v>
      </c>
      <c r="L203" t="s">
        <v>2792</v>
      </c>
      <c r="N203" t="s">
        <v>2744</v>
      </c>
    </row>
    <row r="204" spans="1:14">
      <c r="A204" t="s">
        <v>2154</v>
      </c>
      <c r="B204" t="s">
        <v>247</v>
      </c>
      <c r="C204">
        <v>4</v>
      </c>
      <c r="D204" t="s">
        <v>2643</v>
      </c>
      <c r="E204" t="s">
        <v>2459</v>
      </c>
      <c r="F204" t="s">
        <v>16</v>
      </c>
      <c r="G204" t="s">
        <v>25</v>
      </c>
      <c r="H204" t="s">
        <v>247</v>
      </c>
      <c r="J204" t="s">
        <v>2389</v>
      </c>
      <c r="K204" t="s">
        <v>2793</v>
      </c>
      <c r="L204" t="s">
        <v>2794</v>
      </c>
      <c r="N204" t="s">
        <v>2744</v>
      </c>
    </row>
    <row r="205" spans="1:14">
      <c r="A205" t="s">
        <v>2116</v>
      </c>
      <c r="B205" t="s">
        <v>247</v>
      </c>
      <c r="C205">
        <v>5</v>
      </c>
      <c r="D205" t="s">
        <v>2643</v>
      </c>
      <c r="E205" t="s">
        <v>2478</v>
      </c>
      <c r="F205" t="s">
        <v>16</v>
      </c>
      <c r="G205" t="s">
        <v>25</v>
      </c>
      <c r="H205" t="s">
        <v>247</v>
      </c>
      <c r="J205" t="s">
        <v>2389</v>
      </c>
      <c r="K205" t="s">
        <v>2324</v>
      </c>
      <c r="L205" t="s">
        <v>2795</v>
      </c>
    </row>
    <row r="206" spans="1:14">
      <c r="A206" t="s">
        <v>2139</v>
      </c>
      <c r="B206" t="s">
        <v>247</v>
      </c>
      <c r="C206">
        <v>5</v>
      </c>
      <c r="D206" t="s">
        <v>2643</v>
      </c>
      <c r="E206" t="s">
        <v>2478</v>
      </c>
      <c r="F206" t="s">
        <v>16</v>
      </c>
      <c r="G206" t="s">
        <v>25</v>
      </c>
      <c r="H206" t="s">
        <v>247</v>
      </c>
      <c r="J206" t="s">
        <v>2389</v>
      </c>
      <c r="K206" t="s">
        <v>2324</v>
      </c>
      <c r="L206" t="s">
        <v>2796</v>
      </c>
      <c r="N206" t="s">
        <v>2745</v>
      </c>
    </row>
    <row r="207" spans="1:14">
      <c r="A207" t="s">
        <v>2146</v>
      </c>
      <c r="B207" t="s">
        <v>247</v>
      </c>
      <c r="C207">
        <v>5</v>
      </c>
      <c r="D207" t="s">
        <v>2643</v>
      </c>
      <c r="E207" t="s">
        <v>2478</v>
      </c>
      <c r="F207" t="s">
        <v>16</v>
      </c>
      <c r="G207" t="s">
        <v>25</v>
      </c>
      <c r="H207" t="s">
        <v>247</v>
      </c>
      <c r="J207" t="s">
        <v>2389</v>
      </c>
      <c r="K207" t="s">
        <v>2390</v>
      </c>
      <c r="L207" t="s">
        <v>2797</v>
      </c>
      <c r="N207" t="s">
        <v>2745</v>
      </c>
    </row>
    <row r="208" spans="1:14">
      <c r="A208" t="s">
        <v>2162</v>
      </c>
      <c r="B208" t="s">
        <v>247</v>
      </c>
      <c r="C208">
        <v>5</v>
      </c>
      <c r="D208" t="s">
        <v>2643</v>
      </c>
      <c r="E208" t="s">
        <v>2478</v>
      </c>
      <c r="F208" t="s">
        <v>16</v>
      </c>
      <c r="G208" t="s">
        <v>25</v>
      </c>
      <c r="H208" t="s">
        <v>247</v>
      </c>
      <c r="J208" t="s">
        <v>2389</v>
      </c>
      <c r="K208" t="s">
        <v>2425</v>
      </c>
      <c r="L208" t="s">
        <v>2798</v>
      </c>
      <c r="N208" t="s">
        <v>2799</v>
      </c>
    </row>
    <row r="209" spans="1:15">
      <c r="A209" t="s">
        <v>2392</v>
      </c>
      <c r="B209" t="s">
        <v>252</v>
      </c>
      <c r="C209">
        <v>1</v>
      </c>
      <c r="D209" t="s">
        <v>395</v>
      </c>
      <c r="F209" t="s">
        <v>395</v>
      </c>
      <c r="G209" t="s">
        <v>395</v>
      </c>
      <c r="H209" t="s">
        <v>395</v>
      </c>
      <c r="J209" t="s">
        <v>395</v>
      </c>
      <c r="K209" t="s">
        <v>395</v>
      </c>
      <c r="L209" t="s">
        <v>668</v>
      </c>
    </row>
    <row r="210" spans="1:15">
      <c r="A210" t="s">
        <v>2409</v>
      </c>
      <c r="B210" t="s">
        <v>252</v>
      </c>
      <c r="C210">
        <v>2</v>
      </c>
      <c r="D210" t="s">
        <v>395</v>
      </c>
      <c r="F210" t="s">
        <v>395</v>
      </c>
      <c r="G210" t="s">
        <v>395</v>
      </c>
      <c r="H210" t="s">
        <v>395</v>
      </c>
      <c r="J210" t="s">
        <v>395</v>
      </c>
      <c r="K210" t="s">
        <v>395</v>
      </c>
      <c r="L210" t="s">
        <v>1059</v>
      </c>
    </row>
    <row r="211" spans="1:15">
      <c r="A211" t="s">
        <v>2441</v>
      </c>
      <c r="B211" t="s">
        <v>252</v>
      </c>
      <c r="C211">
        <v>3</v>
      </c>
      <c r="D211" t="s">
        <v>395</v>
      </c>
      <c r="F211" t="s">
        <v>395</v>
      </c>
      <c r="G211" t="s">
        <v>395</v>
      </c>
      <c r="H211" t="s">
        <v>395</v>
      </c>
      <c r="J211" t="s">
        <v>395</v>
      </c>
      <c r="K211" t="s">
        <v>395</v>
      </c>
      <c r="L211" t="s">
        <v>1102</v>
      </c>
    </row>
    <row r="212" spans="1:15">
      <c r="A212" t="s">
        <v>2466</v>
      </c>
      <c r="B212" t="s">
        <v>252</v>
      </c>
      <c r="C212">
        <v>4</v>
      </c>
      <c r="D212" t="s">
        <v>395</v>
      </c>
      <c r="F212" t="s">
        <v>395</v>
      </c>
      <c r="G212" t="s">
        <v>395</v>
      </c>
      <c r="H212" t="s">
        <v>395</v>
      </c>
      <c r="J212" t="s">
        <v>395</v>
      </c>
      <c r="K212" t="s">
        <v>395</v>
      </c>
      <c r="L212" t="s">
        <v>1103</v>
      </c>
    </row>
    <row r="213" spans="1:15">
      <c r="A213" t="s">
        <v>2799</v>
      </c>
      <c r="B213" t="s">
        <v>252</v>
      </c>
      <c r="C213">
        <v>5</v>
      </c>
      <c r="D213" t="s">
        <v>395</v>
      </c>
      <c r="F213" t="s">
        <v>395</v>
      </c>
      <c r="G213" t="s">
        <v>395</v>
      </c>
      <c r="H213" t="s">
        <v>395</v>
      </c>
      <c r="J213" t="s">
        <v>395</v>
      </c>
      <c r="K213" t="s">
        <v>395</v>
      </c>
      <c r="L213" t="s">
        <v>2800</v>
      </c>
    </row>
    <row r="214" spans="1:15">
      <c r="A214" t="s">
        <v>2801</v>
      </c>
      <c r="B214" t="s">
        <v>245</v>
      </c>
      <c r="C214">
        <v>1</v>
      </c>
      <c r="D214" t="s">
        <v>2368</v>
      </c>
      <c r="F214" t="s">
        <v>395</v>
      </c>
      <c r="G214" t="s">
        <v>395</v>
      </c>
      <c r="H214" t="s">
        <v>245</v>
      </c>
      <c r="J214" t="s">
        <v>2358</v>
      </c>
      <c r="K214" t="s">
        <v>2369</v>
      </c>
      <c r="L214" t="s">
        <v>903</v>
      </c>
      <c r="M214" t="s">
        <v>2802</v>
      </c>
    </row>
    <row r="215" spans="1:15">
      <c r="A215" t="s">
        <v>2803</v>
      </c>
      <c r="B215" t="s">
        <v>245</v>
      </c>
      <c r="C215">
        <v>2</v>
      </c>
      <c r="D215" t="s">
        <v>2368</v>
      </c>
      <c r="F215" t="s">
        <v>395</v>
      </c>
      <c r="G215" t="s">
        <v>395</v>
      </c>
      <c r="H215" t="s">
        <v>245</v>
      </c>
      <c r="J215" t="s">
        <v>2358</v>
      </c>
      <c r="K215" t="s">
        <v>2369</v>
      </c>
      <c r="L215" t="s">
        <v>903</v>
      </c>
      <c r="M215" t="s">
        <v>2804</v>
      </c>
      <c r="N215" s="23"/>
      <c r="O215" s="26"/>
    </row>
    <row r="216" spans="1:15">
      <c r="A216" t="s">
        <v>2805</v>
      </c>
      <c r="B216" t="s">
        <v>245</v>
      </c>
      <c r="C216">
        <v>3</v>
      </c>
      <c r="D216" t="s">
        <v>2368</v>
      </c>
      <c r="F216" t="s">
        <v>395</v>
      </c>
      <c r="G216" t="s">
        <v>395</v>
      </c>
      <c r="H216" t="s">
        <v>245</v>
      </c>
      <c r="J216" t="s">
        <v>2358</v>
      </c>
      <c r="K216" t="s">
        <v>2369</v>
      </c>
      <c r="L216" t="s">
        <v>903</v>
      </c>
      <c r="M216" t="s">
        <v>2806</v>
      </c>
      <c r="N216" s="23"/>
      <c r="O216" s="26"/>
    </row>
    <row r="217" spans="1:15">
      <c r="A217" t="s">
        <v>2807</v>
      </c>
      <c r="B217" t="s">
        <v>245</v>
      </c>
      <c r="C217">
        <v>4</v>
      </c>
      <c r="D217" t="s">
        <v>2368</v>
      </c>
      <c r="F217" t="s">
        <v>395</v>
      </c>
      <c r="G217" t="s">
        <v>395</v>
      </c>
      <c r="H217" t="s">
        <v>245</v>
      </c>
      <c r="J217" t="s">
        <v>2358</v>
      </c>
      <c r="K217" t="s">
        <v>2369</v>
      </c>
      <c r="L217" t="s">
        <v>903</v>
      </c>
      <c r="M217" t="s">
        <v>2808</v>
      </c>
      <c r="N217" s="22"/>
      <c r="O217" s="25"/>
    </row>
    <row r="218" spans="1:15">
      <c r="A218" t="s">
        <v>2809</v>
      </c>
      <c r="B218" t="s">
        <v>245</v>
      </c>
      <c r="C218">
        <v>5</v>
      </c>
      <c r="D218" t="s">
        <v>2368</v>
      </c>
      <c r="F218" t="s">
        <v>395</v>
      </c>
      <c r="G218" t="s">
        <v>395</v>
      </c>
      <c r="H218" t="s">
        <v>245</v>
      </c>
      <c r="J218" t="s">
        <v>2358</v>
      </c>
      <c r="K218" t="s">
        <v>2369</v>
      </c>
      <c r="L218" t="s">
        <v>903</v>
      </c>
      <c r="M218" t="s">
        <v>2810</v>
      </c>
      <c r="N218" s="22"/>
      <c r="O218" s="25"/>
    </row>
  </sheetData>
  <phoneticPr fontId="1" type="noConversion"/>
  <pageMargins left="0.7" right="0.7" top="0.75" bottom="0.75" header="0.3" footer="0.3"/>
  <pageSetup paperSize="9" orientation="portrait" horizontalDpi="0" verticalDpi="0" r:id="rId1"/>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B5DE9-5FE4-44E7-A83C-4E876160527A}">
  <dimension ref="A1:G156"/>
  <sheetViews>
    <sheetView workbookViewId="0">
      <pane xSplit="1" topLeftCell="B1" activePane="topRight" state="frozen"/>
      <selection activeCell="F12" sqref="F12"/>
      <selection pane="topRight" activeCell="A11" sqref="A11"/>
    </sheetView>
  </sheetViews>
  <sheetFormatPr defaultColWidth="108.140625" defaultRowHeight="15"/>
  <cols>
    <col min="1" max="1" width="30.42578125" bestFit="1" customWidth="1"/>
    <col min="2" max="2" width="12.28515625" bestFit="1" customWidth="1"/>
    <col min="3" max="3" width="12.42578125" bestFit="1" customWidth="1"/>
    <col min="4" max="4" width="12.7109375" bestFit="1" customWidth="1"/>
    <col min="5" max="5" width="99.85546875" style="9" bestFit="1" customWidth="1"/>
    <col min="6" max="6" width="57.5703125" bestFit="1" customWidth="1"/>
    <col min="7" max="7" width="19.140625" bestFit="1" customWidth="1"/>
    <col min="8" max="8" width="9.28515625" bestFit="1" customWidth="1"/>
  </cols>
  <sheetData>
    <row r="1" spans="1:7">
      <c r="A1" t="s">
        <v>2811</v>
      </c>
      <c r="B1" t="s">
        <v>2812</v>
      </c>
      <c r="C1" t="s">
        <v>2813</v>
      </c>
      <c r="D1" t="s">
        <v>2814</v>
      </c>
      <c r="E1" t="s">
        <v>2284</v>
      </c>
      <c r="F1" t="s">
        <v>2315</v>
      </c>
      <c r="G1" t="s">
        <v>2815</v>
      </c>
    </row>
    <row r="2" spans="1:7">
      <c r="A2" t="s">
        <v>1600</v>
      </c>
      <c r="B2" t="s">
        <v>2282</v>
      </c>
      <c r="C2">
        <v>1</v>
      </c>
      <c r="D2">
        <v>1</v>
      </c>
      <c r="E2" t="s">
        <v>574</v>
      </c>
    </row>
    <row r="3" spans="1:7">
      <c r="A3" t="s">
        <v>1788</v>
      </c>
      <c r="B3" t="s">
        <v>1459</v>
      </c>
      <c r="C3">
        <v>2</v>
      </c>
      <c r="D3">
        <v>2</v>
      </c>
      <c r="E3" t="s">
        <v>1220</v>
      </c>
      <c r="F3" t="s">
        <v>2816</v>
      </c>
    </row>
    <row r="4" spans="1:7">
      <c r="A4" t="s">
        <v>2817</v>
      </c>
      <c r="B4" t="s">
        <v>2282</v>
      </c>
      <c r="C4">
        <v>1</v>
      </c>
      <c r="D4">
        <v>3</v>
      </c>
      <c r="E4" t="s">
        <v>2818</v>
      </c>
      <c r="F4" t="s">
        <v>2819</v>
      </c>
    </row>
    <row r="5" spans="1:7">
      <c r="A5" t="s">
        <v>2820</v>
      </c>
      <c r="B5" t="s">
        <v>2282</v>
      </c>
      <c r="C5">
        <v>1</v>
      </c>
      <c r="D5">
        <v>1</v>
      </c>
      <c r="E5" t="s">
        <v>2821</v>
      </c>
      <c r="F5" t="s">
        <v>2822</v>
      </c>
    </row>
    <row r="6" spans="1:7">
      <c r="A6" t="s">
        <v>1779</v>
      </c>
      <c r="B6" t="s">
        <v>1459</v>
      </c>
      <c r="C6">
        <v>1</v>
      </c>
      <c r="D6">
        <v>3</v>
      </c>
      <c r="E6" t="s">
        <v>1170</v>
      </c>
    </row>
    <row r="7" spans="1:7">
      <c r="A7" t="s">
        <v>2823</v>
      </c>
      <c r="B7" t="s">
        <v>1453</v>
      </c>
      <c r="C7">
        <v>2</v>
      </c>
      <c r="D7">
        <v>2</v>
      </c>
      <c r="E7" t="s">
        <v>2824</v>
      </c>
    </row>
    <row r="8" spans="1:7">
      <c r="A8" t="s">
        <v>1705</v>
      </c>
      <c r="B8" t="s">
        <v>2282</v>
      </c>
      <c r="C8">
        <v>2</v>
      </c>
      <c r="D8">
        <v>2</v>
      </c>
      <c r="E8" t="s">
        <v>965</v>
      </c>
      <c r="F8" t="s">
        <v>2825</v>
      </c>
    </row>
    <row r="9" spans="1:7">
      <c r="A9" t="s">
        <v>2826</v>
      </c>
      <c r="B9" t="s">
        <v>1459</v>
      </c>
      <c r="C9">
        <v>1</v>
      </c>
      <c r="D9">
        <v>5</v>
      </c>
      <c r="E9" t="s">
        <v>2827</v>
      </c>
    </row>
    <row r="10" spans="1:7">
      <c r="A10" t="s">
        <v>1630</v>
      </c>
      <c r="B10" t="s">
        <v>1444</v>
      </c>
      <c r="C10">
        <v>1</v>
      </c>
      <c r="D10">
        <v>1</v>
      </c>
      <c r="E10" t="s">
        <v>715</v>
      </c>
      <c r="F10" t="s">
        <v>2828</v>
      </c>
    </row>
    <row r="11" spans="1:7">
      <c r="A11" t="s">
        <v>2829</v>
      </c>
      <c r="B11" t="s">
        <v>2282</v>
      </c>
      <c r="C11">
        <v>1</v>
      </c>
      <c r="D11">
        <v>5</v>
      </c>
      <c r="E11" t="s">
        <v>2830</v>
      </c>
      <c r="F11" t="s">
        <v>2831</v>
      </c>
    </row>
    <row r="12" spans="1:7">
      <c r="A12" t="s">
        <v>1818</v>
      </c>
      <c r="B12" t="s">
        <v>2282</v>
      </c>
      <c r="C12">
        <v>1</v>
      </c>
      <c r="D12">
        <v>1</v>
      </c>
      <c r="E12" t="s">
        <v>2832</v>
      </c>
      <c r="F12" t="s">
        <v>2833</v>
      </c>
      <c r="G12" t="s">
        <v>2834</v>
      </c>
    </row>
    <row r="13" spans="1:7">
      <c r="A13" t="s">
        <v>1701</v>
      </c>
      <c r="B13" t="s">
        <v>2282</v>
      </c>
      <c r="C13">
        <v>1</v>
      </c>
      <c r="D13">
        <v>1</v>
      </c>
      <c r="E13" t="s">
        <v>1290</v>
      </c>
      <c r="F13" t="s">
        <v>2835</v>
      </c>
    </row>
    <row r="14" spans="1:7">
      <c r="A14" t="s">
        <v>2836</v>
      </c>
      <c r="B14" t="s">
        <v>1459</v>
      </c>
      <c r="C14">
        <v>1</v>
      </c>
      <c r="D14">
        <v>1</v>
      </c>
      <c r="E14" t="s">
        <v>2837</v>
      </c>
      <c r="F14" t="s">
        <v>2838</v>
      </c>
    </row>
    <row r="15" spans="1:7">
      <c r="A15" t="s">
        <v>2839</v>
      </c>
      <c r="B15" t="s">
        <v>2282</v>
      </c>
      <c r="C15">
        <v>1</v>
      </c>
      <c r="D15">
        <v>1</v>
      </c>
      <c r="E15" t="s">
        <v>2840</v>
      </c>
      <c r="F15" t="s">
        <v>2841</v>
      </c>
    </row>
    <row r="16" spans="1:7">
      <c r="A16" t="s">
        <v>2842</v>
      </c>
      <c r="B16" t="s">
        <v>1453</v>
      </c>
      <c r="C16">
        <v>2</v>
      </c>
      <c r="D16">
        <v>2</v>
      </c>
      <c r="E16" t="s">
        <v>2843</v>
      </c>
      <c r="F16" t="s">
        <v>2844</v>
      </c>
    </row>
    <row r="17" spans="1:7">
      <c r="A17" t="s">
        <v>1675</v>
      </c>
      <c r="B17" t="s">
        <v>2282</v>
      </c>
      <c r="C17">
        <v>1</v>
      </c>
      <c r="D17">
        <v>1</v>
      </c>
      <c r="E17" t="s">
        <v>836</v>
      </c>
      <c r="F17" t="s">
        <v>2845</v>
      </c>
    </row>
    <row r="18" spans="1:7">
      <c r="A18" t="s">
        <v>1666</v>
      </c>
      <c r="B18" t="s">
        <v>2282</v>
      </c>
      <c r="C18">
        <v>1</v>
      </c>
      <c r="D18">
        <v>1</v>
      </c>
      <c r="E18" t="s">
        <v>800</v>
      </c>
      <c r="F18" t="s">
        <v>2846</v>
      </c>
    </row>
    <row r="19" spans="1:7">
      <c r="A19" t="s">
        <v>2847</v>
      </c>
      <c r="B19" t="s">
        <v>1453</v>
      </c>
      <c r="C19">
        <v>2</v>
      </c>
      <c r="D19">
        <v>2</v>
      </c>
      <c r="E19" t="s">
        <v>2848</v>
      </c>
      <c r="F19" t="s">
        <v>2849</v>
      </c>
    </row>
    <row r="20" spans="1:7">
      <c r="A20" t="s">
        <v>2850</v>
      </c>
      <c r="B20" t="s">
        <v>1453</v>
      </c>
      <c r="C20">
        <v>2</v>
      </c>
      <c r="D20">
        <v>2</v>
      </c>
      <c r="E20" t="s">
        <v>2851</v>
      </c>
      <c r="F20" t="s">
        <v>2852</v>
      </c>
    </row>
    <row r="21" spans="1:7">
      <c r="A21" t="s">
        <v>2853</v>
      </c>
      <c r="B21" t="s">
        <v>2282</v>
      </c>
      <c r="C21">
        <v>1</v>
      </c>
      <c r="D21">
        <v>1</v>
      </c>
      <c r="E21" t="s">
        <v>2854</v>
      </c>
      <c r="F21" t="s">
        <v>2855</v>
      </c>
    </row>
    <row r="22" spans="1:7">
      <c r="A22" t="s">
        <v>1684</v>
      </c>
      <c r="B22" t="s">
        <v>2282</v>
      </c>
      <c r="C22">
        <v>1</v>
      </c>
      <c r="D22">
        <v>1</v>
      </c>
      <c r="E22" t="s">
        <v>890</v>
      </c>
      <c r="F22" t="s">
        <v>2856</v>
      </c>
    </row>
    <row r="23" spans="1:7">
      <c r="A23" t="s">
        <v>2857</v>
      </c>
      <c r="B23" t="s">
        <v>2282</v>
      </c>
      <c r="C23">
        <v>1</v>
      </c>
      <c r="D23">
        <v>1</v>
      </c>
      <c r="E23" t="s">
        <v>2858</v>
      </c>
    </row>
    <row r="24" spans="1:7">
      <c r="A24" t="s">
        <v>1618</v>
      </c>
      <c r="B24" t="s">
        <v>1459</v>
      </c>
      <c r="C24">
        <v>1</v>
      </c>
      <c r="D24">
        <v>5</v>
      </c>
      <c r="E24" t="s">
        <v>649</v>
      </c>
      <c r="F24" t="s">
        <v>2859</v>
      </c>
    </row>
    <row r="25" spans="1:7">
      <c r="A25" t="s">
        <v>2860</v>
      </c>
      <c r="B25" t="s">
        <v>1459</v>
      </c>
      <c r="C25">
        <v>1</v>
      </c>
      <c r="D25">
        <v>3</v>
      </c>
      <c r="E25" t="s">
        <v>2861</v>
      </c>
      <c r="F25" t="s">
        <v>2862</v>
      </c>
    </row>
    <row r="26" spans="1:7">
      <c r="A26" t="s">
        <v>2863</v>
      </c>
      <c r="B26" t="s">
        <v>1444</v>
      </c>
      <c r="C26">
        <v>3</v>
      </c>
      <c r="D26">
        <v>3</v>
      </c>
      <c r="E26" t="s">
        <v>2864</v>
      </c>
    </row>
    <row r="27" spans="1:7">
      <c r="A27" t="s">
        <v>2865</v>
      </c>
      <c r="B27" t="s">
        <v>2282</v>
      </c>
      <c r="C27">
        <v>2</v>
      </c>
      <c r="D27">
        <v>2</v>
      </c>
      <c r="E27" t="s">
        <v>2866</v>
      </c>
      <c r="F27" t="s">
        <v>2867</v>
      </c>
    </row>
    <row r="28" spans="1:7">
      <c r="A28" t="s">
        <v>2868</v>
      </c>
      <c r="B28" t="s">
        <v>1453</v>
      </c>
      <c r="C28">
        <v>1</v>
      </c>
      <c r="D28">
        <v>1</v>
      </c>
      <c r="E28" t="s">
        <v>2869</v>
      </c>
      <c r="F28" t="s">
        <v>2870</v>
      </c>
    </row>
    <row r="29" spans="1:7">
      <c r="A29" t="s">
        <v>1780</v>
      </c>
      <c r="B29" t="s">
        <v>2282</v>
      </c>
      <c r="C29">
        <v>1</v>
      </c>
      <c r="D29">
        <v>3</v>
      </c>
      <c r="E29" t="s">
        <v>1171</v>
      </c>
      <c r="F29" t="s">
        <v>2871</v>
      </c>
    </row>
    <row r="30" spans="1:7">
      <c r="A30" t="s">
        <v>2872</v>
      </c>
      <c r="B30" t="s">
        <v>2282</v>
      </c>
      <c r="C30">
        <v>1</v>
      </c>
      <c r="D30">
        <v>1</v>
      </c>
      <c r="E30" t="s">
        <v>2873</v>
      </c>
      <c r="F30" t="s">
        <v>2874</v>
      </c>
      <c r="G30" t="s">
        <v>2875</v>
      </c>
    </row>
    <row r="31" spans="1:7">
      <c r="A31" t="s">
        <v>1794</v>
      </c>
      <c r="B31" t="s">
        <v>1444</v>
      </c>
      <c r="C31">
        <v>2</v>
      </c>
      <c r="D31">
        <v>2</v>
      </c>
      <c r="E31" t="s">
        <v>1207</v>
      </c>
    </row>
    <row r="32" spans="1:7">
      <c r="A32" t="s">
        <v>2876</v>
      </c>
      <c r="B32" t="s">
        <v>1459</v>
      </c>
      <c r="C32">
        <v>1</v>
      </c>
      <c r="D32">
        <v>3</v>
      </c>
      <c r="E32" t="s">
        <v>2877</v>
      </c>
    </row>
    <row r="33" spans="1:7">
      <c r="A33" t="s">
        <v>1591</v>
      </c>
      <c r="B33" t="s">
        <v>1453</v>
      </c>
      <c r="C33">
        <v>1</v>
      </c>
      <c r="D33">
        <v>1</v>
      </c>
      <c r="E33" t="s">
        <v>513</v>
      </c>
      <c r="F33" t="s">
        <v>2878</v>
      </c>
    </row>
    <row r="34" spans="1:7">
      <c r="A34" t="s">
        <v>2879</v>
      </c>
      <c r="B34" t="s">
        <v>1453</v>
      </c>
      <c r="C34">
        <v>1</v>
      </c>
      <c r="D34">
        <v>3</v>
      </c>
      <c r="E34" t="s">
        <v>2880</v>
      </c>
      <c r="F34" t="s">
        <v>2881</v>
      </c>
    </row>
    <row r="35" spans="1:7">
      <c r="A35" t="s">
        <v>2882</v>
      </c>
      <c r="B35" t="s">
        <v>2282</v>
      </c>
      <c r="C35">
        <v>1</v>
      </c>
      <c r="D35">
        <v>1</v>
      </c>
      <c r="E35" t="s">
        <v>2883</v>
      </c>
      <c r="F35" t="s">
        <v>2884</v>
      </c>
    </row>
    <row r="36" spans="1:7">
      <c r="A36" t="s">
        <v>2885</v>
      </c>
      <c r="B36" t="s">
        <v>1444</v>
      </c>
      <c r="C36">
        <v>1</v>
      </c>
      <c r="D36">
        <v>1</v>
      </c>
      <c r="E36" t="s">
        <v>2886</v>
      </c>
    </row>
    <row r="37" spans="1:7">
      <c r="A37" t="s">
        <v>2887</v>
      </c>
      <c r="B37" t="s">
        <v>2282</v>
      </c>
      <c r="C37">
        <v>1</v>
      </c>
      <c r="D37">
        <v>1</v>
      </c>
      <c r="E37" t="s">
        <v>2888</v>
      </c>
    </row>
    <row r="38" spans="1:7">
      <c r="A38" t="s">
        <v>2889</v>
      </c>
      <c r="B38" t="s">
        <v>1453</v>
      </c>
      <c r="C38">
        <v>2</v>
      </c>
      <c r="D38">
        <v>2</v>
      </c>
      <c r="E38" t="s">
        <v>2890</v>
      </c>
      <c r="F38" t="s">
        <v>2891</v>
      </c>
    </row>
    <row r="39" spans="1:7">
      <c r="A39" t="s">
        <v>1583</v>
      </c>
      <c r="B39" t="s">
        <v>2282</v>
      </c>
      <c r="C39">
        <v>1</v>
      </c>
      <c r="D39">
        <v>1</v>
      </c>
      <c r="E39" t="s">
        <v>462</v>
      </c>
      <c r="F39" t="s">
        <v>370</v>
      </c>
    </row>
    <row r="40" spans="1:7">
      <c r="A40" t="s">
        <v>2892</v>
      </c>
      <c r="B40" t="s">
        <v>2282</v>
      </c>
      <c r="C40">
        <v>1</v>
      </c>
      <c r="D40">
        <v>3</v>
      </c>
      <c r="E40" t="s">
        <v>2893</v>
      </c>
      <c r="F40" t="s">
        <v>2894</v>
      </c>
    </row>
    <row r="41" spans="1:7">
      <c r="A41" t="s">
        <v>1601</v>
      </c>
      <c r="B41" t="s">
        <v>1444</v>
      </c>
      <c r="C41">
        <v>1</v>
      </c>
      <c r="D41">
        <v>1</v>
      </c>
      <c r="E41" t="s">
        <v>575</v>
      </c>
    </row>
    <row r="42" spans="1:7">
      <c r="A42" t="s">
        <v>1758</v>
      </c>
      <c r="B42" t="s">
        <v>1459</v>
      </c>
      <c r="C42">
        <v>2</v>
      </c>
      <c r="D42">
        <v>2</v>
      </c>
      <c r="E42" t="s">
        <v>1083</v>
      </c>
      <c r="F42" t="s">
        <v>2895</v>
      </c>
    </row>
    <row r="43" spans="1:7">
      <c r="A43" t="s">
        <v>1829</v>
      </c>
      <c r="B43" t="s">
        <v>1444</v>
      </c>
      <c r="C43">
        <v>1</v>
      </c>
      <c r="D43">
        <v>1</v>
      </c>
      <c r="E43" t="s">
        <v>1339</v>
      </c>
    </row>
    <row r="44" spans="1:7">
      <c r="A44" t="s">
        <v>2896</v>
      </c>
      <c r="B44" t="s">
        <v>2282</v>
      </c>
      <c r="C44">
        <v>1</v>
      </c>
      <c r="D44">
        <v>1</v>
      </c>
      <c r="E44" t="s">
        <v>2897</v>
      </c>
      <c r="F44" t="s">
        <v>2898</v>
      </c>
      <c r="G44" t="s">
        <v>2899</v>
      </c>
    </row>
    <row r="45" spans="1:7">
      <c r="A45" t="s">
        <v>1603</v>
      </c>
      <c r="B45" t="s">
        <v>1444</v>
      </c>
      <c r="C45">
        <v>1</v>
      </c>
      <c r="D45">
        <v>5</v>
      </c>
      <c r="E45" s="9" t="s">
        <v>576</v>
      </c>
    </row>
    <row r="46" spans="1:7">
      <c r="A46" t="s">
        <v>1743</v>
      </c>
      <c r="B46" t="s">
        <v>1444</v>
      </c>
      <c r="C46">
        <v>2</v>
      </c>
      <c r="D46">
        <v>2</v>
      </c>
      <c r="E46" t="s">
        <v>1051</v>
      </c>
      <c r="F46" t="s">
        <v>2900</v>
      </c>
    </row>
    <row r="47" spans="1:7">
      <c r="A47" t="s">
        <v>819</v>
      </c>
      <c r="B47" t="s">
        <v>1459</v>
      </c>
      <c r="C47">
        <v>1</v>
      </c>
      <c r="D47">
        <v>3</v>
      </c>
      <c r="E47" t="s">
        <v>801</v>
      </c>
    </row>
    <row r="48" spans="1:7">
      <c r="A48" t="s">
        <v>1793</v>
      </c>
      <c r="B48" t="s">
        <v>1453</v>
      </c>
      <c r="C48">
        <v>2</v>
      </c>
      <c r="D48">
        <v>2</v>
      </c>
      <c r="E48" t="s">
        <v>1208</v>
      </c>
      <c r="F48" t="s">
        <v>2901</v>
      </c>
    </row>
    <row r="49" spans="1:6">
      <c r="A49" t="s">
        <v>1799</v>
      </c>
      <c r="B49" t="s">
        <v>2282</v>
      </c>
      <c r="C49">
        <v>1</v>
      </c>
      <c r="D49">
        <v>1</v>
      </c>
      <c r="E49" s="9" t="s">
        <v>1259</v>
      </c>
      <c r="F49" t="s">
        <v>2845</v>
      </c>
    </row>
    <row r="50" spans="1:6">
      <c r="A50" t="s">
        <v>1694</v>
      </c>
      <c r="B50" t="s">
        <v>1459</v>
      </c>
      <c r="C50">
        <v>2</v>
      </c>
      <c r="D50">
        <v>2</v>
      </c>
      <c r="E50" t="s">
        <v>921</v>
      </c>
      <c r="F50" t="s">
        <v>2902</v>
      </c>
    </row>
    <row r="51" spans="1:6">
      <c r="A51" t="s">
        <v>2903</v>
      </c>
      <c r="B51" t="s">
        <v>1453</v>
      </c>
      <c r="C51">
        <v>1</v>
      </c>
      <c r="D51">
        <v>3</v>
      </c>
      <c r="E51" t="s">
        <v>2904</v>
      </c>
      <c r="F51" t="s">
        <v>2905</v>
      </c>
    </row>
    <row r="52" spans="1:6">
      <c r="A52" t="s">
        <v>1680</v>
      </c>
      <c r="B52" t="s">
        <v>2282</v>
      </c>
      <c r="C52">
        <v>1</v>
      </c>
      <c r="D52">
        <v>5</v>
      </c>
      <c r="E52" t="s">
        <v>861</v>
      </c>
      <c r="F52" t="s">
        <v>97</v>
      </c>
    </row>
    <row r="53" spans="1:6">
      <c r="A53" t="s">
        <v>1634</v>
      </c>
      <c r="B53" t="s">
        <v>2282</v>
      </c>
      <c r="C53">
        <v>1</v>
      </c>
      <c r="D53">
        <v>1</v>
      </c>
      <c r="E53" t="s">
        <v>716</v>
      </c>
      <c r="F53" t="s">
        <v>2835</v>
      </c>
    </row>
    <row r="54" spans="1:6">
      <c r="A54" t="s">
        <v>1696</v>
      </c>
      <c r="B54" t="s">
        <v>2282</v>
      </c>
      <c r="C54">
        <v>1</v>
      </c>
      <c r="D54">
        <v>1</v>
      </c>
      <c r="E54" t="s">
        <v>922</v>
      </c>
      <c r="F54" t="s">
        <v>2906</v>
      </c>
    </row>
    <row r="55" spans="1:6">
      <c r="A55" t="s">
        <v>2907</v>
      </c>
      <c r="B55" t="s">
        <v>1453</v>
      </c>
      <c r="C55">
        <v>3</v>
      </c>
      <c r="D55">
        <v>3</v>
      </c>
      <c r="E55" t="s">
        <v>2908</v>
      </c>
    </row>
    <row r="56" spans="1:6">
      <c r="A56" t="s">
        <v>2909</v>
      </c>
      <c r="B56" t="s">
        <v>1444</v>
      </c>
      <c r="C56">
        <v>1</v>
      </c>
      <c r="D56">
        <v>1</v>
      </c>
      <c r="E56" t="s">
        <v>2910</v>
      </c>
      <c r="F56" t="s">
        <v>2911</v>
      </c>
    </row>
    <row r="57" spans="1:6">
      <c r="A57" t="s">
        <v>1572</v>
      </c>
      <c r="B57" t="s">
        <v>1459</v>
      </c>
      <c r="C57">
        <v>1</v>
      </c>
      <c r="D57">
        <v>1</v>
      </c>
      <c r="E57" t="s">
        <v>407</v>
      </c>
    </row>
    <row r="58" spans="1:6">
      <c r="A58" t="s">
        <v>2912</v>
      </c>
      <c r="B58" t="s">
        <v>2282</v>
      </c>
      <c r="C58">
        <v>1</v>
      </c>
      <c r="D58">
        <v>1</v>
      </c>
      <c r="E58" t="s">
        <v>2913</v>
      </c>
      <c r="F58" t="s">
        <v>2914</v>
      </c>
    </row>
    <row r="59" spans="1:6">
      <c r="A59" t="s">
        <v>1695</v>
      </c>
      <c r="B59" t="s">
        <v>2282</v>
      </c>
      <c r="C59">
        <v>1</v>
      </c>
      <c r="D59">
        <v>1</v>
      </c>
      <c r="E59" s="9" t="s">
        <v>923</v>
      </c>
      <c r="F59" t="s">
        <v>2845</v>
      </c>
    </row>
    <row r="60" spans="1:6">
      <c r="A60" t="s">
        <v>1882</v>
      </c>
      <c r="B60" t="s">
        <v>2282</v>
      </c>
      <c r="C60">
        <v>1</v>
      </c>
      <c r="D60">
        <v>1</v>
      </c>
      <c r="E60" t="s">
        <v>2915</v>
      </c>
      <c r="F60" t="s">
        <v>2845</v>
      </c>
    </row>
    <row r="61" spans="1:6">
      <c r="A61" t="s">
        <v>1590</v>
      </c>
      <c r="B61" t="s">
        <v>1444</v>
      </c>
      <c r="C61">
        <v>2</v>
      </c>
      <c r="D61">
        <v>2</v>
      </c>
      <c r="E61" t="s">
        <v>514</v>
      </c>
      <c r="F61" t="s">
        <v>2916</v>
      </c>
    </row>
    <row r="62" spans="1:6">
      <c r="A62" t="s">
        <v>1778</v>
      </c>
      <c r="B62" t="s">
        <v>2282</v>
      </c>
      <c r="C62">
        <v>1</v>
      </c>
      <c r="D62">
        <v>1</v>
      </c>
      <c r="E62" t="s">
        <v>1172</v>
      </c>
      <c r="F62" t="s">
        <v>2917</v>
      </c>
    </row>
    <row r="63" spans="1:6">
      <c r="A63" t="s">
        <v>1144</v>
      </c>
      <c r="B63" t="s">
        <v>1459</v>
      </c>
      <c r="C63">
        <v>3</v>
      </c>
      <c r="D63">
        <v>3</v>
      </c>
      <c r="E63" t="s">
        <v>515</v>
      </c>
      <c r="F63" t="s">
        <v>2862</v>
      </c>
    </row>
    <row r="64" spans="1:6">
      <c r="A64" t="s">
        <v>1638</v>
      </c>
      <c r="B64" t="s">
        <v>1444</v>
      </c>
      <c r="C64">
        <v>1</v>
      </c>
      <c r="D64">
        <v>1</v>
      </c>
      <c r="E64" t="s">
        <v>717</v>
      </c>
      <c r="F64" t="s">
        <v>2918</v>
      </c>
    </row>
    <row r="65" spans="1:6">
      <c r="A65" t="s">
        <v>1627</v>
      </c>
      <c r="B65" t="s">
        <v>2282</v>
      </c>
      <c r="C65">
        <v>1</v>
      </c>
      <c r="D65">
        <v>1</v>
      </c>
      <c r="E65" t="s">
        <v>718</v>
      </c>
    </row>
    <row r="66" spans="1:6">
      <c r="A66" t="s">
        <v>2919</v>
      </c>
      <c r="B66" t="s">
        <v>1453</v>
      </c>
      <c r="C66">
        <v>2</v>
      </c>
      <c r="D66">
        <v>4</v>
      </c>
      <c r="E66" t="s">
        <v>2920</v>
      </c>
      <c r="F66" t="s">
        <v>2921</v>
      </c>
    </row>
    <row r="67" spans="1:6">
      <c r="A67" t="s">
        <v>2922</v>
      </c>
      <c r="B67" t="s">
        <v>1453</v>
      </c>
      <c r="C67">
        <v>2</v>
      </c>
      <c r="D67">
        <v>4</v>
      </c>
      <c r="E67" t="s">
        <v>2923</v>
      </c>
      <c r="F67" t="s">
        <v>2924</v>
      </c>
    </row>
    <row r="68" spans="1:6">
      <c r="A68" t="s">
        <v>1820</v>
      </c>
      <c r="B68" t="s">
        <v>1453</v>
      </c>
      <c r="C68">
        <v>1</v>
      </c>
      <c r="D68">
        <v>3</v>
      </c>
      <c r="E68" t="s">
        <v>1321</v>
      </c>
      <c r="F68" t="s">
        <v>2925</v>
      </c>
    </row>
    <row r="69" spans="1:6">
      <c r="A69" t="s">
        <v>2926</v>
      </c>
      <c r="B69" t="s">
        <v>1459</v>
      </c>
      <c r="C69">
        <v>1</v>
      </c>
      <c r="D69">
        <v>1</v>
      </c>
      <c r="E69" t="s">
        <v>2927</v>
      </c>
      <c r="F69" t="s">
        <v>2928</v>
      </c>
    </row>
    <row r="70" spans="1:6">
      <c r="A70" t="s">
        <v>2929</v>
      </c>
      <c r="B70" t="s">
        <v>2282</v>
      </c>
      <c r="C70">
        <v>2</v>
      </c>
      <c r="D70">
        <v>2</v>
      </c>
      <c r="E70" t="s">
        <v>2930</v>
      </c>
      <c r="F70" t="s">
        <v>2931</v>
      </c>
    </row>
    <row r="71" spans="1:6">
      <c r="A71" t="s">
        <v>2932</v>
      </c>
      <c r="B71" t="s">
        <v>2282</v>
      </c>
      <c r="C71">
        <v>1</v>
      </c>
      <c r="D71">
        <v>1</v>
      </c>
      <c r="E71" t="s">
        <v>2933</v>
      </c>
      <c r="F71" t="s">
        <v>790</v>
      </c>
    </row>
    <row r="72" spans="1:6">
      <c r="A72" t="s">
        <v>2934</v>
      </c>
      <c r="B72" t="s">
        <v>2282</v>
      </c>
      <c r="C72">
        <v>2</v>
      </c>
      <c r="D72">
        <v>2</v>
      </c>
      <c r="E72" t="s">
        <v>2935</v>
      </c>
      <c r="F72" t="s">
        <v>2936</v>
      </c>
    </row>
    <row r="73" spans="1:6">
      <c r="A73" t="s">
        <v>1585</v>
      </c>
      <c r="B73" t="s">
        <v>1444</v>
      </c>
      <c r="C73">
        <v>1</v>
      </c>
      <c r="D73">
        <v>1</v>
      </c>
      <c r="E73" t="s">
        <v>463</v>
      </c>
    </row>
    <row r="74" spans="1:6">
      <c r="A74" t="s">
        <v>1573</v>
      </c>
      <c r="B74" t="s">
        <v>1444</v>
      </c>
      <c r="C74">
        <v>1</v>
      </c>
      <c r="D74">
        <v>3</v>
      </c>
      <c r="E74" t="s">
        <v>408</v>
      </c>
    </row>
    <row r="75" spans="1:6">
      <c r="A75" t="s">
        <v>2937</v>
      </c>
      <c r="B75" t="s">
        <v>1453</v>
      </c>
      <c r="C75">
        <v>1</v>
      </c>
      <c r="D75">
        <v>2</v>
      </c>
      <c r="E75" t="s">
        <v>2938</v>
      </c>
      <c r="F75" t="s">
        <v>2939</v>
      </c>
    </row>
    <row r="76" spans="1:6">
      <c r="A76" t="s">
        <v>1604</v>
      </c>
      <c r="B76" t="s">
        <v>2282</v>
      </c>
      <c r="C76">
        <v>1</v>
      </c>
      <c r="D76">
        <v>1</v>
      </c>
      <c r="E76" t="s">
        <v>577</v>
      </c>
      <c r="F76" t="s">
        <v>2825</v>
      </c>
    </row>
    <row r="77" spans="1:6">
      <c r="A77" t="s">
        <v>1716</v>
      </c>
      <c r="B77" t="s">
        <v>2282</v>
      </c>
      <c r="C77">
        <v>1</v>
      </c>
      <c r="D77">
        <v>5</v>
      </c>
      <c r="E77" t="s">
        <v>1002</v>
      </c>
      <c r="F77" t="s">
        <v>2940</v>
      </c>
    </row>
    <row r="78" spans="1:6">
      <c r="A78" t="s">
        <v>1592</v>
      </c>
      <c r="B78" t="s">
        <v>1444</v>
      </c>
      <c r="C78">
        <v>1</v>
      </c>
      <c r="D78">
        <v>4</v>
      </c>
      <c r="E78" t="s">
        <v>516</v>
      </c>
    </row>
    <row r="79" spans="1:6">
      <c r="A79" t="s">
        <v>2941</v>
      </c>
      <c r="B79" t="s">
        <v>2282</v>
      </c>
      <c r="C79">
        <v>1</v>
      </c>
      <c r="D79">
        <v>5</v>
      </c>
      <c r="E79" t="s">
        <v>2942</v>
      </c>
      <c r="F79" t="s">
        <v>2943</v>
      </c>
    </row>
    <row r="80" spans="1:6">
      <c r="A80" t="s">
        <v>1830</v>
      </c>
      <c r="B80" t="s">
        <v>1444</v>
      </c>
      <c r="C80">
        <v>1</v>
      </c>
      <c r="D80">
        <v>1</v>
      </c>
      <c r="E80" t="s">
        <v>1340</v>
      </c>
    </row>
    <row r="81" spans="1:7">
      <c r="A81" t="s">
        <v>1674</v>
      </c>
      <c r="B81" t="s">
        <v>2282</v>
      </c>
      <c r="C81">
        <v>3</v>
      </c>
      <c r="D81">
        <v>3</v>
      </c>
      <c r="E81" t="s">
        <v>837</v>
      </c>
      <c r="F81" t="s">
        <v>2944</v>
      </c>
    </row>
    <row r="82" spans="1:7">
      <c r="A82" t="s">
        <v>2945</v>
      </c>
      <c r="B82" t="s">
        <v>2282</v>
      </c>
      <c r="C82">
        <v>1</v>
      </c>
      <c r="D82">
        <v>1</v>
      </c>
      <c r="E82" t="s">
        <v>2946</v>
      </c>
      <c r="F82" t="s">
        <v>2947</v>
      </c>
    </row>
    <row r="83" spans="1:7">
      <c r="A83" t="s">
        <v>1807</v>
      </c>
      <c r="B83" t="s">
        <v>2282</v>
      </c>
      <c r="C83">
        <v>2</v>
      </c>
      <c r="D83">
        <v>2</v>
      </c>
      <c r="E83" t="s">
        <v>1291</v>
      </c>
      <c r="F83" t="s">
        <v>2948</v>
      </c>
    </row>
    <row r="84" spans="1:7">
      <c r="A84" t="s">
        <v>2949</v>
      </c>
      <c r="B84" t="s">
        <v>1444</v>
      </c>
      <c r="C84">
        <v>1</v>
      </c>
      <c r="D84">
        <v>5</v>
      </c>
      <c r="E84" t="s">
        <v>2950</v>
      </c>
    </row>
    <row r="85" spans="1:7">
      <c r="A85" t="s">
        <v>2951</v>
      </c>
      <c r="B85" t="s">
        <v>2282</v>
      </c>
      <c r="C85">
        <v>1</v>
      </c>
      <c r="D85">
        <v>1</v>
      </c>
      <c r="E85" t="s">
        <v>2952</v>
      </c>
      <c r="F85" t="s">
        <v>2953</v>
      </c>
    </row>
    <row r="86" spans="1:7">
      <c r="A86" t="s">
        <v>1714</v>
      </c>
      <c r="B86" t="s">
        <v>2282</v>
      </c>
      <c r="C86">
        <v>1</v>
      </c>
      <c r="D86">
        <v>5</v>
      </c>
      <c r="E86" t="s">
        <v>1003</v>
      </c>
      <c r="F86" t="s">
        <v>2954</v>
      </c>
      <c r="G86" t="s">
        <v>2955</v>
      </c>
    </row>
    <row r="87" spans="1:7">
      <c r="A87" t="s">
        <v>2956</v>
      </c>
      <c r="B87" t="s">
        <v>2282</v>
      </c>
      <c r="C87">
        <v>1</v>
      </c>
      <c r="D87">
        <v>1</v>
      </c>
      <c r="E87" t="s">
        <v>2957</v>
      </c>
      <c r="F87" t="s">
        <v>491</v>
      </c>
    </row>
    <row r="88" spans="1:7">
      <c r="A88" t="s">
        <v>2958</v>
      </c>
      <c r="B88" t="s">
        <v>1444</v>
      </c>
      <c r="C88">
        <v>1</v>
      </c>
      <c r="D88">
        <v>1</v>
      </c>
      <c r="E88" t="s">
        <v>2959</v>
      </c>
    </row>
    <row r="89" spans="1:7">
      <c r="A89" t="s">
        <v>1756</v>
      </c>
      <c r="B89" t="s">
        <v>1459</v>
      </c>
      <c r="C89">
        <v>2</v>
      </c>
      <c r="D89">
        <v>3</v>
      </c>
      <c r="E89" t="s">
        <v>1084</v>
      </c>
      <c r="F89" t="s">
        <v>2960</v>
      </c>
    </row>
    <row r="90" spans="1:7">
      <c r="A90" t="s">
        <v>1697</v>
      </c>
      <c r="B90" t="s">
        <v>2282</v>
      </c>
      <c r="C90">
        <v>2</v>
      </c>
      <c r="D90">
        <v>2</v>
      </c>
      <c r="E90" s="9" t="s">
        <v>924</v>
      </c>
      <c r="F90" t="s">
        <v>2845</v>
      </c>
    </row>
    <row r="91" spans="1:7">
      <c r="A91" t="s">
        <v>2961</v>
      </c>
      <c r="B91" t="s">
        <v>2282</v>
      </c>
      <c r="C91">
        <v>1</v>
      </c>
      <c r="D91">
        <v>1</v>
      </c>
      <c r="E91" t="s">
        <v>2962</v>
      </c>
      <c r="F91" t="s">
        <v>2963</v>
      </c>
    </row>
    <row r="92" spans="1:7">
      <c r="A92" t="s">
        <v>2964</v>
      </c>
      <c r="B92" t="s">
        <v>2282</v>
      </c>
      <c r="C92">
        <v>1</v>
      </c>
      <c r="D92">
        <v>5</v>
      </c>
      <c r="E92" t="s">
        <v>2965</v>
      </c>
      <c r="F92" t="s">
        <v>2954</v>
      </c>
      <c r="G92" t="s">
        <v>2955</v>
      </c>
    </row>
    <row r="93" spans="1:7">
      <c r="A93" t="s">
        <v>2966</v>
      </c>
      <c r="B93" t="s">
        <v>1453</v>
      </c>
      <c r="C93">
        <v>2</v>
      </c>
      <c r="D93">
        <v>2</v>
      </c>
      <c r="E93" t="s">
        <v>2967</v>
      </c>
      <c r="F93" t="s">
        <v>2968</v>
      </c>
    </row>
    <row r="94" spans="1:7">
      <c r="A94" t="s">
        <v>1822</v>
      </c>
      <c r="B94" t="s">
        <v>1459</v>
      </c>
      <c r="C94">
        <v>1</v>
      </c>
      <c r="D94">
        <v>1</v>
      </c>
      <c r="E94" t="s">
        <v>1322</v>
      </c>
      <c r="F94" t="s">
        <v>2969</v>
      </c>
    </row>
    <row r="95" spans="1:7">
      <c r="A95" t="s">
        <v>1610</v>
      </c>
      <c r="B95" t="s">
        <v>1453</v>
      </c>
      <c r="C95">
        <v>1</v>
      </c>
      <c r="D95">
        <v>1</v>
      </c>
      <c r="E95" t="s">
        <v>623</v>
      </c>
      <c r="F95" t="s">
        <v>2970</v>
      </c>
    </row>
    <row r="96" spans="1:7">
      <c r="A96" t="s">
        <v>2971</v>
      </c>
      <c r="B96" t="s">
        <v>1453</v>
      </c>
      <c r="C96">
        <v>1</v>
      </c>
      <c r="D96">
        <v>1</v>
      </c>
      <c r="E96" t="s">
        <v>2972</v>
      </c>
      <c r="F96" t="s">
        <v>2973</v>
      </c>
    </row>
    <row r="97" spans="1:6">
      <c r="A97" t="s">
        <v>2146</v>
      </c>
      <c r="B97" t="s">
        <v>2282</v>
      </c>
      <c r="C97">
        <v>1</v>
      </c>
      <c r="D97">
        <v>5</v>
      </c>
      <c r="E97" t="s">
        <v>2974</v>
      </c>
      <c r="F97" t="s">
        <v>2975</v>
      </c>
    </row>
    <row r="98" spans="1:6">
      <c r="A98" t="s">
        <v>1569</v>
      </c>
      <c r="B98" t="s">
        <v>2282</v>
      </c>
      <c r="C98">
        <v>1</v>
      </c>
      <c r="D98">
        <v>1</v>
      </c>
      <c r="E98" t="s">
        <v>517</v>
      </c>
      <c r="F98" t="s">
        <v>2976</v>
      </c>
    </row>
    <row r="99" spans="1:6">
      <c r="A99" t="s">
        <v>2977</v>
      </c>
      <c r="B99" t="s">
        <v>2282</v>
      </c>
      <c r="C99">
        <v>3</v>
      </c>
      <c r="D99">
        <v>3</v>
      </c>
      <c r="E99" t="s">
        <v>2978</v>
      </c>
      <c r="F99" t="s">
        <v>2979</v>
      </c>
    </row>
    <row r="100" spans="1:6">
      <c r="A100" t="s">
        <v>2980</v>
      </c>
      <c r="B100" t="s">
        <v>1453</v>
      </c>
      <c r="C100">
        <v>1</v>
      </c>
      <c r="D100">
        <v>2</v>
      </c>
      <c r="E100" t="s">
        <v>2981</v>
      </c>
      <c r="F100" t="s">
        <v>2982</v>
      </c>
    </row>
    <row r="101" spans="1:6">
      <c r="A101" t="s">
        <v>2983</v>
      </c>
      <c r="B101" t="s">
        <v>1453</v>
      </c>
      <c r="C101">
        <v>2</v>
      </c>
      <c r="D101">
        <v>2</v>
      </c>
      <c r="E101" t="s">
        <v>2984</v>
      </c>
      <c r="F101" t="s">
        <v>2985</v>
      </c>
    </row>
    <row r="102" spans="1:6">
      <c r="A102" t="s">
        <v>2986</v>
      </c>
      <c r="B102" t="s">
        <v>1459</v>
      </c>
      <c r="C102">
        <v>2</v>
      </c>
      <c r="D102">
        <v>2</v>
      </c>
      <c r="E102" t="s">
        <v>2987</v>
      </c>
      <c r="F102" t="s">
        <v>2862</v>
      </c>
    </row>
    <row r="103" spans="1:6">
      <c r="A103" t="s">
        <v>2988</v>
      </c>
      <c r="B103" t="s">
        <v>2282</v>
      </c>
      <c r="C103">
        <v>2</v>
      </c>
      <c r="D103">
        <v>2</v>
      </c>
      <c r="E103" t="s">
        <v>2989</v>
      </c>
      <c r="F103" t="s">
        <v>2990</v>
      </c>
    </row>
    <row r="104" spans="1:6">
      <c r="A104" t="s">
        <v>2991</v>
      </c>
      <c r="B104" t="s">
        <v>2282</v>
      </c>
      <c r="C104">
        <v>4</v>
      </c>
      <c r="D104">
        <v>4</v>
      </c>
      <c r="E104" t="s">
        <v>2992</v>
      </c>
      <c r="F104" t="s">
        <v>2993</v>
      </c>
    </row>
    <row r="105" spans="1:6">
      <c r="A105" t="s">
        <v>1767</v>
      </c>
      <c r="B105" t="s">
        <v>2282</v>
      </c>
      <c r="C105">
        <v>1</v>
      </c>
      <c r="D105">
        <v>1</v>
      </c>
      <c r="E105" t="s">
        <v>1130</v>
      </c>
      <c r="F105" t="s">
        <v>2916</v>
      </c>
    </row>
    <row r="106" spans="1:6">
      <c r="A106" t="s">
        <v>2994</v>
      </c>
      <c r="B106" t="s">
        <v>2282</v>
      </c>
      <c r="C106">
        <v>3</v>
      </c>
      <c r="D106">
        <v>3</v>
      </c>
      <c r="E106" t="s">
        <v>2995</v>
      </c>
      <c r="F106" t="s">
        <v>2996</v>
      </c>
    </row>
    <row r="107" spans="1:6">
      <c r="A107" t="s">
        <v>1681</v>
      </c>
      <c r="B107" t="s">
        <v>2282</v>
      </c>
      <c r="C107">
        <v>1</v>
      </c>
      <c r="D107">
        <v>5</v>
      </c>
      <c r="E107" t="s">
        <v>862</v>
      </c>
      <c r="F107" t="s">
        <v>2997</v>
      </c>
    </row>
    <row r="108" spans="1:6">
      <c r="A108" t="s">
        <v>1158</v>
      </c>
      <c r="B108" t="s">
        <v>1459</v>
      </c>
      <c r="C108">
        <v>1</v>
      </c>
      <c r="D108">
        <v>2</v>
      </c>
      <c r="E108" t="s">
        <v>1149</v>
      </c>
    </row>
    <row r="109" spans="1:6">
      <c r="A109" t="s">
        <v>1636</v>
      </c>
      <c r="B109" t="s">
        <v>1459</v>
      </c>
      <c r="C109">
        <v>1</v>
      </c>
      <c r="D109">
        <v>5</v>
      </c>
      <c r="E109" t="s">
        <v>2998</v>
      </c>
      <c r="F109" t="s">
        <v>2999</v>
      </c>
    </row>
    <row r="110" spans="1:6">
      <c r="A110" t="s">
        <v>3000</v>
      </c>
      <c r="B110" t="s">
        <v>1453</v>
      </c>
      <c r="C110">
        <v>1</v>
      </c>
      <c r="D110">
        <v>1</v>
      </c>
      <c r="E110" t="s">
        <v>3001</v>
      </c>
      <c r="F110" t="s">
        <v>3002</v>
      </c>
    </row>
    <row r="111" spans="1:6">
      <c r="A111" t="s">
        <v>1685</v>
      </c>
      <c r="B111" t="s">
        <v>2282</v>
      </c>
      <c r="C111">
        <v>2</v>
      </c>
      <c r="D111">
        <v>2</v>
      </c>
      <c r="E111" t="s">
        <v>891</v>
      </c>
      <c r="F111" t="s">
        <v>3003</v>
      </c>
    </row>
    <row r="112" spans="1:6">
      <c r="A112" t="s">
        <v>3004</v>
      </c>
      <c r="B112" t="s">
        <v>1459</v>
      </c>
      <c r="C112">
        <v>2</v>
      </c>
      <c r="D112">
        <v>2</v>
      </c>
      <c r="E112" t="s">
        <v>3005</v>
      </c>
    </row>
    <row r="113" spans="1:7">
      <c r="A113" t="s">
        <v>1589</v>
      </c>
      <c r="B113" t="s">
        <v>1459</v>
      </c>
      <c r="C113">
        <v>1</v>
      </c>
      <c r="D113">
        <v>1</v>
      </c>
      <c r="E113" t="s">
        <v>518</v>
      </c>
      <c r="F113" t="s">
        <v>3006</v>
      </c>
    </row>
    <row r="114" spans="1:7">
      <c r="A114" t="s">
        <v>3007</v>
      </c>
      <c r="B114" t="s">
        <v>1459</v>
      </c>
      <c r="C114">
        <v>1</v>
      </c>
      <c r="D114">
        <v>1</v>
      </c>
      <c r="E114" t="s">
        <v>3008</v>
      </c>
      <c r="F114" t="s">
        <v>3009</v>
      </c>
    </row>
    <row r="115" spans="1:7">
      <c r="A115" t="s">
        <v>3010</v>
      </c>
      <c r="B115" t="s">
        <v>2282</v>
      </c>
      <c r="C115">
        <v>1</v>
      </c>
      <c r="D115">
        <v>3</v>
      </c>
      <c r="E115" t="s">
        <v>3011</v>
      </c>
      <c r="F115" t="s">
        <v>3012</v>
      </c>
    </row>
    <row r="116" spans="1:7">
      <c r="A116" t="s">
        <v>1715</v>
      </c>
      <c r="B116" t="s">
        <v>2282</v>
      </c>
      <c r="C116">
        <v>1</v>
      </c>
      <c r="D116">
        <v>1</v>
      </c>
      <c r="E116" t="s">
        <v>1004</v>
      </c>
      <c r="F116" t="s">
        <v>2822</v>
      </c>
    </row>
    <row r="117" spans="1:7">
      <c r="A117" t="s">
        <v>1584</v>
      </c>
      <c r="B117" t="s">
        <v>1444</v>
      </c>
      <c r="C117">
        <v>1</v>
      </c>
      <c r="D117">
        <v>1</v>
      </c>
      <c r="E117" t="s">
        <v>464</v>
      </c>
      <c r="F117" t="s">
        <v>2916</v>
      </c>
    </row>
    <row r="118" spans="1:7">
      <c r="A118" t="s">
        <v>2223</v>
      </c>
      <c r="B118" t="s">
        <v>1453</v>
      </c>
      <c r="C118">
        <v>1</v>
      </c>
      <c r="D118">
        <v>1</v>
      </c>
      <c r="E118" t="s">
        <v>3013</v>
      </c>
      <c r="F118" t="s">
        <v>3014</v>
      </c>
    </row>
    <row r="119" spans="1:7">
      <c r="A119" t="s">
        <v>2224</v>
      </c>
      <c r="B119" t="s">
        <v>2282</v>
      </c>
      <c r="C119">
        <v>1</v>
      </c>
      <c r="D119">
        <v>5</v>
      </c>
      <c r="E119" t="s">
        <v>3015</v>
      </c>
    </row>
    <row r="120" spans="1:7">
      <c r="A120" t="s">
        <v>1742</v>
      </c>
      <c r="B120" t="s">
        <v>1444</v>
      </c>
      <c r="C120">
        <v>1</v>
      </c>
      <c r="D120">
        <v>3</v>
      </c>
      <c r="E120" t="s">
        <v>1052</v>
      </c>
      <c r="F120" t="s">
        <v>3016</v>
      </c>
    </row>
    <row r="121" spans="1:7">
      <c r="A121" t="s">
        <v>2225</v>
      </c>
      <c r="B121" t="s">
        <v>2282</v>
      </c>
      <c r="C121">
        <v>1</v>
      </c>
      <c r="D121">
        <v>5</v>
      </c>
      <c r="E121" t="s">
        <v>3017</v>
      </c>
      <c r="F121" t="s">
        <v>2917</v>
      </c>
    </row>
    <row r="122" spans="1:7">
      <c r="A122" t="s">
        <v>3018</v>
      </c>
      <c r="B122" t="s">
        <v>3019</v>
      </c>
      <c r="C122">
        <v>1</v>
      </c>
      <c r="D122">
        <v>1</v>
      </c>
      <c r="E122" t="s">
        <v>3020</v>
      </c>
      <c r="F122" t="s">
        <v>3021</v>
      </c>
    </row>
    <row r="123" spans="1:7">
      <c r="A123" t="s">
        <v>2229</v>
      </c>
      <c r="B123" t="s">
        <v>2282</v>
      </c>
      <c r="C123">
        <v>1</v>
      </c>
      <c r="D123">
        <v>5</v>
      </c>
      <c r="E123" t="s">
        <v>3022</v>
      </c>
      <c r="F123" t="s">
        <v>2954</v>
      </c>
      <c r="G123" t="s">
        <v>2955</v>
      </c>
    </row>
    <row r="124" spans="1:7">
      <c r="A124" t="s">
        <v>2230</v>
      </c>
      <c r="B124" t="s">
        <v>2282</v>
      </c>
      <c r="C124">
        <v>2</v>
      </c>
      <c r="D124">
        <v>2</v>
      </c>
      <c r="E124" t="s">
        <v>3023</v>
      </c>
    </row>
    <row r="125" spans="1:7">
      <c r="A125" t="s">
        <v>2232</v>
      </c>
      <c r="B125" t="s">
        <v>2282</v>
      </c>
      <c r="C125">
        <v>1</v>
      </c>
      <c r="D125">
        <v>1</v>
      </c>
      <c r="E125" t="s">
        <v>3024</v>
      </c>
      <c r="F125" t="s">
        <v>680</v>
      </c>
    </row>
    <row r="126" spans="1:7">
      <c r="A126" t="s">
        <v>1568</v>
      </c>
      <c r="B126" t="s">
        <v>2282</v>
      </c>
      <c r="C126">
        <v>3</v>
      </c>
      <c r="D126">
        <v>3</v>
      </c>
      <c r="E126" t="s">
        <v>409</v>
      </c>
      <c r="F126" t="s">
        <v>3025</v>
      </c>
    </row>
    <row r="127" spans="1:7">
      <c r="A127" t="s">
        <v>1582</v>
      </c>
      <c r="B127" t="s">
        <v>2282</v>
      </c>
      <c r="C127">
        <v>1</v>
      </c>
      <c r="D127">
        <v>1</v>
      </c>
      <c r="E127" t="s">
        <v>465</v>
      </c>
      <c r="F127" t="s">
        <v>3026</v>
      </c>
    </row>
    <row r="128" spans="1:7">
      <c r="A128" t="s">
        <v>2236</v>
      </c>
      <c r="B128" t="s">
        <v>2282</v>
      </c>
      <c r="C128">
        <v>2</v>
      </c>
      <c r="D128">
        <v>2</v>
      </c>
      <c r="E128" t="s">
        <v>3027</v>
      </c>
      <c r="F128" t="s">
        <v>2948</v>
      </c>
    </row>
    <row r="129" spans="1:7">
      <c r="A129" t="s">
        <v>3028</v>
      </c>
      <c r="B129" t="s">
        <v>2282</v>
      </c>
      <c r="C129">
        <v>2</v>
      </c>
      <c r="D129">
        <v>2</v>
      </c>
      <c r="E129" s="9" t="s">
        <v>3029</v>
      </c>
      <c r="F129" t="s">
        <v>2503</v>
      </c>
    </row>
    <row r="131" spans="1:7">
      <c r="A131" t="s">
        <v>2811</v>
      </c>
      <c r="B131" t="s">
        <v>2812</v>
      </c>
      <c r="C131" t="s">
        <v>2813</v>
      </c>
      <c r="D131" t="s">
        <v>2814</v>
      </c>
      <c r="E131" t="s">
        <v>2284</v>
      </c>
      <c r="F131" t="s">
        <v>2315</v>
      </c>
      <c r="G131" t="s">
        <v>2815</v>
      </c>
    </row>
    <row r="132" spans="1:7">
      <c r="A132" t="s">
        <v>1847</v>
      </c>
      <c r="B132" t="s">
        <v>3030</v>
      </c>
      <c r="C132">
        <v>1</v>
      </c>
      <c r="D132">
        <v>1</v>
      </c>
      <c r="E132" t="s">
        <v>3031</v>
      </c>
      <c r="F132" t="s">
        <v>2845</v>
      </c>
    </row>
    <row r="133" spans="1:7">
      <c r="A133" t="s">
        <v>1854</v>
      </c>
      <c r="B133" t="s">
        <v>3030</v>
      </c>
      <c r="C133">
        <v>5</v>
      </c>
      <c r="D133">
        <v>5</v>
      </c>
      <c r="E133" t="s">
        <v>3032</v>
      </c>
      <c r="F133" t="s">
        <v>3033</v>
      </c>
    </row>
    <row r="134" spans="1:7">
      <c r="A134" t="s">
        <v>1862</v>
      </c>
      <c r="B134" t="s">
        <v>3030</v>
      </c>
      <c r="C134">
        <v>1</v>
      </c>
      <c r="D134">
        <v>5</v>
      </c>
      <c r="E134" t="s">
        <v>3034</v>
      </c>
      <c r="F134" t="s">
        <v>2845</v>
      </c>
    </row>
    <row r="135" spans="1:7">
      <c r="A135" t="s">
        <v>1871</v>
      </c>
      <c r="B135" t="s">
        <v>3030</v>
      </c>
      <c r="C135">
        <v>3</v>
      </c>
      <c r="D135">
        <v>3</v>
      </c>
      <c r="E135" t="s">
        <v>3035</v>
      </c>
      <c r="F135" t="s">
        <v>3036</v>
      </c>
    </row>
    <row r="136" spans="1:7">
      <c r="A136" t="s">
        <v>1879</v>
      </c>
      <c r="B136" t="s">
        <v>3030</v>
      </c>
      <c r="C136">
        <v>2</v>
      </c>
      <c r="D136">
        <v>2</v>
      </c>
      <c r="E136" t="s">
        <v>3037</v>
      </c>
      <c r="F136" t="s">
        <v>3038</v>
      </c>
    </row>
    <row r="137" spans="1:7">
      <c r="A137" t="s">
        <v>1888</v>
      </c>
      <c r="B137" t="s">
        <v>3030</v>
      </c>
      <c r="C137">
        <v>2</v>
      </c>
      <c r="D137">
        <v>2</v>
      </c>
      <c r="E137" t="s">
        <v>3039</v>
      </c>
      <c r="F137" t="s">
        <v>3040</v>
      </c>
    </row>
    <row r="138" spans="1:7">
      <c r="A138" t="s">
        <v>1895</v>
      </c>
      <c r="B138" t="s">
        <v>3030</v>
      </c>
      <c r="C138">
        <v>5</v>
      </c>
      <c r="D138">
        <v>5</v>
      </c>
      <c r="E138" t="s">
        <v>3041</v>
      </c>
      <c r="F138" t="s">
        <v>3033</v>
      </c>
    </row>
    <row r="139" spans="1:7">
      <c r="A139" t="s">
        <v>1904</v>
      </c>
      <c r="B139" t="s">
        <v>3030</v>
      </c>
      <c r="C139">
        <v>4</v>
      </c>
      <c r="D139">
        <v>4</v>
      </c>
      <c r="E139" t="s">
        <v>3042</v>
      </c>
      <c r="F139" t="s">
        <v>3036</v>
      </c>
    </row>
    <row r="140" spans="1:7">
      <c r="A140" t="s">
        <v>1913</v>
      </c>
      <c r="B140" t="s">
        <v>3030</v>
      </c>
      <c r="C140">
        <v>2</v>
      </c>
      <c r="D140">
        <v>2</v>
      </c>
      <c r="E140" t="s">
        <v>3043</v>
      </c>
      <c r="F140" t="s">
        <v>3044</v>
      </c>
    </row>
    <row r="141" spans="1:7">
      <c r="A141" t="s">
        <v>1926</v>
      </c>
      <c r="B141" t="s">
        <v>3030</v>
      </c>
      <c r="C141">
        <v>1</v>
      </c>
      <c r="D141">
        <v>1</v>
      </c>
      <c r="E141" t="s">
        <v>3045</v>
      </c>
      <c r="F141" t="s">
        <v>2845</v>
      </c>
    </row>
    <row r="142" spans="1:7">
      <c r="A142" t="s">
        <v>1785</v>
      </c>
      <c r="B142" t="s">
        <v>3030</v>
      </c>
      <c r="C142">
        <v>4</v>
      </c>
      <c r="D142">
        <v>4</v>
      </c>
      <c r="E142" t="s">
        <v>3046</v>
      </c>
      <c r="F142" t="s">
        <v>2944</v>
      </c>
    </row>
    <row r="143" spans="1:7">
      <c r="A143" t="s">
        <v>1848</v>
      </c>
      <c r="B143" t="s">
        <v>3047</v>
      </c>
      <c r="C143">
        <v>5</v>
      </c>
      <c r="D143">
        <v>5</v>
      </c>
      <c r="E143" t="s">
        <v>3048</v>
      </c>
    </row>
    <row r="144" spans="1:7">
      <c r="A144" t="s">
        <v>1855</v>
      </c>
      <c r="B144" t="s">
        <v>3047</v>
      </c>
      <c r="C144">
        <v>4</v>
      </c>
      <c r="D144">
        <v>4</v>
      </c>
      <c r="E144" t="s">
        <v>3049</v>
      </c>
    </row>
    <row r="145" spans="1:6">
      <c r="A145" t="s">
        <v>1660</v>
      </c>
      <c r="B145" t="s">
        <v>3047</v>
      </c>
      <c r="C145">
        <v>1</v>
      </c>
      <c r="D145">
        <v>1</v>
      </c>
      <c r="E145" t="s">
        <v>744</v>
      </c>
      <c r="F145" t="s">
        <v>2835</v>
      </c>
    </row>
    <row r="146" spans="1:6">
      <c r="A146" t="s">
        <v>1872</v>
      </c>
      <c r="B146" t="s">
        <v>3047</v>
      </c>
      <c r="C146">
        <v>5</v>
      </c>
      <c r="D146">
        <v>5</v>
      </c>
      <c r="E146" t="s">
        <v>3050</v>
      </c>
      <c r="F146" t="s">
        <v>3051</v>
      </c>
    </row>
    <row r="147" spans="1:6">
      <c r="A147" t="s">
        <v>1880</v>
      </c>
      <c r="B147" t="s">
        <v>3047</v>
      </c>
      <c r="C147">
        <v>1</v>
      </c>
      <c r="D147">
        <v>1</v>
      </c>
      <c r="E147" t="s">
        <v>3052</v>
      </c>
      <c r="F147" t="s">
        <v>3053</v>
      </c>
    </row>
    <row r="148" spans="1:6">
      <c r="A148" t="s">
        <v>1889</v>
      </c>
      <c r="B148" t="s">
        <v>3047</v>
      </c>
      <c r="C148">
        <v>3</v>
      </c>
      <c r="D148">
        <v>3</v>
      </c>
      <c r="E148" t="s">
        <v>3054</v>
      </c>
    </row>
    <row r="149" spans="1:6">
      <c r="A149" t="s">
        <v>1896</v>
      </c>
      <c r="B149" t="s">
        <v>3047</v>
      </c>
      <c r="C149">
        <v>2</v>
      </c>
      <c r="D149">
        <v>2</v>
      </c>
      <c r="E149" t="s">
        <v>3055</v>
      </c>
    </row>
    <row r="150" spans="1:6">
      <c r="A150" t="s">
        <v>1905</v>
      </c>
      <c r="B150" t="s">
        <v>3047</v>
      </c>
      <c r="C150">
        <v>1</v>
      </c>
      <c r="D150">
        <v>1</v>
      </c>
      <c r="E150" t="s">
        <v>3056</v>
      </c>
      <c r="F150" t="s">
        <v>3057</v>
      </c>
    </row>
    <row r="151" spans="1:6">
      <c r="A151" t="s">
        <v>1658</v>
      </c>
      <c r="B151" t="s">
        <v>3047</v>
      </c>
      <c r="C151">
        <v>2</v>
      </c>
      <c r="D151">
        <v>2</v>
      </c>
      <c r="E151" t="s">
        <v>745</v>
      </c>
      <c r="F151" t="s">
        <v>2953</v>
      </c>
    </row>
    <row r="152" spans="1:6">
      <c r="A152" t="s">
        <v>1919</v>
      </c>
      <c r="B152" t="s">
        <v>3047</v>
      </c>
      <c r="C152">
        <v>3</v>
      </c>
      <c r="D152">
        <v>3</v>
      </c>
      <c r="E152" t="s">
        <v>3058</v>
      </c>
    </row>
    <row r="153" spans="1:6">
      <c r="A153" t="s">
        <v>1927</v>
      </c>
      <c r="B153" t="s">
        <v>3047</v>
      </c>
      <c r="C153">
        <v>2</v>
      </c>
      <c r="D153">
        <v>2</v>
      </c>
      <c r="E153" t="s">
        <v>3059</v>
      </c>
    </row>
    <row r="154" spans="1:6">
      <c r="A154" t="s">
        <v>1932</v>
      </c>
      <c r="B154" t="s">
        <v>3047</v>
      </c>
      <c r="C154">
        <v>3</v>
      </c>
      <c r="D154">
        <v>3</v>
      </c>
      <c r="E154" t="s">
        <v>3060</v>
      </c>
      <c r="F154" t="s">
        <v>3061</v>
      </c>
    </row>
    <row r="155" spans="1:6">
      <c r="A155" t="s">
        <v>1659</v>
      </c>
      <c r="B155" t="s">
        <v>3047</v>
      </c>
      <c r="C155">
        <v>2</v>
      </c>
      <c r="D155">
        <v>2</v>
      </c>
      <c r="E155" t="s">
        <v>746</v>
      </c>
    </row>
    <row r="156" spans="1:6">
      <c r="A156" t="s">
        <v>1661</v>
      </c>
      <c r="B156" t="s">
        <v>3047</v>
      </c>
      <c r="C156">
        <v>4</v>
      </c>
      <c r="D156">
        <v>4</v>
      </c>
      <c r="E156" t="s">
        <v>747</v>
      </c>
      <c r="F156" t="s">
        <v>2948</v>
      </c>
    </row>
  </sheetData>
  <pageMargins left="0.7" right="0.7" top="0.75" bottom="0.75" header="0.3" footer="0.3"/>
  <pageSetup paperSize="9" orientation="portrait" horizontalDpi="0" verticalDpi="0" r:id="rId1"/>
  <tableParts count="2">
    <tablePart r:id="rId2"/>
    <tablePart r:id="rId3"/>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C8C6E-9E2A-487A-B332-BDBEEBF5D273}">
  <dimension ref="A1:I196"/>
  <sheetViews>
    <sheetView topLeftCell="A2" workbookViewId="0">
      <selection activeCell="A24" sqref="A24"/>
    </sheetView>
  </sheetViews>
  <sheetFormatPr defaultRowHeight="15"/>
  <cols>
    <col min="1" max="1" width="27" bestFit="1" customWidth="1"/>
    <col min="2" max="2" width="21.7109375" bestFit="1" customWidth="1"/>
    <col min="3" max="3" width="7.5703125" bestFit="1" customWidth="1"/>
    <col min="4" max="4" width="18.5703125" bestFit="1" customWidth="1"/>
    <col min="5" max="5" width="17.42578125" bestFit="1" customWidth="1"/>
    <col min="6" max="6" width="16.42578125" bestFit="1" customWidth="1"/>
    <col min="7" max="7" width="15" bestFit="1" customWidth="1"/>
    <col min="8" max="8" width="81.5703125" bestFit="1" customWidth="1"/>
    <col min="9" max="9" width="171.28515625" bestFit="1" customWidth="1"/>
  </cols>
  <sheetData>
    <row r="1" spans="1:9">
      <c r="A1" t="s">
        <v>3062</v>
      </c>
      <c r="B1" t="s">
        <v>3063</v>
      </c>
      <c r="C1" t="s">
        <v>2257</v>
      </c>
      <c r="D1" t="s">
        <v>3064</v>
      </c>
      <c r="E1" t="s">
        <v>3065</v>
      </c>
      <c r="F1" t="s">
        <v>3066</v>
      </c>
      <c r="G1" t="s">
        <v>3067</v>
      </c>
      <c r="H1" t="s">
        <v>3068</v>
      </c>
      <c r="I1" t="s">
        <v>1421</v>
      </c>
    </row>
    <row r="2" spans="1:9">
      <c r="A2" t="s">
        <v>1834</v>
      </c>
      <c r="B2" t="s">
        <v>3069</v>
      </c>
      <c r="C2">
        <v>1</v>
      </c>
      <c r="D2" t="s">
        <v>3070</v>
      </c>
      <c r="E2" t="s">
        <v>3071</v>
      </c>
      <c r="H2" t="s">
        <v>3072</v>
      </c>
      <c r="I2" t="s">
        <v>3073</v>
      </c>
    </row>
    <row r="3" spans="1:9">
      <c r="A3" t="s">
        <v>1842</v>
      </c>
      <c r="B3" t="s">
        <v>3069</v>
      </c>
      <c r="C3">
        <v>2</v>
      </c>
      <c r="D3" t="s">
        <v>3070</v>
      </c>
      <c r="E3" t="s">
        <v>3071</v>
      </c>
      <c r="H3" t="s">
        <v>3072</v>
      </c>
      <c r="I3" t="s">
        <v>3074</v>
      </c>
    </row>
    <row r="4" spans="1:9">
      <c r="A4" t="s">
        <v>1843</v>
      </c>
      <c r="B4" t="s">
        <v>3069</v>
      </c>
      <c r="C4">
        <v>3</v>
      </c>
      <c r="D4" t="s">
        <v>3070</v>
      </c>
      <c r="E4" t="s">
        <v>3071</v>
      </c>
      <c r="H4" t="s">
        <v>3072</v>
      </c>
      <c r="I4" t="s">
        <v>3075</v>
      </c>
    </row>
    <row r="5" spans="1:9">
      <c r="A5" t="s">
        <v>1858</v>
      </c>
      <c r="B5" t="s">
        <v>3069</v>
      </c>
      <c r="C5">
        <v>4</v>
      </c>
      <c r="D5" t="s">
        <v>3070</v>
      </c>
      <c r="E5" t="s">
        <v>3071</v>
      </c>
      <c r="H5" t="s">
        <v>3072</v>
      </c>
      <c r="I5" t="s">
        <v>3076</v>
      </c>
    </row>
    <row r="6" spans="1:9">
      <c r="A6" t="s">
        <v>1866</v>
      </c>
      <c r="B6" t="s">
        <v>3069</v>
      </c>
      <c r="C6">
        <v>5</v>
      </c>
      <c r="D6" t="s">
        <v>3070</v>
      </c>
      <c r="E6" t="s">
        <v>3071</v>
      </c>
      <c r="H6" t="s">
        <v>3072</v>
      </c>
      <c r="I6" t="s">
        <v>3077</v>
      </c>
    </row>
    <row r="7" spans="1:9">
      <c r="A7" t="s">
        <v>1876</v>
      </c>
      <c r="B7" t="s">
        <v>3078</v>
      </c>
      <c r="C7">
        <v>1</v>
      </c>
      <c r="D7" t="s">
        <v>3079</v>
      </c>
      <c r="H7" t="s">
        <v>3080</v>
      </c>
      <c r="I7" t="s">
        <v>3081</v>
      </c>
    </row>
    <row r="8" spans="1:9">
      <c r="A8" t="s">
        <v>1884</v>
      </c>
      <c r="B8" t="s">
        <v>3078</v>
      </c>
      <c r="C8">
        <v>2</v>
      </c>
      <c r="D8" t="s">
        <v>3079</v>
      </c>
      <c r="H8" t="s">
        <v>3080</v>
      </c>
      <c r="I8" t="s">
        <v>3082</v>
      </c>
    </row>
    <row r="9" spans="1:9">
      <c r="A9" t="s">
        <v>1892</v>
      </c>
      <c r="B9" t="s">
        <v>3078</v>
      </c>
      <c r="C9">
        <v>3</v>
      </c>
      <c r="D9" t="s">
        <v>3079</v>
      </c>
      <c r="H9" t="s">
        <v>3080</v>
      </c>
      <c r="I9" t="s">
        <v>3083</v>
      </c>
    </row>
    <row r="10" spans="1:9">
      <c r="A10" t="s">
        <v>1899</v>
      </c>
      <c r="B10" t="s">
        <v>3078</v>
      </c>
      <c r="C10">
        <v>4</v>
      </c>
      <c r="D10" t="s">
        <v>3079</v>
      </c>
      <c r="H10" t="s">
        <v>3080</v>
      </c>
      <c r="I10" t="s">
        <v>3084</v>
      </c>
    </row>
    <row r="11" spans="1:9">
      <c r="A11" t="s">
        <v>1908</v>
      </c>
      <c r="B11" t="s">
        <v>3085</v>
      </c>
      <c r="C11">
        <v>1</v>
      </c>
      <c r="D11" t="s">
        <v>3086</v>
      </c>
      <c r="H11" t="s">
        <v>3087</v>
      </c>
      <c r="I11" t="s">
        <v>3088</v>
      </c>
    </row>
    <row r="12" spans="1:9">
      <c r="A12" t="s">
        <v>1915</v>
      </c>
      <c r="B12" t="s">
        <v>3085</v>
      </c>
      <c r="C12">
        <v>2</v>
      </c>
      <c r="D12" t="s">
        <v>3086</v>
      </c>
      <c r="H12" t="s">
        <v>3087</v>
      </c>
      <c r="I12" t="s">
        <v>3089</v>
      </c>
    </row>
    <row r="13" spans="1:9">
      <c r="A13" t="s">
        <v>1922</v>
      </c>
      <c r="B13" t="s">
        <v>3085</v>
      </c>
      <c r="C13">
        <v>3</v>
      </c>
      <c r="D13" t="s">
        <v>3086</v>
      </c>
      <c r="H13" t="s">
        <v>3087</v>
      </c>
      <c r="I13" t="s">
        <v>3090</v>
      </c>
    </row>
    <row r="14" spans="1:9">
      <c r="A14" t="s">
        <v>1877</v>
      </c>
      <c r="B14" t="s">
        <v>3091</v>
      </c>
      <c r="C14">
        <v>1</v>
      </c>
      <c r="D14" t="s">
        <v>1075</v>
      </c>
      <c r="H14" t="s">
        <v>3092</v>
      </c>
      <c r="I14" t="s">
        <v>3093</v>
      </c>
    </row>
    <row r="15" spans="1:9">
      <c r="A15" t="s">
        <v>1935</v>
      </c>
      <c r="B15" t="s">
        <v>3091</v>
      </c>
      <c r="C15">
        <v>2</v>
      </c>
      <c r="D15" t="s">
        <v>1075</v>
      </c>
      <c r="H15" t="s">
        <v>3092</v>
      </c>
      <c r="I15" t="s">
        <v>3094</v>
      </c>
    </row>
    <row r="16" spans="1:9">
      <c r="A16" t="s">
        <v>1943</v>
      </c>
      <c r="B16" t="s">
        <v>3091</v>
      </c>
      <c r="C16">
        <v>3</v>
      </c>
      <c r="D16" t="s">
        <v>1075</v>
      </c>
      <c r="H16" t="s">
        <v>3092</v>
      </c>
      <c r="I16" t="s">
        <v>3095</v>
      </c>
    </row>
    <row r="17" spans="1:9">
      <c r="A17" t="s">
        <v>1948</v>
      </c>
      <c r="B17" t="s">
        <v>3091</v>
      </c>
      <c r="C17">
        <v>4</v>
      </c>
      <c r="D17" t="s">
        <v>1075</v>
      </c>
      <c r="H17" t="s">
        <v>3092</v>
      </c>
      <c r="I17" t="s">
        <v>3096</v>
      </c>
    </row>
    <row r="18" spans="1:9">
      <c r="A18" t="s">
        <v>1955</v>
      </c>
      <c r="B18" t="s">
        <v>3097</v>
      </c>
      <c r="C18">
        <v>1</v>
      </c>
      <c r="D18" t="s">
        <v>3098</v>
      </c>
      <c r="H18" t="s">
        <v>3099</v>
      </c>
      <c r="I18" t="s">
        <v>3100</v>
      </c>
    </row>
    <row r="19" spans="1:9">
      <c r="A19" t="s">
        <v>1959</v>
      </c>
      <c r="B19" t="s">
        <v>3097</v>
      </c>
      <c r="C19">
        <v>2</v>
      </c>
      <c r="D19" t="s">
        <v>3098</v>
      </c>
      <c r="H19" t="s">
        <v>3099</v>
      </c>
      <c r="I19" t="s">
        <v>3101</v>
      </c>
    </row>
    <row r="20" spans="1:9">
      <c r="A20" t="s">
        <v>1961</v>
      </c>
      <c r="B20" t="s">
        <v>3097</v>
      </c>
      <c r="C20">
        <v>3</v>
      </c>
      <c r="D20" t="s">
        <v>3098</v>
      </c>
      <c r="H20" t="s">
        <v>3099</v>
      </c>
      <c r="I20" t="s">
        <v>3102</v>
      </c>
    </row>
    <row r="21" spans="1:9">
      <c r="A21" t="s">
        <v>1966</v>
      </c>
      <c r="B21" t="s">
        <v>3097</v>
      </c>
      <c r="C21">
        <v>4</v>
      </c>
      <c r="D21" t="s">
        <v>3098</v>
      </c>
      <c r="H21" t="s">
        <v>3099</v>
      </c>
      <c r="I21" t="s">
        <v>3103</v>
      </c>
    </row>
    <row r="22" spans="1:9">
      <c r="A22" t="s">
        <v>1968</v>
      </c>
      <c r="B22" t="s">
        <v>3097</v>
      </c>
      <c r="C22">
        <v>5</v>
      </c>
      <c r="D22" t="s">
        <v>3098</v>
      </c>
      <c r="H22" t="s">
        <v>3099</v>
      </c>
      <c r="I22" t="s">
        <v>3104</v>
      </c>
    </row>
    <row r="23" spans="1:9">
      <c r="A23" t="s">
        <v>1744</v>
      </c>
      <c r="B23" t="s">
        <v>3105</v>
      </c>
      <c r="C23">
        <v>1</v>
      </c>
      <c r="D23" t="s">
        <v>1459</v>
      </c>
      <c r="H23" t="s">
        <v>3106</v>
      </c>
      <c r="I23" t="s">
        <v>1053</v>
      </c>
    </row>
    <row r="24" spans="1:9">
      <c r="A24" t="s">
        <v>1745</v>
      </c>
      <c r="B24" t="s">
        <v>3105</v>
      </c>
      <c r="C24">
        <v>2</v>
      </c>
      <c r="D24" t="s">
        <v>1459</v>
      </c>
      <c r="H24" t="s">
        <v>3106</v>
      </c>
      <c r="I24" t="s">
        <v>1054</v>
      </c>
    </row>
    <row r="25" spans="1:9">
      <c r="A25" t="s">
        <v>1746</v>
      </c>
      <c r="B25" t="s">
        <v>3105</v>
      </c>
      <c r="C25">
        <v>3</v>
      </c>
      <c r="D25" t="s">
        <v>1459</v>
      </c>
      <c r="H25" t="s">
        <v>3106</v>
      </c>
      <c r="I25" t="s">
        <v>3107</v>
      </c>
    </row>
    <row r="26" spans="1:9">
      <c r="A26" t="s">
        <v>1983</v>
      </c>
      <c r="B26" t="s">
        <v>3108</v>
      </c>
      <c r="C26">
        <v>1</v>
      </c>
      <c r="D26" t="s">
        <v>3109</v>
      </c>
      <c r="H26" t="s">
        <v>3110</v>
      </c>
      <c r="I26" t="s">
        <v>3111</v>
      </c>
    </row>
    <row r="27" spans="1:9">
      <c r="A27" t="s">
        <v>1944</v>
      </c>
      <c r="B27" t="s">
        <v>3108</v>
      </c>
      <c r="C27">
        <v>2</v>
      </c>
      <c r="D27" t="s">
        <v>3109</v>
      </c>
      <c r="H27" t="s">
        <v>3110</v>
      </c>
      <c r="I27" t="s">
        <v>3112</v>
      </c>
    </row>
    <row r="28" spans="1:9">
      <c r="A28" t="s">
        <v>1990</v>
      </c>
      <c r="B28" t="s">
        <v>3113</v>
      </c>
      <c r="C28">
        <v>1</v>
      </c>
      <c r="D28" t="s">
        <v>3114</v>
      </c>
      <c r="E28" t="s">
        <v>3115</v>
      </c>
      <c r="H28" t="s">
        <v>3116</v>
      </c>
      <c r="I28" t="s">
        <v>3117</v>
      </c>
    </row>
    <row r="29" spans="1:9">
      <c r="A29" t="s">
        <v>1993</v>
      </c>
      <c r="B29" t="s">
        <v>3113</v>
      </c>
      <c r="C29">
        <v>2</v>
      </c>
      <c r="D29" t="s">
        <v>3114</v>
      </c>
      <c r="E29" t="s">
        <v>3115</v>
      </c>
      <c r="H29" t="s">
        <v>3116</v>
      </c>
      <c r="I29" t="s">
        <v>3118</v>
      </c>
    </row>
    <row r="30" spans="1:9">
      <c r="A30" t="s">
        <v>1885</v>
      </c>
      <c r="B30" t="s">
        <v>3113</v>
      </c>
      <c r="C30">
        <v>3</v>
      </c>
      <c r="D30" t="s">
        <v>3114</v>
      </c>
      <c r="E30" t="s">
        <v>3115</v>
      </c>
      <c r="H30" t="s">
        <v>3116</v>
      </c>
      <c r="I30" t="s">
        <v>3119</v>
      </c>
    </row>
    <row r="31" spans="1:9">
      <c r="A31" t="s">
        <v>2000</v>
      </c>
      <c r="B31" t="s">
        <v>3113</v>
      </c>
      <c r="C31">
        <v>4</v>
      </c>
      <c r="D31" t="s">
        <v>3114</v>
      </c>
      <c r="E31" t="s">
        <v>3115</v>
      </c>
      <c r="H31" t="s">
        <v>3116</v>
      </c>
      <c r="I31" t="s">
        <v>3120</v>
      </c>
    </row>
    <row r="32" spans="1:9">
      <c r="A32" t="s">
        <v>2003</v>
      </c>
      <c r="B32" t="s">
        <v>3113</v>
      </c>
      <c r="C32">
        <v>5</v>
      </c>
      <c r="D32" t="s">
        <v>3114</v>
      </c>
      <c r="E32" t="s">
        <v>3115</v>
      </c>
      <c r="H32" t="s">
        <v>3116</v>
      </c>
      <c r="I32" t="s">
        <v>3121</v>
      </c>
    </row>
    <row r="33" spans="1:9">
      <c r="A33" t="s">
        <v>1612</v>
      </c>
      <c r="B33" t="s">
        <v>3122</v>
      </c>
      <c r="C33">
        <v>1</v>
      </c>
      <c r="D33" t="s">
        <v>1075</v>
      </c>
      <c r="H33" t="s">
        <v>3123</v>
      </c>
      <c r="I33" t="s">
        <v>624</v>
      </c>
    </row>
    <row r="34" spans="1:9">
      <c r="A34" t="s">
        <v>1613</v>
      </c>
      <c r="B34" t="s">
        <v>3122</v>
      </c>
      <c r="C34">
        <v>2</v>
      </c>
      <c r="D34" t="s">
        <v>1075</v>
      </c>
      <c r="H34" t="s">
        <v>3123</v>
      </c>
      <c r="I34" t="s">
        <v>625</v>
      </c>
    </row>
    <row r="35" spans="1:9">
      <c r="A35" t="s">
        <v>1614</v>
      </c>
      <c r="B35" t="s">
        <v>3122</v>
      </c>
      <c r="C35">
        <v>3</v>
      </c>
      <c r="D35" t="s">
        <v>1075</v>
      </c>
      <c r="H35" t="s">
        <v>3123</v>
      </c>
      <c r="I35" t="s">
        <v>626</v>
      </c>
    </row>
    <row r="36" spans="1:9">
      <c r="A36" t="s">
        <v>1615</v>
      </c>
      <c r="B36" t="s">
        <v>3122</v>
      </c>
      <c r="C36">
        <v>4</v>
      </c>
      <c r="D36" t="s">
        <v>1075</v>
      </c>
      <c r="H36" t="s">
        <v>3123</v>
      </c>
      <c r="I36" t="s">
        <v>627</v>
      </c>
    </row>
    <row r="37" spans="1:9">
      <c r="A37" t="s">
        <v>1616</v>
      </c>
      <c r="B37" t="s">
        <v>3122</v>
      </c>
      <c r="C37">
        <v>5</v>
      </c>
      <c r="D37" t="s">
        <v>1075</v>
      </c>
      <c r="H37" t="s">
        <v>3123</v>
      </c>
      <c r="I37" t="s">
        <v>628</v>
      </c>
    </row>
    <row r="38" spans="1:9">
      <c r="A38" t="s">
        <v>1640</v>
      </c>
      <c r="B38" t="s">
        <v>3124</v>
      </c>
      <c r="C38">
        <v>1</v>
      </c>
      <c r="D38" t="s">
        <v>3071</v>
      </c>
      <c r="E38" t="s">
        <v>1459</v>
      </c>
      <c r="H38" t="s">
        <v>3125</v>
      </c>
      <c r="I38" t="s">
        <v>719</v>
      </c>
    </row>
    <row r="39" spans="1:9">
      <c r="A39" t="s">
        <v>2026</v>
      </c>
      <c r="B39" t="s">
        <v>3124</v>
      </c>
      <c r="C39">
        <v>2</v>
      </c>
      <c r="D39" t="s">
        <v>3071</v>
      </c>
      <c r="E39" t="s">
        <v>1459</v>
      </c>
      <c r="H39" t="s">
        <v>3125</v>
      </c>
      <c r="I39" t="s">
        <v>3126</v>
      </c>
    </row>
    <row r="40" spans="1:9">
      <c r="A40" t="s">
        <v>1641</v>
      </c>
      <c r="B40" t="s">
        <v>3124</v>
      </c>
      <c r="C40">
        <v>3</v>
      </c>
      <c r="D40" t="s">
        <v>3071</v>
      </c>
      <c r="E40" t="s">
        <v>1459</v>
      </c>
      <c r="H40" t="s">
        <v>3125</v>
      </c>
      <c r="I40" t="s">
        <v>720</v>
      </c>
    </row>
    <row r="41" spans="1:9">
      <c r="A41" t="s">
        <v>1768</v>
      </c>
      <c r="B41" t="s">
        <v>3127</v>
      </c>
      <c r="C41">
        <v>1</v>
      </c>
      <c r="D41" t="s">
        <v>3070</v>
      </c>
      <c r="E41" t="s">
        <v>3071</v>
      </c>
      <c r="H41" t="s">
        <v>3128</v>
      </c>
      <c r="I41" t="s">
        <v>1131</v>
      </c>
    </row>
    <row r="42" spans="1:9">
      <c r="A42" t="s">
        <v>1769</v>
      </c>
      <c r="B42" t="s">
        <v>3127</v>
      </c>
      <c r="C42">
        <v>2</v>
      </c>
      <c r="D42" t="s">
        <v>3070</v>
      </c>
      <c r="E42" t="s">
        <v>3071</v>
      </c>
      <c r="H42" t="s">
        <v>3128</v>
      </c>
      <c r="I42" t="s">
        <v>1132</v>
      </c>
    </row>
    <row r="43" spans="1:9">
      <c r="A43" t="s">
        <v>3129</v>
      </c>
      <c r="B43" t="s">
        <v>3127</v>
      </c>
      <c r="C43">
        <v>3</v>
      </c>
      <c r="D43" t="s">
        <v>3070</v>
      </c>
      <c r="E43" t="s">
        <v>3071</v>
      </c>
      <c r="H43" t="s">
        <v>3128</v>
      </c>
      <c r="I43" t="s">
        <v>3130</v>
      </c>
    </row>
    <row r="44" spans="1:9">
      <c r="A44" t="s">
        <v>1923</v>
      </c>
      <c r="B44" t="s">
        <v>3131</v>
      </c>
      <c r="C44">
        <v>1</v>
      </c>
      <c r="D44" t="s">
        <v>1459</v>
      </c>
      <c r="H44" t="s">
        <v>3132</v>
      </c>
      <c r="I44" t="s">
        <v>3133</v>
      </c>
    </row>
    <row r="45" spans="1:9">
      <c r="A45" t="s">
        <v>2048</v>
      </c>
      <c r="B45" t="s">
        <v>3131</v>
      </c>
      <c r="C45">
        <v>2</v>
      </c>
      <c r="D45" t="s">
        <v>1459</v>
      </c>
      <c r="H45" t="s">
        <v>3132</v>
      </c>
      <c r="I45" t="s">
        <v>3134</v>
      </c>
    </row>
    <row r="46" spans="1:9">
      <c r="A46" t="s">
        <v>2051</v>
      </c>
      <c r="B46" t="s">
        <v>3131</v>
      </c>
      <c r="C46">
        <v>3</v>
      </c>
      <c r="D46" t="s">
        <v>1459</v>
      </c>
      <c r="H46" t="s">
        <v>3132</v>
      </c>
      <c r="I46" t="s">
        <v>3135</v>
      </c>
    </row>
    <row r="47" spans="1:9">
      <c r="A47" t="s">
        <v>2056</v>
      </c>
      <c r="B47" t="s">
        <v>3131</v>
      </c>
      <c r="C47">
        <v>4</v>
      </c>
      <c r="D47" t="s">
        <v>1459</v>
      </c>
      <c r="H47" t="s">
        <v>3132</v>
      </c>
      <c r="I47" t="s">
        <v>3136</v>
      </c>
    </row>
    <row r="48" spans="1:9">
      <c r="A48" t="s">
        <v>2059</v>
      </c>
      <c r="B48" t="s">
        <v>3131</v>
      </c>
      <c r="C48">
        <v>5</v>
      </c>
      <c r="D48" t="s">
        <v>1459</v>
      </c>
      <c r="H48" t="s">
        <v>3132</v>
      </c>
      <c r="I48" t="s">
        <v>3137</v>
      </c>
    </row>
    <row r="49" spans="1:9">
      <c r="A49" t="s">
        <v>1727</v>
      </c>
      <c r="B49" t="s">
        <v>1733</v>
      </c>
      <c r="C49">
        <v>1</v>
      </c>
      <c r="D49" t="s">
        <v>3138</v>
      </c>
      <c r="E49" t="s">
        <v>3139</v>
      </c>
      <c r="H49" t="s">
        <v>3140</v>
      </c>
      <c r="I49" t="s">
        <v>1005</v>
      </c>
    </row>
    <row r="50" spans="1:9">
      <c r="A50" t="s">
        <v>1728</v>
      </c>
      <c r="B50" t="s">
        <v>1733</v>
      </c>
      <c r="C50">
        <v>2</v>
      </c>
      <c r="D50" t="s">
        <v>3138</v>
      </c>
      <c r="E50" t="s">
        <v>3139</v>
      </c>
      <c r="H50" t="s">
        <v>3140</v>
      </c>
      <c r="I50" t="s">
        <v>1006</v>
      </c>
    </row>
    <row r="51" spans="1:9">
      <c r="A51" t="s">
        <v>1730</v>
      </c>
      <c r="B51" t="s">
        <v>1733</v>
      </c>
      <c r="C51">
        <v>3</v>
      </c>
      <c r="D51" t="s">
        <v>3138</v>
      </c>
      <c r="E51" t="s">
        <v>3139</v>
      </c>
      <c r="H51" t="s">
        <v>3140</v>
      </c>
      <c r="I51" t="s">
        <v>3141</v>
      </c>
    </row>
    <row r="52" spans="1:9">
      <c r="A52" t="s">
        <v>1729</v>
      </c>
      <c r="B52" t="s">
        <v>1733</v>
      </c>
      <c r="C52">
        <v>4</v>
      </c>
      <c r="D52" t="s">
        <v>3138</v>
      </c>
      <c r="E52" t="s">
        <v>3139</v>
      </c>
      <c r="H52" t="s">
        <v>3140</v>
      </c>
      <c r="I52" t="s">
        <v>3142</v>
      </c>
    </row>
    <row r="53" spans="1:9">
      <c r="A53" t="s">
        <v>1800</v>
      </c>
      <c r="B53" t="s">
        <v>3143</v>
      </c>
      <c r="C53">
        <v>1</v>
      </c>
      <c r="D53" t="s">
        <v>1459</v>
      </c>
      <c r="H53" t="s">
        <v>3144</v>
      </c>
      <c r="I53" t="s">
        <v>1260</v>
      </c>
    </row>
    <row r="54" spans="1:9">
      <c r="A54" t="s">
        <v>2075</v>
      </c>
      <c r="B54" t="s">
        <v>3143</v>
      </c>
      <c r="C54">
        <v>2</v>
      </c>
      <c r="D54" t="s">
        <v>1459</v>
      </c>
      <c r="H54" t="s">
        <v>3144</v>
      </c>
      <c r="I54" t="s">
        <v>3145</v>
      </c>
    </row>
    <row r="55" spans="1:9">
      <c r="A55" t="s">
        <v>2006</v>
      </c>
      <c r="B55" t="s">
        <v>3143</v>
      </c>
      <c r="C55">
        <v>3</v>
      </c>
      <c r="D55" t="s">
        <v>1459</v>
      </c>
      <c r="H55" t="s">
        <v>3144</v>
      </c>
      <c r="I55" t="s">
        <v>3146</v>
      </c>
    </row>
    <row r="56" spans="1:9">
      <c r="A56" t="s">
        <v>2081</v>
      </c>
      <c r="B56" t="s">
        <v>3143</v>
      </c>
      <c r="C56">
        <v>4</v>
      </c>
      <c r="D56" t="s">
        <v>1459</v>
      </c>
      <c r="H56" t="s">
        <v>3144</v>
      </c>
      <c r="I56" t="s">
        <v>3147</v>
      </c>
    </row>
    <row r="57" spans="1:9">
      <c r="A57" t="s">
        <v>2084</v>
      </c>
      <c r="B57" t="s">
        <v>3143</v>
      </c>
      <c r="C57">
        <v>5</v>
      </c>
      <c r="D57" t="s">
        <v>1459</v>
      </c>
      <c r="H57" t="s">
        <v>3144</v>
      </c>
      <c r="I57" t="s">
        <v>3148</v>
      </c>
    </row>
    <row r="58" spans="1:9">
      <c r="A58" t="s">
        <v>2089</v>
      </c>
      <c r="B58" t="s">
        <v>3149</v>
      </c>
      <c r="C58">
        <v>1</v>
      </c>
      <c r="D58" t="s">
        <v>3150</v>
      </c>
      <c r="E58" t="s">
        <v>3151</v>
      </c>
      <c r="F58" t="s">
        <v>3115</v>
      </c>
      <c r="H58" t="s">
        <v>3152</v>
      </c>
      <c r="I58" t="s">
        <v>3153</v>
      </c>
    </row>
    <row r="59" spans="1:9">
      <c r="A59" t="s">
        <v>2093</v>
      </c>
      <c r="B59" t="s">
        <v>3149</v>
      </c>
      <c r="C59">
        <v>2</v>
      </c>
      <c r="D59" t="s">
        <v>3150</v>
      </c>
      <c r="E59" t="s">
        <v>3151</v>
      </c>
      <c r="F59" t="s">
        <v>3115</v>
      </c>
      <c r="H59" t="s">
        <v>3152</v>
      </c>
      <c r="I59" t="s">
        <v>3154</v>
      </c>
    </row>
    <row r="60" spans="1:9">
      <c r="A60" t="s">
        <v>2096</v>
      </c>
      <c r="B60" t="s">
        <v>3149</v>
      </c>
      <c r="C60">
        <v>3</v>
      </c>
      <c r="D60" t="s">
        <v>3150</v>
      </c>
      <c r="E60" t="s">
        <v>3151</v>
      </c>
      <c r="F60" t="s">
        <v>3115</v>
      </c>
      <c r="H60" t="s">
        <v>3152</v>
      </c>
      <c r="I60" t="s">
        <v>3155</v>
      </c>
    </row>
    <row r="61" spans="1:9">
      <c r="A61" t="s">
        <v>2100</v>
      </c>
      <c r="B61" t="s">
        <v>3114</v>
      </c>
      <c r="C61">
        <v>1</v>
      </c>
      <c r="D61" t="s">
        <v>3114</v>
      </c>
      <c r="H61" t="s">
        <v>3156</v>
      </c>
      <c r="I61" t="s">
        <v>3157</v>
      </c>
    </row>
    <row r="62" spans="1:9">
      <c r="A62" t="s">
        <v>2103</v>
      </c>
      <c r="B62" t="s">
        <v>3114</v>
      </c>
      <c r="C62">
        <v>1</v>
      </c>
      <c r="D62" t="s">
        <v>3114</v>
      </c>
      <c r="H62" t="s">
        <v>3156</v>
      </c>
      <c r="I62" t="s">
        <v>3158</v>
      </c>
    </row>
    <row r="63" spans="1:9">
      <c r="A63" t="s">
        <v>2106</v>
      </c>
      <c r="B63" t="s">
        <v>3114</v>
      </c>
      <c r="C63">
        <v>2</v>
      </c>
      <c r="D63" t="s">
        <v>3114</v>
      </c>
      <c r="E63" t="s">
        <v>3159</v>
      </c>
      <c r="H63" t="s">
        <v>3156</v>
      </c>
      <c r="I63" t="s">
        <v>3160</v>
      </c>
    </row>
    <row r="64" spans="1:9">
      <c r="A64" t="s">
        <v>2110</v>
      </c>
      <c r="B64" t="s">
        <v>3114</v>
      </c>
      <c r="C64">
        <v>2</v>
      </c>
      <c r="D64" t="s">
        <v>3114</v>
      </c>
      <c r="H64" t="s">
        <v>3156</v>
      </c>
      <c r="I64" t="s">
        <v>3161</v>
      </c>
    </row>
    <row r="65" spans="1:9">
      <c r="A65" t="s">
        <v>2113</v>
      </c>
      <c r="B65" t="s">
        <v>3114</v>
      </c>
      <c r="C65">
        <v>3</v>
      </c>
      <c r="D65" t="s">
        <v>3114</v>
      </c>
      <c r="H65" t="s">
        <v>3162</v>
      </c>
      <c r="I65" t="s">
        <v>3163</v>
      </c>
    </row>
    <row r="66" spans="1:9">
      <c r="A66" t="s">
        <v>2114</v>
      </c>
      <c r="B66" t="s">
        <v>3114</v>
      </c>
      <c r="C66">
        <v>3</v>
      </c>
      <c r="D66" t="s">
        <v>3114</v>
      </c>
      <c r="H66" t="s">
        <v>3156</v>
      </c>
      <c r="I66" t="s">
        <v>3164</v>
      </c>
    </row>
    <row r="67" spans="1:9">
      <c r="A67" t="s">
        <v>2019</v>
      </c>
      <c r="B67" t="s">
        <v>3114</v>
      </c>
      <c r="C67">
        <v>4</v>
      </c>
      <c r="D67" t="s">
        <v>3114</v>
      </c>
      <c r="H67" t="s">
        <v>3156</v>
      </c>
      <c r="I67" t="s">
        <v>3165</v>
      </c>
    </row>
    <row r="68" spans="1:9">
      <c r="A68" t="s">
        <v>2119</v>
      </c>
      <c r="B68" t="s">
        <v>3114</v>
      </c>
      <c r="C68">
        <v>4</v>
      </c>
      <c r="D68" t="s">
        <v>3114</v>
      </c>
      <c r="H68" t="s">
        <v>3166</v>
      </c>
      <c r="I68" t="s">
        <v>3167</v>
      </c>
    </row>
    <row r="69" spans="1:9">
      <c r="A69" t="s">
        <v>2122</v>
      </c>
      <c r="B69" t="s">
        <v>3114</v>
      </c>
      <c r="C69">
        <v>5</v>
      </c>
      <c r="D69" t="s">
        <v>3114</v>
      </c>
      <c r="H69" t="s">
        <v>3156</v>
      </c>
      <c r="I69" t="s">
        <v>3168</v>
      </c>
    </row>
    <row r="70" spans="1:9">
      <c r="A70" t="s">
        <v>2125</v>
      </c>
      <c r="B70" t="s">
        <v>3114</v>
      </c>
      <c r="C70">
        <v>5</v>
      </c>
      <c r="D70" t="s">
        <v>3114</v>
      </c>
      <c r="H70" t="s">
        <v>3166</v>
      </c>
      <c r="I70" t="s">
        <v>3169</v>
      </c>
    </row>
    <row r="71" spans="1:9">
      <c r="A71" t="s">
        <v>2129</v>
      </c>
      <c r="B71" t="s">
        <v>3170</v>
      </c>
      <c r="C71">
        <v>1</v>
      </c>
      <c r="D71" t="s">
        <v>3070</v>
      </c>
      <c r="H71" t="s">
        <v>3171</v>
      </c>
      <c r="I71" t="s">
        <v>3172</v>
      </c>
    </row>
    <row r="72" spans="1:9">
      <c r="A72" t="s">
        <v>2133</v>
      </c>
      <c r="B72" t="s">
        <v>3170</v>
      </c>
      <c r="C72">
        <v>2</v>
      </c>
      <c r="D72" t="s">
        <v>3070</v>
      </c>
      <c r="H72" t="s">
        <v>3171</v>
      </c>
      <c r="I72" t="s">
        <v>3173</v>
      </c>
    </row>
    <row r="73" spans="1:9">
      <c r="A73" t="s">
        <v>1949</v>
      </c>
      <c r="B73" t="s">
        <v>3170</v>
      </c>
      <c r="C73">
        <v>3</v>
      </c>
      <c r="D73" t="s">
        <v>3070</v>
      </c>
      <c r="H73" t="s">
        <v>3171</v>
      </c>
      <c r="I73" t="s">
        <v>3174</v>
      </c>
    </row>
    <row r="74" spans="1:9">
      <c r="A74" t="s">
        <v>2140</v>
      </c>
      <c r="B74" t="s">
        <v>3170</v>
      </c>
      <c r="C74">
        <v>4</v>
      </c>
      <c r="D74" t="s">
        <v>3070</v>
      </c>
      <c r="H74" t="s">
        <v>3171</v>
      </c>
      <c r="I74" t="s">
        <v>3175</v>
      </c>
    </row>
    <row r="75" spans="1:9">
      <c r="A75" t="s">
        <v>2143</v>
      </c>
      <c r="B75" t="s">
        <v>3170</v>
      </c>
      <c r="C75">
        <v>5</v>
      </c>
      <c r="D75" t="s">
        <v>3070</v>
      </c>
      <c r="H75" t="s">
        <v>3171</v>
      </c>
      <c r="I75" t="s">
        <v>3176</v>
      </c>
    </row>
    <row r="76" spans="1:9">
      <c r="A76" t="s">
        <v>1850</v>
      </c>
      <c r="B76" t="s">
        <v>3177</v>
      </c>
      <c r="C76">
        <v>1</v>
      </c>
      <c r="D76" t="s">
        <v>3071</v>
      </c>
      <c r="H76" t="s">
        <v>3178</v>
      </c>
      <c r="I76" t="s">
        <v>3179</v>
      </c>
    </row>
    <row r="77" spans="1:9">
      <c r="A77" t="s">
        <v>2097</v>
      </c>
      <c r="B77" t="s">
        <v>3177</v>
      </c>
      <c r="C77">
        <v>2</v>
      </c>
      <c r="D77" t="s">
        <v>3071</v>
      </c>
      <c r="H77" t="s">
        <v>3178</v>
      </c>
      <c r="I77" t="s">
        <v>3180</v>
      </c>
    </row>
    <row r="78" spans="1:9">
      <c r="A78" t="s">
        <v>1936</v>
      </c>
      <c r="B78" t="s">
        <v>3177</v>
      </c>
      <c r="C78">
        <v>3</v>
      </c>
      <c r="D78" t="s">
        <v>3071</v>
      </c>
      <c r="H78" t="s">
        <v>3178</v>
      </c>
      <c r="I78" t="s">
        <v>3181</v>
      </c>
    </row>
    <row r="79" spans="1:9">
      <c r="A79" t="s">
        <v>1723</v>
      </c>
      <c r="B79" t="s">
        <v>1732</v>
      </c>
      <c r="C79">
        <v>1</v>
      </c>
      <c r="D79" t="s">
        <v>3182</v>
      </c>
      <c r="E79" t="s">
        <v>3139</v>
      </c>
      <c r="H79" t="s">
        <v>3140</v>
      </c>
      <c r="I79" t="s">
        <v>1007</v>
      </c>
    </row>
    <row r="80" spans="1:9">
      <c r="A80" t="s">
        <v>1724</v>
      </c>
      <c r="B80" t="s">
        <v>1732</v>
      </c>
      <c r="C80">
        <v>2</v>
      </c>
      <c r="D80" t="s">
        <v>3182</v>
      </c>
      <c r="E80" t="s">
        <v>3139</v>
      </c>
      <c r="H80" t="s">
        <v>3140</v>
      </c>
      <c r="I80" t="s">
        <v>1008</v>
      </c>
    </row>
    <row r="81" spans="1:9">
      <c r="A81" t="s">
        <v>1725</v>
      </c>
      <c r="B81" t="s">
        <v>1732</v>
      </c>
      <c r="C81">
        <v>3</v>
      </c>
      <c r="D81" t="s">
        <v>3182</v>
      </c>
      <c r="E81" t="s">
        <v>3139</v>
      </c>
      <c r="H81" t="s">
        <v>3140</v>
      </c>
      <c r="I81" t="s">
        <v>1009</v>
      </c>
    </row>
    <row r="82" spans="1:9">
      <c r="A82" t="s">
        <v>1726</v>
      </c>
      <c r="B82" t="s">
        <v>1732</v>
      </c>
      <c r="C82">
        <v>4</v>
      </c>
      <c r="D82" t="s">
        <v>3182</v>
      </c>
      <c r="E82" t="s">
        <v>3139</v>
      </c>
      <c r="H82" t="s">
        <v>3140</v>
      </c>
      <c r="I82" t="s">
        <v>3183</v>
      </c>
    </row>
    <row r="83" spans="1:9">
      <c r="A83" t="s">
        <v>1706</v>
      </c>
      <c r="B83" t="s">
        <v>3184</v>
      </c>
      <c r="C83">
        <v>1</v>
      </c>
      <c r="D83" t="s">
        <v>3071</v>
      </c>
      <c r="H83" t="s">
        <v>3185</v>
      </c>
      <c r="I83" t="s">
        <v>966</v>
      </c>
    </row>
    <row r="84" spans="1:9">
      <c r="A84" t="s">
        <v>1707</v>
      </c>
      <c r="B84" t="s">
        <v>3184</v>
      </c>
      <c r="C84">
        <v>2</v>
      </c>
      <c r="D84" t="s">
        <v>3071</v>
      </c>
      <c r="H84" t="s">
        <v>3185</v>
      </c>
      <c r="I84" t="s">
        <v>967</v>
      </c>
    </row>
    <row r="85" spans="1:9">
      <c r="A85" t="s">
        <v>1708</v>
      </c>
      <c r="B85" t="s">
        <v>3184</v>
      </c>
      <c r="C85">
        <v>3</v>
      </c>
      <c r="D85" t="s">
        <v>3071</v>
      </c>
      <c r="H85" t="s">
        <v>3185</v>
      </c>
      <c r="I85" t="s">
        <v>968</v>
      </c>
    </row>
    <row r="86" spans="1:9">
      <c r="A86" t="s">
        <v>1709</v>
      </c>
      <c r="B86" t="s">
        <v>3184</v>
      </c>
      <c r="C86">
        <v>4</v>
      </c>
      <c r="D86" t="s">
        <v>3071</v>
      </c>
      <c r="H86" t="s">
        <v>3185</v>
      </c>
      <c r="I86" t="s">
        <v>969</v>
      </c>
    </row>
    <row r="87" spans="1:9">
      <c r="A87" t="s">
        <v>1710</v>
      </c>
      <c r="B87" t="s">
        <v>3184</v>
      </c>
      <c r="C87">
        <v>5</v>
      </c>
      <c r="D87" t="s">
        <v>3071</v>
      </c>
      <c r="H87" t="s">
        <v>3185</v>
      </c>
      <c r="I87" t="s">
        <v>970</v>
      </c>
    </row>
    <row r="88" spans="1:9">
      <c r="A88" t="s">
        <v>2170</v>
      </c>
      <c r="B88" t="s">
        <v>3186</v>
      </c>
      <c r="C88">
        <v>1</v>
      </c>
      <c r="D88" t="s">
        <v>3098</v>
      </c>
      <c r="E88" t="s">
        <v>3114</v>
      </c>
      <c r="H88" t="s">
        <v>3187</v>
      </c>
      <c r="I88" t="s">
        <v>3188</v>
      </c>
    </row>
    <row r="89" spans="1:9">
      <c r="A89" t="s">
        <v>2172</v>
      </c>
      <c r="B89" t="s">
        <v>3186</v>
      </c>
      <c r="C89">
        <v>2</v>
      </c>
      <c r="D89" t="s">
        <v>3098</v>
      </c>
      <c r="E89" t="s">
        <v>3114</v>
      </c>
      <c r="H89" t="s">
        <v>3187</v>
      </c>
      <c r="I89" t="s">
        <v>3189</v>
      </c>
    </row>
    <row r="90" spans="1:9">
      <c r="A90" t="s">
        <v>2174</v>
      </c>
      <c r="B90" t="s">
        <v>3186</v>
      </c>
      <c r="C90">
        <v>3</v>
      </c>
      <c r="D90" t="s">
        <v>3098</v>
      </c>
      <c r="E90" t="s">
        <v>3114</v>
      </c>
      <c r="H90" t="s">
        <v>3187</v>
      </c>
      <c r="I90" t="s">
        <v>3190</v>
      </c>
    </row>
    <row r="91" spans="1:9">
      <c r="A91" t="s">
        <v>1979</v>
      </c>
      <c r="B91" t="s">
        <v>3186</v>
      </c>
      <c r="C91">
        <v>4</v>
      </c>
      <c r="D91" t="s">
        <v>3098</v>
      </c>
      <c r="E91" t="s">
        <v>3114</v>
      </c>
      <c r="H91" t="s">
        <v>3187</v>
      </c>
      <c r="I91" t="s">
        <v>3191</v>
      </c>
    </row>
    <row r="92" spans="1:9">
      <c r="A92" t="s">
        <v>2177</v>
      </c>
      <c r="B92" t="s">
        <v>1632</v>
      </c>
      <c r="C92">
        <v>1</v>
      </c>
      <c r="D92" t="s">
        <v>3071</v>
      </c>
      <c r="H92" t="s">
        <v>3192</v>
      </c>
      <c r="I92" t="s">
        <v>3193</v>
      </c>
    </row>
    <row r="93" spans="1:9">
      <c r="A93" t="s">
        <v>1642</v>
      </c>
      <c r="B93" t="s">
        <v>1632</v>
      </c>
      <c r="C93">
        <v>2</v>
      </c>
      <c r="D93" t="s">
        <v>3071</v>
      </c>
      <c r="H93" t="s">
        <v>3192</v>
      </c>
      <c r="I93" t="s">
        <v>721</v>
      </c>
    </row>
    <row r="94" spans="1:9">
      <c r="A94" t="s">
        <v>2036</v>
      </c>
      <c r="B94" t="s">
        <v>1632</v>
      </c>
      <c r="C94">
        <v>3</v>
      </c>
      <c r="D94" t="s">
        <v>3071</v>
      </c>
      <c r="H94" t="s">
        <v>3192</v>
      </c>
      <c r="I94" t="s">
        <v>3194</v>
      </c>
    </row>
    <row r="95" spans="1:9">
      <c r="A95" t="s">
        <v>1643</v>
      </c>
      <c r="B95" t="s">
        <v>1632</v>
      </c>
      <c r="C95">
        <v>4</v>
      </c>
      <c r="D95" t="s">
        <v>3071</v>
      </c>
      <c r="H95" t="s">
        <v>3192</v>
      </c>
      <c r="I95" t="s">
        <v>722</v>
      </c>
    </row>
    <row r="96" spans="1:9">
      <c r="A96" t="s">
        <v>2184</v>
      </c>
      <c r="B96" t="s">
        <v>1632</v>
      </c>
      <c r="C96">
        <v>5</v>
      </c>
      <c r="D96" t="s">
        <v>3071</v>
      </c>
      <c r="H96" t="s">
        <v>3192</v>
      </c>
      <c r="I96" t="s">
        <v>3195</v>
      </c>
    </row>
    <row r="97" spans="1:9">
      <c r="A97" t="s">
        <v>1801</v>
      </c>
      <c r="B97" t="s">
        <v>3196</v>
      </c>
      <c r="C97">
        <v>1</v>
      </c>
      <c r="D97" t="s">
        <v>3151</v>
      </c>
      <c r="H97" t="s">
        <v>3197</v>
      </c>
      <c r="I97" t="s">
        <v>1261</v>
      </c>
    </row>
    <row r="98" spans="1:9">
      <c r="A98" t="s">
        <v>2180</v>
      </c>
      <c r="B98" t="s">
        <v>3196</v>
      </c>
      <c r="C98">
        <v>2</v>
      </c>
      <c r="D98" t="s">
        <v>3151</v>
      </c>
      <c r="H98" t="s">
        <v>3197</v>
      </c>
      <c r="I98" t="s">
        <v>3198</v>
      </c>
    </row>
    <row r="99" spans="1:9">
      <c r="A99" t="s">
        <v>1835</v>
      </c>
      <c r="B99" t="s">
        <v>3196</v>
      </c>
      <c r="C99">
        <v>3</v>
      </c>
      <c r="D99" t="s">
        <v>3151</v>
      </c>
      <c r="H99" t="s">
        <v>3197</v>
      </c>
      <c r="I99" t="s">
        <v>3199</v>
      </c>
    </row>
    <row r="100" spans="1:9">
      <c r="A100" t="s">
        <v>2069</v>
      </c>
      <c r="B100" t="s">
        <v>3196</v>
      </c>
      <c r="C100">
        <v>4</v>
      </c>
      <c r="D100" t="s">
        <v>3151</v>
      </c>
      <c r="H100" t="s">
        <v>3197</v>
      </c>
      <c r="I100" t="s">
        <v>3200</v>
      </c>
    </row>
    <row r="101" spans="1:9">
      <c r="A101" t="s">
        <v>2061</v>
      </c>
      <c r="B101" t="s">
        <v>3201</v>
      </c>
      <c r="C101">
        <v>1</v>
      </c>
      <c r="D101" t="s">
        <v>3098</v>
      </c>
      <c r="H101" t="s">
        <v>3202</v>
      </c>
      <c r="I101" t="s">
        <v>3203</v>
      </c>
    </row>
    <row r="102" spans="1:9">
      <c r="A102" t="s">
        <v>2147</v>
      </c>
      <c r="B102" t="s">
        <v>3201</v>
      </c>
      <c r="C102">
        <v>1</v>
      </c>
      <c r="D102" t="s">
        <v>3098</v>
      </c>
      <c r="H102" t="s">
        <v>3202</v>
      </c>
      <c r="I102" t="s">
        <v>3204</v>
      </c>
    </row>
    <row r="103" spans="1:9">
      <c r="A103" t="s">
        <v>1986</v>
      </c>
      <c r="B103" t="s">
        <v>3201</v>
      </c>
      <c r="C103">
        <v>2</v>
      </c>
      <c r="D103" t="s">
        <v>3098</v>
      </c>
      <c r="H103" t="s">
        <v>3202</v>
      </c>
      <c r="I103" t="s">
        <v>3205</v>
      </c>
    </row>
    <row r="104" spans="1:9">
      <c r="A104" t="s">
        <v>1996</v>
      </c>
      <c r="B104" t="s">
        <v>3201</v>
      </c>
      <c r="C104">
        <v>2</v>
      </c>
      <c r="D104" t="s">
        <v>3098</v>
      </c>
      <c r="H104" t="s">
        <v>3202</v>
      </c>
      <c r="I104" t="s">
        <v>3206</v>
      </c>
    </row>
    <row r="105" spans="1:9">
      <c r="A105" t="s">
        <v>2195</v>
      </c>
      <c r="B105" t="s">
        <v>3201</v>
      </c>
      <c r="C105">
        <v>3</v>
      </c>
      <c r="D105" t="s">
        <v>3098</v>
      </c>
      <c r="H105" t="s">
        <v>3202</v>
      </c>
      <c r="I105" t="s">
        <v>3207</v>
      </c>
    </row>
    <row r="106" spans="1:9">
      <c r="A106" t="s">
        <v>2197</v>
      </c>
      <c r="B106" t="s">
        <v>3201</v>
      </c>
      <c r="C106">
        <v>3</v>
      </c>
      <c r="D106" t="s">
        <v>3098</v>
      </c>
      <c r="H106" t="s">
        <v>3202</v>
      </c>
      <c r="I106" t="s">
        <v>3208</v>
      </c>
    </row>
    <row r="107" spans="1:9">
      <c r="A107" t="s">
        <v>2107</v>
      </c>
      <c r="B107" t="s">
        <v>3201</v>
      </c>
      <c r="C107">
        <v>4</v>
      </c>
      <c r="D107" t="s">
        <v>3098</v>
      </c>
      <c r="H107" t="s">
        <v>3202</v>
      </c>
      <c r="I107" t="s">
        <v>3209</v>
      </c>
    </row>
    <row r="108" spans="1:9">
      <c r="A108" t="s">
        <v>2202</v>
      </c>
      <c r="B108" t="s">
        <v>3201</v>
      </c>
      <c r="C108">
        <v>4</v>
      </c>
      <c r="D108" t="s">
        <v>3098</v>
      </c>
      <c r="H108" t="s">
        <v>3202</v>
      </c>
      <c r="I108" t="s">
        <v>3210</v>
      </c>
    </row>
    <row r="109" spans="1:9">
      <c r="A109" t="s">
        <v>2085</v>
      </c>
      <c r="B109" t="s">
        <v>3201</v>
      </c>
      <c r="C109">
        <v>5</v>
      </c>
      <c r="D109" t="s">
        <v>3098</v>
      </c>
      <c r="H109" t="s">
        <v>3202</v>
      </c>
      <c r="I109" t="s">
        <v>3211</v>
      </c>
    </row>
    <row r="110" spans="1:9">
      <c r="A110" t="s">
        <v>2205</v>
      </c>
      <c r="B110" t="s">
        <v>3201</v>
      </c>
      <c r="C110">
        <v>5</v>
      </c>
      <c r="D110" t="s">
        <v>3098</v>
      </c>
      <c r="H110" t="s">
        <v>3202</v>
      </c>
      <c r="I110" t="s">
        <v>3212</v>
      </c>
    </row>
    <row r="111" spans="1:9">
      <c r="A111" t="s">
        <v>1687</v>
      </c>
      <c r="B111" t="s">
        <v>3213</v>
      </c>
      <c r="C111">
        <v>1</v>
      </c>
      <c r="D111" t="s">
        <v>3098</v>
      </c>
      <c r="E111" t="s">
        <v>3159</v>
      </c>
      <c r="H111" t="s">
        <v>3214</v>
      </c>
      <c r="I111" t="s">
        <v>892</v>
      </c>
    </row>
    <row r="112" spans="1:9">
      <c r="A112" t="s">
        <v>1688</v>
      </c>
      <c r="B112" t="s">
        <v>3213</v>
      </c>
      <c r="C112">
        <v>2</v>
      </c>
      <c r="D112" t="s">
        <v>3098</v>
      </c>
      <c r="E112" t="s">
        <v>3159</v>
      </c>
      <c r="H112" t="s">
        <v>3214</v>
      </c>
      <c r="I112" t="s">
        <v>893</v>
      </c>
    </row>
    <row r="113" spans="1:9">
      <c r="A113" t="s">
        <v>1689</v>
      </c>
      <c r="B113" t="s">
        <v>3213</v>
      </c>
      <c r="C113">
        <v>3</v>
      </c>
      <c r="D113" t="s">
        <v>3098</v>
      </c>
      <c r="E113" t="s">
        <v>3159</v>
      </c>
      <c r="H113" t="s">
        <v>3214</v>
      </c>
      <c r="I113" t="s">
        <v>894</v>
      </c>
    </row>
    <row r="114" spans="1:9">
      <c r="A114" t="s">
        <v>2212</v>
      </c>
      <c r="B114" t="s">
        <v>3215</v>
      </c>
      <c r="C114">
        <v>1</v>
      </c>
      <c r="D114" t="s">
        <v>1075</v>
      </c>
      <c r="E114" t="s">
        <v>3070</v>
      </c>
      <c r="F114" t="s">
        <v>3071</v>
      </c>
      <c r="G114" t="s">
        <v>3139</v>
      </c>
      <c r="H114" t="s">
        <v>3216</v>
      </c>
      <c r="I114" t="s">
        <v>3217</v>
      </c>
    </row>
    <row r="115" spans="1:9">
      <c r="A115" t="s">
        <v>2049</v>
      </c>
      <c r="B115" t="s">
        <v>3215</v>
      </c>
      <c r="C115">
        <v>2</v>
      </c>
      <c r="D115" t="s">
        <v>1075</v>
      </c>
      <c r="E115" t="s">
        <v>3070</v>
      </c>
      <c r="F115" t="s">
        <v>3071</v>
      </c>
      <c r="G115" t="s">
        <v>3139</v>
      </c>
      <c r="H115" t="s">
        <v>3216</v>
      </c>
      <c r="I115" t="s">
        <v>3218</v>
      </c>
    </row>
    <row r="116" spans="1:9">
      <c r="A116" t="s">
        <v>2213</v>
      </c>
      <c r="B116" t="s">
        <v>3215</v>
      </c>
      <c r="C116">
        <v>3</v>
      </c>
      <c r="D116" t="s">
        <v>1075</v>
      </c>
      <c r="E116" t="s">
        <v>3070</v>
      </c>
      <c r="F116" t="s">
        <v>3071</v>
      </c>
      <c r="G116" t="s">
        <v>3139</v>
      </c>
      <c r="H116" t="s">
        <v>3216</v>
      </c>
      <c r="I116" t="s">
        <v>3219</v>
      </c>
    </row>
    <row r="117" spans="1:9">
      <c r="A117" t="s">
        <v>2198</v>
      </c>
      <c r="B117" t="s">
        <v>3215</v>
      </c>
      <c r="C117">
        <v>4</v>
      </c>
      <c r="D117" t="s">
        <v>1075</v>
      </c>
      <c r="E117" t="s">
        <v>3070</v>
      </c>
      <c r="F117" t="s">
        <v>3071</v>
      </c>
      <c r="G117" t="s">
        <v>3139</v>
      </c>
      <c r="H117" t="s">
        <v>3216</v>
      </c>
      <c r="I117" t="s">
        <v>3220</v>
      </c>
    </row>
    <row r="118" spans="1:9">
      <c r="A118" t="s">
        <v>2052</v>
      </c>
      <c r="B118" t="s">
        <v>3221</v>
      </c>
      <c r="C118">
        <v>1</v>
      </c>
      <c r="D118" t="s">
        <v>3079</v>
      </c>
      <c r="H118" t="s">
        <v>3222</v>
      </c>
      <c r="I118" t="s">
        <v>3223</v>
      </c>
    </row>
    <row r="119" spans="1:9">
      <c r="A119" t="s">
        <v>1962</v>
      </c>
      <c r="B119" t="s">
        <v>3221</v>
      </c>
      <c r="C119">
        <v>2</v>
      </c>
      <c r="D119" t="s">
        <v>3079</v>
      </c>
      <c r="H119" t="s">
        <v>3222</v>
      </c>
      <c r="I119" t="s">
        <v>3224</v>
      </c>
    </row>
    <row r="120" spans="1:9">
      <c r="A120" t="s">
        <v>2215</v>
      </c>
      <c r="B120" t="s">
        <v>3221</v>
      </c>
      <c r="C120">
        <v>3</v>
      </c>
      <c r="D120" t="s">
        <v>3079</v>
      </c>
      <c r="H120" t="s">
        <v>3222</v>
      </c>
      <c r="I120" t="s">
        <v>3225</v>
      </c>
    </row>
    <row r="121" spans="1:9">
      <c r="A121" t="s">
        <v>2032</v>
      </c>
      <c r="B121" t="s">
        <v>3221</v>
      </c>
      <c r="C121">
        <v>4</v>
      </c>
      <c r="D121" t="s">
        <v>3079</v>
      </c>
      <c r="H121" t="s">
        <v>3222</v>
      </c>
      <c r="I121" t="s">
        <v>3226</v>
      </c>
    </row>
    <row r="122" spans="1:9">
      <c r="A122" t="s">
        <v>2065</v>
      </c>
      <c r="B122" t="s">
        <v>3221</v>
      </c>
      <c r="C122">
        <v>5</v>
      </c>
      <c r="D122" t="s">
        <v>3079</v>
      </c>
      <c r="H122" t="s">
        <v>3222</v>
      </c>
      <c r="I122" t="s">
        <v>3227</v>
      </c>
    </row>
    <row r="123" spans="1:9">
      <c r="A123" t="s">
        <v>1702</v>
      </c>
      <c r="B123" t="s">
        <v>3228</v>
      </c>
      <c r="C123">
        <v>1</v>
      </c>
      <c r="D123" t="s">
        <v>3114</v>
      </c>
      <c r="E123" t="s">
        <v>3139</v>
      </c>
      <c r="H123" t="s">
        <v>3229</v>
      </c>
      <c r="I123" t="s">
        <v>944</v>
      </c>
    </row>
    <row r="124" spans="1:9">
      <c r="A124" t="s">
        <v>1703</v>
      </c>
      <c r="B124" t="s">
        <v>3228</v>
      </c>
      <c r="C124">
        <v>2</v>
      </c>
      <c r="D124" t="s">
        <v>3114</v>
      </c>
      <c r="E124" t="s">
        <v>3139</v>
      </c>
      <c r="H124" t="s">
        <v>3229</v>
      </c>
      <c r="I124" t="s">
        <v>945</v>
      </c>
    </row>
    <row r="125" spans="1:9">
      <c r="A125" t="s">
        <v>1704</v>
      </c>
      <c r="B125" t="s">
        <v>3228</v>
      </c>
      <c r="C125">
        <v>3</v>
      </c>
      <c r="D125" t="s">
        <v>3114</v>
      </c>
      <c r="E125" t="s">
        <v>3139</v>
      </c>
      <c r="H125" t="s">
        <v>3229</v>
      </c>
      <c r="I125" t="s">
        <v>3230</v>
      </c>
    </row>
    <row r="126" spans="1:9">
      <c r="A126" t="s">
        <v>1718</v>
      </c>
      <c r="B126" t="s">
        <v>3231</v>
      </c>
      <c r="C126">
        <v>1</v>
      </c>
      <c r="D126" t="s">
        <v>3150</v>
      </c>
      <c r="H126" t="s">
        <v>3232</v>
      </c>
      <c r="I126" t="s">
        <v>1010</v>
      </c>
    </row>
    <row r="127" spans="1:9">
      <c r="A127" t="s">
        <v>1719</v>
      </c>
      <c r="B127" t="s">
        <v>3231</v>
      </c>
      <c r="C127">
        <v>2</v>
      </c>
      <c r="D127" t="s">
        <v>3150</v>
      </c>
      <c r="H127" t="s">
        <v>3232</v>
      </c>
      <c r="I127" t="s">
        <v>1011</v>
      </c>
    </row>
    <row r="128" spans="1:9">
      <c r="A128" t="s">
        <v>1720</v>
      </c>
      <c r="B128" t="s">
        <v>3231</v>
      </c>
      <c r="C128">
        <v>3</v>
      </c>
      <c r="D128" t="s">
        <v>3150</v>
      </c>
      <c r="H128" t="s">
        <v>3232</v>
      </c>
      <c r="I128" t="s">
        <v>1012</v>
      </c>
    </row>
    <row r="129" spans="1:9">
      <c r="A129" t="s">
        <v>1721</v>
      </c>
      <c r="B129" t="s">
        <v>3231</v>
      </c>
      <c r="C129">
        <v>4</v>
      </c>
      <c r="D129" t="s">
        <v>3150</v>
      </c>
      <c r="H129" t="s">
        <v>3232</v>
      </c>
      <c r="I129" t="s">
        <v>1013</v>
      </c>
    </row>
    <row r="130" spans="1:9">
      <c r="A130" t="s">
        <v>1782</v>
      </c>
      <c r="B130" t="s">
        <v>3233</v>
      </c>
      <c r="C130">
        <v>1</v>
      </c>
      <c r="D130" t="s">
        <v>3114</v>
      </c>
      <c r="H130" t="s">
        <v>2852</v>
      </c>
      <c r="I130" t="s">
        <v>1190</v>
      </c>
    </row>
    <row r="131" spans="1:9">
      <c r="A131" t="s">
        <v>3234</v>
      </c>
      <c r="B131" t="s">
        <v>3233</v>
      </c>
      <c r="C131">
        <v>1</v>
      </c>
      <c r="D131" t="s">
        <v>3114</v>
      </c>
      <c r="H131" t="s">
        <v>2852</v>
      </c>
      <c r="I131" t="s">
        <v>3235</v>
      </c>
    </row>
    <row r="132" spans="1:9">
      <c r="A132" t="s">
        <v>3236</v>
      </c>
      <c r="B132" t="s">
        <v>3233</v>
      </c>
      <c r="C132">
        <v>1</v>
      </c>
      <c r="D132" t="s">
        <v>3070</v>
      </c>
      <c r="H132" t="s">
        <v>3237</v>
      </c>
      <c r="I132" t="s">
        <v>3238</v>
      </c>
    </row>
    <row r="133" spans="1:9">
      <c r="A133" t="s">
        <v>3239</v>
      </c>
      <c r="B133" t="s">
        <v>3233</v>
      </c>
      <c r="C133">
        <v>1</v>
      </c>
      <c r="D133" t="s">
        <v>3070</v>
      </c>
      <c r="H133" t="s">
        <v>3240</v>
      </c>
      <c r="I133" t="s">
        <v>3241</v>
      </c>
    </row>
    <row r="134" spans="1:9">
      <c r="A134" t="s">
        <v>3242</v>
      </c>
      <c r="B134" t="s">
        <v>3233</v>
      </c>
      <c r="C134">
        <v>1</v>
      </c>
      <c r="D134" t="s">
        <v>3114</v>
      </c>
      <c r="E134" t="s">
        <v>3098</v>
      </c>
      <c r="H134" t="s">
        <v>3243</v>
      </c>
      <c r="I134" t="s">
        <v>3244</v>
      </c>
    </row>
    <row r="135" spans="1:9">
      <c r="A135" t="s">
        <v>3245</v>
      </c>
      <c r="B135" t="s">
        <v>3233</v>
      </c>
      <c r="C135">
        <v>2</v>
      </c>
      <c r="D135" t="s">
        <v>3114</v>
      </c>
      <c r="H135" t="s">
        <v>2852</v>
      </c>
      <c r="I135" t="s">
        <v>3246</v>
      </c>
    </row>
    <row r="136" spans="1:9">
      <c r="A136" t="s">
        <v>3247</v>
      </c>
      <c r="B136" t="s">
        <v>3233</v>
      </c>
      <c r="C136">
        <v>2</v>
      </c>
      <c r="D136" t="s">
        <v>3114</v>
      </c>
      <c r="H136" t="s">
        <v>2852</v>
      </c>
      <c r="I136" t="s">
        <v>3248</v>
      </c>
    </row>
    <row r="137" spans="1:9">
      <c r="A137" t="s">
        <v>3249</v>
      </c>
      <c r="B137" t="s">
        <v>3233</v>
      </c>
      <c r="C137">
        <v>2</v>
      </c>
      <c r="D137" t="s">
        <v>3114</v>
      </c>
      <c r="H137" t="s">
        <v>3250</v>
      </c>
      <c r="I137" t="s">
        <v>3251</v>
      </c>
    </row>
    <row r="138" spans="1:9">
      <c r="A138" t="s">
        <v>3252</v>
      </c>
      <c r="B138" t="s">
        <v>3233</v>
      </c>
      <c r="C138">
        <v>2</v>
      </c>
      <c r="D138" t="s">
        <v>3114</v>
      </c>
      <c r="H138" t="s">
        <v>3253</v>
      </c>
      <c r="I138" t="s">
        <v>3254</v>
      </c>
    </row>
    <row r="139" spans="1:9">
      <c r="A139" t="s">
        <v>3255</v>
      </c>
      <c r="B139" t="s">
        <v>3233</v>
      </c>
      <c r="C139">
        <v>2</v>
      </c>
      <c r="D139" t="s">
        <v>3114</v>
      </c>
      <c r="H139" t="s">
        <v>2852</v>
      </c>
      <c r="I139" t="s">
        <v>3256</v>
      </c>
    </row>
    <row r="140" spans="1:9">
      <c r="A140" t="s">
        <v>1593</v>
      </c>
      <c r="B140" t="s">
        <v>3257</v>
      </c>
      <c r="C140">
        <v>1</v>
      </c>
      <c r="D140" t="s">
        <v>3258</v>
      </c>
      <c r="H140" t="s">
        <v>3259</v>
      </c>
      <c r="I140" t="s">
        <v>519</v>
      </c>
    </row>
    <row r="141" spans="1:9">
      <c r="A141" t="s">
        <v>1594</v>
      </c>
      <c r="B141" t="s">
        <v>3257</v>
      </c>
      <c r="C141">
        <v>2</v>
      </c>
      <c r="D141" t="s">
        <v>3258</v>
      </c>
      <c r="H141" t="s">
        <v>3259</v>
      </c>
      <c r="I141" t="s">
        <v>520</v>
      </c>
    </row>
    <row r="142" spans="1:9">
      <c r="A142" t="s">
        <v>1595</v>
      </c>
      <c r="B142" t="s">
        <v>3257</v>
      </c>
      <c r="C142">
        <v>3</v>
      </c>
      <c r="D142" t="s">
        <v>3258</v>
      </c>
      <c r="H142" t="s">
        <v>3259</v>
      </c>
      <c r="I142" t="s">
        <v>521</v>
      </c>
    </row>
    <row r="143" spans="1:9">
      <c r="A143" t="s">
        <v>1596</v>
      </c>
      <c r="B143" t="s">
        <v>3257</v>
      </c>
      <c r="C143">
        <v>4</v>
      </c>
      <c r="D143" t="s">
        <v>3258</v>
      </c>
      <c r="H143" t="s">
        <v>3259</v>
      </c>
      <c r="I143" t="s">
        <v>522</v>
      </c>
    </row>
    <row r="144" spans="1:9">
      <c r="A144" t="s">
        <v>1819</v>
      </c>
      <c r="B144" t="s">
        <v>3257</v>
      </c>
      <c r="C144">
        <v>5</v>
      </c>
      <c r="D144" t="s">
        <v>3258</v>
      </c>
      <c r="H144" t="s">
        <v>3259</v>
      </c>
      <c r="I144" t="s">
        <v>3260</v>
      </c>
    </row>
    <row r="145" spans="1:9">
      <c r="A145" t="s">
        <v>2044</v>
      </c>
      <c r="B145" t="s">
        <v>3261</v>
      </c>
      <c r="C145">
        <v>1</v>
      </c>
      <c r="D145" t="s">
        <v>3262</v>
      </c>
      <c r="H145" t="s">
        <v>3263</v>
      </c>
      <c r="I145" t="s">
        <v>3264</v>
      </c>
    </row>
    <row r="146" spans="1:9">
      <c r="A146" t="s">
        <v>2130</v>
      </c>
      <c r="B146" t="s">
        <v>3261</v>
      </c>
      <c r="C146">
        <v>2</v>
      </c>
      <c r="D146" t="s">
        <v>3262</v>
      </c>
      <c r="H146" t="s">
        <v>3263</v>
      </c>
      <c r="I146" t="s">
        <v>3265</v>
      </c>
    </row>
    <row r="147" spans="1:9">
      <c r="A147" t="s">
        <v>2217</v>
      </c>
      <c r="B147" t="s">
        <v>3261</v>
      </c>
      <c r="C147">
        <v>3</v>
      </c>
      <c r="D147" t="s">
        <v>3262</v>
      </c>
      <c r="H147" t="s">
        <v>3263</v>
      </c>
      <c r="I147" t="s">
        <v>3266</v>
      </c>
    </row>
    <row r="148" spans="1:9">
      <c r="A148" t="s">
        <v>2214</v>
      </c>
      <c r="B148" t="s">
        <v>3267</v>
      </c>
      <c r="C148">
        <v>1</v>
      </c>
      <c r="D148" t="s">
        <v>3262</v>
      </c>
      <c r="H148" t="s">
        <v>3268</v>
      </c>
      <c r="I148" t="s">
        <v>3269</v>
      </c>
    </row>
    <row r="149" spans="1:9">
      <c r="A149" t="s">
        <v>2219</v>
      </c>
      <c r="B149" t="s">
        <v>3267</v>
      </c>
      <c r="C149">
        <v>2</v>
      </c>
      <c r="D149" t="s">
        <v>3262</v>
      </c>
      <c r="H149" t="s">
        <v>3268</v>
      </c>
      <c r="I149" t="s">
        <v>3270</v>
      </c>
    </row>
    <row r="150" spans="1:9">
      <c r="A150" t="s">
        <v>2220</v>
      </c>
      <c r="B150" t="s">
        <v>3267</v>
      </c>
      <c r="C150">
        <v>3</v>
      </c>
      <c r="D150" t="s">
        <v>3262</v>
      </c>
      <c r="H150" t="s">
        <v>3268</v>
      </c>
      <c r="I150" t="s">
        <v>3271</v>
      </c>
    </row>
    <row r="151" spans="1:9">
      <c r="A151" t="s">
        <v>2221</v>
      </c>
      <c r="B151" t="s">
        <v>3267</v>
      </c>
      <c r="C151">
        <v>4</v>
      </c>
      <c r="D151" t="s">
        <v>3262</v>
      </c>
      <c r="H151" t="s">
        <v>3268</v>
      </c>
      <c r="I151" t="s">
        <v>3272</v>
      </c>
    </row>
    <row r="152" spans="1:9">
      <c r="A152" t="s">
        <v>2015</v>
      </c>
      <c r="B152" t="s">
        <v>3273</v>
      </c>
      <c r="C152">
        <v>1</v>
      </c>
      <c r="D152" t="s">
        <v>3098</v>
      </c>
      <c r="E152" t="s">
        <v>3159</v>
      </c>
      <c r="H152" t="s">
        <v>3274</v>
      </c>
      <c r="I152" t="s">
        <v>3275</v>
      </c>
    </row>
    <row r="153" spans="1:9">
      <c r="A153" t="s">
        <v>2137</v>
      </c>
      <c r="B153" t="s">
        <v>3273</v>
      </c>
      <c r="C153">
        <v>2</v>
      </c>
      <c r="D153" t="s">
        <v>3098</v>
      </c>
      <c r="E153" t="s">
        <v>3159</v>
      </c>
      <c r="H153" t="s">
        <v>3274</v>
      </c>
      <c r="I153" t="s">
        <v>3276</v>
      </c>
    </row>
    <row r="154" spans="1:9">
      <c r="A154" t="s">
        <v>2134</v>
      </c>
      <c r="B154" t="s">
        <v>3273</v>
      </c>
      <c r="C154">
        <v>3</v>
      </c>
      <c r="D154" t="s">
        <v>3098</v>
      </c>
      <c r="E154" t="s">
        <v>3159</v>
      </c>
      <c r="H154" t="s">
        <v>3274</v>
      </c>
      <c r="I154" t="s">
        <v>3277</v>
      </c>
    </row>
    <row r="155" spans="1:9">
      <c r="A155" t="s">
        <v>2163</v>
      </c>
      <c r="B155" t="s">
        <v>3273</v>
      </c>
      <c r="C155">
        <v>4</v>
      </c>
      <c r="D155" t="s">
        <v>3098</v>
      </c>
      <c r="E155" t="s">
        <v>3159</v>
      </c>
      <c r="H155" t="s">
        <v>3274</v>
      </c>
      <c r="I155" t="s">
        <v>3278</v>
      </c>
    </row>
    <row r="156" spans="1:9">
      <c r="A156" t="s">
        <v>2144</v>
      </c>
      <c r="B156" t="s">
        <v>3273</v>
      </c>
      <c r="C156">
        <v>5</v>
      </c>
      <c r="D156" t="s">
        <v>3098</v>
      </c>
      <c r="E156" t="s">
        <v>3159</v>
      </c>
      <c r="H156" t="s">
        <v>3274</v>
      </c>
      <c r="I156" t="s">
        <v>3279</v>
      </c>
    </row>
    <row r="157" spans="1:9">
      <c r="A157" t="s">
        <v>1644</v>
      </c>
      <c r="B157" t="s">
        <v>3280</v>
      </c>
      <c r="C157">
        <v>1</v>
      </c>
      <c r="D157" t="s">
        <v>3281</v>
      </c>
      <c r="H157" t="s">
        <v>3282</v>
      </c>
      <c r="I157" t="s">
        <v>723</v>
      </c>
    </row>
    <row r="158" spans="1:9">
      <c r="A158" t="s">
        <v>1645</v>
      </c>
      <c r="B158" t="s">
        <v>3280</v>
      </c>
      <c r="C158">
        <v>2</v>
      </c>
      <c r="D158" t="s">
        <v>3281</v>
      </c>
      <c r="H158" t="s">
        <v>3282</v>
      </c>
      <c r="I158" t="s">
        <v>724</v>
      </c>
    </row>
    <row r="159" spans="1:9">
      <c r="A159" t="s">
        <v>1646</v>
      </c>
      <c r="B159" t="s">
        <v>3280</v>
      </c>
      <c r="C159">
        <v>3</v>
      </c>
      <c r="D159" t="s">
        <v>3281</v>
      </c>
      <c r="H159" t="s">
        <v>3282</v>
      </c>
      <c r="I159" t="s">
        <v>725</v>
      </c>
    </row>
    <row r="160" spans="1:9">
      <c r="A160" t="s">
        <v>1647</v>
      </c>
      <c r="B160" t="s">
        <v>3280</v>
      </c>
      <c r="C160">
        <v>4</v>
      </c>
      <c r="D160" t="s">
        <v>3281</v>
      </c>
      <c r="H160" t="s">
        <v>3282</v>
      </c>
      <c r="I160" t="s">
        <v>726</v>
      </c>
    </row>
    <row r="161" spans="1:9">
      <c r="A161" t="s">
        <v>2210</v>
      </c>
      <c r="B161" t="s">
        <v>3283</v>
      </c>
      <c r="C161">
        <v>1</v>
      </c>
      <c r="D161" t="s">
        <v>3079</v>
      </c>
      <c r="E161" t="s">
        <v>3115</v>
      </c>
      <c r="H161" t="s">
        <v>3284</v>
      </c>
      <c r="I161" t="s">
        <v>3285</v>
      </c>
    </row>
    <row r="162" spans="1:9">
      <c r="A162" t="s">
        <v>1900</v>
      </c>
      <c r="B162" t="s">
        <v>3283</v>
      </c>
      <c r="C162">
        <v>2</v>
      </c>
      <c r="D162" t="s">
        <v>3079</v>
      </c>
      <c r="E162" t="s">
        <v>3115</v>
      </c>
      <c r="H162" t="s">
        <v>3284</v>
      </c>
      <c r="I162" t="s">
        <v>3286</v>
      </c>
    </row>
    <row r="163" spans="1:9">
      <c r="A163" t="s">
        <v>1969</v>
      </c>
      <c r="B163" t="s">
        <v>3283</v>
      </c>
      <c r="C163">
        <v>3</v>
      </c>
      <c r="D163" t="s">
        <v>3079</v>
      </c>
      <c r="E163" t="s">
        <v>3115</v>
      </c>
      <c r="H163" t="s">
        <v>3284</v>
      </c>
      <c r="I163" t="s">
        <v>3287</v>
      </c>
    </row>
    <row r="164" spans="1:9">
      <c r="A164" t="s">
        <v>1893</v>
      </c>
      <c r="B164" t="s">
        <v>3288</v>
      </c>
      <c r="C164">
        <v>1</v>
      </c>
      <c r="D164" t="s">
        <v>3098</v>
      </c>
      <c r="E164" t="s">
        <v>3114</v>
      </c>
      <c r="H164" t="s">
        <v>3289</v>
      </c>
      <c r="I164" t="s">
        <v>3290</v>
      </c>
    </row>
    <row r="165" spans="1:9">
      <c r="A165" t="s">
        <v>2023</v>
      </c>
      <c r="B165" t="s">
        <v>3288</v>
      </c>
      <c r="C165">
        <v>2</v>
      </c>
      <c r="D165" t="s">
        <v>3098</v>
      </c>
      <c r="E165" t="s">
        <v>3114</v>
      </c>
      <c r="H165" t="s">
        <v>3289</v>
      </c>
      <c r="I165" t="s">
        <v>3291</v>
      </c>
    </row>
    <row r="166" spans="1:9">
      <c r="A166" t="s">
        <v>2027</v>
      </c>
      <c r="B166" t="s">
        <v>3288</v>
      </c>
      <c r="C166">
        <v>3</v>
      </c>
      <c r="D166" t="s">
        <v>3098</v>
      </c>
      <c r="E166" t="s">
        <v>3114</v>
      </c>
      <c r="H166" t="s">
        <v>3289</v>
      </c>
      <c r="I166" t="s">
        <v>3292</v>
      </c>
    </row>
    <row r="167" spans="1:9">
      <c r="A167" t="s">
        <v>1676</v>
      </c>
      <c r="B167" t="s">
        <v>3293</v>
      </c>
      <c r="C167">
        <v>1</v>
      </c>
      <c r="H167" t="s">
        <v>3294</v>
      </c>
      <c r="I167" t="s">
        <v>838</v>
      </c>
    </row>
    <row r="168" spans="1:9">
      <c r="A168" t="s">
        <v>3295</v>
      </c>
      <c r="B168" t="s">
        <v>3293</v>
      </c>
      <c r="C168">
        <v>1</v>
      </c>
      <c r="H168" t="s">
        <v>3294</v>
      </c>
      <c r="I168" t="s">
        <v>838</v>
      </c>
    </row>
    <row r="169" spans="1:9">
      <c r="A169" t="s">
        <v>3296</v>
      </c>
      <c r="B169" t="s">
        <v>3293</v>
      </c>
      <c r="C169">
        <v>1</v>
      </c>
      <c r="H169" t="s">
        <v>3294</v>
      </c>
      <c r="I169" t="s">
        <v>838</v>
      </c>
    </row>
    <row r="170" spans="1:9">
      <c r="A170" t="s">
        <v>1677</v>
      </c>
      <c r="B170" t="s">
        <v>3293</v>
      </c>
      <c r="C170">
        <v>2</v>
      </c>
      <c r="H170" t="s">
        <v>3294</v>
      </c>
      <c r="I170" t="s">
        <v>839</v>
      </c>
    </row>
    <row r="171" spans="1:9">
      <c r="A171" t="s">
        <v>3297</v>
      </c>
      <c r="B171" t="s">
        <v>3293</v>
      </c>
      <c r="C171">
        <v>2</v>
      </c>
      <c r="H171" t="s">
        <v>3294</v>
      </c>
      <c r="I171" t="s">
        <v>839</v>
      </c>
    </row>
    <row r="172" spans="1:9">
      <c r="A172" t="s">
        <v>3298</v>
      </c>
      <c r="B172" t="s">
        <v>3293</v>
      </c>
      <c r="C172">
        <v>2</v>
      </c>
      <c r="H172" t="s">
        <v>3294</v>
      </c>
      <c r="I172" t="s">
        <v>839</v>
      </c>
    </row>
    <row r="173" spans="1:9">
      <c r="A173" t="s">
        <v>1678</v>
      </c>
      <c r="B173" t="s">
        <v>3293</v>
      </c>
      <c r="C173">
        <v>3</v>
      </c>
      <c r="H173" t="s">
        <v>3294</v>
      </c>
      <c r="I173" t="s">
        <v>840</v>
      </c>
    </row>
    <row r="174" spans="1:9">
      <c r="A174" t="s">
        <v>3299</v>
      </c>
      <c r="B174" t="s">
        <v>3293</v>
      </c>
      <c r="C174">
        <v>3</v>
      </c>
      <c r="H174" t="s">
        <v>3294</v>
      </c>
      <c r="I174" t="s">
        <v>840</v>
      </c>
    </row>
    <row r="175" spans="1:9">
      <c r="A175" t="s">
        <v>3300</v>
      </c>
      <c r="B175" t="s">
        <v>3293</v>
      </c>
      <c r="C175">
        <v>3</v>
      </c>
      <c r="H175" t="s">
        <v>3294</v>
      </c>
      <c r="I175" t="s">
        <v>840</v>
      </c>
    </row>
    <row r="176" spans="1:9">
      <c r="A176" t="s">
        <v>3301</v>
      </c>
      <c r="B176" t="s">
        <v>3293</v>
      </c>
      <c r="C176">
        <v>4</v>
      </c>
      <c r="H176" t="s">
        <v>3294</v>
      </c>
      <c r="I176" t="s">
        <v>3302</v>
      </c>
    </row>
    <row r="177" spans="1:9">
      <c r="A177" t="s">
        <v>3303</v>
      </c>
      <c r="B177" t="s">
        <v>3293</v>
      </c>
      <c r="C177">
        <v>4</v>
      </c>
      <c r="H177" t="s">
        <v>3294</v>
      </c>
      <c r="I177" t="s">
        <v>3302</v>
      </c>
    </row>
    <row r="178" spans="1:9">
      <c r="A178" t="s">
        <v>3304</v>
      </c>
      <c r="B178" t="s">
        <v>3293</v>
      </c>
      <c r="C178">
        <v>4</v>
      </c>
      <c r="H178" t="s">
        <v>3294</v>
      </c>
      <c r="I178" t="s">
        <v>3302</v>
      </c>
    </row>
    <row r="179" spans="1:9">
      <c r="A179" t="s">
        <v>3305</v>
      </c>
      <c r="B179" t="s">
        <v>3293</v>
      </c>
      <c r="C179">
        <v>5</v>
      </c>
      <c r="H179" t="s">
        <v>3294</v>
      </c>
      <c r="I179" t="s">
        <v>3306</v>
      </c>
    </row>
    <row r="180" spans="1:9">
      <c r="A180" t="s">
        <v>3307</v>
      </c>
      <c r="B180" t="s">
        <v>3293</v>
      </c>
      <c r="C180">
        <v>5</v>
      </c>
      <c r="H180" t="s">
        <v>3294</v>
      </c>
      <c r="I180" t="s">
        <v>3306</v>
      </c>
    </row>
    <row r="181" spans="1:9">
      <c r="A181" t="s">
        <v>3308</v>
      </c>
      <c r="B181" t="s">
        <v>3293</v>
      </c>
      <c r="C181">
        <v>5</v>
      </c>
      <c r="H181" t="s">
        <v>3294</v>
      </c>
      <c r="I181" t="s">
        <v>3306</v>
      </c>
    </row>
    <row r="182" spans="1:9">
      <c r="A182" t="s">
        <v>2178</v>
      </c>
      <c r="B182" t="s">
        <v>3309</v>
      </c>
      <c r="C182">
        <v>1</v>
      </c>
      <c r="D182" t="s">
        <v>3071</v>
      </c>
      <c r="E182" t="s">
        <v>3079</v>
      </c>
      <c r="H182" t="s">
        <v>3310</v>
      </c>
      <c r="I182" t="s">
        <v>3311</v>
      </c>
    </row>
    <row r="183" spans="1:9">
      <c r="A183" t="s">
        <v>2090</v>
      </c>
      <c r="B183" t="s">
        <v>3309</v>
      </c>
      <c r="C183">
        <v>2</v>
      </c>
      <c r="D183" t="s">
        <v>3071</v>
      </c>
      <c r="E183" t="s">
        <v>3079</v>
      </c>
      <c r="H183" t="s">
        <v>3310</v>
      </c>
      <c r="I183" t="s">
        <v>3312</v>
      </c>
    </row>
    <row r="184" spans="1:9">
      <c r="A184" t="s">
        <v>1909</v>
      </c>
      <c r="B184" t="s">
        <v>3313</v>
      </c>
      <c r="C184">
        <v>1</v>
      </c>
      <c r="D184" t="s">
        <v>3109</v>
      </c>
      <c r="E184" t="s">
        <v>3071</v>
      </c>
      <c r="H184" t="s">
        <v>3314</v>
      </c>
      <c r="I184" t="s">
        <v>3315</v>
      </c>
    </row>
    <row r="185" spans="1:9">
      <c r="A185" t="s">
        <v>2187</v>
      </c>
      <c r="B185" t="s">
        <v>3313</v>
      </c>
      <c r="C185">
        <v>2</v>
      </c>
      <c r="D185" t="s">
        <v>3109</v>
      </c>
      <c r="E185" t="s">
        <v>3071</v>
      </c>
      <c r="H185" t="s">
        <v>3314</v>
      </c>
      <c r="I185" t="s">
        <v>3316</v>
      </c>
    </row>
    <row r="186" spans="1:9">
      <c r="A186" t="s">
        <v>2011</v>
      </c>
      <c r="B186" t="s">
        <v>3313</v>
      </c>
      <c r="C186">
        <v>3</v>
      </c>
      <c r="D186" t="s">
        <v>3109</v>
      </c>
      <c r="E186" t="s">
        <v>3071</v>
      </c>
      <c r="H186" t="s">
        <v>3314</v>
      </c>
      <c r="I186" t="s">
        <v>3317</v>
      </c>
    </row>
    <row r="187" spans="1:9">
      <c r="A187" t="s">
        <v>2007</v>
      </c>
      <c r="B187" t="s">
        <v>3313</v>
      </c>
      <c r="C187">
        <v>4</v>
      </c>
      <c r="D187" t="s">
        <v>3109</v>
      </c>
      <c r="E187" t="s">
        <v>3071</v>
      </c>
      <c r="H187" t="s">
        <v>3314</v>
      </c>
      <c r="I187" t="s">
        <v>3318</v>
      </c>
    </row>
    <row r="188" spans="1:9">
      <c r="A188" t="s">
        <v>2152</v>
      </c>
      <c r="B188" t="s">
        <v>3319</v>
      </c>
      <c r="C188">
        <v>1</v>
      </c>
      <c r="D188" t="s">
        <v>3098</v>
      </c>
      <c r="E188" t="s">
        <v>3114</v>
      </c>
      <c r="H188" t="s">
        <v>3320</v>
      </c>
      <c r="I188" t="s">
        <v>3321</v>
      </c>
    </row>
    <row r="189" spans="1:9">
      <c r="A189" t="s">
        <v>2218</v>
      </c>
      <c r="B189" t="s">
        <v>3319</v>
      </c>
      <c r="C189">
        <v>2</v>
      </c>
      <c r="D189" t="s">
        <v>3098</v>
      </c>
      <c r="E189" t="s">
        <v>3114</v>
      </c>
      <c r="H189" t="s">
        <v>3320</v>
      </c>
      <c r="I189" t="s">
        <v>3322</v>
      </c>
    </row>
    <row r="190" spans="1:9">
      <c r="A190" t="s">
        <v>2200</v>
      </c>
      <c r="B190" t="s">
        <v>3319</v>
      </c>
      <c r="C190">
        <v>3</v>
      </c>
      <c r="D190" t="s">
        <v>3098</v>
      </c>
      <c r="E190" t="s">
        <v>3114</v>
      </c>
      <c r="H190" t="s">
        <v>3320</v>
      </c>
      <c r="I190" t="s">
        <v>3323</v>
      </c>
    </row>
    <row r="191" spans="1:9">
      <c r="A191" t="s">
        <v>2126</v>
      </c>
      <c r="B191" t="s">
        <v>3319</v>
      </c>
      <c r="C191">
        <v>4</v>
      </c>
      <c r="D191" t="s">
        <v>3098</v>
      </c>
      <c r="E191" t="s">
        <v>3114</v>
      </c>
      <c r="H191" t="s">
        <v>3320</v>
      </c>
      <c r="I191" t="s">
        <v>3324</v>
      </c>
    </row>
    <row r="192" spans="1:9">
      <c r="A192" t="s">
        <v>2155</v>
      </c>
      <c r="B192" t="s">
        <v>3319</v>
      </c>
      <c r="C192">
        <v>5</v>
      </c>
      <c r="D192" t="s">
        <v>3098</v>
      </c>
      <c r="E192" t="s">
        <v>3114</v>
      </c>
      <c r="H192" t="s">
        <v>3320</v>
      </c>
      <c r="I192" t="s">
        <v>3325</v>
      </c>
    </row>
    <row r="193" spans="1:9">
      <c r="A193" t="s">
        <v>1649</v>
      </c>
      <c r="B193" t="s">
        <v>3326</v>
      </c>
      <c r="C193">
        <v>1</v>
      </c>
      <c r="D193" t="s">
        <v>3071</v>
      </c>
      <c r="H193" t="s">
        <v>3327</v>
      </c>
      <c r="I193" t="s">
        <v>727</v>
      </c>
    </row>
    <row r="194" spans="1:9">
      <c r="A194" t="s">
        <v>1930</v>
      </c>
      <c r="B194" t="s">
        <v>3326</v>
      </c>
      <c r="C194">
        <v>2</v>
      </c>
      <c r="D194" t="s">
        <v>3071</v>
      </c>
      <c r="H194" t="s">
        <v>3327</v>
      </c>
      <c r="I194" t="s">
        <v>3328</v>
      </c>
    </row>
    <row r="195" spans="1:9">
      <c r="A195" t="s">
        <v>1651</v>
      </c>
      <c r="B195" t="s">
        <v>3326</v>
      </c>
      <c r="C195">
        <v>3</v>
      </c>
      <c r="D195" t="s">
        <v>3071</v>
      </c>
      <c r="H195" t="s">
        <v>3327</v>
      </c>
      <c r="I195" t="s">
        <v>728</v>
      </c>
    </row>
    <row r="196" spans="1:9">
      <c r="A196" t="s">
        <v>2222</v>
      </c>
      <c r="B196" t="s">
        <v>3326</v>
      </c>
      <c r="C196">
        <v>4</v>
      </c>
      <c r="D196" t="s">
        <v>3071</v>
      </c>
      <c r="H196" t="s">
        <v>3327</v>
      </c>
      <c r="I196" t="s">
        <v>3329</v>
      </c>
    </row>
  </sheetData>
  <pageMargins left="0.7" right="0.7" top="0.75" bottom="0.75" header="0.3" footer="0.3"/>
  <pageSetup paperSize="9" orientation="portrait" horizontalDpi="0" verticalDpi="0" r:id="rId1"/>
  <tableParts count="1">
    <tablePart r:id="rId2"/>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79DCE-480F-49C8-B0B6-7EFC1142F6F5}">
  <dimension ref="A1:E28"/>
  <sheetViews>
    <sheetView workbookViewId="0">
      <selection activeCell="B26" sqref="B26"/>
    </sheetView>
  </sheetViews>
  <sheetFormatPr defaultRowHeight="15"/>
  <cols>
    <col min="1" max="1" width="21" bestFit="1" customWidth="1"/>
    <col min="2" max="2" width="12.5703125" bestFit="1" customWidth="1"/>
    <col min="3" max="3" width="12.42578125" bestFit="1" customWidth="1"/>
    <col min="4" max="4" width="12.7109375" bestFit="1" customWidth="1"/>
    <col min="5" max="5" width="121.140625" bestFit="1" customWidth="1"/>
    <col min="6" max="6" width="53.42578125" bestFit="1" customWidth="1"/>
    <col min="7" max="7" width="19.140625" bestFit="1" customWidth="1"/>
  </cols>
  <sheetData>
    <row r="1" spans="1:5">
      <c r="A1" t="s">
        <v>2811</v>
      </c>
      <c r="B1" t="s">
        <v>2812</v>
      </c>
      <c r="C1" t="s">
        <v>2813</v>
      </c>
      <c r="D1" t="s">
        <v>2814</v>
      </c>
      <c r="E1" t="s">
        <v>1421</v>
      </c>
    </row>
    <row r="2" spans="1:5">
      <c r="A2" t="s">
        <v>412</v>
      </c>
      <c r="B2" t="s">
        <v>1459</v>
      </c>
      <c r="C2">
        <v>1</v>
      </c>
      <c r="D2">
        <v>5</v>
      </c>
      <c r="E2" t="s">
        <v>3330</v>
      </c>
    </row>
    <row r="3" spans="1:5">
      <c r="A3" t="s">
        <v>413</v>
      </c>
      <c r="B3" t="s">
        <v>1459</v>
      </c>
      <c r="C3">
        <v>1</v>
      </c>
      <c r="D3">
        <v>5</v>
      </c>
      <c r="E3" t="s">
        <v>3331</v>
      </c>
    </row>
    <row r="4" spans="1:5">
      <c r="A4" t="s">
        <v>1016</v>
      </c>
      <c r="B4" t="s">
        <v>1459</v>
      </c>
      <c r="C4">
        <v>1</v>
      </c>
      <c r="D4">
        <v>5</v>
      </c>
      <c r="E4" t="s">
        <v>3332</v>
      </c>
    </row>
    <row r="5" spans="1:5">
      <c r="A5" t="s">
        <v>525</v>
      </c>
      <c r="B5" t="s">
        <v>1459</v>
      </c>
      <c r="C5">
        <v>1</v>
      </c>
      <c r="D5">
        <v>5</v>
      </c>
      <c r="E5" t="s">
        <v>3333</v>
      </c>
    </row>
    <row r="6" spans="1:5">
      <c r="A6" t="s">
        <v>468</v>
      </c>
      <c r="B6" t="s">
        <v>1459</v>
      </c>
      <c r="C6">
        <v>1</v>
      </c>
      <c r="D6">
        <v>5</v>
      </c>
      <c r="E6" t="s">
        <v>3334</v>
      </c>
    </row>
    <row r="7" spans="1:5">
      <c r="A7" t="s">
        <v>1311</v>
      </c>
      <c r="B7" t="s">
        <v>1459</v>
      </c>
      <c r="C7">
        <v>1</v>
      </c>
      <c r="D7">
        <v>5</v>
      </c>
      <c r="E7" t="s">
        <v>3335</v>
      </c>
    </row>
    <row r="8" spans="1:5">
      <c r="A8" t="s">
        <v>927</v>
      </c>
      <c r="B8" t="s">
        <v>1459</v>
      </c>
      <c r="C8">
        <v>1</v>
      </c>
      <c r="D8">
        <v>5</v>
      </c>
      <c r="E8" t="s">
        <v>3336</v>
      </c>
    </row>
    <row r="10" spans="1:5">
      <c r="A10" t="s">
        <v>2811</v>
      </c>
      <c r="B10" t="s">
        <v>2812</v>
      </c>
      <c r="C10" t="s">
        <v>2813</v>
      </c>
      <c r="D10" t="s">
        <v>2814</v>
      </c>
      <c r="E10" t="s">
        <v>1421</v>
      </c>
    </row>
    <row r="11" spans="1:5">
      <c r="A11" t="s">
        <v>96</v>
      </c>
      <c r="B11" t="s">
        <v>2282</v>
      </c>
      <c r="C11">
        <v>1</v>
      </c>
      <c r="D11">
        <v>5</v>
      </c>
      <c r="E11" t="s">
        <v>3337</v>
      </c>
    </row>
    <row r="12" spans="1:5">
      <c r="A12" t="s">
        <v>95</v>
      </c>
      <c r="B12" t="s">
        <v>2282</v>
      </c>
      <c r="C12">
        <v>1</v>
      </c>
      <c r="D12">
        <v>5</v>
      </c>
      <c r="E12" t="s">
        <v>3338</v>
      </c>
    </row>
    <row r="13" spans="1:5">
      <c r="A13" t="s">
        <v>97</v>
      </c>
      <c r="B13" t="s">
        <v>2282</v>
      </c>
      <c r="C13">
        <v>1</v>
      </c>
      <c r="D13">
        <v>5</v>
      </c>
      <c r="E13" t="s">
        <v>3339</v>
      </c>
    </row>
    <row r="14" spans="1:5">
      <c r="A14" t="s">
        <v>94</v>
      </c>
      <c r="B14" t="s">
        <v>1459</v>
      </c>
      <c r="C14">
        <v>1</v>
      </c>
      <c r="D14">
        <v>5</v>
      </c>
      <c r="E14" t="s">
        <v>3340</v>
      </c>
    </row>
    <row r="16" spans="1:5">
      <c r="A16" t="s">
        <v>2811</v>
      </c>
      <c r="B16" t="s">
        <v>3063</v>
      </c>
      <c r="C16" t="s">
        <v>2257</v>
      </c>
      <c r="D16" t="s">
        <v>2814</v>
      </c>
      <c r="E16" t="s">
        <v>1421</v>
      </c>
    </row>
    <row r="17" spans="1:5">
      <c r="A17" t="s">
        <v>3341</v>
      </c>
      <c r="B17" t="s">
        <v>98</v>
      </c>
      <c r="C17">
        <v>1</v>
      </c>
      <c r="D17">
        <v>5</v>
      </c>
      <c r="E17" t="s">
        <v>3342</v>
      </c>
    </row>
    <row r="18" spans="1:5">
      <c r="A18" t="s">
        <v>3343</v>
      </c>
      <c r="B18" t="s">
        <v>98</v>
      </c>
      <c r="C18">
        <v>2</v>
      </c>
      <c r="D18">
        <v>5</v>
      </c>
      <c r="E18" t="s">
        <v>3344</v>
      </c>
    </row>
    <row r="19" spans="1:5">
      <c r="A19" t="s">
        <v>3345</v>
      </c>
      <c r="B19" t="s">
        <v>98</v>
      </c>
      <c r="C19">
        <v>3</v>
      </c>
      <c r="D19">
        <v>5</v>
      </c>
      <c r="E19" t="s">
        <v>3346</v>
      </c>
    </row>
    <row r="20" spans="1:5">
      <c r="A20" t="s">
        <v>3347</v>
      </c>
      <c r="B20" t="s">
        <v>98</v>
      </c>
      <c r="C20">
        <v>4</v>
      </c>
      <c r="D20">
        <v>5</v>
      </c>
      <c r="E20" t="s">
        <v>3348</v>
      </c>
    </row>
    <row r="21" spans="1:5">
      <c r="A21" t="s">
        <v>3349</v>
      </c>
      <c r="B21" t="s">
        <v>98</v>
      </c>
      <c r="C21">
        <v>5</v>
      </c>
      <c r="D21">
        <v>5</v>
      </c>
      <c r="E21" t="s">
        <v>3350</v>
      </c>
    </row>
    <row r="23" spans="1:5">
      <c r="A23" t="s">
        <v>2811</v>
      </c>
      <c r="B23" t="s">
        <v>3063</v>
      </c>
      <c r="C23" t="s">
        <v>2257</v>
      </c>
      <c r="D23" t="s">
        <v>2814</v>
      </c>
      <c r="E23" t="s">
        <v>1421</v>
      </c>
    </row>
    <row r="24" spans="1:5">
      <c r="A24" t="s">
        <v>3351</v>
      </c>
      <c r="B24" t="s">
        <v>100</v>
      </c>
      <c r="C24">
        <v>1</v>
      </c>
      <c r="D24">
        <v>5</v>
      </c>
      <c r="E24" t="s">
        <v>3352</v>
      </c>
    </row>
    <row r="25" spans="1:5">
      <c r="A25" t="s">
        <v>3353</v>
      </c>
      <c r="B25" t="s">
        <v>100</v>
      </c>
      <c r="C25">
        <v>2</v>
      </c>
      <c r="D25">
        <v>5</v>
      </c>
      <c r="E25" t="s">
        <v>3354</v>
      </c>
    </row>
    <row r="26" spans="1:5">
      <c r="A26" t="s">
        <v>3355</v>
      </c>
      <c r="B26" t="s">
        <v>100</v>
      </c>
      <c r="C26">
        <v>3</v>
      </c>
      <c r="D26">
        <v>5</v>
      </c>
      <c r="E26" t="s">
        <v>3356</v>
      </c>
    </row>
    <row r="27" spans="1:5">
      <c r="A27" t="s">
        <v>3357</v>
      </c>
      <c r="B27" t="s">
        <v>100</v>
      </c>
      <c r="C27">
        <v>4</v>
      </c>
      <c r="D27">
        <v>5</v>
      </c>
      <c r="E27" t="s">
        <v>3358</v>
      </c>
    </row>
    <row r="28" spans="1:5">
      <c r="A28" t="s">
        <v>3359</v>
      </c>
      <c r="B28" t="s">
        <v>100</v>
      </c>
      <c r="C28">
        <v>5</v>
      </c>
      <c r="D28">
        <v>5</v>
      </c>
      <c r="E28" t="s">
        <v>3360</v>
      </c>
    </row>
  </sheetData>
  <pageMargins left="0.7" right="0.7" top="0.75" bottom="0.75" header="0.3" footer="0.3"/>
  <tableParts count="4">
    <tablePart r:id="rId1"/>
    <tablePart r:id="rId2"/>
    <tablePart r:id="rId3"/>
    <tablePart r:id="rId4"/>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AE771-4D10-4E12-9C5F-7F841B341701}">
  <dimension ref="A1:A17"/>
  <sheetViews>
    <sheetView workbookViewId="0">
      <selection activeCell="A8" sqref="A8:C8"/>
    </sheetView>
  </sheetViews>
  <sheetFormatPr defaultRowHeight="15"/>
  <cols>
    <col min="1" max="1" width="14.140625" bestFit="1" customWidth="1"/>
  </cols>
  <sheetData>
    <row r="1" spans="1:1">
      <c r="A1" t="s">
        <v>174</v>
      </c>
    </row>
    <row r="2" spans="1:1">
      <c r="A2" t="s">
        <v>1342</v>
      </c>
    </row>
    <row r="3" spans="1:1">
      <c r="A3" t="s">
        <v>3361</v>
      </c>
    </row>
    <row r="4" spans="1:1">
      <c r="A4" t="s">
        <v>973</v>
      </c>
    </row>
    <row r="5" spans="1:1">
      <c r="A5" t="s">
        <v>1221</v>
      </c>
    </row>
    <row r="6" spans="1:1">
      <c r="A6" t="s">
        <v>52</v>
      </c>
    </row>
    <row r="7" spans="1:1">
      <c r="A7" t="s">
        <v>526</v>
      </c>
    </row>
    <row r="8" spans="1:1">
      <c r="A8" t="s">
        <v>3362</v>
      </c>
    </row>
    <row r="9" spans="1:1">
      <c r="A9" t="s">
        <v>651</v>
      </c>
    </row>
    <row r="10" spans="1:1">
      <c r="A10" t="s">
        <v>527</v>
      </c>
    </row>
    <row r="11" spans="1:1">
      <c r="A11" t="s">
        <v>3363</v>
      </c>
    </row>
    <row r="12" spans="1:1">
      <c r="A12" t="s">
        <v>30</v>
      </c>
    </row>
    <row r="13" spans="1:1">
      <c r="A13" t="s">
        <v>528</v>
      </c>
    </row>
    <row r="14" spans="1:1">
      <c r="A14" t="s">
        <v>31</v>
      </c>
    </row>
    <row r="15" spans="1:1">
      <c r="A15" t="s">
        <v>804</v>
      </c>
    </row>
    <row r="16" spans="1:1">
      <c r="A16" t="s">
        <v>414</v>
      </c>
    </row>
    <row r="17" spans="1:1">
      <c r="A17" t="s">
        <v>415</v>
      </c>
    </row>
  </sheetData>
  <sortState xmlns:xlrd2="http://schemas.microsoft.com/office/spreadsheetml/2017/richdata2" ref="A2:A17">
    <sortCondition ref="A17"/>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A929C5-6CB3-40DF-8274-3080A1B108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81</vt:i4>
      </vt:variant>
    </vt:vector>
  </HeadingPairs>
  <TitlesOfParts>
    <vt:vector size="124" baseType="lpstr">
      <vt:lpstr>Character Data</vt:lpstr>
      <vt:lpstr>Attendance</vt:lpstr>
      <vt:lpstr>Finances</vt:lpstr>
      <vt:lpstr>Template</vt:lpstr>
      <vt:lpstr>Alice (Katherine H)</vt:lpstr>
      <vt:lpstr>Anichka (Katie)</vt:lpstr>
      <vt:lpstr>Brandy (Ashley)</vt:lpstr>
      <vt:lpstr>Carver (Archer)</vt:lpstr>
      <vt:lpstr>Cazz (Brae)</vt:lpstr>
      <vt:lpstr>Charles (Leo)</vt:lpstr>
      <vt:lpstr>Charlie (Kurtis)</vt:lpstr>
      <vt:lpstr>Conrad (Arnold)</vt:lpstr>
      <vt:lpstr>Cyrus (Bill)</vt:lpstr>
      <vt:lpstr>Doc (Jess)</vt:lpstr>
      <vt:lpstr>Edna (Arlo)</vt:lpstr>
      <vt:lpstr>Einar (Nathan)</vt:lpstr>
      <vt:lpstr>Eve (Jaime)</vt:lpstr>
      <vt:lpstr>Gel (Stefan)</vt:lpstr>
      <vt:lpstr>Hazel (Marni)</vt:lpstr>
      <vt:lpstr>Ivana (Lyn)</vt:lpstr>
      <vt:lpstr>Jack (George)</vt:lpstr>
      <vt:lpstr>Julia (Amelia)</vt:lpstr>
      <vt:lpstr>Keeper (Symon)</vt:lpstr>
      <vt:lpstr>Kirk (Phil)</vt:lpstr>
      <vt:lpstr>Livia (Clair)</vt:lpstr>
      <vt:lpstr>Ludica (Sky)</vt:lpstr>
      <vt:lpstr>Mac (Charlie)</vt:lpstr>
      <vt:lpstr>Mammon (Peter)</vt:lpstr>
      <vt:lpstr>Magda (Tiana)</vt:lpstr>
      <vt:lpstr>Reed (Conan)</vt:lpstr>
      <vt:lpstr>Rene M (Luca)</vt:lpstr>
      <vt:lpstr>Rene St (Bennet)</vt:lpstr>
      <vt:lpstr>Ryan (Patrick)</vt:lpstr>
      <vt:lpstr>Tegan (Alana W)</vt:lpstr>
      <vt:lpstr>Wan (Michael)</vt:lpstr>
      <vt:lpstr>Lists</vt:lpstr>
      <vt:lpstr>Lookup-General</vt:lpstr>
      <vt:lpstr>Lookup-Bloodlines</vt:lpstr>
      <vt:lpstr>Lookup-Disciplines</vt:lpstr>
      <vt:lpstr>Lookup-Merits</vt:lpstr>
      <vt:lpstr>Lookup-Manouvres</vt:lpstr>
      <vt:lpstr>Lookup-Domain</vt:lpstr>
      <vt:lpstr>Lookup-Influence</vt:lpstr>
      <vt:lpstr>Elements</vt:lpstr>
      <vt:lpstr>lstAoI</vt:lpstr>
      <vt:lpstr>lstBanes</vt:lpstr>
      <vt:lpstr>lstBenefactor</vt:lpstr>
      <vt:lpstr>lstBloodlines</vt:lpstr>
      <vt:lpstr>lstCarthianLaw</vt:lpstr>
      <vt:lpstr>lstClan</vt:lpstr>
      <vt:lpstr>lstCovenant</vt:lpstr>
      <vt:lpstr>lstDevotions</vt:lpstr>
      <vt:lpstr>lstDisciplines</vt:lpstr>
      <vt:lpstr>lstInvictusOaths</vt:lpstr>
      <vt:lpstr>'Alice (Katherine H)'!lstManoeuvres</vt:lpstr>
      <vt:lpstr>'Anichka (Katie)'!lstManoeuvres</vt:lpstr>
      <vt:lpstr>'Brandy (Ashley)'!lstManoeuvres</vt:lpstr>
      <vt:lpstr>'Carver (Archer)'!lstManoeuvres</vt:lpstr>
      <vt:lpstr>'Cazz (Brae)'!lstManoeuvres</vt:lpstr>
      <vt:lpstr>'Charles (Leo)'!lstManoeuvres</vt:lpstr>
      <vt:lpstr>'Charlie (Kurtis)'!lstManoeuvres</vt:lpstr>
      <vt:lpstr>'Conrad (Arnold)'!lstManoeuvres</vt:lpstr>
      <vt:lpstr>'Cyrus (Bill)'!lstManoeuvres</vt:lpstr>
      <vt:lpstr>'Doc (Jess)'!lstManoeuvres</vt:lpstr>
      <vt:lpstr>'Edna (Arlo)'!lstManoeuvres</vt:lpstr>
      <vt:lpstr>'Einar (Nathan)'!lstManoeuvres</vt:lpstr>
      <vt:lpstr>'Eve (Jaime)'!lstManoeuvres</vt:lpstr>
      <vt:lpstr>'Gel (Stefan)'!lstManoeuvres</vt:lpstr>
      <vt:lpstr>'Hazel (Marni)'!lstManoeuvres</vt:lpstr>
      <vt:lpstr>'Ivana (Lyn)'!lstManoeuvres</vt:lpstr>
      <vt:lpstr>'Jack (George)'!lstManoeuvres</vt:lpstr>
      <vt:lpstr>'Julia (Amelia)'!lstManoeuvres</vt:lpstr>
      <vt:lpstr>'Keeper (Symon)'!lstManoeuvres</vt:lpstr>
      <vt:lpstr>'Kirk (Phil)'!lstManoeuvres</vt:lpstr>
      <vt:lpstr>'Livia (Clair)'!lstManoeuvres</vt:lpstr>
      <vt:lpstr>'Ludica (Sky)'!lstManoeuvres</vt:lpstr>
      <vt:lpstr>'Mac (Charlie)'!lstManoeuvres</vt:lpstr>
      <vt:lpstr>'Magda (Tiana)'!lstManoeuvres</vt:lpstr>
      <vt:lpstr>'Mammon (Peter)'!lstManoeuvres</vt:lpstr>
      <vt:lpstr>'Reed (Conan)'!lstManoeuvres</vt:lpstr>
      <vt:lpstr>'Rene M (Luca)'!lstManoeuvres</vt:lpstr>
      <vt:lpstr>'Rene St (Bennet)'!lstManoeuvres</vt:lpstr>
      <vt:lpstr>'Ryan (Patrick)'!lstManoeuvres</vt:lpstr>
      <vt:lpstr>'Tegan (Alana W)'!lstManoeuvres</vt:lpstr>
      <vt:lpstr>'Wan (Michael)'!lstManoeuvres</vt:lpstr>
      <vt:lpstr>lstManoeuvres</vt:lpstr>
      <vt:lpstr>'Alice (Katherine H)'!lstMerits</vt:lpstr>
      <vt:lpstr>'Anichka (Katie)'!lstMerits</vt:lpstr>
      <vt:lpstr>'Brandy (Ashley)'!lstMerits</vt:lpstr>
      <vt:lpstr>'Carver (Archer)'!lstMerits</vt:lpstr>
      <vt:lpstr>'Cazz (Brae)'!lstMerits</vt:lpstr>
      <vt:lpstr>'Charles (Leo)'!lstMerits</vt:lpstr>
      <vt:lpstr>'Charlie (Kurtis)'!lstMerits</vt:lpstr>
      <vt:lpstr>'Conrad (Arnold)'!lstMerits</vt:lpstr>
      <vt:lpstr>'Cyrus (Bill)'!lstMerits</vt:lpstr>
      <vt:lpstr>'Doc (Jess)'!lstMerits</vt:lpstr>
      <vt:lpstr>'Edna (Arlo)'!lstMerits</vt:lpstr>
      <vt:lpstr>'Einar (Nathan)'!lstMerits</vt:lpstr>
      <vt:lpstr>'Eve (Jaime)'!lstMerits</vt:lpstr>
      <vt:lpstr>'Gel (Stefan)'!lstMerits</vt:lpstr>
      <vt:lpstr>'Hazel (Marni)'!lstMerits</vt:lpstr>
      <vt:lpstr>'Ivana (Lyn)'!lstMerits</vt:lpstr>
      <vt:lpstr>'Jack (George)'!lstMerits</vt:lpstr>
      <vt:lpstr>'Julia (Amelia)'!lstMerits</vt:lpstr>
      <vt:lpstr>'Keeper (Symon)'!lstMerits</vt:lpstr>
      <vt:lpstr>'Kirk (Phil)'!lstMerits</vt:lpstr>
      <vt:lpstr>'Livia (Clair)'!lstMerits</vt:lpstr>
      <vt:lpstr>'Ludica (Sky)'!lstMerits</vt:lpstr>
      <vt:lpstr>'Mac (Charlie)'!lstMerits</vt:lpstr>
      <vt:lpstr>'Magda (Tiana)'!lstMerits</vt:lpstr>
      <vt:lpstr>'Mammon (Peter)'!lstMerits</vt:lpstr>
      <vt:lpstr>'Reed (Conan)'!lstMerits</vt:lpstr>
      <vt:lpstr>'Rene M (Luca)'!lstMerits</vt:lpstr>
      <vt:lpstr>'Rene St (Bennet)'!lstMerits</vt:lpstr>
      <vt:lpstr>'Ryan (Patrick)'!lstMerits</vt:lpstr>
      <vt:lpstr>'Tegan (Alana W)'!lstMerits</vt:lpstr>
      <vt:lpstr>'Wan (Michael)'!lstMerits</vt:lpstr>
      <vt:lpstr>lstMerits</vt:lpstr>
      <vt:lpstr>lstNature</vt:lpstr>
      <vt:lpstr>lstPacts</vt:lpstr>
      <vt:lpstr>lstPriority</vt:lpstr>
      <vt:lpstr>lstRites</vt:lpstr>
      <vt:lpstr>lstSkills</vt:lpstr>
      <vt:lpstr>lstStatus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Angelus Morningstar</dc:creator>
  <cp:keywords/>
  <dc:description/>
  <cp:lastModifiedBy>Angelus Morningstar</cp:lastModifiedBy>
  <cp:revision/>
  <dcterms:created xsi:type="dcterms:W3CDTF">2025-08-03T07:29:20Z</dcterms:created>
  <dcterms:modified xsi:type="dcterms:W3CDTF">2026-04-02T00:04:06Z</dcterms:modified>
  <cp:category/>
  <cp:contentStatus/>
</cp:coreProperties>
</file>